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charts/chart40.xml" ContentType="application/vnd.openxmlformats-officedocument.drawingml.chart+xml"/>
  <Override PartName="/xl/charts/chart41.xml" ContentType="application/vnd.openxmlformats-officedocument.drawingml.chart+xml"/>
  <Override PartName="/xl/charts/chart42.xml" ContentType="application/vnd.openxmlformats-officedocument.drawingml.chart+xml"/>
  <Override PartName="/xl/charts/chart43.xml" ContentType="application/vnd.openxmlformats-officedocument.drawingml.chart+xml"/>
  <Override PartName="/xl/charts/chart44.xml" ContentType="application/vnd.openxmlformats-officedocument.drawingml.chart+xml"/>
  <Override PartName="/xl/charts/chart45.xml" ContentType="application/vnd.openxmlformats-officedocument.drawingml.chart+xml"/>
  <Override PartName="/xl/charts/chart46.xml" ContentType="application/vnd.openxmlformats-officedocument.drawingml.chart+xml"/>
  <Override PartName="/xl/charts/chart47.xml" ContentType="application/vnd.openxmlformats-officedocument.drawingml.chart+xml"/>
  <Override PartName="/xl/charts/chart48.xml" ContentType="application/vnd.openxmlformats-officedocument.drawingml.chart+xml"/>
  <Override PartName="/xl/charts/chart49.xml" ContentType="application/vnd.openxmlformats-officedocument.drawingml.chart+xml"/>
  <Override PartName="/xl/charts/chart50.xml" ContentType="application/vnd.openxmlformats-officedocument.drawingml.chart+xml"/>
  <Override PartName="/xl/charts/chart51.xml" ContentType="application/vnd.openxmlformats-officedocument.drawingml.chart+xml"/>
  <Override PartName="/xl/charts/chart52.xml" ContentType="application/vnd.openxmlformats-officedocument.drawingml.chart+xml"/>
  <Override PartName="/xl/charts/chart53.xml" ContentType="application/vnd.openxmlformats-officedocument.drawingml.chart+xml"/>
  <Override PartName="/xl/charts/chart54.xml" ContentType="application/vnd.openxmlformats-officedocument.drawingml.chart+xml"/>
  <Override PartName="/xl/charts/chart55.xml" ContentType="application/vnd.openxmlformats-officedocument.drawingml.chart+xml"/>
  <Override PartName="/xl/charts/chart56.xml" ContentType="application/vnd.openxmlformats-officedocument.drawingml.chart+xml"/>
  <Override PartName="/xl/charts/chart57.xml" ContentType="application/vnd.openxmlformats-officedocument.drawingml.chart+xml"/>
  <Override PartName="/xl/charts/chart58.xml" ContentType="application/vnd.openxmlformats-officedocument.drawingml.chart+xml"/>
  <Override PartName="/xl/charts/chart59.xml" ContentType="application/vnd.openxmlformats-officedocument.drawingml.chart+xml"/>
  <Override PartName="/xl/charts/chart60.xml" ContentType="application/vnd.openxmlformats-officedocument.drawingml.chart+xml"/>
  <Override PartName="/xl/charts/chart61.xml" ContentType="application/vnd.openxmlformats-officedocument.drawingml.chart+xml"/>
  <Override PartName="/xl/charts/chart62.xml" ContentType="application/vnd.openxmlformats-officedocument.drawingml.chart+xml"/>
  <Override PartName="/xl/charts/chart63.xml" ContentType="application/vnd.openxmlformats-officedocument.drawingml.chart+xml"/>
  <Override PartName="/xl/charts/chart64.xml" ContentType="application/vnd.openxmlformats-officedocument.drawingml.chart+xml"/>
  <Override PartName="/xl/charts/chart65.xml" ContentType="application/vnd.openxmlformats-officedocument.drawingml.chart+xml"/>
  <Override PartName="/xl/charts/chart66.xml" ContentType="application/vnd.openxmlformats-officedocument.drawingml.chart+xml"/>
  <Override PartName="/xl/charts/chart67.xml" ContentType="application/vnd.openxmlformats-officedocument.drawingml.chart+xml"/>
  <Override PartName="/xl/charts/chart68.xml" ContentType="application/vnd.openxmlformats-officedocument.drawingml.chart+xml"/>
  <Override PartName="/xl/charts/chart69.xml" ContentType="application/vnd.openxmlformats-officedocument.drawingml.chart+xml"/>
  <Override PartName="/xl/charts/chart70.xml" ContentType="application/vnd.openxmlformats-officedocument.drawingml.chart+xml"/>
  <Override PartName="/xl/charts/chart71.xml" ContentType="application/vnd.openxmlformats-officedocument.drawingml.chart+xml"/>
  <Override PartName="/xl/charts/chart72.xml" ContentType="application/vnd.openxmlformats-officedocument.drawingml.chart+xml"/>
  <Override PartName="/xl/charts/chart73.xml" ContentType="application/vnd.openxmlformats-officedocument.drawingml.chart+xml"/>
  <Override PartName="/xl/charts/chart74.xml" ContentType="application/vnd.openxmlformats-officedocument.drawingml.chart+xml"/>
  <Override PartName="/xl/charts/chart75.xml" ContentType="application/vnd.openxmlformats-officedocument.drawingml.chart+xml"/>
  <Override PartName="/xl/charts/chart76.xml" ContentType="application/vnd.openxmlformats-officedocument.drawingml.chart+xml"/>
  <Override PartName="/xl/charts/chart77.xml" ContentType="application/vnd.openxmlformats-officedocument.drawingml.chart+xml"/>
  <Override PartName="/xl/charts/chart78.xml" ContentType="application/vnd.openxmlformats-officedocument.drawingml.chart+xml"/>
  <Override PartName="/xl/charts/chart79.xml" ContentType="application/vnd.openxmlformats-officedocument.drawingml.chart+xml"/>
  <Override PartName="/xl/charts/chart80.xml" ContentType="application/vnd.openxmlformats-officedocument.drawingml.chart+xml"/>
  <Override PartName="/xl/charts/chart81.xml" ContentType="application/vnd.openxmlformats-officedocument.drawingml.chart+xml"/>
  <Override PartName="/xl/charts/chart82.xml" ContentType="application/vnd.openxmlformats-officedocument.drawingml.chart+xml"/>
  <Override PartName="/xl/charts/chart83.xml" ContentType="application/vnd.openxmlformats-officedocument.drawingml.chart+xml"/>
  <Override PartName="/xl/charts/chart84.xml" ContentType="application/vnd.openxmlformats-officedocument.drawingml.chart+xml"/>
  <Override PartName="/xl/charts/chart85.xml" ContentType="application/vnd.openxmlformats-officedocument.drawingml.chart+xml"/>
  <Override PartName="/xl/charts/chart86.xml" ContentType="application/vnd.openxmlformats-officedocument.drawingml.chart+xml"/>
  <Override PartName="/xl/charts/chart87.xml" ContentType="application/vnd.openxmlformats-officedocument.drawingml.chart+xml"/>
  <Override PartName="/xl/charts/chart88.xml" ContentType="application/vnd.openxmlformats-officedocument.drawingml.chart+xml"/>
  <Override PartName="/xl/charts/chart89.xml" ContentType="application/vnd.openxmlformats-officedocument.drawingml.chart+xml"/>
  <Override PartName="/xl/charts/chart90.xml" ContentType="application/vnd.openxmlformats-officedocument.drawingml.chart+xml"/>
  <Override PartName="/xl/charts/chart91.xml" ContentType="application/vnd.openxmlformats-officedocument.drawingml.chart+xml"/>
  <Override PartName="/xl/charts/chart92.xml" ContentType="application/vnd.openxmlformats-officedocument.drawingml.chart+xml"/>
  <Override PartName="/xl/charts/chart93.xml" ContentType="application/vnd.openxmlformats-officedocument.drawingml.chart+xml"/>
  <Override PartName="/xl/charts/chart94.xml" ContentType="application/vnd.openxmlformats-officedocument.drawingml.chart+xml"/>
  <Override PartName="/xl/charts/chart95.xml" ContentType="application/vnd.openxmlformats-officedocument.drawingml.chart+xml"/>
  <Override PartName="/xl/charts/chart96.xml" ContentType="application/vnd.openxmlformats-officedocument.drawingml.chart+xml"/>
  <Override PartName="/xl/charts/chart97.xml" ContentType="application/vnd.openxmlformats-officedocument.drawingml.chart+xml"/>
  <Override PartName="/xl/charts/chart98.xml" ContentType="application/vnd.openxmlformats-officedocument.drawingml.chart+xml"/>
  <Override PartName="/xl/charts/chart99.xml" ContentType="application/vnd.openxmlformats-officedocument.drawingml.chart+xml"/>
  <Override PartName="/xl/charts/chart100.xml" ContentType="application/vnd.openxmlformats-officedocument.drawingml.chart+xml"/>
  <Override PartName="/xl/charts/chart101.xml" ContentType="application/vnd.openxmlformats-officedocument.drawingml.chart+xml"/>
  <Override PartName="/xl/charts/chart102.xml" ContentType="application/vnd.openxmlformats-officedocument.drawingml.chart+xml"/>
  <Override PartName="/xl/charts/chart103.xml" ContentType="application/vnd.openxmlformats-officedocument.drawingml.chart+xml"/>
  <Override PartName="/xl/charts/chart104.xml" ContentType="application/vnd.openxmlformats-officedocument.drawingml.chart+xml"/>
  <Override PartName="/xl/charts/chart105.xml" ContentType="application/vnd.openxmlformats-officedocument.drawingml.chart+xml"/>
  <Override PartName="/xl/charts/chart106.xml" ContentType="application/vnd.openxmlformats-officedocument.drawingml.chart+xml"/>
  <Override PartName="/xl/charts/chart107.xml" ContentType="application/vnd.openxmlformats-officedocument.drawingml.chart+xml"/>
  <Override PartName="/xl/charts/chart108.xml" ContentType="application/vnd.openxmlformats-officedocument.drawingml.chart+xml"/>
  <Override PartName="/xl/charts/chart109.xml" ContentType="application/vnd.openxmlformats-officedocument.drawingml.chart+xml"/>
  <Override PartName="/xl/charts/chart110.xml" ContentType="application/vnd.openxmlformats-officedocument.drawingml.chart+xml"/>
  <Override PartName="/xl/charts/chart111.xml" ContentType="application/vnd.openxmlformats-officedocument.drawingml.chart+xml"/>
  <Override PartName="/xl/charts/chart112.xml" ContentType="application/vnd.openxmlformats-officedocument.drawingml.chart+xml"/>
  <Override PartName="/xl/charts/chart113.xml" ContentType="application/vnd.openxmlformats-officedocument.drawingml.chart+xml"/>
  <Override PartName="/xl/charts/chart114.xml" ContentType="application/vnd.openxmlformats-officedocument.drawingml.chart+xml"/>
  <Override PartName="/xl/charts/chart115.xml" ContentType="application/vnd.openxmlformats-officedocument.drawingml.chart+xml"/>
  <Override PartName="/xl/charts/chart116.xml" ContentType="application/vnd.openxmlformats-officedocument.drawingml.chart+xml"/>
  <Override PartName="/xl/charts/chart117.xml" ContentType="application/vnd.openxmlformats-officedocument.drawingml.chart+xml"/>
  <Override PartName="/xl/charts/chart118.xml" ContentType="application/vnd.openxmlformats-officedocument.drawingml.chart+xml"/>
  <Override PartName="/xl/charts/chart119.xml" ContentType="application/vnd.openxmlformats-officedocument.drawingml.chart+xml"/>
  <Override PartName="/xl/charts/chart120.xml" ContentType="application/vnd.openxmlformats-officedocument.drawingml.chart+xml"/>
  <Override PartName="/xl/charts/chart121.xml" ContentType="application/vnd.openxmlformats-officedocument.drawingml.chart+xml"/>
  <Override PartName="/xl/charts/chart122.xml" ContentType="application/vnd.openxmlformats-officedocument.drawingml.chart+xml"/>
  <Override PartName="/xl/charts/chart123.xml" ContentType="application/vnd.openxmlformats-officedocument.drawingml.chart+xml"/>
  <Override PartName="/xl/charts/chart124.xml" ContentType="application/vnd.openxmlformats-officedocument.drawingml.chart+xml"/>
  <Override PartName="/xl/charts/chart125.xml" ContentType="application/vnd.openxmlformats-officedocument.drawingml.chart+xml"/>
  <Override PartName="/xl/charts/chart126.xml" ContentType="application/vnd.openxmlformats-officedocument.drawingml.chart+xml"/>
  <Override PartName="/xl/charts/chart127.xml" ContentType="application/vnd.openxmlformats-officedocument.drawingml.chart+xml"/>
  <Override PartName="/xl/charts/chart128.xml" ContentType="application/vnd.openxmlformats-officedocument.drawingml.chart+xml"/>
  <Override PartName="/xl/charts/chart129.xml" ContentType="application/vnd.openxmlformats-officedocument.drawingml.chart+xml"/>
  <Override PartName="/xl/charts/chart130.xml" ContentType="application/vnd.openxmlformats-officedocument.drawingml.chart+xml"/>
  <Override PartName="/xl/charts/chart131.xml" ContentType="application/vnd.openxmlformats-officedocument.drawingml.chart+xml"/>
  <Override PartName="/xl/charts/chart132.xml" ContentType="application/vnd.openxmlformats-officedocument.drawingml.chart+xml"/>
  <Override PartName="/xl/charts/chart133.xml" ContentType="application/vnd.openxmlformats-officedocument.drawingml.chart+xml"/>
  <Override PartName="/xl/charts/chart134.xml" ContentType="application/vnd.openxmlformats-officedocument.drawingml.chart+xml"/>
  <Override PartName="/xl/charts/chart135.xml" ContentType="application/vnd.openxmlformats-officedocument.drawingml.chart+xml"/>
  <Override PartName="/xl/charts/chart136.xml" ContentType="application/vnd.openxmlformats-officedocument.drawingml.chart+xml"/>
  <Override PartName="/xl/charts/chart137.xml" ContentType="application/vnd.openxmlformats-officedocument.drawingml.chart+xml"/>
  <Override PartName="/xl/charts/chart138.xml" ContentType="application/vnd.openxmlformats-officedocument.drawingml.chart+xml"/>
  <Override PartName="/xl/charts/chart139.xml" ContentType="application/vnd.openxmlformats-officedocument.drawingml.chart+xml"/>
  <Override PartName="/xl/charts/chart140.xml" ContentType="application/vnd.openxmlformats-officedocument.drawingml.chart+xml"/>
  <Override PartName="/xl/charts/chart141.xml" ContentType="application/vnd.openxmlformats-officedocument.drawingml.chart+xml"/>
  <Override PartName="/xl/charts/chart142.xml" ContentType="application/vnd.openxmlformats-officedocument.drawingml.chart+xml"/>
  <Override PartName="/xl/charts/chart143.xml" ContentType="application/vnd.openxmlformats-officedocument.drawingml.chart+xml"/>
  <Override PartName="/xl/charts/chart144.xml" ContentType="application/vnd.openxmlformats-officedocument.drawingml.chart+xml"/>
  <Override PartName="/xl/charts/chart145.xml" ContentType="application/vnd.openxmlformats-officedocument.drawingml.chart+xml"/>
  <Override PartName="/xl/charts/chart146.xml" ContentType="application/vnd.openxmlformats-officedocument.drawingml.chart+xml"/>
  <Override PartName="/xl/charts/chart147.xml" ContentType="application/vnd.openxmlformats-officedocument.drawingml.chart+xml"/>
  <Override PartName="/xl/charts/chart148.xml" ContentType="application/vnd.openxmlformats-officedocument.drawingml.chart+xml"/>
  <Override PartName="/xl/charts/chart149.xml" ContentType="application/vnd.openxmlformats-officedocument.drawingml.chart+xml"/>
  <Override PartName="/xl/charts/chart150.xml" ContentType="application/vnd.openxmlformats-officedocument.drawingml.chart+xml"/>
  <Override PartName="/xl/charts/chart151.xml" ContentType="application/vnd.openxmlformats-officedocument.drawingml.chart+xml"/>
  <Override PartName="/xl/charts/chart152.xml" ContentType="application/vnd.openxmlformats-officedocument.drawingml.chart+xml"/>
  <Override PartName="/xl/charts/chart153.xml" ContentType="application/vnd.openxmlformats-officedocument.drawingml.chart+xml"/>
  <Override PartName="/xl/charts/chart154.xml" ContentType="application/vnd.openxmlformats-officedocument.drawingml.chart+xml"/>
  <Override PartName="/xl/charts/chart155.xml" ContentType="application/vnd.openxmlformats-officedocument.drawingml.chart+xml"/>
  <Override PartName="/xl/charts/chart156.xml" ContentType="application/vnd.openxmlformats-officedocument.drawingml.chart+xml"/>
  <Override PartName="/xl/charts/chart157.xml" ContentType="application/vnd.openxmlformats-officedocument.drawingml.chart+xml"/>
  <Override PartName="/xl/charts/chart158.xml" ContentType="application/vnd.openxmlformats-officedocument.drawingml.chart+xml"/>
  <Override PartName="/xl/charts/chart159.xml" ContentType="application/vnd.openxmlformats-officedocument.drawingml.chart+xml"/>
  <Override PartName="/xl/charts/chart160.xml" ContentType="application/vnd.openxmlformats-officedocument.drawingml.chart+xml"/>
  <Override PartName="/xl/charts/chart161.xml" ContentType="application/vnd.openxmlformats-officedocument.drawingml.chart+xml"/>
  <Override PartName="/xl/charts/chart162.xml" ContentType="application/vnd.openxmlformats-officedocument.drawingml.chart+xml"/>
  <Override PartName="/xl/charts/chart163.xml" ContentType="application/vnd.openxmlformats-officedocument.drawingml.chart+xml"/>
  <Override PartName="/xl/charts/chart164.xml" ContentType="application/vnd.openxmlformats-officedocument.drawingml.chart+xml"/>
  <Override PartName="/xl/charts/chart165.xml" ContentType="application/vnd.openxmlformats-officedocument.drawingml.chart+xml"/>
  <Override PartName="/xl/charts/chart166.xml" ContentType="application/vnd.openxmlformats-officedocument.drawingml.chart+xml"/>
  <Override PartName="/xl/charts/chart167.xml" ContentType="application/vnd.openxmlformats-officedocument.drawingml.chart+xml"/>
  <Override PartName="/xl/charts/chart168.xml" ContentType="application/vnd.openxmlformats-officedocument.drawingml.chart+xml"/>
  <Override PartName="/xl/charts/chart169.xml" ContentType="application/vnd.openxmlformats-officedocument.drawingml.chart+xml"/>
  <Override PartName="/xl/charts/chart170.xml" ContentType="application/vnd.openxmlformats-officedocument.drawingml.chart+xml"/>
  <Override PartName="/xl/charts/chart171.xml" ContentType="application/vnd.openxmlformats-officedocument.drawingml.chart+xml"/>
  <Override PartName="/xl/charts/chart172.xml" ContentType="application/vnd.openxmlformats-officedocument.drawingml.chart+xml"/>
  <Override PartName="/xl/charts/chart173.xml" ContentType="application/vnd.openxmlformats-officedocument.drawingml.chart+xml"/>
  <Override PartName="/xl/charts/chart174.xml" ContentType="application/vnd.openxmlformats-officedocument.drawingml.chart+xml"/>
  <Override PartName="/xl/charts/chart175.xml" ContentType="application/vnd.openxmlformats-officedocument.drawingml.chart+xml"/>
  <Override PartName="/xl/charts/chart176.xml" ContentType="application/vnd.openxmlformats-officedocument.drawingml.chart+xml"/>
  <Override PartName="/xl/charts/chart177.xml" ContentType="application/vnd.openxmlformats-officedocument.drawingml.chart+xml"/>
  <Override PartName="/xl/charts/chart178.xml" ContentType="application/vnd.openxmlformats-officedocument.drawingml.chart+xml"/>
  <Override PartName="/xl/charts/chart179.xml" ContentType="application/vnd.openxmlformats-officedocument.drawingml.chart+xml"/>
  <Override PartName="/xl/charts/chart180.xml" ContentType="application/vnd.openxmlformats-officedocument.drawingml.chart+xml"/>
  <Override PartName="/xl/charts/chart181.xml" ContentType="application/vnd.openxmlformats-officedocument.drawingml.chart+xml"/>
  <Override PartName="/xl/charts/chart182.xml" ContentType="application/vnd.openxmlformats-officedocument.drawingml.chart+xml"/>
  <Override PartName="/xl/charts/chart183.xml" ContentType="application/vnd.openxmlformats-officedocument.drawingml.chart+xml"/>
  <Override PartName="/xl/charts/chart184.xml" ContentType="application/vnd.openxmlformats-officedocument.drawingml.chart+xml"/>
  <Override PartName="/xl/charts/chart185.xml" ContentType="application/vnd.openxmlformats-officedocument.drawingml.chart+xml"/>
  <Override PartName="/xl/charts/chart186.xml" ContentType="application/vnd.openxmlformats-officedocument.drawingml.chart+xml"/>
  <Override PartName="/xl/charts/chart187.xml" ContentType="application/vnd.openxmlformats-officedocument.drawingml.chart+xml"/>
  <Override PartName="/xl/charts/chart188.xml" ContentType="application/vnd.openxmlformats-officedocument.drawingml.chart+xml"/>
  <Override PartName="/xl/charts/chart189.xml" ContentType="application/vnd.openxmlformats-officedocument.drawingml.chart+xml"/>
  <Override PartName="/xl/charts/chart190.xml" ContentType="application/vnd.openxmlformats-officedocument.drawingml.chart+xml"/>
  <Override PartName="/xl/charts/chart191.xml" ContentType="application/vnd.openxmlformats-officedocument.drawingml.chart+xml"/>
  <Override PartName="/xl/charts/chart192.xml" ContentType="application/vnd.openxmlformats-officedocument.drawingml.chart+xml"/>
  <Override PartName="/xl/charts/chart193.xml" ContentType="application/vnd.openxmlformats-officedocument.drawingml.chart+xml"/>
  <Override PartName="/xl/charts/chart194.xml" ContentType="application/vnd.openxmlformats-officedocument.drawingml.chart+xml"/>
  <Override PartName="/xl/charts/chart195.xml" ContentType="application/vnd.openxmlformats-officedocument.drawingml.chart+xml"/>
  <Override PartName="/xl/charts/chart196.xml" ContentType="application/vnd.openxmlformats-officedocument.drawingml.chart+xml"/>
  <Override PartName="/xl/charts/chart197.xml" ContentType="application/vnd.openxmlformats-officedocument.drawingml.chart+xml"/>
  <Override PartName="/xl/charts/chart198.xml" ContentType="application/vnd.openxmlformats-officedocument.drawingml.chart+xml"/>
  <Override PartName="/xl/charts/chart199.xml" ContentType="application/vnd.openxmlformats-officedocument.drawingml.chart+xml"/>
  <Override PartName="/xl/charts/chart200.xml" ContentType="application/vnd.openxmlformats-officedocument.drawingml.chart+xml"/>
  <Override PartName="/xl/charts/chart201.xml" ContentType="application/vnd.openxmlformats-officedocument.drawingml.chart+xml"/>
  <Override PartName="/xl/charts/chart202.xml" ContentType="application/vnd.openxmlformats-officedocument.drawingml.chart+xml"/>
  <Override PartName="/xl/charts/chart203.xml" ContentType="application/vnd.openxmlformats-officedocument.drawingml.chart+xml"/>
  <Override PartName="/xl/charts/chart204.xml" ContentType="application/vnd.openxmlformats-officedocument.drawingml.chart+xml"/>
  <Override PartName="/xl/charts/chart205.xml" ContentType="application/vnd.openxmlformats-officedocument.drawingml.chart+xml"/>
  <Override PartName="/xl/charts/chart206.xml" ContentType="application/vnd.openxmlformats-officedocument.drawingml.chart+xml"/>
  <Override PartName="/xl/charts/chart207.xml" ContentType="application/vnd.openxmlformats-officedocument.drawingml.chart+xml"/>
  <Override PartName="/xl/charts/chart208.xml" ContentType="application/vnd.openxmlformats-officedocument.drawingml.chart+xml"/>
  <Override PartName="/xl/charts/chart209.xml" ContentType="application/vnd.openxmlformats-officedocument.drawingml.chart+xml"/>
  <Override PartName="/xl/charts/chart210.xml" ContentType="application/vnd.openxmlformats-officedocument.drawingml.chart+xml"/>
  <Override PartName="/xl/charts/chart211.xml" ContentType="application/vnd.openxmlformats-officedocument.drawingml.chart+xml"/>
  <Override PartName="/xl/charts/chart212.xml" ContentType="application/vnd.openxmlformats-officedocument.drawingml.chart+xml"/>
  <Override PartName="/xl/charts/chart213.xml" ContentType="application/vnd.openxmlformats-officedocument.drawingml.chart+xml"/>
  <Override PartName="/xl/charts/chart214.xml" ContentType="application/vnd.openxmlformats-officedocument.drawingml.chart+xml"/>
  <Override PartName="/xl/charts/chart215.xml" ContentType="application/vnd.openxmlformats-officedocument.drawingml.chart+xml"/>
  <Override PartName="/xl/charts/chart216.xml" ContentType="application/vnd.openxmlformats-officedocument.drawingml.chart+xml"/>
  <Override PartName="/xl/charts/chart217.xml" ContentType="application/vnd.openxmlformats-officedocument.drawingml.chart+xml"/>
  <Override PartName="/xl/charts/chart218.xml" ContentType="application/vnd.openxmlformats-officedocument.drawingml.chart+xml"/>
  <Override PartName="/xl/charts/chart219.xml" ContentType="application/vnd.openxmlformats-officedocument.drawingml.chart+xml"/>
  <Override PartName="/xl/charts/chart220.xml" ContentType="application/vnd.openxmlformats-officedocument.drawingml.chart+xml"/>
  <Override PartName="/xl/charts/chart221.xml" ContentType="application/vnd.openxmlformats-officedocument.drawingml.chart+xml"/>
  <Override PartName="/xl/charts/chart222.xml" ContentType="application/vnd.openxmlformats-officedocument.drawingml.chart+xml"/>
  <Override PartName="/xl/charts/chart223.xml" ContentType="application/vnd.openxmlformats-officedocument.drawingml.chart+xml"/>
  <Override PartName="/xl/charts/chart224.xml" ContentType="application/vnd.openxmlformats-officedocument.drawingml.chart+xml"/>
  <Override PartName="/xl/charts/chart225.xml" ContentType="application/vnd.openxmlformats-officedocument.drawingml.chart+xml"/>
  <Override PartName="/xl/charts/chart226.xml" ContentType="application/vnd.openxmlformats-officedocument.drawingml.chart+xml"/>
  <Override PartName="/xl/drawings/drawing2.xml" ContentType="application/vnd.openxmlformats-officedocument.drawingml.chartshapes+xml"/>
  <Override PartName="/xl/charts/chart227.xml" ContentType="application/vnd.openxmlformats-officedocument.drawingml.chart+xml"/>
  <Override PartName="/xl/charts/chart228.xml" ContentType="application/vnd.openxmlformats-officedocument.drawingml.chart+xml"/>
  <Override PartName="/xl/charts/chart229.xml" ContentType="application/vnd.openxmlformats-officedocument.drawingml.chart+xml"/>
  <Override PartName="/xl/charts/chart230.xml" ContentType="application/vnd.openxmlformats-officedocument.drawingml.chart+xml"/>
  <Override PartName="/xl/charts/chart231.xml" ContentType="application/vnd.openxmlformats-officedocument.drawingml.chart+xml"/>
  <Override PartName="/xl/charts/chart232.xml" ContentType="application/vnd.openxmlformats-officedocument.drawingml.chart+xml"/>
  <Override PartName="/xl/charts/chart233.xml" ContentType="application/vnd.openxmlformats-officedocument.drawingml.chart+xml"/>
  <Override PartName="/xl/charts/chart234.xml" ContentType="application/vnd.openxmlformats-officedocument.drawingml.chart+xml"/>
  <Override PartName="/xl/charts/chart235.xml" ContentType="application/vnd.openxmlformats-officedocument.drawingml.chart+xml"/>
  <Override PartName="/xl/charts/chart236.xml" ContentType="application/vnd.openxmlformats-officedocument.drawingml.chart+xml"/>
  <Override PartName="/xl/charts/chart237.xml" ContentType="application/vnd.openxmlformats-officedocument.drawingml.chart+xml"/>
  <Override PartName="/xl/charts/chart238.xml" ContentType="application/vnd.openxmlformats-officedocument.drawingml.chart+xml"/>
  <Override PartName="/xl/charts/chart239.xml" ContentType="application/vnd.openxmlformats-officedocument.drawingml.chart+xml"/>
  <Override PartName="/xl/charts/chart240.xml" ContentType="application/vnd.openxmlformats-officedocument.drawingml.chart+xml"/>
  <Override PartName="/xl/charts/chart241.xml" ContentType="application/vnd.openxmlformats-officedocument.drawingml.chart+xml"/>
  <Override PartName="/xl/charts/chart242.xml" ContentType="application/vnd.openxmlformats-officedocument.drawingml.chart+xml"/>
  <Override PartName="/xl/charts/chart243.xml" ContentType="application/vnd.openxmlformats-officedocument.drawingml.chart+xml"/>
  <Override PartName="/xl/charts/chart244.xml" ContentType="application/vnd.openxmlformats-officedocument.drawingml.chart+xml"/>
  <Override PartName="/xl/charts/chart245.xml" ContentType="application/vnd.openxmlformats-officedocument.drawingml.chart+xml"/>
  <Override PartName="/xl/charts/chart246.xml" ContentType="application/vnd.openxmlformats-officedocument.drawingml.chart+xml"/>
  <Override PartName="/xl/charts/chart247.xml" ContentType="application/vnd.openxmlformats-officedocument.drawingml.chart+xml"/>
  <Override PartName="/xl/charts/chart248.xml" ContentType="application/vnd.openxmlformats-officedocument.drawingml.chart+xml"/>
  <Override PartName="/xl/charts/chart249.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bookViews>
    <workbookView xWindow="-15" yWindow="4515" windowWidth="21630" windowHeight="4545" tabRatio="797" activeTab="2"/>
  </bookViews>
  <sheets>
    <sheet name="Sites" sheetId="5" r:id="rId1"/>
    <sheet name="Soils" sheetId="4" r:id="rId2"/>
    <sheet name="WCYP SELECT " sheetId="12" r:id="rId3"/>
    <sheet name="Growth Pattern" sheetId="11" r:id="rId4"/>
    <sheet name="Conversion Factors" sheetId="8" r:id="rId5"/>
    <sheet name="Notes" sheetId="10" r:id="rId6"/>
    <sheet name="References" sheetId="13" r:id="rId7"/>
    <sheet name="Spacing conversions" sheetId="14" r:id="rId8"/>
  </sheets>
  <calcPr calcId="145621"/>
</workbook>
</file>

<file path=xl/calcChain.xml><?xml version="1.0" encoding="utf-8"?>
<calcChain xmlns="http://schemas.openxmlformats.org/spreadsheetml/2006/main">
  <c r="E27" i="14" l="1"/>
  <c r="K27" i="14"/>
  <c r="V52" i="14"/>
  <c r="U52" i="14"/>
  <c r="V51" i="14"/>
  <c r="U51" i="14"/>
  <c r="V50" i="14"/>
  <c r="U50" i="14"/>
  <c r="V49" i="14"/>
  <c r="U49" i="14"/>
  <c r="V48" i="14"/>
  <c r="U48" i="14"/>
  <c r="V47" i="14"/>
  <c r="U47" i="14"/>
  <c r="V46" i="14"/>
  <c r="U46" i="14"/>
  <c r="V45" i="14"/>
  <c r="U45" i="14"/>
  <c r="V44" i="14"/>
  <c r="U44" i="14"/>
  <c r="V43" i="14"/>
  <c r="U43" i="14"/>
  <c r="V42" i="14"/>
  <c r="U42" i="14"/>
  <c r="V41" i="14"/>
  <c r="U41" i="14"/>
  <c r="V40" i="14"/>
  <c r="U40" i="14"/>
  <c r="V39" i="14"/>
  <c r="U39" i="14"/>
  <c r="V38" i="14"/>
  <c r="U38" i="14"/>
  <c r="V37" i="14"/>
  <c r="U37" i="14"/>
  <c r="V36" i="14"/>
  <c r="U36" i="14"/>
  <c r="V35" i="14"/>
  <c r="U35" i="14"/>
  <c r="V34" i="14"/>
  <c r="U34" i="14"/>
  <c r="V33" i="14"/>
  <c r="U33" i="14"/>
  <c r="V32" i="14"/>
  <c r="U32" i="14"/>
  <c r="V31" i="14"/>
  <c r="U31" i="14"/>
  <c r="V30" i="14"/>
  <c r="U30" i="14"/>
  <c r="V29" i="14"/>
  <c r="U29" i="14"/>
  <c r="V28" i="14"/>
  <c r="U28" i="14"/>
  <c r="V27" i="14"/>
  <c r="V26" i="14"/>
  <c r="U26" i="14"/>
  <c r="V25" i="14"/>
  <c r="U25" i="14"/>
  <c r="V24" i="14"/>
  <c r="U24" i="14"/>
  <c r="V23" i="14"/>
  <c r="U23" i="14"/>
  <c r="V22" i="14"/>
  <c r="U22" i="14"/>
  <c r="V21" i="14"/>
  <c r="U21" i="14"/>
  <c r="V20" i="14"/>
  <c r="U20" i="14"/>
  <c r="V19" i="14"/>
  <c r="U19" i="14"/>
  <c r="V18" i="14"/>
  <c r="U18" i="14"/>
  <c r="V17" i="14"/>
  <c r="U17" i="14"/>
  <c r="V16" i="14"/>
  <c r="U16" i="14"/>
  <c r="V15" i="14"/>
  <c r="U15" i="14"/>
  <c r="V14" i="14"/>
  <c r="U14" i="14"/>
  <c r="V13" i="14"/>
  <c r="U13" i="14"/>
  <c r="V12" i="14"/>
  <c r="U12" i="14"/>
  <c r="V11" i="14"/>
  <c r="U11" i="14"/>
  <c r="V10" i="14"/>
  <c r="U10" i="14"/>
  <c r="V9" i="14"/>
  <c r="U9" i="14"/>
  <c r="K52" i="14"/>
  <c r="J52" i="14"/>
  <c r="K51" i="14"/>
  <c r="J51" i="14"/>
  <c r="K50" i="14"/>
  <c r="J50" i="14"/>
  <c r="K49" i="14"/>
  <c r="J49" i="14"/>
  <c r="K48" i="14"/>
  <c r="J48" i="14"/>
  <c r="K47" i="14"/>
  <c r="J47" i="14"/>
  <c r="K45" i="14"/>
  <c r="J45" i="14"/>
  <c r="K44" i="14"/>
  <c r="J44" i="14"/>
  <c r="K43" i="14"/>
  <c r="J43" i="14"/>
  <c r="K42" i="14"/>
  <c r="J42" i="14"/>
  <c r="K41" i="14"/>
  <c r="J41" i="14"/>
  <c r="K40" i="14"/>
  <c r="J40" i="14"/>
  <c r="K39" i="14"/>
  <c r="J39" i="14"/>
  <c r="K38" i="14"/>
  <c r="J38" i="14"/>
  <c r="K37" i="14"/>
  <c r="J37" i="14"/>
  <c r="K36" i="14"/>
  <c r="J36" i="14"/>
  <c r="K35" i="14"/>
  <c r="J35" i="14"/>
  <c r="K34" i="14"/>
  <c r="J34" i="14"/>
  <c r="K33" i="14"/>
  <c r="J33" i="14"/>
  <c r="K32" i="14"/>
  <c r="J32" i="14"/>
  <c r="K31" i="14"/>
  <c r="J31" i="14"/>
  <c r="K29" i="14"/>
  <c r="J29" i="14"/>
  <c r="K28" i="14"/>
  <c r="J28" i="14"/>
  <c r="K26" i="14"/>
  <c r="J26" i="14"/>
  <c r="K23" i="14"/>
  <c r="J23" i="14"/>
  <c r="K21" i="14"/>
  <c r="J21" i="14"/>
  <c r="K20" i="14"/>
  <c r="J20" i="14"/>
  <c r="K19" i="14"/>
  <c r="J19" i="14"/>
  <c r="K18" i="14"/>
  <c r="J18" i="14"/>
  <c r="K17" i="14"/>
  <c r="J17" i="14"/>
  <c r="K16" i="14"/>
  <c r="J16" i="14"/>
  <c r="K15" i="14"/>
  <c r="J15" i="14"/>
  <c r="K14" i="14"/>
  <c r="J14" i="14"/>
  <c r="K13" i="14"/>
  <c r="J13" i="14"/>
  <c r="K12" i="14"/>
  <c r="J12" i="14"/>
  <c r="K11" i="14"/>
  <c r="J11" i="14"/>
  <c r="K10" i="14"/>
  <c r="J10" i="14"/>
  <c r="K9" i="14"/>
  <c r="J9" i="14"/>
  <c r="J8" i="14"/>
  <c r="K8" i="14"/>
  <c r="E52" i="14"/>
  <c r="E51" i="14"/>
  <c r="E50" i="14"/>
  <c r="E49" i="14"/>
  <c r="E48" i="14"/>
  <c r="E47" i="14"/>
  <c r="E45" i="14"/>
  <c r="E44" i="14"/>
  <c r="E43" i="14"/>
  <c r="E42" i="14"/>
  <c r="E41" i="14"/>
  <c r="E40" i="14"/>
  <c r="E39" i="14"/>
  <c r="E38" i="14"/>
  <c r="E37" i="14"/>
  <c r="E36" i="14"/>
  <c r="E35" i="14"/>
  <c r="E34" i="14"/>
  <c r="E33" i="14"/>
  <c r="E32" i="14"/>
  <c r="E31" i="14"/>
  <c r="E29" i="14"/>
  <c r="E28" i="14"/>
  <c r="E26" i="14"/>
  <c r="E23" i="14"/>
  <c r="E21" i="14"/>
  <c r="E20" i="14"/>
  <c r="E19" i="14"/>
  <c r="E18" i="14"/>
  <c r="E17" i="14"/>
  <c r="E16" i="14"/>
  <c r="E15" i="14"/>
  <c r="E14" i="14"/>
  <c r="E13" i="14"/>
  <c r="E12" i="14"/>
  <c r="E11" i="14"/>
  <c r="E10" i="14"/>
  <c r="E9" i="14"/>
  <c r="V8" i="14"/>
  <c r="U8" i="14"/>
  <c r="E8" i="14"/>
  <c r="H16" i="14"/>
  <c r="G16" i="14"/>
  <c r="D16" i="14"/>
  <c r="S9" i="14"/>
  <c r="R9" i="14"/>
  <c r="S23" i="14"/>
  <c r="R23" i="14"/>
  <c r="S52" i="14"/>
  <c r="R52" i="14"/>
  <c r="O52" i="14"/>
  <c r="P52" i="14" s="1"/>
  <c r="H52" i="14"/>
  <c r="G52" i="14"/>
  <c r="D52" i="14"/>
  <c r="S51" i="14"/>
  <c r="R51" i="14"/>
  <c r="O51" i="14"/>
  <c r="P51" i="14" s="1"/>
  <c r="H51" i="14"/>
  <c r="G51" i="14"/>
  <c r="D51" i="14"/>
  <c r="S50" i="14"/>
  <c r="R50" i="14"/>
  <c r="T50" i="14" s="1"/>
  <c r="O50" i="14"/>
  <c r="P50" i="14" s="1"/>
  <c r="H50" i="14"/>
  <c r="G50" i="14"/>
  <c r="D50" i="14"/>
  <c r="S49" i="14"/>
  <c r="R49" i="14"/>
  <c r="O49" i="14"/>
  <c r="P49" i="14" s="1"/>
  <c r="H49" i="14"/>
  <c r="G49" i="14"/>
  <c r="D49" i="14"/>
  <c r="S48" i="14"/>
  <c r="R48" i="14"/>
  <c r="O48" i="14"/>
  <c r="P48" i="14" s="1"/>
  <c r="H48" i="14"/>
  <c r="G48" i="14"/>
  <c r="D48" i="14"/>
  <c r="S47" i="14"/>
  <c r="R47" i="14"/>
  <c r="O47" i="14"/>
  <c r="P47" i="14" s="1"/>
  <c r="H47" i="14"/>
  <c r="G47" i="14"/>
  <c r="D47" i="14"/>
  <c r="S46" i="14"/>
  <c r="R46" i="14"/>
  <c r="O46" i="14"/>
  <c r="P46" i="14" s="1"/>
  <c r="S45" i="14"/>
  <c r="R45" i="14"/>
  <c r="O45" i="14"/>
  <c r="P45" i="14" s="1"/>
  <c r="H45" i="14"/>
  <c r="G45" i="14"/>
  <c r="D45" i="14"/>
  <c r="S44" i="14"/>
  <c r="R44" i="14"/>
  <c r="O44" i="14"/>
  <c r="P44" i="14" s="1"/>
  <c r="H44" i="14"/>
  <c r="G44" i="14"/>
  <c r="D44" i="14"/>
  <c r="S43" i="14"/>
  <c r="R43" i="14"/>
  <c r="O43" i="14"/>
  <c r="P43" i="14" s="1"/>
  <c r="H43" i="14"/>
  <c r="G43" i="14"/>
  <c r="D43" i="14"/>
  <c r="S42" i="14"/>
  <c r="R42" i="14"/>
  <c r="O42" i="14"/>
  <c r="P42" i="14" s="1"/>
  <c r="H42" i="14"/>
  <c r="G42" i="14"/>
  <c r="D42" i="14"/>
  <c r="S41" i="14"/>
  <c r="R41" i="14"/>
  <c r="O41" i="14"/>
  <c r="P41" i="14" s="1"/>
  <c r="H41" i="14"/>
  <c r="G41" i="14"/>
  <c r="D41" i="14"/>
  <c r="S40" i="14"/>
  <c r="R40" i="14"/>
  <c r="O40" i="14"/>
  <c r="P40" i="14" s="1"/>
  <c r="H40" i="14"/>
  <c r="G40" i="14"/>
  <c r="D40" i="14"/>
  <c r="S39" i="14"/>
  <c r="R39" i="14"/>
  <c r="O39" i="14"/>
  <c r="P39" i="14" s="1"/>
  <c r="H39" i="14"/>
  <c r="G39" i="14"/>
  <c r="D39" i="14"/>
  <c r="S38" i="14"/>
  <c r="R38" i="14"/>
  <c r="O38" i="14"/>
  <c r="P38" i="14" s="1"/>
  <c r="H38" i="14"/>
  <c r="G38" i="14"/>
  <c r="D38" i="14"/>
  <c r="H36" i="14"/>
  <c r="G36" i="14"/>
  <c r="D36" i="14"/>
  <c r="S37" i="14"/>
  <c r="R37" i="14"/>
  <c r="O37" i="14"/>
  <c r="P37" i="14" s="1"/>
  <c r="H37" i="14"/>
  <c r="G37" i="14"/>
  <c r="D37" i="14"/>
  <c r="S36" i="14"/>
  <c r="R36" i="14"/>
  <c r="O36" i="14"/>
  <c r="P36" i="14" s="1"/>
  <c r="S35" i="14"/>
  <c r="R35" i="14"/>
  <c r="O35" i="14"/>
  <c r="P35" i="14" s="1"/>
  <c r="H35" i="14"/>
  <c r="G35" i="14"/>
  <c r="D35" i="14"/>
  <c r="S34" i="14"/>
  <c r="R34" i="14"/>
  <c r="O34" i="14"/>
  <c r="P34" i="14" s="1"/>
  <c r="H34" i="14"/>
  <c r="G34" i="14"/>
  <c r="D34" i="14"/>
  <c r="S33" i="14"/>
  <c r="R33" i="14"/>
  <c r="O33" i="14"/>
  <c r="P33" i="14" s="1"/>
  <c r="H33" i="14"/>
  <c r="G33" i="14"/>
  <c r="D33" i="14"/>
  <c r="S32" i="14"/>
  <c r="R32" i="14"/>
  <c r="O32" i="14"/>
  <c r="P32" i="14" s="1"/>
  <c r="H32" i="14"/>
  <c r="G32" i="14"/>
  <c r="D32" i="14"/>
  <c r="H31" i="14"/>
  <c r="G31" i="14"/>
  <c r="D31" i="14"/>
  <c r="S31" i="14"/>
  <c r="R31" i="14"/>
  <c r="O31" i="14"/>
  <c r="P31" i="14" s="1"/>
  <c r="S30" i="14"/>
  <c r="R30" i="14"/>
  <c r="O30" i="14"/>
  <c r="P30" i="14" s="1"/>
  <c r="S29" i="14"/>
  <c r="R29" i="14"/>
  <c r="O29" i="14"/>
  <c r="P29" i="14" s="1"/>
  <c r="H29" i="14"/>
  <c r="G29" i="14"/>
  <c r="D29" i="14"/>
  <c r="S28" i="14"/>
  <c r="R28" i="14"/>
  <c r="O28" i="14"/>
  <c r="P28" i="14" s="1"/>
  <c r="H28" i="14"/>
  <c r="G28" i="14"/>
  <c r="D28" i="14"/>
  <c r="S26" i="14"/>
  <c r="R26" i="14"/>
  <c r="O26" i="14"/>
  <c r="P26" i="14" s="1"/>
  <c r="H26" i="14"/>
  <c r="G26" i="14"/>
  <c r="D26" i="14"/>
  <c r="S25" i="14"/>
  <c r="R25" i="14"/>
  <c r="O25" i="14"/>
  <c r="P25" i="14" s="1"/>
  <c r="O23" i="14"/>
  <c r="P23" i="14" s="1"/>
  <c r="S24" i="14"/>
  <c r="R24" i="14"/>
  <c r="O24" i="14"/>
  <c r="P24" i="14" s="1"/>
  <c r="H23" i="14"/>
  <c r="G23" i="14"/>
  <c r="D23" i="14"/>
  <c r="S21" i="14"/>
  <c r="R21" i="14"/>
  <c r="O21" i="14"/>
  <c r="P21" i="14" s="1"/>
  <c r="H21" i="14"/>
  <c r="G21" i="14"/>
  <c r="D21" i="14"/>
  <c r="S22" i="14"/>
  <c r="R22" i="14"/>
  <c r="O22" i="14"/>
  <c r="P22" i="14" s="1"/>
  <c r="S20" i="14"/>
  <c r="R20" i="14"/>
  <c r="O20" i="14"/>
  <c r="P20" i="14" s="1"/>
  <c r="H20" i="14"/>
  <c r="G20" i="14"/>
  <c r="D20" i="14"/>
  <c r="S19" i="14"/>
  <c r="R19" i="14"/>
  <c r="O19" i="14"/>
  <c r="P19" i="14" s="1"/>
  <c r="H19" i="14"/>
  <c r="G19" i="14"/>
  <c r="D19" i="14"/>
  <c r="S18" i="14"/>
  <c r="R18" i="14"/>
  <c r="O18" i="14"/>
  <c r="P18" i="14" s="1"/>
  <c r="H18" i="14"/>
  <c r="G18" i="14"/>
  <c r="D18" i="14"/>
  <c r="S17" i="14"/>
  <c r="R17" i="14"/>
  <c r="O17" i="14"/>
  <c r="P17" i="14" s="1"/>
  <c r="H17" i="14"/>
  <c r="G17" i="14"/>
  <c r="D17" i="14"/>
  <c r="S16" i="14"/>
  <c r="R16" i="14"/>
  <c r="O16" i="14"/>
  <c r="P16" i="14" s="1"/>
  <c r="S15" i="14"/>
  <c r="R15" i="14"/>
  <c r="O15" i="14"/>
  <c r="P15" i="14" s="1"/>
  <c r="H15" i="14"/>
  <c r="G15" i="14"/>
  <c r="D15" i="14"/>
  <c r="S14" i="14"/>
  <c r="R14" i="14"/>
  <c r="O14" i="14"/>
  <c r="P14" i="14" s="1"/>
  <c r="H14" i="14"/>
  <c r="G14" i="14"/>
  <c r="D14" i="14"/>
  <c r="S13" i="14"/>
  <c r="R13" i="14"/>
  <c r="O13" i="14"/>
  <c r="P13" i="14" s="1"/>
  <c r="H13" i="14"/>
  <c r="G13" i="14"/>
  <c r="D13" i="14"/>
  <c r="S12" i="14"/>
  <c r="R12" i="14"/>
  <c r="O12" i="14"/>
  <c r="P12" i="14" s="1"/>
  <c r="H12" i="14"/>
  <c r="G12" i="14"/>
  <c r="D12" i="14"/>
  <c r="S11" i="14"/>
  <c r="R11" i="14"/>
  <c r="O11" i="14"/>
  <c r="P11" i="14" s="1"/>
  <c r="H11" i="14"/>
  <c r="G11" i="14"/>
  <c r="D11" i="14"/>
  <c r="S10" i="14"/>
  <c r="R10" i="14"/>
  <c r="O10" i="14"/>
  <c r="P10" i="14" s="1"/>
  <c r="H10" i="14"/>
  <c r="G10" i="14"/>
  <c r="D10" i="14"/>
  <c r="O9" i="14"/>
  <c r="P9" i="14" s="1"/>
  <c r="H9" i="14"/>
  <c r="G9" i="14"/>
  <c r="D9" i="14"/>
  <c r="S8" i="14"/>
  <c r="R8" i="14"/>
  <c r="O8" i="14"/>
  <c r="P8" i="14" s="1"/>
  <c r="H8" i="14"/>
  <c r="G8" i="14"/>
  <c r="D8" i="14"/>
  <c r="I16" i="14" l="1"/>
  <c r="T51" i="14"/>
  <c r="T34" i="14"/>
  <c r="T32" i="14"/>
  <c r="I44" i="14"/>
  <c r="I50" i="14"/>
  <c r="I8" i="14"/>
  <c r="I11" i="14"/>
  <c r="I17" i="14"/>
  <c r="T29" i="14"/>
  <c r="I35" i="14"/>
  <c r="T37" i="14"/>
  <c r="T47" i="14"/>
  <c r="T49" i="14"/>
  <c r="T9" i="14"/>
  <c r="I37" i="14"/>
  <c r="I43" i="14"/>
  <c r="T52" i="14"/>
  <c r="I31" i="14"/>
  <c r="I33" i="14"/>
  <c r="T35" i="14"/>
  <c r="I36" i="14"/>
  <c r="I41" i="14"/>
  <c r="T45" i="14"/>
  <c r="I13" i="14"/>
  <c r="T16" i="14"/>
  <c r="I18" i="14"/>
  <c r="I20" i="14"/>
  <c r="I29" i="14"/>
  <c r="I47" i="14"/>
  <c r="I21" i="14"/>
  <c r="I26" i="14"/>
  <c r="T28" i="14"/>
  <c r="T48" i="14"/>
  <c r="I39" i="14"/>
  <c r="I49" i="14"/>
  <c r="I9" i="14"/>
  <c r="I10" i="14"/>
  <c r="I12" i="14"/>
  <c r="I14" i="14"/>
  <c r="I15" i="14"/>
  <c r="I19" i="14"/>
  <c r="T25" i="14"/>
  <c r="I28" i="14"/>
  <c r="I32" i="14"/>
  <c r="I34" i="14"/>
  <c r="I38" i="14"/>
  <c r="T38" i="14"/>
  <c r="I40" i="14"/>
  <c r="I42" i="14"/>
  <c r="I45" i="14"/>
  <c r="I48" i="14"/>
  <c r="I51" i="14"/>
  <c r="I52" i="14"/>
  <c r="I23" i="14"/>
  <c r="T39" i="14"/>
  <c r="T22" i="14"/>
  <c r="T24" i="14"/>
  <c r="T14" i="14"/>
  <c r="T41" i="14"/>
  <c r="T33" i="14"/>
  <c r="T36" i="14"/>
  <c r="T43" i="14"/>
  <c r="T46" i="14"/>
  <c r="T8" i="14"/>
  <c r="T17" i="14"/>
  <c r="T21" i="14"/>
  <c r="T30" i="14"/>
  <c r="T42" i="14"/>
  <c r="T26" i="14"/>
  <c r="T31" i="14"/>
  <c r="T40" i="14"/>
  <c r="T44" i="14"/>
  <c r="T13" i="14"/>
  <c r="T15" i="14"/>
  <c r="T23" i="14"/>
  <c r="T10" i="14"/>
  <c r="T11" i="14"/>
  <c r="T12" i="14"/>
  <c r="T18" i="14"/>
  <c r="T19" i="14"/>
  <c r="T20" i="14"/>
  <c r="A77" i="13" l="1"/>
  <c r="A67" i="13"/>
  <c r="A75" i="13"/>
  <c r="A85" i="13"/>
  <c r="A91" i="13"/>
  <c r="A83" i="13"/>
  <c r="A81" i="13"/>
  <c r="A79" i="13"/>
  <c r="A95" i="13"/>
  <c r="A93" i="13"/>
  <c r="A99" i="13"/>
  <c r="A21" i="13"/>
  <c r="A55" i="13"/>
  <c r="A53" i="13"/>
  <c r="A51" i="13"/>
  <c r="A97" i="13"/>
  <c r="A49" i="13"/>
  <c r="A47" i="13"/>
  <c r="A45" i="13"/>
  <c r="A27" i="13"/>
  <c r="A25" i="13"/>
  <c r="A101" i="13"/>
  <c r="A73" i="13"/>
  <c r="A89" i="13"/>
  <c r="A103" i="13"/>
  <c r="A87" i="13"/>
  <c r="A65" i="13"/>
  <c r="A63" i="13"/>
  <c r="A61" i="13"/>
  <c r="A59" i="13"/>
  <c r="A71" i="13"/>
  <c r="A41" i="13"/>
  <c r="A39" i="13"/>
  <c r="A37" i="13"/>
  <c r="A35" i="13"/>
  <c r="A33" i="13"/>
  <c r="A31" i="13"/>
  <c r="A29" i="13"/>
  <c r="A23" i="13"/>
  <c r="A69" i="13"/>
  <c r="A57" i="13"/>
  <c r="A19" i="13"/>
  <c r="A17" i="13"/>
  <c r="A15" i="13"/>
  <c r="A13" i="13"/>
  <c r="A11" i="13"/>
  <c r="A9" i="13"/>
  <c r="A7" i="13"/>
  <c r="A5" i="13"/>
  <c r="AA721" i="11" l="1"/>
  <c r="AA720" i="11"/>
  <c r="AA719" i="11"/>
  <c r="AA718" i="11"/>
  <c r="AA717" i="11"/>
  <c r="AA716" i="11"/>
  <c r="AA715" i="11"/>
  <c r="AA714" i="11"/>
  <c r="AA712" i="11"/>
  <c r="AA711" i="11"/>
  <c r="AA710" i="11"/>
  <c r="AA709" i="11"/>
  <c r="AA708" i="11"/>
  <c r="AA707" i="11"/>
  <c r="AA706" i="11"/>
  <c r="AA705" i="11"/>
  <c r="AA703" i="11"/>
  <c r="AA702" i="11"/>
  <c r="AA701" i="11"/>
  <c r="AA700" i="11"/>
  <c r="AA699" i="11"/>
  <c r="AA698" i="11"/>
  <c r="AA697" i="11"/>
  <c r="AA696" i="11"/>
  <c r="AA694" i="11"/>
  <c r="AA693" i="11"/>
  <c r="AA692" i="11"/>
  <c r="AA691" i="11"/>
  <c r="AA690" i="11"/>
  <c r="AA689" i="11"/>
  <c r="AA688" i="11"/>
  <c r="AA687" i="11"/>
  <c r="AA685" i="11"/>
  <c r="AA684" i="11"/>
  <c r="AA683" i="11"/>
  <c r="AA682" i="11"/>
  <c r="AA681" i="11"/>
  <c r="AA680" i="11"/>
  <c r="AA679" i="11"/>
  <c r="AA678" i="11"/>
  <c r="AA676" i="11"/>
  <c r="AA675" i="11"/>
  <c r="AA674" i="11"/>
  <c r="AA673" i="11"/>
  <c r="AA672" i="11"/>
  <c r="AA671" i="11"/>
  <c r="AA670" i="11"/>
  <c r="AA669" i="11"/>
  <c r="AA667" i="11"/>
  <c r="AA666" i="11"/>
  <c r="AA665" i="11"/>
  <c r="AA664" i="11"/>
  <c r="AA663" i="11"/>
  <c r="AA662" i="11"/>
  <c r="AA661" i="11"/>
  <c r="AA660" i="11"/>
  <c r="AA659" i="11"/>
  <c r="AA657" i="11"/>
  <c r="AA656" i="11"/>
  <c r="AA655" i="11"/>
  <c r="AA654" i="11"/>
  <c r="AA653" i="11"/>
  <c r="AA652" i="11"/>
  <c r="AA651" i="11"/>
  <c r="AA650" i="11"/>
  <c r="AA649" i="11"/>
  <c r="AA647" i="11"/>
  <c r="AA646" i="11"/>
  <c r="AA645" i="11"/>
  <c r="AA644" i="11"/>
  <c r="AA643" i="11"/>
  <c r="AA642" i="11"/>
  <c r="AA641" i="11"/>
  <c r="AA640" i="11"/>
  <c r="AA639" i="11"/>
  <c r="AA637" i="11"/>
  <c r="AA636" i="11"/>
  <c r="AA635" i="11"/>
  <c r="AA634" i="11"/>
  <c r="AA633" i="11"/>
  <c r="AA632" i="11"/>
  <c r="AA631" i="11"/>
  <c r="AA630" i="11"/>
  <c r="AA629" i="11"/>
  <c r="AA627" i="11"/>
  <c r="AA626" i="11"/>
  <c r="AA625" i="11"/>
  <c r="AA624" i="11"/>
  <c r="AA623" i="11"/>
  <c r="AA622" i="11"/>
  <c r="AA621" i="11"/>
  <c r="AA620" i="11"/>
  <c r="AA619" i="11"/>
  <c r="AA617" i="11"/>
  <c r="AA616" i="11"/>
  <c r="AA615" i="11"/>
  <c r="AA614" i="11"/>
  <c r="AA613" i="11"/>
  <c r="AA612" i="11"/>
  <c r="AA611" i="11"/>
  <c r="AA610" i="11"/>
  <c r="AA609" i="11"/>
  <c r="AC1643" i="11" l="1"/>
  <c r="AC1642" i="11"/>
  <c r="AC1641" i="11"/>
  <c r="AC1640" i="11"/>
  <c r="AC1639" i="11"/>
  <c r="AC1638" i="11"/>
  <c r="AC1637" i="11"/>
  <c r="AC1636" i="11"/>
  <c r="AC1635" i="11"/>
  <c r="AC1634" i="11"/>
  <c r="AC1633" i="11"/>
  <c r="AC1632" i="11"/>
  <c r="AC1631" i="11"/>
  <c r="AC1630" i="11"/>
  <c r="AC1629" i="11"/>
  <c r="AC1627" i="11"/>
  <c r="AC1626" i="11"/>
  <c r="AC1625" i="11"/>
  <c r="AC1624" i="11"/>
  <c r="AC1623" i="11"/>
  <c r="AC1622" i="11"/>
  <c r="AC1621" i="11"/>
  <c r="AC1620" i="11"/>
  <c r="AC1619" i="11"/>
  <c r="AC1618" i="11"/>
  <c r="AC1617" i="11"/>
  <c r="AC1616" i="11"/>
  <c r="AC1615" i="11"/>
  <c r="AC1614" i="11"/>
  <c r="AC1613" i="11"/>
  <c r="AC1611" i="11"/>
  <c r="AC1610" i="11"/>
  <c r="AC1609" i="11"/>
  <c r="AC1608" i="11"/>
  <c r="AC1607" i="11"/>
  <c r="AC1606" i="11"/>
  <c r="AC1605" i="11"/>
  <c r="AC1604" i="11"/>
  <c r="AC1603" i="11"/>
  <c r="AC1602" i="11"/>
  <c r="AC1601" i="11"/>
  <c r="AC1600" i="11"/>
  <c r="AC1599" i="11"/>
  <c r="AC1598" i="11"/>
  <c r="AC1597" i="11"/>
  <c r="AC1595" i="11"/>
  <c r="AC1594" i="11"/>
  <c r="AC1593" i="11"/>
  <c r="AC1592" i="11"/>
  <c r="AC1591" i="11"/>
  <c r="AC1590" i="11"/>
  <c r="AC1589" i="11"/>
  <c r="AC1588" i="11"/>
  <c r="AC1587" i="11"/>
  <c r="AC1586" i="11"/>
  <c r="AC1585" i="11"/>
  <c r="AC1584" i="11"/>
  <c r="AC1583" i="11"/>
  <c r="AC1582" i="11"/>
  <c r="AC1581" i="11"/>
  <c r="AC1579" i="11"/>
  <c r="AC1578" i="11"/>
  <c r="AC1577" i="11"/>
  <c r="AC1576" i="11"/>
  <c r="AC1575" i="11"/>
  <c r="AC1574" i="11"/>
  <c r="AC1573" i="11"/>
  <c r="AC1572" i="11"/>
  <c r="AC1571" i="11"/>
  <c r="AC1570" i="11"/>
  <c r="AC1569" i="11"/>
  <c r="AC1568" i="11"/>
  <c r="AC1567" i="11"/>
  <c r="AC1566" i="11"/>
  <c r="AC1565" i="11"/>
  <c r="AC1563" i="11"/>
  <c r="AC1562" i="11"/>
  <c r="AC1561" i="11"/>
  <c r="AC1560" i="11"/>
  <c r="AC1559" i="11"/>
  <c r="AC1558" i="11"/>
  <c r="AC1557" i="11"/>
  <c r="AC1556" i="11"/>
  <c r="AC1555" i="11"/>
  <c r="AC1554" i="11"/>
  <c r="AC1553" i="11"/>
  <c r="AC1552" i="11"/>
  <c r="AC1551" i="11"/>
  <c r="AC1550" i="11"/>
  <c r="AC1549" i="11"/>
  <c r="AC1547" i="11"/>
  <c r="AC1546" i="11"/>
  <c r="AC1545" i="11"/>
  <c r="AC1544" i="11"/>
  <c r="AC1543" i="11"/>
  <c r="AC1542" i="11"/>
  <c r="AC1541" i="11"/>
  <c r="AC1540" i="11"/>
  <c r="AC1539" i="11"/>
  <c r="AC1538" i="11"/>
  <c r="AC1537" i="11"/>
  <c r="AC1536" i="11"/>
  <c r="AC1535" i="11"/>
  <c r="AC1534" i="11"/>
  <c r="AC1533" i="11"/>
  <c r="AC1531" i="11"/>
  <c r="AC1530" i="11"/>
  <c r="AC1529" i="11"/>
  <c r="AC1528" i="11"/>
  <c r="AC1527" i="11"/>
  <c r="AC1526" i="11"/>
  <c r="AC1525" i="11"/>
  <c r="AC1524" i="11"/>
  <c r="AC1523" i="11"/>
  <c r="AC1522" i="11"/>
  <c r="AC1521" i="11"/>
  <c r="AC1520" i="11"/>
  <c r="AC1519" i="11"/>
  <c r="AC1518" i="11"/>
  <c r="AC1517" i="11"/>
  <c r="AD607" i="11"/>
  <c r="AD606" i="11"/>
  <c r="AD605" i="11"/>
  <c r="AD604" i="11"/>
  <c r="AD603" i="11"/>
  <c r="AD602" i="11"/>
  <c r="AD600" i="11"/>
  <c r="AD599" i="11"/>
  <c r="AD598" i="11"/>
  <c r="AD597" i="11"/>
  <c r="AD596" i="11"/>
  <c r="AD595" i="11"/>
  <c r="AD593" i="11"/>
  <c r="AD592" i="11"/>
  <c r="AD591" i="11"/>
  <c r="AD590" i="11"/>
  <c r="AD589" i="11"/>
  <c r="AD588" i="11"/>
  <c r="AD586" i="11"/>
  <c r="AD585" i="11"/>
  <c r="AD584" i="11"/>
  <c r="AD583" i="11"/>
  <c r="AD582" i="11"/>
  <c r="AD581" i="11"/>
  <c r="AD579" i="11"/>
  <c r="AD578" i="11"/>
  <c r="AD577" i="11"/>
  <c r="AD576" i="11"/>
  <c r="AD575" i="11"/>
  <c r="AD574" i="11"/>
  <c r="AD572" i="11"/>
  <c r="AD571" i="11"/>
  <c r="AD570" i="11"/>
  <c r="AD569" i="11"/>
  <c r="AD568" i="11"/>
  <c r="AD567" i="11"/>
  <c r="AD565" i="11"/>
  <c r="AD564" i="11"/>
  <c r="AD563" i="11"/>
  <c r="AD562" i="11"/>
  <c r="AD561" i="11"/>
  <c r="AD560" i="11"/>
  <c r="AD558" i="11"/>
  <c r="AD557" i="11"/>
  <c r="AD556" i="11"/>
  <c r="AD555" i="11"/>
  <c r="AD554" i="11"/>
  <c r="AD553" i="11"/>
  <c r="AD551" i="11"/>
  <c r="AD550" i="11"/>
  <c r="AD549" i="11"/>
  <c r="AD548" i="11"/>
  <c r="AD547" i="11"/>
  <c r="AD546" i="11"/>
  <c r="AD544" i="11"/>
  <c r="AD543" i="11"/>
  <c r="AD542" i="11"/>
  <c r="AD541" i="11"/>
  <c r="AD540" i="11"/>
  <c r="AD539" i="11"/>
  <c r="AD537" i="11"/>
  <c r="AD536" i="11"/>
  <c r="AD535" i="11"/>
  <c r="AD534" i="11"/>
  <c r="AD533" i="11"/>
  <c r="AD532" i="11"/>
  <c r="AD530" i="11"/>
  <c r="AD529" i="11"/>
  <c r="AD528" i="11"/>
  <c r="AD527" i="11"/>
  <c r="AD526" i="11"/>
  <c r="AD525" i="11"/>
  <c r="AD523" i="11"/>
  <c r="AD522" i="11"/>
  <c r="AD521" i="11"/>
  <c r="AD520" i="11"/>
  <c r="AD519" i="11"/>
  <c r="AD518" i="11"/>
  <c r="AD516" i="11"/>
  <c r="AD515" i="11"/>
  <c r="AD514" i="11"/>
  <c r="AD513" i="11"/>
  <c r="AD512" i="11"/>
  <c r="AD511" i="11"/>
  <c r="AD509" i="11"/>
  <c r="AD508" i="11"/>
  <c r="AD507" i="11"/>
  <c r="AD506" i="11"/>
  <c r="AD505" i="11"/>
  <c r="AD504" i="11"/>
  <c r="AD502" i="11"/>
  <c r="AD501" i="11"/>
  <c r="AD500" i="11"/>
  <c r="AD499" i="11"/>
  <c r="AD498" i="11"/>
  <c r="AD497" i="11"/>
  <c r="AD496" i="11"/>
  <c r="AD495" i="11"/>
  <c r="AD494" i="11"/>
  <c r="AD493" i="11"/>
  <c r="AD491" i="11"/>
  <c r="AD490" i="11"/>
  <c r="AD489" i="11"/>
  <c r="AD488" i="11"/>
  <c r="AD487" i="11"/>
  <c r="AD486" i="11"/>
  <c r="AD485" i="11"/>
  <c r="AD484" i="11"/>
  <c r="AD483" i="11"/>
  <c r="AD482" i="11"/>
  <c r="AD480" i="11"/>
  <c r="AD479" i="11"/>
  <c r="AD478" i="11"/>
  <c r="AD477" i="11"/>
  <c r="AD476" i="11"/>
  <c r="AD475" i="11"/>
  <c r="AD473" i="11"/>
  <c r="AD472" i="11"/>
  <c r="AD470" i="11"/>
  <c r="AD469" i="11"/>
  <c r="AD468" i="11"/>
  <c r="AD467" i="11"/>
  <c r="AD466" i="11"/>
  <c r="AD465" i="11"/>
  <c r="AD1341" i="11" l="1"/>
  <c r="AD1340" i="11"/>
  <c r="AD1339" i="11"/>
  <c r="AD1338" i="11"/>
  <c r="AD1337" i="11"/>
  <c r="AD1336" i="11"/>
  <c r="AD1335" i="11"/>
  <c r="AD1334" i="11"/>
  <c r="AD1332" i="11"/>
  <c r="AD1331" i="11"/>
  <c r="AD1330" i="11"/>
  <c r="AD1329" i="11"/>
  <c r="AD1328" i="11"/>
  <c r="AD1327" i="11"/>
  <c r="AD1326" i="11"/>
  <c r="AD1325" i="11"/>
  <c r="AD1322" i="11"/>
  <c r="AD1321" i="11"/>
  <c r="AD1320" i="11"/>
  <c r="AD1319" i="11"/>
  <c r="AD1317" i="11"/>
  <c r="AD1316" i="11"/>
  <c r="AD1315" i="11"/>
  <c r="AD1314" i="11"/>
  <c r="AD1312" i="11"/>
  <c r="AD1311" i="11"/>
  <c r="AD1310" i="11"/>
  <c r="AD1309" i="11"/>
  <c r="AD1287" i="11"/>
  <c r="AD1286" i="11"/>
  <c r="AD1284" i="11"/>
  <c r="AD1283" i="11"/>
  <c r="AD1281" i="11"/>
  <c r="AD1280" i="11"/>
  <c r="AD1279" i="11"/>
  <c r="AD1278" i="11"/>
  <c r="AD1277" i="11"/>
  <c r="AD1276" i="11"/>
  <c r="AD1274" i="11"/>
  <c r="AD1273" i="11"/>
  <c r="AD1271" i="11"/>
  <c r="AD1270" i="11"/>
  <c r="AD1268" i="11"/>
  <c r="AD1267" i="11"/>
  <c r="AD1266" i="11"/>
  <c r="AD1265" i="11"/>
  <c r="AD1264" i="11"/>
  <c r="AD1263" i="11"/>
  <c r="AD1261" i="11"/>
  <c r="AD1260" i="11"/>
  <c r="AD1258" i="11"/>
  <c r="AD1257" i="11"/>
  <c r="AD1255" i="11"/>
  <c r="AD1254" i="11"/>
  <c r="AD1253" i="11"/>
  <c r="AD1252" i="11"/>
  <c r="AD1251" i="11"/>
  <c r="AD1250" i="11"/>
  <c r="AD1248" i="11"/>
  <c r="AD1247" i="11"/>
  <c r="AD1245" i="11"/>
  <c r="AD1244" i="11"/>
  <c r="AD1242" i="11"/>
  <c r="AD1241" i="11"/>
  <c r="AD1240" i="11"/>
  <c r="AD1239" i="11"/>
  <c r="AD1238" i="11"/>
  <c r="AD1237" i="11"/>
  <c r="AD1235" i="11"/>
  <c r="AD1234" i="11"/>
  <c r="AD1232" i="11"/>
  <c r="AD1231" i="11"/>
  <c r="AD1229" i="11"/>
  <c r="AD1228" i="11"/>
  <c r="AD1227" i="11"/>
  <c r="AD1226" i="11"/>
  <c r="AD1225" i="11"/>
  <c r="AD1224" i="11"/>
  <c r="AD1222" i="11"/>
  <c r="AD1221" i="11"/>
  <c r="AD1219" i="11"/>
  <c r="AD1218" i="11"/>
  <c r="AD1216" i="11"/>
  <c r="AD1215" i="11"/>
  <c r="AD1214" i="11"/>
  <c r="AD1213" i="11"/>
  <c r="AD1212" i="11"/>
  <c r="AD1211" i="11"/>
  <c r="AD1209" i="11"/>
  <c r="AD1208" i="11"/>
  <c r="AD1206" i="11"/>
  <c r="AD1205" i="11"/>
  <c r="AD1203" i="11"/>
  <c r="AD1202" i="11"/>
  <c r="AD1201" i="11"/>
  <c r="AD1200" i="11"/>
  <c r="AD1199" i="11"/>
  <c r="AD1198" i="11"/>
  <c r="AD1196" i="11"/>
  <c r="AD1195" i="11"/>
  <c r="AD1193" i="11"/>
  <c r="AD1192" i="11"/>
  <c r="AD1190" i="11"/>
  <c r="AD1189" i="11"/>
  <c r="AD1188" i="11"/>
  <c r="AD1187" i="11"/>
  <c r="AD1186" i="11"/>
  <c r="AD1185" i="11"/>
  <c r="AD1183" i="11"/>
  <c r="AD1182" i="11"/>
  <c r="AD1180" i="11"/>
  <c r="AD1179" i="11"/>
  <c r="AD1177" i="11"/>
  <c r="AD1176" i="11"/>
  <c r="AD1175" i="11"/>
  <c r="AD1174" i="11"/>
  <c r="AD1173" i="11"/>
  <c r="AD1172" i="11"/>
  <c r="AD721" i="11"/>
  <c r="AD720" i="11"/>
  <c r="AD719" i="11"/>
  <c r="AD718" i="11"/>
  <c r="AD717" i="11"/>
  <c r="AD716" i="11"/>
  <c r="AD715" i="11"/>
  <c r="AD714" i="11"/>
  <c r="AD712" i="11"/>
  <c r="AD711" i="11"/>
  <c r="AD710" i="11"/>
  <c r="AD709" i="11"/>
  <c r="AD708" i="11"/>
  <c r="AD707" i="11"/>
  <c r="AD706" i="11"/>
  <c r="AD705" i="11"/>
  <c r="AD703" i="11"/>
  <c r="AD702" i="11"/>
  <c r="AD701" i="11"/>
  <c r="AD700" i="11"/>
  <c r="AD699" i="11"/>
  <c r="AD698" i="11"/>
  <c r="AD697" i="11"/>
  <c r="AD696" i="11"/>
  <c r="AD694" i="11"/>
  <c r="AD693" i="11"/>
  <c r="AD692" i="11"/>
  <c r="AD691" i="11"/>
  <c r="AD690" i="11"/>
  <c r="AD689" i="11"/>
  <c r="AD688" i="11"/>
  <c r="AD687" i="11"/>
  <c r="AD685" i="11"/>
  <c r="AD684" i="11"/>
  <c r="AD683" i="11"/>
  <c r="AD682" i="11"/>
  <c r="AD681" i="11"/>
  <c r="AD680" i="11"/>
  <c r="AD679" i="11"/>
  <c r="AD678" i="11"/>
  <c r="AD676" i="11"/>
  <c r="AD675" i="11"/>
  <c r="AD674" i="11"/>
  <c r="AD673" i="11"/>
  <c r="AD672" i="11"/>
  <c r="AD671" i="11"/>
  <c r="AD670" i="11"/>
  <c r="AD669" i="11"/>
  <c r="AD667" i="11"/>
  <c r="AD666" i="11"/>
  <c r="AD665" i="11"/>
  <c r="AD664" i="11"/>
  <c r="AD663" i="11"/>
  <c r="AD662" i="11"/>
  <c r="AD661" i="11"/>
  <c r="AD660" i="11"/>
  <c r="AD659" i="11"/>
  <c r="AD657" i="11"/>
  <c r="AD656" i="11"/>
  <c r="AD655" i="11"/>
  <c r="AD654" i="11"/>
  <c r="AD653" i="11"/>
  <c r="AD652" i="11"/>
  <c r="AD651" i="11"/>
  <c r="AD650" i="11"/>
  <c r="AD649" i="11"/>
  <c r="AD647" i="11"/>
  <c r="AD646" i="11"/>
  <c r="AD645" i="11"/>
  <c r="AD644" i="11"/>
  <c r="AD643" i="11"/>
  <c r="AD642" i="11"/>
  <c r="AD641" i="11"/>
  <c r="AD640" i="11"/>
  <c r="AD639" i="11"/>
  <c r="AD637" i="11"/>
  <c r="AD636" i="11"/>
  <c r="AD635" i="11"/>
  <c r="AD634" i="11"/>
  <c r="AD633" i="11"/>
  <c r="AD632" i="11"/>
  <c r="AD631" i="11"/>
  <c r="AD630" i="11"/>
  <c r="AD629" i="11"/>
  <c r="AD627" i="11"/>
  <c r="AD626" i="11"/>
  <c r="AD625" i="11"/>
  <c r="AD624" i="11"/>
  <c r="AD623" i="11"/>
  <c r="AD622" i="11"/>
  <c r="AD621" i="11"/>
  <c r="AD620" i="11"/>
  <c r="AD619" i="11"/>
  <c r="AD617" i="11"/>
  <c r="AD616" i="11"/>
  <c r="AD615" i="11"/>
  <c r="AD614" i="11"/>
  <c r="AD613" i="11"/>
  <c r="AD612" i="11"/>
  <c r="AD611" i="11"/>
  <c r="AD610" i="11"/>
  <c r="AD609" i="11"/>
  <c r="AD463" i="11"/>
  <c r="AD462" i="11"/>
  <c r="AD461" i="11"/>
  <c r="AD460" i="11"/>
  <c r="AD458" i="11"/>
  <c r="AD457" i="11"/>
  <c r="AD456" i="11"/>
  <c r="AD455" i="11"/>
  <c r="AD453" i="11"/>
  <c r="AD452" i="11"/>
  <c r="AD451" i="11"/>
  <c r="AD450" i="11"/>
  <c r="T448" i="11" l="1"/>
  <c r="T447" i="11"/>
  <c r="T446" i="11"/>
  <c r="T445" i="11"/>
  <c r="T444" i="11"/>
  <c r="T443" i="11"/>
  <c r="W1676" i="11"/>
  <c r="T1676" i="11"/>
  <c r="W1675" i="11"/>
  <c r="T1675" i="11"/>
  <c r="W1674" i="11"/>
  <c r="T1674" i="11"/>
  <c r="W1673" i="11"/>
  <c r="T1673" i="11"/>
  <c r="W1671" i="11"/>
  <c r="T1671" i="11"/>
  <c r="W1670" i="11"/>
  <c r="V1670" i="11"/>
  <c r="T1670" i="11"/>
  <c r="W1669" i="11"/>
  <c r="T1669" i="11"/>
  <c r="W1668" i="11"/>
  <c r="T1668" i="11"/>
  <c r="W1667" i="11"/>
  <c r="T1667" i="11"/>
  <c r="T1666" i="11"/>
  <c r="W1664" i="11"/>
  <c r="T1664" i="11"/>
  <c r="W1663" i="11"/>
  <c r="V1663" i="11"/>
  <c r="T1663" i="11"/>
  <c r="W1662" i="11"/>
  <c r="T1662" i="11"/>
  <c r="W1661" i="11"/>
  <c r="T1661" i="11"/>
  <c r="W1660" i="11"/>
  <c r="T1660" i="11"/>
  <c r="T1659" i="11"/>
  <c r="W1657" i="11"/>
  <c r="T1657" i="11"/>
  <c r="AX1656" i="11"/>
  <c r="AX1657" i="11" s="1"/>
  <c r="AU1656" i="11"/>
  <c r="AU1657" i="11" s="1"/>
  <c r="AR1656" i="11"/>
  <c r="AR1657" i="11" s="1"/>
  <c r="W1656" i="11"/>
  <c r="V1656" i="11"/>
  <c r="T1656" i="11"/>
  <c r="AX1655" i="11"/>
  <c r="AU1655" i="11"/>
  <c r="AR1655" i="11"/>
  <c r="W1655" i="11"/>
  <c r="T1655" i="11"/>
  <c r="AX1654" i="11"/>
  <c r="AU1654" i="11"/>
  <c r="AR1654" i="11"/>
  <c r="W1654" i="11"/>
  <c r="T1654" i="11"/>
  <c r="AX1653" i="11"/>
  <c r="AU1653" i="11"/>
  <c r="AR1653" i="11"/>
  <c r="W1653" i="11"/>
  <c r="T1653" i="11"/>
  <c r="AX1652" i="11"/>
  <c r="AU1652" i="11"/>
  <c r="AR1652" i="11"/>
  <c r="T1652" i="11"/>
  <c r="W1650" i="11"/>
  <c r="T1650" i="11"/>
  <c r="AX1649" i="11"/>
  <c r="AX1650" i="11" s="1"/>
  <c r="AU1649" i="11"/>
  <c r="AR1649" i="11"/>
  <c r="AR1650" i="11" s="1"/>
  <c r="W1649" i="11"/>
  <c r="V1649" i="11"/>
  <c r="T1649" i="11"/>
  <c r="AX1648" i="11"/>
  <c r="AU1648" i="11"/>
  <c r="AR1648" i="11"/>
  <c r="W1648" i="11"/>
  <c r="T1648" i="11"/>
  <c r="AX1647" i="11"/>
  <c r="AU1647" i="11"/>
  <c r="AR1647" i="11"/>
  <c r="W1647" i="11"/>
  <c r="T1647" i="11"/>
  <c r="AX1646" i="11"/>
  <c r="AU1646" i="11"/>
  <c r="AR1646" i="11"/>
  <c r="W1646" i="11"/>
  <c r="T1646" i="11"/>
  <c r="AX1645" i="11"/>
  <c r="AU1645" i="11"/>
  <c r="AR1645" i="11"/>
  <c r="T1645" i="11"/>
  <c r="Y1643" i="11"/>
  <c r="W1643" i="11" s="1"/>
  <c r="V1643" i="11"/>
  <c r="T1643" i="11" s="1"/>
  <c r="W1642" i="11"/>
  <c r="T1642" i="11"/>
  <c r="W1641" i="11"/>
  <c r="T1641" i="11"/>
  <c r="Y1640" i="11"/>
  <c r="W1640" i="11" s="1"/>
  <c r="V1640" i="11"/>
  <c r="T1640" i="11" s="1"/>
  <c r="W1639" i="11"/>
  <c r="T1639" i="11"/>
  <c r="W1638" i="11"/>
  <c r="T1638" i="11"/>
  <c r="W1637" i="11"/>
  <c r="T1637" i="11"/>
  <c r="W1636" i="11"/>
  <c r="T1636" i="11"/>
  <c r="W1635" i="11"/>
  <c r="T1635" i="11"/>
  <c r="W1634" i="11"/>
  <c r="T1634" i="11"/>
  <c r="W1633" i="11"/>
  <c r="T1633" i="11"/>
  <c r="W1632" i="11"/>
  <c r="T1632" i="11"/>
  <c r="W1631" i="11"/>
  <c r="T1631" i="11"/>
  <c r="R1631" i="11"/>
  <c r="AX1629" i="11"/>
  <c r="AX1630" i="11" s="1"/>
  <c r="AU1629" i="11"/>
  <c r="AU1630" i="11" s="1"/>
  <c r="AR1629" i="11"/>
  <c r="AR1630" i="11" s="1"/>
  <c r="Y1627" i="11"/>
  <c r="W1627" i="11" s="1"/>
  <c r="V1627" i="11"/>
  <c r="T1627" i="11" s="1"/>
  <c r="W1626" i="11"/>
  <c r="T1626" i="11"/>
  <c r="W1625" i="11"/>
  <c r="T1625" i="11"/>
  <c r="Y1624" i="11"/>
  <c r="W1624" i="11" s="1"/>
  <c r="V1624" i="11"/>
  <c r="T1624" i="11" s="1"/>
  <c r="W1623" i="11"/>
  <c r="T1623" i="11"/>
  <c r="W1622" i="11"/>
  <c r="T1622" i="11"/>
  <c r="W1621" i="11"/>
  <c r="T1621" i="11"/>
  <c r="W1620" i="11"/>
  <c r="T1620" i="11"/>
  <c r="W1619" i="11"/>
  <c r="T1619" i="11"/>
  <c r="W1618" i="11"/>
  <c r="T1618" i="11"/>
  <c r="W1617" i="11"/>
  <c r="T1617" i="11"/>
  <c r="W1616" i="11"/>
  <c r="T1616" i="11"/>
  <c r="W1615" i="11"/>
  <c r="T1615" i="11"/>
  <c r="R1615" i="11"/>
  <c r="R1616" i="11" s="1"/>
  <c r="R1617" i="11" s="1"/>
  <c r="P1617" i="11" s="1"/>
  <c r="AX1613" i="11"/>
  <c r="AX1614" i="11" s="1"/>
  <c r="AX1615" i="11" s="1"/>
  <c r="AU1613" i="11"/>
  <c r="AU1614" i="11" s="1"/>
  <c r="AR1613" i="11"/>
  <c r="AR1614" i="11" s="1"/>
  <c r="AR1615" i="11" s="1"/>
  <c r="W1611" i="11"/>
  <c r="V1611" i="11"/>
  <c r="T1611" i="11" s="1"/>
  <c r="W1610" i="11"/>
  <c r="T1610" i="11"/>
  <c r="W1609" i="11"/>
  <c r="T1609" i="11"/>
  <c r="W1608" i="11"/>
  <c r="T1608" i="11"/>
  <c r="W1607" i="11"/>
  <c r="T1607" i="11"/>
  <c r="W1606" i="11"/>
  <c r="T1606" i="11"/>
  <c r="W1605" i="11"/>
  <c r="T1605" i="11"/>
  <c r="W1604" i="11"/>
  <c r="T1604" i="11"/>
  <c r="W1603" i="11"/>
  <c r="T1603" i="11"/>
  <c r="W1602" i="11"/>
  <c r="T1602" i="11"/>
  <c r="W1601" i="11"/>
  <c r="T1601" i="11"/>
  <c r="W1600" i="11"/>
  <c r="T1600" i="11"/>
  <c r="W1599" i="11"/>
  <c r="T1599" i="11"/>
  <c r="R1599" i="11"/>
  <c r="P1599" i="11" s="1"/>
  <c r="Y1595" i="11"/>
  <c r="W1595" i="11" s="1"/>
  <c r="V1595" i="11"/>
  <c r="T1595" i="11" s="1"/>
  <c r="W1594" i="11"/>
  <c r="T1594" i="11"/>
  <c r="W1593" i="11"/>
  <c r="T1593" i="11"/>
  <c r="W1592" i="11"/>
  <c r="T1592" i="11"/>
  <c r="W1591" i="11"/>
  <c r="T1591" i="11"/>
  <c r="W1590" i="11"/>
  <c r="T1590" i="11"/>
  <c r="W1589" i="11"/>
  <c r="T1589" i="11"/>
  <c r="W1588" i="11"/>
  <c r="T1588" i="11"/>
  <c r="W1587" i="11"/>
  <c r="T1587" i="11"/>
  <c r="W1586" i="11"/>
  <c r="T1586" i="11"/>
  <c r="W1585" i="11"/>
  <c r="T1585" i="11"/>
  <c r="W1584" i="11"/>
  <c r="T1584" i="11"/>
  <c r="W1583" i="11"/>
  <c r="T1583" i="11"/>
  <c r="R1583" i="11"/>
  <c r="R1584" i="11" s="1"/>
  <c r="Y1579" i="11"/>
  <c r="W1579" i="11" s="1"/>
  <c r="V1579" i="11"/>
  <c r="T1579" i="11" s="1"/>
  <c r="W1578" i="11"/>
  <c r="T1578" i="11"/>
  <c r="W1577" i="11"/>
  <c r="T1577" i="11"/>
  <c r="W1576" i="11"/>
  <c r="T1576" i="11"/>
  <c r="W1575" i="11"/>
  <c r="T1575" i="11"/>
  <c r="Y1574" i="11"/>
  <c r="W1574" i="11" s="1"/>
  <c r="V1574" i="11"/>
  <c r="T1574" i="11" s="1"/>
  <c r="W1573" i="11"/>
  <c r="T1573" i="11"/>
  <c r="W1572" i="11"/>
  <c r="T1572" i="11"/>
  <c r="W1571" i="11"/>
  <c r="T1571" i="11"/>
  <c r="W1570" i="11"/>
  <c r="T1570" i="11"/>
  <c r="W1569" i="11"/>
  <c r="T1569" i="11"/>
  <c r="W1568" i="11"/>
  <c r="T1568" i="11"/>
  <c r="W1567" i="11"/>
  <c r="T1567" i="11"/>
  <c r="R1567" i="11"/>
  <c r="R1568" i="11" s="1"/>
  <c r="AX1565" i="11"/>
  <c r="AX1566" i="11" s="1"/>
  <c r="AU1565" i="11"/>
  <c r="AU1566" i="11" s="1"/>
  <c r="AU1567" i="11" s="1"/>
  <c r="AR1565" i="11"/>
  <c r="W1563" i="11"/>
  <c r="T1563" i="11"/>
  <c r="W1562" i="11"/>
  <c r="T1562" i="11"/>
  <c r="W1561" i="11"/>
  <c r="T1561" i="11"/>
  <c r="W1560" i="11"/>
  <c r="T1560" i="11"/>
  <c r="W1559" i="11"/>
  <c r="T1559" i="11"/>
  <c r="W1558" i="11"/>
  <c r="T1558" i="11"/>
  <c r="W1557" i="11"/>
  <c r="T1557" i="11"/>
  <c r="W1556" i="11"/>
  <c r="T1556" i="11"/>
  <c r="W1555" i="11"/>
  <c r="T1555" i="11"/>
  <c r="W1554" i="11"/>
  <c r="T1554" i="11"/>
  <c r="W1553" i="11"/>
  <c r="T1553" i="11"/>
  <c r="W1552" i="11"/>
  <c r="T1552" i="11"/>
  <c r="W1551" i="11"/>
  <c r="T1551" i="11"/>
  <c r="R1551" i="11"/>
  <c r="R1552" i="11" s="1"/>
  <c r="AX1549" i="11"/>
  <c r="AX1550" i="11" s="1"/>
  <c r="AX1551" i="11" s="1"/>
  <c r="AU1549" i="11"/>
  <c r="AU1550" i="11" s="1"/>
  <c r="AR1549" i="11"/>
  <c r="AR1550" i="11" s="1"/>
  <c r="AR1551" i="11" s="1"/>
  <c r="W1547" i="11"/>
  <c r="T1547" i="11"/>
  <c r="W1546" i="11"/>
  <c r="T1546" i="11"/>
  <c r="W1545" i="11"/>
  <c r="T1545" i="11"/>
  <c r="W1544" i="11"/>
  <c r="T1544" i="11"/>
  <c r="W1543" i="11"/>
  <c r="T1543" i="11"/>
  <c r="W1542" i="11"/>
  <c r="T1542" i="11"/>
  <c r="W1541" i="11"/>
  <c r="T1541" i="11"/>
  <c r="W1540" i="11"/>
  <c r="T1540" i="11"/>
  <c r="W1539" i="11"/>
  <c r="T1539" i="11"/>
  <c r="W1538" i="11"/>
  <c r="T1538" i="11"/>
  <c r="W1537" i="11"/>
  <c r="T1537" i="11"/>
  <c r="W1536" i="11"/>
  <c r="T1536" i="11"/>
  <c r="W1535" i="11"/>
  <c r="T1535" i="11"/>
  <c r="R1535" i="11"/>
  <c r="P1535" i="11" s="1"/>
  <c r="W1531" i="11"/>
  <c r="T1531" i="11"/>
  <c r="W1530" i="11"/>
  <c r="T1530" i="11"/>
  <c r="W1529" i="11"/>
  <c r="T1529" i="11"/>
  <c r="W1528" i="11"/>
  <c r="T1528" i="11"/>
  <c r="W1527" i="11"/>
  <c r="T1527" i="11"/>
  <c r="W1526" i="11"/>
  <c r="T1526" i="11"/>
  <c r="W1525" i="11"/>
  <c r="T1525" i="11"/>
  <c r="W1524" i="11"/>
  <c r="T1524" i="11"/>
  <c r="W1523" i="11"/>
  <c r="T1523" i="11"/>
  <c r="W1522" i="11"/>
  <c r="T1522" i="11"/>
  <c r="W1521" i="11"/>
  <c r="T1521" i="11"/>
  <c r="W1520" i="11"/>
  <c r="T1520" i="11"/>
  <c r="W1519" i="11"/>
  <c r="T1519" i="11"/>
  <c r="R1519" i="11"/>
  <c r="R1520" i="11" s="1"/>
  <c r="BS1514" i="11"/>
  <c r="AX1514" i="11"/>
  <c r="AU1514" i="11"/>
  <c r="AR1514" i="11"/>
  <c r="P1514" i="11"/>
  <c r="T1514" i="11" s="1"/>
  <c r="BS1513" i="11"/>
  <c r="AX1513" i="11"/>
  <c r="AU1513" i="11"/>
  <c r="AR1513" i="11"/>
  <c r="P1513" i="11"/>
  <c r="T1513" i="11" s="1"/>
  <c r="BS1512" i="11"/>
  <c r="AX1512" i="11"/>
  <c r="AU1512" i="11"/>
  <c r="AR1512" i="11"/>
  <c r="P1512" i="11"/>
  <c r="T1512" i="11" s="1"/>
  <c r="BS1511" i="11"/>
  <c r="P1511" i="11"/>
  <c r="T1511" i="11" s="1"/>
  <c r="BS1510" i="11"/>
  <c r="P1510" i="11"/>
  <c r="T1510" i="11" s="1"/>
  <c r="BS1508" i="11"/>
  <c r="AX1508" i="11"/>
  <c r="AU1508" i="11"/>
  <c r="AR1508" i="11"/>
  <c r="P1508" i="11"/>
  <c r="T1508" i="11" s="1"/>
  <c r="BS1507" i="11"/>
  <c r="AX1507" i="11"/>
  <c r="AU1507" i="11"/>
  <c r="AR1507" i="11"/>
  <c r="P1507" i="11"/>
  <c r="T1507" i="11" s="1"/>
  <c r="BS1506" i="11"/>
  <c r="AX1506" i="11"/>
  <c r="AU1506" i="11"/>
  <c r="AR1506" i="11"/>
  <c r="P1506" i="11"/>
  <c r="T1506" i="11" s="1"/>
  <c r="BS1505" i="11"/>
  <c r="P1505" i="11"/>
  <c r="T1505" i="11" s="1"/>
  <c r="BS1504" i="11"/>
  <c r="P1504" i="11"/>
  <c r="T1504" i="11" s="1"/>
  <c r="T1501" i="11"/>
  <c r="T1500" i="11"/>
  <c r="T1499" i="11"/>
  <c r="AA1496" i="11"/>
  <c r="O1496" i="11"/>
  <c r="W1496" i="11" s="1"/>
  <c r="AA1495" i="11"/>
  <c r="O1495" i="11"/>
  <c r="W1495" i="11" s="1"/>
  <c r="AA1494" i="11"/>
  <c r="O1494" i="11"/>
  <c r="W1494" i="11" s="1"/>
  <c r="AA1493" i="11"/>
  <c r="O1493" i="11"/>
  <c r="W1493" i="11" s="1"/>
  <c r="AA1492" i="11"/>
  <c r="O1492" i="11"/>
  <c r="W1492" i="11" s="1"/>
  <c r="AA1491" i="11"/>
  <c r="O1491" i="11"/>
  <c r="W1491" i="11" s="1"/>
  <c r="AA1490" i="11"/>
  <c r="O1490" i="11"/>
  <c r="W1490" i="11" s="1"/>
  <c r="AA1489" i="11"/>
  <c r="O1489" i="11"/>
  <c r="W1489" i="11" s="1"/>
  <c r="AA1488" i="11"/>
  <c r="O1488" i="11"/>
  <c r="W1488" i="11" s="1"/>
  <c r="AA1487" i="11"/>
  <c r="R1487" i="11"/>
  <c r="R1488" i="11" s="1"/>
  <c r="O1487" i="11"/>
  <c r="W1487" i="11" s="1"/>
  <c r="AA1485" i="11"/>
  <c r="O1485" i="11"/>
  <c r="W1485" i="11" s="1"/>
  <c r="AA1484" i="11"/>
  <c r="O1484" i="11"/>
  <c r="W1484" i="11" s="1"/>
  <c r="AA1483" i="11"/>
  <c r="O1483" i="11"/>
  <c r="W1483" i="11" s="1"/>
  <c r="AA1482" i="11"/>
  <c r="O1482" i="11"/>
  <c r="W1482" i="11" s="1"/>
  <c r="AA1481" i="11"/>
  <c r="O1481" i="11"/>
  <c r="W1481" i="11" s="1"/>
  <c r="AA1480" i="11"/>
  <c r="O1480" i="11"/>
  <c r="W1480" i="11" s="1"/>
  <c r="AA1479" i="11"/>
  <c r="O1479" i="11"/>
  <c r="W1479" i="11" s="1"/>
  <c r="AA1478" i="11"/>
  <c r="O1478" i="11"/>
  <c r="W1478" i="11" s="1"/>
  <c r="AA1477" i="11"/>
  <c r="O1477" i="11"/>
  <c r="W1477" i="11" s="1"/>
  <c r="AA1476" i="11"/>
  <c r="R1476" i="11"/>
  <c r="R1477" i="11" s="1"/>
  <c r="O1476" i="11"/>
  <c r="W1476" i="11" s="1"/>
  <c r="AA1474" i="11"/>
  <c r="O1474" i="11"/>
  <c r="W1474" i="11" s="1"/>
  <c r="AA1473" i="11"/>
  <c r="O1473" i="11"/>
  <c r="W1473" i="11" s="1"/>
  <c r="AA1472" i="11"/>
  <c r="O1472" i="11"/>
  <c r="W1472" i="11" s="1"/>
  <c r="AA1471" i="11"/>
  <c r="O1471" i="11"/>
  <c r="W1471" i="11" s="1"/>
  <c r="AA1470" i="11"/>
  <c r="O1470" i="11"/>
  <c r="W1470" i="11" s="1"/>
  <c r="AA1469" i="11"/>
  <c r="O1469" i="11"/>
  <c r="W1469" i="11" s="1"/>
  <c r="AA1468" i="11"/>
  <c r="O1468" i="11"/>
  <c r="W1468" i="11" s="1"/>
  <c r="AA1467" i="11"/>
  <c r="O1467" i="11"/>
  <c r="W1467" i="11" s="1"/>
  <c r="AA1466" i="11"/>
  <c r="O1466" i="11"/>
  <c r="W1466" i="11" s="1"/>
  <c r="AX1465" i="11"/>
  <c r="AX1466" i="11" s="1"/>
  <c r="AX1467" i="11" s="1"/>
  <c r="AU1465" i="11"/>
  <c r="AR1465" i="11"/>
  <c r="AR1466" i="11" s="1"/>
  <c r="AR1467" i="11" s="1"/>
  <c r="AA1465" i="11"/>
  <c r="R1465" i="11"/>
  <c r="R1466" i="11" s="1"/>
  <c r="R1467" i="11" s="1"/>
  <c r="O1465" i="11"/>
  <c r="W1465" i="11" s="1"/>
  <c r="AA1463" i="11"/>
  <c r="O1463" i="11"/>
  <c r="W1463" i="11" s="1"/>
  <c r="AA1462" i="11"/>
  <c r="O1462" i="11"/>
  <c r="W1462" i="11" s="1"/>
  <c r="AA1461" i="11"/>
  <c r="O1461" i="11"/>
  <c r="W1461" i="11" s="1"/>
  <c r="AA1460" i="11"/>
  <c r="O1460" i="11"/>
  <c r="W1460" i="11" s="1"/>
  <c r="AA1459" i="11"/>
  <c r="O1459" i="11"/>
  <c r="W1459" i="11" s="1"/>
  <c r="AA1458" i="11"/>
  <c r="O1458" i="11"/>
  <c r="W1458" i="11" s="1"/>
  <c r="AA1457" i="11"/>
  <c r="O1457" i="11"/>
  <c r="W1457" i="11" s="1"/>
  <c r="AA1456" i="11"/>
  <c r="O1456" i="11"/>
  <c r="W1456" i="11" s="1"/>
  <c r="AA1455" i="11"/>
  <c r="O1455" i="11"/>
  <c r="W1455" i="11" s="1"/>
  <c r="AX1454" i="11"/>
  <c r="AX1455" i="11" s="1"/>
  <c r="AX1456" i="11" s="1"/>
  <c r="AU1454" i="11"/>
  <c r="AR1454" i="11"/>
  <c r="AR1455" i="11" s="1"/>
  <c r="AR1456" i="11" s="1"/>
  <c r="AA1454" i="11"/>
  <c r="R1454" i="11"/>
  <c r="R1455" i="11" s="1"/>
  <c r="R1456" i="11" s="1"/>
  <c r="O1454" i="11"/>
  <c r="W1454" i="11" s="1"/>
  <c r="T1451" i="11"/>
  <c r="T1449" i="11"/>
  <c r="T1448" i="11"/>
  <c r="T1445" i="11"/>
  <c r="T1443" i="11"/>
  <c r="T1442" i="11"/>
  <c r="AX1441" i="11"/>
  <c r="AU1441" i="11"/>
  <c r="AR1441" i="11"/>
  <c r="T1439" i="11"/>
  <c r="T1437" i="11"/>
  <c r="T1436" i="11"/>
  <c r="T1433" i="11"/>
  <c r="T1431" i="11"/>
  <c r="T1430" i="11"/>
  <c r="AX1429" i="11"/>
  <c r="AX1430" i="11" s="1"/>
  <c r="AX1431" i="11" s="1"/>
  <c r="AU1429" i="11"/>
  <c r="AR1429" i="11"/>
  <c r="AR1430" i="11" s="1"/>
  <c r="T1427" i="11"/>
  <c r="T1425" i="11"/>
  <c r="T1424" i="11"/>
  <c r="T1421" i="11"/>
  <c r="T1419" i="11"/>
  <c r="T1418" i="11"/>
  <c r="AX1417" i="11"/>
  <c r="AU1417" i="11"/>
  <c r="AU1418" i="11" s="1"/>
  <c r="AR1417" i="11"/>
  <c r="T1417" i="11"/>
  <c r="T1415" i="11"/>
  <c r="T1413" i="11"/>
  <c r="T1412" i="11"/>
  <c r="T1409" i="11"/>
  <c r="T1407" i="11"/>
  <c r="T1406" i="11"/>
  <c r="AX1405" i="11"/>
  <c r="AU1405" i="11"/>
  <c r="AU1406" i="11" s="1"/>
  <c r="AR1405" i="11"/>
  <c r="P1401" i="11"/>
  <c r="T1401" i="11" s="1"/>
  <c r="P1400" i="11"/>
  <c r="T1400" i="11" s="1"/>
  <c r="P1399" i="11"/>
  <c r="T1399" i="11" s="1"/>
  <c r="P1398" i="11"/>
  <c r="T1398" i="11" s="1"/>
  <c r="P1397" i="11"/>
  <c r="T1397" i="11" s="1"/>
  <c r="P1395" i="11"/>
  <c r="P1394" i="11"/>
  <c r="T1394" i="11" s="1"/>
  <c r="P1393" i="11"/>
  <c r="T1393" i="11" s="1"/>
  <c r="P1392" i="11"/>
  <c r="T1392" i="11" s="1"/>
  <c r="P1391" i="11"/>
  <c r="W1391" i="11" s="1"/>
  <c r="P1389" i="11"/>
  <c r="T1389" i="11" s="1"/>
  <c r="P1388" i="11"/>
  <c r="T1388" i="11" s="1"/>
  <c r="P1387" i="11"/>
  <c r="T1387" i="11" s="1"/>
  <c r="P1386" i="11"/>
  <c r="T1386" i="11" s="1"/>
  <c r="P1385" i="11"/>
  <c r="P1383" i="11"/>
  <c r="T1383" i="11" s="1"/>
  <c r="P1382" i="11"/>
  <c r="T1382" i="11" s="1"/>
  <c r="P1381" i="11"/>
  <c r="T1381" i="11" s="1"/>
  <c r="P1380" i="11"/>
  <c r="T1380" i="11" s="1"/>
  <c r="P1379" i="11"/>
  <c r="T1379" i="11" s="1"/>
  <c r="P1377" i="11"/>
  <c r="T1377" i="11" s="1"/>
  <c r="P1376" i="11"/>
  <c r="T1376" i="11" s="1"/>
  <c r="P1375" i="11"/>
  <c r="T1375" i="11" s="1"/>
  <c r="P1374" i="11"/>
  <c r="T1374" i="11" s="1"/>
  <c r="P1373" i="11"/>
  <c r="P1371" i="11"/>
  <c r="T1371" i="11" s="1"/>
  <c r="P1370" i="11"/>
  <c r="T1370" i="11" s="1"/>
  <c r="P1369" i="11"/>
  <c r="T1369" i="11" s="1"/>
  <c r="P1368" i="11"/>
  <c r="T1368" i="11" s="1"/>
  <c r="P1367" i="11"/>
  <c r="W1367" i="11" s="1"/>
  <c r="P1365" i="11"/>
  <c r="T1365" i="11" s="1"/>
  <c r="P1364" i="11"/>
  <c r="T1364" i="11" s="1"/>
  <c r="P1363" i="11"/>
  <c r="T1363" i="11" s="1"/>
  <c r="P1362" i="11"/>
  <c r="T1362" i="11" s="1"/>
  <c r="P1361" i="11"/>
  <c r="T1361" i="11" s="1"/>
  <c r="P1359" i="11"/>
  <c r="T1359" i="11" s="1"/>
  <c r="P1358" i="11"/>
  <c r="T1358" i="11" s="1"/>
  <c r="P1357" i="11"/>
  <c r="T1357" i="11" s="1"/>
  <c r="P1356" i="11"/>
  <c r="T1356" i="11" s="1"/>
  <c r="P1355" i="11"/>
  <c r="T1355" i="11" s="1"/>
  <c r="P1353" i="11"/>
  <c r="T1353" i="11" s="1"/>
  <c r="P1352" i="11"/>
  <c r="T1352" i="11" s="1"/>
  <c r="P1351" i="11"/>
  <c r="T1351" i="11" s="1"/>
  <c r="P1350" i="11"/>
  <c r="P1349" i="11"/>
  <c r="P1347" i="11"/>
  <c r="T1347" i="11" s="1"/>
  <c r="P1346" i="11"/>
  <c r="T1346" i="11" s="1"/>
  <c r="P1345" i="11"/>
  <c r="T1345" i="11" s="1"/>
  <c r="P1344" i="11"/>
  <c r="T1344" i="11" s="1"/>
  <c r="P1343" i="11"/>
  <c r="T1343" i="11" s="1"/>
  <c r="BS1341" i="11"/>
  <c r="W1341" i="11"/>
  <c r="T1341" i="11"/>
  <c r="BS1340" i="11"/>
  <c r="T1340" i="11"/>
  <c r="BS1339" i="11"/>
  <c r="W1339" i="11"/>
  <c r="T1339" i="11"/>
  <c r="BS1338" i="11"/>
  <c r="T1338" i="11"/>
  <c r="BS1337" i="11"/>
  <c r="W1337" i="11"/>
  <c r="T1337" i="11"/>
  <c r="BS1336" i="11"/>
  <c r="T1336" i="11"/>
  <c r="BS1335" i="11"/>
  <c r="W1335" i="11"/>
  <c r="T1335" i="11"/>
  <c r="BS1334" i="11"/>
  <c r="T1334" i="11"/>
  <c r="CZ1333" i="11"/>
  <c r="CZ1332" i="11"/>
  <c r="BS1332" i="11"/>
  <c r="W1332" i="11"/>
  <c r="T1332" i="11"/>
  <c r="CZ1331" i="11"/>
  <c r="BS1331" i="11"/>
  <c r="T1331" i="11"/>
  <c r="CZ1330" i="11"/>
  <c r="BS1330" i="11"/>
  <c r="W1330" i="11"/>
  <c r="T1330" i="11"/>
  <c r="CZ1329" i="11"/>
  <c r="BS1329" i="11"/>
  <c r="T1329" i="11"/>
  <c r="CZ1328" i="11"/>
  <c r="BS1328" i="11"/>
  <c r="W1328" i="11"/>
  <c r="T1328" i="11"/>
  <c r="CZ1327" i="11"/>
  <c r="BS1327" i="11"/>
  <c r="T1327" i="11"/>
  <c r="CZ1326" i="11"/>
  <c r="BS1326" i="11"/>
  <c r="W1326" i="11"/>
  <c r="T1326" i="11"/>
  <c r="BS1325" i="11"/>
  <c r="T1325" i="11"/>
  <c r="P1322" i="11"/>
  <c r="P1321" i="11"/>
  <c r="P1320" i="11"/>
  <c r="P1319" i="11"/>
  <c r="P1317" i="11"/>
  <c r="P1316" i="11"/>
  <c r="P1315" i="11"/>
  <c r="P1314" i="11"/>
  <c r="P1312" i="11"/>
  <c r="P1311" i="11"/>
  <c r="P1310" i="11"/>
  <c r="P1309" i="11"/>
  <c r="W1307" i="11"/>
  <c r="T1307" i="11"/>
  <c r="AR1306" i="11"/>
  <c r="AR1307" i="11" s="1"/>
  <c r="W1306" i="11"/>
  <c r="T1306" i="11"/>
  <c r="T1305" i="11"/>
  <c r="W1303" i="11"/>
  <c r="T1303" i="11"/>
  <c r="AR1302" i="11"/>
  <c r="W1302" i="11"/>
  <c r="T1302" i="11"/>
  <c r="T1301" i="11"/>
  <c r="W1299" i="11"/>
  <c r="T1299" i="11"/>
  <c r="AR1298" i="11"/>
  <c r="W1298" i="11"/>
  <c r="T1298" i="11"/>
  <c r="T1297" i="11"/>
  <c r="W1295" i="11"/>
  <c r="T1295" i="11"/>
  <c r="W1294" i="11"/>
  <c r="T1294" i="11"/>
  <c r="T1293" i="11"/>
  <c r="W1291" i="11"/>
  <c r="T1291" i="11"/>
  <c r="W1290" i="11"/>
  <c r="T1290" i="11"/>
  <c r="T1289" i="11"/>
  <c r="W1287" i="11"/>
  <c r="W1286" i="11"/>
  <c r="W1284" i="11"/>
  <c r="W1283" i="11"/>
  <c r="W1281" i="11"/>
  <c r="W1280" i="11"/>
  <c r="W1279" i="11"/>
  <c r="W1278" i="11"/>
  <c r="W1277" i="11"/>
  <c r="W1276" i="11"/>
  <c r="W1274" i="11"/>
  <c r="W1273" i="11"/>
  <c r="W1271" i="11"/>
  <c r="W1270" i="11"/>
  <c r="W1268" i="11"/>
  <c r="W1267" i="11"/>
  <c r="W1266" i="11"/>
  <c r="W1265" i="11"/>
  <c r="W1264" i="11"/>
  <c r="W1263" i="11"/>
  <c r="W1261" i="11"/>
  <c r="W1260" i="11"/>
  <c r="W1258" i="11"/>
  <c r="W1257" i="11"/>
  <c r="W1255" i="11"/>
  <c r="W1254" i="11"/>
  <c r="W1253" i="11"/>
  <c r="W1252" i="11"/>
  <c r="W1251" i="11"/>
  <c r="W1250" i="11"/>
  <c r="W1248" i="11"/>
  <c r="W1247" i="11"/>
  <c r="W1245" i="11"/>
  <c r="W1244" i="11"/>
  <c r="W1242" i="11"/>
  <c r="W1241" i="11"/>
  <c r="W1240" i="11"/>
  <c r="W1239" i="11"/>
  <c r="W1238" i="11"/>
  <c r="W1237" i="11"/>
  <c r="W1235" i="11"/>
  <c r="W1234" i="11"/>
  <c r="W1232" i="11"/>
  <c r="W1231" i="11"/>
  <c r="W1229" i="11"/>
  <c r="W1228" i="11"/>
  <c r="W1227" i="11"/>
  <c r="W1226" i="11"/>
  <c r="W1225" i="11"/>
  <c r="W1224" i="11"/>
  <c r="W1222" i="11"/>
  <c r="W1221" i="11"/>
  <c r="W1219" i="11"/>
  <c r="W1218" i="11"/>
  <c r="W1216" i="11"/>
  <c r="W1215" i="11"/>
  <c r="W1214" i="11"/>
  <c r="W1213" i="11"/>
  <c r="W1212" i="11"/>
  <c r="W1211" i="11"/>
  <c r="W1209" i="11"/>
  <c r="W1208" i="11"/>
  <c r="W1206" i="11"/>
  <c r="W1205" i="11"/>
  <c r="W1203" i="11"/>
  <c r="W1202" i="11"/>
  <c r="W1201" i="11"/>
  <c r="W1200" i="11"/>
  <c r="W1199" i="11"/>
  <c r="W1198" i="11"/>
  <c r="W1196" i="11"/>
  <c r="W1195" i="11"/>
  <c r="W1193" i="11"/>
  <c r="W1192" i="11"/>
  <c r="W1190" i="11"/>
  <c r="W1189" i="11"/>
  <c r="W1188" i="11"/>
  <c r="W1187" i="11"/>
  <c r="W1186" i="11"/>
  <c r="W1185" i="11"/>
  <c r="W1183" i="11"/>
  <c r="T1183" i="11"/>
  <c r="W1182" i="11"/>
  <c r="T1182" i="11"/>
  <c r="W1180" i="11"/>
  <c r="T1180" i="11"/>
  <c r="W1179" i="11"/>
  <c r="T1179" i="11"/>
  <c r="W1177" i="11"/>
  <c r="T1177" i="11"/>
  <c r="W1176" i="11"/>
  <c r="T1176" i="11"/>
  <c r="W1175" i="11"/>
  <c r="T1175" i="11"/>
  <c r="W1174" i="11"/>
  <c r="T1174" i="11"/>
  <c r="W1173" i="11"/>
  <c r="T1173" i="11"/>
  <c r="W1172" i="11"/>
  <c r="T1172" i="11"/>
  <c r="AR1170" i="11"/>
  <c r="W1170" i="11"/>
  <c r="T1170" i="11"/>
  <c r="W1169" i="11"/>
  <c r="T1169" i="11"/>
  <c r="AR1168" i="11"/>
  <c r="AR1169" i="11" s="1"/>
  <c r="W1168" i="11"/>
  <c r="T1168" i="11"/>
  <c r="W1167" i="11"/>
  <c r="T1167" i="11"/>
  <c r="AR1166" i="11"/>
  <c r="AR1167" i="11" s="1"/>
  <c r="W1166" i="11"/>
  <c r="T1166" i="11"/>
  <c r="AR1165" i="11"/>
  <c r="T1165" i="11"/>
  <c r="AR1162" i="11"/>
  <c r="W1162" i="11"/>
  <c r="T1162" i="11"/>
  <c r="W1161" i="11"/>
  <c r="T1161" i="11"/>
  <c r="AR1160" i="11"/>
  <c r="AR1161" i="11" s="1"/>
  <c r="W1160" i="11"/>
  <c r="T1160" i="11"/>
  <c r="W1159" i="11"/>
  <c r="T1159" i="11"/>
  <c r="AR1158" i="11"/>
  <c r="AR1159" i="11" s="1"/>
  <c r="W1158" i="11"/>
  <c r="T1158" i="11"/>
  <c r="AR1157" i="11"/>
  <c r="T1157" i="11"/>
  <c r="AR1154" i="11"/>
  <c r="W1154" i="11"/>
  <c r="T1154" i="11"/>
  <c r="W1153" i="11"/>
  <c r="T1153" i="11"/>
  <c r="AR1152" i="11"/>
  <c r="AR1153" i="11" s="1"/>
  <c r="W1152" i="11"/>
  <c r="T1152" i="11"/>
  <c r="W1151" i="11"/>
  <c r="T1151" i="11"/>
  <c r="AR1150" i="11"/>
  <c r="AR1151" i="11" s="1"/>
  <c r="W1150" i="11"/>
  <c r="T1150" i="11"/>
  <c r="AR1149" i="11"/>
  <c r="T1149" i="11"/>
  <c r="BS1146" i="11"/>
  <c r="AX1146" i="11"/>
  <c r="AU1146" i="11"/>
  <c r="AR1146" i="11"/>
  <c r="P1146" i="11"/>
  <c r="T1146" i="11" s="1"/>
  <c r="BS1145" i="11"/>
  <c r="AX1145" i="11"/>
  <c r="AU1145" i="11"/>
  <c r="AR1145" i="11"/>
  <c r="P1145" i="11"/>
  <c r="T1145" i="11" s="1"/>
  <c r="BS1144" i="11"/>
  <c r="AX1144" i="11"/>
  <c r="AU1144" i="11"/>
  <c r="AR1144" i="11"/>
  <c r="P1144" i="11"/>
  <c r="T1144" i="11" s="1"/>
  <c r="BS1143" i="11"/>
  <c r="P1143" i="11"/>
  <c r="T1143" i="11" s="1"/>
  <c r="BS1142" i="11"/>
  <c r="P1142" i="11"/>
  <c r="T1142" i="11" s="1"/>
  <c r="BS1140" i="11"/>
  <c r="AX1140" i="11"/>
  <c r="AU1140" i="11"/>
  <c r="AR1140" i="11"/>
  <c r="P1140" i="11"/>
  <c r="T1140" i="11" s="1"/>
  <c r="BS1139" i="11"/>
  <c r="AX1139" i="11"/>
  <c r="AU1139" i="11"/>
  <c r="AR1139" i="11"/>
  <c r="P1139" i="11"/>
  <c r="T1139" i="11" s="1"/>
  <c r="BS1138" i="11"/>
  <c r="AX1138" i="11"/>
  <c r="AU1138" i="11"/>
  <c r="AR1138" i="11"/>
  <c r="P1138" i="11"/>
  <c r="T1138" i="11" s="1"/>
  <c r="BS1137" i="11"/>
  <c r="P1137" i="11"/>
  <c r="T1137" i="11" s="1"/>
  <c r="BS1136" i="11"/>
  <c r="P1136" i="11"/>
  <c r="T1136" i="11" s="1"/>
  <c r="P1134" i="11"/>
  <c r="T1134" i="11" s="1"/>
  <c r="P1133" i="11"/>
  <c r="T1133" i="11" s="1"/>
  <c r="P1132" i="11"/>
  <c r="T1132" i="11" s="1"/>
  <c r="P1129" i="11"/>
  <c r="P1128" i="11"/>
  <c r="P1127" i="11"/>
  <c r="P1126" i="11"/>
  <c r="P1125" i="11"/>
  <c r="P1124" i="11"/>
  <c r="P1123" i="11"/>
  <c r="P1122" i="11"/>
  <c r="P1121" i="11"/>
  <c r="P1120" i="11"/>
  <c r="P1119" i="11"/>
  <c r="P1118" i="11"/>
  <c r="BS1116" i="11"/>
  <c r="BS1115" i="11"/>
  <c r="BS1114" i="11"/>
  <c r="BS1113" i="11"/>
  <c r="BS1112" i="11"/>
  <c r="BS1111" i="11"/>
  <c r="BS1109" i="11"/>
  <c r="BS1108" i="11"/>
  <c r="BS1107" i="11"/>
  <c r="BS1106" i="11"/>
  <c r="BS1105" i="11"/>
  <c r="BS1104" i="11"/>
  <c r="P1102" i="11"/>
  <c r="BS1100" i="11"/>
  <c r="P1100" i="11"/>
  <c r="P1098" i="11"/>
  <c r="BS1096" i="11"/>
  <c r="P1096" i="11"/>
  <c r="P1094" i="11"/>
  <c r="BS1092" i="11"/>
  <c r="P1092" i="11"/>
  <c r="P1090" i="11"/>
  <c r="BS1088" i="11"/>
  <c r="P1088" i="11"/>
  <c r="P1086" i="11"/>
  <c r="BS1084" i="11"/>
  <c r="P1084" i="11"/>
  <c r="P1082" i="11"/>
  <c r="BS1080" i="11"/>
  <c r="P1080" i="11"/>
  <c r="P1078" i="11"/>
  <c r="BS1076" i="11"/>
  <c r="P1076" i="11"/>
  <c r="P1074" i="11"/>
  <c r="BS1072" i="11"/>
  <c r="P1072" i="11"/>
  <c r="P1070" i="11"/>
  <c r="BS1068" i="11"/>
  <c r="P1068" i="11"/>
  <c r="P1066" i="11"/>
  <c r="BS1064" i="11"/>
  <c r="P1064" i="11"/>
  <c r="P1062" i="11"/>
  <c r="BS1060" i="11"/>
  <c r="AR1060" i="11"/>
  <c r="P1060" i="11"/>
  <c r="P1059" i="11"/>
  <c r="P1058" i="11"/>
  <c r="P1057" i="11"/>
  <c r="W1057" i="11" s="1"/>
  <c r="P1055" i="11"/>
  <c r="BS1053" i="11"/>
  <c r="AR1053" i="11"/>
  <c r="P1053" i="11"/>
  <c r="P1052" i="11"/>
  <c r="P1051" i="11"/>
  <c r="P1050" i="11"/>
  <c r="W1050" i="11" s="1"/>
  <c r="P1048" i="11"/>
  <c r="BS1046" i="11"/>
  <c r="AR1046" i="11"/>
  <c r="P1046" i="11"/>
  <c r="P1045" i="11"/>
  <c r="P1044" i="11"/>
  <c r="P1043" i="11"/>
  <c r="W1043" i="11" s="1"/>
  <c r="P1041" i="11"/>
  <c r="BS1039" i="11"/>
  <c r="AR1039" i="11"/>
  <c r="P1039" i="11"/>
  <c r="P1038" i="11"/>
  <c r="P1037" i="11"/>
  <c r="P1036" i="11"/>
  <c r="W1036" i="11" s="1"/>
  <c r="P1034" i="11"/>
  <c r="BS1032" i="11"/>
  <c r="AR1032" i="11"/>
  <c r="P1032" i="11"/>
  <c r="P1031" i="11"/>
  <c r="P1030" i="11"/>
  <c r="P1029" i="11"/>
  <c r="U1029" i="11" s="1"/>
  <c r="M1027" i="11"/>
  <c r="M1026" i="11"/>
  <c r="P1025" i="11"/>
  <c r="P1026" i="11" s="1"/>
  <c r="P1027" i="11" s="1"/>
  <c r="M1025" i="11"/>
  <c r="M1023" i="11"/>
  <c r="M1022" i="11"/>
  <c r="P1021" i="11"/>
  <c r="P1022" i="11" s="1"/>
  <c r="P1023" i="11" s="1"/>
  <c r="M1021" i="11"/>
  <c r="M1019" i="11"/>
  <c r="M1018" i="11"/>
  <c r="P1017" i="11"/>
  <c r="P1018" i="11" s="1"/>
  <c r="P1019" i="11" s="1"/>
  <c r="M1017" i="11"/>
  <c r="M1015" i="11"/>
  <c r="M1014" i="11"/>
  <c r="P1013" i="11"/>
  <c r="P1014" i="11" s="1"/>
  <c r="P1015" i="11" s="1"/>
  <c r="M1013" i="11"/>
  <c r="M1011" i="11"/>
  <c r="M1010" i="11"/>
  <c r="P1009" i="11"/>
  <c r="P1010" i="11" s="1"/>
  <c r="P1011" i="11" s="1"/>
  <c r="M1009" i="11"/>
  <c r="P1005" i="11"/>
  <c r="P1006" i="11" s="1"/>
  <c r="P1007" i="11" s="1"/>
  <c r="P1001" i="11"/>
  <c r="P1002" i="11" s="1"/>
  <c r="P1003" i="11" s="1"/>
  <c r="P997" i="11"/>
  <c r="P998" i="11" s="1"/>
  <c r="P999" i="11" s="1"/>
  <c r="W995" i="11"/>
  <c r="T995" i="11"/>
  <c r="W994" i="11"/>
  <c r="T994" i="11"/>
  <c r="W993" i="11"/>
  <c r="T993" i="11"/>
  <c r="W992" i="11"/>
  <c r="T992" i="11"/>
  <c r="W991" i="11"/>
  <c r="T991" i="11"/>
  <c r="AX990" i="11"/>
  <c r="AX991" i="11" s="1"/>
  <c r="AU990" i="11"/>
  <c r="AU991" i="11" s="1"/>
  <c r="AR990" i="11"/>
  <c r="AR991" i="11" s="1"/>
  <c r="W990" i="11"/>
  <c r="T990" i="11"/>
  <c r="T989" i="11"/>
  <c r="W987" i="11"/>
  <c r="T987" i="11"/>
  <c r="W986" i="11"/>
  <c r="T986" i="11"/>
  <c r="W985" i="11"/>
  <c r="T985" i="11"/>
  <c r="W984" i="11"/>
  <c r="T984" i="11"/>
  <c r="W983" i="11"/>
  <c r="T983" i="11"/>
  <c r="AX982" i="11"/>
  <c r="AX983" i="11" s="1"/>
  <c r="AX984" i="11" s="1"/>
  <c r="AU982" i="11"/>
  <c r="AU983" i="11" s="1"/>
  <c r="AU984" i="11" s="1"/>
  <c r="AR982" i="11"/>
  <c r="W982" i="11"/>
  <c r="T982" i="11"/>
  <c r="T981" i="11"/>
  <c r="W979" i="11"/>
  <c r="T979" i="11"/>
  <c r="W978" i="11"/>
  <c r="T978" i="11"/>
  <c r="W977" i="11"/>
  <c r="T977" i="11"/>
  <c r="W976" i="11"/>
  <c r="T976" i="11"/>
  <c r="W975" i="11"/>
  <c r="T975" i="11"/>
  <c r="AR974" i="11"/>
  <c r="AR975" i="11" s="1"/>
  <c r="W974" i="11"/>
  <c r="T974" i="11"/>
  <c r="AX973" i="11"/>
  <c r="AX974" i="11" s="1"/>
  <c r="AX975" i="11" s="1"/>
  <c r="AU973" i="11"/>
  <c r="AU974" i="11" s="1"/>
  <c r="AU975" i="11" s="1"/>
  <c r="T973" i="11"/>
  <c r="W971" i="11"/>
  <c r="T971" i="11"/>
  <c r="W970" i="11"/>
  <c r="T970" i="11"/>
  <c r="W969" i="11"/>
  <c r="T969" i="11"/>
  <c r="W968" i="11"/>
  <c r="T968" i="11"/>
  <c r="W967" i="11"/>
  <c r="T967" i="11"/>
  <c r="AR966" i="11"/>
  <c r="AR967" i="11" s="1"/>
  <c r="AR968" i="11" s="1"/>
  <c r="W966" i="11"/>
  <c r="T966" i="11"/>
  <c r="AX965" i="11"/>
  <c r="AX966" i="11" s="1"/>
  <c r="AU965" i="11"/>
  <c r="AU966" i="11" s="1"/>
  <c r="T965" i="11"/>
  <c r="W963" i="11"/>
  <c r="T963" i="11"/>
  <c r="W962" i="11"/>
  <c r="T962" i="11"/>
  <c r="W961" i="11"/>
  <c r="T961" i="11"/>
  <c r="W960" i="11"/>
  <c r="T960" i="11"/>
  <c r="W959" i="11"/>
  <c r="T959" i="11"/>
  <c r="AR958" i="11"/>
  <c r="W958" i="11"/>
  <c r="T958" i="11"/>
  <c r="AX957" i="11"/>
  <c r="AX958" i="11" s="1"/>
  <c r="AU957" i="11"/>
  <c r="T957" i="11"/>
  <c r="W955" i="11"/>
  <c r="T955" i="11"/>
  <c r="W954" i="11"/>
  <c r="T954" i="11"/>
  <c r="W953" i="11"/>
  <c r="T953" i="11"/>
  <c r="W952" i="11"/>
  <c r="T952" i="11"/>
  <c r="W951" i="11"/>
  <c r="T951" i="11"/>
  <c r="AX950" i="11"/>
  <c r="AU950" i="11"/>
  <c r="AU951" i="11" s="1"/>
  <c r="AR950" i="11"/>
  <c r="W950" i="11"/>
  <c r="T950" i="11"/>
  <c r="T949" i="11"/>
  <c r="AX944" i="11"/>
  <c r="AU944" i="11"/>
  <c r="AR944" i="11"/>
  <c r="P943" i="11"/>
  <c r="P944" i="11" s="1"/>
  <c r="T944" i="11" s="1"/>
  <c r="AX938" i="11"/>
  <c r="AU938" i="11"/>
  <c r="AR938" i="11"/>
  <c r="P937" i="11"/>
  <c r="AX932" i="11"/>
  <c r="AX933" i="11" s="1"/>
  <c r="AX934" i="11" s="1"/>
  <c r="AX935" i="11" s="1"/>
  <c r="AU932" i="11"/>
  <c r="AR932" i="11"/>
  <c r="P931" i="11"/>
  <c r="P932" i="11" s="1"/>
  <c r="AX926" i="11"/>
  <c r="AX927" i="11" s="1"/>
  <c r="AU926" i="11"/>
  <c r="AU927" i="11" s="1"/>
  <c r="AU928" i="11" s="1"/>
  <c r="AR926" i="11"/>
  <c r="AR927" i="11" s="1"/>
  <c r="P925" i="11"/>
  <c r="P926" i="11" s="1"/>
  <c r="T922" i="11"/>
  <c r="T921" i="11"/>
  <c r="T920" i="11"/>
  <c r="T919" i="11"/>
  <c r="T918" i="11"/>
  <c r="T917" i="11"/>
  <c r="T916" i="11"/>
  <c r="T915" i="11"/>
  <c r="T913" i="11"/>
  <c r="T912" i="11"/>
  <c r="T911" i="11"/>
  <c r="T910" i="11"/>
  <c r="T909" i="11"/>
  <c r="P905" i="11"/>
  <c r="P906" i="11" s="1"/>
  <c r="P907" i="11" s="1"/>
  <c r="T904" i="11"/>
  <c r="P904" i="11"/>
  <c r="P900" i="11"/>
  <c r="P901" i="11" s="1"/>
  <c r="P902" i="11" s="1"/>
  <c r="T899" i="11"/>
  <c r="T900" i="11" s="1"/>
  <c r="P899" i="11"/>
  <c r="T897" i="11"/>
  <c r="T896" i="11"/>
  <c r="T894" i="11"/>
  <c r="T893" i="11"/>
  <c r="T891" i="11"/>
  <c r="T890" i="11"/>
  <c r="T888" i="11"/>
  <c r="T887" i="11"/>
  <c r="T885" i="11"/>
  <c r="T884" i="11"/>
  <c r="T882" i="11"/>
  <c r="T881" i="11"/>
  <c r="T879" i="11"/>
  <c r="T878" i="11"/>
  <c r="T876" i="11"/>
  <c r="T875" i="11"/>
  <c r="T873" i="11"/>
  <c r="T872" i="11"/>
  <c r="M870" i="11"/>
  <c r="M869" i="11"/>
  <c r="M868" i="11"/>
  <c r="M867" i="11"/>
  <c r="M866" i="11"/>
  <c r="T865" i="11"/>
  <c r="T864" i="11"/>
  <c r="M862" i="11"/>
  <c r="M861" i="11"/>
  <c r="M860" i="11"/>
  <c r="M859" i="11"/>
  <c r="M858" i="11"/>
  <c r="T857" i="11"/>
  <c r="T856" i="11"/>
  <c r="M854" i="11"/>
  <c r="M853" i="11"/>
  <c r="M852" i="11"/>
  <c r="M851" i="11"/>
  <c r="M850" i="11"/>
  <c r="T849" i="11"/>
  <c r="T848" i="11"/>
  <c r="M846" i="11"/>
  <c r="M845" i="11"/>
  <c r="M844" i="11"/>
  <c r="M843" i="11"/>
  <c r="M842" i="11"/>
  <c r="T841" i="11"/>
  <c r="T840" i="11"/>
  <c r="M838" i="11"/>
  <c r="M837" i="11"/>
  <c r="M836" i="11"/>
  <c r="M835" i="11"/>
  <c r="M834" i="11"/>
  <c r="T833" i="11"/>
  <c r="T832" i="11"/>
  <c r="M830" i="11"/>
  <c r="M829" i="11"/>
  <c r="M828" i="11"/>
  <c r="M827" i="11"/>
  <c r="M826" i="11"/>
  <c r="T825" i="11"/>
  <c r="T824" i="11"/>
  <c r="M822" i="11"/>
  <c r="T821" i="11"/>
  <c r="T820" i="11"/>
  <c r="M818" i="11"/>
  <c r="T817" i="11"/>
  <c r="T816" i="11"/>
  <c r="M814" i="11"/>
  <c r="T813" i="11"/>
  <c r="T812" i="11"/>
  <c r="M810" i="11"/>
  <c r="M809" i="11"/>
  <c r="M808" i="11"/>
  <c r="T807" i="11"/>
  <c r="T806" i="11"/>
  <c r="M804" i="11"/>
  <c r="M803" i="11"/>
  <c r="M802" i="11"/>
  <c r="T801" i="11"/>
  <c r="T800" i="11"/>
  <c r="M798" i="11"/>
  <c r="M797" i="11"/>
  <c r="M796" i="11"/>
  <c r="T795" i="11"/>
  <c r="T794" i="11"/>
  <c r="P792" i="11"/>
  <c r="P791" i="11"/>
  <c r="P790" i="11"/>
  <c r="P789" i="11"/>
  <c r="P788" i="11"/>
  <c r="P787" i="11"/>
  <c r="P785" i="11"/>
  <c r="P784" i="11"/>
  <c r="P783" i="11"/>
  <c r="P782" i="11"/>
  <c r="P781" i="11"/>
  <c r="P780" i="11"/>
  <c r="P778" i="11"/>
  <c r="P777" i="11"/>
  <c r="P776" i="11"/>
  <c r="P775" i="11"/>
  <c r="P774" i="11"/>
  <c r="P773" i="11"/>
  <c r="P771" i="11"/>
  <c r="P770" i="11"/>
  <c r="P769" i="11"/>
  <c r="P768" i="11"/>
  <c r="P767" i="11"/>
  <c r="P766" i="11"/>
  <c r="P764" i="11"/>
  <c r="P763" i="11"/>
  <c r="P762" i="11"/>
  <c r="P760" i="11"/>
  <c r="P759" i="11"/>
  <c r="T758" i="11"/>
  <c r="P758" i="11" s="1"/>
  <c r="P756" i="11"/>
  <c r="P753" i="11"/>
  <c r="P752" i="11"/>
  <c r="P751" i="11"/>
  <c r="P750" i="11"/>
  <c r="P749" i="11"/>
  <c r="P747" i="11"/>
  <c r="P746" i="11"/>
  <c r="T745" i="11"/>
  <c r="P745" i="11" s="1"/>
  <c r="P743" i="11"/>
  <c r="P741" i="11"/>
  <c r="P740" i="11"/>
  <c r="P739" i="11"/>
  <c r="P738" i="11"/>
  <c r="P737" i="11"/>
  <c r="P735" i="11"/>
  <c r="P734" i="11"/>
  <c r="U733" i="11"/>
  <c r="T733" i="11"/>
  <c r="P731" i="11"/>
  <c r="P727" i="11"/>
  <c r="P726" i="11"/>
  <c r="P725" i="11"/>
  <c r="P724" i="11"/>
  <c r="P723" i="11"/>
  <c r="P720" i="11"/>
  <c r="P719" i="11"/>
  <c r="P718" i="11"/>
  <c r="P717" i="11"/>
  <c r="P716" i="11"/>
  <c r="P715" i="11"/>
  <c r="P712" i="11"/>
  <c r="P711" i="11"/>
  <c r="P710" i="11"/>
  <c r="P709" i="11"/>
  <c r="P708" i="11"/>
  <c r="P707" i="11"/>
  <c r="P706" i="11"/>
  <c r="P702" i="11"/>
  <c r="P701" i="11"/>
  <c r="P700" i="11"/>
  <c r="P699" i="11"/>
  <c r="P698" i="11"/>
  <c r="P697" i="11"/>
  <c r="P693" i="11"/>
  <c r="P692" i="11"/>
  <c r="P691" i="11"/>
  <c r="P690" i="11"/>
  <c r="P689" i="11"/>
  <c r="P688" i="11"/>
  <c r="P685" i="11"/>
  <c r="P684" i="11"/>
  <c r="P683" i="11"/>
  <c r="P682" i="11"/>
  <c r="P681" i="11"/>
  <c r="P680" i="11"/>
  <c r="P679" i="11"/>
  <c r="P678" i="11"/>
  <c r="P674" i="11"/>
  <c r="P673" i="11"/>
  <c r="P672" i="11"/>
  <c r="P671" i="11"/>
  <c r="P670" i="11"/>
  <c r="P666" i="11"/>
  <c r="P665" i="11"/>
  <c r="P664" i="11"/>
  <c r="P663" i="11"/>
  <c r="P662" i="11"/>
  <c r="P661" i="11"/>
  <c r="P656" i="11"/>
  <c r="P655" i="11"/>
  <c r="P654" i="11"/>
  <c r="P653" i="11"/>
  <c r="P652" i="11"/>
  <c r="P651" i="11"/>
  <c r="P647" i="11"/>
  <c r="P646" i="11"/>
  <c r="P645" i="11"/>
  <c r="P644" i="11"/>
  <c r="P643" i="11"/>
  <c r="P642" i="11"/>
  <c r="P641" i="11"/>
  <c r="P640" i="11"/>
  <c r="P639" i="11"/>
  <c r="P637" i="11"/>
  <c r="P636" i="11"/>
  <c r="P635" i="11"/>
  <c r="P634" i="11"/>
  <c r="P633" i="11"/>
  <c r="P632" i="11"/>
  <c r="P631" i="11"/>
  <c r="P627" i="11"/>
  <c r="P626" i="11"/>
  <c r="P625" i="11"/>
  <c r="P624" i="11"/>
  <c r="P623" i="11"/>
  <c r="P622" i="11"/>
  <c r="P621" i="11"/>
  <c r="P620" i="11"/>
  <c r="P619" i="11"/>
  <c r="P617" i="11"/>
  <c r="P615" i="11"/>
  <c r="P614" i="11"/>
  <c r="P613" i="11"/>
  <c r="P612" i="11"/>
  <c r="P611" i="11"/>
  <c r="P607" i="11"/>
  <c r="P606" i="11"/>
  <c r="P605" i="11"/>
  <c r="P604" i="11"/>
  <c r="P603" i="11"/>
  <c r="P602" i="11"/>
  <c r="P600" i="11"/>
  <c r="P599" i="11"/>
  <c r="P598" i="11"/>
  <c r="P597" i="11"/>
  <c r="P596" i="11"/>
  <c r="P595" i="11"/>
  <c r="P593" i="11"/>
  <c r="P592" i="11"/>
  <c r="P591" i="11"/>
  <c r="P590" i="11"/>
  <c r="P589" i="11"/>
  <c r="P588" i="11"/>
  <c r="P586" i="11"/>
  <c r="P585" i="11"/>
  <c r="P584" i="11"/>
  <c r="P583" i="11"/>
  <c r="P582" i="11"/>
  <c r="P581" i="11"/>
  <c r="P579" i="11"/>
  <c r="P578" i="11"/>
  <c r="P577" i="11"/>
  <c r="P576" i="11"/>
  <c r="P575" i="11"/>
  <c r="P574" i="11"/>
  <c r="P572" i="11"/>
  <c r="P571" i="11"/>
  <c r="P570" i="11"/>
  <c r="P569" i="11"/>
  <c r="P568" i="11"/>
  <c r="P567" i="11"/>
  <c r="P565" i="11"/>
  <c r="P564" i="11"/>
  <c r="P563" i="11"/>
  <c r="P562" i="11"/>
  <c r="P561" i="11"/>
  <c r="P560" i="11"/>
  <c r="P558" i="11"/>
  <c r="P557" i="11"/>
  <c r="P556" i="11"/>
  <c r="P555" i="11"/>
  <c r="P554" i="11"/>
  <c r="P553" i="11"/>
  <c r="P551" i="11"/>
  <c r="P550" i="11"/>
  <c r="P549" i="11"/>
  <c r="P548" i="11"/>
  <c r="P547" i="11"/>
  <c r="P546" i="11"/>
  <c r="P544" i="11"/>
  <c r="P543" i="11"/>
  <c r="P542" i="11"/>
  <c r="P541" i="11"/>
  <c r="P540" i="11"/>
  <c r="P539" i="11"/>
  <c r="P537" i="11"/>
  <c r="P536" i="11"/>
  <c r="P535" i="11"/>
  <c r="P534" i="11"/>
  <c r="P533" i="11"/>
  <c r="P532" i="11"/>
  <c r="P530" i="11"/>
  <c r="P529" i="11"/>
  <c r="P528" i="11"/>
  <c r="P527" i="11"/>
  <c r="P526" i="11"/>
  <c r="P525" i="11"/>
  <c r="P523" i="11"/>
  <c r="P522" i="11"/>
  <c r="P521" i="11"/>
  <c r="P520" i="11"/>
  <c r="P519" i="11"/>
  <c r="AR518" i="11"/>
  <c r="P518" i="11"/>
  <c r="P516" i="11"/>
  <c r="P515" i="11"/>
  <c r="P514" i="11"/>
  <c r="P513" i="11"/>
  <c r="P512" i="11"/>
  <c r="AR511" i="11"/>
  <c r="AR512" i="11" s="1"/>
  <c r="P511" i="11"/>
  <c r="P509" i="11"/>
  <c r="P508" i="11"/>
  <c r="P507" i="11"/>
  <c r="P506" i="11"/>
  <c r="P505" i="11"/>
  <c r="AR504" i="11"/>
  <c r="P504" i="11"/>
  <c r="W504" i="11" s="1"/>
  <c r="P502" i="11"/>
  <c r="P501" i="11"/>
  <c r="P500" i="11"/>
  <c r="P499" i="11"/>
  <c r="P498" i="11"/>
  <c r="P497" i="11"/>
  <c r="P496" i="11"/>
  <c r="P495" i="11"/>
  <c r="P494" i="11"/>
  <c r="AR493" i="11"/>
  <c r="P493" i="11"/>
  <c r="W493" i="11" s="1"/>
  <c r="P491" i="11"/>
  <c r="P490" i="11"/>
  <c r="P489" i="11"/>
  <c r="P488" i="11"/>
  <c r="P487" i="11"/>
  <c r="P486" i="11"/>
  <c r="P485" i="11"/>
  <c r="P484" i="11"/>
  <c r="P483" i="11"/>
  <c r="AR482" i="11"/>
  <c r="P482" i="11"/>
  <c r="W482" i="11" s="1"/>
  <c r="P480" i="11"/>
  <c r="P479" i="11"/>
  <c r="P478" i="11"/>
  <c r="P477" i="11"/>
  <c r="P476" i="11"/>
  <c r="AR475" i="11"/>
  <c r="P475" i="11"/>
  <c r="W475" i="11" s="1"/>
  <c r="P473" i="11"/>
  <c r="AR472" i="11"/>
  <c r="P472" i="11"/>
  <c r="P470" i="11"/>
  <c r="P469" i="11"/>
  <c r="P468" i="11"/>
  <c r="P467" i="11"/>
  <c r="P466" i="11"/>
  <c r="AR465" i="11"/>
  <c r="AR466" i="11" s="1"/>
  <c r="P465" i="11"/>
  <c r="W465" i="11" s="1"/>
  <c r="P463" i="11"/>
  <c r="P462" i="11"/>
  <c r="P461" i="11"/>
  <c r="AR460" i="11"/>
  <c r="AR461" i="11" s="1"/>
  <c r="P460" i="11"/>
  <c r="W460" i="11" s="1"/>
  <c r="P458" i="11"/>
  <c r="P457" i="11"/>
  <c r="P456" i="11"/>
  <c r="AR455" i="11"/>
  <c r="AR456" i="11" s="1"/>
  <c r="P455" i="11"/>
  <c r="W455" i="11" s="1"/>
  <c r="P453" i="11"/>
  <c r="P452" i="11"/>
  <c r="P451" i="11"/>
  <c r="AR450" i="11"/>
  <c r="AR451" i="11" s="1"/>
  <c r="P450" i="11"/>
  <c r="W450" i="11" s="1"/>
  <c r="AB448" i="11"/>
  <c r="W448" i="11"/>
  <c r="AB447" i="11"/>
  <c r="W447" i="11"/>
  <c r="AB446" i="11"/>
  <c r="W446" i="11"/>
  <c r="AB445" i="11"/>
  <c r="W445" i="11"/>
  <c r="AB444" i="11"/>
  <c r="W444" i="11"/>
  <c r="AR443" i="11"/>
  <c r="AR444" i="11" s="1"/>
  <c r="AB441" i="11"/>
  <c r="W441" i="11"/>
  <c r="T441" i="11"/>
  <c r="AB440" i="11"/>
  <c r="W440" i="11"/>
  <c r="T440" i="11"/>
  <c r="AB439" i="11"/>
  <c r="W439" i="11"/>
  <c r="T439" i="11"/>
  <c r="AB438" i="11"/>
  <c r="W438" i="11"/>
  <c r="T438" i="11"/>
  <c r="AB437" i="11"/>
  <c r="W437" i="11"/>
  <c r="T437" i="11"/>
  <c r="AB436" i="11"/>
  <c r="T436" i="11"/>
  <c r="AR435" i="11"/>
  <c r="AR436" i="11" s="1"/>
  <c r="AX430" i="11"/>
  <c r="AU430" i="11"/>
  <c r="AU431" i="11" s="1"/>
  <c r="AX425" i="11"/>
  <c r="AU425" i="11"/>
  <c r="AX420" i="11"/>
  <c r="AX421" i="11" s="1"/>
  <c r="AX422" i="11" s="1"/>
  <c r="AU420" i="11"/>
  <c r="P415" i="11"/>
  <c r="T415" i="11" s="1"/>
  <c r="P414" i="11"/>
  <c r="T414" i="11" s="1"/>
  <c r="P413" i="11"/>
  <c r="T413" i="11" s="1"/>
  <c r="P412" i="11"/>
  <c r="T412" i="11" s="1"/>
  <c r="P410" i="11"/>
  <c r="T410" i="11" s="1"/>
  <c r="P409" i="11"/>
  <c r="T409" i="11" s="1"/>
  <c r="P408" i="11"/>
  <c r="T408" i="11" s="1"/>
  <c r="P407" i="11"/>
  <c r="T407" i="11" s="1"/>
  <c r="P405" i="11"/>
  <c r="T405" i="11" s="1"/>
  <c r="P404" i="11"/>
  <c r="T404" i="11" s="1"/>
  <c r="P403" i="11"/>
  <c r="T403" i="11" s="1"/>
  <c r="P402" i="11"/>
  <c r="T402" i="11" s="1"/>
  <c r="P400" i="11"/>
  <c r="T400" i="11" s="1"/>
  <c r="P399" i="11"/>
  <c r="T399" i="11" s="1"/>
  <c r="P398" i="11"/>
  <c r="T398" i="11" s="1"/>
  <c r="P397" i="11"/>
  <c r="T397" i="11" s="1"/>
  <c r="BN395" i="11"/>
  <c r="BL395" i="11"/>
  <c r="P395" i="11"/>
  <c r="T395" i="11" s="1"/>
  <c r="BN394" i="11"/>
  <c r="BL394" i="11"/>
  <c r="P394" i="11"/>
  <c r="T394" i="11" s="1"/>
  <c r="BN393" i="11"/>
  <c r="BL393" i="11"/>
  <c r="P393" i="11"/>
  <c r="T393" i="11" s="1"/>
  <c r="BN392" i="11"/>
  <c r="BL392" i="11"/>
  <c r="P392" i="11"/>
  <c r="T392" i="11" s="1"/>
  <c r="BN390" i="11"/>
  <c r="BL390" i="11"/>
  <c r="P390" i="11"/>
  <c r="T390" i="11" s="1"/>
  <c r="BN389" i="11"/>
  <c r="BL389" i="11"/>
  <c r="P389" i="11"/>
  <c r="T389" i="11" s="1"/>
  <c r="BN388" i="11"/>
  <c r="BL388" i="11"/>
  <c r="P388" i="11"/>
  <c r="T388" i="11" s="1"/>
  <c r="BN387" i="11"/>
  <c r="BL387" i="11"/>
  <c r="P387" i="11"/>
  <c r="T387" i="11" s="1"/>
  <c r="BN385" i="11"/>
  <c r="BL385" i="11"/>
  <c r="P385" i="11"/>
  <c r="T385" i="11" s="1"/>
  <c r="BN384" i="11"/>
  <c r="BL384" i="11"/>
  <c r="P384" i="11"/>
  <c r="T384" i="11" s="1"/>
  <c r="BN383" i="11"/>
  <c r="BL383" i="11"/>
  <c r="P383" i="11"/>
  <c r="T383" i="11" s="1"/>
  <c r="BN382" i="11"/>
  <c r="BL382" i="11"/>
  <c r="P382" i="11"/>
  <c r="BN380" i="11"/>
  <c r="BL380" i="11"/>
  <c r="P380" i="11"/>
  <c r="T380" i="11" s="1"/>
  <c r="BN379" i="11"/>
  <c r="BL379" i="11"/>
  <c r="P379" i="11"/>
  <c r="T379" i="11" s="1"/>
  <c r="BN378" i="11"/>
  <c r="BL378" i="11"/>
  <c r="P378" i="11"/>
  <c r="BN377" i="11"/>
  <c r="BL377" i="11"/>
  <c r="P377" i="11"/>
  <c r="T377" i="11" s="1"/>
  <c r="W375" i="11"/>
  <c r="T375" i="11"/>
  <c r="W374" i="11"/>
  <c r="T374" i="11"/>
  <c r="W373" i="11"/>
  <c r="T373" i="11"/>
  <c r="W372" i="11"/>
  <c r="T372" i="11"/>
  <c r="W370" i="11"/>
  <c r="T370" i="11"/>
  <c r="W369" i="11"/>
  <c r="T369" i="11"/>
  <c r="W368" i="11"/>
  <c r="T368" i="11"/>
  <c r="T367" i="11"/>
  <c r="W365" i="11"/>
  <c r="T365" i="11"/>
  <c r="W364" i="11"/>
  <c r="T364" i="11"/>
  <c r="W363" i="11"/>
  <c r="T363" i="11"/>
  <c r="T362" i="11"/>
  <c r="W360" i="11"/>
  <c r="T360" i="11"/>
  <c r="W359" i="11"/>
  <c r="T359" i="11"/>
  <c r="W358" i="11"/>
  <c r="T358" i="11"/>
  <c r="T357" i="11"/>
  <c r="W355" i="11"/>
  <c r="T355" i="11"/>
  <c r="W354" i="11"/>
  <c r="T354" i="11"/>
  <c r="W353" i="11"/>
  <c r="T353" i="11"/>
  <c r="T352" i="11"/>
  <c r="W350" i="11"/>
  <c r="T350" i="11"/>
  <c r="W349" i="11"/>
  <c r="T349" i="11"/>
  <c r="W348" i="11"/>
  <c r="T348" i="11"/>
  <c r="T347" i="11"/>
  <c r="W345" i="11"/>
  <c r="T345" i="11"/>
  <c r="W344" i="11"/>
  <c r="T344" i="11"/>
  <c r="W343" i="11"/>
  <c r="T343" i="11"/>
  <c r="T342" i="11"/>
  <c r="W340" i="11"/>
  <c r="T340" i="11"/>
  <c r="W339" i="11"/>
  <c r="T339" i="11"/>
  <c r="W338" i="11"/>
  <c r="T338" i="11"/>
  <c r="T337" i="11"/>
  <c r="W335" i="11"/>
  <c r="T335" i="11"/>
  <c r="W334" i="11"/>
  <c r="T334" i="11"/>
  <c r="W333" i="11"/>
  <c r="T333" i="11"/>
  <c r="T332" i="11"/>
  <c r="W330" i="11"/>
  <c r="T330" i="11"/>
  <c r="W329" i="11"/>
  <c r="T329" i="11"/>
  <c r="W328" i="11"/>
  <c r="T328" i="11"/>
  <c r="T327" i="11"/>
  <c r="W325" i="11"/>
  <c r="T325" i="11"/>
  <c r="W324" i="11"/>
  <c r="T324" i="11"/>
  <c r="W323" i="11"/>
  <c r="T323" i="11"/>
  <c r="T322" i="11"/>
  <c r="W320" i="11"/>
  <c r="T320" i="11"/>
  <c r="W319" i="11"/>
  <c r="T319" i="11"/>
  <c r="W318" i="11"/>
  <c r="T318" i="11"/>
  <c r="T317" i="11"/>
  <c r="W315" i="11"/>
  <c r="T315" i="11"/>
  <c r="W314" i="11"/>
  <c r="T314" i="11"/>
  <c r="W313" i="11"/>
  <c r="T313" i="11"/>
  <c r="T312" i="11"/>
  <c r="W310" i="11"/>
  <c r="T310" i="11"/>
  <c r="W309" i="11"/>
  <c r="T309" i="11"/>
  <c r="W308" i="11"/>
  <c r="T308" i="11"/>
  <c r="T307" i="11"/>
  <c r="W305" i="11"/>
  <c r="T305" i="11"/>
  <c r="W304" i="11"/>
  <c r="T304" i="11"/>
  <c r="W303" i="11"/>
  <c r="T303" i="11"/>
  <c r="T302" i="11"/>
  <c r="W300" i="11"/>
  <c r="T300" i="11"/>
  <c r="W299" i="11"/>
  <c r="T299" i="11"/>
  <c r="W298" i="11"/>
  <c r="T298" i="11"/>
  <c r="W297" i="11"/>
  <c r="T297" i="11"/>
  <c r="W295" i="11"/>
  <c r="T295" i="11"/>
  <c r="W294" i="11"/>
  <c r="T294" i="11"/>
  <c r="W293" i="11"/>
  <c r="T293" i="11"/>
  <c r="W292" i="11"/>
  <c r="T292" i="11"/>
  <c r="W290" i="11"/>
  <c r="T290" i="11"/>
  <c r="W289" i="11"/>
  <c r="T289" i="11"/>
  <c r="W288" i="11"/>
  <c r="T288" i="11"/>
  <c r="W287" i="11"/>
  <c r="T287" i="11"/>
  <c r="W285" i="11"/>
  <c r="T285" i="11"/>
  <c r="W284" i="11"/>
  <c r="T284" i="11"/>
  <c r="W283" i="11"/>
  <c r="T283" i="11"/>
  <c r="W282" i="11"/>
  <c r="T282" i="11"/>
  <c r="W280" i="11"/>
  <c r="T280" i="11"/>
  <c r="W279" i="11"/>
  <c r="T279" i="11"/>
  <c r="W278" i="11"/>
  <c r="T278" i="11"/>
  <c r="W277" i="11"/>
  <c r="T277" i="11"/>
  <c r="W275" i="11"/>
  <c r="T275" i="11"/>
  <c r="W274" i="11"/>
  <c r="T274" i="11"/>
  <c r="W273" i="11"/>
  <c r="T273" i="11"/>
  <c r="W272" i="11"/>
  <c r="T272" i="11"/>
  <c r="W270" i="11"/>
  <c r="T270" i="11"/>
  <c r="W269" i="11"/>
  <c r="T269" i="11"/>
  <c r="W268" i="11"/>
  <c r="T268" i="11"/>
  <c r="W267" i="11"/>
  <c r="T267" i="11"/>
  <c r="W265" i="11"/>
  <c r="T265" i="11"/>
  <c r="W264" i="11"/>
  <c r="T264" i="11"/>
  <c r="W263" i="11"/>
  <c r="T263" i="11"/>
  <c r="W262" i="11"/>
  <c r="T262" i="11"/>
  <c r="W260" i="11"/>
  <c r="T260" i="11"/>
  <c r="W259" i="11"/>
  <c r="T259" i="11"/>
  <c r="W258" i="11"/>
  <c r="T258" i="11"/>
  <c r="W257" i="11"/>
  <c r="T257" i="11"/>
  <c r="W255" i="11"/>
  <c r="T255" i="11"/>
  <c r="W254" i="11"/>
  <c r="T254" i="11"/>
  <c r="W253" i="11"/>
  <c r="T253" i="11"/>
  <c r="W252" i="11"/>
  <c r="T252" i="11"/>
  <c r="W250" i="11"/>
  <c r="T250" i="11"/>
  <c r="W249" i="11"/>
  <c r="T249" i="11"/>
  <c r="W248" i="11"/>
  <c r="T248" i="11"/>
  <c r="W247" i="11"/>
  <c r="T247" i="11"/>
  <c r="W245" i="11"/>
  <c r="T245" i="11"/>
  <c r="W244" i="11"/>
  <c r="T244" i="11"/>
  <c r="W243" i="11"/>
  <c r="T243" i="11"/>
  <c r="W242" i="11"/>
  <c r="T242" i="11"/>
  <c r="P231" i="11"/>
  <c r="P232" i="11" s="1"/>
  <c r="P220" i="11"/>
  <c r="P209" i="11"/>
  <c r="P198" i="11"/>
  <c r="P199" i="11" s="1"/>
  <c r="P200" i="11" s="1"/>
  <c r="P187" i="11"/>
  <c r="P188" i="11" s="1"/>
  <c r="P189" i="11" s="1"/>
  <c r="P176" i="11"/>
  <c r="P177" i="11" s="1"/>
  <c r="P178" i="11" s="1"/>
  <c r="P165" i="11"/>
  <c r="P166" i="11" s="1"/>
  <c r="P167" i="11" s="1"/>
  <c r="P154" i="11"/>
  <c r="P155" i="11" s="1"/>
  <c r="P156" i="11" s="1"/>
  <c r="AR152" i="11"/>
  <c r="P152" i="11"/>
  <c r="T152" i="11" s="1"/>
  <c r="AR150" i="11"/>
  <c r="P150" i="11"/>
  <c r="T150" i="11" s="1"/>
  <c r="AR148" i="11"/>
  <c r="P148" i="11"/>
  <c r="T148" i="11" s="1"/>
  <c r="AR146" i="11"/>
  <c r="AR145" i="11"/>
  <c r="P145" i="11"/>
  <c r="T145" i="11" s="1"/>
  <c r="AR143" i="11"/>
  <c r="AR142" i="11"/>
  <c r="P142" i="11"/>
  <c r="T142" i="11" s="1"/>
  <c r="AR140" i="11"/>
  <c r="AR139" i="11"/>
  <c r="P139" i="11"/>
  <c r="P140" i="11" s="1"/>
  <c r="T140" i="11" s="1"/>
  <c r="AR137" i="11"/>
  <c r="W137" i="11"/>
  <c r="AR136" i="11"/>
  <c r="W136" i="11"/>
  <c r="AR135" i="11"/>
  <c r="W135" i="11"/>
  <c r="AR134" i="11"/>
  <c r="W134" i="11"/>
  <c r="P134" i="11"/>
  <c r="T134" i="11" s="1"/>
  <c r="AR132" i="11"/>
  <c r="W132" i="11"/>
  <c r="AR131" i="11"/>
  <c r="W131" i="11"/>
  <c r="AR130" i="11"/>
  <c r="W130" i="11"/>
  <c r="AR129" i="11"/>
  <c r="W129" i="11"/>
  <c r="P129" i="11"/>
  <c r="T129" i="11" s="1"/>
  <c r="AR127" i="11"/>
  <c r="W127" i="11"/>
  <c r="AR126" i="11"/>
  <c r="W126" i="11"/>
  <c r="AR125" i="11"/>
  <c r="W125" i="11"/>
  <c r="AR124" i="11"/>
  <c r="W124" i="11"/>
  <c r="P124" i="11"/>
  <c r="T124" i="11" s="1"/>
  <c r="P118" i="11"/>
  <c r="P119" i="11" s="1"/>
  <c r="P120" i="11" s="1"/>
  <c r="P112" i="11"/>
  <c r="P106" i="11"/>
  <c r="P107" i="11" s="1"/>
  <c r="P100" i="11"/>
  <c r="P94" i="11"/>
  <c r="P95" i="11" s="1"/>
  <c r="T95" i="11" s="1"/>
  <c r="P88" i="11"/>
  <c r="P89" i="11" s="1"/>
  <c r="T89" i="11" s="1"/>
  <c r="W86" i="11"/>
  <c r="U86" i="11"/>
  <c r="T86" i="11"/>
  <c r="M86" i="11"/>
  <c r="W85" i="11"/>
  <c r="U85" i="11"/>
  <c r="T85" i="11"/>
  <c r="W84" i="11"/>
  <c r="U84" i="11"/>
  <c r="T84" i="11"/>
  <c r="W82" i="11"/>
  <c r="U82" i="11"/>
  <c r="T82" i="11"/>
  <c r="M82" i="11"/>
  <c r="W81" i="11"/>
  <c r="U81" i="11"/>
  <c r="T81" i="11"/>
  <c r="W80" i="11"/>
  <c r="U80" i="11"/>
  <c r="T80" i="11"/>
  <c r="W78" i="11"/>
  <c r="U78" i="11"/>
  <c r="T78" i="11"/>
  <c r="M78" i="11"/>
  <c r="W77" i="11"/>
  <c r="U77" i="11"/>
  <c r="T77" i="11"/>
  <c r="W76" i="11"/>
  <c r="U76" i="11"/>
  <c r="T76" i="11"/>
  <c r="W74" i="11"/>
  <c r="U74" i="11"/>
  <c r="T74" i="11"/>
  <c r="M74" i="11"/>
  <c r="W73" i="11"/>
  <c r="U73" i="11"/>
  <c r="T73" i="11"/>
  <c r="W72" i="11"/>
  <c r="U72" i="11"/>
  <c r="T72" i="11"/>
  <c r="W70" i="11"/>
  <c r="U70" i="11"/>
  <c r="T70" i="11"/>
  <c r="M70" i="11"/>
  <c r="W69" i="11"/>
  <c r="U69" i="11"/>
  <c r="T69" i="11"/>
  <c r="W68" i="11"/>
  <c r="U68" i="11"/>
  <c r="T68" i="11"/>
  <c r="W66" i="11"/>
  <c r="U66" i="11"/>
  <c r="T66" i="11"/>
  <c r="M66" i="11"/>
  <c r="W65" i="11"/>
  <c r="U65" i="11"/>
  <c r="T65" i="11"/>
  <c r="W64" i="11"/>
  <c r="U64" i="11"/>
  <c r="T64" i="11"/>
  <c r="W62" i="11"/>
  <c r="U62" i="11"/>
  <c r="T62" i="11"/>
  <c r="M62" i="11"/>
  <c r="W61" i="11"/>
  <c r="U61" i="11"/>
  <c r="T61" i="11"/>
  <c r="W60" i="11"/>
  <c r="U60" i="11"/>
  <c r="T60" i="11"/>
  <c r="W58" i="11"/>
  <c r="U58" i="11"/>
  <c r="T58" i="11"/>
  <c r="W57" i="11"/>
  <c r="U57" i="11"/>
  <c r="T57" i="11"/>
  <c r="W56" i="11"/>
  <c r="U56" i="11"/>
  <c r="T56" i="11"/>
  <c r="AR54" i="11"/>
  <c r="AR53" i="11"/>
  <c r="AR51" i="11"/>
  <c r="AR50" i="11"/>
  <c r="AR48" i="11"/>
  <c r="AR47" i="11"/>
  <c r="AR44" i="11"/>
  <c r="AR43" i="11"/>
  <c r="W550" i="11" l="1"/>
  <c r="W555" i="11"/>
  <c r="W571" i="11"/>
  <c r="W615" i="11"/>
  <c r="P125" i="11"/>
  <c r="T125" i="11" s="1"/>
  <c r="W379" i="11"/>
  <c r="W383" i="11"/>
  <c r="W632" i="11"/>
  <c r="W641" i="11"/>
  <c r="P135" i="11"/>
  <c r="T135" i="11" s="1"/>
  <c r="W654" i="11"/>
  <c r="W708" i="11"/>
  <c r="U1046" i="11"/>
  <c r="W599" i="11"/>
  <c r="W413" i="11"/>
  <c r="AU1430" i="11"/>
  <c r="AU1431" i="11" s="1"/>
  <c r="T154" i="11"/>
  <c r="T176" i="11"/>
  <c r="T198" i="11"/>
  <c r="W526" i="11"/>
  <c r="W530" i="11"/>
  <c r="W535" i="11"/>
  <c r="W558" i="11"/>
  <c r="W577" i="11"/>
  <c r="W582" i="11"/>
  <c r="W586" i="11"/>
  <c r="W604" i="11"/>
  <c r="W621" i="11"/>
  <c r="W625" i="11"/>
  <c r="W636" i="11"/>
  <c r="W645" i="11"/>
  <c r="W656" i="11"/>
  <c r="W692" i="11"/>
  <c r="P1519" i="11"/>
  <c r="W1060" i="11"/>
  <c r="W377" i="11"/>
  <c r="W698" i="11"/>
  <c r="W702" i="11"/>
  <c r="W709" i="11"/>
  <c r="W741" i="11"/>
  <c r="U1053" i="11"/>
  <c r="W408" i="11"/>
  <c r="W409" i="11"/>
  <c r="W410" i="11"/>
  <c r="W412" i="11"/>
  <c r="W655" i="11"/>
  <c r="W1039" i="11"/>
  <c r="U1044" i="11"/>
  <c r="T1367" i="11"/>
  <c r="P1487" i="11"/>
  <c r="T1487" i="11" s="1"/>
  <c r="W466" i="11"/>
  <c r="W689" i="11"/>
  <c r="W710" i="11"/>
  <c r="U1057" i="11"/>
  <c r="W407" i="11"/>
  <c r="W507" i="11"/>
  <c r="W690" i="11"/>
  <c r="W693" i="11"/>
  <c r="U1030" i="11"/>
  <c r="U1038" i="11"/>
  <c r="W1058" i="11"/>
  <c r="R1600" i="11"/>
  <c r="P1600" i="11" s="1"/>
  <c r="AU421" i="11"/>
  <c r="AU422" i="11" s="1"/>
  <c r="W505" i="11"/>
  <c r="W488" i="11"/>
  <c r="W738" i="11"/>
  <c r="W792" i="11"/>
  <c r="U1059" i="11"/>
  <c r="AU1442" i="11"/>
  <c r="AU1443" i="11" s="1"/>
  <c r="W523" i="11"/>
  <c r="W495" i="11"/>
  <c r="W653" i="11"/>
  <c r="W711" i="11"/>
  <c r="U1051" i="11"/>
  <c r="P90" i="11"/>
  <c r="P91" i="11" s="1"/>
  <c r="P92" i="11" s="1"/>
  <c r="T92" i="11" s="1"/>
  <c r="W462" i="11"/>
  <c r="W542" i="11"/>
  <c r="W561" i="11"/>
  <c r="W570" i="11"/>
  <c r="W598" i="11"/>
  <c r="W664" i="11"/>
  <c r="W671" i="11"/>
  <c r="W682" i="11"/>
  <c r="W691" i="11"/>
  <c r="W712" i="11"/>
  <c r="W781" i="11"/>
  <c r="W785" i="11"/>
  <c r="W790" i="11"/>
  <c r="W1037" i="11"/>
  <c r="W1045" i="11"/>
  <c r="W1052" i="11"/>
  <c r="P1465" i="11"/>
  <c r="T1465" i="11" s="1"/>
  <c r="P1567" i="11"/>
  <c r="W468" i="11"/>
  <c r="W470" i="11"/>
  <c r="W509" i="11"/>
  <c r="W633" i="11"/>
  <c r="W726" i="11"/>
  <c r="W752" i="11"/>
  <c r="U1039" i="11"/>
  <c r="U1052" i="11"/>
  <c r="T1349" i="11"/>
  <c r="W1349" i="11"/>
  <c r="T1373" i="11"/>
  <c r="W1373" i="11"/>
  <c r="W1374" i="11" s="1"/>
  <c r="W1375" i="11" s="1"/>
  <c r="W1376" i="11" s="1"/>
  <c r="W1377" i="11" s="1"/>
  <c r="P1476" i="11"/>
  <c r="T1476" i="11" s="1"/>
  <c r="AU1650" i="11"/>
  <c r="W387" i="11"/>
  <c r="W389" i="11"/>
  <c r="W392" i="11"/>
  <c r="W394" i="11"/>
  <c r="W397" i="11"/>
  <c r="W456" i="11"/>
  <c r="W461" i="11"/>
  <c r="W476" i="11"/>
  <c r="W478" i="11"/>
  <c r="W480" i="11"/>
  <c r="W483" i="11"/>
  <c r="W494" i="11"/>
  <c r="W497" i="11"/>
  <c r="W499" i="11"/>
  <c r="W501" i="11"/>
  <c r="W547" i="11"/>
  <c r="W551" i="11"/>
  <c r="W590" i="11"/>
  <c r="W593" i="11"/>
  <c r="W635" i="11"/>
  <c r="W674" i="11"/>
  <c r="W718" i="11"/>
  <c r="W725" i="11"/>
  <c r="W767" i="11"/>
  <c r="W770" i="11"/>
  <c r="P945" i="11"/>
  <c r="P946" i="11" s="1"/>
  <c r="T946" i="11" s="1"/>
  <c r="U1036" i="11"/>
  <c r="W1044" i="11"/>
  <c r="W1046" i="11"/>
  <c r="W1059" i="11"/>
  <c r="T1350" i="11"/>
  <c r="W1350" i="11"/>
  <c r="W1351" i="11" s="1"/>
  <c r="W1352" i="11" s="1"/>
  <c r="W1353" i="11" s="1"/>
  <c r="P1454" i="11"/>
  <c r="T1454" i="11" s="1"/>
  <c r="P1551" i="11"/>
  <c r="T119" i="11"/>
  <c r="W388" i="11"/>
  <c r="W395" i="11"/>
  <c r="W415" i="11"/>
  <c r="W473" i="11"/>
  <c r="W484" i="11"/>
  <c r="W486" i="11"/>
  <c r="AR519" i="11"/>
  <c r="AR520" i="11" s="1"/>
  <c r="AR521" i="11" s="1"/>
  <c r="W596" i="11"/>
  <c r="W390" i="11"/>
  <c r="W393" i="11"/>
  <c r="W402" i="11"/>
  <c r="W414" i="11"/>
  <c r="W452" i="11"/>
  <c r="W457" i="11"/>
  <c r="W490" i="11"/>
  <c r="W544" i="11"/>
  <c r="W591" i="11"/>
  <c r="W637" i="11"/>
  <c r="W672" i="11"/>
  <c r="W716" i="11"/>
  <c r="W720" i="11"/>
  <c r="U1037" i="11"/>
  <c r="U1050" i="11"/>
  <c r="W1385" i="11"/>
  <c r="W1386" i="11" s="1"/>
  <c r="W1387" i="11" s="1"/>
  <c r="W1388" i="11" s="1"/>
  <c r="W1389" i="11" s="1"/>
  <c r="T1385" i="11"/>
  <c r="T94" i="11"/>
  <c r="W512" i="11"/>
  <c r="W514" i="11"/>
  <c r="W516" i="11"/>
  <c r="W527" i="11"/>
  <c r="W583" i="11"/>
  <c r="W613" i="11"/>
  <c r="W623" i="11"/>
  <c r="W627" i="11"/>
  <c r="W634" i="11"/>
  <c r="W643" i="11"/>
  <c r="W647" i="11"/>
  <c r="W662" i="11"/>
  <c r="W666" i="11"/>
  <c r="W673" i="11"/>
  <c r="W680" i="11"/>
  <c r="W684" i="11"/>
  <c r="W700" i="11"/>
  <c r="W774" i="11"/>
  <c r="W778" i="11"/>
  <c r="T943" i="11"/>
  <c r="U1032" i="11"/>
  <c r="W1038" i="11"/>
  <c r="U1043" i="11"/>
  <c r="U1045" i="11"/>
  <c r="W1051" i="11"/>
  <c r="W1053" i="11"/>
  <c r="U1058" i="11"/>
  <c r="U1060" i="11"/>
  <c r="W1343" i="11"/>
  <c r="W1344" i="11" s="1"/>
  <c r="W1345" i="11" s="1"/>
  <c r="W1346" i="11" s="1"/>
  <c r="W1347" i="11" s="1"/>
  <c r="T106" i="11"/>
  <c r="P130" i="11"/>
  <c r="T139" i="11"/>
  <c r="T165" i="11"/>
  <c r="W453" i="11"/>
  <c r="W458" i="11"/>
  <c r="W467" i="11"/>
  <c r="W469" i="11"/>
  <c r="W485" i="11"/>
  <c r="W487" i="11"/>
  <c r="W489" i="11"/>
  <c r="W491" i="11"/>
  <c r="W506" i="11"/>
  <c r="W508" i="11"/>
  <c r="W605" i="11"/>
  <c r="W614" i="11"/>
  <c r="W620" i="11"/>
  <c r="W624" i="11"/>
  <c r="W642" i="11"/>
  <c r="W646" i="11"/>
  <c r="W665" i="11"/>
  <c r="W679" i="11"/>
  <c r="W683" i="11"/>
  <c r="W699" i="11"/>
  <c r="W707" i="11"/>
  <c r="W719" i="11"/>
  <c r="W775" i="11"/>
  <c r="AU958" i="11"/>
  <c r="W463" i="11"/>
  <c r="W477" i="11"/>
  <c r="W479" i="11"/>
  <c r="W496" i="11"/>
  <c r="W498" i="11"/>
  <c r="W500" i="11"/>
  <c r="W502" i="11"/>
  <c r="W597" i="11"/>
  <c r="W753" i="11"/>
  <c r="W771" i="11"/>
  <c r="W784" i="11"/>
  <c r="W783" i="11"/>
  <c r="W791" i="11"/>
  <c r="T187" i="11"/>
  <c r="W451" i="11"/>
  <c r="W513" i="11"/>
  <c r="W519" i="11"/>
  <c r="W522" i="11"/>
  <c r="W534" i="11"/>
  <c r="W543" i="11"/>
  <c r="W562" i="11"/>
  <c r="W563" i="11"/>
  <c r="W565" i="11"/>
  <c r="W568" i="11"/>
  <c r="W572" i="11"/>
  <c r="W575" i="11"/>
  <c r="W578" i="11"/>
  <c r="W589" i="11"/>
  <c r="W592" i="11"/>
  <c r="W600" i="11"/>
  <c r="W603" i="11"/>
  <c r="W606" i="11"/>
  <c r="W612" i="11"/>
  <c r="W622" i="11"/>
  <c r="W626" i="11"/>
  <c r="W640" i="11"/>
  <c r="W644" i="11"/>
  <c r="W652" i="11"/>
  <c r="W663" i="11"/>
  <c r="W681" i="11"/>
  <c r="W685" i="11"/>
  <c r="W701" i="11"/>
  <c r="W717" i="11"/>
  <c r="W724" i="11"/>
  <c r="W727" i="11"/>
  <c r="P733" i="11"/>
  <c r="W776" i="11"/>
  <c r="T905" i="11"/>
  <c r="T906" i="11" s="1"/>
  <c r="AX951" i="11"/>
  <c r="AX952" i="11" s="1"/>
  <c r="W380" i="11"/>
  <c r="W384" i="11"/>
  <c r="W385" i="11"/>
  <c r="W400" i="11"/>
  <c r="W405" i="11"/>
  <c r="W537" i="11"/>
  <c r="W540" i="11"/>
  <c r="W554" i="11"/>
  <c r="W579" i="11"/>
  <c r="W584" i="11"/>
  <c r="W585" i="11"/>
  <c r="W607" i="11"/>
  <c r="W739" i="11"/>
  <c r="W740" i="11"/>
  <c r="W750" i="11"/>
  <c r="W751" i="11"/>
  <c r="W768" i="11"/>
  <c r="W769" i="11"/>
  <c r="W777" i="11"/>
  <c r="W788" i="11"/>
  <c r="W789" i="11"/>
  <c r="AR933" i="11"/>
  <c r="AR934" i="11" s="1"/>
  <c r="P938" i="11"/>
  <c r="T938" i="11" s="1"/>
  <c r="T937" i="11"/>
  <c r="AR951" i="11"/>
  <c r="AR952" i="11" s="1"/>
  <c r="AR1299" i="11"/>
  <c r="AR1442" i="11"/>
  <c r="R1536" i="11"/>
  <c r="P1536" i="11" s="1"/>
  <c r="AR983" i="11"/>
  <c r="AR984" i="11" s="1"/>
  <c r="W1392" i="11"/>
  <c r="W1393" i="11" s="1"/>
  <c r="W1394" i="11" s="1"/>
  <c r="W1395" i="11" s="1"/>
  <c r="W1397" i="11"/>
  <c r="W1398" i="11" s="1"/>
  <c r="W1399" i="11" s="1"/>
  <c r="W1400" i="11" s="1"/>
  <c r="W1401" i="11" s="1"/>
  <c r="AU1455" i="11"/>
  <c r="AU1456" i="11" s="1"/>
  <c r="AU1466" i="11"/>
  <c r="AU1467" i="11" s="1"/>
  <c r="AU1468" i="11" s="1"/>
  <c r="W782" i="11"/>
  <c r="T925" i="11"/>
  <c r="T931" i="11"/>
  <c r="AX945" i="11"/>
  <c r="U1031" i="11"/>
  <c r="W1368" i="11"/>
  <c r="W1369" i="11" s="1"/>
  <c r="W1370" i="11" s="1"/>
  <c r="W1371" i="11" s="1"/>
  <c r="T1391" i="11"/>
  <c r="AX1442" i="11"/>
  <c r="P1616" i="11"/>
  <c r="AU1407" i="11"/>
  <c r="AU1419" i="11"/>
  <c r="AX1432" i="11"/>
  <c r="AR1406" i="11"/>
  <c r="AX1406" i="11"/>
  <c r="AR1418" i="11"/>
  <c r="AX1418" i="11"/>
  <c r="AR1431" i="11"/>
  <c r="R1457" i="11"/>
  <c r="P1456" i="11"/>
  <c r="T1456" i="11" s="1"/>
  <c r="AR1457" i="11"/>
  <c r="R1468" i="11"/>
  <c r="P1467" i="11"/>
  <c r="T1467" i="11" s="1"/>
  <c r="AR1468" i="11"/>
  <c r="R1478" i="11"/>
  <c r="P1477" i="11"/>
  <c r="T1477" i="11" s="1"/>
  <c r="R1489" i="11"/>
  <c r="P1488" i="11"/>
  <c r="T1488" i="11" s="1"/>
  <c r="AX1457" i="11"/>
  <c r="AX1468" i="11"/>
  <c r="P1455" i="11"/>
  <c r="T1455" i="11" s="1"/>
  <c r="AX1552" i="11"/>
  <c r="P1520" i="11"/>
  <c r="R1521" i="11"/>
  <c r="AU1568" i="11"/>
  <c r="P1466" i="11"/>
  <c r="T1466" i="11" s="1"/>
  <c r="P1552" i="11"/>
  <c r="R1553" i="11"/>
  <c r="AU1551" i="11"/>
  <c r="AR1552" i="11"/>
  <c r="AX1567" i="11"/>
  <c r="R1569" i="11"/>
  <c r="P1568" i="11"/>
  <c r="AR1566" i="11"/>
  <c r="AU1615" i="11"/>
  <c r="AR1616" i="11"/>
  <c r="AX1616" i="11"/>
  <c r="R1585" i="11"/>
  <c r="P1584" i="11"/>
  <c r="P1583" i="11"/>
  <c r="AX1631" i="11"/>
  <c r="R1618" i="11"/>
  <c r="AR1631" i="11"/>
  <c r="P1615" i="11"/>
  <c r="AU1631" i="11"/>
  <c r="R1632" i="11"/>
  <c r="P1631" i="11"/>
  <c r="AR1303" i="11"/>
  <c r="W1379" i="11"/>
  <c r="W1380" i="11" s="1"/>
  <c r="W1381" i="11" s="1"/>
  <c r="W1382" i="11" s="1"/>
  <c r="W1383" i="11" s="1"/>
  <c r="T1395" i="11"/>
  <c r="P927" i="11"/>
  <c r="T926" i="11"/>
  <c r="AR928" i="11"/>
  <c r="P933" i="11"/>
  <c r="T932" i="11"/>
  <c r="AU929" i="11"/>
  <c r="AX928" i="11"/>
  <c r="AU939" i="11"/>
  <c r="AU967" i="11"/>
  <c r="AR992" i="11"/>
  <c r="AX939" i="11"/>
  <c r="AX959" i="11"/>
  <c r="AX967" i="11"/>
  <c r="AR969" i="11"/>
  <c r="AR976" i="11"/>
  <c r="AU985" i="11"/>
  <c r="AU992" i="11"/>
  <c r="AU933" i="11"/>
  <c r="AR945" i="11"/>
  <c r="AU952" i="11"/>
  <c r="AU976" i="11"/>
  <c r="AX985" i="11"/>
  <c r="AX992" i="11"/>
  <c r="AR939" i="11"/>
  <c r="AU945" i="11"/>
  <c r="AR959" i="11"/>
  <c r="AX976" i="11"/>
  <c r="W1029" i="11"/>
  <c r="W1030" i="11"/>
  <c r="W1031" i="11"/>
  <c r="CF1032" i="11"/>
  <c r="AR513" i="11"/>
  <c r="AU432" i="11"/>
  <c r="AR437" i="11"/>
  <c r="AR467" i="11"/>
  <c r="AR445" i="11"/>
  <c r="AR452" i="11"/>
  <c r="AR457" i="11"/>
  <c r="AR462" i="11"/>
  <c r="AX426" i="11"/>
  <c r="AR473" i="11"/>
  <c r="AR476" i="11"/>
  <c r="AR483" i="11"/>
  <c r="AR494" i="11"/>
  <c r="AR505" i="11"/>
  <c r="W520" i="11"/>
  <c r="W528" i="11"/>
  <c r="W529" i="11"/>
  <c r="W533" i="11"/>
  <c r="W548" i="11"/>
  <c r="W549" i="11"/>
  <c r="W564" i="11"/>
  <c r="AX431" i="11"/>
  <c r="AU426" i="11"/>
  <c r="W515" i="11"/>
  <c r="W541" i="11"/>
  <c r="W521" i="11"/>
  <c r="W536" i="11"/>
  <c r="W556" i="11"/>
  <c r="W557" i="11"/>
  <c r="W569" i="11"/>
  <c r="W576" i="11"/>
  <c r="T901" i="11"/>
  <c r="T88" i="11"/>
  <c r="P96" i="11"/>
  <c r="P190" i="11"/>
  <c r="T189" i="11"/>
  <c r="P101" i="11"/>
  <c r="T100" i="11"/>
  <c r="P157" i="11"/>
  <c r="T156" i="11"/>
  <c r="P201" i="11"/>
  <c r="T200" i="11"/>
  <c r="P168" i="11"/>
  <c r="T167" i="11"/>
  <c r="P108" i="11"/>
  <c r="T107" i="11"/>
  <c r="T112" i="11"/>
  <c r="P113" i="11"/>
  <c r="P121" i="11"/>
  <c r="T120" i="11"/>
  <c r="P179" i="11"/>
  <c r="T178" i="11"/>
  <c r="P143" i="11"/>
  <c r="T143" i="11" s="1"/>
  <c r="P146" i="11"/>
  <c r="T146" i="11" s="1"/>
  <c r="P221" i="11"/>
  <c r="T220" i="11"/>
  <c r="P233" i="11"/>
  <c r="T232" i="11"/>
  <c r="T118" i="11"/>
  <c r="P210" i="11"/>
  <c r="T209" i="11"/>
  <c r="T155" i="11"/>
  <c r="T166" i="11"/>
  <c r="T177" i="11"/>
  <c r="T188" i="11"/>
  <c r="T199" i="11"/>
  <c r="W378" i="11"/>
  <c r="W382" i="11"/>
  <c r="W398" i="11"/>
  <c r="W403" i="11"/>
  <c r="W399" i="11"/>
  <c r="W404" i="11"/>
  <c r="T231" i="11"/>
  <c r="T378" i="11"/>
  <c r="T382" i="11"/>
  <c r="AU1432" i="11" l="1"/>
  <c r="P136" i="11"/>
  <c r="T136" i="11" s="1"/>
  <c r="P126" i="11"/>
  <c r="T126" i="11" s="1"/>
  <c r="AX946" i="11"/>
  <c r="AR1443" i="11"/>
  <c r="AR1444" i="11" s="1"/>
  <c r="T91" i="11"/>
  <c r="P939" i="11"/>
  <c r="T939" i="11" s="1"/>
  <c r="R1601" i="11"/>
  <c r="P1601" i="11" s="1"/>
  <c r="T945" i="11"/>
  <c r="T90" i="11"/>
  <c r="AU959" i="11"/>
  <c r="AU960" i="11" s="1"/>
  <c r="AR985" i="11"/>
  <c r="AR986" i="11" s="1"/>
  <c r="P947" i="11"/>
  <c r="T947" i="11" s="1"/>
  <c r="R1537" i="11"/>
  <c r="R1538" i="11" s="1"/>
  <c r="AU1457" i="11"/>
  <c r="AX1443" i="11"/>
  <c r="AR935" i="11"/>
  <c r="T130" i="11"/>
  <c r="P131" i="11"/>
  <c r="R1633" i="11"/>
  <c r="P1632" i="11"/>
  <c r="AU1616" i="11"/>
  <c r="R1570" i="11"/>
  <c r="P1569" i="11"/>
  <c r="AR1553" i="11"/>
  <c r="AX1458" i="11"/>
  <c r="AR1432" i="11"/>
  <c r="AX1433" i="11"/>
  <c r="AX1632" i="11"/>
  <c r="AR1567" i="11"/>
  <c r="AX1568" i="11"/>
  <c r="AU1552" i="11"/>
  <c r="AU1569" i="11"/>
  <c r="R1490" i="11"/>
  <c r="P1489" i="11"/>
  <c r="T1489" i="11" s="1"/>
  <c r="AU1469" i="11"/>
  <c r="AR1469" i="11"/>
  <c r="AR1458" i="11"/>
  <c r="AX1407" i="11"/>
  <c r="AU1420" i="11"/>
  <c r="AU1632" i="11"/>
  <c r="AR1632" i="11"/>
  <c r="P1585" i="11"/>
  <c r="R1586" i="11"/>
  <c r="AR1617" i="11"/>
  <c r="AX1553" i="11"/>
  <c r="AX1469" i="11"/>
  <c r="AU1444" i="11"/>
  <c r="AX1419" i="11"/>
  <c r="AR1407" i="11"/>
  <c r="P1618" i="11"/>
  <c r="R1619" i="11"/>
  <c r="AX1617" i="11"/>
  <c r="P1553" i="11"/>
  <c r="R1554" i="11"/>
  <c r="P1521" i="11"/>
  <c r="R1522" i="11"/>
  <c r="R1479" i="11"/>
  <c r="P1478" i="11"/>
  <c r="T1478" i="11" s="1"/>
  <c r="R1469" i="11"/>
  <c r="P1468" i="11"/>
  <c r="T1468" i="11" s="1"/>
  <c r="R1458" i="11"/>
  <c r="P1457" i="11"/>
  <c r="T1457" i="11" s="1"/>
  <c r="AR1419" i="11"/>
  <c r="AU1433" i="11"/>
  <c r="AU1408" i="11"/>
  <c r="AX977" i="11"/>
  <c r="AX953" i="11"/>
  <c r="AR940" i="11"/>
  <c r="AX986" i="11"/>
  <c r="AU953" i="11"/>
  <c r="AU946" i="11"/>
  <c r="AU993" i="11"/>
  <c r="AR977" i="11"/>
  <c r="AX968" i="11"/>
  <c r="AR953" i="11"/>
  <c r="AR993" i="11"/>
  <c r="AU968" i="11"/>
  <c r="AU940" i="11"/>
  <c r="AR929" i="11"/>
  <c r="AR960" i="11"/>
  <c r="AX993" i="11"/>
  <c r="AU977" i="11"/>
  <c r="AR946" i="11"/>
  <c r="AU934" i="11"/>
  <c r="AU986" i="11"/>
  <c r="AR970" i="11"/>
  <c r="AX960" i="11"/>
  <c r="AX940" i="11"/>
  <c r="AX929" i="11"/>
  <c r="P934" i="11"/>
  <c r="T933" i="11"/>
  <c r="P928" i="11"/>
  <c r="T927" i="11"/>
  <c r="AR495" i="11"/>
  <c r="AX427" i="11"/>
  <c r="AR506" i="11"/>
  <c r="AR446" i="11"/>
  <c r="AX432" i="11"/>
  <c r="AU427" i="11"/>
  <c r="AR458" i="11"/>
  <c r="AR468" i="11"/>
  <c r="T907" i="11"/>
  <c r="AR484" i="11"/>
  <c r="T902" i="11"/>
  <c r="AR477" i="11"/>
  <c r="AR463" i="11"/>
  <c r="AR453" i="11"/>
  <c r="AR522" i="11"/>
  <c r="AR438" i="11"/>
  <c r="AR514" i="11"/>
  <c r="P234" i="11"/>
  <c r="T233" i="11"/>
  <c r="T121" i="11"/>
  <c r="P122" i="11"/>
  <c r="T122" i="11" s="1"/>
  <c r="P109" i="11"/>
  <c r="T108" i="11"/>
  <c r="P202" i="11"/>
  <c r="T201" i="11"/>
  <c r="P102" i="11"/>
  <c r="T101" i="11"/>
  <c r="P114" i="11"/>
  <c r="T113" i="11"/>
  <c r="P211" i="11"/>
  <c r="T210" i="11"/>
  <c r="P222" i="11"/>
  <c r="T221" i="11"/>
  <c r="P180" i="11"/>
  <c r="T179" i="11"/>
  <c r="P169" i="11"/>
  <c r="T168" i="11"/>
  <c r="P158" i="11"/>
  <c r="T157" i="11"/>
  <c r="P191" i="11"/>
  <c r="T190" i="11"/>
  <c r="P97" i="11"/>
  <c r="T96" i="11"/>
  <c r="P137" i="11" l="1"/>
  <c r="T137" i="11" s="1"/>
  <c r="AX947" i="11"/>
  <c r="R1602" i="11"/>
  <c r="R1603" i="11" s="1"/>
  <c r="P127" i="11"/>
  <c r="T127" i="11" s="1"/>
  <c r="AX1444" i="11"/>
  <c r="P940" i="11"/>
  <c r="T940" i="11" s="1"/>
  <c r="AU1458" i="11"/>
  <c r="P1537" i="11"/>
  <c r="T131" i="11"/>
  <c r="P132" i="11"/>
  <c r="T132" i="11" s="1"/>
  <c r="AR1420" i="11"/>
  <c r="P1522" i="11"/>
  <c r="R1523" i="11"/>
  <c r="AR1408" i="11"/>
  <c r="AU1445" i="11"/>
  <c r="AR1618" i="11"/>
  <c r="AR1433" i="11"/>
  <c r="AU1409" i="11"/>
  <c r="R1470" i="11"/>
  <c r="P1469" i="11"/>
  <c r="T1469" i="11" s="1"/>
  <c r="R1480" i="11"/>
  <c r="P1479" i="11"/>
  <c r="T1479" i="11" s="1"/>
  <c r="AX1618" i="11"/>
  <c r="AX1554" i="11"/>
  <c r="AR1633" i="11"/>
  <c r="AU1421" i="11"/>
  <c r="AR1459" i="11"/>
  <c r="AU1470" i="11"/>
  <c r="AU1570" i="11"/>
  <c r="AX1569" i="11"/>
  <c r="AX1633" i="11"/>
  <c r="AR1445" i="11"/>
  <c r="P1570" i="11"/>
  <c r="R1571" i="11"/>
  <c r="R1555" i="11"/>
  <c r="P1554" i="11"/>
  <c r="R1620" i="11"/>
  <c r="P1619" i="11"/>
  <c r="AX1420" i="11"/>
  <c r="P1538" i="11"/>
  <c r="R1539" i="11"/>
  <c r="R1587" i="11"/>
  <c r="P1586" i="11"/>
  <c r="AX1408" i="11"/>
  <c r="AU1553" i="11"/>
  <c r="AR1568" i="11"/>
  <c r="R1459" i="11"/>
  <c r="P1458" i="11"/>
  <c r="T1458" i="11" s="1"/>
  <c r="AX1445" i="11"/>
  <c r="AX1470" i="11"/>
  <c r="AU1633" i="11"/>
  <c r="AR1470" i="11"/>
  <c r="P1490" i="11"/>
  <c r="T1490" i="11" s="1"/>
  <c r="R1491" i="11"/>
  <c r="AX1459" i="11"/>
  <c r="AR1554" i="11"/>
  <c r="AU1617" i="11"/>
  <c r="R1634" i="11"/>
  <c r="P1633" i="11"/>
  <c r="AR947" i="11"/>
  <c r="AR961" i="11"/>
  <c r="AU941" i="11"/>
  <c r="AU947" i="11"/>
  <c r="AX954" i="11"/>
  <c r="T928" i="11"/>
  <c r="P929" i="11"/>
  <c r="T929" i="11" s="1"/>
  <c r="AR987" i="11"/>
  <c r="AX961" i="11"/>
  <c r="AU987" i="11"/>
  <c r="AX994" i="11"/>
  <c r="AR994" i="11"/>
  <c r="AX969" i="11"/>
  <c r="AU994" i="11"/>
  <c r="AX987" i="11"/>
  <c r="AR954" i="11"/>
  <c r="AU954" i="11"/>
  <c r="AR941" i="11"/>
  <c r="P935" i="11"/>
  <c r="T935" i="11" s="1"/>
  <c r="T934" i="11"/>
  <c r="AU961" i="11"/>
  <c r="AX941" i="11"/>
  <c r="AR971" i="11"/>
  <c r="AU935" i="11"/>
  <c r="AU978" i="11"/>
  <c r="AU969" i="11"/>
  <c r="AR978" i="11"/>
  <c r="AX978" i="11"/>
  <c r="AR469" i="11"/>
  <c r="AR439" i="11"/>
  <c r="AR478" i="11"/>
  <c r="AR485" i="11"/>
  <c r="AR447" i="11"/>
  <c r="AR507" i="11"/>
  <c r="AR496" i="11"/>
  <c r="AR515" i="11"/>
  <c r="AR523" i="11"/>
  <c r="P192" i="11"/>
  <c r="T191" i="11"/>
  <c r="P170" i="11"/>
  <c r="T169" i="11"/>
  <c r="P223" i="11"/>
  <c r="T222" i="11"/>
  <c r="P115" i="11"/>
  <c r="T114" i="11"/>
  <c r="P203" i="11"/>
  <c r="T202" i="11"/>
  <c r="P98" i="11"/>
  <c r="T98" i="11" s="1"/>
  <c r="T97" i="11"/>
  <c r="P159" i="11"/>
  <c r="T158" i="11"/>
  <c r="P181" i="11"/>
  <c r="T180" i="11"/>
  <c r="P212" i="11"/>
  <c r="T211" i="11"/>
  <c r="P103" i="11"/>
  <c r="T102" i="11"/>
  <c r="P110" i="11"/>
  <c r="T110" i="11" s="1"/>
  <c r="T109" i="11"/>
  <c r="P235" i="11"/>
  <c r="T234" i="11"/>
  <c r="AU1459" i="11" l="1"/>
  <c r="P1602" i="11"/>
  <c r="P941" i="11"/>
  <c r="T941" i="11" s="1"/>
  <c r="P1491" i="11"/>
  <c r="T1491" i="11" s="1"/>
  <c r="R1492" i="11"/>
  <c r="AU1554" i="11"/>
  <c r="AX1570" i="11"/>
  <c r="P1523" i="11"/>
  <c r="R1524" i="11"/>
  <c r="AR1555" i="11"/>
  <c r="AU1634" i="11"/>
  <c r="R1460" i="11"/>
  <c r="P1459" i="11"/>
  <c r="T1459" i="11" s="1"/>
  <c r="P1587" i="11"/>
  <c r="R1588" i="11"/>
  <c r="AX1421" i="11"/>
  <c r="R1556" i="11"/>
  <c r="P1555" i="11"/>
  <c r="AU1471" i="11"/>
  <c r="AX1555" i="11"/>
  <c r="R1481" i="11"/>
  <c r="P1480" i="11"/>
  <c r="T1480" i="11" s="1"/>
  <c r="R1635" i="11"/>
  <c r="P1634" i="11"/>
  <c r="AR1569" i="11"/>
  <c r="P1539" i="11"/>
  <c r="R1540" i="11"/>
  <c r="P1571" i="11"/>
  <c r="R1572" i="11"/>
  <c r="P1603" i="11"/>
  <c r="R1604" i="11"/>
  <c r="AU1618" i="11"/>
  <c r="AX1460" i="11"/>
  <c r="AR1471" i="11"/>
  <c r="AX1471" i="11"/>
  <c r="AU1460" i="11"/>
  <c r="AX1409" i="11"/>
  <c r="R1621" i="11"/>
  <c r="P1620" i="11"/>
  <c r="AX1634" i="11"/>
  <c r="AU1571" i="11"/>
  <c r="AR1460" i="11"/>
  <c r="AR1634" i="11"/>
  <c r="AX1619" i="11"/>
  <c r="R1471" i="11"/>
  <c r="P1470" i="11"/>
  <c r="T1470" i="11" s="1"/>
  <c r="AR1619" i="11"/>
  <c r="AR1409" i="11"/>
  <c r="AR1421" i="11"/>
  <c r="AU955" i="11"/>
  <c r="AX970" i="11"/>
  <c r="AX995" i="11"/>
  <c r="AX962" i="11"/>
  <c r="AR962" i="11"/>
  <c r="AR979" i="11"/>
  <c r="AX979" i="11"/>
  <c r="AU970" i="11"/>
  <c r="AU979" i="11"/>
  <c r="AU962" i="11"/>
  <c r="AR955" i="11"/>
  <c r="AU995" i="11"/>
  <c r="AR995" i="11"/>
  <c r="AX955" i="11"/>
  <c r="AR516" i="11"/>
  <c r="AR508" i="11"/>
  <c r="AR486" i="11"/>
  <c r="AR440" i="11"/>
  <c r="AR479" i="11"/>
  <c r="AR497" i="11"/>
  <c r="AR448" i="11"/>
  <c r="AR470" i="11"/>
  <c r="P236" i="11"/>
  <c r="T235" i="11"/>
  <c r="P104" i="11"/>
  <c r="T104" i="11" s="1"/>
  <c r="T103" i="11"/>
  <c r="P182" i="11"/>
  <c r="T181" i="11"/>
  <c r="T115" i="11"/>
  <c r="P116" i="11"/>
  <c r="T116" i="11" s="1"/>
  <c r="P171" i="11"/>
  <c r="T170" i="11"/>
  <c r="P213" i="11"/>
  <c r="T212" i="11"/>
  <c r="P160" i="11"/>
  <c r="T159" i="11"/>
  <c r="P204" i="11"/>
  <c r="T203" i="11"/>
  <c r="P224" i="11"/>
  <c r="T223" i="11"/>
  <c r="P193" i="11"/>
  <c r="T192" i="11"/>
  <c r="P1604" i="11" l="1"/>
  <c r="R1605" i="11"/>
  <c r="P1540" i="11"/>
  <c r="R1541" i="11"/>
  <c r="AX1556" i="11"/>
  <c r="R1589" i="11"/>
  <c r="P1588" i="11"/>
  <c r="P1524" i="11"/>
  <c r="R1525" i="11"/>
  <c r="AU1555" i="11"/>
  <c r="AR1620" i="11"/>
  <c r="AX1620" i="11"/>
  <c r="AR1461" i="11"/>
  <c r="AX1635" i="11"/>
  <c r="AX1472" i="11"/>
  <c r="AX1461" i="11"/>
  <c r="R1636" i="11"/>
  <c r="P1635" i="11"/>
  <c r="P1556" i="11"/>
  <c r="R1557" i="11"/>
  <c r="AU1635" i="11"/>
  <c r="AU1572" i="11"/>
  <c r="AU1619" i="11"/>
  <c r="R1573" i="11"/>
  <c r="P1572" i="11"/>
  <c r="AR1570" i="11"/>
  <c r="AR1556" i="11"/>
  <c r="AX1571" i="11"/>
  <c r="P1492" i="11"/>
  <c r="T1492" i="11" s="1"/>
  <c r="R1493" i="11"/>
  <c r="R1472" i="11"/>
  <c r="P1471" i="11"/>
  <c r="T1471" i="11" s="1"/>
  <c r="AR1635" i="11"/>
  <c r="P1621" i="11"/>
  <c r="R1622" i="11"/>
  <c r="AU1461" i="11"/>
  <c r="AR1472" i="11"/>
  <c r="R1482" i="11"/>
  <c r="P1481" i="11"/>
  <c r="T1481" i="11" s="1"/>
  <c r="AU1472" i="11"/>
  <c r="R1461" i="11"/>
  <c r="P1460" i="11"/>
  <c r="T1460" i="11" s="1"/>
  <c r="AU963" i="11"/>
  <c r="AU971" i="11"/>
  <c r="AX963" i="11"/>
  <c r="AX971" i="11"/>
  <c r="AR963" i="11"/>
  <c r="AR498" i="11"/>
  <c r="AR509" i="11"/>
  <c r="AR480" i="11"/>
  <c r="AR487" i="11"/>
  <c r="AR441" i="11"/>
  <c r="P205" i="11"/>
  <c r="T204" i="11"/>
  <c r="P214" i="11"/>
  <c r="T213" i="11"/>
  <c r="P194" i="11"/>
  <c r="T193" i="11"/>
  <c r="P225" i="11"/>
  <c r="T224" i="11"/>
  <c r="P161" i="11"/>
  <c r="T160" i="11"/>
  <c r="P172" i="11"/>
  <c r="T171" i="11"/>
  <c r="P183" i="11"/>
  <c r="T182" i="11"/>
  <c r="P237" i="11"/>
  <c r="T236" i="11"/>
  <c r="P1493" i="11" l="1"/>
  <c r="T1493" i="11" s="1"/>
  <c r="R1494" i="11"/>
  <c r="AR1557" i="11"/>
  <c r="AU1573" i="11"/>
  <c r="P1557" i="11"/>
  <c r="R1558" i="11"/>
  <c r="AX1621" i="11"/>
  <c r="P1541" i="11"/>
  <c r="R1542" i="11"/>
  <c r="R1462" i="11"/>
  <c r="P1461" i="11"/>
  <c r="T1461" i="11" s="1"/>
  <c r="R1483" i="11"/>
  <c r="P1482" i="11"/>
  <c r="T1482" i="11" s="1"/>
  <c r="AU1462" i="11"/>
  <c r="AR1636" i="11"/>
  <c r="R1574" i="11"/>
  <c r="P1573" i="11"/>
  <c r="AX1462" i="11"/>
  <c r="AX1636" i="11"/>
  <c r="AU1556" i="11"/>
  <c r="P1589" i="11"/>
  <c r="R1590" i="11"/>
  <c r="P1622" i="11"/>
  <c r="R1623" i="11"/>
  <c r="AR1571" i="11"/>
  <c r="AU1620" i="11"/>
  <c r="AR1621" i="11"/>
  <c r="P1525" i="11"/>
  <c r="R1526" i="11"/>
  <c r="AX1557" i="11"/>
  <c r="P1605" i="11"/>
  <c r="R1606" i="11"/>
  <c r="AU1473" i="11"/>
  <c r="AR1473" i="11"/>
  <c r="R1473" i="11"/>
  <c r="P1472" i="11"/>
  <c r="T1472" i="11" s="1"/>
  <c r="AX1572" i="11"/>
  <c r="AU1636" i="11"/>
  <c r="R1637" i="11"/>
  <c r="P1636" i="11"/>
  <c r="AX1473" i="11"/>
  <c r="AR1462" i="11"/>
  <c r="AR488" i="11"/>
  <c r="AR499" i="11"/>
  <c r="P238" i="11"/>
  <c r="T237" i="11"/>
  <c r="P173" i="11"/>
  <c r="T172" i="11"/>
  <c r="P226" i="11"/>
  <c r="T225" i="11"/>
  <c r="P215" i="11"/>
  <c r="T214" i="11"/>
  <c r="P184" i="11"/>
  <c r="T183" i="11"/>
  <c r="P162" i="11"/>
  <c r="T161" i="11"/>
  <c r="P195" i="11"/>
  <c r="T194" i="11"/>
  <c r="P206" i="11"/>
  <c r="T205" i="11"/>
  <c r="AU1637" i="11" l="1"/>
  <c r="P1606" i="11"/>
  <c r="R1607" i="11"/>
  <c r="P1526" i="11"/>
  <c r="R1527" i="11"/>
  <c r="R1624" i="11"/>
  <c r="P1623" i="11"/>
  <c r="P1542" i="11"/>
  <c r="R1543" i="11"/>
  <c r="R1559" i="11"/>
  <c r="P1558" i="11"/>
  <c r="AR1463" i="11"/>
  <c r="R1638" i="11"/>
  <c r="P1637" i="11"/>
  <c r="AX1573" i="11"/>
  <c r="AR1474" i="11"/>
  <c r="AU1621" i="11"/>
  <c r="AU1557" i="11"/>
  <c r="AX1463" i="11"/>
  <c r="AR1637" i="11"/>
  <c r="R1484" i="11"/>
  <c r="P1483" i="11"/>
  <c r="T1483" i="11" s="1"/>
  <c r="AR1558" i="11"/>
  <c r="AR1622" i="11"/>
  <c r="R1591" i="11"/>
  <c r="P1590" i="11"/>
  <c r="AX1622" i="11"/>
  <c r="P1494" i="11"/>
  <c r="T1494" i="11" s="1"/>
  <c r="R1495" i="11"/>
  <c r="AX1474" i="11"/>
  <c r="R1474" i="11"/>
  <c r="P1474" i="11" s="1"/>
  <c r="T1474" i="11" s="1"/>
  <c r="P1473" i="11"/>
  <c r="T1473" i="11" s="1"/>
  <c r="AU1474" i="11"/>
  <c r="AX1558" i="11"/>
  <c r="AR1572" i="11"/>
  <c r="AX1637" i="11"/>
  <c r="R1575" i="11"/>
  <c r="P1574" i="11"/>
  <c r="AU1463" i="11"/>
  <c r="R1463" i="11"/>
  <c r="P1463" i="11" s="1"/>
  <c r="T1463" i="11" s="1"/>
  <c r="P1462" i="11"/>
  <c r="T1462" i="11" s="1"/>
  <c r="AU1574" i="11"/>
  <c r="AR500" i="11"/>
  <c r="AR489" i="11"/>
  <c r="P216" i="11"/>
  <c r="T215" i="11"/>
  <c r="P174" i="11"/>
  <c r="T174" i="11" s="1"/>
  <c r="T173" i="11"/>
  <c r="P207" i="11"/>
  <c r="T207" i="11" s="1"/>
  <c r="T206" i="11"/>
  <c r="P163" i="11"/>
  <c r="T163" i="11" s="1"/>
  <c r="T162" i="11"/>
  <c r="P196" i="11"/>
  <c r="T196" i="11" s="1"/>
  <c r="T195" i="11"/>
  <c r="P185" i="11"/>
  <c r="T185" i="11" s="1"/>
  <c r="T184" i="11"/>
  <c r="P227" i="11"/>
  <c r="T226" i="11"/>
  <c r="P239" i="11"/>
  <c r="T238" i="11"/>
  <c r="AX1559" i="11" l="1"/>
  <c r="P1495" i="11"/>
  <c r="T1495" i="11" s="1"/>
  <c r="R1496" i="11"/>
  <c r="P1496" i="11" s="1"/>
  <c r="T1496" i="11" s="1"/>
  <c r="AU1558" i="11"/>
  <c r="P1607" i="11"/>
  <c r="R1608" i="11"/>
  <c r="P1591" i="11"/>
  <c r="R1592" i="11"/>
  <c r="AR1559" i="11"/>
  <c r="AR1638" i="11"/>
  <c r="R1639" i="11"/>
  <c r="P1638" i="11"/>
  <c r="P1559" i="11"/>
  <c r="R1560" i="11"/>
  <c r="R1625" i="11"/>
  <c r="P1624" i="11"/>
  <c r="AX1638" i="11"/>
  <c r="AX1574" i="11"/>
  <c r="P1543" i="11"/>
  <c r="R1544" i="11"/>
  <c r="P1527" i="11"/>
  <c r="R1528" i="11"/>
  <c r="AU1575" i="11"/>
  <c r="R1576" i="11"/>
  <c r="P1575" i="11"/>
  <c r="AR1573" i="11"/>
  <c r="AX1623" i="11"/>
  <c r="AR1623" i="11"/>
  <c r="R1485" i="11"/>
  <c r="P1485" i="11" s="1"/>
  <c r="T1485" i="11" s="1"/>
  <c r="P1484" i="11"/>
  <c r="T1484" i="11" s="1"/>
  <c r="AU1622" i="11"/>
  <c r="AU1638" i="11"/>
  <c r="AR490" i="11"/>
  <c r="AR501" i="11"/>
  <c r="P240" i="11"/>
  <c r="T240" i="11" s="1"/>
  <c r="T239" i="11"/>
  <c r="P228" i="11"/>
  <c r="T227" i="11"/>
  <c r="P217" i="11"/>
  <c r="T216" i="11"/>
  <c r="P1528" i="11" l="1"/>
  <c r="R1529" i="11"/>
  <c r="AR1560" i="11"/>
  <c r="P1608" i="11"/>
  <c r="R1609" i="11"/>
  <c r="AX1624" i="11"/>
  <c r="P1576" i="11"/>
  <c r="R1577" i="11"/>
  <c r="AX1575" i="11"/>
  <c r="R1626" i="11"/>
  <c r="P1625" i="11"/>
  <c r="R1640" i="11"/>
  <c r="P1639" i="11"/>
  <c r="AU1639" i="11"/>
  <c r="AU1623" i="11"/>
  <c r="AR1574" i="11"/>
  <c r="P1544" i="11"/>
  <c r="R1545" i="11"/>
  <c r="P1560" i="11"/>
  <c r="R1561" i="11"/>
  <c r="R1593" i="11"/>
  <c r="P1592" i="11"/>
  <c r="AX1560" i="11"/>
  <c r="AR1624" i="11"/>
  <c r="AU1576" i="11"/>
  <c r="AX1639" i="11"/>
  <c r="AR1639" i="11"/>
  <c r="AU1559" i="11"/>
  <c r="AR502" i="11"/>
  <c r="AR491" i="11"/>
  <c r="P229" i="11"/>
  <c r="T229" i="11" s="1"/>
  <c r="T228" i="11"/>
  <c r="P218" i="11"/>
  <c r="T218" i="11" s="1"/>
  <c r="T217" i="11"/>
  <c r="P1545" i="11" l="1"/>
  <c r="R1546" i="11"/>
  <c r="AX1576" i="11"/>
  <c r="AX1640" i="11"/>
  <c r="P1593" i="11"/>
  <c r="R1594" i="11"/>
  <c r="AU1624" i="11"/>
  <c r="R1641" i="11"/>
  <c r="P1640" i="11"/>
  <c r="AX1625" i="11"/>
  <c r="AR1561" i="11"/>
  <c r="R1562" i="11"/>
  <c r="P1561" i="11"/>
  <c r="P1577" i="11"/>
  <c r="R1578" i="11"/>
  <c r="P1609" i="11"/>
  <c r="R1610" i="11"/>
  <c r="P1529" i="11"/>
  <c r="R1530" i="11"/>
  <c r="AU1560" i="11"/>
  <c r="AR1625" i="11"/>
  <c r="AR1640" i="11"/>
  <c r="AU1577" i="11"/>
  <c r="AX1561" i="11"/>
  <c r="AR1575" i="11"/>
  <c r="AU1640" i="11"/>
  <c r="P1626" i="11"/>
  <c r="R1627" i="11"/>
  <c r="P1627" i="11" s="1"/>
  <c r="AR1576" i="11" l="1"/>
  <c r="AU1578" i="11"/>
  <c r="AR1626" i="11"/>
  <c r="P1530" i="11"/>
  <c r="R1531" i="11"/>
  <c r="P1531" i="11" s="1"/>
  <c r="R1579" i="11"/>
  <c r="P1579" i="11" s="1"/>
  <c r="P1578" i="11"/>
  <c r="R1595" i="11"/>
  <c r="P1595" i="11" s="1"/>
  <c r="P1594" i="11"/>
  <c r="AX1577" i="11"/>
  <c r="AR1562" i="11"/>
  <c r="R1642" i="11"/>
  <c r="P1641" i="11"/>
  <c r="AR1641" i="11"/>
  <c r="AU1561" i="11"/>
  <c r="P1610" i="11"/>
  <c r="R1611" i="11"/>
  <c r="P1611" i="11" s="1"/>
  <c r="AX1626" i="11"/>
  <c r="AX1641" i="11"/>
  <c r="P1546" i="11"/>
  <c r="R1547" i="11"/>
  <c r="P1547" i="11" s="1"/>
  <c r="AU1641" i="11"/>
  <c r="AX1562" i="11"/>
  <c r="R1563" i="11"/>
  <c r="P1563" i="11" s="1"/>
  <c r="P1562" i="11"/>
  <c r="AU1625" i="11"/>
  <c r="AR1563" i="11" l="1"/>
  <c r="AU1579" i="11"/>
  <c r="AU1642" i="11"/>
  <c r="AX1642" i="11"/>
  <c r="AR1642" i="11"/>
  <c r="AX1627" i="11"/>
  <c r="AU1562" i="11"/>
  <c r="AR1627" i="11"/>
  <c r="AR1577" i="11"/>
  <c r="AU1626" i="11"/>
  <c r="AX1563" i="11"/>
  <c r="R1643" i="11"/>
  <c r="P1643" i="11" s="1"/>
  <c r="P1642" i="11"/>
  <c r="AX1578" i="11"/>
  <c r="AU1627" i="11" l="1"/>
  <c r="AX1643" i="11"/>
  <c r="AU1563" i="11"/>
  <c r="AX1579" i="11"/>
  <c r="AR1578" i="11"/>
  <c r="AR1643" i="11"/>
  <c r="AU1643" i="11"/>
  <c r="AR1579" i="11" l="1"/>
</calcChain>
</file>

<file path=xl/comments1.xml><?xml version="1.0" encoding="utf-8"?>
<comments xmlns="http://schemas.openxmlformats.org/spreadsheetml/2006/main">
  <authors>
    <author>Lynn</author>
  </authors>
  <commentList>
    <comment ref="M48" authorId="0">
      <text>
        <r>
          <rPr>
            <b/>
            <sz val="8"/>
            <color indexed="81"/>
            <rFont val="Tahoma"/>
            <family val="2"/>
          </rPr>
          <t>Lynn:</t>
        </r>
        <r>
          <rPr>
            <sz val="8"/>
            <color indexed="81"/>
            <rFont val="Tahoma"/>
            <family val="2"/>
          </rPr>
          <t xml:space="preserve">
same site as Tree Improvement Center</t>
        </r>
      </text>
    </comment>
  </commentList>
</comments>
</file>

<file path=xl/comments2.xml><?xml version="1.0" encoding="utf-8"?>
<comments xmlns="http://schemas.openxmlformats.org/spreadsheetml/2006/main">
  <authors>
    <author>Lynn</author>
    <author>Lynn Wright</author>
  </authors>
  <commentList>
    <comment ref="AA112" authorId="0">
      <text>
        <r>
          <rPr>
            <b/>
            <sz val="9"/>
            <color indexed="81"/>
            <rFont val="Tahoma"/>
            <family val="2"/>
          </rPr>
          <t>Lynn:</t>
        </r>
        <r>
          <rPr>
            <sz val="9"/>
            <color indexed="81"/>
            <rFont val="Tahoma"/>
            <family val="2"/>
          </rPr>
          <t xml:space="preserve">
Published number of 45,700 trees/ hectare does not agree with published spacing of .46 x .46.  Density should be  47,259 at that spacing.
</t>
        </r>
      </text>
    </comment>
    <comment ref="AA113" authorId="0">
      <text>
        <r>
          <rPr>
            <b/>
            <sz val="9"/>
            <color indexed="81"/>
            <rFont val="Tahoma"/>
            <family val="2"/>
          </rPr>
          <t>Lynn:</t>
        </r>
        <r>
          <rPr>
            <sz val="9"/>
            <color indexed="81"/>
            <rFont val="Tahoma"/>
            <family val="2"/>
          </rPr>
          <t xml:space="preserve">
Published number of 45,700 trees/ hectare does not agree with published spacing of .46 x .46.  Density should be  47,259 at that spacing.
</t>
        </r>
      </text>
    </comment>
    <comment ref="AA114" authorId="0">
      <text>
        <r>
          <rPr>
            <b/>
            <sz val="9"/>
            <color indexed="81"/>
            <rFont val="Tahoma"/>
            <family val="2"/>
          </rPr>
          <t>Lynn:</t>
        </r>
        <r>
          <rPr>
            <sz val="9"/>
            <color indexed="81"/>
            <rFont val="Tahoma"/>
            <family val="2"/>
          </rPr>
          <t xml:space="preserve">
Published number of 45,700 trees/ hectare does not agree with published spacing of .46 x .46.  Density should be  47,259 at that spacing.
</t>
        </r>
      </text>
    </comment>
    <comment ref="AA115" authorId="0">
      <text>
        <r>
          <rPr>
            <b/>
            <sz val="9"/>
            <color indexed="81"/>
            <rFont val="Tahoma"/>
            <family val="2"/>
          </rPr>
          <t>Lynn:</t>
        </r>
        <r>
          <rPr>
            <sz val="9"/>
            <color indexed="81"/>
            <rFont val="Tahoma"/>
            <family val="2"/>
          </rPr>
          <t xml:space="preserve">
Published number of 45,700 trees/ hectare does not agree with published spacing of .46 x .46.  Density should be  47,259 at that spacing.
</t>
        </r>
      </text>
    </comment>
    <comment ref="AA116" authorId="0">
      <text>
        <r>
          <rPr>
            <b/>
            <sz val="9"/>
            <color indexed="81"/>
            <rFont val="Tahoma"/>
            <family val="2"/>
          </rPr>
          <t>Lynn:</t>
        </r>
        <r>
          <rPr>
            <sz val="9"/>
            <color indexed="81"/>
            <rFont val="Tahoma"/>
            <family val="2"/>
          </rPr>
          <t xml:space="preserve">
Published number of 45,700 trees/ hectare does not agree with published spacing of .46 x .46.  Density should be  47,259 at that spacing.
</t>
        </r>
      </text>
    </comment>
    <comment ref="AA118" authorId="0">
      <text>
        <r>
          <rPr>
            <b/>
            <sz val="9"/>
            <color indexed="81"/>
            <rFont val="Tahoma"/>
            <family val="2"/>
          </rPr>
          <t>Lynn:</t>
        </r>
        <r>
          <rPr>
            <sz val="9"/>
            <color indexed="81"/>
            <rFont val="Tahoma"/>
            <family val="2"/>
          </rPr>
          <t xml:space="preserve">
Published number of 45,700 trees/ hectare does not agree with published spacing of .46 x .46.  Density should be  47,259 at that spacing.
</t>
        </r>
      </text>
    </comment>
    <comment ref="AA119" authorId="0">
      <text>
        <r>
          <rPr>
            <b/>
            <sz val="9"/>
            <color indexed="81"/>
            <rFont val="Tahoma"/>
            <family val="2"/>
          </rPr>
          <t>Lynn:</t>
        </r>
        <r>
          <rPr>
            <sz val="9"/>
            <color indexed="81"/>
            <rFont val="Tahoma"/>
            <family val="2"/>
          </rPr>
          <t xml:space="preserve">
Published number of 45,700 trees/ hectare does not agree with published spacing of .46 x .46.  Density should be  47,259 at that spacing.
</t>
        </r>
      </text>
    </comment>
    <comment ref="AA120" authorId="0">
      <text>
        <r>
          <rPr>
            <b/>
            <sz val="9"/>
            <color indexed="81"/>
            <rFont val="Tahoma"/>
            <family val="2"/>
          </rPr>
          <t>Lynn:</t>
        </r>
        <r>
          <rPr>
            <sz val="9"/>
            <color indexed="81"/>
            <rFont val="Tahoma"/>
            <family val="2"/>
          </rPr>
          <t xml:space="preserve">
Published number of 45,700 trees/ hectare does not agree with published spacing of .46 x .46.  Density should be  47,259 at that spacing.
</t>
        </r>
      </text>
    </comment>
    <comment ref="AA121" authorId="0">
      <text>
        <r>
          <rPr>
            <b/>
            <sz val="9"/>
            <color indexed="81"/>
            <rFont val="Tahoma"/>
            <family val="2"/>
          </rPr>
          <t>Lynn:</t>
        </r>
        <r>
          <rPr>
            <sz val="9"/>
            <color indexed="81"/>
            <rFont val="Tahoma"/>
            <family val="2"/>
          </rPr>
          <t xml:space="preserve">
Published number of 45,700 trees/ hectare does not agree with published spacing of .46 x .46.  Density should be  47,259 at that spacing.
</t>
        </r>
      </text>
    </comment>
    <comment ref="AA122" authorId="0">
      <text>
        <r>
          <rPr>
            <b/>
            <sz val="9"/>
            <color indexed="81"/>
            <rFont val="Tahoma"/>
            <family val="2"/>
          </rPr>
          <t>Lynn:</t>
        </r>
        <r>
          <rPr>
            <sz val="9"/>
            <color indexed="81"/>
            <rFont val="Tahoma"/>
            <family val="2"/>
          </rPr>
          <t xml:space="preserve">
Published number of 45,700 trees/ hectare does not agree with published spacing of .46 x .46.  Density should be  47,259 at that spacing.
</t>
        </r>
      </text>
    </comment>
    <comment ref="CG207" authorId="0">
      <text>
        <r>
          <rPr>
            <b/>
            <sz val="9"/>
            <color indexed="81"/>
            <rFont val="Tahoma"/>
            <family val="2"/>
          </rPr>
          <t>Lynn:</t>
        </r>
        <r>
          <rPr>
            <sz val="9"/>
            <color indexed="81"/>
            <rFont val="Tahoma"/>
            <family val="2"/>
          </rPr>
          <t xml:space="preserve">
Stump age was same as rotation age in this annually harvested trial.</t>
        </r>
      </text>
    </comment>
    <comment ref="P440" authorId="1">
      <text>
        <r>
          <rPr>
            <b/>
            <sz val="10"/>
            <color indexed="81"/>
            <rFont val="Tahoma"/>
            <family val="2"/>
          </rPr>
          <t>Lynn Wright:</t>
        </r>
        <r>
          <rPr>
            <sz val="10"/>
            <color indexed="81"/>
            <rFont val="Tahoma"/>
            <family val="2"/>
          </rPr>
          <t xml:space="preserve">
data point from unpublished annual report added because it shows true MAI max yr.
</t>
        </r>
      </text>
    </comment>
    <comment ref="Z723" authorId="0">
      <text>
        <r>
          <rPr>
            <b/>
            <sz val="9"/>
            <color indexed="81"/>
            <rFont val="Tahoma"/>
            <family val="2"/>
          </rPr>
          <t>Lynn:</t>
        </r>
        <r>
          <rPr>
            <sz val="9"/>
            <color indexed="81"/>
            <rFont val="Tahoma"/>
            <family val="2"/>
          </rPr>
          <t xml:space="preserve">
Actual Reimenschneider spacing assumed to be 3.05 x 3.05 meter (or 10 x 10 feet)</t>
        </r>
      </text>
    </comment>
    <comment ref="J794" authorId="0">
      <text>
        <r>
          <rPr>
            <b/>
            <sz val="9"/>
            <color indexed="81"/>
            <rFont val="Tahoma"/>
            <family val="2"/>
          </rPr>
          <t>Lynn:</t>
        </r>
        <r>
          <rPr>
            <sz val="9"/>
            <color indexed="81"/>
            <rFont val="Tahoma"/>
            <family val="2"/>
          </rPr>
          <t xml:space="preserve">
plant year never stated but known to be after 1968 and before 1975.  First results of 4 years of growth were published in 1981, results of 14 yrs growth (7 rotations) reported in 1989.</t>
        </r>
      </text>
    </comment>
    <comment ref="AB1118" authorId="0">
      <text>
        <r>
          <rPr>
            <b/>
            <sz val="8"/>
            <color indexed="81"/>
            <rFont val="Tahoma"/>
            <family val="2"/>
          </rPr>
          <t>Lynn:</t>
        </r>
        <r>
          <rPr>
            <sz val="8"/>
            <color indexed="81"/>
            <rFont val="Tahoma"/>
            <family val="2"/>
          </rPr>
          <t xml:space="preserve">
likely assumed for dt/ha estimation.</t>
        </r>
      </text>
    </comment>
    <comment ref="AG1118" authorId="0">
      <text>
        <r>
          <rPr>
            <b/>
            <sz val="8"/>
            <color indexed="81"/>
            <rFont val="Tahoma"/>
            <family val="2"/>
          </rPr>
          <t>Lynn:</t>
        </r>
        <r>
          <rPr>
            <sz val="8"/>
            <color indexed="81"/>
            <rFont val="Tahoma"/>
            <family val="2"/>
          </rPr>
          <t xml:space="preserve">
minimum # of buffer rows
</t>
        </r>
      </text>
    </comment>
    <comment ref="AB1119" authorId="0">
      <text>
        <r>
          <rPr>
            <b/>
            <sz val="8"/>
            <color indexed="81"/>
            <rFont val="Tahoma"/>
            <family val="2"/>
          </rPr>
          <t>Lynn:</t>
        </r>
        <r>
          <rPr>
            <sz val="8"/>
            <color indexed="81"/>
            <rFont val="Tahoma"/>
            <family val="2"/>
          </rPr>
          <t xml:space="preserve">
likely assumed for dt/ha estimation.</t>
        </r>
      </text>
    </comment>
    <comment ref="AG1119" authorId="0">
      <text>
        <r>
          <rPr>
            <b/>
            <sz val="8"/>
            <color indexed="81"/>
            <rFont val="Tahoma"/>
            <family val="2"/>
          </rPr>
          <t>Lynn:</t>
        </r>
        <r>
          <rPr>
            <sz val="8"/>
            <color indexed="81"/>
            <rFont val="Tahoma"/>
            <family val="2"/>
          </rPr>
          <t xml:space="preserve">
minimum # of buffer rows
</t>
        </r>
      </text>
    </comment>
    <comment ref="AB1120" authorId="0">
      <text>
        <r>
          <rPr>
            <b/>
            <sz val="8"/>
            <color indexed="81"/>
            <rFont val="Tahoma"/>
            <family val="2"/>
          </rPr>
          <t>Lynn:</t>
        </r>
        <r>
          <rPr>
            <sz val="8"/>
            <color indexed="81"/>
            <rFont val="Tahoma"/>
            <family val="2"/>
          </rPr>
          <t xml:space="preserve">
likely assumed for dt/ha estimation.</t>
        </r>
      </text>
    </comment>
    <comment ref="AG1120" authorId="0">
      <text>
        <r>
          <rPr>
            <b/>
            <sz val="8"/>
            <color indexed="81"/>
            <rFont val="Tahoma"/>
            <family val="2"/>
          </rPr>
          <t>Lynn:</t>
        </r>
        <r>
          <rPr>
            <sz val="8"/>
            <color indexed="81"/>
            <rFont val="Tahoma"/>
            <family val="2"/>
          </rPr>
          <t xml:space="preserve">
minimum # of buffer rows
</t>
        </r>
      </text>
    </comment>
    <comment ref="AB1121" authorId="0">
      <text>
        <r>
          <rPr>
            <b/>
            <sz val="8"/>
            <color indexed="81"/>
            <rFont val="Tahoma"/>
            <family val="2"/>
          </rPr>
          <t>Lynn:</t>
        </r>
        <r>
          <rPr>
            <sz val="8"/>
            <color indexed="81"/>
            <rFont val="Tahoma"/>
            <family val="2"/>
          </rPr>
          <t xml:space="preserve">
likely assumed for dt/ha estimation.</t>
        </r>
      </text>
    </comment>
    <comment ref="AG1121" authorId="0">
      <text>
        <r>
          <rPr>
            <b/>
            <sz val="8"/>
            <color indexed="81"/>
            <rFont val="Tahoma"/>
            <family val="2"/>
          </rPr>
          <t>Lynn:</t>
        </r>
        <r>
          <rPr>
            <sz val="8"/>
            <color indexed="81"/>
            <rFont val="Tahoma"/>
            <family val="2"/>
          </rPr>
          <t xml:space="preserve">
minimum # of buffer rows
</t>
        </r>
      </text>
    </comment>
    <comment ref="AB1122" authorId="0">
      <text>
        <r>
          <rPr>
            <b/>
            <sz val="8"/>
            <color indexed="81"/>
            <rFont val="Tahoma"/>
            <family val="2"/>
          </rPr>
          <t>Lynn:</t>
        </r>
        <r>
          <rPr>
            <sz val="8"/>
            <color indexed="81"/>
            <rFont val="Tahoma"/>
            <family val="2"/>
          </rPr>
          <t xml:space="preserve">
likely assumed for dt/ha estimation.</t>
        </r>
      </text>
    </comment>
    <comment ref="AG1122" authorId="0">
      <text>
        <r>
          <rPr>
            <b/>
            <sz val="8"/>
            <color indexed="81"/>
            <rFont val="Tahoma"/>
            <family val="2"/>
          </rPr>
          <t>Lynn:</t>
        </r>
        <r>
          <rPr>
            <sz val="8"/>
            <color indexed="81"/>
            <rFont val="Tahoma"/>
            <family val="2"/>
          </rPr>
          <t xml:space="preserve">
minimum # of buffer rows
</t>
        </r>
      </text>
    </comment>
    <comment ref="AB1123" authorId="0">
      <text>
        <r>
          <rPr>
            <b/>
            <sz val="8"/>
            <color indexed="81"/>
            <rFont val="Tahoma"/>
            <family val="2"/>
          </rPr>
          <t>Lynn:</t>
        </r>
        <r>
          <rPr>
            <sz val="8"/>
            <color indexed="81"/>
            <rFont val="Tahoma"/>
            <family val="2"/>
          </rPr>
          <t xml:space="preserve">
likely assumed for dt/ha estimation.</t>
        </r>
      </text>
    </comment>
    <comment ref="AG1123" authorId="0">
      <text>
        <r>
          <rPr>
            <b/>
            <sz val="8"/>
            <color indexed="81"/>
            <rFont val="Tahoma"/>
            <family val="2"/>
          </rPr>
          <t>Lynn:</t>
        </r>
        <r>
          <rPr>
            <sz val="8"/>
            <color indexed="81"/>
            <rFont val="Tahoma"/>
            <family val="2"/>
          </rPr>
          <t xml:space="preserve">
minimum # of buffer rows
</t>
        </r>
      </text>
    </comment>
    <comment ref="AB1124" authorId="0">
      <text>
        <r>
          <rPr>
            <b/>
            <sz val="8"/>
            <color indexed="81"/>
            <rFont val="Tahoma"/>
            <family val="2"/>
          </rPr>
          <t>Lynn:</t>
        </r>
        <r>
          <rPr>
            <sz val="8"/>
            <color indexed="81"/>
            <rFont val="Tahoma"/>
            <family val="2"/>
          </rPr>
          <t xml:space="preserve">
likely assumed for dt/ha estimation.</t>
        </r>
      </text>
    </comment>
    <comment ref="AG1124" authorId="0">
      <text>
        <r>
          <rPr>
            <b/>
            <sz val="8"/>
            <color indexed="81"/>
            <rFont val="Tahoma"/>
            <family val="2"/>
          </rPr>
          <t>Lynn:</t>
        </r>
        <r>
          <rPr>
            <sz val="8"/>
            <color indexed="81"/>
            <rFont val="Tahoma"/>
            <family val="2"/>
          </rPr>
          <t xml:space="preserve">
minimum # of buffer rows
</t>
        </r>
      </text>
    </comment>
    <comment ref="AB1125" authorId="0">
      <text>
        <r>
          <rPr>
            <b/>
            <sz val="8"/>
            <color indexed="81"/>
            <rFont val="Tahoma"/>
            <family val="2"/>
          </rPr>
          <t>Lynn:</t>
        </r>
        <r>
          <rPr>
            <sz val="8"/>
            <color indexed="81"/>
            <rFont val="Tahoma"/>
            <family val="2"/>
          </rPr>
          <t xml:space="preserve">
likely assumed for dt/ha estimation.</t>
        </r>
      </text>
    </comment>
    <comment ref="AG1125" authorId="0">
      <text>
        <r>
          <rPr>
            <b/>
            <sz val="8"/>
            <color indexed="81"/>
            <rFont val="Tahoma"/>
            <family val="2"/>
          </rPr>
          <t>Lynn:</t>
        </r>
        <r>
          <rPr>
            <sz val="8"/>
            <color indexed="81"/>
            <rFont val="Tahoma"/>
            <family val="2"/>
          </rPr>
          <t xml:space="preserve">
minimum # of buffer rows
</t>
        </r>
      </text>
    </comment>
    <comment ref="AB1126" authorId="0">
      <text>
        <r>
          <rPr>
            <b/>
            <sz val="8"/>
            <color indexed="81"/>
            <rFont val="Tahoma"/>
            <family val="2"/>
          </rPr>
          <t>Lynn:</t>
        </r>
        <r>
          <rPr>
            <sz val="8"/>
            <color indexed="81"/>
            <rFont val="Tahoma"/>
            <family val="2"/>
          </rPr>
          <t xml:space="preserve">
likely assumed for dt/ha estimation.</t>
        </r>
      </text>
    </comment>
    <comment ref="AG1126" authorId="0">
      <text>
        <r>
          <rPr>
            <b/>
            <sz val="8"/>
            <color indexed="81"/>
            <rFont val="Tahoma"/>
            <family val="2"/>
          </rPr>
          <t>Lynn:</t>
        </r>
        <r>
          <rPr>
            <sz val="8"/>
            <color indexed="81"/>
            <rFont val="Tahoma"/>
            <family val="2"/>
          </rPr>
          <t xml:space="preserve">
minimum # of buffer rows
</t>
        </r>
      </text>
    </comment>
    <comment ref="AB1127" authorId="0">
      <text>
        <r>
          <rPr>
            <b/>
            <sz val="8"/>
            <color indexed="81"/>
            <rFont val="Tahoma"/>
            <family val="2"/>
          </rPr>
          <t>Lynn:</t>
        </r>
        <r>
          <rPr>
            <sz val="8"/>
            <color indexed="81"/>
            <rFont val="Tahoma"/>
            <family val="2"/>
          </rPr>
          <t xml:space="preserve">
likely assumed for dt/ha estimation.</t>
        </r>
      </text>
    </comment>
    <comment ref="AG1127" authorId="0">
      <text>
        <r>
          <rPr>
            <b/>
            <sz val="8"/>
            <color indexed="81"/>
            <rFont val="Tahoma"/>
            <family val="2"/>
          </rPr>
          <t>Lynn:</t>
        </r>
        <r>
          <rPr>
            <sz val="8"/>
            <color indexed="81"/>
            <rFont val="Tahoma"/>
            <family val="2"/>
          </rPr>
          <t xml:space="preserve">
minimum # of buffer rows
</t>
        </r>
      </text>
    </comment>
    <comment ref="AB1128" authorId="0">
      <text>
        <r>
          <rPr>
            <b/>
            <sz val="8"/>
            <color indexed="81"/>
            <rFont val="Tahoma"/>
            <family val="2"/>
          </rPr>
          <t>Lynn:</t>
        </r>
        <r>
          <rPr>
            <sz val="8"/>
            <color indexed="81"/>
            <rFont val="Tahoma"/>
            <family val="2"/>
          </rPr>
          <t xml:space="preserve">
likely assumed for dt/ha estimation.</t>
        </r>
      </text>
    </comment>
    <comment ref="AG1128" authorId="0">
      <text>
        <r>
          <rPr>
            <b/>
            <sz val="8"/>
            <color indexed="81"/>
            <rFont val="Tahoma"/>
            <family val="2"/>
          </rPr>
          <t>Lynn:</t>
        </r>
        <r>
          <rPr>
            <sz val="8"/>
            <color indexed="81"/>
            <rFont val="Tahoma"/>
            <family val="2"/>
          </rPr>
          <t xml:space="preserve">
minimum # of buffer rows
</t>
        </r>
      </text>
    </comment>
    <comment ref="AB1129" authorId="0">
      <text>
        <r>
          <rPr>
            <b/>
            <sz val="8"/>
            <color indexed="81"/>
            <rFont val="Tahoma"/>
            <family val="2"/>
          </rPr>
          <t>Lynn:</t>
        </r>
        <r>
          <rPr>
            <sz val="8"/>
            <color indexed="81"/>
            <rFont val="Tahoma"/>
            <family val="2"/>
          </rPr>
          <t xml:space="preserve">
likely assumed for dt/ha estimation.</t>
        </r>
      </text>
    </comment>
    <comment ref="AG1129" authorId="0">
      <text>
        <r>
          <rPr>
            <b/>
            <sz val="8"/>
            <color indexed="81"/>
            <rFont val="Tahoma"/>
            <family val="2"/>
          </rPr>
          <t>Lynn:</t>
        </r>
        <r>
          <rPr>
            <sz val="8"/>
            <color indexed="81"/>
            <rFont val="Tahoma"/>
            <family val="2"/>
          </rPr>
          <t xml:space="preserve">
minimum # of buffer rows
</t>
        </r>
      </text>
    </comment>
    <comment ref="AA1132" authorId="0">
      <text>
        <r>
          <rPr>
            <b/>
            <sz val="9"/>
            <color indexed="81"/>
            <rFont val="Tahoma"/>
            <family val="2"/>
          </rPr>
          <t>Lynn:</t>
        </r>
        <r>
          <rPr>
            <sz val="9"/>
            <color indexed="81"/>
            <rFont val="Tahoma"/>
            <family val="2"/>
          </rPr>
          <t xml:space="preserve">
Density was made same as stated by Samuelson, 2008, since study was done on the same planting site. </t>
        </r>
      </text>
    </comment>
    <comment ref="AR1499" authorId="1">
      <text>
        <r>
          <rPr>
            <b/>
            <sz val="10"/>
            <color indexed="81"/>
            <rFont val="Tahoma"/>
            <family val="2"/>
          </rPr>
          <t>Lynn Wright:</t>
        </r>
        <r>
          <rPr>
            <sz val="10"/>
            <color indexed="81"/>
            <rFont val="Tahoma"/>
            <family val="2"/>
          </rPr>
          <t xml:space="preserve">
total of yrs 1-6, same as reported by Samuelson et al, 2008 for yrs 1-6. 
</t>
        </r>
      </text>
    </comment>
    <comment ref="AR1500" authorId="1">
      <text>
        <r>
          <rPr>
            <b/>
            <sz val="10"/>
            <color indexed="81"/>
            <rFont val="Tahoma"/>
            <family val="2"/>
          </rPr>
          <t>Lynn Wright:</t>
        </r>
        <r>
          <rPr>
            <sz val="10"/>
            <color indexed="81"/>
            <rFont val="Tahoma"/>
            <family val="2"/>
          </rPr>
          <t xml:space="preserve">
total of yrs 1-6, same as reported by Samuelson et al, 2008 for yrs 1-6. 
</t>
        </r>
      </text>
    </comment>
    <comment ref="O1643" authorId="0">
      <text>
        <r>
          <rPr>
            <b/>
            <sz val="9"/>
            <color indexed="81"/>
            <rFont val="Tahoma"/>
            <family val="2"/>
          </rPr>
          <t>Lynn:</t>
        </r>
        <r>
          <rPr>
            <sz val="9"/>
            <color indexed="81"/>
            <rFont val="Tahoma"/>
            <family val="2"/>
          </rPr>
          <t xml:space="preserve">
Expansion factor was  estimated based on pinus taeda allocation info for yrs 3,4,5,6 in Samuelson, 2004 and on Borders et al  allocation graphic for yrs 6, 10 &amp; 12. Numbers interpolated for other years following pattern. </t>
        </r>
      </text>
    </comment>
  </commentList>
</comments>
</file>

<file path=xl/sharedStrings.xml><?xml version="1.0" encoding="utf-8"?>
<sst xmlns="http://schemas.openxmlformats.org/spreadsheetml/2006/main" count="37140" uniqueCount="2152">
  <si>
    <t xml:space="preserve">Fertilized plots all reached maxs current annual basal area increment in 3rd or 4th yr - thus most presumed to reach max MAI also. </t>
  </si>
  <si>
    <t>Volume (dm3)</t>
  </si>
  <si>
    <t>Exp1-fert</t>
  </si>
  <si>
    <t xml:space="preserve">annually (1987-91), </t>
  </si>
  <si>
    <t>Exp1-no fert</t>
  </si>
  <si>
    <t>Salix alba (SA22)</t>
  </si>
  <si>
    <t>Salix alba var. sanguinea (SA2)</t>
  </si>
  <si>
    <t>Salix x rubra (SAM3)</t>
  </si>
  <si>
    <t>Salix purpurea (SH3)</t>
  </si>
  <si>
    <t>Exp2-den-H</t>
  </si>
  <si>
    <t>Exp2-den-M</t>
  </si>
  <si>
    <t>Exp2-den-L</t>
  </si>
  <si>
    <t>Exp2-rot-1 yr</t>
  </si>
  <si>
    <t xml:space="preserve">annual harvest - </t>
  </si>
  <si>
    <t>Exp2-rot-2 yr</t>
  </si>
  <si>
    <t>biennial harvest</t>
  </si>
  <si>
    <t>Exp2-rot-3 yr\</t>
  </si>
  <si>
    <t>triennial harvest</t>
  </si>
  <si>
    <t>Exp3-irrigated</t>
  </si>
  <si>
    <t>Exp3-no irrigation</t>
  </si>
  <si>
    <t>double row</t>
  </si>
  <si>
    <t>(Control)</t>
  </si>
  <si>
    <t xml:space="preserve">glycophosate  </t>
  </si>
  <si>
    <t>1.0 kg a.i./ha</t>
  </si>
  <si>
    <t>oxyflurofen</t>
  </si>
  <si>
    <t>1.1 kg a.i./ha</t>
  </si>
  <si>
    <t>All plots had no weeds</t>
  </si>
  <si>
    <t>plastic mulch</t>
  </si>
  <si>
    <t>Plastic mulch (once, at start of 1st season)</t>
  </si>
  <si>
    <t>poultry manure</t>
  </si>
  <si>
    <t xml:space="preserve">sludge + mulch </t>
  </si>
  <si>
    <t>Composted poultry manure (once, at start of 1st season)</t>
  </si>
  <si>
    <t>Urea @ 100kg N/ha</t>
  </si>
  <si>
    <t>Urea @ 200kg N/ha</t>
  </si>
  <si>
    <t>Urea @ 300kg N/ha</t>
  </si>
  <si>
    <t>0.15 x 0.15</t>
  </si>
  <si>
    <t>4.5 kg a.i ha-1</t>
  </si>
  <si>
    <t>Simazine</t>
  </si>
  <si>
    <t>Salix eriocephala (clone S25)</t>
  </si>
  <si>
    <t>Salix dasyclados (clone SV1)</t>
  </si>
  <si>
    <t>Salix viminalis (clone SVQ)</t>
  </si>
  <si>
    <t>Salix miyabeana (SX67)</t>
  </si>
  <si>
    <t>Huntingdon Co., PA</t>
  </si>
  <si>
    <t>.24 x .76</t>
  </si>
  <si>
    <t>.37 x .76</t>
  </si>
  <si>
    <t>.49 x .76</t>
  </si>
  <si>
    <t>.61 x .76</t>
  </si>
  <si>
    <t>NE388-R1-C</t>
  </si>
  <si>
    <t>1980-1981</t>
  </si>
  <si>
    <t>NE388-R1-F</t>
  </si>
  <si>
    <t>NE388-R1-I</t>
  </si>
  <si>
    <t>trickle</t>
  </si>
  <si>
    <t>non-limiting</t>
  </si>
  <si>
    <t>NE388-R1-FI</t>
  </si>
  <si>
    <t>NE388-R2-C</t>
  </si>
  <si>
    <t>NE388-R2-F</t>
  </si>
  <si>
    <t>NE388-R2-I</t>
  </si>
  <si>
    <t>NE388-R2-FI</t>
  </si>
  <si>
    <t>June</t>
  </si>
  <si>
    <t>na</t>
  </si>
  <si>
    <t>0.23 x 0.23</t>
  </si>
  <si>
    <t>20.3 cm</t>
  </si>
  <si>
    <t>16.5 cm</t>
  </si>
  <si>
    <t>previous fall &amp; before planting</t>
  </si>
  <si>
    <t>as needed for soil MC at 16 to 30%</t>
  </si>
  <si>
    <t>0.30 x 0.30</t>
  </si>
  <si>
    <t>0.61 x 0.61</t>
  </si>
  <si>
    <t>1.2 x 1.2</t>
  </si>
  <si>
    <t>(Rhinelander, WI)</t>
  </si>
  <si>
    <t>Overhead sprinkler</t>
  </si>
  <si>
    <t>(When weekly rainfall &lt; 25mm)</t>
  </si>
  <si>
    <t>Hand weeded first 2 yrs</t>
  </si>
  <si>
    <t>Spot sprayed as needed after first 2yrs</t>
  </si>
  <si>
    <t>1.8 x 1.8</t>
  </si>
  <si>
    <t>.7 x 1</t>
  </si>
  <si>
    <t>2 x 1</t>
  </si>
  <si>
    <t>Ashland</t>
  </si>
  <si>
    <t>Mondovi</t>
  </si>
  <si>
    <t>Granite Falls</t>
  </si>
  <si>
    <t>Milaca</t>
  </si>
  <si>
    <t>Fargo</t>
  </si>
  <si>
    <t>Sioux Falls</t>
  </si>
  <si>
    <t>Tuttle Creek, KA</t>
  </si>
  <si>
    <t>0.3 x 1.2</t>
  </si>
  <si>
    <t>only top 3 species of 7 species tested was entered</t>
  </si>
  <si>
    <t>Milford.KA</t>
  </si>
  <si>
    <t>.30 x .30</t>
  </si>
  <si>
    <t>1.22x1.22</t>
  </si>
  <si>
    <t>.30x 1.22</t>
  </si>
  <si>
    <t>aminotriazole</t>
  </si>
  <si>
    <t>late sum yr before plant</t>
  </si>
  <si>
    <t>1.22 x 1.22</t>
  </si>
  <si>
    <t>1.22 x 1.83</t>
  </si>
  <si>
    <t>1.83 x 1.83</t>
  </si>
  <si>
    <t>at planting</t>
  </si>
  <si>
    <t>0.07 kg/ha &amp; 0.07 kg/ha</t>
  </si>
  <si>
    <t>OF_LiStS27</t>
  </si>
  <si>
    <t>25 trees</t>
  </si>
  <si>
    <t xml:space="preserve"> seedling 1-0 stock</t>
  </si>
  <si>
    <t>subsoiled &amp; disked</t>
  </si>
  <si>
    <t>cultivation until crown closure</t>
  </si>
  <si>
    <t>Surflan</t>
  </si>
  <si>
    <t>Sp  1st &amp; 2nd yr</t>
  </si>
  <si>
    <t xml:space="preserve">4.5 kg ai/ha </t>
  </si>
  <si>
    <t>Simizine</t>
  </si>
  <si>
    <t>Sp-2nd yr</t>
  </si>
  <si>
    <t>5.6 kg ai/ha</t>
  </si>
  <si>
    <t>5cm</t>
  </si>
  <si>
    <r>
      <t>ht and dbh measured on all 25 trees in meas plot, mean vol index tree (dbh</t>
    </r>
    <r>
      <rPr>
        <b/>
        <vertAlign val="superscript"/>
        <sz val="10"/>
        <rFont val="Arial"/>
        <family val="2"/>
      </rPr>
      <t>2</t>
    </r>
    <r>
      <rPr>
        <b/>
        <sz val="10"/>
        <rFont val="Arial"/>
        <family val="2"/>
      </rPr>
      <t>xht) determined, cut and weighed.  Fresh and dry weights determined on sample tree.  Then all trees in sub-plot harvested and weighed as composite sample to nearest 0.05 kg</t>
    </r>
  </si>
  <si>
    <t>OF_LiStS28</t>
  </si>
  <si>
    <t>OF_LiStS29</t>
  </si>
  <si>
    <t>1.8 x 3.1</t>
  </si>
  <si>
    <t>OF_PlOcS27</t>
  </si>
  <si>
    <t>OF_PlOcS28</t>
  </si>
  <si>
    <t>OF_PlOcS29</t>
  </si>
  <si>
    <t>OF_QuNiS27</t>
  </si>
  <si>
    <t>Quercus sp. (water-willow)</t>
  </si>
  <si>
    <t>OF_QuNiS28</t>
  </si>
  <si>
    <t>OF_QuNiS29</t>
  </si>
  <si>
    <t>Control</t>
  </si>
  <si>
    <t>mowing</t>
  </si>
  <si>
    <t>not defined</t>
  </si>
  <si>
    <t>direct spraying</t>
  </si>
  <si>
    <t>competition characterized as minimal with no diff among treatments</t>
  </si>
  <si>
    <t>Irrigation</t>
  </si>
  <si>
    <t>I-Low Fert</t>
  </si>
  <si>
    <t>I- High Fert</t>
  </si>
  <si>
    <t>Aboveground biomass includes foliage</t>
  </si>
  <si>
    <t>HF - 1334</t>
  </si>
  <si>
    <t>2.75 x 2.75</t>
  </si>
  <si>
    <t>OF - 1334</t>
  </si>
  <si>
    <t>210 mm tot</t>
  </si>
  <si>
    <t>266 mm tot</t>
  </si>
  <si>
    <t>310 mm tot</t>
  </si>
  <si>
    <t xml:space="preserve">Aboveground biomass includes foliage for pines but not sweetgum. </t>
  </si>
  <si>
    <t>Adegbidi et al 2001 (Biomass &amp; Bioenergy)</t>
  </si>
  <si>
    <t>DAP in Spring +NH4NO3-mid sum</t>
  </si>
  <si>
    <r>
      <t>NH</t>
    </r>
    <r>
      <rPr>
        <vertAlign val="subscript"/>
        <sz val="10"/>
        <rFont val="Arial"/>
        <family val="2"/>
      </rPr>
      <t>4</t>
    </r>
    <r>
      <rPr>
        <sz val="10"/>
        <rFont val="Arial"/>
        <family val="2"/>
      </rPr>
      <t>NO</t>
    </r>
    <r>
      <rPr>
        <vertAlign val="subscript"/>
        <sz val="10"/>
        <rFont val="Arial"/>
        <family val="2"/>
      </rPr>
      <t xml:space="preserve">3 at </t>
    </r>
    <r>
      <rPr>
        <sz val="10"/>
        <rFont val="Arial"/>
        <family val="2"/>
      </rPr>
      <t>336 kg/ha =117.6 N)</t>
    </r>
  </si>
  <si>
    <r>
      <t>NH</t>
    </r>
    <r>
      <rPr>
        <vertAlign val="subscript"/>
        <sz val="10"/>
        <rFont val="Arial"/>
        <family val="2"/>
      </rPr>
      <t>4</t>
    </r>
    <r>
      <rPr>
        <sz val="10"/>
        <rFont val="Arial"/>
        <family val="2"/>
      </rPr>
      <t>NO</t>
    </r>
    <r>
      <rPr>
        <vertAlign val="subscript"/>
        <sz val="10"/>
        <rFont val="Arial"/>
        <family val="2"/>
      </rPr>
      <t>3</t>
    </r>
    <r>
      <rPr>
        <sz val="10"/>
        <rFont val="Arial"/>
        <family val="2"/>
      </rPr>
      <t xml:space="preserve"> at 150 lbs/ac=53 lbs/ac N = 58.8 kg/ha N</t>
    </r>
  </si>
  <si>
    <r>
      <t>DAP at 280 kg/ha= 50.4 N + NH</t>
    </r>
    <r>
      <rPr>
        <vertAlign val="subscript"/>
        <sz val="10"/>
        <rFont val="Arial"/>
        <family val="2"/>
      </rPr>
      <t>4</t>
    </r>
    <r>
      <rPr>
        <sz val="10"/>
        <rFont val="Arial"/>
        <family val="2"/>
      </rPr>
      <t>NO</t>
    </r>
    <r>
      <rPr>
        <vertAlign val="subscript"/>
        <sz val="10"/>
        <rFont val="Arial"/>
        <family val="2"/>
      </rPr>
      <t xml:space="preserve">3 at </t>
    </r>
    <r>
      <rPr>
        <sz val="10"/>
        <rFont val="Arial"/>
        <family val="2"/>
      </rPr>
      <t>56 kg/ha = 19.6N</t>
    </r>
  </si>
  <si>
    <t>NPK10-10-10 at 560 kg/ha = 56 Kg N +NH4NO3 at 168 kg/ha = 58.8 Kg N = 114.8 kg N total</t>
  </si>
  <si>
    <t>NH4NO3 at 336 kg/ha =117.6 N</t>
  </si>
  <si>
    <t>DAP at 280 kg/ha = 56.2 kg P</t>
  </si>
  <si>
    <t>NPK + micro at 14.3 kg/ha/yr avg for 10 yr</t>
  </si>
  <si>
    <t>NPK + micro @ 36 kg N/yr avg for 10 yr</t>
  </si>
  <si>
    <t>NPK + micro @ 31.7 kg K/ha/yr over 10 yr</t>
  </si>
  <si>
    <t>NPK + micro @ 246 kg N/yr avg for yrs 16, 17 &amp; 18</t>
  </si>
  <si>
    <t>NPK + micro at 28.6 kg/ha/yr avg for ys 16,17&amp;18</t>
  </si>
  <si>
    <t>NPK + micro @ 37.3 kg K/ha/yr for yrs 16,17&amp;18.</t>
  </si>
  <si>
    <t>annually banded around trees</t>
  </si>
  <si>
    <t>beginning of growing season</t>
  </si>
  <si>
    <t>mid first growing season</t>
  </si>
  <si>
    <t>Jokela &amp; Martin 2000 &amp; Martin &amp; Jokela, 2004 &amp; Colbert 1990</t>
  </si>
  <si>
    <t>(Plant year) Year  _start</t>
  </si>
  <si>
    <t>Heilman &amp; Fu-Guang 1993 (Can J For Res 23)</t>
  </si>
  <si>
    <t>Heilman &amp; Stettler 1985, 1990 &amp;Weber et al 1985</t>
  </si>
  <si>
    <t>cl 11-05</t>
  </si>
  <si>
    <t>cl 11-11</t>
  </si>
  <si>
    <t>cl 19-56</t>
  </si>
  <si>
    <t>Belle Glade, FL</t>
  </si>
  <si>
    <t xml:space="preserve">May 20 2002 </t>
  </si>
  <si>
    <t>NH4NO3 at 150 kg/ha = 52.5 kg N/ha</t>
  </si>
  <si>
    <t xml:space="preserve">understory veg control with mechanical rotary cutters </t>
  </si>
  <si>
    <t>canopy closure year 10</t>
  </si>
  <si>
    <t>76º 07' 30" W</t>
  </si>
  <si>
    <t>42º 47' 30" N</t>
  </si>
  <si>
    <t>45º 08' N</t>
  </si>
  <si>
    <t>74º 08' W</t>
  </si>
  <si>
    <t>272 trees</t>
  </si>
  <si>
    <r>
      <t xml:space="preserve">Populus trichocarpa </t>
    </r>
    <r>
      <rPr>
        <sz val="10"/>
        <rFont val="Arial"/>
        <family val="2"/>
      </rPr>
      <t>x</t>
    </r>
    <r>
      <rPr>
        <i/>
        <sz val="10"/>
        <rFont val="Arial"/>
        <family val="2"/>
      </rPr>
      <t xml:space="preserve"> Populus deltoides </t>
    </r>
    <r>
      <rPr>
        <sz val="10"/>
        <rFont val="Arial"/>
        <family val="2"/>
      </rPr>
      <t>(11-11)</t>
    </r>
  </si>
  <si>
    <t>Mt. Vernon</t>
  </si>
  <si>
    <t>Sumner</t>
  </si>
  <si>
    <t>double bedded</t>
  </si>
  <si>
    <t>single bedded</t>
  </si>
  <si>
    <t>Reg</t>
  </si>
  <si>
    <t>State</t>
  </si>
  <si>
    <t>MLRA</t>
  </si>
  <si>
    <t>Soil sample info</t>
  </si>
  <si>
    <t>Drainage class</t>
  </si>
  <si>
    <t>Description</t>
  </si>
  <si>
    <t>Depth (cm)</t>
  </si>
  <si>
    <t>water capacity</t>
  </si>
  <si>
    <t>pH</t>
  </si>
  <si>
    <t>pH_se</t>
  </si>
  <si>
    <r>
      <t>BD (g/cm</t>
    </r>
    <r>
      <rPr>
        <b/>
        <vertAlign val="superscript"/>
        <sz val="10"/>
        <rFont val="Arial"/>
        <family val="2"/>
      </rPr>
      <t>3</t>
    </r>
    <r>
      <rPr>
        <b/>
        <sz val="10"/>
        <rFont val="Arial"/>
        <family val="2"/>
      </rPr>
      <t>)</t>
    </r>
  </si>
  <si>
    <t>BD_se</t>
  </si>
  <si>
    <t>% sand</t>
  </si>
  <si>
    <t>Lime-stabolized sludge = 1200 kg/ha N</t>
  </si>
  <si>
    <t>Lime (129.5 o.d. Mg/ha)</t>
  </si>
  <si>
    <t>% silt</t>
  </si>
  <si>
    <t>% clay</t>
  </si>
  <si>
    <t>Org_matter (%)</t>
  </si>
  <si>
    <t>Org_C</t>
  </si>
  <si>
    <t>Org_C_se</t>
  </si>
  <si>
    <t xml:space="preserve">Total_C </t>
  </si>
  <si>
    <t>Total_C_se</t>
  </si>
  <si>
    <t>Total_N</t>
  </si>
  <si>
    <t>Total_N_se</t>
  </si>
  <si>
    <t>C:N</t>
  </si>
  <si>
    <t>Available P (mg/kg)</t>
  </si>
  <si>
    <t>NE</t>
  </si>
  <si>
    <t>Tully</t>
  </si>
  <si>
    <t>surface</t>
  </si>
  <si>
    <t>Glossoboric Hapludalf</t>
  </si>
  <si>
    <t>Colbert 1990</t>
  </si>
  <si>
    <t xml:space="preserve">Jokela &amp; Martin 2000,  </t>
  </si>
  <si>
    <t>Samuelson et al, 2008</t>
  </si>
  <si>
    <t>Samuelson et al, 1998</t>
  </si>
  <si>
    <t>Williams and Gresham, 2006</t>
  </si>
  <si>
    <t>Spodosols that contained an argillic horizon in the subsoin (sandy, siliceous, thermic Ultic Alaquods and Oxyaquic Alorthods)</t>
  </si>
  <si>
    <t>13 sites</t>
  </si>
  <si>
    <t>45m</t>
  </si>
  <si>
    <t>Pomona fine sands</t>
  </si>
  <si>
    <t>sandty, siliceous,hyperthermic Ultic Haploauods (argillic horizon at 90 to 120 cm)</t>
  </si>
  <si>
    <t>low</t>
  </si>
  <si>
    <t>A coastal plain flatwood site</t>
  </si>
  <si>
    <t>1350 long term (1203 avg during 1984-2000)</t>
  </si>
  <si>
    <t>1250-1275</t>
  </si>
  <si>
    <t>treble superphosphate</t>
  </si>
  <si>
    <t>muriate of potash</t>
  </si>
  <si>
    <t>1991&amp; 1992</t>
  </si>
  <si>
    <t>Urea-slow release</t>
  </si>
  <si>
    <t>Sulphur coated</t>
  </si>
  <si>
    <t xml:space="preserve"> N applied as urea in irrigation in 1990, other years 56 kg/ha applied every 3 weeks to total 336 kg/ha for season</t>
  </si>
  <si>
    <t>granular N</t>
  </si>
  <si>
    <t>soil analysis indicated high soil fertility levels present</t>
  </si>
  <si>
    <t>NPK 16-16-16</t>
  </si>
  <si>
    <t>Palmyra series, Glossoboric Hapludalf</t>
  </si>
  <si>
    <t>Gravelly sandy outwash parent material, loam texture, gravel content 25% Ap horizon, 60% IIC horizon</t>
  </si>
  <si>
    <t>40-100 cm</t>
  </si>
  <si>
    <t>moderate to high</t>
  </si>
  <si>
    <t>(medium acid - neutral)</t>
  </si>
  <si>
    <t>baseline</t>
  </si>
  <si>
    <t>Palmyra gravelly silt loam, Glossoboric Hapludalf</t>
  </si>
  <si>
    <t>Glacial outwash terrace</t>
  </si>
  <si>
    <t>Palmyra gravelly silt loam (Glossoboric Hapludalf)</t>
  </si>
  <si>
    <t>Quebec</t>
  </si>
  <si>
    <t>Clay-silt</t>
  </si>
  <si>
    <t>0-20</t>
  </si>
  <si>
    <t>20-40</t>
  </si>
  <si>
    <t>Edom silt loam soil</t>
  </si>
  <si>
    <t>A residual soil derived from calcareous shale; good in available moisture and native fertility</t>
  </si>
  <si>
    <t>Zavitkovski et al, 1979  with methods from Ek and Dawson, 1976</t>
  </si>
  <si>
    <t>NC</t>
  </si>
  <si>
    <t>Sandy loam</t>
  </si>
  <si>
    <t>6.7-7.0</t>
  </si>
  <si>
    <t>Zavitoski, 1983, some data from Meldahl thesis 1979</t>
  </si>
  <si>
    <t>Loamy sand with incorporated peat overlying loamy sand</t>
  </si>
  <si>
    <t xml:space="preserve">Padus silt loam </t>
  </si>
  <si>
    <t>Pence sandy loam overlying mixed sands and gravels</t>
  </si>
  <si>
    <t>Westport</t>
  </si>
  <si>
    <t>Ames</t>
  </si>
  <si>
    <t>Arlington</t>
  </si>
  <si>
    <t>Manhattan (Tuttle Creek Dam)</t>
  </si>
  <si>
    <t>Eudora</t>
  </si>
  <si>
    <t>silty-clay-loam</t>
  </si>
  <si>
    <t>Junction City (Milford Dam)</t>
  </si>
  <si>
    <t>Cass</t>
  </si>
  <si>
    <t>fine sandy loam</t>
  </si>
  <si>
    <t>PNW</t>
  </si>
  <si>
    <t xml:space="preserve">Nisqually </t>
  </si>
  <si>
    <t>loamy fine sand, mixed, mesic Pachic Xerumbrept</t>
  </si>
  <si>
    <t>deep</t>
  </si>
  <si>
    <t>Heilman,Peabody; 1981</t>
  </si>
  <si>
    <t>Puyallup</t>
  </si>
  <si>
    <t>Rich, alluvial silt loam</t>
  </si>
  <si>
    <t>SE</t>
  </si>
  <si>
    <t>SC</t>
  </si>
  <si>
    <t>Mayesville</t>
  </si>
  <si>
    <t>1987-1988</t>
  </si>
  <si>
    <t>Stem Volume (m3)</t>
  </si>
  <si>
    <t>Stem Volume (ft3)</t>
  </si>
  <si>
    <t>fall, &amp; pre-plant in spring</t>
  </si>
  <si>
    <t>total kill herbicide</t>
  </si>
  <si>
    <t>pre-emergent</t>
  </si>
  <si>
    <t>spring</t>
  </si>
  <si>
    <t>Rhinelander, WI</t>
  </si>
  <si>
    <t>1x1 ft</t>
  </si>
  <si>
    <t>50 trees</t>
  </si>
  <si>
    <t>Linuron pre-emergent</t>
  </si>
  <si>
    <t>10 trees</t>
  </si>
  <si>
    <t>40 trees</t>
  </si>
  <si>
    <t>Rhinelander, WI (Harshaw Farm)</t>
  </si>
  <si>
    <t>many</t>
  </si>
  <si>
    <t>63 stumps</t>
  </si>
  <si>
    <t>as needed to keep soil moisture tension below 0.7 bar</t>
  </si>
  <si>
    <t>annual</t>
  </si>
  <si>
    <t>NI_.7x1_NE386</t>
  </si>
  <si>
    <t>NI_1x1_NE386</t>
  </si>
  <si>
    <t>NI_2x1_NE386</t>
  </si>
  <si>
    <t>NI_2x1_NE41</t>
  </si>
  <si>
    <t>NI_1x1_NE41</t>
  </si>
  <si>
    <t>NI_.7x1_NE41</t>
  </si>
  <si>
    <t>NE299_.6x.6</t>
  </si>
  <si>
    <t>NE299_1.2x1.2</t>
  </si>
  <si>
    <t>NE299_1.8x1.8</t>
  </si>
  <si>
    <t>153A - Atlantic Coast Flatwoods</t>
  </si>
  <si>
    <t>loamy sand or sandy loam</t>
  </si>
  <si>
    <t>FL</t>
  </si>
  <si>
    <t>Torreano, S.J. &amp; Frederick, 1988</t>
  </si>
  <si>
    <t>AL</t>
  </si>
  <si>
    <t>Monroe Co</t>
  </si>
  <si>
    <t>133A-Southern Coastal Plain</t>
  </si>
  <si>
    <t>mod well drained</t>
  </si>
  <si>
    <t>Malbis series</t>
  </si>
  <si>
    <t>fine, loamy siliceous, thermic Plinthic Paleudult</t>
  </si>
  <si>
    <t>Info on P,K,Ca, Mg available in pub.</t>
  </si>
  <si>
    <t>nfo on P,K,Ca, Mg available in pub.</t>
  </si>
  <si>
    <t>Ga</t>
  </si>
  <si>
    <t>Waverly</t>
  </si>
  <si>
    <t>early spring</t>
  </si>
  <si>
    <t xml:space="preserve">spring </t>
  </si>
  <si>
    <t>TSP at 140 kg/ha</t>
  </si>
  <si>
    <t xml:space="preserve">NPK 10-10-10 </t>
  </si>
  <si>
    <t>micronutrients ann at Ca 20, Mg (10), S (13), B 0.6, Cu (0.06), Fe (0.05), Mn ).5, Zn (0.5)</t>
  </si>
  <si>
    <t>Oust (sulfomethuron methyl)+ glyphosate+triclopyr ester at labeled rates</t>
  </si>
  <si>
    <t>"complete &amp; sustained weed elimination"</t>
  </si>
  <si>
    <t>E</t>
  </si>
  <si>
    <t>N appl through irrigation in 1990</t>
  </si>
  <si>
    <t>N appl through irrigation in 1990, no fert in 1992, only N at 224 kg/ha NH4NO3</t>
  </si>
  <si>
    <t>Mar</t>
  </si>
  <si>
    <t>Rockwood et al 1994 (Final Report contract # TV-91327V)</t>
  </si>
  <si>
    <t>before planting with level maintained</t>
  </si>
  <si>
    <t>Ultisol</t>
  </si>
  <si>
    <t>Leon</t>
  </si>
  <si>
    <t>sandy, siliceous</t>
  </si>
  <si>
    <t>Sanderson</t>
  </si>
  <si>
    <t>Spodosol</t>
  </si>
  <si>
    <t>Bladen</t>
  </si>
  <si>
    <t>nutrient poor sandy soil</t>
  </si>
  <si>
    <t>Samuelson et al, 2004</t>
  </si>
  <si>
    <t>GA</t>
  </si>
  <si>
    <t>Bainbridge (22 km west)</t>
  </si>
  <si>
    <t>well drained</t>
  </si>
  <si>
    <t>sandy loam</t>
  </si>
  <si>
    <t>Mt Pleasant</t>
  </si>
  <si>
    <t>Klej series</t>
  </si>
  <si>
    <t>sandy</t>
  </si>
  <si>
    <t>Waycross (wet)</t>
  </si>
  <si>
    <t>wet utisol &amp; spodosol</t>
  </si>
  <si>
    <t>poorly drained</t>
  </si>
  <si>
    <t xml:space="preserve">pelham &amp; rigdon </t>
  </si>
  <si>
    <t>loamy, siliceous, thermic arenic paleaquult (pelham) in association with sandy, siliceous, thermic oxyaquic alorthod (rigdon)</t>
  </si>
  <si>
    <t>.100 cm</t>
  </si>
  <si>
    <t>stored soil moisture is depleded in May and June, water deficits usual in J, A, &amp; S, but relatively high water table on wet site</t>
  </si>
  <si>
    <t>Waycross (dry)</t>
  </si>
  <si>
    <t>bonifay with blanton soil series</t>
  </si>
  <si>
    <t>loamy, siliceous, thermic, grossarenic plinthic paleudult (bonifay) with loamy, siliceous, thermic grossarenic paleudult (blanton)</t>
  </si>
  <si>
    <t>stored soil moisture is depleded in May and June, water deficits usual in J, A, &amp; S</t>
  </si>
  <si>
    <t>Year_paper</t>
  </si>
  <si>
    <t>Country</t>
  </si>
  <si>
    <t>Latitude</t>
  </si>
  <si>
    <t>Longitude</t>
  </si>
  <si>
    <t>Name_lab</t>
  </si>
  <si>
    <t>Elevation (m)</t>
  </si>
  <si>
    <t>Prev_landuse</t>
  </si>
  <si>
    <t>cl IL-005</t>
  </si>
  <si>
    <t>CW-1-sp high</t>
  </si>
  <si>
    <t>CW-1-sp med</t>
  </si>
  <si>
    <t>CW-1-sp low</t>
  </si>
  <si>
    <t>CW-2-sp high</t>
  </si>
  <si>
    <t>CW-2-sp med</t>
  </si>
  <si>
    <t>CW-2-sp low</t>
  </si>
  <si>
    <t>SM-sp high</t>
  </si>
  <si>
    <t>SM-sp med</t>
  </si>
  <si>
    <t>SM-sp low</t>
  </si>
  <si>
    <t>Geyer, 1981</t>
  </si>
  <si>
    <t>Geyer, 1989</t>
  </si>
  <si>
    <t>High density</t>
  </si>
  <si>
    <t>Devrinol</t>
  </si>
  <si>
    <t>9 kg/ha</t>
  </si>
  <si>
    <t>Size_farm (hectares)</t>
  </si>
  <si>
    <t>Plot_size (m2)</t>
  </si>
  <si>
    <t>MAP (mm/yr)</t>
  </si>
  <si>
    <t>frost free days</t>
  </si>
  <si>
    <t>slopes</t>
  </si>
  <si>
    <t>USA</t>
  </si>
  <si>
    <t>Genetics Field Station (SUNY-College of Environmental Science and Forestry)</t>
  </si>
  <si>
    <t>0-3%</t>
  </si>
  <si>
    <t>State University of New York College of Environmental Science and Forestry's Genetics Field Station</t>
  </si>
  <si>
    <t>State University of New York College of Environmental Science and Forestry's Genetic Field Station</t>
  </si>
  <si>
    <t>Abandoned ag</t>
  </si>
  <si>
    <t>1 ha</t>
  </si>
  <si>
    <t>78º 01' W</t>
  </si>
  <si>
    <t>45º 38' N</t>
  </si>
  <si>
    <t>89º 37' W</t>
  </si>
  <si>
    <t>Hugo Sauer Nursery = NC Forestry Sciences Lab Nursery</t>
  </si>
  <si>
    <t>Hugo Sauer Nursery (adjacent to Forestry Sciences Laboratory)</t>
  </si>
  <si>
    <t>46º 35' N</t>
  </si>
  <si>
    <t>90º 53' W</t>
  </si>
  <si>
    <t>46º 53' N</t>
  </si>
  <si>
    <t>96º 48' W</t>
  </si>
  <si>
    <t>44º 49' N</t>
  </si>
  <si>
    <t>95º 33' W</t>
  </si>
  <si>
    <t>45º 45' N</t>
  </si>
  <si>
    <t>93º 39' W</t>
  </si>
  <si>
    <t>44º 33' N</t>
  </si>
  <si>
    <t>91º 42' W</t>
  </si>
  <si>
    <t>43º 33' N</t>
  </si>
  <si>
    <t>96º 44' W</t>
  </si>
  <si>
    <t>10 blocks; 5-10 replicates of 2-tree plots</t>
  </si>
  <si>
    <t>43º 20' N</t>
  </si>
  <si>
    <t>89º 22' W</t>
  </si>
  <si>
    <t>122º 53' W</t>
  </si>
  <si>
    <t>Tree Improvement Center (Wash. State DNR)</t>
  </si>
  <si>
    <t>Ag/hay</t>
  </si>
  <si>
    <t>&gt; 1000</t>
  </si>
  <si>
    <t>47º 03' N</t>
  </si>
  <si>
    <t>Meridian Seed Orchard (Wash. State DNR)</t>
  </si>
  <si>
    <t>NW WA Res &amp; Extension Unit</t>
  </si>
  <si>
    <t>agriculture crops</t>
  </si>
  <si>
    <t xml:space="preserve">WSU_Puyallup Res Stat. </t>
  </si>
  <si>
    <t>ungrazed grassland</t>
  </si>
  <si>
    <t>International Paper land</t>
  </si>
  <si>
    <t xml:space="preserve">Scott Paper Co. </t>
  </si>
  <si>
    <t xml:space="preserve">Results were poor on Forested site so data not included.  </t>
  </si>
  <si>
    <t>LaBelle</t>
  </si>
  <si>
    <t>Palmdale</t>
  </si>
  <si>
    <t>Gainesville</t>
  </si>
  <si>
    <t>Belle Glade</t>
  </si>
  <si>
    <t>31º 13' N</t>
  </si>
  <si>
    <t>U of Florida</t>
  </si>
  <si>
    <t>southern pine plantations</t>
  </si>
  <si>
    <t>Loblolly pine sites only. Pub also has Slash Pine planted at different sites.</t>
  </si>
  <si>
    <t>29º 28' N</t>
  </si>
  <si>
    <t>82º 33' W</t>
  </si>
  <si>
    <t>30º 48' N</t>
  </si>
  <si>
    <t>84º 39' W</t>
  </si>
  <si>
    <t>International Paper Company</t>
  </si>
  <si>
    <t>agriculture</t>
  </si>
  <si>
    <t>1257 mm/yr</t>
  </si>
  <si>
    <t>Site index 18 at base age 25, 22 mi west pf Bainbridge, Upper Coastal Plain</t>
  </si>
  <si>
    <t>Plum Creek Timber Company</t>
  </si>
  <si>
    <t>pine plantation</t>
  </si>
  <si>
    <t>Dixon State Forest</t>
  </si>
  <si>
    <t>cut-over forested areas</t>
  </si>
  <si>
    <t>1300mm</t>
  </si>
  <si>
    <t>&lt;1%</t>
  </si>
  <si>
    <t>Site index is 23.5 at base age 25</t>
  </si>
  <si>
    <t>Site index is 24.8 at base age 25</t>
  </si>
  <si>
    <t xml:space="preserve">Martin &amp; Jokela, 2004 </t>
  </si>
  <si>
    <t>Gainsville (10 m N)</t>
  </si>
  <si>
    <t>Gravelly silt loam - a good quality agricultural soil</t>
  </si>
  <si>
    <t>2.3 kg a.i./ha</t>
  </si>
  <si>
    <t>Pre-till; Pre-plant-Aug 1986</t>
  </si>
  <si>
    <t>post-tillage; pre-plant</t>
  </si>
  <si>
    <t>all trees harvested annually during December, weighed after harvested, samples dried to oven dry weight</t>
  </si>
  <si>
    <t>F_.15x.15</t>
  </si>
  <si>
    <t>NF_.15x.15</t>
  </si>
  <si>
    <t>F_.3x.3</t>
  </si>
  <si>
    <t>NF_.3x.3</t>
  </si>
  <si>
    <t>F_.46x.46</t>
  </si>
  <si>
    <t>NF_.46x.46</t>
  </si>
  <si>
    <t>ORNL-16 spacing &amp; progeny study</t>
  </si>
  <si>
    <t>County</t>
  </si>
  <si>
    <t>Palm Beach</t>
  </si>
  <si>
    <t>Glades</t>
  </si>
  <si>
    <t>Highlands</t>
  </si>
  <si>
    <t>Alachua</t>
  </si>
  <si>
    <t>Rockwood &amp; Dippon 1989 &amp; 1986</t>
  </si>
  <si>
    <t xml:space="preserve">Rockwood &amp; Dippon 1986 </t>
  </si>
  <si>
    <t>Rockwood &amp; Dippon 1986</t>
  </si>
  <si>
    <t>Rockwood 1986 (U of FL)</t>
  </si>
  <si>
    <t>Webley et al 1986 (Aust For Res)</t>
  </si>
  <si>
    <t>Hendrey</t>
  </si>
  <si>
    <t>Zehyrhills</t>
  </si>
  <si>
    <t>Tampa</t>
  </si>
  <si>
    <t>Month_end</t>
  </si>
  <si>
    <t>July</t>
  </si>
  <si>
    <t>annual_0.3x0.3</t>
  </si>
  <si>
    <t>annual_0.3x0.9</t>
  </si>
  <si>
    <t>biennial_0.3x0.3</t>
  </si>
  <si>
    <t>biennial_0.3x0.9</t>
  </si>
  <si>
    <t>biennial_0.6 x 1.1</t>
  </si>
  <si>
    <t>annual_0.6 x 1.1</t>
  </si>
  <si>
    <t>triennial_0.3x0.3</t>
  </si>
  <si>
    <t>triennial_0.3x0.9</t>
  </si>
  <si>
    <t>triennial_0.6 x 1.1</t>
  </si>
  <si>
    <t>2-6 cm</t>
  </si>
  <si>
    <t>1 yr coppice</t>
  </si>
  <si>
    <t>Y beginnin 1991</t>
  </si>
  <si>
    <t>SV1-F</t>
  </si>
  <si>
    <t>SV1-NF</t>
  </si>
  <si>
    <t>SH3-F</t>
  </si>
  <si>
    <t>SH3-NF</t>
  </si>
  <si>
    <t>SA2-F</t>
  </si>
  <si>
    <t>SA2-NF</t>
  </si>
  <si>
    <t>NM5-F</t>
  </si>
  <si>
    <t>NM5-NF</t>
  </si>
  <si>
    <t>above 90% field capacity</t>
  </si>
  <si>
    <t xml:space="preserve">Drip </t>
  </si>
  <si>
    <t>Y (beginning1989)</t>
  </si>
  <si>
    <t>har yield &amp; CAI same.  Cum yield calculated &amp; MAI estimated from cum yield/year.</t>
  </si>
  <si>
    <t>NM5</t>
  </si>
  <si>
    <t>S365</t>
  </si>
  <si>
    <t>SX61</t>
  </si>
  <si>
    <t>S546</t>
  </si>
  <si>
    <t>SX64</t>
  </si>
  <si>
    <t>S25</t>
  </si>
  <si>
    <t>S301</t>
  </si>
  <si>
    <t>S625</t>
  </si>
  <si>
    <t>SV1</t>
  </si>
  <si>
    <t>SvQ</t>
  </si>
  <si>
    <t>SX67</t>
  </si>
  <si>
    <t>Devrinol and Simazine mix</t>
  </si>
  <si>
    <t xml:space="preserve">7.5 kg and 1.5 kg </t>
  </si>
  <si>
    <t>after planting-band sprayed</t>
  </si>
  <si>
    <t>Must have been excellent for poplar growth</t>
  </si>
  <si>
    <t>NE-49_0.09</t>
  </si>
  <si>
    <t>NE-49_0.19</t>
  </si>
  <si>
    <t>NE-49_0.28</t>
  </si>
  <si>
    <t>NE-49_0.37</t>
  </si>
  <si>
    <t>NE-49_0.46</t>
  </si>
  <si>
    <t>NE252_0.09</t>
  </si>
  <si>
    <t>NE252_0.19</t>
  </si>
  <si>
    <t>NE252_0.28</t>
  </si>
  <si>
    <t>NE252_0.37</t>
  </si>
  <si>
    <t>NE252_0.46</t>
  </si>
  <si>
    <t>NE388_0.09</t>
  </si>
  <si>
    <t>NE388_0.19</t>
  </si>
  <si>
    <t>NE388_0.28</t>
  </si>
  <si>
    <t>NE388_0.37</t>
  </si>
  <si>
    <t>NE388_0.46</t>
  </si>
  <si>
    <t>18 trees</t>
  </si>
  <si>
    <t>15 cm</t>
  </si>
  <si>
    <t>Slash Pine Plantation</t>
  </si>
  <si>
    <t>Planted with genetically improved, open pollinated pine</t>
  </si>
  <si>
    <t>NY</t>
  </si>
  <si>
    <t>MN</t>
  </si>
  <si>
    <t>45º 42' N</t>
  </si>
  <si>
    <t>WA</t>
  </si>
  <si>
    <t>&lt; 6%</t>
  </si>
  <si>
    <t>66,90,126cm (2001-03)</t>
  </si>
  <si>
    <t>Aiken (upland 'SRWC' - 15 km N of D-site)</t>
  </si>
  <si>
    <t xml:space="preserve">Udorthent </t>
  </si>
  <si>
    <t>Blanton series</t>
  </si>
  <si>
    <t>Sandy, well-drained (to depth of 120cm)</t>
  </si>
  <si>
    <t xml:space="preserve">More soils info in Coleman et al. 2004  report  SRS-GTR--072 </t>
  </si>
  <si>
    <t>near Aiken, SC (SRS)</t>
  </si>
  <si>
    <t>Williams and Gresham, 2008</t>
  </si>
  <si>
    <t>Willams &amp; Gresham, 2006</t>
  </si>
  <si>
    <t>In drip May-Oct</t>
  </si>
  <si>
    <r>
      <t>NH</t>
    </r>
    <r>
      <rPr>
        <b/>
        <vertAlign val="subscript"/>
        <sz val="10"/>
        <rFont val="Arial"/>
        <family val="2"/>
      </rPr>
      <t>4</t>
    </r>
    <r>
      <rPr>
        <b/>
        <sz val="10"/>
        <rFont val="Arial"/>
        <family val="2"/>
      </rPr>
      <t>NO</t>
    </r>
    <r>
      <rPr>
        <b/>
        <vertAlign val="subscript"/>
        <sz val="10"/>
        <rFont val="Arial"/>
        <family val="2"/>
      </rPr>
      <t>3</t>
    </r>
    <r>
      <rPr>
        <b/>
        <sz val="10"/>
        <rFont val="Arial"/>
        <family val="2"/>
      </rPr>
      <t xml:space="preserve"> and urea</t>
    </r>
  </si>
  <si>
    <r>
      <t>H</t>
    </r>
    <r>
      <rPr>
        <b/>
        <vertAlign val="subscript"/>
        <sz val="10"/>
        <rFont val="Arial"/>
        <family val="2"/>
      </rPr>
      <t>3</t>
    </r>
    <r>
      <rPr>
        <b/>
        <sz val="10"/>
        <rFont val="Arial"/>
        <family val="2"/>
      </rPr>
      <t>PO</t>
    </r>
    <r>
      <rPr>
        <b/>
        <vertAlign val="subscript"/>
        <sz val="10"/>
        <rFont val="Arial"/>
        <family val="2"/>
      </rPr>
      <t>4</t>
    </r>
  </si>
  <si>
    <r>
      <t>K</t>
    </r>
    <r>
      <rPr>
        <b/>
        <vertAlign val="subscript"/>
        <sz val="10"/>
        <rFont val="Arial"/>
        <family val="2"/>
      </rPr>
      <t>2</t>
    </r>
    <r>
      <rPr>
        <b/>
        <sz val="10"/>
        <rFont val="Arial"/>
        <family val="2"/>
      </rPr>
      <t>O</t>
    </r>
  </si>
  <si>
    <t>Davis &amp; Trettin, 2006</t>
  </si>
  <si>
    <t>in drip May-Sept</t>
  </si>
  <si>
    <r>
      <t xml:space="preserve"> NH</t>
    </r>
    <r>
      <rPr>
        <vertAlign val="subscript"/>
        <sz val="10"/>
        <rFont val="Arial"/>
        <family val="2"/>
      </rPr>
      <t>4</t>
    </r>
    <r>
      <rPr>
        <sz val="10"/>
        <rFont val="Arial"/>
        <family val="2"/>
      </rPr>
      <t>NO</t>
    </r>
    <r>
      <rPr>
        <vertAlign val="subscript"/>
        <sz val="10"/>
        <rFont val="Arial"/>
        <family val="2"/>
      </rPr>
      <t>3</t>
    </r>
    <r>
      <rPr>
        <sz val="10"/>
        <rFont val="Arial"/>
        <family val="2"/>
      </rPr>
      <t xml:space="preserve"> with P &amp; K &amp; micronutrients Zn, Cu, Fe, B, &amp; Mn</t>
    </r>
  </si>
  <si>
    <r>
      <t>H</t>
    </r>
    <r>
      <rPr>
        <b/>
        <vertAlign val="subscript"/>
        <sz val="10"/>
        <rFont val="Arial"/>
        <family val="2"/>
      </rPr>
      <t>3</t>
    </r>
    <r>
      <rPr>
        <b/>
        <sz val="10"/>
        <rFont val="Arial"/>
        <family val="2"/>
      </rPr>
      <t>PO</t>
    </r>
    <r>
      <rPr>
        <b/>
        <vertAlign val="subscript"/>
        <sz val="10"/>
        <rFont val="Arial"/>
        <family val="2"/>
      </rPr>
      <t>4</t>
    </r>
    <r>
      <rPr>
        <b/>
        <sz val="10"/>
        <rFont val="Arial"/>
        <family val="2"/>
      </rPr>
      <t xml:space="preserve"> with N&amp;K</t>
    </r>
    <r>
      <rPr>
        <b/>
        <vertAlign val="subscript"/>
        <sz val="10"/>
        <rFont val="Arial"/>
        <family val="2"/>
      </rPr>
      <t xml:space="preserve"> </t>
    </r>
  </si>
  <si>
    <r>
      <t>H</t>
    </r>
    <r>
      <rPr>
        <vertAlign val="subscript"/>
        <sz val="10"/>
        <rFont val="Arial"/>
        <family val="2"/>
      </rPr>
      <t>3</t>
    </r>
    <r>
      <rPr>
        <sz val="10"/>
        <rFont val="Arial"/>
        <family val="2"/>
      </rPr>
      <t>PO</t>
    </r>
    <r>
      <rPr>
        <vertAlign val="subscript"/>
        <sz val="10"/>
        <rFont val="Arial"/>
        <family val="2"/>
      </rPr>
      <t>4</t>
    </r>
    <r>
      <rPr>
        <sz val="10"/>
        <rFont val="Arial"/>
        <family val="2"/>
      </rPr>
      <t xml:space="preserve"> with N&amp;K</t>
    </r>
    <r>
      <rPr>
        <vertAlign val="subscript"/>
        <sz val="10"/>
        <rFont val="Arial"/>
        <family val="2"/>
      </rPr>
      <t xml:space="preserve"> </t>
    </r>
  </si>
  <si>
    <r>
      <t>K</t>
    </r>
    <r>
      <rPr>
        <b/>
        <vertAlign val="subscript"/>
        <sz val="10"/>
        <rFont val="Arial"/>
        <family val="2"/>
      </rPr>
      <t>2</t>
    </r>
    <r>
      <rPr>
        <b/>
        <sz val="10"/>
        <rFont val="Arial"/>
        <family val="2"/>
      </rPr>
      <t>O with N&amp;P</t>
    </r>
  </si>
  <si>
    <r>
      <t>K</t>
    </r>
    <r>
      <rPr>
        <vertAlign val="subscript"/>
        <sz val="10"/>
        <rFont val="Arial"/>
        <family val="2"/>
      </rPr>
      <t>2</t>
    </r>
    <r>
      <rPr>
        <sz val="10"/>
        <rFont val="Arial"/>
        <family val="2"/>
      </rPr>
      <t>O with N&amp;P</t>
    </r>
  </si>
  <si>
    <t>Adegbidi 2001 is same as Kopp data published in 1996 plus 2 years</t>
  </si>
  <si>
    <t>Pt</t>
  </si>
  <si>
    <r>
      <t xml:space="preserve"> NH</t>
    </r>
    <r>
      <rPr>
        <b/>
        <vertAlign val="subscript"/>
        <sz val="10"/>
        <rFont val="Arial"/>
        <family val="2"/>
      </rPr>
      <t>4</t>
    </r>
    <r>
      <rPr>
        <b/>
        <sz val="10"/>
        <rFont val="Arial"/>
        <family val="2"/>
      </rPr>
      <t>NO</t>
    </r>
    <r>
      <rPr>
        <b/>
        <vertAlign val="subscript"/>
        <sz val="10"/>
        <rFont val="Arial"/>
        <family val="2"/>
      </rPr>
      <t>3</t>
    </r>
    <r>
      <rPr>
        <b/>
        <sz val="10"/>
        <rFont val="Arial"/>
        <family val="2"/>
      </rPr>
      <t xml:space="preserve"> with P &amp; K &amp; micronutrients Zn, Cu, Fe, B, &amp; Mn</t>
    </r>
  </si>
  <si>
    <t>High rainfall in 1999, severe to extreme drought during 2001 &amp; 2002, 6 small catchments were experimental units</t>
  </si>
  <si>
    <t>lime added at 3.4 Mg/ha</t>
  </si>
  <si>
    <t>Aiken (Savannah River Site)</t>
  </si>
  <si>
    <t>US DOE Savannah River Site</t>
  </si>
  <si>
    <t>all soil and debris on site homogenized to a depth of 30 cm</t>
  </si>
  <si>
    <t>Torreano &amp; Frederick, 1988;NCSU 1988 rpt</t>
  </si>
  <si>
    <r>
      <t>ht and dbh measured on all 25 trees in meas plot, mean vol index tree (dbh</t>
    </r>
    <r>
      <rPr>
        <vertAlign val="superscript"/>
        <sz val="10"/>
        <rFont val="Arial"/>
        <family val="2"/>
      </rPr>
      <t>2</t>
    </r>
    <r>
      <rPr>
        <sz val="10"/>
        <rFont val="Arial"/>
        <family val="2"/>
      </rPr>
      <t>xht) determined, cut and weighed.  Fresh and dry weights determined on sample tree.  Then all trees in sub-plot harvested and weighed as composite sample to nearest 0.05 kg</t>
    </r>
  </si>
  <si>
    <t>urea</t>
  </si>
  <si>
    <t>3 appl of 50 Kg N/yr + P at planting</t>
  </si>
  <si>
    <t>N annually + P at planting</t>
  </si>
  <si>
    <t>N yr 1 only + P at planting</t>
  </si>
  <si>
    <t>herbaceous competition not mentioned</t>
  </si>
  <si>
    <t>cutting</t>
  </si>
  <si>
    <t xml:space="preserve">Dbh values are in graph in paper, more details are available in Coleman et al, 2004b  FS, Southern Research Station GTR-SRS-72 </t>
  </si>
  <si>
    <t>Van Miegroet et al. (1994)</t>
  </si>
  <si>
    <t>Oak Ridge, TN</t>
  </si>
  <si>
    <t>F_O1_450</t>
  </si>
  <si>
    <t>F_AE_150</t>
  </si>
  <si>
    <t>F_P_50-50-50</t>
  </si>
  <si>
    <t>F_AB_50-150-250</t>
  </si>
  <si>
    <t>fall</t>
  </si>
  <si>
    <t>2 x 1.5</t>
  </si>
  <si>
    <t>as needed</t>
  </si>
  <si>
    <t>directed backpack spray</t>
  </si>
  <si>
    <t>Source</t>
  </si>
  <si>
    <t>Rotat #</t>
  </si>
  <si>
    <t>Month_start</t>
  </si>
  <si>
    <t>Year_end</t>
  </si>
  <si>
    <t>Har Yield (odt/ha)</t>
  </si>
  <si>
    <t xml:space="preserve">Cum Above Ground dt/ha) </t>
  </si>
  <si>
    <t>Cum Above Ground_se</t>
  </si>
  <si>
    <t>Spacing (m)</t>
  </si>
  <si>
    <t>No reps</t>
  </si>
  <si>
    <t>Border_rows</t>
  </si>
  <si>
    <t>Size/age</t>
  </si>
  <si>
    <t>Plant_depth (cm)</t>
  </si>
  <si>
    <t>Till_when</t>
  </si>
  <si>
    <t>112 kg ha-1 appl in 1991&amp; 1992</t>
  </si>
  <si>
    <t>NH4NO3 in 87,88,89,91; urea in irrigation water in 90.</t>
  </si>
  <si>
    <t>May-Aug in 6 equal portions</t>
  </si>
  <si>
    <t>Till_depth (cm)</t>
  </si>
  <si>
    <t>Irrigated</t>
  </si>
  <si>
    <t>Irr_method</t>
  </si>
  <si>
    <t>Irr_rate</t>
  </si>
  <si>
    <t>Fertilized</t>
  </si>
  <si>
    <t>Other_treatment</t>
  </si>
  <si>
    <t>Herbicide</t>
  </si>
  <si>
    <t>H_what</t>
  </si>
  <si>
    <t>H_when</t>
  </si>
  <si>
    <t>H_rate</t>
  </si>
  <si>
    <t>Notes</t>
  </si>
  <si>
    <r>
      <t>Basal area m</t>
    </r>
    <r>
      <rPr>
        <b/>
        <vertAlign val="superscript"/>
        <sz val="10"/>
        <rFont val="Arial"/>
        <family val="2"/>
      </rPr>
      <t>2</t>
    </r>
    <r>
      <rPr>
        <b/>
        <sz val="10"/>
        <rFont val="Arial"/>
        <family val="2"/>
      </rPr>
      <t>/ha</t>
    </r>
  </si>
  <si>
    <t>Basal area_se</t>
  </si>
  <si>
    <t>Height (m)</t>
  </si>
  <si>
    <t>Height_se</t>
  </si>
  <si>
    <t>DBH (cm)</t>
  </si>
  <si>
    <t>DBH_se</t>
  </si>
  <si>
    <t>Diam_se</t>
  </si>
  <si>
    <t>Volume_se</t>
  </si>
  <si>
    <r>
      <t>Above Ground (kg DM tree</t>
    </r>
    <r>
      <rPr>
        <b/>
        <vertAlign val="superscript"/>
        <sz val="10"/>
        <rFont val="Arial"/>
        <family val="2"/>
      </rPr>
      <t>-1</t>
    </r>
    <r>
      <rPr>
        <b/>
        <sz val="10"/>
        <rFont val="Arial"/>
        <family val="2"/>
      </rPr>
      <t>)</t>
    </r>
  </si>
  <si>
    <r>
      <t>Above Ground (g DM tree</t>
    </r>
    <r>
      <rPr>
        <b/>
        <vertAlign val="superscript"/>
        <sz val="10"/>
        <rFont val="Arial"/>
        <family val="2"/>
      </rPr>
      <t>-1</t>
    </r>
    <r>
      <rPr>
        <b/>
        <sz val="10"/>
        <rFont val="Arial"/>
        <family val="2"/>
      </rPr>
      <t>)</t>
    </r>
  </si>
  <si>
    <t>NORTHEAST</t>
  </si>
  <si>
    <t>Adegbidi et al 2001 (Biomass &amp; Bioenergy)&amp; SUNY Final Report to NYSERDA 1997</t>
  </si>
  <si>
    <t>Tully, NY</t>
  </si>
  <si>
    <t>P</t>
  </si>
  <si>
    <t>1-7'</t>
  </si>
  <si>
    <t>April</t>
  </si>
  <si>
    <t>.3 x .3</t>
  </si>
  <si>
    <t>C</t>
  </si>
  <si>
    <t>25 cm</t>
  </si>
  <si>
    <t xml:space="preserve">Y </t>
  </si>
  <si>
    <t>Y</t>
  </si>
  <si>
    <t>Drip</t>
  </si>
  <si>
    <t>2-6 cm/wk</t>
  </si>
  <si>
    <t>N amount is a 4 yr average</t>
  </si>
  <si>
    <t>annually (1981-91)</t>
  </si>
  <si>
    <t>N</t>
  </si>
  <si>
    <t>Annually harvested - only mean of multiple years reported</t>
  </si>
  <si>
    <t>W</t>
  </si>
  <si>
    <t>Salix dasyclados (SV1)</t>
  </si>
  <si>
    <t>2-4'</t>
  </si>
  <si>
    <t>.3 x .9</t>
  </si>
  <si>
    <t>.6 x 1.1</t>
  </si>
  <si>
    <t>1-3</t>
  </si>
  <si>
    <t>3 spacings</t>
  </si>
  <si>
    <t>3 densities</t>
  </si>
  <si>
    <t>glyphosate &amp; 2-4-D&amp;oxyfluorfen</t>
  </si>
  <si>
    <t>fall site prep</t>
  </si>
  <si>
    <t xml:space="preserve">2.24 kg ai ha-1 </t>
  </si>
  <si>
    <t xml:space="preserve">annual harvest - kopp 1997; same data, dissaggregated. </t>
  </si>
  <si>
    <t>1,2</t>
  </si>
  <si>
    <t xml:space="preserve">biennial harvest-kopp 1997; same data, dissaggregated. </t>
  </si>
  <si>
    <t>1</t>
  </si>
  <si>
    <t xml:space="preserve">triennial harvest-kopp 1997; same data, dissaggregated. </t>
  </si>
  <si>
    <t>harvest at 3 yrs after first yr coppice</t>
  </si>
  <si>
    <t>Adegbidi et al 2003 (Biomass &amp; Bioenergy)</t>
  </si>
  <si>
    <t>1995 planted/1996 coppiced and then treatment began</t>
  </si>
  <si>
    <t>(Buffer zones 1.6 and 7.9 m between adjacent plots and adjacent rows of plots, respectively)</t>
  </si>
  <si>
    <t>Pre-plant</t>
  </si>
  <si>
    <t>Once, at start of 1st season</t>
  </si>
  <si>
    <t>Kopp et al 1996 (Biomass and Bioenergy)</t>
  </si>
  <si>
    <t>Salix purpurea L. (clone SP3)</t>
  </si>
  <si>
    <t>0.3 x 0.3</t>
  </si>
  <si>
    <t>(soil moisture tension maintained below -0.02 Mpa @ 30cm depth, 1989-1991); No irrigation 1987 &amp; 1988</t>
  </si>
  <si>
    <t xml:space="preserve">Lakeland </t>
  </si>
  <si>
    <t>F_8400 tph</t>
  </si>
  <si>
    <t>UF_8400 tph</t>
  </si>
  <si>
    <t>F_4200 tph</t>
  </si>
  <si>
    <t>UF_4200 tph</t>
  </si>
  <si>
    <t>UF(2)_8400 tph</t>
  </si>
  <si>
    <t>Florida Institute of Phosphate Research</t>
  </si>
  <si>
    <t>59.9 to 82.1oF (Jan and July)</t>
  </si>
  <si>
    <t>Lakeland</t>
  </si>
  <si>
    <t>highly compacted heavy clay</t>
  </si>
  <si>
    <t>site dominated b y cogongrass prior to 2000</t>
  </si>
  <si>
    <t>negligable</t>
  </si>
  <si>
    <t>double disked and bedded</t>
  </si>
  <si>
    <t>Aug</t>
  </si>
  <si>
    <t>Glypohosate (2.3 kg a.i ha-1 Roundup, Monsanto); Simazine (4.5 kg a.i ha-1)</t>
  </si>
  <si>
    <t>Pre-till; Pre-plant</t>
  </si>
  <si>
    <t>.46 x .46</t>
  </si>
  <si>
    <t>Kopp et al 1997 (Biomass &amp; Bioenrgy</t>
  </si>
  <si>
    <t>to field capacity</t>
  </si>
  <si>
    <t>high fert and irrigation</t>
  </si>
  <si>
    <t>Kopp et al 2001 (Biomass and Bioenergy)</t>
  </si>
  <si>
    <t>Montreal (90 km sw of)</t>
  </si>
  <si>
    <t>.33 x 1.67</t>
  </si>
  <si>
    <t>Fall (1998) and spring (1999) before planting</t>
  </si>
  <si>
    <t>Glyphosate (Roundup, 2.51 kg ha-1); (7.5 kg ha-1 Devrinol &amp; 1.5 kg ha-1 Simazine)</t>
  </si>
  <si>
    <t>Fall 1998; Spring 1999 (immediately after planting)</t>
  </si>
  <si>
    <t>Labrecque, M. and T.I. Teodorescu 2005 (Biomass and Bioenergy)</t>
  </si>
  <si>
    <t>before planting &amp; periodically to maintain level in soil</t>
  </si>
  <si>
    <t>after 3rd yr of 2nd rotation</t>
  </si>
  <si>
    <t>167 kgN/yr in sp of yrs 2,3,4</t>
  </si>
  <si>
    <t>as needed based on foliar analysis to equal 369 kgN/ha by end of 5 yrs</t>
  </si>
  <si>
    <t>NH4NO3 (336 kg N/ha)</t>
  </si>
  <si>
    <t>NH4NO3 (224 kg N/ha/yr)</t>
  </si>
  <si>
    <r>
      <t>NH</t>
    </r>
    <r>
      <rPr>
        <vertAlign val="subscript"/>
        <sz val="10"/>
        <rFont val="Arial"/>
        <family val="2"/>
      </rPr>
      <t>4</t>
    </r>
    <r>
      <rPr>
        <sz val="10"/>
        <rFont val="Arial"/>
        <family val="2"/>
      </rPr>
      <t>NO</t>
    </r>
    <r>
      <rPr>
        <vertAlign val="subscript"/>
        <sz val="10"/>
        <rFont val="Arial"/>
        <family val="2"/>
      </rPr>
      <t>3</t>
    </r>
    <r>
      <rPr>
        <sz val="10"/>
        <rFont val="Arial"/>
        <family val="2"/>
      </rPr>
      <t xml:space="preserve"> and urea (135 kg N/ha)</t>
    </r>
  </si>
  <si>
    <r>
      <t>NH</t>
    </r>
    <r>
      <rPr>
        <vertAlign val="subscript"/>
        <sz val="10"/>
        <rFont val="Arial"/>
        <family val="2"/>
      </rPr>
      <t>4</t>
    </r>
    <r>
      <rPr>
        <sz val="10"/>
        <rFont val="Arial"/>
        <family val="2"/>
      </rPr>
      <t>NO</t>
    </r>
    <r>
      <rPr>
        <vertAlign val="subscript"/>
        <sz val="10"/>
        <rFont val="Arial"/>
        <family val="2"/>
      </rPr>
      <t>3</t>
    </r>
    <r>
      <rPr>
        <sz val="10"/>
        <rFont val="Arial"/>
        <family val="2"/>
      </rPr>
      <t xml:space="preserve"> and urea (112 kg N/ha)</t>
    </r>
  </si>
  <si>
    <r>
      <t>NH</t>
    </r>
    <r>
      <rPr>
        <vertAlign val="subscript"/>
        <sz val="10"/>
        <rFont val="Arial"/>
        <family val="2"/>
      </rPr>
      <t>4</t>
    </r>
    <r>
      <rPr>
        <sz val="10"/>
        <rFont val="Arial"/>
        <family val="2"/>
      </rPr>
      <t>NO</t>
    </r>
    <r>
      <rPr>
        <vertAlign val="subscript"/>
        <sz val="10"/>
        <rFont val="Arial"/>
        <family val="2"/>
      </rPr>
      <t>3</t>
    </r>
    <r>
      <rPr>
        <sz val="10"/>
        <rFont val="Arial"/>
        <family val="2"/>
      </rPr>
      <t xml:space="preserve"> and urea (79 kg N/ha)</t>
    </r>
  </si>
  <si>
    <t>NH4NO3 and urea (79 kg N/ha)</t>
  </si>
  <si>
    <r>
      <t>NH</t>
    </r>
    <r>
      <rPr>
        <vertAlign val="subscript"/>
        <sz val="10"/>
        <rFont val="Arial"/>
        <family val="2"/>
      </rPr>
      <t>4</t>
    </r>
    <r>
      <rPr>
        <sz val="10"/>
        <rFont val="Arial"/>
        <family val="2"/>
      </rPr>
      <t>NO</t>
    </r>
    <r>
      <rPr>
        <vertAlign val="subscript"/>
        <sz val="10"/>
        <rFont val="Arial"/>
        <family val="2"/>
      </rPr>
      <t>3</t>
    </r>
    <r>
      <rPr>
        <sz val="10"/>
        <rFont val="Arial"/>
        <family val="2"/>
      </rPr>
      <t xml:space="preserve"> and urea (111 kgN/ha)</t>
    </r>
  </si>
  <si>
    <r>
      <t>NH</t>
    </r>
    <r>
      <rPr>
        <vertAlign val="subscript"/>
        <sz val="10"/>
        <rFont val="Arial"/>
        <family val="2"/>
      </rPr>
      <t>4</t>
    </r>
    <r>
      <rPr>
        <sz val="10"/>
        <rFont val="Arial"/>
        <family val="2"/>
      </rPr>
      <t>NO</t>
    </r>
    <r>
      <rPr>
        <vertAlign val="subscript"/>
        <sz val="10"/>
        <rFont val="Arial"/>
        <family val="2"/>
      </rPr>
      <t>3</t>
    </r>
    <r>
      <rPr>
        <sz val="10"/>
        <rFont val="Arial"/>
        <family val="2"/>
      </rPr>
      <t xml:space="preserve"> and urea (113 kg N/ha)</t>
    </r>
  </si>
  <si>
    <r>
      <t>NH</t>
    </r>
    <r>
      <rPr>
        <vertAlign val="subscript"/>
        <sz val="10"/>
        <rFont val="Arial"/>
        <family val="2"/>
      </rPr>
      <t>4</t>
    </r>
    <r>
      <rPr>
        <sz val="10"/>
        <rFont val="Arial"/>
        <family val="2"/>
      </rPr>
      <t>NO</t>
    </r>
    <r>
      <rPr>
        <vertAlign val="subscript"/>
        <sz val="10"/>
        <rFont val="Arial"/>
        <family val="2"/>
      </rPr>
      <t>3</t>
    </r>
    <r>
      <rPr>
        <sz val="10"/>
        <rFont val="Arial"/>
        <family val="2"/>
      </rPr>
      <t xml:space="preserve"> and urea (132 kg N/ha)</t>
    </r>
  </si>
  <si>
    <r>
      <t>NH</t>
    </r>
    <r>
      <rPr>
        <vertAlign val="subscript"/>
        <sz val="10"/>
        <rFont val="Arial"/>
        <family val="2"/>
      </rPr>
      <t>4</t>
    </r>
    <r>
      <rPr>
        <sz val="10"/>
        <rFont val="Arial"/>
        <family val="2"/>
      </rPr>
      <t>NO</t>
    </r>
    <r>
      <rPr>
        <vertAlign val="subscript"/>
        <sz val="10"/>
        <rFont val="Arial"/>
        <family val="2"/>
      </rPr>
      <t>3</t>
    </r>
    <r>
      <rPr>
        <sz val="10"/>
        <rFont val="Arial"/>
        <family val="2"/>
      </rPr>
      <t xml:space="preserve"> and urea (44 kg N/ha)</t>
    </r>
  </si>
  <si>
    <r>
      <t>H</t>
    </r>
    <r>
      <rPr>
        <vertAlign val="subscript"/>
        <sz val="10"/>
        <rFont val="Arial"/>
        <family val="2"/>
      </rPr>
      <t>3</t>
    </r>
    <r>
      <rPr>
        <sz val="10"/>
        <rFont val="Arial"/>
        <family val="2"/>
      </rPr>
      <t>PO</t>
    </r>
    <r>
      <rPr>
        <vertAlign val="subscript"/>
        <sz val="10"/>
        <rFont val="Arial"/>
        <family val="2"/>
      </rPr>
      <t xml:space="preserve">4 </t>
    </r>
    <r>
      <rPr>
        <sz val="10"/>
        <rFont val="Arial"/>
        <family val="2"/>
      </rPr>
      <t>(33 kg P/ha)</t>
    </r>
  </si>
  <si>
    <r>
      <t>H</t>
    </r>
    <r>
      <rPr>
        <vertAlign val="subscript"/>
        <sz val="10"/>
        <rFont val="Arial"/>
        <family val="2"/>
      </rPr>
      <t>3</t>
    </r>
    <r>
      <rPr>
        <sz val="10"/>
        <rFont val="Arial"/>
        <family val="2"/>
      </rPr>
      <t>PO</t>
    </r>
    <r>
      <rPr>
        <vertAlign val="subscript"/>
        <sz val="10"/>
        <rFont val="Arial"/>
        <family val="2"/>
      </rPr>
      <t xml:space="preserve">4 </t>
    </r>
    <r>
      <rPr>
        <sz val="10"/>
        <rFont val="Arial"/>
        <family val="2"/>
      </rPr>
      <t>(20 kg P/ha)</t>
    </r>
  </si>
  <si>
    <r>
      <t>H</t>
    </r>
    <r>
      <rPr>
        <vertAlign val="subscript"/>
        <sz val="10"/>
        <rFont val="Arial"/>
        <family val="2"/>
      </rPr>
      <t>3</t>
    </r>
    <r>
      <rPr>
        <sz val="10"/>
        <rFont val="Arial"/>
        <family val="2"/>
      </rPr>
      <t>PO</t>
    </r>
    <r>
      <rPr>
        <vertAlign val="subscript"/>
        <sz val="10"/>
        <rFont val="Arial"/>
        <family val="2"/>
      </rPr>
      <t xml:space="preserve">4 </t>
    </r>
    <r>
      <rPr>
        <sz val="10"/>
        <rFont val="Arial"/>
        <family val="2"/>
      </rPr>
      <t>(28 kg P/ha)</t>
    </r>
  </si>
  <si>
    <r>
      <t>H</t>
    </r>
    <r>
      <rPr>
        <vertAlign val="subscript"/>
        <sz val="10"/>
        <rFont val="Arial"/>
        <family val="2"/>
      </rPr>
      <t>3</t>
    </r>
    <r>
      <rPr>
        <sz val="10"/>
        <rFont val="Arial"/>
        <family val="2"/>
      </rPr>
      <t>PO</t>
    </r>
    <r>
      <rPr>
        <vertAlign val="subscript"/>
        <sz val="10"/>
        <rFont val="Arial"/>
        <family val="2"/>
      </rPr>
      <t xml:space="preserve">4 </t>
    </r>
    <r>
      <rPr>
        <sz val="10"/>
        <rFont val="Arial"/>
        <family val="2"/>
      </rPr>
      <t>(37 kg P/ha)</t>
    </r>
  </si>
  <si>
    <r>
      <t>H</t>
    </r>
    <r>
      <rPr>
        <vertAlign val="subscript"/>
        <sz val="10"/>
        <rFont val="Arial"/>
        <family val="2"/>
      </rPr>
      <t>3</t>
    </r>
    <r>
      <rPr>
        <sz val="10"/>
        <rFont val="Arial"/>
        <family val="2"/>
      </rPr>
      <t>PO</t>
    </r>
    <r>
      <rPr>
        <vertAlign val="subscript"/>
        <sz val="10"/>
        <rFont val="Arial"/>
        <family val="2"/>
      </rPr>
      <t xml:space="preserve">4 </t>
    </r>
    <r>
      <rPr>
        <sz val="10"/>
        <rFont val="Arial"/>
        <family val="2"/>
      </rPr>
      <t>(12 kg P/ha)</t>
    </r>
  </si>
  <si>
    <r>
      <t>NH</t>
    </r>
    <r>
      <rPr>
        <vertAlign val="subscript"/>
        <sz val="10"/>
        <rFont val="Arial"/>
        <family val="2"/>
      </rPr>
      <t>4</t>
    </r>
    <r>
      <rPr>
        <sz val="10"/>
        <rFont val="Arial"/>
        <family val="2"/>
      </rPr>
      <t>NO</t>
    </r>
    <r>
      <rPr>
        <vertAlign val="subscript"/>
        <sz val="10"/>
        <rFont val="Arial"/>
        <family val="2"/>
      </rPr>
      <t>3</t>
    </r>
    <r>
      <rPr>
        <sz val="10"/>
        <rFont val="Arial"/>
        <family val="2"/>
      </rPr>
      <t xml:space="preserve"> and urea (45 yr 1 = 87 yr 2 kg N/ha)</t>
    </r>
  </si>
  <si>
    <r>
      <t>NH</t>
    </r>
    <r>
      <rPr>
        <b/>
        <vertAlign val="subscript"/>
        <sz val="10"/>
        <rFont val="Arial"/>
        <family val="2"/>
      </rPr>
      <t>4</t>
    </r>
    <r>
      <rPr>
        <b/>
        <sz val="10"/>
        <rFont val="Arial"/>
        <family val="2"/>
      </rPr>
      <t>NO</t>
    </r>
    <r>
      <rPr>
        <b/>
        <vertAlign val="subscript"/>
        <sz val="10"/>
        <rFont val="Arial"/>
        <family val="2"/>
      </rPr>
      <t>3</t>
    </r>
    <r>
      <rPr>
        <b/>
        <sz val="10"/>
        <rFont val="Arial"/>
        <family val="2"/>
      </rPr>
      <t xml:space="preserve"> and urea (38 kg N/ha)</t>
    </r>
  </si>
  <si>
    <t>May-Oct fertigation starting yr 1</t>
  </si>
  <si>
    <t xml:space="preserve">May-Oct fertigation </t>
  </si>
  <si>
    <r>
      <t>H</t>
    </r>
    <r>
      <rPr>
        <vertAlign val="subscript"/>
        <sz val="10"/>
        <rFont val="Arial"/>
        <family val="2"/>
      </rPr>
      <t>3</t>
    </r>
    <r>
      <rPr>
        <sz val="10"/>
        <rFont val="Arial"/>
        <family val="2"/>
      </rPr>
      <t>PO</t>
    </r>
    <r>
      <rPr>
        <vertAlign val="subscript"/>
        <sz val="10"/>
        <rFont val="Arial"/>
        <family val="2"/>
      </rPr>
      <t xml:space="preserve">4 </t>
    </r>
    <r>
      <rPr>
        <sz val="10"/>
        <rFont val="Arial"/>
        <family val="2"/>
      </rPr>
      <t>(11 yr 1 + 22 yr 2 kg P/ha)</t>
    </r>
  </si>
  <si>
    <r>
      <t>K</t>
    </r>
    <r>
      <rPr>
        <vertAlign val="subscript"/>
        <sz val="10"/>
        <rFont val="Arial"/>
        <family val="2"/>
      </rPr>
      <t>2</t>
    </r>
    <r>
      <rPr>
        <sz val="10"/>
        <rFont val="Arial"/>
        <family val="2"/>
      </rPr>
      <t>O (45 yr1 + 87 yr 2 kg K/ha)</t>
    </r>
  </si>
  <si>
    <r>
      <t>K</t>
    </r>
    <r>
      <rPr>
        <vertAlign val="subscript"/>
        <sz val="10"/>
        <rFont val="Arial"/>
        <family val="2"/>
      </rPr>
      <t>2</t>
    </r>
    <r>
      <rPr>
        <sz val="10"/>
        <rFont val="Arial"/>
        <family val="2"/>
      </rPr>
      <t>O (130 kg K/ha)</t>
    </r>
  </si>
  <si>
    <r>
      <t>K</t>
    </r>
    <r>
      <rPr>
        <vertAlign val="subscript"/>
        <sz val="10"/>
        <rFont val="Arial"/>
        <family val="2"/>
      </rPr>
      <t>2</t>
    </r>
    <r>
      <rPr>
        <sz val="10"/>
        <rFont val="Arial"/>
        <family val="2"/>
      </rPr>
      <t>O (90 kg K/ha)</t>
    </r>
  </si>
  <si>
    <r>
      <t>K</t>
    </r>
    <r>
      <rPr>
        <vertAlign val="subscript"/>
        <sz val="10"/>
        <rFont val="Arial"/>
        <family val="2"/>
      </rPr>
      <t>2</t>
    </r>
    <r>
      <rPr>
        <sz val="10"/>
        <rFont val="Arial"/>
        <family val="2"/>
      </rPr>
      <t>O (kg 79 K/ha)</t>
    </r>
  </si>
  <si>
    <r>
      <t>K</t>
    </r>
    <r>
      <rPr>
        <vertAlign val="subscript"/>
        <sz val="10"/>
        <rFont val="Arial"/>
        <family val="2"/>
      </rPr>
      <t>2</t>
    </r>
    <r>
      <rPr>
        <sz val="10"/>
        <rFont val="Arial"/>
        <family val="2"/>
      </rPr>
      <t>O (79 kg K/ha)</t>
    </r>
  </si>
  <si>
    <r>
      <t>K</t>
    </r>
    <r>
      <rPr>
        <vertAlign val="subscript"/>
        <sz val="10"/>
        <rFont val="Arial"/>
        <family val="2"/>
      </rPr>
      <t>2</t>
    </r>
    <r>
      <rPr>
        <sz val="10"/>
        <rFont val="Arial"/>
        <family val="2"/>
      </rPr>
      <t>O (111 kg K/ha)</t>
    </r>
  </si>
  <si>
    <r>
      <t>K</t>
    </r>
    <r>
      <rPr>
        <vertAlign val="subscript"/>
        <sz val="10"/>
        <rFont val="Arial"/>
        <family val="2"/>
      </rPr>
      <t>2</t>
    </r>
    <r>
      <rPr>
        <sz val="10"/>
        <rFont val="Arial"/>
        <family val="2"/>
      </rPr>
      <t>O (113 kg K/ha)</t>
    </r>
  </si>
  <si>
    <r>
      <t>K</t>
    </r>
    <r>
      <rPr>
        <vertAlign val="subscript"/>
        <sz val="10"/>
        <rFont val="Arial"/>
        <family val="2"/>
      </rPr>
      <t>2</t>
    </r>
    <r>
      <rPr>
        <sz val="10"/>
        <rFont val="Arial"/>
        <family val="2"/>
      </rPr>
      <t>O (132 kg K/ha)</t>
    </r>
  </si>
  <si>
    <r>
      <t>K</t>
    </r>
    <r>
      <rPr>
        <vertAlign val="subscript"/>
        <sz val="10"/>
        <rFont val="Arial"/>
        <family val="2"/>
      </rPr>
      <t>2</t>
    </r>
    <r>
      <rPr>
        <sz val="10"/>
        <rFont val="Arial"/>
        <family val="2"/>
      </rPr>
      <t>O (49 kg K/ha)</t>
    </r>
  </si>
  <si>
    <r>
      <t>K</t>
    </r>
    <r>
      <rPr>
        <b/>
        <vertAlign val="subscript"/>
        <sz val="10"/>
        <rFont val="Arial"/>
        <family val="2"/>
      </rPr>
      <t>2</t>
    </r>
    <r>
      <rPr>
        <b/>
        <sz val="10"/>
        <rFont val="Arial"/>
        <family val="2"/>
      </rPr>
      <t>O (38 kg K/ha)</t>
    </r>
  </si>
  <si>
    <t>0.21 kg/ha Copper</t>
  </si>
  <si>
    <t>Salix discolor (clone S365)</t>
  </si>
  <si>
    <t>Salix eriocephala (clone S546)</t>
  </si>
  <si>
    <t>in irrigation system</t>
  </si>
  <si>
    <t>NPK 16-16-16 preplant and NH4NO3 in 3rd yr (1988)</t>
  </si>
  <si>
    <t>weeding (till/hoe, year 1) (herbicides/hoeing, years 2 &amp; 3)</t>
  </si>
  <si>
    <t>NPK 16-16-16 preplant and NH4NO3 in 3rd yr (1988) and 7th yr (1992)</t>
  </si>
  <si>
    <t>Heilman&amp;Stettler 85 also Weber, Stettler and Heilman, 1985</t>
  </si>
  <si>
    <t>Orting source</t>
  </si>
  <si>
    <t>Longview source</t>
  </si>
  <si>
    <t>Nisqually source</t>
  </si>
  <si>
    <t>Monroe source</t>
  </si>
  <si>
    <t>Santiam source</t>
  </si>
  <si>
    <t>Arlington source</t>
  </si>
  <si>
    <t>Snoqualmie source</t>
  </si>
  <si>
    <t>Rockport source</t>
  </si>
  <si>
    <t>Chilliwack source</t>
  </si>
  <si>
    <t>Index source</t>
  </si>
  <si>
    <t>after 2nd, 3rd growing seasons</t>
  </si>
  <si>
    <t>after 2nd, 3rd &amp; 7th growing seasons</t>
  </si>
  <si>
    <t>N fert when</t>
  </si>
  <si>
    <t>P fert when</t>
  </si>
  <si>
    <t>annually (1981-91,93)</t>
  </si>
  <si>
    <t>ann (91-95)</t>
  </si>
  <si>
    <t xml:space="preserve"> Fert_when</t>
  </si>
  <si>
    <t>37 kg N added biweekly to total 224 kgN/ha 91-94 ;</t>
  </si>
  <si>
    <t>91&amp;92 once/yr 112 kg/ha</t>
  </si>
  <si>
    <t>six appl of 56 kg/ha at 3 wk intervals</t>
  </si>
  <si>
    <t>with first N appl</t>
  </si>
  <si>
    <t>once/yr-sp</t>
  </si>
  <si>
    <t>Micronutrients Calcium, boron, magnesium, manganese, zinc</t>
  </si>
  <si>
    <t>Every 3 wks as needed</t>
  </si>
  <si>
    <t>Non-limiting fert &amp; water conditions</t>
  </si>
  <si>
    <t>hand weeded when necessary</t>
  </si>
  <si>
    <t>DeBell et al 1993 (Biomass &amp; Bioenergy 4(5):305-313)</t>
  </si>
  <si>
    <t>preplant</t>
  </si>
  <si>
    <t>Heilman&amp;Stettler 85&amp;90 also Weber, Stettler and Heilman, 1985</t>
  </si>
  <si>
    <t>low density and short time period (6 yr) not enough time to reach Max MAI</t>
  </si>
  <si>
    <t>micronutrients:0.1Zn, 0.05Cu, 0.05Fe, 0.005B, 0.38 Mn</t>
  </si>
  <si>
    <t>micronutrients:0.15Zn, 0.075Cu, 0.075Fe, 0.0075B, 0.57 Mn</t>
  </si>
  <si>
    <t>micronutrients:0.2Zn, 0.1Cu, 0.1Fe, 0.01B, 0.76 Mn</t>
  </si>
  <si>
    <r>
      <t xml:space="preserve"> NH</t>
    </r>
    <r>
      <rPr>
        <vertAlign val="subscript"/>
        <sz val="10"/>
        <rFont val="Arial"/>
        <family val="2"/>
      </rPr>
      <t>4</t>
    </r>
    <r>
      <rPr>
        <sz val="10"/>
        <rFont val="Arial"/>
        <family val="2"/>
      </rPr>
      <t>NO</t>
    </r>
    <r>
      <rPr>
        <vertAlign val="subscript"/>
        <sz val="10"/>
        <rFont val="Arial"/>
        <family val="2"/>
      </rPr>
      <t>3</t>
    </r>
    <r>
      <rPr>
        <sz val="10"/>
        <rFont val="Arial"/>
        <family val="2"/>
      </rPr>
      <t xml:space="preserve"> with P &amp; K </t>
    </r>
  </si>
  <si>
    <t>Addl trt</t>
  </si>
  <si>
    <t>Addl_when</t>
  </si>
  <si>
    <t>addl_rate</t>
  </si>
  <si>
    <t xml:space="preserve">DAP at 280 kg/ha </t>
  </si>
  <si>
    <t>as needed based on foliar analysis</t>
  </si>
  <si>
    <t>micronutrient 5-yr total= Mg 45, Ca 45, S 35, B 0.9, Zn 2.7, Mn 2.2, Fe 14.7, Cu 3.9</t>
  </si>
  <si>
    <t>KCL 112 kg/ha</t>
  </si>
  <si>
    <t>Salix sachalinensis (SX61)</t>
  </si>
  <si>
    <t>Salix miyabeana (SX64)</t>
  </si>
  <si>
    <t>Bowersox and Ward 1976 (Forest Science)</t>
  </si>
  <si>
    <t>(Huntingdon County)</t>
  </si>
  <si>
    <t>.12 x .76</t>
  </si>
  <si>
    <t>(1.8m with trees of same spacing)</t>
  </si>
  <si>
    <t>Black polyethylene mulch (4 mil thick, Pre-plant)</t>
  </si>
  <si>
    <t>2.4 m</t>
  </si>
  <si>
    <t>n</t>
  </si>
  <si>
    <t>control</t>
  </si>
  <si>
    <t>y</t>
  </si>
  <si>
    <t>Zavitkovski et al, 1976  with methods from Ek and Dawson, 1976</t>
  </si>
  <si>
    <t>Harshaw Forestry Research Farm</t>
  </si>
  <si>
    <t>Strong, 1989 &amp; NCFES Annual Report 1988</t>
  </si>
  <si>
    <t>winter</t>
  </si>
  <si>
    <t>0.61 x 1.22</t>
  </si>
  <si>
    <t>Strong and Hansen 1993 (Biomass and Bioenergy)</t>
  </si>
  <si>
    <t>(Rhinelander (15km west of), WI)</t>
  </si>
  <si>
    <t>.6 x .6</t>
  </si>
  <si>
    <t>Self-propelled " water cannon"</t>
  </si>
  <si>
    <t>When soil water potential reached -0.07 Mpa</t>
  </si>
  <si>
    <t>Annually</t>
  </si>
  <si>
    <t>Glyphosate</t>
  </si>
  <si>
    <t>Spot sprayed as needed</t>
  </si>
  <si>
    <t>1 x 1</t>
  </si>
  <si>
    <t>(No weed control after planting)</t>
  </si>
  <si>
    <t xml:space="preserve">Glyphosate; .45 kg ha-1 a.i linuron </t>
  </si>
  <si>
    <t>Fall 1980 pre-plant; Spring 1980 pre-plant</t>
  </si>
  <si>
    <t>(ground level)</t>
  </si>
  <si>
    <t>Milaca, MN</t>
  </si>
  <si>
    <t>Ashland, WI</t>
  </si>
  <si>
    <t>Mondovi, WI</t>
  </si>
  <si>
    <t>Granite Falls, MN</t>
  </si>
  <si>
    <t>Fairmont, MN</t>
  </si>
  <si>
    <t>Cloquet, MN</t>
  </si>
  <si>
    <t>Sioux Falls, SD</t>
  </si>
  <si>
    <t xml:space="preserve">Riemenschneider et al, 2001 </t>
  </si>
  <si>
    <t>Westport, MN</t>
  </si>
  <si>
    <t>May</t>
  </si>
  <si>
    <t>3.05 x 3.05</t>
  </si>
  <si>
    <t>sapling</t>
  </si>
  <si>
    <t>Arlington, WI</t>
  </si>
  <si>
    <t>Ames, IA</t>
  </si>
  <si>
    <t>NM6</t>
  </si>
  <si>
    <t>Dowell et al, 2009</t>
  </si>
  <si>
    <t>New Franklin, MO</t>
  </si>
  <si>
    <t>145/51</t>
  </si>
  <si>
    <t>sup-1st yr</t>
  </si>
  <si>
    <t>26C6R51</t>
  </si>
  <si>
    <t>Geyer et al, 1981</t>
  </si>
  <si>
    <t>DeBell et al 1993 (Biomass &amp; Bioenergy)</t>
  </si>
  <si>
    <t>Olympia (12 km east of)</t>
  </si>
  <si>
    <t>Populus hybrid - D01 (P. tricocarpa x P. nigra or P. augustifolia)</t>
  </si>
  <si>
    <t>.18 x .18</t>
  </si>
  <si>
    <t>(1/2 as wide as projected tree height at harvest)</t>
  </si>
  <si>
    <t xml:space="preserve">30 cm </t>
  </si>
  <si>
    <t>20 cm</t>
  </si>
  <si>
    <t>drip</t>
  </si>
  <si>
    <t>400-500 mm/grow season</t>
  </si>
  <si>
    <t>pre-plant</t>
  </si>
  <si>
    <t>oxyfluorfen, pronamide and glyphosate</t>
  </si>
  <si>
    <t>spot application (yrs 2 &amp; 3)</t>
  </si>
  <si>
    <t>Populus trichocarpa x Populus deltoides (11-11)</t>
  </si>
  <si>
    <t>DeBell et al 1996 (Biomass &amp; Bioenergy)</t>
  </si>
  <si>
    <t>.5 x .5</t>
  </si>
  <si>
    <t>30 cm</t>
  </si>
  <si>
    <t>2nd and 3rd yrs</t>
  </si>
  <si>
    <t>2 x 2</t>
  </si>
  <si>
    <t>Heilman and Peabody, 1981</t>
  </si>
  <si>
    <t>.61 x .61</t>
  </si>
  <si>
    <t>1.5 m</t>
  </si>
  <si>
    <t>0.6 m</t>
  </si>
  <si>
    <t>0.3 m</t>
  </si>
  <si>
    <t>Feb</t>
  </si>
  <si>
    <t>2 or more</t>
  </si>
  <si>
    <t>0.5 m</t>
  </si>
  <si>
    <t>0.46 m</t>
  </si>
  <si>
    <t>Heilman et al 1994 (Canadian Journal of Forest Research)</t>
  </si>
  <si>
    <t>Trickle</t>
  </si>
  <si>
    <t>Glyphosate; Oxyflurofen; Glyphosate</t>
  </si>
  <si>
    <t>Pre-plow; Shortly after planting;  Follow-up treatments (wick applied)</t>
  </si>
  <si>
    <t>5 cm</t>
  </si>
  <si>
    <t>Scarascia-Mugnozza et al 1997 (Canadian Journal of Forest Research)</t>
  </si>
  <si>
    <t>Williams &amp; Gresham, 2006</t>
  </si>
  <si>
    <t>Bainbridge,FL (22 km west)</t>
  </si>
  <si>
    <t>WIFP</t>
  </si>
  <si>
    <t>Liquidambar styraciflua</t>
  </si>
  <si>
    <t>Jan</t>
  </si>
  <si>
    <t>seedling</t>
  </si>
  <si>
    <t>&lt; 1yr</t>
  </si>
  <si>
    <t>hand plant</t>
  </si>
  <si>
    <t>y-ripped</t>
  </si>
  <si>
    <t>45 cm</t>
  </si>
  <si>
    <t>1127 mm tot</t>
  </si>
  <si>
    <t>pest control</t>
  </si>
  <si>
    <t>sulfameturon</t>
  </si>
  <si>
    <t>0.1 kg ai/ha</t>
  </si>
  <si>
    <t>broadcast plus directed spray of glyphosate throughout summer</t>
  </si>
  <si>
    <t>0 - ground line</t>
  </si>
  <si>
    <t>WIF</t>
  </si>
  <si>
    <t>none</t>
  </si>
  <si>
    <t>0 mm</t>
  </si>
  <si>
    <t>NA</t>
  </si>
  <si>
    <t>Cobb et al, 2008</t>
  </si>
  <si>
    <t>Mt. Pleasant, GA</t>
  </si>
  <si>
    <t>I-Med Fert</t>
  </si>
  <si>
    <t>1.5 x 3.7</t>
  </si>
  <si>
    <t>seedlings</t>
  </si>
  <si>
    <t>y-disc harrowed</t>
  </si>
  <si>
    <t>yes</t>
  </si>
  <si>
    <t>3.05 cm water/wk</t>
  </si>
  <si>
    <t>mowing + micronutrients</t>
  </si>
  <si>
    <t>glyphosate</t>
  </si>
  <si>
    <t>Platanus occidentalis</t>
  </si>
  <si>
    <t>Davis &amp; Trettin</t>
  </si>
  <si>
    <t>2.4 x 3</t>
  </si>
  <si>
    <t>S-bareroot</t>
  </si>
  <si>
    <t>1 yr</t>
  </si>
  <si>
    <t>Rockwood et al 1985 (IFAS Tech. Bull.)</t>
  </si>
  <si>
    <t>ORN16-1600</t>
  </si>
  <si>
    <t>2.5 x 2.5</t>
  </si>
  <si>
    <t xml:space="preserve"> seedling containerized</t>
  </si>
  <si>
    <t>4mo</t>
  </si>
  <si>
    <t>hand planted</t>
  </si>
  <si>
    <t>disked</t>
  </si>
  <si>
    <t>heavy herbaceous competition adjacent to and sometimes in the plots</t>
  </si>
  <si>
    <t>10 cm</t>
  </si>
  <si>
    <t>ORN16-10000</t>
  </si>
  <si>
    <t>SOUTHEAST PINES</t>
  </si>
  <si>
    <t>Roth et al, 2007</t>
  </si>
  <si>
    <t>Waverly, GA</t>
  </si>
  <si>
    <t>HF - 2990</t>
  </si>
  <si>
    <t>Pinus taeda</t>
  </si>
  <si>
    <t>1.22 x 2.75</t>
  </si>
  <si>
    <t>rotate 1-NE299</t>
  </si>
  <si>
    <t>rotate 2-NE299</t>
  </si>
  <si>
    <t>At planting</t>
  </si>
  <si>
    <t>Imazapyr &amp; triclopyr</t>
  </si>
  <si>
    <t>fall- pre-plant</t>
  </si>
  <si>
    <t>1.02 liter/ha &amp; 7.02 l/ha</t>
  </si>
  <si>
    <t>imazapyr</t>
  </si>
  <si>
    <t>2 yrs following planting</t>
  </si>
  <si>
    <t>0.28 l/ha</t>
  </si>
  <si>
    <t>ground cover less than 30%</t>
  </si>
  <si>
    <t>OF - 2990</t>
  </si>
  <si>
    <t>cotton, soybeans, wheat</t>
  </si>
  <si>
    <t>Mar-Oct</t>
  </si>
  <si>
    <t>Utisols</t>
  </si>
  <si>
    <t>plow pan at 28 cm depth</t>
  </si>
  <si>
    <t>Accord</t>
  </si>
  <si>
    <t xml:space="preserve">Oust </t>
  </si>
  <si>
    <t>early spring first 3 years</t>
  </si>
  <si>
    <t>May &amp; July 1st 2 years</t>
  </si>
  <si>
    <t>20-25 trees</t>
  </si>
  <si>
    <t>Sy_open drain</t>
  </si>
  <si>
    <t>Sy_controlled drain</t>
  </si>
  <si>
    <t>Sw_open drain</t>
  </si>
  <si>
    <t>3.5-5.5</t>
  </si>
  <si>
    <t xml:space="preserve"> Stump_age (yrs)</t>
  </si>
  <si>
    <t>Stem_ age (yrs)</t>
  </si>
  <si>
    <t>1986-1987</t>
  </si>
  <si>
    <t>1985-1986</t>
  </si>
  <si>
    <t>1984-1985</t>
  </si>
  <si>
    <t>Heilman &amp; Fu-Gaung 1993 (Can J For Res 23)</t>
  </si>
  <si>
    <t>Cum Elemental N_amt (kg ha-1)/rot</t>
  </si>
  <si>
    <t>DAP at 224 kg/ha</t>
  </si>
  <si>
    <t>Urea at 224 kg/ha</t>
  </si>
  <si>
    <t>P2O5 in DAP at 224 kg/ha</t>
  </si>
  <si>
    <r>
      <t xml:space="preserve"> NH</t>
    </r>
    <r>
      <rPr>
        <vertAlign val="subscript"/>
        <sz val="10"/>
        <rFont val="Arial"/>
        <family val="2"/>
      </rPr>
      <t>4</t>
    </r>
    <r>
      <rPr>
        <sz val="10"/>
        <rFont val="Arial"/>
        <family val="2"/>
      </rPr>
      <t>NO</t>
    </r>
    <r>
      <rPr>
        <vertAlign val="subscript"/>
        <sz val="10"/>
        <rFont val="Arial"/>
        <family val="2"/>
      </rPr>
      <t>3</t>
    </r>
    <r>
      <rPr>
        <sz val="10"/>
        <rFont val="Arial"/>
        <family val="2"/>
      </rPr>
      <t xml:space="preserve"> at 57 kgN/ha/yr with P &amp; K </t>
    </r>
  </si>
  <si>
    <r>
      <t xml:space="preserve"> NH</t>
    </r>
    <r>
      <rPr>
        <vertAlign val="subscript"/>
        <sz val="10"/>
        <rFont val="Arial"/>
        <family val="2"/>
      </rPr>
      <t>4</t>
    </r>
    <r>
      <rPr>
        <sz val="10"/>
        <rFont val="Arial"/>
        <family val="2"/>
      </rPr>
      <t>NO</t>
    </r>
    <r>
      <rPr>
        <vertAlign val="subscript"/>
        <sz val="10"/>
        <rFont val="Arial"/>
        <family val="2"/>
      </rPr>
      <t>3</t>
    </r>
    <r>
      <rPr>
        <sz val="10"/>
        <rFont val="Arial"/>
        <family val="2"/>
      </rPr>
      <t xml:space="preserve"> at 85 kgN/yr with P &amp; K </t>
    </r>
  </si>
  <si>
    <r>
      <t xml:space="preserve"> NH</t>
    </r>
    <r>
      <rPr>
        <vertAlign val="subscript"/>
        <sz val="10"/>
        <rFont val="Arial"/>
        <family val="2"/>
      </rPr>
      <t>4</t>
    </r>
    <r>
      <rPr>
        <sz val="10"/>
        <rFont val="Arial"/>
        <family val="2"/>
      </rPr>
      <t>NO</t>
    </r>
    <r>
      <rPr>
        <vertAlign val="subscript"/>
        <sz val="10"/>
        <rFont val="Arial"/>
        <family val="2"/>
      </rPr>
      <t>3</t>
    </r>
    <r>
      <rPr>
        <sz val="10"/>
        <rFont val="Arial"/>
        <family val="2"/>
      </rPr>
      <t xml:space="preserve"> at 114 kgN/yr with P &amp; K </t>
    </r>
  </si>
  <si>
    <t>N at 150 kg/ha annually + P at planting</t>
  </si>
  <si>
    <t>N at 50 kg/ha in yr 1 + P at planting</t>
  </si>
  <si>
    <t>N balloon to 150 kg/ha in yr 2 + P at planting</t>
  </si>
  <si>
    <t>N balloon to 250 kg/ha in yr 3+ P at planting</t>
  </si>
  <si>
    <t>Open drainage treatment in six 3.5-5.5 ha catchments with six  plots per catchment</t>
  </si>
  <si>
    <t>controlled drainage treatment. in six 3.5-5.5 ha catchments with six  plots per catchment</t>
  </si>
  <si>
    <t>Open drainage treatment,in six 3.5-5.5 ha catchments with six  plots per catchment</t>
  </si>
  <si>
    <t>Y-ripped</t>
  </si>
  <si>
    <t>below plow pan</t>
  </si>
  <si>
    <t>several</t>
  </si>
  <si>
    <t>Weeds were a problem in all plots; representative trees outside plots destructively sampled in 3rd,5th &amp; 7th yrs</t>
  </si>
  <si>
    <t>Weeds were a problem in all plots, representative trees outside plots destructively sampled in 3rd,5th &amp; 7th yrs</t>
  </si>
  <si>
    <t>SOUTHEAST EUCALYPTUS</t>
  </si>
  <si>
    <t>Stem MAI</t>
  </si>
  <si>
    <t>Spring</t>
  </si>
  <si>
    <t>Apr</t>
  </si>
  <si>
    <t xml:space="preserve">Jan </t>
  </si>
  <si>
    <t>Fall/Win</t>
  </si>
  <si>
    <t>1987-93</t>
  </si>
  <si>
    <t>1991-93</t>
  </si>
  <si>
    <t>1991, 93</t>
  </si>
  <si>
    <t>Jan-Mar</t>
  </si>
  <si>
    <t>Nov-Dec</t>
  </si>
  <si>
    <t>28 trees</t>
  </si>
  <si>
    <r>
      <t>Treat ment Plot size (m</t>
    </r>
    <r>
      <rPr>
        <b/>
        <vertAlign val="superscript"/>
        <sz val="10"/>
        <rFont val="Arial"/>
        <family val="2"/>
      </rPr>
      <t>2</t>
    </r>
    <r>
      <rPr>
        <b/>
        <sz val="10"/>
        <rFont val="Arial"/>
        <family val="2"/>
      </rPr>
      <t>)</t>
    </r>
  </si>
  <si>
    <t>roller drum chopped &amp; bedded</t>
  </si>
  <si>
    <t>rake, pile, bed</t>
  </si>
  <si>
    <t>mechanical weed control</t>
  </si>
  <si>
    <t>Operational practices in 2000</t>
  </si>
  <si>
    <t>Sanderson, FL</t>
  </si>
  <si>
    <t>Sanderson FL</t>
  </si>
  <si>
    <t xml:space="preserve">Aboveground biomass includes stem, branches, &amp; foliage - based on 2008 published stem data  but 2004 allometry info. </t>
  </si>
  <si>
    <t>Samuelson et al. 2008, 2004, 1998</t>
  </si>
  <si>
    <t>drip (Mar-Dec)</t>
  </si>
  <si>
    <t>groundline</t>
  </si>
  <si>
    <t>1575 mm tot</t>
  </si>
  <si>
    <t>381 mm tot</t>
  </si>
  <si>
    <t>1016 mm tot</t>
  </si>
  <si>
    <t>WI</t>
  </si>
  <si>
    <t>micronutrients</t>
  </si>
  <si>
    <t>Pinus elliottii</t>
  </si>
  <si>
    <t>Borders et. al. 2004</t>
  </si>
  <si>
    <t>Waycross, GA</t>
  </si>
  <si>
    <t>Wet-Control</t>
  </si>
  <si>
    <t>2 x 3</t>
  </si>
  <si>
    <t>1yr</t>
  </si>
  <si>
    <t>Wet-WC</t>
  </si>
  <si>
    <t>Oust (sulfomethuron methyl)</t>
  </si>
  <si>
    <t>early sp yrs 1-3</t>
  </si>
  <si>
    <t>114 g/ha</t>
  </si>
  <si>
    <t>mid-summer</t>
  </si>
  <si>
    <t>directed sprays</t>
  </si>
  <si>
    <t>Wet-Fert</t>
  </si>
  <si>
    <t>Addl fertilizer; yrs 3-9 Nh4NO2 at 150 lbs/ac; yr 10-NH4NO3 at 336 kg/ha + triple super phosphate at 140 kg/ha, age 11, NPK (10-10-10) 560 kg/ha + NH4NO3 at 168 kg/ha in early spring, age 12-15-NH4NO3 at 336 kg/ha.</t>
  </si>
  <si>
    <t>Wet-Fert+WC</t>
  </si>
  <si>
    <t>Dry-Control</t>
  </si>
  <si>
    <t>Dry-WC</t>
  </si>
  <si>
    <t>Dry-Fert</t>
  </si>
  <si>
    <t>Dry-Fert+WC</t>
  </si>
  <si>
    <t>Jones, &amp; Eulonia GA</t>
  </si>
  <si>
    <t>age</t>
  </si>
  <si>
    <t>Nov</t>
  </si>
  <si>
    <t>1.8 x 3.7</t>
  </si>
  <si>
    <t>0.91 - 0.97</t>
  </si>
  <si>
    <t>chop, burn disk, and bedding</t>
  </si>
  <si>
    <t>hexazinone, sulfometruon, imazypyr, gllyphosate</t>
  </si>
  <si>
    <t>Eulonia _3 sites  , GA</t>
  </si>
  <si>
    <t>0.93 - 0.86</t>
  </si>
  <si>
    <t>Rincon &amp; Eulonia, GA</t>
  </si>
  <si>
    <t xml:space="preserve">Oct </t>
  </si>
  <si>
    <t>1.01 - 0.88</t>
  </si>
  <si>
    <t xml:space="preserve"> </t>
  </si>
  <si>
    <t>Jokela &amp; Martin 2000, Martin &amp; Jokela 2004, Colbert 1990</t>
  </si>
  <si>
    <t>Gainsville, FL (10 mi north)</t>
  </si>
  <si>
    <t>FW</t>
  </si>
  <si>
    <t>1.8 x 3.6</t>
  </si>
  <si>
    <t>F</t>
  </si>
  <si>
    <t>City</t>
  </si>
  <si>
    <t>Treatment</t>
  </si>
  <si>
    <t>Har Yield (odt/ha)_se</t>
  </si>
  <si>
    <t>CAI (dMg ha-1 yr-1)</t>
  </si>
  <si>
    <t xml:space="preserve"> survival</t>
  </si>
  <si>
    <t>d30 (mm)</t>
  </si>
  <si>
    <t>dbase (mm)</t>
  </si>
  <si>
    <t>I_.7x1_NE41</t>
  </si>
  <si>
    <t>I_1x1_NE41</t>
  </si>
  <si>
    <t>I_2x1_NE41</t>
  </si>
  <si>
    <t>I_.7x1_NE386</t>
  </si>
  <si>
    <t>I_1x1_NE386</t>
  </si>
  <si>
    <t>I_2x1_NE386</t>
  </si>
  <si>
    <t>1987-3 clone avg</t>
  </si>
  <si>
    <t>Fargo, ND</t>
  </si>
  <si>
    <t>1988-3 clone avg</t>
  </si>
  <si>
    <t>none between the 2-tree plots</t>
  </si>
  <si>
    <t>rooted cuttings</t>
  </si>
  <si>
    <t>Tillage and herbicides are assumed because experimental sites were on university farms.</t>
  </si>
  <si>
    <t>2 to 3</t>
  </si>
  <si>
    <t>Rhinelander; Hugo Saur Nursery</t>
  </si>
  <si>
    <t xml:space="preserve">Rhinelander; Hugo Saur Nursery </t>
  </si>
  <si>
    <t>Rhinelander (15km west of); Harshaw Farm</t>
  </si>
  <si>
    <t>silt loam</t>
  </si>
  <si>
    <t>silty clay loam</t>
  </si>
  <si>
    <t>loam</t>
  </si>
  <si>
    <t>silt clay</t>
  </si>
  <si>
    <t>Cloquet</t>
  </si>
  <si>
    <t>Fairmont</t>
  </si>
  <si>
    <t>clay loam</t>
  </si>
  <si>
    <t>Coland</t>
  </si>
  <si>
    <t>Dupage</t>
  </si>
  <si>
    <t>Ahmeek</t>
  </si>
  <si>
    <t>Ontonagon</t>
  </si>
  <si>
    <t>Antigo</t>
  </si>
  <si>
    <t>Kranzburg</t>
  </si>
  <si>
    <t>UM Experimental farm</t>
  </si>
  <si>
    <t>corn or soybeans</t>
  </si>
  <si>
    <t>Septoria cankers on branches; but 100% survival of 12 clones at age 9</t>
  </si>
  <si>
    <t>Septoria cankers on branches; but 92% survival of 12 clones at age 9</t>
  </si>
  <si>
    <t>Septoria cankers on branches; with only 58% survival of 12 clones at age 9</t>
  </si>
  <si>
    <t>Septoria cankers on branches and stem; but 92% survival of 12 clones at age 9</t>
  </si>
  <si>
    <t>Septoria cankers on branches; with only 42% survival of 12 clones at age 9</t>
  </si>
  <si>
    <t>Septoria cankers on branches; with only 67% survival of 12 clones at age 9</t>
  </si>
  <si>
    <t>Septoria cankers on branches; with 92% survival of 12 clones at age 9</t>
  </si>
  <si>
    <t>Septoria cankers on branches; with only 75% survival of 12 clones at age 9</t>
  </si>
  <si>
    <t>146 kg</t>
  </si>
  <si>
    <t>22 kg</t>
  </si>
  <si>
    <t>MW</t>
  </si>
  <si>
    <t xml:space="preserve">1 yr </t>
  </si>
  <si>
    <t>abandoned farmland</t>
  </si>
  <si>
    <t>4 X in yr 1</t>
  </si>
  <si>
    <t>4 X in yr 3</t>
  </si>
  <si>
    <t>1 to 2</t>
  </si>
  <si>
    <t>New Franklin</t>
  </si>
  <si>
    <t>U of MO</t>
  </si>
  <si>
    <t>tall fescue pasture</t>
  </si>
  <si>
    <r>
      <t>39</t>
    </r>
    <r>
      <rPr>
        <vertAlign val="superscript"/>
        <sz val="10"/>
        <rFont val="Arial"/>
        <family val="2"/>
      </rPr>
      <t>o</t>
    </r>
    <r>
      <rPr>
        <sz val="10"/>
        <rFont val="Arial"/>
        <family val="2"/>
      </rPr>
      <t xml:space="preserve"> 01' N</t>
    </r>
  </si>
  <si>
    <r>
      <t>92</t>
    </r>
    <r>
      <rPr>
        <vertAlign val="superscript"/>
        <sz val="10"/>
        <rFont val="Arial"/>
        <family val="2"/>
      </rPr>
      <t>o</t>
    </r>
    <r>
      <rPr>
        <sz val="10"/>
        <rFont val="Arial"/>
        <family val="2"/>
      </rPr>
      <t xml:space="preserve"> 46' W</t>
    </r>
  </si>
  <si>
    <t>Nodaway</t>
  </si>
  <si>
    <t>Mollic Udifluvent</t>
  </si>
  <si>
    <t xml:space="preserve">Soil Series </t>
  </si>
  <si>
    <t>silt loam (fine-silty, mesic, Millic Udifluvent)</t>
  </si>
  <si>
    <t>0-5%</t>
  </si>
  <si>
    <t>fertile and occassionally flooded</t>
  </si>
  <si>
    <t>90-150 cm to water table</t>
  </si>
  <si>
    <t>cuttings</t>
  </si>
  <si>
    <t>non-selective[re-plant</t>
  </si>
  <si>
    <t>post-plant, 1st year only</t>
  </si>
  <si>
    <t>Mean rainfaill, temps, solar radiation, and soil water content during 5 yr exp is given in paper</t>
  </si>
  <si>
    <t>2 rows</t>
  </si>
  <si>
    <t>Hy5</t>
  </si>
  <si>
    <t>Hy8</t>
  </si>
  <si>
    <t>Hy11</t>
  </si>
  <si>
    <t>Robusta</t>
  </si>
  <si>
    <t>trickle irrigation</t>
  </si>
  <si>
    <t xml:space="preserve">sprinklers </t>
  </si>
  <si>
    <t>50 clone</t>
  </si>
  <si>
    <t>9 trees</t>
  </si>
  <si>
    <t>5-12 cm</t>
  </si>
  <si>
    <t xml:space="preserve">% branch weights of 10 populations ranged from 17.2 to 20.7 % of total dry weight. </t>
  </si>
  <si>
    <t>Hts, dbh and basal areas were given for the 10 populations but no</t>
  </si>
  <si>
    <t>summer before planting</t>
  </si>
  <si>
    <t>40 cm</t>
  </si>
  <si>
    <t>NH4NO3</t>
  </si>
  <si>
    <t>summer fallow prior to planting</t>
  </si>
  <si>
    <t>46 cm</t>
  </si>
  <si>
    <t>Heilman &amp; Stettler 1990, Weber et al 1985</t>
  </si>
  <si>
    <t>Heilman &amp; Stettler 1985, Weber et al 1985</t>
  </si>
  <si>
    <t>well-drained (droughty)</t>
  </si>
  <si>
    <t>rain mostly October through May</t>
  </si>
  <si>
    <t>Deep,  formed from glacial outwash</t>
  </si>
  <si>
    <t>somewhat excessively drained;</t>
  </si>
  <si>
    <t>*Kopp et al 2001 (Biomass and Bioenergy)</t>
  </si>
  <si>
    <r>
      <t>NH</t>
    </r>
    <r>
      <rPr>
        <b/>
        <vertAlign val="subscript"/>
        <sz val="10"/>
        <rFont val="Arial"/>
        <family val="2"/>
      </rPr>
      <t>4</t>
    </r>
    <r>
      <rPr>
        <b/>
        <sz val="10"/>
        <rFont val="Arial"/>
        <family val="2"/>
      </rPr>
      <t>NO</t>
    </r>
    <r>
      <rPr>
        <b/>
        <vertAlign val="subscript"/>
        <sz val="10"/>
        <rFont val="Arial"/>
        <family val="2"/>
      </rPr>
      <t>3</t>
    </r>
  </si>
  <si>
    <t>Soil Order or group</t>
  </si>
  <si>
    <t>mixed Pachic Xerumbrept</t>
  </si>
  <si>
    <t>D01_.18x.18_</t>
  </si>
  <si>
    <t>D01_.3 x .3</t>
  </si>
  <si>
    <t>11-11_.18x.18</t>
  </si>
  <si>
    <t>11-11_.3x.3</t>
  </si>
  <si>
    <t>heights and dbh are in graphs in paper</t>
  </si>
  <si>
    <t xml:space="preserve">woodgrass spacings </t>
  </si>
  <si>
    <t>D01_.5x.5</t>
  </si>
  <si>
    <t>D01_1x1</t>
  </si>
  <si>
    <t>D01_2x2</t>
  </si>
  <si>
    <t>11-11_.5x.5</t>
  </si>
  <si>
    <t>11-11_1x1</t>
  </si>
  <si>
    <t>11-11_2x2</t>
  </si>
  <si>
    <t>avg 400 to 600 but range 260-1200 mm/grow season</t>
  </si>
  <si>
    <t>Pre-plant and as needed to keep weed free</t>
  </si>
  <si>
    <t>spot appl as needed</t>
  </si>
  <si>
    <t xml:space="preserve">hoeing </t>
  </si>
  <si>
    <t>in paper</t>
  </si>
  <si>
    <t>44-133_N</t>
  </si>
  <si>
    <t>excellent study; detailed information available in this and several additional papers</t>
  </si>
  <si>
    <r>
      <t xml:space="preserve">Populus trichocarpa </t>
    </r>
    <r>
      <rPr>
        <b/>
        <sz val="10"/>
        <rFont val="Arial"/>
        <family val="2"/>
      </rPr>
      <t>x</t>
    </r>
    <r>
      <rPr>
        <b/>
        <i/>
        <sz val="10"/>
        <rFont val="Arial"/>
        <family val="2"/>
      </rPr>
      <t xml:space="preserve"> Populus deltoides </t>
    </r>
    <r>
      <rPr>
        <b/>
        <sz val="10"/>
        <rFont val="Arial"/>
        <family val="2"/>
      </rPr>
      <t>(11-11)</t>
    </r>
  </si>
  <si>
    <t>Mt. Vernon, WA</t>
  </si>
  <si>
    <t>Sumner, WA</t>
  </si>
  <si>
    <t>R1_2yr_.3x.3</t>
  </si>
  <si>
    <t>R2_2y_.3x.3</t>
  </si>
  <si>
    <t>R1_2yr_.6x.6</t>
  </si>
  <si>
    <t>R2_2y_.6x.6</t>
  </si>
  <si>
    <t>R3_4yr_.6x.6</t>
  </si>
  <si>
    <t>R3_4yr_.3x.3</t>
  </si>
  <si>
    <t>R1_2yr_1.2x1.2</t>
  </si>
  <si>
    <t>R2_2yr_1.2x1.2</t>
  </si>
  <si>
    <t>R2_4yr_1.2x1.2</t>
  </si>
  <si>
    <t>Heilman et al.; 1972 + Heilman and Peabody, 1981</t>
  </si>
  <si>
    <t>atrazine, propazine and simazine trts</t>
  </si>
  <si>
    <t>2 weeks after planting</t>
  </si>
  <si>
    <t>4.83 kg ai/ha</t>
  </si>
  <si>
    <t>4.1ppm</t>
  </si>
  <si>
    <t>3 fertilizer and 3 herbidice treatments tested but not significantly different , but atrazine did cause reduced survival and 1st yr growth</t>
  </si>
  <si>
    <t>paper predicts benefits of somewhat wider spacing and rotations of 3-5 years</t>
  </si>
  <si>
    <t>quackgrass was abundant during 1st yr of first &amp; second rotation</t>
  </si>
  <si>
    <t>R1_4yr_.3x1.2</t>
  </si>
  <si>
    <t>R2_4yr_.3x1.2</t>
  </si>
  <si>
    <t>R1_8yr_.3x1.2</t>
  </si>
  <si>
    <t>R1_4yr_.6x1.2</t>
  </si>
  <si>
    <t>R2_4yr_.6x1.2</t>
  </si>
  <si>
    <t>R1_8yr_.6x1.2</t>
  </si>
  <si>
    <t>R1_4yr_1.2x1.2</t>
  </si>
  <si>
    <t>R1_8yr_1.2x1.2</t>
  </si>
  <si>
    <t>R2_4yr_1.2x1.8</t>
  </si>
  <si>
    <t>R1_8yr_1.2x1.8</t>
  </si>
  <si>
    <t>R1_4yr_1.2x1.8</t>
  </si>
  <si>
    <t>R1_4yr_1.8x1.8</t>
  </si>
  <si>
    <t>R2_4yr_1.8x1.8</t>
  </si>
  <si>
    <t>R1_8yr_1.8x1.8</t>
  </si>
  <si>
    <t>quackgrass competition reduced growth, likely preventing reaching max MAI during experiment</t>
  </si>
  <si>
    <t>Max MAI likely reached but no fertilization or irrigation limited yields achieved</t>
  </si>
  <si>
    <t>Puyallup, WA</t>
  </si>
  <si>
    <t>cl 10-12</t>
  </si>
  <si>
    <t>cl 80-803</t>
  </si>
  <si>
    <t>cl St 66</t>
  </si>
  <si>
    <t>cl Min 288</t>
  </si>
  <si>
    <t>cl 44-136</t>
  </si>
  <si>
    <t>cl 47-160</t>
  </si>
  <si>
    <t>cl 55-258</t>
  </si>
  <si>
    <t>4-8 m</t>
  </si>
  <si>
    <t>mixed, mesic, Fluventic Haploxeroll</t>
  </si>
  <si>
    <t xml:space="preserve"> silt loam alluvial</t>
  </si>
  <si>
    <t xml:space="preserve">Pilchuck </t>
  </si>
  <si>
    <t>excessively drained</t>
  </si>
  <si>
    <t>N type</t>
  </si>
  <si>
    <t>P type</t>
  </si>
  <si>
    <t>K type</t>
  </si>
  <si>
    <t>42kg as NH4-N</t>
  </si>
  <si>
    <t>organic</t>
  </si>
  <si>
    <t>N to maintain 3.2% leaf level</t>
  </si>
  <si>
    <t>variable (see notes)</t>
  </si>
  <si>
    <t>cl 12-106</t>
  </si>
  <si>
    <t>few weeds were present except for patches of Equisetum</t>
  </si>
  <si>
    <t>well-drained</t>
  </si>
  <si>
    <t>rich, fine sandy loam and coarse loamy over sandy</t>
  </si>
  <si>
    <t>high</t>
  </si>
  <si>
    <t>soils highly productive for agriculture, forms terraces along Puyallup river</t>
  </si>
  <si>
    <t>(during summers when soil water potential fell below -0.03 Mpa)</t>
  </si>
  <si>
    <t>Mayesville, SC</t>
  </si>
  <si>
    <t>1.8 x 3</t>
  </si>
  <si>
    <t xml:space="preserve"> triple superphosphate</t>
  </si>
  <si>
    <t>P at planting</t>
  </si>
  <si>
    <t>N ann balloon + P at planting</t>
  </si>
  <si>
    <r>
      <t>NH</t>
    </r>
    <r>
      <rPr>
        <vertAlign val="subscript"/>
        <sz val="10"/>
        <rFont val="Arial"/>
        <family val="2"/>
      </rPr>
      <t>4</t>
    </r>
    <r>
      <rPr>
        <sz val="10"/>
        <rFont val="Arial"/>
        <family val="2"/>
      </rPr>
      <t>NO</t>
    </r>
    <r>
      <rPr>
        <vertAlign val="subscript"/>
        <sz val="10"/>
        <rFont val="Arial"/>
        <family val="2"/>
      </rPr>
      <t>3</t>
    </r>
  </si>
  <si>
    <t xml:space="preserve">1.5 kg/ha Boron </t>
  </si>
  <si>
    <t>Heilman &amp; Xie 1993 (Can J For Res 23)</t>
  </si>
  <si>
    <t>50-197_C</t>
  </si>
  <si>
    <t>44-133_C</t>
  </si>
  <si>
    <t>15-029_N</t>
  </si>
  <si>
    <t>15-029_C</t>
  </si>
  <si>
    <t>Haplaquods</t>
  </si>
  <si>
    <t>sand/clay</t>
  </si>
  <si>
    <t>Sept</t>
  </si>
  <si>
    <t>Dec</t>
  </si>
  <si>
    <t>Langholtz et al, 2007</t>
  </si>
  <si>
    <t>50-197_N</t>
  </si>
  <si>
    <t>57-276_N</t>
  </si>
  <si>
    <t>55-272_C</t>
  </si>
  <si>
    <t>55-272_N</t>
  </si>
  <si>
    <t>59-289_C</t>
  </si>
  <si>
    <t>59-289_N</t>
  </si>
  <si>
    <t>57-276_C</t>
  </si>
  <si>
    <t>1.5 x 3.0</t>
  </si>
  <si>
    <t>Heilman et al 1994 (Can J For Res) &amp; Ceulemans et al. 1992</t>
  </si>
  <si>
    <t>Cutting/Seedline</t>
  </si>
  <si>
    <t>corn</t>
  </si>
  <si>
    <t xml:space="preserve">Sultan with inclusions of </t>
  </si>
  <si>
    <t>Alluvial silt loam underlain in places by sand</t>
  </si>
  <si>
    <t>high moisture status in subsoil</t>
  </si>
  <si>
    <t>5.6-5.8 at surface, 6.4-6.7 in subsoil</t>
  </si>
  <si>
    <t>0.13-0.14%</t>
  </si>
  <si>
    <t>Oct before sp plant</t>
  </si>
  <si>
    <t>diuron-simazine mix</t>
  </si>
  <si>
    <t>1.17 kg/ha</t>
  </si>
  <si>
    <t>3 wks after glyphosate trt</t>
  </si>
  <si>
    <t>1.4 &amp; 0.7 kg a.I.</t>
  </si>
  <si>
    <t>spot spray with contact herbicides in yr 1 &amp; 2</t>
  </si>
  <si>
    <t>26-28 cm</t>
  </si>
  <si>
    <t>N except for slot created during planting</t>
  </si>
  <si>
    <t>strip plot</t>
  </si>
  <si>
    <t>natural fertility of site stated to be limited but N level substantially higher than reported by Hansen for Rhinelander WI location</t>
  </si>
  <si>
    <t>floodplain</t>
  </si>
  <si>
    <t>50 m</t>
  </si>
  <si>
    <t>level</t>
  </si>
  <si>
    <t>122º 45' W</t>
  </si>
  <si>
    <t>Oak Ridge</t>
  </si>
  <si>
    <t>Polk</t>
  </si>
  <si>
    <t>42º 02' N</t>
  </si>
  <si>
    <t>Abandoned cropland</t>
  </si>
  <si>
    <t>ORNL</t>
  </si>
  <si>
    <t>TN</t>
  </si>
  <si>
    <t>Anderson</t>
  </si>
  <si>
    <t>Bainbridge,GA (22 km west)</t>
  </si>
  <si>
    <t>Monroe</t>
  </si>
  <si>
    <t>Monroeville</t>
  </si>
  <si>
    <t>Rockwood, Pathak &amp; Satapathy, 1993 &amp; Rockwood et al 1994 (Final report)</t>
  </si>
  <si>
    <t>Pl</t>
  </si>
  <si>
    <t>Sm</t>
  </si>
  <si>
    <t>PL</t>
  </si>
  <si>
    <t>Q</t>
  </si>
  <si>
    <t>Pi</t>
  </si>
  <si>
    <t>Huntingdon</t>
  </si>
  <si>
    <t>43º 37' N</t>
  </si>
  <si>
    <t>94º 23' W</t>
  </si>
  <si>
    <t>46º 45' N</t>
  </si>
  <si>
    <t>92º 27' W</t>
  </si>
  <si>
    <t>SP code</t>
  </si>
  <si>
    <t>Kopp et al 1996 (Biomass &amp; Bioenergy)</t>
  </si>
  <si>
    <t>SITES OF CONFIRMED AND STANDARDIZED YIELD DATA</t>
  </si>
  <si>
    <t>Sp code</t>
  </si>
  <si>
    <t>Monroeville, AL</t>
  </si>
  <si>
    <t>26º 41 N</t>
  </si>
  <si>
    <t>80º 39 W</t>
  </si>
  <si>
    <t>81º 43' W</t>
  </si>
  <si>
    <t>82º 24' W</t>
  </si>
  <si>
    <t>31º 15' N</t>
  </si>
  <si>
    <t>31º 23' N</t>
  </si>
  <si>
    <t>29º 43' N</t>
  </si>
  <si>
    <t>82º 20' W</t>
  </si>
  <si>
    <t>28º 00 N</t>
  </si>
  <si>
    <t>81º 52 W</t>
  </si>
  <si>
    <t>35º 54 N</t>
  </si>
  <si>
    <t>84º 19 W</t>
  </si>
  <si>
    <t>80º 12' W</t>
  </si>
  <si>
    <t>81º 43 W</t>
  </si>
  <si>
    <t>33º 59' N</t>
  </si>
  <si>
    <t>48º 25' N</t>
  </si>
  <si>
    <t>122º 19'  W</t>
  </si>
  <si>
    <t>122º 14'  W</t>
  </si>
  <si>
    <t>47º 12' N</t>
  </si>
  <si>
    <t>95º 52'  W</t>
  </si>
  <si>
    <t>96º 34'  W</t>
  </si>
  <si>
    <t>39º 03'  N</t>
  </si>
  <si>
    <t>39º 14' N</t>
  </si>
  <si>
    <t>93º 34'  W</t>
  </si>
  <si>
    <t>95º 10'  W</t>
  </si>
  <si>
    <r>
      <t xml:space="preserve">31º </t>
    </r>
    <r>
      <rPr>
        <sz val="10"/>
        <rFont val="Arial"/>
        <family val="2"/>
      </rPr>
      <t>35' N</t>
    </r>
  </si>
  <si>
    <r>
      <t>31º</t>
    </r>
    <r>
      <rPr>
        <vertAlign val="superscript"/>
        <sz val="10"/>
        <rFont val="Arial"/>
        <family val="2"/>
      </rPr>
      <t xml:space="preserve"> </t>
    </r>
    <r>
      <rPr>
        <sz val="10"/>
        <rFont val="Arial"/>
        <family val="2"/>
      </rPr>
      <t>35' N</t>
    </r>
  </si>
  <si>
    <r>
      <t xml:space="preserve">87º </t>
    </r>
    <r>
      <rPr>
        <sz val="10"/>
        <rFont val="Arial"/>
        <family val="2"/>
      </rPr>
      <t>19' W</t>
    </r>
  </si>
  <si>
    <r>
      <t xml:space="preserve">33º </t>
    </r>
    <r>
      <rPr>
        <sz val="10"/>
        <rFont val="Arial"/>
        <family val="2"/>
      </rPr>
      <t>23' N</t>
    </r>
  </si>
  <si>
    <t>81º 40'E</t>
  </si>
  <si>
    <t>40º 03' N</t>
  </si>
  <si>
    <t>47º 09' N</t>
  </si>
  <si>
    <t>122º 06' W</t>
  </si>
  <si>
    <t>81º 45' W</t>
  </si>
  <si>
    <t>Onondaga</t>
  </si>
  <si>
    <t>Oneida</t>
  </si>
  <si>
    <t>Minihaha</t>
  </si>
  <si>
    <t>Mille Lacs</t>
  </si>
  <si>
    <t>Chippewa</t>
  </si>
  <si>
    <t>Martin</t>
  </si>
  <si>
    <t>Carlton</t>
  </si>
  <si>
    <t>Pope</t>
  </si>
  <si>
    <t>Columbia</t>
  </si>
  <si>
    <t>Buffalo</t>
  </si>
  <si>
    <t>Story</t>
  </si>
  <si>
    <t>Riley</t>
  </si>
  <si>
    <t>Geary</t>
  </si>
  <si>
    <t>Stark</t>
  </si>
  <si>
    <t>Thurston</t>
  </si>
  <si>
    <t>Skagit</t>
  </si>
  <si>
    <t>Pierce</t>
  </si>
  <si>
    <t>Decatur</t>
  </si>
  <si>
    <t>Wayne</t>
  </si>
  <si>
    <t>Banks</t>
  </si>
  <si>
    <t>Camden</t>
  </si>
  <si>
    <t>Ware</t>
  </si>
  <si>
    <t>Aiken</t>
  </si>
  <si>
    <t>Baker</t>
  </si>
  <si>
    <t>MI</t>
  </si>
  <si>
    <t>KA</t>
  </si>
  <si>
    <t>IA</t>
  </si>
  <si>
    <t>ND</t>
  </si>
  <si>
    <t>PA</t>
  </si>
  <si>
    <t>Strong, 1989 &amp; Hansen et al. (NCFES Annual Report) 1988</t>
  </si>
  <si>
    <t>Langholtz et al, 2007 &amp;Rockwood et al. IFPR rpt 2008</t>
  </si>
  <si>
    <t>31º 39' N</t>
  </si>
  <si>
    <t>81º 29' W</t>
  </si>
  <si>
    <t>Jones ( 2 sites)</t>
  </si>
  <si>
    <t>31º 37' N</t>
  </si>
  <si>
    <t>81º 23' W</t>
  </si>
  <si>
    <t>81º 24' W</t>
  </si>
  <si>
    <t>31º 36' N</t>
  </si>
  <si>
    <t>Eulonia  (2 sites)</t>
  </si>
  <si>
    <t>Eulonia ( 1 site)</t>
  </si>
  <si>
    <t>31º 35' N</t>
  </si>
  <si>
    <t>81º 25' W</t>
  </si>
  <si>
    <t>Rincon (2 sites)</t>
  </si>
  <si>
    <t>32º 15' N</t>
  </si>
  <si>
    <t>19.5 ºC</t>
  </si>
  <si>
    <t>18.9 ºC</t>
  </si>
  <si>
    <t>4.1 ºC to 33.2 ºC</t>
  </si>
  <si>
    <t>21 ºC</t>
  </si>
  <si>
    <t>16.8 ºC</t>
  </si>
  <si>
    <t>17 ºC</t>
  </si>
  <si>
    <t>6.4 ºC</t>
  </si>
  <si>
    <t>MAT (Celcius) or range</t>
  </si>
  <si>
    <t>droughtly conditions during 2-yr study  (8 to 35% below long-term average</t>
  </si>
  <si>
    <t>Olustee, Mascotte, &amp; Rigdon</t>
  </si>
  <si>
    <t>2-4</t>
  </si>
  <si>
    <t>3,5</t>
  </si>
  <si>
    <t>Above Ground DM_se tree-1</t>
  </si>
  <si>
    <t>Stump_ht after harvest  (cm)</t>
  </si>
  <si>
    <t>McIntosh</t>
  </si>
  <si>
    <t>Effingham</t>
  </si>
  <si>
    <t>Rockwood &amp; Prine 1988</t>
  </si>
  <si>
    <t>Wolftever</t>
  </si>
  <si>
    <t>Rhinelander</t>
  </si>
  <si>
    <t>5.5 - 6.0</t>
  </si>
  <si>
    <t>high base saturation largely dominated by exchangable Ca</t>
  </si>
  <si>
    <t>25, 27, 30.25</t>
  </si>
  <si>
    <t>grow season mm = 600</t>
  </si>
  <si>
    <t>31º N</t>
  </si>
  <si>
    <t>81º W</t>
  </si>
  <si>
    <t>multiple sites (below)</t>
  </si>
  <si>
    <t>clay setttling area from phosphate mining</t>
  </si>
  <si>
    <t>168 cm in 2004</t>
  </si>
  <si>
    <t>Zalesney et al. 2009</t>
  </si>
  <si>
    <t>Waseca</t>
  </si>
  <si>
    <t>Lat_dd  W</t>
  </si>
  <si>
    <t>Long_dd  N</t>
  </si>
  <si>
    <t>0 to 3%</t>
  </si>
  <si>
    <t>Estherville loam</t>
  </si>
  <si>
    <t>Nicollet clay loam</t>
  </si>
  <si>
    <t>Huntsville silt loam</t>
  </si>
  <si>
    <t>sandy, mixed, mesic Typic Hapludolls</t>
  </si>
  <si>
    <t>fine-loamy, mixed , superactive, mesic Aquic Hapludolls</t>
  </si>
  <si>
    <t xml:space="preserve">fine-silty, mixed superactive, mesic Cumulic Hapludolls </t>
  </si>
  <si>
    <t>Coland clay loam</t>
  </si>
  <si>
    <t>Zalesney et al. 2009, Reimemschneider et al, 2001</t>
  </si>
  <si>
    <t>Zalesney et al. 2009, Riemenschneider et al, 2001</t>
  </si>
  <si>
    <t>Zalesny et. al. 2009</t>
  </si>
  <si>
    <t>Populus hybrid_NM6</t>
  </si>
  <si>
    <t>Populus hybrid_80X00601</t>
  </si>
  <si>
    <t>Populus hybrid_7300501</t>
  </si>
  <si>
    <t>Populus hybrid_91X04-05</t>
  </si>
  <si>
    <t>Populus hybrid_91X04-02</t>
  </si>
  <si>
    <t>Olympia</t>
  </si>
  <si>
    <t>Coyle &amp; Coleman 2005 (Forest Ecology and Management 208)</t>
  </si>
  <si>
    <t>Coyle &amp; Coleman2005 (Forest Ecology and Management 208)</t>
  </si>
  <si>
    <t>Mollisol-Udoll-Hapludoll</t>
  </si>
  <si>
    <t>silty clay loam Aquic Hapludult</t>
  </si>
  <si>
    <t>Li</t>
  </si>
  <si>
    <t>Notes: species named in Data worksheet.  Codes: P=poplar, W=willow, Sm=sugar maple, Li=sweetgum (Liquidambar), Pl=sycamore (Platanus), Q=Oak(Quercus), Pi=pine, E=Eucalyptus</t>
  </si>
  <si>
    <t>Bl</t>
  </si>
  <si>
    <t>SD</t>
  </si>
  <si>
    <t>CAN</t>
  </si>
  <si>
    <t>Geyer et al, 1989</t>
  </si>
  <si>
    <t>well</t>
  </si>
  <si>
    <t xml:space="preserve">bar graph with yr 1-5 yields suggests 5 yr data near max MAI, but definitely not past. </t>
  </si>
  <si>
    <t>stem CAI</t>
  </si>
  <si>
    <t>muck/rock</t>
  </si>
  <si>
    <t>Samuelson et al, 2008, 2004, 1998</t>
  </si>
  <si>
    <t>chop, burn, disk, and bedding</t>
  </si>
  <si>
    <t>late May</t>
  </si>
  <si>
    <t>urea in irrigation</t>
  </si>
  <si>
    <t>Basher silt loam soil</t>
  </si>
  <si>
    <t>Morrison silt loam</t>
  </si>
  <si>
    <t>Ultic Hapludalf</t>
  </si>
  <si>
    <t>fine-loamy,mixed, mesic</t>
  </si>
  <si>
    <t>Fluvaquentic Dystrochrept</t>
  </si>
  <si>
    <t>coarse-loamy, mixed mesic</t>
  </si>
  <si>
    <t>Morrison Site</t>
  </si>
  <si>
    <t>Basher Site</t>
  </si>
  <si>
    <t>gently sloping upland area</t>
  </si>
  <si>
    <t>nearly level floodplain</t>
  </si>
  <si>
    <t>Strauss, Grado, Blankenhorn, Bowersox, 1990a + 2 Bowersox et al, 1991 reports published on http://bioenergy.ornl.gov</t>
  </si>
  <si>
    <t>Adegbidi et al 2002 &amp; 2005</t>
  </si>
  <si>
    <r>
      <t>H</t>
    </r>
    <r>
      <rPr>
        <b/>
        <vertAlign val="subscript"/>
        <sz val="10"/>
        <rFont val="Arial"/>
        <family val="2"/>
      </rPr>
      <t>3</t>
    </r>
    <r>
      <rPr>
        <b/>
        <sz val="10"/>
        <rFont val="Arial"/>
        <family val="2"/>
      </rPr>
      <t>PO</t>
    </r>
    <r>
      <rPr>
        <b/>
        <vertAlign val="subscript"/>
        <sz val="10"/>
        <rFont val="Arial"/>
        <family val="2"/>
      </rPr>
      <t xml:space="preserve">4 </t>
    </r>
    <r>
      <rPr>
        <b/>
        <sz val="10"/>
        <rFont val="Arial"/>
        <family val="2"/>
      </rPr>
      <t>(10 kg P/ha)</t>
    </r>
  </si>
  <si>
    <t xml:space="preserve">SOUTHEAST PINES </t>
  </si>
  <si>
    <t>SOUTHEAST HARDWOOD</t>
  </si>
  <si>
    <t>MIDWEST</t>
  </si>
  <si>
    <t>NORTHWEST</t>
  </si>
  <si>
    <t>NORTHCENTRAL</t>
  </si>
  <si>
    <t>PACIFIC NORTHWEST</t>
  </si>
  <si>
    <t>More data available in papers</t>
  </si>
  <si>
    <t xml:space="preserve">mortality was highest at highest density, lowest at low density </t>
  </si>
  <si>
    <t>Not included in Elsevier Chapter or 2010 handout</t>
  </si>
  <si>
    <t>Species or clone name</t>
  </si>
  <si>
    <t>Populus hybrid, NE-299)</t>
  </si>
  <si>
    <t>Populus hybrid - NE-299</t>
  </si>
  <si>
    <t>NC5260_1.2x1.2</t>
  </si>
  <si>
    <t>NC5260_1.8x1.8</t>
  </si>
  <si>
    <t>NC5377_1.2x1.2</t>
  </si>
  <si>
    <t>NC5377_1.8x1.8</t>
  </si>
  <si>
    <t>Populus hybrid NE-386</t>
  </si>
  <si>
    <t>Populus hybrid NE-41</t>
  </si>
  <si>
    <t>Populus hybrid DN-34 = Eugenei</t>
  </si>
  <si>
    <t>Populus hybrid NC-5377</t>
  </si>
  <si>
    <t>NC5260_.6x.6</t>
  </si>
  <si>
    <t>NC5260_.3x.3</t>
  </si>
  <si>
    <t>Populus hybrid NC-5260 = "tristis"</t>
  </si>
  <si>
    <t>Populus hybrid NC-5260 ="tristis"</t>
  </si>
  <si>
    <t>Populus hybrids DN 17, DN 34, DN 182 avg</t>
  </si>
  <si>
    <t>WI-best of 59 clones</t>
  </si>
  <si>
    <t>WI-best of 79 clones</t>
  </si>
  <si>
    <t>IA-best of 59 clones</t>
  </si>
  <si>
    <t>IA-best of 79 clones</t>
  </si>
  <si>
    <t xml:space="preserve">Populus hybrids-best 5 clones </t>
  </si>
  <si>
    <t>Populus hybrid NM6</t>
  </si>
  <si>
    <r>
      <rPr>
        <i/>
        <sz val="10"/>
        <rFont val="Arial"/>
        <family val="2"/>
      </rPr>
      <t>Populus deltoides</t>
    </r>
    <r>
      <rPr>
        <sz val="10"/>
        <rFont val="Arial"/>
        <family val="2"/>
      </rPr>
      <t xml:space="preserve"> (MissourI)</t>
    </r>
  </si>
  <si>
    <r>
      <rPr>
        <i/>
        <sz val="10"/>
        <rFont val="Arial"/>
        <family val="2"/>
      </rPr>
      <t>Populus deltoides</t>
    </r>
    <r>
      <rPr>
        <sz val="10"/>
        <rFont val="Arial"/>
        <family val="2"/>
      </rPr>
      <t xml:space="preserve"> (Siouxland)</t>
    </r>
  </si>
  <si>
    <t>Acer saccharinum</t>
  </si>
  <si>
    <t>Robinia pseudoacacia</t>
  </si>
  <si>
    <t>Populus deltoides</t>
  </si>
  <si>
    <t>Populus deltoides I45/51</t>
  </si>
  <si>
    <t>Populus 26C6R51</t>
  </si>
  <si>
    <t xml:space="preserve">Populus deltoides 2059 </t>
  </si>
  <si>
    <t>Populus deltoides 1112</t>
  </si>
  <si>
    <t>Populus hybrid (dxn) "Eugenii" = DN34</t>
  </si>
  <si>
    <t>Populus hybrid (nxm)</t>
  </si>
  <si>
    <t>Tilled/Ploughed/disced</t>
  </si>
  <si>
    <t>2 months in "rootrainers"</t>
  </si>
  <si>
    <t xml:space="preserve">before planting </t>
  </si>
  <si>
    <t>experimental focus on defoliation protection</t>
  </si>
  <si>
    <t/>
  </si>
  <si>
    <t>insecticides</t>
  </si>
  <si>
    <t>ht, dbh, basal area, volume is averaged over protected and unprotected results</t>
  </si>
  <si>
    <t>Coyle et al 2008, 2002</t>
  </si>
  <si>
    <t>Moore Farm</t>
  </si>
  <si>
    <t>alfalfa</t>
  </si>
  <si>
    <t>NW</t>
  </si>
  <si>
    <t>Populus hybrid  D-01</t>
  </si>
  <si>
    <t>NORTH CENTRAL</t>
  </si>
  <si>
    <t xml:space="preserve">MIDWEST </t>
  </si>
  <si>
    <t>ST66_I+F</t>
  </si>
  <si>
    <t>S7C15_I+F</t>
  </si>
  <si>
    <t>Sycamore_I+F</t>
  </si>
  <si>
    <t>Populus deltoides_S7C15</t>
  </si>
  <si>
    <t>Populus deltoides_ST66</t>
  </si>
  <si>
    <t>seedlings_bareroot</t>
  </si>
  <si>
    <t>1-0</t>
  </si>
  <si>
    <t>2.5 x 3.0</t>
  </si>
  <si>
    <t>551 mm during growing season + weekly up to 5 mm</t>
  </si>
  <si>
    <t>130 mm during growing seasonweekly up to 5 mm</t>
  </si>
  <si>
    <t>liquid in irr water</t>
  </si>
  <si>
    <t>40, 80,120 kg N ha/yr in yrs 1,2,and 3 respectively split among 26 weekly applications</t>
  </si>
  <si>
    <t>plantation pine with Oak understory</t>
  </si>
  <si>
    <t>rigorous pest control measures</t>
  </si>
  <si>
    <t>Eucalyptus grandis</t>
  </si>
  <si>
    <t xml:space="preserve"> 10-10-10 plus micronutrients</t>
  </si>
  <si>
    <t>Populus maximowiczii x P. nigra (clone NM6)</t>
  </si>
  <si>
    <t>Populus maximowiczii x P. nigra (clone NM5)</t>
  </si>
  <si>
    <t>Populus nigra x P. maximowiczii (cl. Max-4) (clone NM5)</t>
  </si>
  <si>
    <t>Salix dasyclados Wimm. (clone SV1)</t>
  </si>
  <si>
    <t>Populus maximowiczii x P. trichocarpa (clone NE-388)</t>
  </si>
  <si>
    <t>Populus trichocarpa</t>
  </si>
  <si>
    <t>Populus trichocarpa x P. deltoides 15-029</t>
  </si>
  <si>
    <t>Populus trichocarpa x P. deltoides (hybrid 44-136)</t>
  </si>
  <si>
    <t>Populus trichocarpa x P. deltoides (hybrid 11-011)</t>
  </si>
  <si>
    <t>Populus trichocarpa x P. deltoides (hybrid 11-005)</t>
  </si>
  <si>
    <t>Populus trichocarpa x P. deltoides (hybrid 19-056)</t>
  </si>
  <si>
    <t>Populus trichocarpa x P. deltoides (hybrid 55-258)</t>
  </si>
  <si>
    <t>Eucalyptus amplifolia (EA5)</t>
  </si>
  <si>
    <t>Eucalyptus grandis (EG5)</t>
  </si>
  <si>
    <t>Eucalyptus amplifolia (EA4)</t>
  </si>
  <si>
    <t>Eucalyptus grandis (EG4)</t>
  </si>
  <si>
    <t xml:space="preserve"> Populus nigra x populus maximowiczii (clone NM5 -Max-4)</t>
  </si>
  <si>
    <t>Salix purpurea L. (clone SH3)</t>
  </si>
  <si>
    <t>Salix alba var. sanquinea (clone SA2)</t>
  </si>
  <si>
    <t>Populus maximowiczii x berolinensis (clone NE-49)</t>
  </si>
  <si>
    <t>Salix eriocephala x S. interior (clone S625)</t>
  </si>
  <si>
    <t>Salix interior x S. eriocephala (clone S301)</t>
  </si>
  <si>
    <t>Populus cultivar Angulata x P. trichocarpa (clone NE-252)</t>
  </si>
  <si>
    <t>1x1 ft_NC5260</t>
  </si>
  <si>
    <t>.75x.75 ft_NC5260</t>
  </si>
  <si>
    <t>2x2 ft_NC5260</t>
  </si>
  <si>
    <t>Populus  betulifolia x P. trichocarpa NE299 (NC5331)</t>
  </si>
  <si>
    <t>Populus trichocarpa x P. deltoides_hy5</t>
  </si>
  <si>
    <t>Populus trichocarpa x P. deltoides_hy8</t>
  </si>
  <si>
    <t>Populus trichocarpa x P. deltoides_hy11</t>
  </si>
  <si>
    <t>Populus hybrid 'Robusta'</t>
  </si>
  <si>
    <t>Populus trichocarpa x P. deltoides 44-133</t>
  </si>
  <si>
    <t>Populus trichocarpa x P. deltoides 50-197</t>
  </si>
  <si>
    <t>Populus trichocarpa x P. deltoides 55-272</t>
  </si>
  <si>
    <t>Populus trichocarpa x P. deltoides 55-276</t>
  </si>
  <si>
    <t>Populus trichocarpa x P. deltoides 59-289</t>
  </si>
  <si>
    <t>Populus trichocarpa (clone 10-12)</t>
  </si>
  <si>
    <t>Populus trichocarpa x P. deltoides (clone Il 005)</t>
  </si>
  <si>
    <t>Populus trichocarpa (clone 12-106)</t>
  </si>
  <si>
    <t>Populus trichocarpa (clone 80-083)</t>
  </si>
  <si>
    <t>Populus deltoides (clone St 66)</t>
  </si>
  <si>
    <t>Populus deltoides (clone Min 288)</t>
  </si>
  <si>
    <t>Populus trichocarpa x P. deltoides (hybrid 47-160)</t>
  </si>
  <si>
    <t>Eucalyptus amplifolia (EA3)</t>
  </si>
  <si>
    <t>Eucalyptus grandis (EG3)</t>
  </si>
  <si>
    <t>Eucalyptus grandis (EG2)</t>
  </si>
  <si>
    <t>Eucalyptus amplifolia (EA2)</t>
  </si>
  <si>
    <t>Eucalyptus amplifolia (EA1)</t>
  </si>
  <si>
    <t>Eucalyptus grandis (EG1)</t>
  </si>
  <si>
    <t>CW-1-hi density</t>
  </si>
  <si>
    <t>CW-1-hi densit</t>
  </si>
  <si>
    <t>CW-1- med density</t>
  </si>
  <si>
    <t>CW-1- low density</t>
  </si>
  <si>
    <t>CW-2-hi density</t>
  </si>
  <si>
    <t>CW-2- med density</t>
  </si>
  <si>
    <t>CW-2- low density</t>
  </si>
  <si>
    <t>Alnus glutinosa</t>
  </si>
  <si>
    <t>Ag-hi den</t>
  </si>
  <si>
    <t>Ag-med den</t>
  </si>
  <si>
    <t>Ag- low density</t>
  </si>
  <si>
    <t>Ag</t>
  </si>
  <si>
    <t>As</t>
  </si>
  <si>
    <t>As-hi den</t>
  </si>
  <si>
    <t>As-med den</t>
  </si>
  <si>
    <t>As- low density</t>
  </si>
  <si>
    <t>As-low density</t>
  </si>
  <si>
    <t>alluvial soils - probably fertile</t>
  </si>
  <si>
    <t>Cells: black numbers in cell indicates value was found in one of the referenced papers (or an unreferenced and unpublished report on file at ORNL), red numbers mean the numbers were calculated based on black values, in cases of text, information may have been estimated based on other clues in publications)</t>
  </si>
  <si>
    <t xml:space="preserve"> Species Codes: P=Populus (poplar), W=willow (Salix), As=Acer saccharinum (Silver maple), Bl=black locust (Robinia), Ag=Alnus glutinosa (black alder) Li=sweetgum (Liquidambar), Pl=sycamore (Platanus), Q=Oak(Quercus), Pt=Pinus taeda (Loblolly), E=Eucalyptus</t>
  </si>
  <si>
    <t>Specific gravity</t>
  </si>
  <si>
    <t>specific gravity (whole tree) = 0.32, bark % on 2 yr coppice (missouri) = 19%, heat of combustion = 4486 cal/gm or 8076 btu/lb</t>
  </si>
  <si>
    <t>specific gravity (whole tree) = 0.40, bark % on 2 yr coppice (missouri) = 19%, heat of combustion = 4457 cal/gm or 8024 btu/lb</t>
  </si>
  <si>
    <t>specific gravity (whole tree) = 0.37, bark % on 2 yr coppice (missouri) = 23%, heat of combustion = 4543 cal/gm or 8179 btu/lb</t>
  </si>
  <si>
    <t>specific gravity (whole tree) = 0.36, bark % on 2 yr coppice (Siouxland) = 28%, heat of combustion = 4312 cal/gm or 7763 btu/lb</t>
  </si>
  <si>
    <t>some info from ORNL subcontract final rpt, 1988</t>
  </si>
  <si>
    <t>For Borders et al pine data - 3 extra columns were added under notes section containing published stem only MAI and CAI.  These are used to obtain calculated whole tree yilds in columns R, U, &amp; W.</t>
  </si>
  <si>
    <t>CAI</t>
  </si>
  <si>
    <t>MAI</t>
  </si>
  <si>
    <t>Age</t>
  </si>
  <si>
    <t>Above Ground MAI (dMg ha-1yr-1)</t>
  </si>
  <si>
    <t>**</t>
  </si>
  <si>
    <t>x axis represents rotations</t>
  </si>
  <si>
    <t>each dot is an annual harvest</t>
  </si>
  <si>
    <t>results are as reported - may want</t>
  </si>
  <si>
    <t>to use in paper as an example of</t>
  </si>
  <si>
    <t xml:space="preserve">questionable original data. </t>
  </si>
  <si>
    <t xml:space="preserve">pages with graphs were extracted. </t>
  </si>
  <si>
    <t>good example for paper</t>
  </si>
  <si>
    <t xml:space="preserve">reselect MAI max </t>
  </si>
  <si>
    <t>Yields similar all densities</t>
  </si>
  <si>
    <t>Annually harvested, high density plantings</t>
  </si>
  <si>
    <t>Stump Age</t>
  </si>
  <si>
    <t>tricocarpa clones</t>
  </si>
  <si>
    <t xml:space="preserve">All but two clones had decreased yield in second rotation.  </t>
  </si>
  <si>
    <t>Santiam source and Arlington source increased yields in second rotation.</t>
  </si>
  <si>
    <t>All at 1.22 x 1.22 meter spacing</t>
  </si>
  <si>
    <t>All at 1.5 x 3.0 spacing</t>
  </si>
  <si>
    <t>15-029</t>
  </si>
  <si>
    <t>44-133</t>
  </si>
  <si>
    <t>50-197</t>
  </si>
  <si>
    <t>55-272</t>
  </si>
  <si>
    <t>57-276</t>
  </si>
  <si>
    <t>59-289</t>
  </si>
  <si>
    <t>D2h to biomass regression equations in Scarascia-Mugnozza, 1997. Ht, basal diameter, vol curves in Cuelmans et-al, 1992; Coarse root study done on 8 of 12 clones.</t>
  </si>
  <si>
    <t xml:space="preserve">Paper states that culmination of periodic annual basal area </t>
  </si>
  <si>
    <t xml:space="preserve">at ~ 50 cm2 per tree per year occurred as early as year 3 or 4 for the three top fertilized clones. </t>
  </si>
  <si>
    <t>Clone Number</t>
  </si>
  <si>
    <t>Age 4 MAI</t>
  </si>
  <si>
    <t>cl 44-136 Hy</t>
  </si>
  <si>
    <t>cl 11-11 Hy</t>
  </si>
  <si>
    <t>cl 11-05 Hy</t>
  </si>
  <si>
    <t>cl 19-56 HY</t>
  </si>
  <si>
    <t>cl 55-258 Hy</t>
  </si>
  <si>
    <t>by age 3 based on Coulemans et al</t>
  </si>
  <si>
    <t>1992, Can J For Res vol 22 p. 1937-1948</t>
  </si>
  <si>
    <t>Most clones reached volume CAI max</t>
  </si>
  <si>
    <t>Vol curves shown are averages of hybrids, deltoides &amp; trichocarpa</t>
  </si>
  <si>
    <t>Sycamore</t>
  </si>
  <si>
    <t>Sweetgum</t>
  </si>
  <si>
    <t>ST66_C</t>
  </si>
  <si>
    <t>ST66_I</t>
  </si>
  <si>
    <t>ST66_F</t>
  </si>
  <si>
    <t>S7C15_C</t>
  </si>
  <si>
    <t>S7C15_I</t>
  </si>
  <si>
    <t>S7C15_F</t>
  </si>
  <si>
    <t>Sycamore_C</t>
  </si>
  <si>
    <t>Sycamore_I</t>
  </si>
  <si>
    <t>Sycamore_F</t>
  </si>
  <si>
    <t>MPI</t>
  </si>
  <si>
    <t>CPI</t>
  </si>
  <si>
    <t>MPI = mean perodic increments over each 6 month period</t>
  </si>
  <si>
    <t>CPI = current perodic increments over each 6 month period</t>
  </si>
  <si>
    <t>6-mo periods</t>
  </si>
  <si>
    <t>Years</t>
  </si>
  <si>
    <t>years</t>
  </si>
  <si>
    <t>year</t>
  </si>
  <si>
    <t>MAI Age 6</t>
  </si>
  <si>
    <t>I</t>
  </si>
  <si>
    <t>I-LF</t>
  </si>
  <si>
    <t>I-MF</t>
  </si>
  <si>
    <t>I- HF</t>
  </si>
  <si>
    <t>I-HF</t>
  </si>
  <si>
    <t>Year</t>
  </si>
  <si>
    <r>
      <t xml:space="preserve"> MAI  Stem only (dMg ha</t>
    </r>
    <r>
      <rPr>
        <b/>
        <vertAlign val="superscript"/>
        <sz val="10"/>
        <rFont val="Arial"/>
        <family val="2"/>
      </rPr>
      <t>-1</t>
    </r>
    <r>
      <rPr>
        <b/>
        <sz val="10"/>
        <rFont val="Arial"/>
        <family val="2"/>
      </rPr>
      <t>yr</t>
    </r>
    <r>
      <rPr>
        <b/>
        <vertAlign val="superscript"/>
        <sz val="10"/>
        <rFont val="Arial"/>
        <family val="2"/>
      </rPr>
      <t>-1</t>
    </r>
    <r>
      <rPr>
        <b/>
        <sz val="10"/>
        <rFont val="Arial"/>
        <family val="2"/>
      </rPr>
      <t>)*</t>
    </r>
  </si>
  <si>
    <t>CAI  Stem only(dMg ha-1 yr-1)*</t>
  </si>
  <si>
    <r>
      <t xml:space="preserve"> MAI  Above Ground (dMg ha</t>
    </r>
    <r>
      <rPr>
        <b/>
        <vertAlign val="superscript"/>
        <sz val="10"/>
        <rFont val="Arial"/>
        <family val="2"/>
      </rPr>
      <t>-1</t>
    </r>
    <r>
      <rPr>
        <b/>
        <sz val="10"/>
        <rFont val="Arial"/>
        <family val="2"/>
      </rPr>
      <t>yr</t>
    </r>
    <r>
      <rPr>
        <b/>
        <vertAlign val="superscript"/>
        <sz val="10"/>
        <rFont val="Arial"/>
        <family val="2"/>
      </rPr>
      <t>-1</t>
    </r>
    <r>
      <rPr>
        <b/>
        <sz val="10"/>
        <rFont val="Arial"/>
        <family val="2"/>
      </rPr>
      <t>)*</t>
    </r>
  </si>
  <si>
    <t>MAI_se Above Ground  (dMg ha-1yr-1)</t>
  </si>
  <si>
    <t>CAI Above Ground  (dMg ha-1 yr-1)*</t>
  </si>
  <si>
    <t>CAI_se Above Ground  (dMg ha-1yr-1)</t>
  </si>
  <si>
    <t>CUM Stem only (dt/ha)</t>
  </si>
  <si>
    <t>DN34</t>
  </si>
  <si>
    <t>91x04-03-P</t>
  </si>
  <si>
    <t>91x04-03-UP</t>
  </si>
  <si>
    <t>D105-P</t>
  </si>
  <si>
    <t>D105-UP</t>
  </si>
  <si>
    <t>DN34-P</t>
  </si>
  <si>
    <t>DN34-UP</t>
  </si>
  <si>
    <t>NM2-P</t>
  </si>
  <si>
    <t>NM2-UP</t>
  </si>
  <si>
    <t>MAI Age 5</t>
  </si>
  <si>
    <t>MAI Age 8</t>
  </si>
  <si>
    <t>Great example of classic simple CAI, MAI relationship</t>
  </si>
  <si>
    <t>Age 6 MAI</t>
  </si>
  <si>
    <t>Mass</t>
  </si>
  <si>
    <t>Multiply</t>
  </si>
  <si>
    <t>by</t>
  </si>
  <si>
    <t>To Obtain</t>
  </si>
  <si>
    <t>ounces (oz)</t>
  </si>
  <si>
    <t>grams (gm)</t>
  </si>
  <si>
    <t>pounds (lbs)</t>
  </si>
  <si>
    <t>kilograms (kg)</t>
  </si>
  <si>
    <t>Sources:</t>
  </si>
  <si>
    <t>http://www.convert-me.com/en/convert/weight</t>
  </si>
  <si>
    <t>and the Family Farm Series Publication, "Vegetable Crop Production" at</t>
  </si>
  <si>
    <t>http://sfp.ucdavis.edu/pubs/Family_Farm_Series/Veg/Fertilizing/appendix.html</t>
  </si>
  <si>
    <t>hectares (ha)</t>
  </si>
  <si>
    <t xml:space="preserve">hectares (ha) </t>
  </si>
  <si>
    <t xml:space="preserve">Multiply </t>
  </si>
  <si>
    <t>Area</t>
  </si>
  <si>
    <t>tons, U.S or short (t)</t>
  </si>
  <si>
    <t>tons, U.S. or short, (t)</t>
  </si>
  <si>
    <t>tons, U.S. or short (t)</t>
  </si>
  <si>
    <t>tons, Imperial or long (tl)</t>
  </si>
  <si>
    <t xml:space="preserve">National Institute of Standards and Technology, General Tables of Units and Measurements </t>
  </si>
  <si>
    <t>http://ts.nist.gov/ts/htdocs/230/235/owmhome.htm</t>
  </si>
  <si>
    <t>Cum Stem_se dMg/ha</t>
  </si>
  <si>
    <t>height &amp; dbh in paper averaged across both sites studied so not included</t>
  </si>
  <si>
    <t>stem volume and aboveground biomass  in graphics in paper;</t>
  </si>
  <si>
    <t xml:space="preserve"> Reg equation Loblolly = Ln Y(aboveground total dry weight kg/tree) = 0.63065 (intercept) +0.53480 (slope) ln X (volume or dbh2 ht expressed as dm3)</t>
  </si>
  <si>
    <t>This data not truly comparable since each</t>
  </si>
  <si>
    <t>year of data is from different sites.</t>
  </si>
  <si>
    <r>
      <t>Density (trees ha</t>
    </r>
    <r>
      <rPr>
        <b/>
        <vertAlign val="superscript"/>
        <sz val="10"/>
        <rFont val="Arial"/>
        <family val="2"/>
      </rPr>
      <t>-1</t>
    </r>
    <r>
      <rPr>
        <b/>
        <sz val="10"/>
        <rFont val="Arial"/>
        <family val="2"/>
      </rPr>
      <t>)</t>
    </r>
  </si>
  <si>
    <t>Cum Elemental P_amt (kg ha-1)</t>
  </si>
  <si>
    <t>Cum Elemental K_amt (kg ha-1)</t>
  </si>
  <si>
    <r>
      <t>NH</t>
    </r>
    <r>
      <rPr>
        <vertAlign val="subscript"/>
        <sz val="12"/>
        <rFont val="Times New Roman"/>
        <family val="1"/>
      </rPr>
      <t>4</t>
    </r>
    <r>
      <rPr>
        <sz val="12"/>
        <rFont val="Times New Roman"/>
        <family val="1"/>
      </rPr>
      <t>NO</t>
    </r>
    <r>
      <rPr>
        <vertAlign val="subscript"/>
        <sz val="12"/>
        <rFont val="Times New Roman"/>
        <family val="1"/>
      </rPr>
      <t>3</t>
    </r>
    <r>
      <rPr>
        <sz val="12"/>
        <rFont val="Times New Roman"/>
        <family val="1"/>
      </rPr>
      <t xml:space="preserve"> (ammonium nitrate) = 35% N by mass</t>
    </r>
  </si>
  <si>
    <t xml:space="preserve">Conversions  factors for calculation of mass (weight) of elemental Nitrogen (N), Phosphorus (P), or Potassium (K) </t>
  </si>
  <si>
    <t>NPK (10,10,10) = 10% N, 10% P and 10% K (by mass)</t>
  </si>
  <si>
    <r>
      <t>DAP (diammonium phosphate) = 18% Ammoniacal N and 46% P</t>
    </r>
    <r>
      <rPr>
        <vertAlign val="subscript"/>
        <sz val="12"/>
        <rFont val="Times New Roman"/>
        <family val="1"/>
      </rPr>
      <t>2</t>
    </r>
    <r>
      <rPr>
        <sz val="12"/>
        <rFont val="Times New Roman"/>
        <family val="1"/>
      </rPr>
      <t>O</t>
    </r>
    <r>
      <rPr>
        <vertAlign val="subscript"/>
        <sz val="12"/>
        <rFont val="Times New Roman"/>
        <family val="1"/>
      </rPr>
      <t>5</t>
    </r>
    <r>
      <rPr>
        <sz val="12"/>
        <rFont val="Times New Roman"/>
        <family val="1"/>
      </rPr>
      <t xml:space="preserve"> </t>
    </r>
  </si>
  <si>
    <r>
      <t xml:space="preserve"> </t>
    </r>
    <r>
      <rPr>
        <b/>
        <sz val="10"/>
        <color rgb="FF000000"/>
        <rFont val="Arial"/>
        <family val="2"/>
      </rPr>
      <t>P</t>
    </r>
    <r>
      <rPr>
        <b/>
        <vertAlign val="subscript"/>
        <sz val="10"/>
        <color rgb="FF000000"/>
        <rFont val="Arial"/>
        <family val="2"/>
      </rPr>
      <t>2</t>
    </r>
    <r>
      <rPr>
        <b/>
        <sz val="10"/>
        <color rgb="FF000000"/>
        <rFont val="Arial"/>
        <family val="2"/>
      </rPr>
      <t>0</t>
    </r>
    <r>
      <rPr>
        <b/>
        <vertAlign val="subscript"/>
        <sz val="10"/>
        <color rgb="FF000000"/>
        <rFont val="Arial"/>
        <family val="2"/>
      </rPr>
      <t>5</t>
    </r>
    <r>
      <rPr>
        <b/>
        <sz val="10"/>
        <color rgb="FF000000"/>
        <rFont val="Arial"/>
        <family val="2"/>
      </rPr>
      <t xml:space="preserve"> x 0.4367 = elemental phosphorus by mass</t>
    </r>
  </si>
  <si>
    <t>TSP (triple super phosphate) =  45% P by mass.</t>
  </si>
  <si>
    <t>KCL (potassium chloride) = 60% K mass</t>
  </si>
  <si>
    <t>Urea = 46% N by mass</t>
  </si>
  <si>
    <t>0.6 x 1.2</t>
  </si>
  <si>
    <t>2.44 x 2.44</t>
  </si>
  <si>
    <t>3.0 x 3.0</t>
  </si>
  <si>
    <t>.6 x .8</t>
  </si>
  <si>
    <t>1.2 x 3.1</t>
  </si>
  <si>
    <t>0.6 x 3.1</t>
  </si>
  <si>
    <t>2.4 x 2.4</t>
  </si>
  <si>
    <t>2.5 x 3.6</t>
  </si>
  <si>
    <t>2.4 x 3.7</t>
  </si>
  <si>
    <t>Rows:  All regions have different background color; All bold lines are suitable for yield analysis, all highlighted lines are data included in summary tables. Blank colored rows separate experimential trials within same site</t>
  </si>
  <si>
    <t>MN - best of 59 clones</t>
  </si>
  <si>
    <t>Use</t>
  </si>
  <si>
    <t>for</t>
  </si>
  <si>
    <t>example</t>
  </si>
  <si>
    <t>in</t>
  </si>
  <si>
    <t>paper</t>
  </si>
  <si>
    <t>Age 12</t>
  </si>
  <si>
    <t>use</t>
  </si>
  <si>
    <t>as</t>
  </si>
  <si>
    <t>examples</t>
  </si>
  <si>
    <t>use as example of fertilization level id</t>
  </si>
  <si>
    <t>sycamore</t>
  </si>
  <si>
    <t>sweetgum</t>
  </si>
  <si>
    <t>comparison</t>
  </si>
  <si>
    <t>Populus hybrid_NC14105</t>
  </si>
  <si>
    <t>Populus hybrid_D121</t>
  </si>
  <si>
    <t>MN-best of 79 clones</t>
  </si>
  <si>
    <t>Populus hybrid Eugenei</t>
  </si>
  <si>
    <t>MN-control 1</t>
  </si>
  <si>
    <t>MN-control 2</t>
  </si>
  <si>
    <t>WI-control 1</t>
  </si>
  <si>
    <t>WI-control 2</t>
  </si>
  <si>
    <t>IA-control 1</t>
  </si>
  <si>
    <t>IA-control 2</t>
  </si>
  <si>
    <t>Populus deltoides NC14105, 66-9,c916201</t>
  </si>
  <si>
    <t>MN- avg of 2 controls</t>
  </si>
  <si>
    <t>Populus hybrids NM6&amp;Eugenei</t>
  </si>
  <si>
    <t>2 trees</t>
  </si>
  <si>
    <t>1 yr pruned to 20 cm</t>
  </si>
  <si>
    <t>1 outside;none between</t>
  </si>
  <si>
    <t>2 outside, none between</t>
  </si>
  <si>
    <t>Waseca, MN</t>
  </si>
  <si>
    <t>avg of 2 controls</t>
  </si>
  <si>
    <t>Populus deltoides C910401, C9425R3, NM6</t>
  </si>
  <si>
    <t>all unrooted cuttings</t>
  </si>
  <si>
    <t>unrooted &amp; rooted</t>
  </si>
  <si>
    <t>30 cm &amp; pruned to 20 cm</t>
  </si>
  <si>
    <t>1-5 outside, non between</t>
  </si>
  <si>
    <t>MN-3 best of 79</t>
  </si>
  <si>
    <t>3 best of 53 clones</t>
  </si>
  <si>
    <t>IA-5 best  of 59</t>
  </si>
  <si>
    <t>WI-5 best  of 59</t>
  </si>
  <si>
    <t>MN-5 best  of 59</t>
  </si>
  <si>
    <t>DESCRIPTIVE INFORMATION ON SOILS ASSOCIATED WITH ALL EXPERIMENTAL LOCATIONS IN YIELD WORKSHEET</t>
  </si>
  <si>
    <t>ESCRIPTIVE INFORMATION ON EXPERIMENTAL SITES ASSOCIATED WITH WOOCY CROP YIELD DATA WORKSHEET</t>
  </si>
  <si>
    <t>YIELD AND MANAGEMENT DATA TRANSFORMED TO COMMOM UNITS</t>
  </si>
  <si>
    <t>*</t>
  </si>
  <si>
    <t>stem only</t>
  </si>
  <si>
    <t xml:space="preserve">Heilman and Peabody, 1981; Heilman et al., 1972 </t>
  </si>
  <si>
    <t xml:space="preserve">Hardwood Yield data - all yield data such as, harvest yield, cumulative yield , mean annua increment (MAI) and current annual increment (CAI) are expressed as aboveground, whole tree including bark, without leaves.  </t>
  </si>
  <si>
    <t xml:space="preserve">Pine Yield Data -  all yield data such as, harvest yield, cumulative yield , mean annua increment (MAI) and current annual increment (CAI) are expressed as aboveground, whole tree including bark, and including foliage.  </t>
  </si>
  <si>
    <t xml:space="preserve">Cells: Attempt has been made to put information in all cells,  0 values mean value is actually zero, -9999 means information has been searched for but was not available, empty cells means information not required or not relevant. </t>
  </si>
  <si>
    <t xml:space="preserve">Notes organized by author and data set </t>
  </si>
  <si>
    <t xml:space="preserve">Only stem biomass was reported in publication, Total above ground yield MAI is estimated using expansion factors based on aboveground biomass allocation graphic (fig 10, page 33) for yrs 6, 10 &amp; 12. Expansion factors were interpolated for other years. </t>
  </si>
  <si>
    <t>Expansion factor</t>
  </si>
  <si>
    <t>Total MAI estimate</t>
  </si>
  <si>
    <t>Stem Cumulative Inside Bark Biomass</t>
  </si>
  <si>
    <t>Reported in fig 6, page 30 of referenced publication</t>
  </si>
  <si>
    <t>Stem MAI &amp; CAI</t>
  </si>
  <si>
    <t xml:space="preserve">Estimation based on pinus taeda allocation info for yrs 3,4,5,6 in Samuelson, 2004 and on Borders et al  allocation graphic for yrs 6, 10 &amp; 12. Numbers interpolated for other years following pattern. </t>
  </si>
  <si>
    <t>Expansion factor was  estimated based on pinus taeda allocation info for yrs 3,4,5,6 in Samuelson, 2004 and on Borders et al  allocation graphic for yrs 6, 10 &amp; 12 Fig 10, page 33). Expansion factors were interpolated for other years following pattern.</t>
  </si>
  <si>
    <t>Cumulative total aboveground estimate</t>
  </si>
  <si>
    <t>Mean and Periodic (1 year) annual increments were reported in fig. 7 page 31 of referenced publication</t>
  </si>
  <si>
    <t>Final survival percentage</t>
  </si>
  <si>
    <t>based on interpretation of stem density vs basal area graphic Fig. 3, page 26 of referenced publication</t>
  </si>
  <si>
    <t>Planting density</t>
  </si>
  <si>
    <t>Value of 1660 trees per hectare in database reflects value stated in text of referenced publication, a calculated value based on most likely actually planting distance (8 feet x 8 feet) converts to 1682 per ha.</t>
  </si>
  <si>
    <t>Basal area</t>
  </si>
  <si>
    <t xml:space="preserve">from stand basal area vs density graph, fig 3, p. 26.  Assumption was made that final point of each curve was the final measurement in year 15. </t>
  </si>
  <si>
    <t>paper states year 13 as max MAI for F and FW treatments</t>
  </si>
  <si>
    <t>Year 13</t>
  </si>
  <si>
    <t>Year 13 yield values</t>
  </si>
  <si>
    <t>given for stemwood, stem bark, live branches, foliage and total aboveground in table 3, page 1516</t>
  </si>
  <si>
    <t>Ages 4, 6,9,11,13 &amp; 16 total aboveground yields</t>
  </si>
  <si>
    <t xml:space="preserve">shown graphically in fig 1, page 1514, </t>
  </si>
  <si>
    <t>Stemwood PAI and MAI yields</t>
  </si>
  <si>
    <t>shown graphically in fig 5, page 1519,  PAI clearly intersects MAI ~ age 13</t>
  </si>
  <si>
    <t xml:space="preserve">Pinus elliottii </t>
  </si>
  <si>
    <t>Data also given in paper but not included in database since yields much lower than Pinus taeda</t>
  </si>
  <si>
    <t>Age/sites</t>
  </si>
  <si>
    <t xml:space="preserve">While data shown at ages 1-4, each year class was measured at a different site.  </t>
  </si>
  <si>
    <t xml:space="preserve">Annual measurements began in 2nd year after establishment and first harvest, so stump ages show actual numbers of years in ground.  </t>
  </si>
  <si>
    <t>Reported yields were averaged over 7 years of annual harvests beginning in first year; yields for each year not available in publications</t>
  </si>
  <si>
    <t>1,2,3</t>
  </si>
  <si>
    <t>Trials of fertilization or no fertilization with rotation and stump ages shown as 1-7</t>
  </si>
  <si>
    <t>Density trials with rotation ages of 1,2,3 and stump ages of 2,3,4</t>
  </si>
  <si>
    <t>2,4</t>
  </si>
  <si>
    <t>2,3,4</t>
  </si>
  <si>
    <t>Total yield compared between 3 years of annual harvests (after establishment year coppice), 2 rotations of 2 years each, and 1 harvest after three years(following establishment year coppice).</t>
  </si>
  <si>
    <t>Irrigation trials</t>
  </si>
  <si>
    <t>Yield evaluated after 3 years of growth following establishment year coppice.</t>
  </si>
  <si>
    <t>MAI calculated by dividing cum yield (after establishment year)  by stem age.</t>
  </si>
  <si>
    <t>Multiple silviculture treatments</t>
  </si>
  <si>
    <t xml:space="preserve">In all cases yields is evaluated at stem ages 1,2 &amp; 3 following coppice of stand in first year thus MAI is calculated based on stem age, not stump age. </t>
  </si>
  <si>
    <t>Rotation number and stump age were same in this annually harvested trial</t>
  </si>
  <si>
    <t>Published number of 45,700 trees/ha does not agree with published spacing of .46 x .46.  Calculated density of  47,259trees/ha is used in the database.</t>
  </si>
  <si>
    <t>survival not statistically significant between density and fertilizer treatments because of high variability but trend for more mortality at higher density &amp; higher fertilizer</t>
  </si>
  <si>
    <t>Density value</t>
  </si>
  <si>
    <t>Survival</t>
  </si>
  <si>
    <t xml:space="preserve">missing year of survival data was interpolated and shown in red as a calculated value. </t>
  </si>
  <si>
    <t>MAI caluclation</t>
  </si>
  <si>
    <t>CAI's were summed to get cumulative yields. Cumulative yields divided by stump age to estimate MAI's</t>
  </si>
  <si>
    <t>Density x rotation age treatments</t>
  </si>
  <si>
    <t>Density x fertilization treatments</t>
  </si>
  <si>
    <t>Rotation age treatments</t>
  </si>
  <si>
    <t>MAI was calculated by summing reported CAI data to obtain cumulative above ground yield, then dividing by rotation age (since establishment year yield not included).</t>
  </si>
  <si>
    <t>In the annually harvested treatment, rotation age is 1 year less than stump age since measurements begin after establishment year coppice.</t>
  </si>
  <si>
    <t xml:space="preserve">In the biennally harvested treatment, stump age includes establishment year, plus number of years (2) in each rotation. </t>
  </si>
  <si>
    <t>Clone x fertilization trial</t>
  </si>
  <si>
    <t xml:space="preserve">Stump age was same as rotation age  in this annually harvested trial. </t>
  </si>
  <si>
    <t>Harvest Yield/CAI yield extracted from Fig. 1, Page 3 of publication</t>
  </si>
  <si>
    <t>Yield data source</t>
  </si>
  <si>
    <t>MAI calculated by summing annual harvest yield to get cumulative yield, then dividing by stump age.</t>
  </si>
  <si>
    <t>MAI calculation</t>
  </si>
  <si>
    <t>No notes</t>
  </si>
  <si>
    <t>Planting year</t>
  </si>
  <si>
    <t xml:space="preserve">Year of planting was estimated based on year of publication and age of last measurement.  </t>
  </si>
  <si>
    <t>Strauss, Grado, Blankenhorn, Bowersox, 1990a + 2 Bowersox et al reports in ORNL program files.</t>
  </si>
  <si>
    <t>Data selected</t>
  </si>
  <si>
    <t>calc by # trees x area per tree (.46 m2)</t>
  </si>
  <si>
    <t>measurement plot size</t>
  </si>
  <si>
    <t>Only results from 1981 planting included in first rotation results in database, since 1980 planting had major weed control issues</t>
  </si>
  <si>
    <t>2nd rotation results, however, are an average of the combined 1980 and 1981 planting year results, thus number of replicates doubled</t>
  </si>
  <si>
    <t>Fertilization info from Ek &amp; Dawson, 1976</t>
  </si>
  <si>
    <t>1st and 2nd rotation comparison</t>
  </si>
  <si>
    <t>2nd rotation data collected in unharvested portion of a stand originally planted in 1978 at 0.6 x 1.2 meters spacing but after harvest at age 3, stem density much higher than planted density</t>
  </si>
  <si>
    <t>1st rotation data is a nearby plot planted in 1981 at ~ 0.3 x 1.2 meters; stump mortality resulted in much lower density by end</t>
  </si>
  <si>
    <t>Strong, 1989 &amp; Hansen et al, 1988 (unpublished annual report)</t>
  </si>
  <si>
    <t>0.6 x 0.6</t>
  </si>
  <si>
    <t xml:space="preserve">Strong, 1989 &amp; Hansen et al, 1988 </t>
  </si>
  <si>
    <t>Two data points (for years 4 and 6) in the 7 year frirst rotation missing from publication were found in unpublished annual report by Hansen et al, 1988</t>
  </si>
  <si>
    <t>A summary of several studies, experimental details could likely be found in annual reports or other papers</t>
  </si>
  <si>
    <t>Clones with survival numbers given in the paper were the average across all spacings for that clones</t>
  </si>
  <si>
    <t xml:space="preserve">the 1981 study had mortality due to disease for some of the clones. </t>
  </si>
  <si>
    <t>Clones without survival numbers had high survival (stated in paper but numbers not given).</t>
  </si>
  <si>
    <t>Treatments</t>
  </si>
  <si>
    <t>Survival percentage</t>
  </si>
  <si>
    <t>Yield values are an average of three clones, Populus hybrids DN 17, DN 34, and DN 182</t>
  </si>
  <si>
    <t xml:space="preserve">Survival information given only for one of the 3 clones contributing to the average yields so no number shown in database, </t>
  </si>
  <si>
    <t>report provides information on clones highly resistant to Septoria and highly susceptable.</t>
  </si>
  <si>
    <t xml:space="preserve">100% survival assumed in calculating per ha yield from </t>
  </si>
  <si>
    <t>survival</t>
  </si>
  <si>
    <t>stump age is one year nore than stem age because trees planted as pruned 1 yr seedling, roots had grown one year in a nursery</t>
  </si>
  <si>
    <t>Geyer, 1981 &amp; Geyer, 1989</t>
  </si>
  <si>
    <t>yield</t>
  </si>
  <si>
    <t>Only 2 of 5 species studied included in database.</t>
  </si>
  <si>
    <t>species</t>
  </si>
  <si>
    <t>yr 5 shoot (aboveground) biomass provided in table.  Years 1-5 shown in a graphic with 3 axis</t>
  </si>
  <si>
    <t>yield data</t>
  </si>
  <si>
    <t>the 1989 paper gives additional years of yield for experiment first reported in 1981</t>
  </si>
  <si>
    <t xml:space="preserve">Reasonable harvest age given density but doubtful that Max MAI was reached. </t>
  </si>
  <si>
    <t xml:space="preserve">MAI </t>
  </si>
  <si>
    <t>basal area graphs in paper suggested age 8 growth near MAI max for at least 2 of the clones in the trial</t>
  </si>
  <si>
    <t>no notes</t>
  </si>
  <si>
    <t>Final cumulative yield and basal areas taken from table 1 in paper</t>
  </si>
  <si>
    <t xml:space="preserve">growth curve determined from fig. 5 </t>
  </si>
  <si>
    <t>wide range in fertilizer application caused by pump malfunctions and scheduling conflicts.</t>
  </si>
  <si>
    <t xml:space="preserve">fertilizer application </t>
  </si>
  <si>
    <t>dead trees were replaced creating 100% live trees at end of yr 1</t>
  </si>
  <si>
    <t>Values reported are the Periodic Annual increment (PAI) for first  (2y) harvest, second (2 yr) harvest, and 3rd (4 yr) harvest</t>
  </si>
  <si>
    <t xml:space="preserve">The mean annual increment of all harvests summed is reported in paper but not in the database.  </t>
  </si>
  <si>
    <t xml:space="preserve">i.e. numbers represent the annual increment, but calcuation based on a 2 yr period. </t>
  </si>
  <si>
    <t>survival percentage numbers are from the 1972 paper</t>
  </si>
  <si>
    <t>Cutting source was wildtype trees near Baker Lake</t>
  </si>
  <si>
    <t>Stem volume is the mean annual bole volume m3/ha/yr, inside bark</t>
  </si>
  <si>
    <t xml:space="preserve">Stem Volume </t>
  </si>
  <si>
    <t>Trees dead at end of 1st year were replaced with 2 m long stems</t>
  </si>
  <si>
    <t>General note</t>
  </si>
  <si>
    <t>More details, such as height, basal area &amp; volumeare available in Ceulemans et al, 1992 &amp; Scarascia-Mugnozza et al, 1997</t>
  </si>
  <si>
    <t xml:space="preserve">Cumulative Aboveground Biomass </t>
  </si>
  <si>
    <t>Total biomass as published not including the reported foliage amount  (most hardwood biomass research papers do not report foliage so for consistency the database did not include the foliage)</t>
  </si>
  <si>
    <t>Fertilizer amounts</t>
  </si>
  <si>
    <t xml:space="preserve">Total of N, P, and K applied in yrs 1-6, same as reported by Samuelson et al, 2008 for yrs 1-6. </t>
  </si>
  <si>
    <t>Total of N, P, and K applied over 6 yrs of study</t>
  </si>
  <si>
    <t>Since vines were a major problem for sweetgum, data does not represent growth potential but is included for comparison to Sycamore</t>
  </si>
  <si>
    <t>General Note</t>
  </si>
  <si>
    <t>Paper reports data from a fertile old field site, a forest cleared and fertilized site, and a forest cleared but not fertilized site</t>
  </si>
  <si>
    <t>Only the data from the fertile old field site is included in the database since yields from the other two sites were too low to represent potential for the species</t>
  </si>
  <si>
    <t>Data sources</t>
  </si>
  <si>
    <t>The paper published in Biomass and Bioenergy reports yields only from year 4 of rotation 1 and year 2 of the coppice rotation,</t>
  </si>
  <si>
    <t xml:space="preserve">Cumulative yields for additional years came from unpublished annual reports held in Oak  Ridge National Laboratory Library.   </t>
  </si>
  <si>
    <t>Age 4 yields were similar from both sources.</t>
  </si>
  <si>
    <t xml:space="preserve">None of the treatments reached maximum mean annual increment but data included because good experiment and future data may be available. </t>
  </si>
  <si>
    <t>Sycamore yielded twice that of two cottonwood clones on same site due to more branches.</t>
  </si>
  <si>
    <t>Height and dbh data source is unpublished annual report to Oak Ridge National Laboratory</t>
  </si>
  <si>
    <t>Height and Dbh</t>
  </si>
  <si>
    <t xml:space="preserve">9773 tree/ha was actual planting estimate based on table 10 in FIPR 2008 report but 8400 trees is approximate average surviving by experiment end. </t>
  </si>
  <si>
    <t>6800 +- 1758 was actual estimate of survival based on FIPR 2008, table 24</t>
  </si>
  <si>
    <t>8700 +- 683 was actual estimated survival based on FIPR 2008, table 24</t>
  </si>
  <si>
    <t>8600 +- 692 was actual survival based on Table 24 in FIPR 2008 report.</t>
  </si>
  <si>
    <t>5500 +- 1000 was actual estimated survival based on FIPR 2008, table 24</t>
  </si>
  <si>
    <t>Survival UF-2_8400_ E. amplifolia treatment</t>
  </si>
  <si>
    <t>Survival UF-2_8400_ E. grandis treatment</t>
  </si>
  <si>
    <t>Survival F, 8400_E. amplifolia treatment</t>
  </si>
  <si>
    <t>Survival F_8400_E. grandis treatment</t>
  </si>
  <si>
    <t>Density and survival in high density treatments</t>
  </si>
  <si>
    <t>Density and survival in medium density treatments</t>
  </si>
  <si>
    <t>4836 was actual estimated planting density based on FIPR 2008, table 10</t>
  </si>
  <si>
    <t>4600 +- 282 was actual estimated survival based on FIPR 2008, table 24</t>
  </si>
  <si>
    <t>3800 +- 282 was actual estimated survival based on FIPR 2008, table 24</t>
  </si>
  <si>
    <t>Survival F_4200_ E. amplifolia treatment</t>
  </si>
  <si>
    <t>Survival F_4200_ E. grandis treatment</t>
  </si>
  <si>
    <t>Survival UF_8400_ E. amplifolia treatment</t>
  </si>
  <si>
    <t>Survival UF_8400_ E. grandis treatment</t>
  </si>
  <si>
    <t>8958 +- 883 was actual estimated survival based on FIPR 2008, table 24</t>
  </si>
  <si>
    <t>8542 +- 883 was actual estimated survival based on FIPR 2008, table 24</t>
  </si>
  <si>
    <t>Survival UF, 4200_E. amplifolia treatment</t>
  </si>
  <si>
    <t>Survival UF_4200_E. grandis treatment</t>
  </si>
  <si>
    <t>4200 +- 282 was actual estimated survival based on FIPR 2008, table 24</t>
  </si>
  <si>
    <t>4200 +- 848 was actual estimated survival based on FIPR 2008, table 24</t>
  </si>
  <si>
    <t>Harvest Yield values</t>
  </si>
  <si>
    <t xml:space="preserve">There were stem only - inside bark yield dry mg/ha, an expansion factor was used to estimate total aboveground dry weights with foliage. </t>
  </si>
  <si>
    <t>Cumulative total aboveground yield</t>
  </si>
  <si>
    <t>total aboveground yield was published only for years 2,3 and 5</t>
  </si>
  <si>
    <t>Canopy had closed by age 3, so yield judged to be near max MAI at age 5</t>
  </si>
  <si>
    <t>MAI max</t>
  </si>
  <si>
    <t>Fertilization levels</t>
  </si>
  <si>
    <t>The intensive (high fertilizer) plots were fertilized with 660 kg/ha of 10-10-10 plus micro nutrients at time of planting</t>
  </si>
  <si>
    <t>Annual applications of macro and micro nutrients were based on foliar analysis</t>
  </si>
  <si>
    <t>Only the total amount of elemental nutrient application by year 5 was provided in the publication</t>
  </si>
  <si>
    <t xml:space="preserve">Database amounts of cumulative fertilization levels for years 2,3 &amp; 4 are very approximate.  </t>
  </si>
  <si>
    <t>Expansion Factors</t>
  </si>
  <si>
    <t>Years 10 &amp; 11 factors came from table 5 in Samuelson et al.  2008</t>
  </si>
  <si>
    <t>Years 2-5 factors were estimated from Fig. 8 Samuelson et al. 2004</t>
  </si>
  <si>
    <t>Years 6,7,8,9 factors were interpolated assuming yearly decrease between years 5 and 10.</t>
  </si>
  <si>
    <t>The current annual stemwood biomass production data found in Fig. 2. of Samuelson, 2008 was the raw data used for calculation of MAI and Cumulative yields</t>
  </si>
  <si>
    <t xml:space="preserve">Stemwood yields are included in the database, but expansion factors were used to obtain total aboveground biomass yield estimates. </t>
  </si>
  <si>
    <t xml:space="preserve">Expansion factors differed by site and fertilization levels. </t>
  </si>
  <si>
    <t>Year 1 factors made same as yr 2 info from table 5 in Samuelson 2004</t>
  </si>
  <si>
    <t xml:space="preserve">A calculation table used to estimate the expansion factors can be obtained from the author.  </t>
  </si>
  <si>
    <t>Density (trees per hectare)</t>
  </si>
  <si>
    <t xml:space="preserve">Calculated value based on 2.4 x 3.7 m is actually 1126, but digitized number from Samuelson,2008 graphic of stem density (Figure 1) was 1077 and text says 1070.  </t>
  </si>
  <si>
    <t>Fall</t>
  </si>
  <si>
    <t>Yield data</t>
  </si>
  <si>
    <t xml:space="preserve">Only 6th year cumulative growth data (estimated yields of boles, branches, and foliage, total biomass and stem volumes) were published (table 3). </t>
  </si>
  <si>
    <t xml:space="preserve">Spacing was described as 2.6 m x 2.4 m  (about 12 ft x 8 ft) which calculates to 1126 trees/ha.  </t>
  </si>
  <si>
    <t xml:space="preserve">Text states that there was no mortality and that biomass estimates were based on a survival of 1126 trees/ha.  </t>
  </si>
  <si>
    <t>80 trees</t>
  </si>
  <si>
    <t>2.4 x 3.6</t>
  </si>
  <si>
    <t>48 trees</t>
  </si>
  <si>
    <t>Total exp size (ha)</t>
  </si>
  <si>
    <t>8 trees</t>
  </si>
  <si>
    <t>400  trees</t>
  </si>
  <si>
    <t>32 trees</t>
  </si>
  <si>
    <t>15 trees</t>
  </si>
  <si>
    <t>24  trees</t>
  </si>
  <si>
    <t>12 trees</t>
  </si>
  <si>
    <t>17-24 trees</t>
  </si>
  <si>
    <t>100 trees</t>
  </si>
  <si>
    <t>370 trees</t>
  </si>
  <si>
    <t>190 trees</t>
  </si>
  <si>
    <t>4 trees</t>
  </si>
  <si>
    <t>Plot size</t>
  </si>
  <si>
    <t>Size varied with spacing such that all plots provided at least 100 interior measurement trees, plot size at widest spacing was given, others were estimated</t>
  </si>
  <si>
    <t>Size varied with spacing such that all plots provided at least 100 interior measurement trees, plot size at tightest spacing was given, others were estimated.</t>
  </si>
  <si>
    <t>33 trees</t>
  </si>
  <si>
    <t>3 trees</t>
  </si>
  <si>
    <t>Meas plot ( # trees)</t>
  </si>
  <si>
    <t>54 trees</t>
  </si>
  <si>
    <t>87 trees</t>
  </si>
  <si>
    <t>400 trees</t>
  </si>
  <si>
    <t>Clones tested</t>
  </si>
  <si>
    <t>Experiment started with six clones, clones SA22 (S. alba (L.)) and SAM3 (S. x rubens(Schrank)) were eliminated after 7 years and not included in this database</t>
  </si>
  <si>
    <t>248 trees</t>
  </si>
  <si>
    <t>82 trees</t>
  </si>
  <si>
    <t>34 trees</t>
  </si>
  <si>
    <t>1288 trees</t>
  </si>
  <si>
    <t>126 trees</t>
  </si>
  <si>
    <t>the experiment began with 3 clones, only the results of SVI are reported, clones SA22 and SH3 were eliminated from the experiment</t>
  </si>
  <si>
    <t>Begin Date</t>
  </si>
  <si>
    <t>Paper says study was planted in March 2001 but some replanting was done and counting of yrs appears to start in July 01.</t>
  </si>
  <si>
    <t>PAI</t>
  </si>
  <si>
    <t>pounds Ilbs)</t>
  </si>
  <si>
    <t>acres (ac)</t>
  </si>
  <si>
    <r>
      <t>megagrams (Mg) or metric tons or tonne (t)</t>
    </r>
    <r>
      <rPr>
        <vertAlign val="superscript"/>
        <sz val="11"/>
        <rFont val="Times New Roman"/>
        <family val="1"/>
      </rPr>
      <t>a</t>
    </r>
  </si>
  <si>
    <r>
      <t>a</t>
    </r>
    <r>
      <rPr>
        <sz val="11"/>
        <rFont val="Times New Roman"/>
        <family val="1"/>
      </rPr>
      <t xml:space="preserve">  The proper SI unit for a metric ton or tonne is megagram (Mg) however "t" is commonly used in practice as in dt ha</t>
    </r>
    <r>
      <rPr>
        <vertAlign val="superscript"/>
        <sz val="11"/>
        <rFont val="Times New Roman"/>
        <family val="1"/>
      </rPr>
      <t>-1</t>
    </r>
    <r>
      <rPr>
        <sz val="11"/>
        <rFont val="Times New Roman"/>
        <family val="1"/>
      </rPr>
      <t xml:space="preserve"> for dry ton per hectare.  Writers in the U.S. normally use "t" for short ton as in dt ac</t>
    </r>
    <r>
      <rPr>
        <vertAlign val="superscript"/>
        <sz val="11"/>
        <rFont val="Times New Roman"/>
        <family val="1"/>
      </rPr>
      <t>-1</t>
    </r>
    <r>
      <rPr>
        <sz val="11"/>
        <rFont val="Times New Roman"/>
        <family val="1"/>
      </rPr>
      <t xml:space="preserve"> for dry ton per acre and mt or MT for metric ton.  </t>
    </r>
  </si>
  <si>
    <r>
      <t>square miles (mi</t>
    </r>
    <r>
      <rPr>
        <vertAlign val="superscript"/>
        <sz val="11"/>
        <color indexed="8"/>
        <rFont val="Times New Roman"/>
        <family val="1"/>
      </rPr>
      <t>2</t>
    </r>
    <r>
      <rPr>
        <sz val="11"/>
        <color indexed="8"/>
        <rFont val="Times New Roman"/>
        <family val="1"/>
      </rPr>
      <t>)</t>
    </r>
  </si>
  <si>
    <r>
      <t>square kilometers (km</t>
    </r>
    <r>
      <rPr>
        <vertAlign val="superscript"/>
        <sz val="11"/>
        <rFont val="Times New Roman"/>
        <family val="1"/>
      </rPr>
      <t>2</t>
    </r>
    <r>
      <rPr>
        <sz val="11"/>
        <rFont val="Times New Roman"/>
        <family val="1"/>
      </rPr>
      <t xml:space="preserve">) </t>
    </r>
  </si>
  <si>
    <r>
      <t>square mile (mi</t>
    </r>
    <r>
      <rPr>
        <vertAlign val="superscript"/>
        <sz val="11"/>
        <color indexed="8"/>
        <rFont val="Times New Roman"/>
        <family val="1"/>
      </rPr>
      <t>2</t>
    </r>
    <r>
      <rPr>
        <sz val="11"/>
        <color indexed="8"/>
        <rFont val="Times New Roman"/>
        <family val="1"/>
      </rPr>
      <t xml:space="preserve">) </t>
    </r>
    <r>
      <rPr>
        <sz val="11"/>
        <rFont val="Times New Roman"/>
        <family val="1"/>
      </rPr>
      <t xml:space="preserve"> </t>
    </r>
  </si>
  <si>
    <r>
      <t>square meters (m</t>
    </r>
    <r>
      <rPr>
        <vertAlign val="superscript"/>
        <sz val="11"/>
        <rFont val="Times New Roman"/>
        <family val="1"/>
      </rPr>
      <t>2</t>
    </r>
    <r>
      <rPr>
        <sz val="11"/>
        <rFont val="Times New Roman"/>
        <family val="1"/>
      </rPr>
      <t xml:space="preserve">) </t>
    </r>
  </si>
  <si>
    <r>
      <t>square yards (yd</t>
    </r>
    <r>
      <rPr>
        <vertAlign val="superscript"/>
        <sz val="11"/>
        <color indexed="8"/>
        <rFont val="Times New Roman"/>
        <family val="1"/>
      </rPr>
      <t>2</t>
    </r>
    <r>
      <rPr>
        <sz val="11"/>
        <color indexed="8"/>
        <rFont val="Times New Roman"/>
        <family val="1"/>
      </rPr>
      <t xml:space="preserve">) </t>
    </r>
    <r>
      <rPr>
        <sz val="11"/>
        <rFont val="Times New Roman"/>
        <family val="1"/>
      </rPr>
      <t xml:space="preserve"> </t>
    </r>
  </si>
  <si>
    <r>
      <t>square feet (ft</t>
    </r>
    <r>
      <rPr>
        <vertAlign val="superscript"/>
        <sz val="11"/>
        <rFont val="Times New Roman"/>
        <family val="1"/>
      </rPr>
      <t>2</t>
    </r>
    <r>
      <rPr>
        <sz val="11"/>
        <rFont val="Times New Roman"/>
        <family val="1"/>
      </rPr>
      <t xml:space="preserve">) </t>
    </r>
  </si>
  <si>
    <r>
      <t>square decimeter (dm</t>
    </r>
    <r>
      <rPr>
        <vertAlign val="superscript"/>
        <sz val="11"/>
        <rFont val="Times New Roman"/>
        <family val="1"/>
      </rPr>
      <t>2</t>
    </r>
    <r>
      <rPr>
        <sz val="11"/>
        <rFont val="Times New Roman"/>
        <family val="1"/>
      </rPr>
      <t xml:space="preserve">) </t>
    </r>
  </si>
  <si>
    <r>
      <t>square inchs (in</t>
    </r>
    <r>
      <rPr>
        <vertAlign val="superscript"/>
        <sz val="11"/>
        <rFont val="Times New Roman"/>
        <family val="1"/>
      </rPr>
      <t>2</t>
    </r>
    <r>
      <rPr>
        <sz val="11"/>
        <rFont val="Times New Roman"/>
        <family val="1"/>
      </rPr>
      <t xml:space="preserve">) </t>
    </r>
  </si>
  <si>
    <r>
      <t>square centimeters (cm</t>
    </r>
    <r>
      <rPr>
        <vertAlign val="superscript"/>
        <sz val="11"/>
        <rFont val="Times New Roman"/>
        <family val="1"/>
      </rPr>
      <t>2</t>
    </r>
    <r>
      <rPr>
        <sz val="11"/>
        <rFont val="Times New Roman"/>
        <family val="1"/>
      </rPr>
      <t>)</t>
    </r>
  </si>
  <si>
    <r>
      <t>square millimeters (mm</t>
    </r>
    <r>
      <rPr>
        <vertAlign val="superscript"/>
        <sz val="11"/>
        <color indexed="8"/>
        <rFont val="Times New Roman"/>
        <family val="1"/>
      </rPr>
      <t>2</t>
    </r>
    <r>
      <rPr>
        <sz val="11"/>
        <color indexed="8"/>
        <rFont val="Times New Roman"/>
        <family val="1"/>
      </rPr>
      <t xml:space="preserve">) </t>
    </r>
    <r>
      <rPr>
        <sz val="11"/>
        <rFont val="Times New Roman"/>
        <family val="1"/>
      </rPr>
      <t xml:space="preserve"> </t>
    </r>
  </si>
  <si>
    <r>
      <t>megagrams per hectare (Mg ha</t>
    </r>
    <r>
      <rPr>
        <vertAlign val="superscript"/>
        <sz val="11"/>
        <rFont val="Times New Roman"/>
        <family val="1"/>
      </rPr>
      <t>-1</t>
    </r>
    <r>
      <rPr>
        <sz val="11"/>
        <rFont val="Times New Roman"/>
        <family val="1"/>
      </rPr>
      <t>)</t>
    </r>
  </si>
  <si>
    <r>
      <t>tons (U.S.) per acre  (t ac</t>
    </r>
    <r>
      <rPr>
        <vertAlign val="superscript"/>
        <sz val="11"/>
        <rFont val="Times New Roman"/>
        <family val="1"/>
      </rPr>
      <t>-1</t>
    </r>
    <r>
      <rPr>
        <sz val="11"/>
        <rFont val="Times New Roman"/>
        <family val="1"/>
      </rPr>
      <t>)</t>
    </r>
  </si>
  <si>
    <r>
      <t>kilograms per square meter (kg m</t>
    </r>
    <r>
      <rPr>
        <vertAlign val="superscript"/>
        <sz val="11"/>
        <rFont val="Times New Roman"/>
        <family val="1"/>
      </rPr>
      <t>-1</t>
    </r>
    <r>
      <rPr>
        <sz val="11"/>
        <rFont val="Times New Roman"/>
        <family val="1"/>
      </rPr>
      <t>)</t>
    </r>
  </si>
  <si>
    <r>
      <t>kilograms per hectare (kg ha</t>
    </r>
    <r>
      <rPr>
        <vertAlign val="superscript"/>
        <sz val="11"/>
        <rFont val="Times New Roman"/>
        <family val="1"/>
      </rPr>
      <t>-1</t>
    </r>
    <r>
      <rPr>
        <sz val="11"/>
        <rFont val="Times New Roman"/>
        <family val="1"/>
      </rPr>
      <t>)</t>
    </r>
  </si>
  <si>
    <r>
      <t>pounds per acre (lb ac</t>
    </r>
    <r>
      <rPr>
        <vertAlign val="superscript"/>
        <sz val="11"/>
        <rFont val="Times New Roman"/>
        <family val="1"/>
      </rPr>
      <t>-1</t>
    </r>
    <r>
      <rPr>
        <sz val="11"/>
        <rFont val="Times New Roman"/>
        <family val="1"/>
      </rPr>
      <t>)</t>
    </r>
  </si>
  <si>
    <r>
      <t>liters per hectare (l ha</t>
    </r>
    <r>
      <rPr>
        <vertAlign val="superscript"/>
        <sz val="11"/>
        <rFont val="Times New Roman"/>
        <family val="1"/>
      </rPr>
      <t>-1</t>
    </r>
    <r>
      <rPr>
        <sz val="11"/>
        <rFont val="Times New Roman"/>
        <family val="1"/>
      </rPr>
      <t>)</t>
    </r>
  </si>
  <si>
    <r>
      <t>quarts per acre (qt ac</t>
    </r>
    <r>
      <rPr>
        <vertAlign val="superscript"/>
        <sz val="11"/>
        <rFont val="Times New Roman"/>
        <family val="1"/>
      </rPr>
      <t>-1</t>
    </r>
    <r>
      <rPr>
        <sz val="11"/>
        <rFont val="Times New Roman"/>
        <family val="1"/>
      </rPr>
      <t>)</t>
    </r>
  </si>
  <si>
    <r>
      <t>pounds per square foot (lb ft</t>
    </r>
    <r>
      <rPr>
        <vertAlign val="superscript"/>
        <sz val="11"/>
        <rFont val="Times New Roman"/>
        <family val="1"/>
      </rPr>
      <t>2</t>
    </r>
    <r>
      <rPr>
        <sz val="11"/>
        <rFont val="Times New Roman"/>
        <family val="1"/>
      </rPr>
      <t>)</t>
    </r>
  </si>
  <si>
    <t>Mass or Volume per Unit Area (Crop yields and application rates)</t>
  </si>
  <si>
    <r>
      <t>square kilometers (km</t>
    </r>
    <r>
      <rPr>
        <vertAlign val="superscript"/>
        <sz val="11"/>
        <rFont val="Times New Roman"/>
        <family val="1"/>
      </rPr>
      <t>2</t>
    </r>
    <r>
      <rPr>
        <sz val="11"/>
        <rFont val="Times New Roman"/>
        <family val="1"/>
      </rPr>
      <t xml:space="preserve">) </t>
    </r>
    <r>
      <rPr>
        <vertAlign val="superscript"/>
        <sz val="11"/>
        <rFont val="Times New Roman"/>
        <family val="1"/>
      </rPr>
      <t>b</t>
    </r>
  </si>
  <si>
    <r>
      <rPr>
        <vertAlign val="superscript"/>
        <sz val="11"/>
        <rFont val="Times New Roman"/>
        <family val="1"/>
      </rPr>
      <t>b</t>
    </r>
    <r>
      <rPr>
        <sz val="11"/>
        <rFont val="Times New Roman"/>
        <family val="1"/>
      </rPr>
      <t xml:space="preserve"> One square kilometers contains 100 hectares, a square hectare is 100 meters long on each side.</t>
    </r>
  </si>
  <si>
    <r>
      <t>tons, Imperial or long (tl)</t>
    </r>
    <r>
      <rPr>
        <vertAlign val="superscript"/>
        <sz val="11"/>
        <rFont val="Times New Roman"/>
        <family val="1"/>
      </rPr>
      <t>c</t>
    </r>
  </si>
  <si>
    <r>
      <rPr>
        <vertAlign val="superscript"/>
        <sz val="11"/>
        <rFont val="Times New Roman"/>
        <family val="1"/>
      </rPr>
      <t xml:space="preserve">c </t>
    </r>
    <r>
      <rPr>
        <sz val="11"/>
        <rFont val="Times New Roman"/>
        <family val="1"/>
      </rPr>
      <t>U.S. tons equal 2000 lbs,  imperial or long tons equal 2240 lbs</t>
    </r>
  </si>
  <si>
    <r>
      <t xml:space="preserve">acres (ac) </t>
    </r>
    <r>
      <rPr>
        <vertAlign val="superscript"/>
        <sz val="11"/>
        <rFont val="Times New Roman"/>
        <family val="1"/>
      </rPr>
      <t>d</t>
    </r>
  </si>
  <si>
    <r>
      <t>d</t>
    </r>
    <r>
      <rPr>
        <sz val="11"/>
        <rFont val="Times New Roman"/>
        <family val="1"/>
      </rPr>
      <t xml:space="preserve"> An acre  contains 43,560 square feet.  If the acre is square,  the length of a side is equal to the square root of 43,560 or about 208.71 feet.  One square mile equals 640 acres, one acre equals 0.0015625 square miles.</t>
    </r>
  </si>
  <si>
    <t xml:space="preserve"> B.1  METRIC TO ENGLISH UNITS</t>
  </si>
  <si>
    <t>B.2  ENGLISH TO METRIC UNITS</t>
  </si>
  <si>
    <t>megagrams (Mg) or metric tons or tonne</t>
  </si>
  <si>
    <t xml:space="preserve">www.gordonengland.co.uk/conversion </t>
  </si>
  <si>
    <t>Columns:  White columns = expansion factors, Cumulative Stem only column is empty except for Borders et al and Samuelson et al data</t>
  </si>
  <si>
    <t>Survival was averaged across both test sites</t>
  </si>
  <si>
    <t>Stem wt to above ground wt factor</t>
  </si>
  <si>
    <t>NH4NO3 and urea</t>
  </si>
  <si>
    <t>H3PO4</t>
  </si>
  <si>
    <t>K2O</t>
  </si>
  <si>
    <t>ht and dbh measured on all 25 trees in meas plot, mean vol index tree (dbh2xht) determined, cut and weighed.  Fresh and dry weights determined on sample tree.  Then all trees in sub-plot harvested and weighed as composite sample to nearest 0.05 kg</t>
  </si>
  <si>
    <t>SOUTHEAST HARDWOOD - eucalyptus</t>
  </si>
  <si>
    <t>NH4NO3 and urea (38 kg N/ha)</t>
  </si>
  <si>
    <t>H3PO4 (10 kg P/ha)</t>
  </si>
  <si>
    <t>K2O (38 kg K/ha)</t>
  </si>
  <si>
    <t xml:space="preserve"> NH4NO3 with P &amp; K &amp; micronutrients Zn, Cu, Fe, B, &amp; Mn</t>
  </si>
  <si>
    <t xml:space="preserve">H3PO4 with N&amp;K </t>
  </si>
  <si>
    <t>K2O with N&amp;P</t>
  </si>
  <si>
    <t>Yield estimates</t>
  </si>
  <si>
    <t>Annuall harvested yield estimates were based on regressions for rotations 1 &amp; 2, but based on totally harvested stand in for rotation 3.</t>
  </si>
  <si>
    <t>Herb_what</t>
  </si>
  <si>
    <t>Herb_when</t>
  </si>
  <si>
    <t>Herb_rate</t>
  </si>
  <si>
    <t>N fert type</t>
  </si>
  <si>
    <t>Heilman and Peabody, 1981; Heilman et al.; 1972</t>
  </si>
  <si>
    <t>Abegbidi 2001 draws from same experiment as Kopp 2006 but two additional years data is available and I believe different aspects of experiment are reported.</t>
  </si>
  <si>
    <t xml:space="preserve">Rows:  All rows ending with a cell  colored purple indicates MAI value represents a maximum MAI - defined as the point in growth curves where MAI values have peaked and CAI values are past peak, usually close to or less than MAI peak value. </t>
  </si>
  <si>
    <t xml:space="preserve">Rows: All rows ending with a cell colored pink indicates the MAI value is likely near maximum but data insufficient to verify this assumption. </t>
  </si>
  <si>
    <t>Rows:  All regions have different background color; All bold lines are suitable for yield analysis, all highlighted lines are data included in summary tables.  within same site</t>
  </si>
  <si>
    <t>Rows:  White (or no color) rows separate different publications or different sites</t>
  </si>
  <si>
    <t>Database References</t>
  </si>
  <si>
    <t>Adegbidi, H. G., Volk, T. A., White, E. H., Abrahamson, L. P., Briggs, R. D., Bickelhaupt, D. H., Biomass and nutrient removal by willow clones in experimental bioenergy plantations in New York State, Biomass &amp; Bioenergy 20, 399-411, 2001.</t>
  </si>
  <si>
    <t>Adegbidi, H. G., Briggs, R. D., Volk, T. A., White, E. H., Abrahamson, L. P., Effect of organic amendments and slow-release nitrogen fertilizer on willow biomass production and soil chemical characteristics, Biomass &amp; Bioenergy 25, 389-398, 2003.</t>
  </si>
  <si>
    <t>Adegbidi, H. G., Jokela, E. J., Comerford, N. B., Barros, N. F., Biomass development for intensively managed loblolly pine plantations growing on Spodosols in the southeastern USA, Forest Ecology and Management, 167, 91-102, 2002.</t>
  </si>
  <si>
    <t>Adegbidi, H. G., Jokela, E. J., Comerford, N. B., Factors influencing production efficiency of intensively managed loblolly pine plantations in a 1- to 4-year-old chronosequence,  Forest Ecology and Management, 218, 245-258, 2005.</t>
  </si>
  <si>
    <t>Borders, B. E., Will, R. E., Markewitz, D., Clark, A., Hendrick, R., Teskey, R. O., et al., Effect of complete competition control and annual fertilization on stem growth and canopy relations for a chronosequence of loblolly pine plantations in the lower coastal plain of Georgia, Forest Ecology and Management, 192, 21-37, 2004.</t>
  </si>
  <si>
    <t xml:space="preserve">Bowersox, T. W., Ward, W. W., Growth and yield of close-spaced, young hybrid poplars, Forest Science 22, 449-454, 1976. </t>
  </si>
  <si>
    <t>Cobb, W. R., Will, R. E., Daniels, R. F., Jacobson, M. A., Aboveground biomass and nitrogen in four short-rotation woody crop species growing with different water and nutrient availabilities, Forest Ecology and Management, 255, 4032-4039, 2008.</t>
  </si>
  <si>
    <t>Colbert, S. R., Jokela, E. J., Neary, D. G., Effects of Annual Fertilization and Sustained Weed Control on Dry Matter Partitioning, Leaf Area, and Growth Efficiency of Juvenile Loblolly and Slash Pine, Forest Science, 36, 995-1014, 1990.</t>
  </si>
  <si>
    <t>Coyle, D. R., Coleman, M. D., Forest production responses to irrigation and fertilization are not explained by shifts in allocation, Forest Ecology and Management, 208, 137-152, 2005</t>
  </si>
  <si>
    <t>Coyle, D. R., Hart, E. R., McMillin, J. D., Rule, L. C., Hall, R. B., Effects of repeated cottonwood leaf beetle defoliation on Populus growth and economic value over an 8-year harvest rotation, Forest Ecology and Management, 255, 3365-3373, 2008.</t>
  </si>
  <si>
    <t>Davis, A. A., Trettin, C. C., Sycamore and sweetgum plantation productivity on former agricultural land in South Carolina, Biomass and Bioenergy, 30, 769-777, 2006.</t>
  </si>
  <si>
    <r>
      <t xml:space="preserve">Debell, D. S., Clendenen, G. W., Zasada, J. C., Growing </t>
    </r>
    <r>
      <rPr>
        <i/>
        <sz val="12"/>
        <rFont val="Arial"/>
        <family val="2"/>
      </rPr>
      <t>Populus</t>
    </r>
    <r>
      <rPr>
        <sz val="12"/>
        <rFont val="Arial"/>
        <family val="2"/>
      </rPr>
      <t xml:space="preserve"> biomass: comparison of woodgrass versus wider-spaced short-rotation systems, Biomass and Bioenergy, 4, 305-313, 1993.</t>
    </r>
  </si>
  <si>
    <t>DeBell, D. S., Clendenen, G. W., Harrington, C. A., Zasada, J. C., Tree growth and stand development in short-rotation Populus plantings: 7-year results for two clones at three spacings, Biomass and Bioenergy, 11, 253-269, 1996.</t>
  </si>
  <si>
    <r>
      <t xml:space="preserve">Dowell, R. C., Gibbins, D., Rhoads, J. L., Pallardy, S. G., Biomass production physiology and soil carbon dynamics in short-rotation-grown </t>
    </r>
    <r>
      <rPr>
        <i/>
        <sz val="12"/>
        <rFont val="Arial"/>
        <family val="2"/>
      </rPr>
      <t xml:space="preserve">Populus deltoides </t>
    </r>
    <r>
      <rPr>
        <sz val="12"/>
        <rFont val="Arial"/>
        <family val="2"/>
      </rPr>
      <t xml:space="preserve">and </t>
    </r>
    <r>
      <rPr>
        <i/>
        <sz val="12"/>
        <rFont val="Arial"/>
        <family val="2"/>
      </rPr>
      <t xml:space="preserve">P. deltoides x P. nigra </t>
    </r>
    <r>
      <rPr>
        <sz val="12"/>
        <rFont val="Arial"/>
        <family val="2"/>
      </rPr>
      <t>hybrids, Forest Ecology and Management, 257, 134-142, 2009</t>
    </r>
  </si>
  <si>
    <t>Ek, A. R., Dawson, D. H. Actual and projected growth and yields of Populus 'Tristis #1, under intensive culture.  Canadian Journal of Forest Research. pp. 132-144. 1976.</t>
  </si>
  <si>
    <t>Geyer, W. A., Growth, yield, and woody biomass characteristics of seven short-rotation hardwoods, Wood Science, 13, 209-215, 1981.</t>
  </si>
  <si>
    <t>Geyer, W. A., Biomass yield potential of short-rotation hardwoods in the Great Plains, Biomass, 20, 167-175, 1989.</t>
  </si>
  <si>
    <t>Hansen, E., Haissig, B., Isebrands, J. G., Michler, C., Riemenschneider, D. E., Strong, T. Increasing Yields of Poplar Energy Plantations: Annual Report for the Period Aug 1, 1987-July 31, 1988. pp. 48. North Central Forest Experiment Station, USDA Forest Science Forestry Sciences Laboratory, Rhinelander, WI, 1988.</t>
  </si>
  <si>
    <t>Heilman, P. E., Peabody Jr., D. V., DeBell, D. S., Strand, R. F., A test of close-spaced, short-rotation culture of black cottonwood, Canadian Journal of Forest Research, 2, 456-459, 1972.</t>
  </si>
  <si>
    <t>Heilman, P. E., Peabody Jr., D. V., Effect of harvest cycle and spacing on productivity of black cottonwood in intensive culture, Canadian Journal of Forest Research, 11, 118-123, 1981.</t>
  </si>
  <si>
    <r>
      <t xml:space="preserve">Heilman, P. E., Stettler, R. F., Genetic variation and productivity of </t>
    </r>
    <r>
      <rPr>
        <i/>
        <sz val="12"/>
        <rFont val="Arial"/>
        <family val="2"/>
      </rPr>
      <t>Populus trichocarpa</t>
    </r>
    <r>
      <rPr>
        <sz val="12"/>
        <rFont val="Arial"/>
        <family val="2"/>
      </rPr>
      <t xml:space="preserve"> and its hybrids. II, Biomass Production in a 4-year plantation., Can. J. For. Res., 15, 384-388, 1985.</t>
    </r>
  </si>
  <si>
    <r>
      <t xml:space="preserve">Heilman, P. E., Fu-Gaung, X., Influence of nitrogen on growth and productivity of short-rotation </t>
    </r>
    <r>
      <rPr>
        <i/>
        <sz val="12"/>
        <rFont val="Arial"/>
        <family val="2"/>
      </rPr>
      <t xml:space="preserve">Populus trichocarpa x Populus deltoides </t>
    </r>
    <r>
      <rPr>
        <sz val="12"/>
        <rFont val="Arial"/>
        <family val="2"/>
      </rPr>
      <t>hybrids, Candian Journal of Forest Researc, 23, 1863-1869, 1993.</t>
    </r>
  </si>
  <si>
    <t>Heilman, P. E., Ekuan, G., Fogle, D. B., Above- and below-ground biomass and fine roots of four-year-old hybrids of Populus trichocarpa x P. deltoides and parental species in short rotation culture, Canadian Journal of Forest Research, 24, 1186-1192, 1994.</t>
  </si>
  <si>
    <t>Jokela, E. J., Martin, T. A., Effects of ontogeny and soil nutrient supply on production, allocation, and leaf area efficiency in loblolly and slash pine stands, Canadian Journal of Forest Research, 30, 1511-1524, 2000.</t>
  </si>
  <si>
    <t>Kopp, R. F., Abrahamson, L. P., White, E. H., Nowak, C. A., Zsuffa, L., Burns, K. F., Woodgrass spacing and fertilization effects on wood biomass production by a Willow clone, Biomass and Bioenergy 11, 451-457, 1996</t>
  </si>
  <si>
    <t xml:space="preserve">Kopp, R. F., Abrahamson, L. P., White, E. H., Burns, K. F., Nowak, C. A., Cutting cycle and spacing effects on biomass production by a willow clone in New York, Biomass and Bioenergy 12, 313-319, 1997. </t>
  </si>
  <si>
    <t xml:space="preserve">Kopp, R. F., Abrahamson, L. P., White, E. H., Volk, T. A., Nowak, C. A., Fillhart, R. C., Willow biomass production during ten successive annual harvests, Biomass &amp; Bioenergy 20, 107, 2001. </t>
  </si>
  <si>
    <t>Labrecque, M., Teodorescu, T. I., Field performance and biomass production of 12 willow and poplar clones in short-rotation coppice in southern Quebec (Canada). Biomass and Bioenergy 29, 1-9, 2005.</t>
  </si>
  <si>
    <t>Langholtz, M., Carter, D. R., Rockwood, D. L., Alavalapati, J. R. R., The economic feasibility of reclaiming phosphate mined lands with short-rotation woody crops in Florida, Journal of Forest Economics, 12, 237-249, 2007.</t>
  </si>
  <si>
    <t xml:space="preserve">Martin, T. A., Jokela, E. J., Stand development and production dynamics of loblolly pine under a range of cultural treatments in north-central Florida USA, Forest Ecology and Management, 192, 39-58, 2004. </t>
  </si>
  <si>
    <t xml:space="preserve">Netzer, D. A., Tolsted, D. N., Ostry, M. E., Isebrands, J. G., Riemenschneider, D. E., Ward, K. T. Growth, Yield, and Disease Resistance of 7-12 Year Old Poplar Clones in the North Central United States. GTR-NC-229, pp. 33. USDA Forest Service, North Central Experiment Station, St. Paul, MN, 2002. </t>
  </si>
  <si>
    <t>Riemenschneider, D. E., Berguson, W. E., Dickman, D. I., Hall, R. B., Isebrands, J. G., Mohn, C. A., et al., Poplar breeding and testing strategies in the north-central U.S.: Demonstration of potential yield and consideration of future research needs., The Forestry Chronicle, 77, 246-253, 2001</t>
  </si>
  <si>
    <t>Rockwood, D. L., Comer, C. W., Dippon, D. R., Huffman, J. B. Woody Biomass Production Options for Florida. Bulletin 865, pp. Agricultural Experiment Station Institute of Food and Agriculture Sciences (IFAS), University of Florida Gainesville, Florida, 1985.</t>
  </si>
  <si>
    <t>Rockwood, D. L., Carter, D. R., Stricker, J. A., Commercial Tree Crops for Phosphate Mined Lands: Final Report 2001-2005. Publication No. 03-141-225, pp. 123. Florida Institute of Phosphate Research, Gainsville, FL, 2008.</t>
  </si>
  <si>
    <t>Roth, B. E., Jokela, E. J., Martin, T. A., Huber, D. A., White, T. L., Genotype × environment interactions in selected loblolly and slash pine plantations in the Southeastern United States, Forest Ecology and Management, 238, 175-188, 2007.</t>
  </si>
  <si>
    <t>Samuelson, L. J., Influence of Intensive Culture on Leaf Net Photosynthesis and Growth of Sweetgum and Loblolly Pine Seedlings, Forest Science, 44, 308-316, 1998</t>
  </si>
  <si>
    <t>Samuelson, L. J., Johnsen, K., Stokes, T., Production, allocation, and stemwood growth efficiency of Pinus taeda L. stands in response to 6 years of intensive management, Forest Ecology and Management, 192, 59-70, 2004.</t>
  </si>
  <si>
    <t>Samuelson, L. J., Butnor, J., Maier, C., Stokes, T. A., Johnsen, K., Kane, M., Growth and physiology of loblolly pine in response to long-term resource management: defining growth potential in the southern United States, Canadian Journal of Forest Research, 38, 721-732, 2008.</t>
  </si>
  <si>
    <t>Strauss, C. H., Grado, S. C., Blankenhorn, P. R., Bowersox, T. W., Cost parameters affecting multiple rotation SRIC biomass systems, Applied Biochemistry and Biotechnology 24-25, 721-733, 1990a.</t>
  </si>
  <si>
    <t>Strong, T. F. Rotation Length and Repeated Harvesting Influence Populus Coppice Production. NC-350, pp. 4. U.S. Forest Service, North Central Forest Experiment Station, Duluth, Minnesota, 1989.</t>
  </si>
  <si>
    <t>Strong, T. F., Hansen, E. A., Hybrid poplar spacing/productivity relations in short rotation intensive culture plantations, Biomass and Bioenergy, 4, 255-261, 1993.</t>
  </si>
  <si>
    <t>Torreano, S. J., Frederick, D. J., Influence of site condition, fertilization and spacing on short rotation hardwood coppice and seedling yields, Biomass, 16, 183-198, 1988.</t>
  </si>
  <si>
    <t>Van Miegroet, H., Norby, R. J., Tschaplinski, T. J. Nitrogen fertilization strategies in a short-rotation sycamore plantation.  Forest Ecology and Management. pp. 13-24. 1994.</t>
  </si>
  <si>
    <t>Weber, J. C., Stettler, R. F., Heilman, P. E., Genetic variation and productivity of Populus trichocarpa and its hybrids. I. Morphology and phenology of 50 native clones, Canadian Journal of Forest Research, 15, 376-383, 1985.</t>
  </si>
  <si>
    <t>Williams, T. M., Gresham, C. A., Biomass accumulation in rapidly growing loblolly pine and sweetgum, Biomass and Bioenergy, 30, 370-377, 2006.</t>
  </si>
  <si>
    <t>Zalesny, R. S., Hall, R. B., Zalesny, J. A., McMahon, B. G., Berguson, W. E., Stanoz, G. R., Biomass and genotype x environment interactions of Populus energy crops in the Midwestern United States, Bioenergy Research, 2, 106-102, 2009.</t>
  </si>
  <si>
    <t>Zavitkovski, J., Isebrands, J. G., Dawson, D. H. Productivity and utilization potential of short-rotation Populus in the Lake States. In: Thieldges BA, Land Jr. SB, editors Proceedings: Symposium on Eastern Cottonwood and Related Species. pp. 392-401. Louisiana State University, Baton Rouge, Louisiana, 1976.</t>
  </si>
  <si>
    <t xml:space="preserve">Netzer et al  2002, GTR-NC-229 </t>
  </si>
  <si>
    <t>Coyle, D. R., McMillin, J.D., Hall, R.B., Hart, E.R., Cottonwood leaf beetle (Coleoptera:Chrysomelidae) defoliation impact on Populus growth and above-ground volume in a short-rotation woody crop plantation., Agricultural and Forest Entomology, 4, 293-300, 2002.</t>
  </si>
  <si>
    <t>Heilman, P. E., Stettler, R. F., Genetic variation and productivity of Populus trichocarpa and its hybrids. IV. Performance in short-rotation coppice, Canadian Journal of Forest Research, 20, 1257-1264, 1990.</t>
  </si>
  <si>
    <r>
      <t>Ceulemans, R. J.,  Scarascia-Mugnozza,  G. E. ,  Wiard, B. M.,   Braatne, J. H.,  Hinckley, T. M.,  Stettler</t>
    </r>
    <r>
      <rPr>
        <i/>
        <sz val="12"/>
        <rFont val="Arial"/>
        <family val="2"/>
      </rPr>
      <t>, R. F., et al.</t>
    </r>
    <r>
      <rPr>
        <sz val="12"/>
        <rFont val="Arial"/>
        <family val="2"/>
      </rPr>
      <t xml:space="preserve">, Production physiology and morphology of Populus species and their hybrids grown under short rotation. I. Clonal comparisons of 4-year growth and phenology,  </t>
    </r>
    <r>
      <rPr>
        <i/>
        <sz val="12"/>
        <rFont val="Arial"/>
        <family val="2"/>
      </rPr>
      <t xml:space="preserve">Canadian Journal of Forest Research </t>
    </r>
    <r>
      <rPr>
        <sz val="12"/>
        <rFont val="Arial"/>
        <family val="2"/>
      </rPr>
      <t>22,  1937-1948, 1992.</t>
    </r>
  </si>
  <si>
    <t xml:space="preserve">feet x </t>
  </si>
  <si>
    <t>equals</t>
  </si>
  <si>
    <t>meters</t>
  </si>
  <si>
    <t>meters x</t>
  </si>
  <si>
    <t>feet</t>
  </si>
  <si>
    <t>sq feet/acre</t>
  </si>
  <si>
    <t xml:space="preserve">trees/acre </t>
  </si>
  <si>
    <t>trees/ha</t>
  </si>
  <si>
    <t>Sq m/ha</t>
  </si>
  <si>
    <t>trees/ac</t>
  </si>
  <si>
    <t xml:space="preserve">Spacing  in row (feet) </t>
  </si>
  <si>
    <t>Spacing between row (feet)</t>
  </si>
  <si>
    <t xml:space="preserve">Spacing  in row (meters) </t>
  </si>
  <si>
    <t>Spacing between row (meters)</t>
  </si>
  <si>
    <t>sq ft per tree</t>
  </si>
  <si>
    <r>
      <t>Trees per Acre</t>
    </r>
    <r>
      <rPr>
        <b/>
        <vertAlign val="superscript"/>
        <sz val="10"/>
        <color indexed="8"/>
        <rFont val="Gill Sans MT"/>
        <family val="2"/>
        <scheme val="minor"/>
      </rPr>
      <t>5</t>
    </r>
  </si>
  <si>
    <r>
      <t>Trees per Acre</t>
    </r>
    <r>
      <rPr>
        <b/>
        <vertAlign val="superscript"/>
        <sz val="10"/>
        <color indexed="8"/>
        <rFont val="Gill Sans MT"/>
        <family val="2"/>
        <scheme val="minor"/>
      </rPr>
      <t>6</t>
    </r>
  </si>
  <si>
    <t>double row willow</t>
  </si>
  <si>
    <t>color code: green cells are spacing, per tree area units, or tree density units found in publications used in creating the WCYP Database</t>
  </si>
  <si>
    <t xml:space="preserve">yellow cells are calculated densities (trees/hectare) used in the WCYP Database </t>
  </si>
  <si>
    <t>Full Reference</t>
  </si>
  <si>
    <t>Database Brief Reference Descriptions</t>
  </si>
  <si>
    <t xml:space="preserve">MAP - mean annual precipitation value in site worksheet is only for months Mar-October. </t>
  </si>
  <si>
    <t>Value in TM tables</t>
  </si>
  <si>
    <t>verified</t>
  </si>
  <si>
    <t>near</t>
  </si>
  <si>
    <t>annual harvest</t>
  </si>
  <si>
    <t>unverifiable</t>
  </si>
  <si>
    <r>
      <t xml:space="preserve">Growth Curve MAI </t>
    </r>
    <r>
      <rPr>
        <b/>
        <vertAlign val="subscript"/>
        <sz val="10"/>
        <rFont val="Arial"/>
        <family val="2"/>
      </rPr>
      <t>max</t>
    </r>
    <r>
      <rPr>
        <b/>
        <sz val="10"/>
        <rFont val="Arial"/>
        <family val="2"/>
      </rPr>
      <t xml:space="preserve"> assessment</t>
    </r>
  </si>
  <si>
    <t>Yield category (dMg ha-1yr-1)</t>
  </si>
  <si>
    <t>9 -11.5</t>
  </si>
  <si>
    <t>11.6 - 14.5</t>
  </si>
  <si>
    <t xml:space="preserve"> &gt; 15 </t>
  </si>
  <si>
    <t>No soils information in paper</t>
  </si>
  <si>
    <t>Plant year never stated but known to be after 1968 and before 1975 so 1973 was estimated to be the planting year.</t>
  </si>
  <si>
    <t>First results of 4 years of growth were published in 1981, results of 14 yrs growth (7 rotations) reported in 1989.</t>
  </si>
  <si>
    <t>best at age 6, 3rd best by age 10, the Zalesney 2009 papers reports additional years of yield on trials established by Riemenschneider et al.</t>
  </si>
  <si>
    <t>From Sites worksheet</t>
  </si>
  <si>
    <t>Manhattan, KA (Tuttle Creek Dam)</t>
  </si>
  <si>
    <t>Number of Trees per Acre and converted metric equivlents</t>
  </si>
  <si>
    <t xml:space="preserve">Number of Trees per Hectare and per Acre by Various Tree Spacing Combinations, sorted by trees per hectare </t>
  </si>
  <si>
    <r>
      <t>Calc Trees per Hectare</t>
    </r>
    <r>
      <rPr>
        <b/>
        <vertAlign val="superscript"/>
        <sz val="10"/>
        <color indexed="8"/>
        <rFont val="Gill Sans MT"/>
        <family val="2"/>
        <scheme val="minor"/>
      </rPr>
      <t>3</t>
    </r>
  </si>
  <si>
    <t xml:space="preserve">Calc sq m per tree   </t>
  </si>
  <si>
    <t xml:space="preserve"> sq m per tree   </t>
  </si>
  <si>
    <t>Calc sq ft per tree</t>
  </si>
  <si>
    <t>Near exact conversions to metric units</t>
  </si>
  <si>
    <t>Near exact conversions to English units</t>
  </si>
  <si>
    <t>Original spacing by metric units (meters)</t>
  </si>
  <si>
    <r>
      <t>Original spacing by English units (feet)</t>
    </r>
    <r>
      <rPr>
        <b/>
        <vertAlign val="superscript"/>
        <sz val="10"/>
        <color theme="1"/>
        <rFont val="Gill Sans MT"/>
        <family val="2"/>
        <scheme val="minor"/>
      </rPr>
      <t>1</t>
    </r>
  </si>
  <si>
    <r>
      <t>Calc Trees per Acre</t>
    </r>
    <r>
      <rPr>
        <b/>
        <vertAlign val="superscript"/>
        <sz val="10"/>
        <color indexed="8"/>
        <rFont val="Gill Sans MT"/>
        <family val="2"/>
        <scheme val="minor"/>
      </rPr>
      <t>2</t>
    </r>
  </si>
  <si>
    <r>
      <t>Calc  Trees per hectare</t>
    </r>
    <r>
      <rPr>
        <b/>
        <vertAlign val="superscript"/>
        <sz val="10"/>
        <color indexed="8"/>
        <rFont val="Gill Sans MT"/>
        <family val="2"/>
        <scheme val="minor"/>
      </rPr>
      <t>4</t>
    </r>
  </si>
  <si>
    <r>
      <rPr>
        <vertAlign val="superscript"/>
        <sz val="10"/>
        <rFont val="Arial"/>
        <family val="2"/>
      </rPr>
      <t>1</t>
    </r>
    <r>
      <rPr>
        <sz val="10"/>
        <rFont val="Arial"/>
        <family val="2"/>
      </rPr>
      <t xml:space="preserve"> Only spacings acutally found in the literature were captured in English Unites columns</t>
    </r>
  </si>
  <si>
    <r>
      <rPr>
        <vertAlign val="superscript"/>
        <sz val="10"/>
        <color theme="1"/>
        <rFont val="Gill Sans MT"/>
        <family val="2"/>
        <scheme val="minor"/>
      </rPr>
      <t>2</t>
    </r>
    <r>
      <rPr>
        <sz val="10"/>
        <color theme="1"/>
        <rFont val="Gill Sans MT"/>
        <family val="2"/>
        <scheme val="minor"/>
      </rPr>
      <t xml:space="preserve"> Density calculated by dividing sq ft/acre (43560) by sq ft/tree</t>
    </r>
  </si>
  <si>
    <r>
      <rPr>
        <vertAlign val="superscript"/>
        <sz val="10"/>
        <color theme="1"/>
        <rFont val="Gill Sans MT"/>
        <family val="2"/>
        <scheme val="minor"/>
      </rPr>
      <t>3</t>
    </r>
    <r>
      <rPr>
        <sz val="10"/>
        <color theme="1"/>
        <rFont val="Gill Sans MT"/>
        <family val="2"/>
        <scheme val="minor"/>
      </rPr>
      <t xml:space="preserve"> Tree Density calculated by dividing sq m per hectacre (10,000) by sq  m/tree</t>
    </r>
  </si>
  <si>
    <r>
      <rPr>
        <vertAlign val="superscript"/>
        <sz val="10"/>
        <color indexed="8"/>
        <rFont val="Arial"/>
        <family val="2"/>
      </rPr>
      <t>4</t>
    </r>
    <r>
      <rPr>
        <sz val="10"/>
        <color indexed="8"/>
        <rFont val="Arial"/>
        <family val="2"/>
      </rPr>
      <t xml:space="preserve"> The density calculated by multiplying trees per acre  by 2.471 (acres/ha) </t>
    </r>
  </si>
  <si>
    <r>
      <rPr>
        <vertAlign val="superscript"/>
        <sz val="10"/>
        <color indexed="8"/>
        <rFont val="Arial"/>
        <family val="2"/>
      </rPr>
      <t>5</t>
    </r>
    <r>
      <rPr>
        <sz val="10"/>
        <color indexed="8"/>
        <rFont val="Arial"/>
        <family val="2"/>
      </rPr>
      <t xml:space="preserve"> Tree density calculated by dividing 43,560 sq ft/ac by sq ft/tree </t>
    </r>
  </si>
  <si>
    <r>
      <rPr>
        <vertAlign val="superscript"/>
        <sz val="10"/>
        <color indexed="8"/>
        <rFont val="Arial"/>
        <family val="2"/>
      </rPr>
      <t>6</t>
    </r>
    <r>
      <rPr>
        <sz val="10"/>
        <color indexed="8"/>
        <rFont val="Arial"/>
        <family val="2"/>
      </rPr>
      <t xml:space="preserve"> Tree density calculated by multiplying calculated trees per hectare  by 0.4047 (ha/ac)</t>
    </r>
  </si>
  <si>
    <t>Relates to justification for selection</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</si>
</sst>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0"/>
    <numFmt numFmtId="165" formatCode="0.000"/>
    <numFmt numFmtId="166" formatCode="0.0000"/>
  </numFmts>
  <fonts count="77" x14ac:knownFonts="1">
    <font>
      <sz val="10"/>
      <name val="Arial"/>
    </font>
    <font>
      <sz val="10"/>
      <name val="Arial"/>
      <family val="2"/>
    </font>
    <font>
      <b/>
      <i/>
      <sz val="10"/>
      <name val="Arial"/>
      <family val="2"/>
    </font>
    <font>
      <sz val="10"/>
      <name val="Arial"/>
      <family val="2"/>
    </font>
    <font>
      <b/>
      <sz val="10"/>
      <name val="Arial"/>
      <family val="2"/>
    </font>
    <font>
      <b/>
      <vertAlign val="superscript"/>
      <sz val="10"/>
      <name val="Arial"/>
      <family val="2"/>
    </font>
    <font>
      <b/>
      <vertAlign val="subscript"/>
      <sz val="10"/>
      <name val="Arial"/>
      <family val="2"/>
    </font>
    <font>
      <b/>
      <sz val="10"/>
      <color indexed="10"/>
      <name val="Arial"/>
      <family val="2"/>
    </font>
    <font>
      <sz val="10"/>
      <color indexed="10"/>
      <name val="Arial"/>
      <family val="2"/>
    </font>
    <font>
      <b/>
      <sz val="10"/>
      <color indexed="81"/>
      <name val="Tahoma"/>
      <family val="2"/>
    </font>
    <font>
      <sz val="10"/>
      <color indexed="81"/>
      <name val="Tahoma"/>
      <family val="2"/>
    </font>
    <font>
      <b/>
      <sz val="8"/>
      <color indexed="81"/>
      <name val="Tahoma"/>
      <family val="2"/>
    </font>
    <font>
      <sz val="8"/>
      <color indexed="81"/>
      <name val="Tahoma"/>
      <family val="2"/>
    </font>
    <font>
      <i/>
      <sz val="10"/>
      <name val="Arial"/>
      <family val="2"/>
    </font>
    <font>
      <b/>
      <i/>
      <sz val="10"/>
      <color indexed="49"/>
      <name val="Arial"/>
      <family val="2"/>
    </font>
    <font>
      <b/>
      <sz val="10"/>
      <color indexed="62"/>
      <name val="Arial"/>
      <family val="2"/>
    </font>
    <font>
      <b/>
      <sz val="10"/>
      <color indexed="18"/>
      <name val="Arial"/>
      <family val="2"/>
    </font>
    <font>
      <b/>
      <sz val="10"/>
      <color indexed="16"/>
      <name val="Arial"/>
      <family val="2"/>
    </font>
    <font>
      <vertAlign val="superscript"/>
      <sz val="10"/>
      <name val="Arial"/>
      <family val="2"/>
    </font>
    <font>
      <sz val="11"/>
      <color indexed="10"/>
      <name val="Calibri"/>
      <family val="2"/>
    </font>
    <font>
      <b/>
      <sz val="11"/>
      <color indexed="10"/>
      <name val="Calibri"/>
      <family val="2"/>
    </font>
    <font>
      <sz val="8"/>
      <name val="Arial"/>
      <family val="2"/>
    </font>
    <font>
      <i/>
      <sz val="8"/>
      <name val="Arial"/>
      <family val="2"/>
    </font>
    <font>
      <sz val="8"/>
      <color indexed="10"/>
      <name val="Arial"/>
      <family val="2"/>
    </font>
    <font>
      <sz val="8"/>
      <name val="Arial"/>
      <family val="2"/>
    </font>
    <font>
      <sz val="10"/>
      <color indexed="10"/>
      <name val="Arial"/>
      <family val="2"/>
    </font>
    <font>
      <sz val="10"/>
      <name val="Arial"/>
      <family val="2"/>
    </font>
    <font>
      <b/>
      <sz val="10"/>
      <color indexed="10"/>
      <name val="Arial"/>
      <family val="2"/>
    </font>
    <font>
      <sz val="10"/>
      <color indexed="10"/>
      <name val="Arial"/>
      <family val="2"/>
    </font>
    <font>
      <vertAlign val="subscript"/>
      <sz val="10"/>
      <name val="Arial"/>
      <family val="2"/>
    </font>
    <font>
      <sz val="10"/>
      <name val="Arial"/>
      <family val="2"/>
    </font>
    <font>
      <sz val="10"/>
      <color indexed="10"/>
      <name val="Arial"/>
      <family val="2"/>
    </font>
    <font>
      <sz val="10"/>
      <color indexed="12"/>
      <name val="Arial"/>
      <family val="2"/>
    </font>
    <font>
      <i/>
      <sz val="10"/>
      <color indexed="10"/>
      <name val="Arial"/>
      <family val="2"/>
    </font>
    <font>
      <sz val="10"/>
      <name val="Arial"/>
      <family val="2"/>
    </font>
    <font>
      <sz val="9"/>
      <color indexed="81"/>
      <name val="Tahoma"/>
      <family val="2"/>
    </font>
    <font>
      <b/>
      <sz val="9"/>
      <color indexed="81"/>
      <name val="Tahoma"/>
      <family val="2"/>
    </font>
    <font>
      <sz val="10"/>
      <color rgb="FFFF0000"/>
      <name val="Arial"/>
      <family val="2"/>
    </font>
    <font>
      <b/>
      <sz val="10"/>
      <color rgb="FFFF0000"/>
      <name val="Arial"/>
      <family val="2"/>
    </font>
    <font>
      <i/>
      <sz val="10"/>
      <color rgb="FFFF0000"/>
      <name val="Arial"/>
      <family val="2"/>
    </font>
    <font>
      <u/>
      <sz val="10"/>
      <color indexed="12"/>
      <name val="Arial"/>
      <family val="2"/>
    </font>
    <font>
      <sz val="12"/>
      <name val="Times New Roman"/>
      <family val="1"/>
    </font>
    <font>
      <vertAlign val="subscript"/>
      <sz val="12"/>
      <name val="Times New Roman"/>
      <family val="1"/>
    </font>
    <font>
      <b/>
      <sz val="12"/>
      <name val="Times New Roman"/>
      <family val="1"/>
    </font>
    <font>
      <b/>
      <sz val="10"/>
      <color rgb="FF000000"/>
      <name val="Arial"/>
      <family val="2"/>
    </font>
    <font>
      <b/>
      <vertAlign val="subscript"/>
      <sz val="10"/>
      <color rgb="FF000000"/>
      <name val="Arial"/>
      <family val="2"/>
    </font>
    <font>
      <b/>
      <sz val="11"/>
      <name val="Times New Roman"/>
      <family val="1"/>
    </font>
    <font>
      <sz val="11"/>
      <name val="Times New Roman"/>
      <family val="1"/>
    </font>
    <font>
      <vertAlign val="superscript"/>
      <sz val="11"/>
      <name val="Times New Roman"/>
      <family val="1"/>
    </font>
    <font>
      <sz val="11"/>
      <color indexed="8"/>
      <name val="Times New Roman"/>
      <family val="1"/>
    </font>
    <font>
      <vertAlign val="superscript"/>
      <sz val="11"/>
      <color indexed="8"/>
      <name val="Times New Roman"/>
      <family val="1"/>
    </font>
    <font>
      <u/>
      <sz val="11"/>
      <color indexed="12"/>
      <name val="Times New Roman"/>
      <family val="1"/>
    </font>
    <font>
      <sz val="11"/>
      <name val="Arial"/>
      <family val="2"/>
    </font>
    <font>
      <sz val="12"/>
      <name val="Arial"/>
      <family val="2"/>
    </font>
    <font>
      <i/>
      <sz val="12"/>
      <name val="Arial"/>
      <family val="2"/>
    </font>
    <font>
      <b/>
      <sz val="11"/>
      <color theme="1"/>
      <name val="Gill Sans MT"/>
      <family val="2"/>
      <scheme val="minor"/>
    </font>
    <font>
      <b/>
      <sz val="11"/>
      <color indexed="8"/>
      <name val="Arial"/>
      <family val="2"/>
    </font>
    <font>
      <sz val="11"/>
      <color indexed="8"/>
      <name val="Arial"/>
      <family val="2"/>
    </font>
    <font>
      <b/>
      <sz val="10"/>
      <color theme="1"/>
      <name val="Gill Sans MT"/>
      <family val="2"/>
      <scheme val="minor"/>
    </font>
    <font>
      <sz val="10"/>
      <color indexed="8"/>
      <name val="Arial"/>
      <family val="2"/>
    </font>
    <font>
      <sz val="10"/>
      <color theme="1"/>
      <name val="Gill Sans MT"/>
      <family val="2"/>
      <scheme val="minor"/>
    </font>
    <font>
      <b/>
      <sz val="10"/>
      <color indexed="8"/>
      <name val="Arial"/>
      <family val="2"/>
    </font>
    <font>
      <b/>
      <sz val="10"/>
      <color indexed="8"/>
      <name val="Gill Sans MT"/>
      <family val="2"/>
      <scheme val="minor"/>
    </font>
    <font>
      <b/>
      <vertAlign val="superscript"/>
      <sz val="10"/>
      <color indexed="8"/>
      <name val="Gill Sans MT"/>
      <family val="2"/>
      <scheme val="minor"/>
    </font>
    <font>
      <sz val="10"/>
      <color indexed="8"/>
      <name val="Calibri"/>
      <family val="2"/>
    </font>
    <font>
      <sz val="10"/>
      <name val="Gill Sans MT"/>
      <family val="2"/>
      <scheme val="minor"/>
    </font>
    <font>
      <sz val="10"/>
      <color rgb="FFFFFF00"/>
      <name val="Gill Sans MT"/>
      <family val="2"/>
      <scheme val="minor"/>
    </font>
    <font>
      <sz val="10"/>
      <color rgb="FFFF0000"/>
      <name val="Gill Sans MT"/>
      <family val="2"/>
      <scheme val="minor"/>
    </font>
    <font>
      <vertAlign val="superscript"/>
      <sz val="10"/>
      <color theme="1"/>
      <name val="Gill Sans MT"/>
      <family val="2"/>
      <scheme val="minor"/>
    </font>
    <font>
      <vertAlign val="superscript"/>
      <sz val="10"/>
      <color indexed="8"/>
      <name val="Arial"/>
      <family val="2"/>
    </font>
    <font>
      <sz val="10"/>
      <color theme="1"/>
      <name val="Arial"/>
      <family val="2"/>
    </font>
    <font>
      <b/>
      <sz val="9"/>
      <color theme="1"/>
      <name val="Arial"/>
      <family val="2"/>
    </font>
    <font>
      <sz val="9"/>
      <color indexed="8"/>
      <name val="Arial"/>
      <family val="2"/>
    </font>
    <font>
      <b/>
      <sz val="9"/>
      <color indexed="8"/>
      <name val="Arial"/>
      <family val="2"/>
    </font>
    <font>
      <sz val="9"/>
      <color theme="1"/>
      <name val="Arial"/>
      <family val="2"/>
    </font>
    <font>
      <sz val="9"/>
      <name val="Arial"/>
      <family val="2"/>
    </font>
    <font>
      <b/>
      <vertAlign val="superscript"/>
      <sz val="10"/>
      <color theme="1"/>
      <name val="Gill Sans MT"/>
      <family val="2"/>
      <scheme val="minor"/>
    </font>
  </fonts>
  <fills count="22">
    <fill>
      <patternFill patternType="none"/>
    </fill>
    <fill>
      <patternFill patternType="gray125"/>
    </fill>
    <fill>
      <patternFill patternType="solid">
        <fgColor indexed="44"/>
        <bgColor indexed="64"/>
      </patternFill>
    </fill>
    <fill>
      <patternFill patternType="solid">
        <fgColor indexed="47"/>
        <bgColor indexed="64"/>
      </patternFill>
    </fill>
    <fill>
      <patternFill patternType="solid">
        <fgColor indexed="42"/>
        <bgColor indexed="64"/>
      </patternFill>
    </fill>
    <fill>
      <patternFill patternType="solid">
        <fgColor indexed="43"/>
        <bgColor indexed="64"/>
      </patternFill>
    </fill>
    <fill>
      <patternFill patternType="solid">
        <fgColor indexed="27"/>
        <bgColor indexed="64"/>
      </patternFill>
    </fill>
    <fill>
      <patternFill patternType="solid">
        <fgColor indexed="41"/>
        <bgColor indexed="64"/>
      </patternFill>
    </fill>
    <fill>
      <patternFill patternType="solid">
        <fgColor theme="0"/>
        <bgColor indexed="64"/>
      </patternFill>
    </fill>
    <fill>
      <patternFill patternType="solid">
        <fgColor rgb="FF00B0F0"/>
        <bgColor indexed="64"/>
      </patternFill>
    </fill>
    <fill>
      <patternFill patternType="solid">
        <fgColor rgb="FFFF99CC"/>
        <bgColor indexed="64"/>
      </patternFill>
    </fill>
    <fill>
      <patternFill patternType="solid">
        <fgColor rgb="FFFF9900"/>
        <bgColor indexed="64"/>
      </patternFill>
    </fill>
    <fill>
      <patternFill patternType="solid">
        <fgColor rgb="FF00FF00"/>
        <bgColor indexed="64"/>
      </patternFill>
    </fill>
    <fill>
      <patternFill patternType="solid">
        <fgColor rgb="FFFF9933"/>
        <bgColor indexed="64"/>
      </patternFill>
    </fill>
    <fill>
      <patternFill patternType="solid">
        <fgColor rgb="FF00FFFF"/>
        <bgColor indexed="64"/>
      </patternFill>
    </fill>
    <fill>
      <patternFill patternType="solid">
        <fgColor rgb="FF99CCFF"/>
        <bgColor indexed="64"/>
      </patternFill>
    </fill>
    <fill>
      <patternFill patternType="solid">
        <fgColor rgb="FFFFCC99"/>
        <bgColor indexed="64"/>
      </patternFill>
    </fill>
    <fill>
      <patternFill patternType="solid">
        <fgColor rgb="FFCCFFFF"/>
        <bgColor indexed="64"/>
      </patternFill>
    </fill>
    <fill>
      <patternFill patternType="solid">
        <fgColor rgb="FFFFFF99"/>
        <bgColor indexed="64"/>
      </patternFill>
    </fill>
    <fill>
      <patternFill patternType="solid">
        <fgColor rgb="FF9966FF"/>
        <bgColor indexed="64"/>
      </patternFill>
    </fill>
    <fill>
      <patternFill patternType="solid">
        <fgColor rgb="FFFBCD9F"/>
        <bgColor indexed="64"/>
      </patternFill>
    </fill>
    <fill>
      <patternFill patternType="solid">
        <fgColor rgb="FFCCFFCC"/>
        <bgColor indexed="64"/>
      </patternFill>
    </fill>
  </fills>
  <borders count="2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style="medium">
        <color indexed="64"/>
      </top>
      <bottom style="medium">
        <color indexed="64"/>
      </bottom>
      <diagonal/>
    </border>
    <border>
      <left/>
      <right/>
      <top/>
      <bottom style="medium">
        <color indexed="64"/>
      </bottom>
      <diagonal/>
    </border>
    <border>
      <left/>
      <right/>
      <top style="medium">
        <color indexed="64"/>
      </top>
      <bottom/>
      <diagonal/>
    </border>
    <border>
      <left/>
      <right/>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s>
  <cellStyleXfs count="3">
    <xf numFmtId="0" fontId="0" fillId="0" borderId="0"/>
    <xf numFmtId="0" fontId="1" fillId="0" borderId="0"/>
    <xf numFmtId="0" fontId="40" fillId="0" borderId="0" applyNumberFormat="0" applyFill="0" applyBorder="0" applyAlignment="0" applyProtection="0">
      <alignment vertical="top"/>
      <protection locked="0"/>
    </xf>
  </cellStyleXfs>
  <cellXfs count="901">
    <xf numFmtId="0" fontId="0" fillId="0" borderId="0" xfId="0"/>
    <xf numFmtId="0" fontId="3" fillId="0" borderId="1" xfId="0" applyFont="1" applyFill="1" applyBorder="1" applyAlignment="1"/>
    <xf numFmtId="0" fontId="3" fillId="0" borderId="0" xfId="0" applyFont="1" applyFill="1" applyBorder="1" applyAlignment="1"/>
    <xf numFmtId="0" fontId="4" fillId="0" borderId="1" xfId="0" applyFont="1" applyBorder="1" applyAlignment="1">
      <alignment wrapText="1"/>
    </xf>
    <xf numFmtId="2" fontId="4" fillId="0" borderId="1" xfId="0" applyNumberFormat="1" applyFont="1" applyBorder="1" applyAlignment="1">
      <alignment wrapText="1"/>
    </xf>
    <xf numFmtId="0" fontId="4" fillId="0" borderId="1" xfId="0" applyFont="1" applyFill="1" applyBorder="1" applyAlignment="1">
      <alignment wrapText="1"/>
    </xf>
    <xf numFmtId="2" fontId="4" fillId="0" borderId="1" xfId="0" applyNumberFormat="1" applyFont="1" applyFill="1" applyBorder="1" applyAlignment="1">
      <alignment wrapText="1"/>
    </xf>
    <xf numFmtId="0" fontId="4" fillId="0" borderId="0" xfId="0" applyFont="1" applyFill="1" applyBorder="1" applyAlignment="1">
      <alignment wrapText="1"/>
    </xf>
    <xf numFmtId="0" fontId="4" fillId="0" borderId="1" xfId="0" applyFont="1" applyFill="1" applyBorder="1" applyAlignment="1"/>
    <xf numFmtId="0" fontId="4" fillId="0" borderId="0" xfId="0" applyFont="1" applyFill="1" applyBorder="1" applyAlignment="1"/>
    <xf numFmtId="0" fontId="3" fillId="2" borderId="1" xfId="0" applyFont="1" applyFill="1" applyBorder="1" applyAlignment="1"/>
    <xf numFmtId="0" fontId="4" fillId="2" borderId="1" xfId="0" applyFont="1" applyFill="1" applyBorder="1"/>
    <xf numFmtId="0" fontId="2" fillId="2" borderId="1" xfId="0" applyFont="1" applyFill="1" applyBorder="1"/>
    <xf numFmtId="0" fontId="4" fillId="0" borderId="0" xfId="0" applyFont="1" applyFill="1" applyBorder="1"/>
    <xf numFmtId="1" fontId="3" fillId="2" borderId="1" xfId="0" applyNumberFormat="1" applyFont="1" applyFill="1" applyBorder="1" applyAlignment="1"/>
    <xf numFmtId="0" fontId="2" fillId="0" borderId="1" xfId="0" applyFont="1" applyFill="1" applyBorder="1" applyAlignment="1"/>
    <xf numFmtId="1" fontId="4" fillId="0" borderId="1" xfId="0" applyNumberFormat="1" applyFont="1" applyFill="1" applyBorder="1" applyAlignment="1"/>
    <xf numFmtId="2" fontId="4" fillId="0" borderId="1" xfId="0" applyNumberFormat="1" applyFont="1" applyFill="1" applyBorder="1" applyAlignment="1"/>
    <xf numFmtId="0" fontId="4" fillId="0" borderId="1" xfId="0" applyFont="1" applyFill="1" applyBorder="1"/>
    <xf numFmtId="0" fontId="2" fillId="0" borderId="1" xfId="0" applyFont="1" applyFill="1" applyBorder="1"/>
    <xf numFmtId="1" fontId="4" fillId="0" borderId="1" xfId="0" applyNumberFormat="1" applyFont="1" applyFill="1" applyBorder="1"/>
    <xf numFmtId="2" fontId="4" fillId="0" borderId="1" xfId="0" applyNumberFormat="1" applyFont="1" applyFill="1" applyBorder="1"/>
    <xf numFmtId="2" fontId="7" fillId="0" borderId="1" xfId="0" applyNumberFormat="1" applyFont="1" applyFill="1" applyBorder="1"/>
    <xf numFmtId="0" fontId="3" fillId="0" borderId="0" xfId="0" applyFont="1" applyFill="1" applyBorder="1"/>
    <xf numFmtId="0" fontId="4" fillId="3" borderId="1" xfId="0" applyFont="1" applyFill="1" applyBorder="1" applyAlignment="1"/>
    <xf numFmtId="0" fontId="3" fillId="3" borderId="1" xfId="0" applyFont="1" applyFill="1" applyBorder="1" applyAlignment="1"/>
    <xf numFmtId="0" fontId="4" fillId="3" borderId="1" xfId="0" applyFont="1" applyFill="1" applyBorder="1"/>
    <xf numFmtId="0" fontId="2" fillId="3" borderId="1" xfId="0" applyFont="1" applyFill="1" applyBorder="1"/>
    <xf numFmtId="1" fontId="4" fillId="3" borderId="1" xfId="0" applyNumberFormat="1" applyFont="1" applyFill="1" applyBorder="1"/>
    <xf numFmtId="0" fontId="3" fillId="0" borderId="1" xfId="0" applyFont="1" applyFill="1" applyBorder="1"/>
    <xf numFmtId="1" fontId="3" fillId="0" borderId="1" xfId="0" applyNumberFormat="1" applyFont="1" applyFill="1" applyBorder="1"/>
    <xf numFmtId="2" fontId="3" fillId="0" borderId="1" xfId="0" applyNumberFormat="1" applyFont="1" applyFill="1" applyBorder="1"/>
    <xf numFmtId="0" fontId="3" fillId="3" borderId="1" xfId="0" applyFont="1" applyFill="1" applyBorder="1"/>
    <xf numFmtId="0" fontId="4" fillId="0" borderId="1" xfId="0" applyFont="1" applyBorder="1"/>
    <xf numFmtId="0" fontId="3" fillId="0" borderId="0" xfId="0" applyFont="1"/>
    <xf numFmtId="0" fontId="4" fillId="0" borderId="0" xfId="0" applyFont="1" applyFill="1"/>
    <xf numFmtId="0" fontId="4" fillId="0" borderId="1" xfId="0" applyNumberFormat="1" applyFont="1" applyFill="1" applyBorder="1"/>
    <xf numFmtId="164" fontId="4" fillId="0" borderId="1" xfId="0" applyNumberFormat="1" applyFont="1" applyFill="1" applyBorder="1"/>
    <xf numFmtId="0" fontId="4" fillId="7" borderId="1" xfId="0" applyFont="1" applyFill="1" applyBorder="1"/>
    <xf numFmtId="1" fontId="4" fillId="7" borderId="1" xfId="0" quotePrefix="1" applyNumberFormat="1" applyFont="1" applyFill="1" applyBorder="1"/>
    <xf numFmtId="2" fontId="4" fillId="7" borderId="1" xfId="0" applyNumberFormat="1" applyFont="1" applyFill="1" applyBorder="1"/>
    <xf numFmtId="1" fontId="4" fillId="7" borderId="1" xfId="0" applyNumberFormat="1" applyFont="1" applyFill="1" applyBorder="1"/>
    <xf numFmtId="0" fontId="3" fillId="0" borderId="0" xfId="0" applyFont="1" applyFill="1"/>
    <xf numFmtId="0" fontId="3" fillId="7" borderId="1" xfId="0" applyFont="1" applyFill="1" applyBorder="1"/>
    <xf numFmtId="1" fontId="3" fillId="7" borderId="1" xfId="0" applyNumberFormat="1" applyFont="1" applyFill="1" applyBorder="1"/>
    <xf numFmtId="164" fontId="3" fillId="0" borderId="1" xfId="0" applyNumberFormat="1" applyFont="1" applyFill="1" applyBorder="1"/>
    <xf numFmtId="1" fontId="4" fillId="0" borderId="1" xfId="0" applyNumberFormat="1" applyFont="1" applyBorder="1" applyAlignment="1">
      <alignment wrapText="1"/>
    </xf>
    <xf numFmtId="0" fontId="4" fillId="0" borderId="0" xfId="0" applyFont="1" applyFill="1" applyAlignment="1">
      <alignment wrapText="1"/>
    </xf>
    <xf numFmtId="0" fontId="4" fillId="0" borderId="2" xfId="0" applyFont="1" applyBorder="1" applyAlignment="1">
      <alignment wrapText="1"/>
    </xf>
    <xf numFmtId="1" fontId="4" fillId="0" borderId="2" xfId="0" applyNumberFormat="1" applyFont="1" applyBorder="1" applyAlignment="1">
      <alignment wrapText="1"/>
    </xf>
    <xf numFmtId="2" fontId="4" fillId="0" borderId="2" xfId="0" applyNumberFormat="1" applyFont="1" applyBorder="1" applyAlignment="1">
      <alignment wrapText="1"/>
    </xf>
    <xf numFmtId="2" fontId="4" fillId="0" borderId="2" xfId="0" applyNumberFormat="1" applyFont="1" applyFill="1" applyBorder="1" applyAlignment="1">
      <alignment wrapText="1"/>
    </xf>
    <xf numFmtId="0" fontId="4" fillId="0" borderId="2" xfId="0" applyFont="1" applyFill="1" applyBorder="1" applyAlignment="1">
      <alignment wrapText="1"/>
    </xf>
    <xf numFmtId="2" fontId="17" fillId="0" borderId="2" xfId="0" applyNumberFormat="1" applyFont="1" applyFill="1" applyBorder="1" applyAlignment="1">
      <alignment wrapText="1"/>
    </xf>
    <xf numFmtId="0" fontId="4" fillId="0" borderId="3" xfId="0" applyFont="1" applyFill="1" applyBorder="1" applyAlignment="1">
      <alignment wrapText="1"/>
    </xf>
    <xf numFmtId="0" fontId="2" fillId="2" borderId="1" xfId="0" quotePrefix="1" applyFont="1" applyFill="1" applyBorder="1"/>
    <xf numFmtId="0" fontId="0" fillId="2" borderId="1" xfId="0" applyFill="1" applyBorder="1"/>
    <xf numFmtId="0" fontId="3" fillId="2" borderId="1" xfId="0" applyFont="1" applyFill="1" applyBorder="1"/>
    <xf numFmtId="0" fontId="13" fillId="2" borderId="1" xfId="0" applyFont="1" applyFill="1" applyBorder="1"/>
    <xf numFmtId="0" fontId="13" fillId="2" borderId="1" xfId="0" quotePrefix="1" applyFont="1" applyFill="1" applyBorder="1"/>
    <xf numFmtId="1" fontId="13" fillId="2" borderId="1" xfId="0" quotePrefix="1" applyNumberFormat="1" applyFont="1" applyFill="1" applyBorder="1"/>
    <xf numFmtId="0" fontId="0" fillId="0" borderId="0" xfId="0" applyFill="1" applyBorder="1"/>
    <xf numFmtId="1" fontId="4" fillId="2" borderId="1" xfId="0" quotePrefix="1" applyNumberFormat="1" applyFont="1" applyFill="1" applyBorder="1"/>
    <xf numFmtId="16" fontId="13" fillId="2" borderId="1" xfId="0" quotePrefix="1" applyNumberFormat="1" applyFont="1" applyFill="1" applyBorder="1"/>
    <xf numFmtId="16" fontId="2" fillId="2" borderId="1" xfId="0" quotePrefix="1" applyNumberFormat="1" applyFont="1" applyFill="1" applyBorder="1"/>
    <xf numFmtId="0" fontId="0" fillId="0" borderId="1" xfId="0" applyFill="1" applyBorder="1"/>
    <xf numFmtId="0" fontId="13" fillId="0" borderId="1" xfId="0" applyFont="1" applyFill="1" applyBorder="1"/>
    <xf numFmtId="2" fontId="0" fillId="0" borderId="1" xfId="0" applyNumberFormat="1" applyFill="1" applyBorder="1"/>
    <xf numFmtId="1" fontId="0" fillId="0" borderId="1" xfId="0" applyNumberFormat="1" applyFill="1" applyBorder="1"/>
    <xf numFmtId="0" fontId="0" fillId="0" borderId="4" xfId="0" applyFill="1" applyBorder="1"/>
    <xf numFmtId="2" fontId="8" fillId="0" borderId="1" xfId="0" applyNumberFormat="1" applyFont="1" applyFill="1" applyBorder="1"/>
    <xf numFmtId="0" fontId="8" fillId="0" borderId="1" xfId="0" applyFont="1" applyFill="1" applyBorder="1"/>
    <xf numFmtId="1" fontId="3" fillId="2" borderId="1" xfId="0" applyNumberFormat="1" applyFont="1" applyFill="1" applyBorder="1"/>
    <xf numFmtId="0" fontId="4" fillId="0" borderId="4" xfId="0" applyFont="1" applyFill="1" applyBorder="1"/>
    <xf numFmtId="1" fontId="3" fillId="2" borderId="1" xfId="0" quotePrefix="1" applyNumberFormat="1" applyFont="1" applyFill="1" applyBorder="1"/>
    <xf numFmtId="1" fontId="4" fillId="0" borderId="1" xfId="0" quotePrefix="1" applyNumberFormat="1" applyFont="1" applyFill="1" applyBorder="1"/>
    <xf numFmtId="0" fontId="3" fillId="3" borderId="1" xfId="0" applyFont="1" applyFill="1" applyBorder="1" applyAlignment="1">
      <alignment wrapText="1"/>
    </xf>
    <xf numFmtId="0" fontId="0" fillId="3" borderId="1" xfId="0" applyFill="1" applyBorder="1" applyAlignment="1">
      <alignment wrapText="1"/>
    </xf>
    <xf numFmtId="0" fontId="13" fillId="3" borderId="1" xfId="0" applyFont="1" applyFill="1" applyBorder="1" applyAlignment="1">
      <alignment wrapText="1"/>
    </xf>
    <xf numFmtId="0" fontId="0" fillId="3" borderId="1" xfId="0" applyFill="1" applyBorder="1"/>
    <xf numFmtId="0" fontId="0" fillId="3" borderId="1" xfId="0" applyFill="1" applyBorder="1" applyAlignment="1"/>
    <xf numFmtId="0" fontId="0" fillId="0" borderId="1" xfId="0" applyFill="1" applyBorder="1" applyAlignment="1">
      <alignment wrapText="1"/>
    </xf>
    <xf numFmtId="0" fontId="13" fillId="0" borderId="1" xfId="0" applyFont="1" applyFill="1" applyBorder="1" applyAlignment="1">
      <alignment wrapText="1"/>
    </xf>
    <xf numFmtId="0" fontId="13" fillId="3" borderId="1" xfId="0" applyFont="1" applyFill="1" applyBorder="1"/>
    <xf numFmtId="1" fontId="3" fillId="3" borderId="1" xfId="0" applyNumberFormat="1" applyFont="1" applyFill="1" applyBorder="1"/>
    <xf numFmtId="0" fontId="3" fillId="4" borderId="1" xfId="0" applyFont="1" applyFill="1" applyBorder="1" applyAlignment="1"/>
    <xf numFmtId="0" fontId="0" fillId="4" borderId="1" xfId="0" applyFill="1" applyBorder="1"/>
    <xf numFmtId="0" fontId="3" fillId="4" borderId="1" xfId="0" applyFont="1" applyFill="1" applyBorder="1"/>
    <xf numFmtId="0" fontId="0" fillId="5" borderId="1" xfId="0" applyFill="1" applyBorder="1"/>
    <xf numFmtId="0" fontId="3" fillId="5" borderId="1" xfId="0" applyFont="1" applyFill="1" applyBorder="1"/>
    <xf numFmtId="0" fontId="13" fillId="5" borderId="1" xfId="0" applyFont="1" applyFill="1" applyBorder="1"/>
    <xf numFmtId="0" fontId="4" fillId="5" borderId="1" xfId="0" applyFont="1" applyFill="1" applyBorder="1"/>
    <xf numFmtId="1" fontId="4" fillId="5" borderId="1" xfId="0" applyNumberFormat="1" applyFont="1" applyFill="1" applyBorder="1"/>
    <xf numFmtId="1" fontId="3" fillId="5" borderId="1" xfId="0" applyNumberFormat="1" applyFont="1" applyFill="1" applyBorder="1"/>
    <xf numFmtId="0" fontId="7" fillId="0" borderId="1" xfId="0" applyFont="1" applyFill="1" applyBorder="1"/>
    <xf numFmtId="0" fontId="0" fillId="7" borderId="1" xfId="0" applyFill="1" applyBorder="1"/>
    <xf numFmtId="0" fontId="3" fillId="7" borderId="1" xfId="0" applyFont="1" applyFill="1" applyBorder="1" applyAlignment="1"/>
    <xf numFmtId="1" fontId="0" fillId="7" borderId="1" xfId="0" applyNumberFormat="1" applyFill="1" applyBorder="1"/>
    <xf numFmtId="0" fontId="3" fillId="0" borderId="4" xfId="0" applyFont="1" applyFill="1" applyBorder="1"/>
    <xf numFmtId="2" fontId="4" fillId="0" borderId="0" xfId="0" applyNumberFormat="1" applyFont="1" applyFill="1" applyBorder="1"/>
    <xf numFmtId="2" fontId="19" fillId="0" borderId="1" xfId="0" applyNumberFormat="1" applyFont="1" applyFill="1" applyBorder="1"/>
    <xf numFmtId="1" fontId="4" fillId="6" borderId="1" xfId="0" applyNumberFormat="1" applyFont="1" applyFill="1" applyBorder="1"/>
    <xf numFmtId="2" fontId="0" fillId="0" borderId="2" xfId="0" applyNumberFormat="1" applyFill="1" applyBorder="1"/>
    <xf numFmtId="165" fontId="0" fillId="0" borderId="2" xfId="0" applyNumberFormat="1" applyFill="1" applyBorder="1"/>
    <xf numFmtId="0" fontId="0" fillId="0" borderId="0" xfId="0" applyFill="1"/>
    <xf numFmtId="49" fontId="0" fillId="0" borderId="1" xfId="0" applyNumberFormat="1" applyFill="1" applyBorder="1"/>
    <xf numFmtId="0" fontId="0" fillId="0" borderId="0" xfId="0" applyFill="1" applyAlignment="1">
      <alignment wrapText="1"/>
    </xf>
    <xf numFmtId="0" fontId="0" fillId="0" borderId="1" xfId="0" applyBorder="1"/>
    <xf numFmtId="49" fontId="4" fillId="0" borderId="0" xfId="0" applyNumberFormat="1" applyFont="1" applyFill="1" applyAlignment="1">
      <alignment wrapText="1"/>
    </xf>
    <xf numFmtId="0" fontId="0" fillId="0" borderId="0" xfId="0" applyBorder="1"/>
    <xf numFmtId="49" fontId="0" fillId="7" borderId="1" xfId="0" applyNumberFormat="1" applyFill="1" applyBorder="1"/>
    <xf numFmtId="0" fontId="4" fillId="0" borderId="2" xfId="0" applyFont="1" applyFill="1" applyBorder="1"/>
    <xf numFmtId="0" fontId="3" fillId="0" borderId="1" xfId="0" applyFont="1" applyFill="1" applyBorder="1" applyAlignment="1">
      <alignment wrapText="1"/>
    </xf>
    <xf numFmtId="1" fontId="21" fillId="0" borderId="1" xfId="0" applyNumberFormat="1" applyFont="1" applyFill="1" applyBorder="1"/>
    <xf numFmtId="0" fontId="21" fillId="0" borderId="1" xfId="0" applyFont="1" applyFill="1" applyBorder="1"/>
    <xf numFmtId="1" fontId="8" fillId="0" borderId="1" xfId="0" applyNumberFormat="1" applyFont="1" applyFill="1" applyBorder="1"/>
    <xf numFmtId="3" fontId="3" fillId="0" borderId="1" xfId="0" applyNumberFormat="1" applyFont="1" applyFill="1" applyBorder="1"/>
    <xf numFmtId="0" fontId="13" fillId="2" borderId="1" xfId="0" applyFont="1" applyFill="1" applyBorder="1" applyAlignment="1"/>
    <xf numFmtId="0" fontId="3" fillId="0" borderId="0" xfId="0" applyFont="1" applyFill="1" applyBorder="1" applyAlignment="1">
      <alignment wrapText="1"/>
    </xf>
    <xf numFmtId="49" fontId="4" fillId="0" borderId="1" xfId="0" applyNumberFormat="1" applyFont="1" applyFill="1" applyBorder="1"/>
    <xf numFmtId="49" fontId="4" fillId="0" borderId="1" xfId="0" applyNumberFormat="1" applyFont="1" applyFill="1" applyBorder="1" applyAlignment="1">
      <alignment wrapText="1"/>
    </xf>
    <xf numFmtId="49" fontId="0" fillId="2" borderId="1" xfId="0" applyNumberFormat="1" applyFill="1" applyBorder="1"/>
    <xf numFmtId="0" fontId="3" fillId="3" borderId="1" xfId="0" applyNumberFormat="1" applyFont="1" applyFill="1" applyBorder="1" applyAlignment="1"/>
    <xf numFmtId="49" fontId="3" fillId="5" borderId="1" xfId="0" applyNumberFormat="1" applyFont="1" applyFill="1" applyBorder="1"/>
    <xf numFmtId="10" fontId="0" fillId="5" borderId="1" xfId="0" applyNumberFormat="1" applyFill="1" applyBorder="1"/>
    <xf numFmtId="49" fontId="0" fillId="0" borderId="1" xfId="0" applyNumberFormat="1" applyBorder="1"/>
    <xf numFmtId="0" fontId="0" fillId="4" borderId="1" xfId="0" applyFill="1" applyBorder="1" applyAlignment="1"/>
    <xf numFmtId="9" fontId="3" fillId="4" borderId="1" xfId="0" applyNumberFormat="1" applyFont="1" applyFill="1" applyBorder="1" applyAlignment="1"/>
    <xf numFmtId="10" fontId="3" fillId="4" borderId="1" xfId="0" applyNumberFormat="1" applyFont="1" applyFill="1" applyBorder="1" applyAlignment="1"/>
    <xf numFmtId="10" fontId="0" fillId="0" borderId="1" xfId="0" applyNumberFormat="1" applyFill="1" applyBorder="1"/>
    <xf numFmtId="10" fontId="0" fillId="7" borderId="1" xfId="0" applyNumberFormat="1" applyFill="1" applyBorder="1"/>
    <xf numFmtId="0" fontId="0" fillId="7" borderId="1" xfId="0" applyFont="1" applyFill="1" applyBorder="1"/>
    <xf numFmtId="0" fontId="0" fillId="3" borderId="1" xfId="0" applyFont="1" applyFill="1" applyBorder="1"/>
    <xf numFmtId="0" fontId="0" fillId="4" borderId="1" xfId="0" applyFill="1" applyBorder="1" applyAlignment="1">
      <alignment wrapText="1"/>
    </xf>
    <xf numFmtId="0" fontId="3" fillId="4" borderId="1" xfId="0" applyFont="1" applyFill="1" applyBorder="1" applyAlignment="1">
      <alignment wrapText="1"/>
    </xf>
    <xf numFmtId="0" fontId="0" fillId="7" borderId="1" xfId="0" applyFill="1" applyBorder="1" applyAlignment="1"/>
    <xf numFmtId="0" fontId="0" fillId="0" borderId="0" xfId="0" applyFill="1" applyAlignment="1"/>
    <xf numFmtId="3" fontId="4" fillId="0" borderId="1" xfId="0" applyNumberFormat="1" applyFont="1" applyFill="1" applyBorder="1" applyAlignment="1"/>
    <xf numFmtId="2" fontId="4" fillId="0" borderId="0" xfId="0" applyNumberFormat="1" applyFont="1" applyFill="1" applyBorder="1" applyAlignment="1"/>
    <xf numFmtId="1" fontId="3" fillId="2" borderId="1" xfId="0" quotePrefix="1" applyNumberFormat="1" applyFont="1" applyFill="1" applyBorder="1" applyAlignment="1">
      <alignment horizontal="left"/>
    </xf>
    <xf numFmtId="1" fontId="2" fillId="2" borderId="1" xfId="0" quotePrefix="1" applyNumberFormat="1" applyFont="1" applyFill="1" applyBorder="1" applyAlignment="1">
      <alignment horizontal="left"/>
    </xf>
    <xf numFmtId="1" fontId="4" fillId="2" borderId="1" xfId="0" applyNumberFormat="1" applyFont="1" applyFill="1" applyBorder="1" applyAlignment="1">
      <alignment horizontal="left"/>
    </xf>
    <xf numFmtId="1" fontId="4" fillId="2" borderId="1" xfId="0" quotePrefix="1" applyNumberFormat="1" applyFont="1" applyFill="1" applyBorder="1" applyAlignment="1">
      <alignment horizontal="left"/>
    </xf>
    <xf numFmtId="0" fontId="1" fillId="7" borderId="1" xfId="0" applyFont="1" applyFill="1" applyBorder="1"/>
    <xf numFmtId="1" fontId="1" fillId="7" borderId="1" xfId="0" quotePrefix="1" applyNumberFormat="1" applyFont="1" applyFill="1" applyBorder="1"/>
    <xf numFmtId="0" fontId="0" fillId="7" borderId="0" xfId="0" applyFill="1"/>
    <xf numFmtId="0" fontId="0" fillId="0" borderId="2" xfId="0" applyFill="1" applyBorder="1"/>
    <xf numFmtId="1" fontId="4" fillId="0" borderId="2" xfId="0" applyNumberFormat="1" applyFont="1" applyFill="1" applyBorder="1"/>
    <xf numFmtId="0" fontId="3" fillId="5" borderId="0" xfId="0" applyFont="1" applyFill="1" applyBorder="1"/>
    <xf numFmtId="0" fontId="26" fillId="0" borderId="0" xfId="0" applyFont="1" applyFill="1" applyBorder="1"/>
    <xf numFmtId="0" fontId="22" fillId="0" borderId="1" xfId="0" applyFont="1" applyFill="1" applyBorder="1"/>
    <xf numFmtId="2" fontId="23" fillId="0" borderId="1" xfId="0" applyNumberFormat="1" applyFont="1" applyFill="1" applyBorder="1"/>
    <xf numFmtId="0" fontId="3" fillId="0" borderId="1" xfId="0" applyNumberFormat="1" applyFont="1" applyFill="1" applyBorder="1"/>
    <xf numFmtId="0" fontId="3" fillId="3" borderId="0" xfId="0" applyFont="1" applyFill="1" applyBorder="1"/>
    <xf numFmtId="1" fontId="3" fillId="0" borderId="4" xfId="0" applyNumberFormat="1" applyFont="1" applyFill="1" applyBorder="1"/>
    <xf numFmtId="1" fontId="3" fillId="0" borderId="1" xfId="0" applyNumberFormat="1" applyFont="1" applyFill="1" applyBorder="1" applyAlignment="1">
      <alignment wrapText="1"/>
    </xf>
    <xf numFmtId="164" fontId="3" fillId="0" borderId="1" xfId="0" applyNumberFormat="1" applyFont="1" applyFill="1" applyBorder="1" applyAlignment="1">
      <alignment wrapText="1"/>
    </xf>
    <xf numFmtId="2" fontId="3" fillId="0" borderId="1" xfId="0" applyNumberFormat="1" applyFont="1" applyFill="1" applyBorder="1" applyAlignment="1">
      <alignment wrapText="1"/>
    </xf>
    <xf numFmtId="0" fontId="33" fillId="0" borderId="1" xfId="0" applyFont="1" applyFill="1" applyBorder="1"/>
    <xf numFmtId="0" fontId="8" fillId="0" borderId="0" xfId="0" applyFont="1" applyFill="1" applyBorder="1"/>
    <xf numFmtId="1" fontId="3" fillId="3" borderId="1" xfId="0" applyNumberFormat="1" applyFont="1" applyFill="1" applyBorder="1" applyAlignment="1">
      <alignment wrapText="1"/>
    </xf>
    <xf numFmtId="1" fontId="26" fillId="7" borderId="1" xfId="0" applyNumberFormat="1" applyFont="1" applyFill="1" applyBorder="1"/>
    <xf numFmtId="0" fontId="26" fillId="0" borderId="1" xfId="0" applyFont="1" applyFill="1" applyBorder="1"/>
    <xf numFmtId="1" fontId="26" fillId="0" borderId="1" xfId="0" applyNumberFormat="1" applyFont="1" applyFill="1" applyBorder="1"/>
    <xf numFmtId="2" fontId="26" fillId="0" borderId="1" xfId="0" applyNumberFormat="1" applyFont="1" applyFill="1" applyBorder="1"/>
    <xf numFmtId="0" fontId="30" fillId="0" borderId="1" xfId="0" applyFont="1" applyFill="1" applyBorder="1"/>
    <xf numFmtId="0" fontId="34" fillId="0" borderId="1" xfId="0" applyFont="1" applyFill="1" applyBorder="1"/>
    <xf numFmtId="0" fontId="26" fillId="0" borderId="4" xfId="0" applyFont="1" applyFill="1" applyBorder="1"/>
    <xf numFmtId="2" fontId="26" fillId="0" borderId="0" xfId="0" applyNumberFormat="1" applyFont="1" applyFill="1" applyBorder="1"/>
    <xf numFmtId="0" fontId="26" fillId="0" borderId="1" xfId="0" applyNumberFormat="1" applyFont="1" applyFill="1" applyBorder="1"/>
    <xf numFmtId="1" fontId="30" fillId="0" borderId="1" xfId="0" applyNumberFormat="1" applyFont="1" applyFill="1" applyBorder="1"/>
    <xf numFmtId="2" fontId="34" fillId="0" borderId="1" xfId="0" applyNumberFormat="1" applyFont="1" applyFill="1" applyBorder="1"/>
    <xf numFmtId="0" fontId="4" fillId="8" borderId="0" xfId="0" applyFont="1" applyFill="1" applyBorder="1"/>
    <xf numFmtId="0" fontId="3" fillId="8" borderId="0" xfId="0" applyFont="1" applyFill="1" applyBorder="1"/>
    <xf numFmtId="0" fontId="4" fillId="9" borderId="1" xfId="0" applyFont="1" applyFill="1" applyBorder="1"/>
    <xf numFmtId="0" fontId="2" fillId="9" borderId="1" xfId="0" applyFont="1" applyFill="1" applyBorder="1"/>
    <xf numFmtId="1" fontId="2" fillId="9" borderId="1" xfId="0" quotePrefix="1" applyNumberFormat="1" applyFont="1" applyFill="1" applyBorder="1"/>
    <xf numFmtId="1" fontId="4" fillId="9" borderId="1" xfId="0" applyNumberFormat="1" applyFont="1" applyFill="1" applyBorder="1"/>
    <xf numFmtId="0" fontId="4" fillId="9" borderId="0" xfId="0" applyFont="1" applyFill="1" applyBorder="1"/>
    <xf numFmtId="0" fontId="3" fillId="9" borderId="0" xfId="0" applyFont="1" applyFill="1" applyBorder="1"/>
    <xf numFmtId="1" fontId="4" fillId="9" borderId="1" xfId="0" quotePrefix="1" applyNumberFormat="1" applyFont="1" applyFill="1" applyBorder="1"/>
    <xf numFmtId="0" fontId="3" fillId="9" borderId="1" xfId="0" applyFont="1" applyFill="1" applyBorder="1" applyAlignment="1"/>
    <xf numFmtId="0" fontId="13" fillId="9" borderId="1" xfId="0" applyFont="1" applyFill="1" applyBorder="1" applyAlignment="1"/>
    <xf numFmtId="1" fontId="3" fillId="9" borderId="1" xfId="0" applyNumberFormat="1" applyFont="1" applyFill="1" applyBorder="1" applyAlignment="1"/>
    <xf numFmtId="0" fontId="3" fillId="9" borderId="0" xfId="0" applyFont="1" applyFill="1" applyBorder="1" applyAlignment="1"/>
    <xf numFmtId="0" fontId="3" fillId="9" borderId="0" xfId="0" applyFont="1" applyFill="1" applyBorder="1" applyAlignment="1">
      <alignment wrapText="1"/>
    </xf>
    <xf numFmtId="0" fontId="4" fillId="9" borderId="1" xfId="0" applyFont="1" applyFill="1" applyBorder="1" applyAlignment="1"/>
    <xf numFmtId="0" fontId="2" fillId="9" borderId="1" xfId="0" applyFont="1" applyFill="1" applyBorder="1" applyAlignment="1"/>
    <xf numFmtId="1" fontId="4" fillId="9" borderId="1" xfId="0" applyNumberFormat="1" applyFont="1" applyFill="1" applyBorder="1" applyAlignment="1"/>
    <xf numFmtId="0" fontId="4" fillId="9" borderId="0" xfId="0" applyFont="1" applyFill="1" applyBorder="1" applyAlignment="1"/>
    <xf numFmtId="0" fontId="4" fillId="9" borderId="0" xfId="0" applyFont="1" applyFill="1" applyBorder="1" applyAlignment="1">
      <alignment wrapText="1"/>
    </xf>
    <xf numFmtId="0" fontId="4" fillId="11" borderId="1" xfId="0" applyFont="1" applyFill="1" applyBorder="1" applyAlignment="1"/>
    <xf numFmtId="0" fontId="3" fillId="11" borderId="1" xfId="0" applyFont="1" applyFill="1" applyBorder="1"/>
    <xf numFmtId="0" fontId="4" fillId="11" borderId="1" xfId="0" applyFont="1" applyFill="1" applyBorder="1"/>
    <xf numFmtId="0" fontId="3" fillId="11" borderId="1" xfId="0" applyFont="1" applyFill="1" applyBorder="1" applyAlignment="1"/>
    <xf numFmtId="1" fontId="4" fillId="11" borderId="1" xfId="0" applyNumberFormat="1" applyFont="1" applyFill="1" applyBorder="1"/>
    <xf numFmtId="1" fontId="3" fillId="11" borderId="1" xfId="0" applyNumberFormat="1" applyFont="1" applyFill="1" applyBorder="1"/>
    <xf numFmtId="0" fontId="4" fillId="11" borderId="0" xfId="0" applyFont="1" applyFill="1" applyBorder="1" applyAlignment="1">
      <alignment wrapText="1"/>
    </xf>
    <xf numFmtId="0" fontId="4" fillId="11" borderId="1" xfId="0" applyFont="1" applyFill="1" applyBorder="1" applyAlignment="1">
      <alignment wrapText="1"/>
    </xf>
    <xf numFmtId="0" fontId="4" fillId="11" borderId="0" xfId="0" applyFont="1" applyFill="1" applyBorder="1"/>
    <xf numFmtId="0" fontId="2" fillId="11" borderId="1" xfId="0" applyFont="1" applyFill="1" applyBorder="1"/>
    <xf numFmtId="0" fontId="13" fillId="11" borderId="1" xfId="0" applyFont="1" applyFill="1" applyBorder="1"/>
    <xf numFmtId="0" fontId="3" fillId="11" borderId="0" xfId="0" applyFont="1" applyFill="1" applyBorder="1"/>
    <xf numFmtId="0" fontId="3" fillId="12" borderId="0" xfId="0" applyFont="1" applyFill="1" applyBorder="1"/>
    <xf numFmtId="0" fontId="4" fillId="12" borderId="0" xfId="0" applyFont="1" applyFill="1" applyBorder="1" applyAlignment="1"/>
    <xf numFmtId="0" fontId="4" fillId="12" borderId="0" xfId="0" applyFont="1" applyFill="1" applyBorder="1"/>
    <xf numFmtId="1" fontId="3" fillId="13" borderId="1" xfId="0" applyNumberFormat="1" applyFont="1" applyFill="1" applyBorder="1"/>
    <xf numFmtId="0" fontId="3" fillId="13" borderId="0" xfId="0" applyFont="1" applyFill="1" applyBorder="1"/>
    <xf numFmtId="0" fontId="4" fillId="13" borderId="1" xfId="0" applyFont="1" applyFill="1" applyBorder="1"/>
    <xf numFmtId="1" fontId="4" fillId="13" borderId="1" xfId="0" applyNumberFormat="1" applyFont="1" applyFill="1" applyBorder="1"/>
    <xf numFmtId="0" fontId="4" fillId="13" borderId="0" xfId="0" applyFont="1" applyFill="1" applyBorder="1"/>
    <xf numFmtId="0" fontId="4" fillId="14" borderId="1" xfId="0" applyFont="1" applyFill="1" applyBorder="1"/>
    <xf numFmtId="1" fontId="4" fillId="14" borderId="1" xfId="0" applyNumberFormat="1" applyFont="1" applyFill="1" applyBorder="1"/>
    <xf numFmtId="0" fontId="3" fillId="14" borderId="1" xfId="0" applyFont="1" applyFill="1" applyBorder="1"/>
    <xf numFmtId="1" fontId="3" fillId="14" borderId="1" xfId="0" applyNumberFormat="1" applyFont="1" applyFill="1" applyBorder="1"/>
    <xf numFmtId="0" fontId="4" fillId="14" borderId="0" xfId="0" applyFont="1" applyFill="1" applyBorder="1"/>
    <xf numFmtId="0" fontId="3" fillId="14" borderId="0" xfId="0" applyFont="1" applyFill="1" applyBorder="1"/>
    <xf numFmtId="1" fontId="26" fillId="14" borderId="1" xfId="0" applyNumberFormat="1" applyFont="1" applyFill="1" applyBorder="1"/>
    <xf numFmtId="0" fontId="26" fillId="14" borderId="0" xfId="0" applyFont="1" applyFill="1" applyBorder="1"/>
    <xf numFmtId="1" fontId="4" fillId="14" borderId="1" xfId="0" quotePrefix="1" applyNumberFormat="1" applyFont="1" applyFill="1" applyBorder="1"/>
    <xf numFmtId="0" fontId="13" fillId="0" borderId="1" xfId="0" applyFont="1" applyFill="1" applyBorder="1" applyAlignment="1"/>
    <xf numFmtId="0" fontId="4" fillId="0" borderId="0" xfId="0" applyFont="1"/>
    <xf numFmtId="1" fontId="4" fillId="15" borderId="1" xfId="0" quotePrefix="1" applyNumberFormat="1" applyFont="1" applyFill="1" applyBorder="1"/>
    <xf numFmtId="0" fontId="3" fillId="16" borderId="1" xfId="0" applyFont="1" applyFill="1" applyBorder="1"/>
    <xf numFmtId="0" fontId="0" fillId="2" borderId="1" xfId="0" applyFill="1" applyBorder="1" applyAlignment="1">
      <alignment wrapText="1"/>
    </xf>
    <xf numFmtId="0" fontId="0" fillId="5" borderId="1" xfId="0" applyFill="1" applyBorder="1" applyAlignment="1">
      <alignment wrapText="1"/>
    </xf>
    <xf numFmtId="0" fontId="3" fillId="5" borderId="1" xfId="0" applyFont="1" applyFill="1" applyBorder="1" applyAlignment="1">
      <alignment wrapText="1"/>
    </xf>
    <xf numFmtId="0" fontId="0" fillId="7" borderId="1" xfId="0" applyFill="1" applyBorder="1" applyAlignment="1">
      <alignment wrapText="1"/>
    </xf>
    <xf numFmtId="0" fontId="3" fillId="7" borderId="1" xfId="0" applyFont="1" applyFill="1" applyBorder="1" applyAlignment="1">
      <alignment wrapText="1"/>
    </xf>
    <xf numFmtId="0" fontId="4" fillId="8" borderId="1" xfId="0" applyFont="1" applyFill="1" applyBorder="1" applyAlignment="1">
      <alignment wrapText="1"/>
    </xf>
    <xf numFmtId="0" fontId="4" fillId="8" borderId="0" xfId="0" applyFont="1" applyFill="1" applyBorder="1" applyAlignment="1">
      <alignment wrapText="1"/>
    </xf>
    <xf numFmtId="0" fontId="4" fillId="15" borderId="1" xfId="0" applyFont="1" applyFill="1" applyBorder="1"/>
    <xf numFmtId="0" fontId="2" fillId="15" borderId="1" xfId="0" applyFont="1" applyFill="1" applyBorder="1"/>
    <xf numFmtId="1" fontId="4" fillId="15" borderId="1" xfId="0" applyNumberFormat="1" applyFont="1" applyFill="1" applyBorder="1"/>
    <xf numFmtId="0" fontId="3" fillId="15" borderId="1" xfId="0" applyFont="1" applyFill="1" applyBorder="1"/>
    <xf numFmtId="2" fontId="4" fillId="15" borderId="1" xfId="0" applyNumberFormat="1" applyFont="1" applyFill="1" applyBorder="1"/>
    <xf numFmtId="2" fontId="7" fillId="15" borderId="1" xfId="0" applyNumberFormat="1" applyFont="1" applyFill="1" applyBorder="1"/>
    <xf numFmtId="2" fontId="8" fillId="15" borderId="1" xfId="0" applyNumberFormat="1" applyFont="1" applyFill="1" applyBorder="1"/>
    <xf numFmtId="0" fontId="4" fillId="15" borderId="4" xfId="0" applyFont="1" applyFill="1" applyBorder="1"/>
    <xf numFmtId="0" fontId="4" fillId="15" borderId="0" xfId="0" applyFont="1" applyFill="1" applyBorder="1"/>
    <xf numFmtId="0" fontId="3" fillId="16" borderId="1" xfId="0" applyFont="1" applyFill="1" applyBorder="1" applyAlignment="1"/>
    <xf numFmtId="0" fontId="13" fillId="16" borderId="1" xfId="0" applyFont="1" applyFill="1" applyBorder="1"/>
    <xf numFmtId="1" fontId="3" fillId="16" borderId="1" xfId="0" applyNumberFormat="1" applyFont="1" applyFill="1" applyBorder="1"/>
    <xf numFmtId="2" fontId="3" fillId="16" borderId="1" xfId="0" applyNumberFormat="1" applyFont="1" applyFill="1" applyBorder="1"/>
    <xf numFmtId="2" fontId="8" fillId="16" borderId="1" xfId="0" applyNumberFormat="1" applyFont="1" applyFill="1" applyBorder="1"/>
    <xf numFmtId="0" fontId="8" fillId="16" borderId="1" xfId="0" applyFont="1" applyFill="1" applyBorder="1"/>
    <xf numFmtId="1" fontId="3" fillId="16" borderId="4" xfId="0" applyNumberFormat="1" applyFont="1" applyFill="1" applyBorder="1"/>
    <xf numFmtId="0" fontId="3" fillId="16" borderId="0" xfId="0" applyFont="1" applyFill="1" applyBorder="1"/>
    <xf numFmtId="3" fontId="8" fillId="16" borderId="1" xfId="0" applyNumberFormat="1" applyFont="1" applyFill="1" applyBorder="1"/>
    <xf numFmtId="0" fontId="4" fillId="16" borderId="1" xfId="0" applyFont="1" applyFill="1" applyBorder="1"/>
    <xf numFmtId="0" fontId="2" fillId="16" borderId="1" xfId="0" applyFont="1" applyFill="1" applyBorder="1"/>
    <xf numFmtId="1" fontId="4" fillId="16" borderId="1" xfId="0" applyNumberFormat="1" applyFont="1" applyFill="1" applyBorder="1"/>
    <xf numFmtId="0" fontId="0" fillId="16" borderId="1" xfId="0" applyFill="1" applyBorder="1"/>
    <xf numFmtId="2" fontId="4" fillId="16" borderId="1" xfId="0" applyNumberFormat="1" applyFont="1" applyFill="1" applyBorder="1"/>
    <xf numFmtId="0" fontId="4" fillId="16" borderId="0" xfId="0" applyFont="1" applyFill="1" applyBorder="1"/>
    <xf numFmtId="0" fontId="0" fillId="17" borderId="1" xfId="0" applyFill="1" applyBorder="1"/>
    <xf numFmtId="0" fontId="8" fillId="17" borderId="5" xfId="0" applyFont="1" applyFill="1" applyBorder="1"/>
    <xf numFmtId="0" fontId="3" fillId="17" borderId="1" xfId="0" applyFont="1" applyFill="1" applyBorder="1"/>
    <xf numFmtId="0" fontId="4" fillId="17" borderId="1" xfId="0" applyNumberFormat="1" applyFont="1" applyFill="1" applyBorder="1"/>
    <xf numFmtId="0" fontId="4" fillId="17" borderId="1" xfId="0" applyFont="1" applyFill="1" applyBorder="1"/>
    <xf numFmtId="1" fontId="4" fillId="17" borderId="1" xfId="0" applyNumberFormat="1" applyFont="1" applyFill="1" applyBorder="1"/>
    <xf numFmtId="2" fontId="3" fillId="17" borderId="1" xfId="0" applyNumberFormat="1" applyFont="1" applyFill="1" applyBorder="1"/>
    <xf numFmtId="0" fontId="4" fillId="17" borderId="5" xfId="0" applyFont="1" applyFill="1" applyBorder="1"/>
    <xf numFmtId="1" fontId="3" fillId="17" borderId="1" xfId="0" applyNumberFormat="1" applyFont="1" applyFill="1" applyBorder="1"/>
    <xf numFmtId="0" fontId="3" fillId="17" borderId="0" xfId="0" applyFont="1" applyFill="1" applyBorder="1"/>
    <xf numFmtId="0" fontId="8" fillId="17" borderId="1" xfId="0" applyFont="1" applyFill="1" applyBorder="1"/>
    <xf numFmtId="0" fontId="7" fillId="17" borderId="1" xfId="0" applyFont="1" applyFill="1" applyBorder="1"/>
    <xf numFmtId="0" fontId="37" fillId="3" borderId="1" xfId="0" applyFont="1" applyFill="1" applyBorder="1"/>
    <xf numFmtId="0" fontId="37" fillId="2" borderId="1" xfId="0" applyFont="1" applyFill="1" applyBorder="1"/>
    <xf numFmtId="0" fontId="37" fillId="4" borderId="1" xfId="0" applyFont="1" applyFill="1" applyBorder="1"/>
    <xf numFmtId="0" fontId="37" fillId="5" borderId="1" xfId="0" applyFont="1" applyFill="1" applyBorder="1"/>
    <xf numFmtId="0" fontId="37" fillId="7" borderId="1" xfId="0" applyFont="1" applyFill="1" applyBorder="1"/>
    <xf numFmtId="0" fontId="4" fillId="0" borderId="4" xfId="0" applyFont="1" applyFill="1" applyBorder="1" applyAlignment="1">
      <alignment wrapText="1"/>
    </xf>
    <xf numFmtId="0" fontId="3" fillId="18" borderId="1" xfId="0" applyFont="1" applyFill="1" applyBorder="1"/>
    <xf numFmtId="2" fontId="16" fillId="17" borderId="1" xfId="0" applyNumberFormat="1" applyFont="1" applyFill="1" applyBorder="1"/>
    <xf numFmtId="0" fontId="37" fillId="0" borderId="1" xfId="0" applyFont="1" applyFill="1" applyBorder="1"/>
    <xf numFmtId="0" fontId="0" fillId="7" borderId="4" xfId="0" applyFill="1" applyBorder="1"/>
    <xf numFmtId="0" fontId="0" fillId="2" borderId="4" xfId="0" applyFill="1" applyBorder="1"/>
    <xf numFmtId="0" fontId="0" fillId="3" borderId="4" xfId="0" applyFill="1" applyBorder="1"/>
    <xf numFmtId="0" fontId="0" fillId="4" borderId="4" xfId="0" applyFill="1" applyBorder="1"/>
    <xf numFmtId="0" fontId="3" fillId="4" borderId="4" xfId="0" applyFont="1" applyFill="1" applyBorder="1"/>
    <xf numFmtId="0" fontId="3" fillId="5" borderId="4" xfId="0" applyFont="1" applyFill="1" applyBorder="1"/>
    <xf numFmtId="0" fontId="0" fillId="0" borderId="0" xfId="0" applyFill="1" applyBorder="1" applyAlignment="1"/>
    <xf numFmtId="0" fontId="4" fillId="16" borderId="1" xfId="0" applyFont="1" applyFill="1" applyBorder="1" applyAlignment="1"/>
    <xf numFmtId="2" fontId="7" fillId="16" borderId="1" xfId="0" applyNumberFormat="1" applyFont="1" applyFill="1" applyBorder="1"/>
    <xf numFmtId="2" fontId="37" fillId="16" borderId="1" xfId="0" applyNumberFormat="1" applyFont="1" applyFill="1" applyBorder="1"/>
    <xf numFmtId="2" fontId="3" fillId="17" borderId="0" xfId="0" applyNumberFormat="1" applyFont="1" applyFill="1" applyBorder="1"/>
    <xf numFmtId="2" fontId="37" fillId="17" borderId="1" xfId="0" applyNumberFormat="1" applyFont="1" applyFill="1" applyBorder="1"/>
    <xf numFmtId="2" fontId="4" fillId="17" borderId="1" xfId="0" applyNumberFormat="1" applyFont="1" applyFill="1" applyBorder="1"/>
    <xf numFmtId="164" fontId="4" fillId="17" borderId="1" xfId="0" applyNumberFormat="1" applyFont="1" applyFill="1" applyBorder="1"/>
    <xf numFmtId="2" fontId="3" fillId="0" borderId="0" xfId="0" applyNumberFormat="1" applyFont="1" applyFill="1" applyBorder="1" applyAlignment="1"/>
    <xf numFmtId="1" fontId="1" fillId="0" borderId="1" xfId="0" applyNumberFormat="1" applyFont="1" applyFill="1" applyBorder="1"/>
    <xf numFmtId="2" fontId="3" fillId="0" borderId="0" xfId="0" applyNumberFormat="1" applyFont="1" applyFill="1" applyBorder="1"/>
    <xf numFmtId="1" fontId="0" fillId="0" borderId="0" xfId="0" applyNumberFormat="1" applyFill="1"/>
    <xf numFmtId="1" fontId="4" fillId="0" borderId="1" xfId="0" applyNumberFormat="1" applyFont="1" applyFill="1" applyBorder="1" applyAlignment="1">
      <alignment wrapText="1"/>
    </xf>
    <xf numFmtId="1" fontId="4" fillId="0" borderId="2" xfId="0" applyNumberFormat="1" applyFont="1" applyFill="1" applyBorder="1" applyAlignment="1">
      <alignment wrapText="1"/>
    </xf>
    <xf numFmtId="164" fontId="3" fillId="17" borderId="1" xfId="0" applyNumberFormat="1" applyFont="1" applyFill="1" applyBorder="1"/>
    <xf numFmtId="2" fontId="0" fillId="17" borderId="1" xfId="0" applyNumberFormat="1" applyFill="1" applyBorder="1"/>
    <xf numFmtId="165" fontId="0" fillId="17" borderId="1" xfId="0" applyNumberFormat="1" applyFill="1" applyBorder="1"/>
    <xf numFmtId="165" fontId="3" fillId="17" borderId="1" xfId="0" applyNumberFormat="1" applyFont="1" applyFill="1" applyBorder="1"/>
    <xf numFmtId="0" fontId="3" fillId="17" borderId="4" xfId="0" applyFont="1" applyFill="1" applyBorder="1"/>
    <xf numFmtId="0" fontId="1" fillId="0" borderId="0" xfId="0" applyFont="1" applyFill="1" applyBorder="1"/>
    <xf numFmtId="0" fontId="4" fillId="20" borderId="1" xfId="0" applyFont="1" applyFill="1" applyBorder="1" applyAlignment="1"/>
    <xf numFmtId="1" fontId="4" fillId="20" borderId="1" xfId="0" applyNumberFormat="1" applyFont="1" applyFill="1" applyBorder="1"/>
    <xf numFmtId="0" fontId="1" fillId="3" borderId="1" xfId="0" applyFont="1" applyFill="1" applyBorder="1"/>
    <xf numFmtId="0" fontId="13" fillId="16" borderId="1" xfId="0" applyFont="1" applyFill="1" applyBorder="1" applyAlignment="1"/>
    <xf numFmtId="0" fontId="2" fillId="16" borderId="1" xfId="0" applyFont="1" applyFill="1" applyBorder="1" applyAlignment="1"/>
    <xf numFmtId="0" fontId="1" fillId="4" borderId="1" xfId="0" applyFont="1" applyFill="1" applyBorder="1" applyAlignment="1"/>
    <xf numFmtId="0" fontId="1" fillId="4" borderId="1" xfId="0" applyFont="1" applyFill="1" applyBorder="1"/>
    <xf numFmtId="0" fontId="4" fillId="0" borderId="1" xfId="0" quotePrefix="1" applyFont="1" applyFill="1" applyBorder="1" applyAlignment="1">
      <alignment horizontal="left"/>
    </xf>
    <xf numFmtId="0" fontId="1" fillId="0" borderId="1" xfId="0" applyFont="1" applyFill="1" applyBorder="1" applyAlignment="1"/>
    <xf numFmtId="2" fontId="1" fillId="0" borderId="1" xfId="0" applyNumberFormat="1" applyFont="1" applyFill="1" applyBorder="1"/>
    <xf numFmtId="0" fontId="1" fillId="0" borderId="0" xfId="0" applyFont="1" applyFill="1" applyBorder="1" applyAlignment="1"/>
    <xf numFmtId="0" fontId="1" fillId="21" borderId="1" xfId="0" applyFont="1" applyFill="1" applyBorder="1" applyAlignment="1"/>
    <xf numFmtId="0" fontId="1" fillId="4" borderId="1" xfId="0" applyFont="1" applyFill="1" applyBorder="1" applyAlignment="1">
      <alignment wrapText="1"/>
    </xf>
    <xf numFmtId="0" fontId="3" fillId="21" borderId="1" xfId="0" applyFont="1" applyFill="1" applyBorder="1"/>
    <xf numFmtId="0" fontId="37" fillId="21" borderId="1" xfId="0" applyFont="1" applyFill="1" applyBorder="1"/>
    <xf numFmtId="2" fontId="37" fillId="0" borderId="1" xfId="0" applyNumberFormat="1" applyFont="1" applyFill="1" applyBorder="1"/>
    <xf numFmtId="1" fontId="37" fillId="0" borderId="1" xfId="0" applyNumberFormat="1" applyFont="1" applyFill="1" applyBorder="1"/>
    <xf numFmtId="2" fontId="38" fillId="0" borderId="1" xfId="0" applyNumberFormat="1" applyFont="1" applyFill="1" applyBorder="1"/>
    <xf numFmtId="0" fontId="1" fillId="0" borderId="0" xfId="0" applyFont="1"/>
    <xf numFmtId="2" fontId="8" fillId="0" borderId="2" xfId="0" applyNumberFormat="1" applyFont="1" applyFill="1" applyBorder="1"/>
    <xf numFmtId="0" fontId="1" fillId="0" borderId="0" xfId="0" applyFont="1" applyFill="1"/>
    <xf numFmtId="0" fontId="1" fillId="0" borderId="1" xfId="0" applyFont="1" applyFill="1" applyBorder="1"/>
    <xf numFmtId="1" fontId="1" fillId="3" borderId="1" xfId="0" applyNumberFormat="1" applyFont="1" applyFill="1" applyBorder="1"/>
    <xf numFmtId="0" fontId="1" fillId="5" borderId="1" xfId="0" applyFont="1" applyFill="1" applyBorder="1"/>
    <xf numFmtId="0" fontId="1" fillId="14" borderId="1" xfId="0" applyFont="1" applyFill="1" applyBorder="1"/>
    <xf numFmtId="0" fontId="1" fillId="17" borderId="1" xfId="0" applyFont="1" applyFill="1" applyBorder="1"/>
    <xf numFmtId="1" fontId="1" fillId="17" borderId="1" xfId="0" applyNumberFormat="1" applyFont="1" applyFill="1" applyBorder="1"/>
    <xf numFmtId="0" fontId="1" fillId="3" borderId="1" xfId="0" applyFont="1" applyFill="1" applyBorder="1" applyAlignment="1"/>
    <xf numFmtId="0" fontId="8" fillId="0" borderId="4" xfId="0" applyFont="1" applyFill="1" applyBorder="1"/>
    <xf numFmtId="0" fontId="4" fillId="16" borderId="4" xfId="0" applyFont="1" applyFill="1" applyBorder="1"/>
    <xf numFmtId="0" fontId="3" fillId="16" borderId="4" xfId="0" applyFont="1" applyFill="1" applyBorder="1"/>
    <xf numFmtId="0" fontId="3" fillId="0" borderId="4" xfId="0" applyFont="1" applyFill="1" applyBorder="1" applyAlignment="1"/>
    <xf numFmtId="0" fontId="3" fillId="16" borderId="4" xfId="0" applyFont="1" applyFill="1" applyBorder="1" applyAlignment="1"/>
    <xf numFmtId="0" fontId="4" fillId="16" borderId="4" xfId="0" applyFont="1" applyFill="1" applyBorder="1" applyAlignment="1"/>
    <xf numFmtId="0" fontId="21" fillId="0" borderId="4" xfId="0" applyFont="1" applyFill="1" applyBorder="1"/>
    <xf numFmtId="0" fontId="4" fillId="17" borderId="4" xfId="0" applyFont="1" applyFill="1" applyBorder="1"/>
    <xf numFmtId="2" fontId="1" fillId="0" borderId="2" xfId="0" applyNumberFormat="1" applyFont="1" applyFill="1" applyBorder="1"/>
    <xf numFmtId="0" fontId="1" fillId="0" borderId="5" xfId="0" applyFont="1" applyFill="1" applyBorder="1"/>
    <xf numFmtId="2" fontId="0" fillId="0" borderId="0" xfId="0" applyNumberFormat="1" applyFill="1" applyBorder="1"/>
    <xf numFmtId="2" fontId="4" fillId="0" borderId="0" xfId="0" applyNumberFormat="1" applyFont="1" applyFill="1" applyBorder="1" applyAlignment="1">
      <alignment wrapText="1"/>
    </xf>
    <xf numFmtId="2" fontId="1" fillId="0" borderId="0" xfId="0" applyNumberFormat="1" applyFont="1" applyFill="1" applyBorder="1"/>
    <xf numFmtId="2" fontId="3" fillId="0" borderId="0" xfId="0" applyNumberFormat="1" applyFont="1" applyFill="1" applyBorder="1" applyAlignment="1">
      <alignment wrapText="1"/>
    </xf>
    <xf numFmtId="2" fontId="1" fillId="0" borderId="0" xfId="0" applyNumberFormat="1" applyFont="1" applyFill="1" applyBorder="1" applyAlignment="1"/>
    <xf numFmtId="0" fontId="37" fillId="0" borderId="0" xfId="0" applyFont="1" applyFill="1" applyBorder="1"/>
    <xf numFmtId="0" fontId="1" fillId="0" borderId="0" xfId="0" applyFont="1" applyFill="1" applyBorder="1" applyAlignment="1">
      <alignment wrapText="1"/>
    </xf>
    <xf numFmtId="1" fontId="1" fillId="7" borderId="1" xfId="0" applyNumberFormat="1" applyFont="1" applyFill="1" applyBorder="1"/>
    <xf numFmtId="0" fontId="4" fillId="0" borderId="12" xfId="1" applyFont="1" applyBorder="1" applyAlignment="1">
      <alignment horizontal="center"/>
    </xf>
    <xf numFmtId="0" fontId="4" fillId="0" borderId="12" xfId="1" applyFont="1" applyBorder="1" applyAlignment="1">
      <alignment horizontal="left"/>
    </xf>
    <xf numFmtId="0" fontId="4" fillId="0" borderId="0" xfId="1" applyFont="1" applyAlignment="1">
      <alignment horizontal="center"/>
    </xf>
    <xf numFmtId="0" fontId="0" fillId="0" borderId="11" xfId="0" applyBorder="1"/>
    <xf numFmtId="0" fontId="40" fillId="0" borderId="0" xfId="2" applyAlignment="1" applyProtection="1"/>
    <xf numFmtId="0" fontId="1" fillId="14" borderId="0" xfId="0" applyFont="1" applyFill="1" applyBorder="1"/>
    <xf numFmtId="1" fontId="1" fillId="14" borderId="1" xfId="0" quotePrefix="1" applyNumberFormat="1" applyFont="1" applyFill="1" applyBorder="1"/>
    <xf numFmtId="1" fontId="1" fillId="14" borderId="1" xfId="0" applyNumberFormat="1" applyFont="1" applyFill="1" applyBorder="1"/>
    <xf numFmtId="1" fontId="1" fillId="14" borderId="5" xfId="0" applyNumberFormat="1" applyFont="1" applyFill="1" applyBorder="1"/>
    <xf numFmtId="0" fontId="0" fillId="17" borderId="0" xfId="0" applyFill="1" applyBorder="1"/>
    <xf numFmtId="1" fontId="0" fillId="17" borderId="1" xfId="0" applyNumberFormat="1" applyFill="1" applyBorder="1"/>
    <xf numFmtId="1" fontId="1" fillId="6" borderId="1" xfId="0" applyNumberFormat="1" applyFont="1" applyFill="1" applyBorder="1"/>
    <xf numFmtId="1" fontId="1" fillId="14" borderId="2" xfId="0" applyNumberFormat="1" applyFont="1" applyFill="1" applyBorder="1"/>
    <xf numFmtId="1" fontId="1" fillId="6" borderId="5" xfId="0" applyNumberFormat="1" applyFont="1" applyFill="1" applyBorder="1"/>
    <xf numFmtId="0" fontId="1" fillId="0" borderId="2" xfId="0" applyFont="1" applyFill="1" applyBorder="1"/>
    <xf numFmtId="164" fontId="1" fillId="17" borderId="1" xfId="0" applyNumberFormat="1" applyFont="1" applyFill="1" applyBorder="1"/>
    <xf numFmtId="1" fontId="1" fillId="0" borderId="2" xfId="0" applyNumberFormat="1" applyFont="1" applyFill="1" applyBorder="1"/>
    <xf numFmtId="0" fontId="1" fillId="0" borderId="4" xfId="0" applyFont="1" applyFill="1" applyBorder="1"/>
    <xf numFmtId="0" fontId="1" fillId="17" borderId="1" xfId="0" applyNumberFormat="1" applyFont="1" applyFill="1" applyBorder="1"/>
    <xf numFmtId="0" fontId="1" fillId="17" borderId="5" xfId="0" applyFont="1" applyFill="1" applyBorder="1"/>
    <xf numFmtId="2" fontId="1" fillId="17" borderId="1" xfId="0" applyNumberFormat="1" applyFont="1" applyFill="1" applyBorder="1"/>
    <xf numFmtId="0" fontId="1" fillId="17" borderId="4" xfId="0" applyFont="1" applyFill="1" applyBorder="1"/>
    <xf numFmtId="2" fontId="8" fillId="17" borderId="1" xfId="0" applyNumberFormat="1" applyFont="1" applyFill="1" applyBorder="1"/>
    <xf numFmtId="0" fontId="0" fillId="17" borderId="4" xfId="0" applyFill="1" applyBorder="1"/>
    <xf numFmtId="2" fontId="1" fillId="17" borderId="2" xfId="0" applyNumberFormat="1" applyFont="1" applyFill="1" applyBorder="1"/>
    <xf numFmtId="0" fontId="0" fillId="17" borderId="0" xfId="0" applyFill="1"/>
    <xf numFmtId="0" fontId="4" fillId="17" borderId="0" xfId="0" applyFont="1" applyFill="1"/>
    <xf numFmtId="164" fontId="1" fillId="0" borderId="2" xfId="0" applyNumberFormat="1" applyFont="1" applyFill="1" applyBorder="1"/>
    <xf numFmtId="2" fontId="38" fillId="17" borderId="1" xfId="0" applyNumberFormat="1" applyFont="1" applyFill="1" applyBorder="1"/>
    <xf numFmtId="0" fontId="41" fillId="0" borderId="0" xfId="0" applyFont="1" applyAlignment="1">
      <alignment vertical="center"/>
    </xf>
    <xf numFmtId="0" fontId="43" fillId="0" borderId="0" xfId="0" applyFont="1" applyAlignment="1">
      <alignment vertical="center"/>
    </xf>
    <xf numFmtId="3" fontId="37" fillId="0" borderId="1" xfId="0" applyNumberFormat="1" applyFont="1" applyFill="1" applyBorder="1"/>
    <xf numFmtId="0" fontId="1" fillId="2" borderId="1" xfId="0" applyFont="1" applyFill="1" applyBorder="1"/>
    <xf numFmtId="0" fontId="1" fillId="9" borderId="1" xfId="0" applyFont="1" applyFill="1" applyBorder="1"/>
    <xf numFmtId="3" fontId="38" fillId="0" borderId="1" xfId="0" applyNumberFormat="1" applyFont="1" applyFill="1" applyBorder="1"/>
    <xf numFmtId="3" fontId="38" fillId="15" borderId="1" xfId="0" applyNumberFormat="1" applyFont="1" applyFill="1" applyBorder="1"/>
    <xf numFmtId="1" fontId="38" fillId="16" borderId="1" xfId="0" applyNumberFormat="1" applyFont="1" applyFill="1" applyBorder="1"/>
    <xf numFmtId="0" fontId="37" fillId="18" borderId="1" xfId="0" applyFont="1" applyFill="1" applyBorder="1"/>
    <xf numFmtId="2" fontId="0" fillId="0" borderId="0" xfId="0" applyNumberFormat="1"/>
    <xf numFmtId="2" fontId="0" fillId="0" borderId="0" xfId="0" applyNumberFormat="1" applyFill="1"/>
    <xf numFmtId="1" fontId="1" fillId="2" borderId="1" xfId="0" applyNumberFormat="1" applyFont="1" applyFill="1" applyBorder="1"/>
    <xf numFmtId="2" fontId="3" fillId="15" borderId="1" xfId="0" applyNumberFormat="1" applyFont="1" applyFill="1" applyBorder="1"/>
    <xf numFmtId="0" fontId="1" fillId="15" borderId="1" xfId="0" applyFont="1" applyFill="1" applyBorder="1"/>
    <xf numFmtId="1" fontId="1" fillId="15" borderId="1" xfId="0" applyNumberFormat="1" applyFont="1" applyFill="1" applyBorder="1"/>
    <xf numFmtId="2" fontId="1" fillId="15" borderId="1" xfId="0" applyNumberFormat="1" applyFont="1" applyFill="1" applyBorder="1"/>
    <xf numFmtId="2" fontId="4" fillId="10" borderId="0" xfId="0" applyNumberFormat="1" applyFont="1" applyFill="1" applyBorder="1"/>
    <xf numFmtId="2" fontId="3" fillId="19" borderId="0" xfId="0" applyNumberFormat="1" applyFont="1" applyFill="1" applyBorder="1"/>
    <xf numFmtId="2" fontId="4" fillId="19" borderId="0" xfId="0" applyNumberFormat="1" applyFont="1" applyFill="1" applyBorder="1"/>
    <xf numFmtId="1" fontId="1" fillId="9" borderId="1" xfId="0" applyNumberFormat="1" applyFont="1" applyFill="1" applyBorder="1"/>
    <xf numFmtId="0" fontId="1" fillId="9" borderId="0" xfId="0" applyFont="1" applyFill="1" applyBorder="1"/>
    <xf numFmtId="2" fontId="4" fillId="10" borderId="0" xfId="0" applyNumberFormat="1" applyFont="1" applyFill="1" applyBorder="1" applyAlignment="1"/>
    <xf numFmtId="2" fontId="4" fillId="10" borderId="0" xfId="0" applyNumberFormat="1" applyFont="1" applyFill="1" applyBorder="1" applyAlignment="1">
      <alignment wrapText="1"/>
    </xf>
    <xf numFmtId="2" fontId="4" fillId="19" borderId="0" xfId="0" applyNumberFormat="1" applyFont="1" applyFill="1" applyBorder="1" applyAlignment="1">
      <alignment wrapText="1"/>
    </xf>
    <xf numFmtId="2" fontId="3" fillId="10" borderId="0" xfId="0" applyNumberFormat="1" applyFont="1" applyFill="1" applyBorder="1"/>
    <xf numFmtId="2" fontId="1" fillId="19" borderId="0" xfId="0" applyNumberFormat="1" applyFont="1" applyFill="1" applyBorder="1"/>
    <xf numFmtId="0" fontId="1" fillId="16" borderId="1" xfId="0" applyFont="1" applyFill="1" applyBorder="1" applyAlignment="1"/>
    <xf numFmtId="0" fontId="1" fillId="16" borderId="1" xfId="0" applyFont="1" applyFill="1" applyBorder="1"/>
    <xf numFmtId="1" fontId="1" fillId="16" borderId="1" xfId="0" applyNumberFormat="1" applyFont="1" applyFill="1" applyBorder="1"/>
    <xf numFmtId="2" fontId="1" fillId="16" borderId="1" xfId="0" applyNumberFormat="1" applyFont="1" applyFill="1" applyBorder="1"/>
    <xf numFmtId="0" fontId="1" fillId="16" borderId="4" xfId="0" applyFont="1" applyFill="1" applyBorder="1" applyAlignment="1"/>
    <xf numFmtId="0" fontId="39" fillId="17" borderId="1" xfId="0" applyFont="1" applyFill="1" applyBorder="1"/>
    <xf numFmtId="2" fontId="1" fillId="10" borderId="0" xfId="0" applyNumberFormat="1" applyFont="1" applyFill="1" applyBorder="1"/>
    <xf numFmtId="1" fontId="1" fillId="13" borderId="1" xfId="0" applyNumberFormat="1" applyFont="1" applyFill="1" applyBorder="1"/>
    <xf numFmtId="0" fontId="4" fillId="18" borderId="1" xfId="0" applyFont="1" applyFill="1" applyBorder="1"/>
    <xf numFmtId="2" fontId="37" fillId="15" borderId="1" xfId="0" applyNumberFormat="1" applyFont="1" applyFill="1" applyBorder="1"/>
    <xf numFmtId="0" fontId="37" fillId="17" borderId="1" xfId="0" applyFont="1" applyFill="1" applyBorder="1"/>
    <xf numFmtId="2" fontId="8" fillId="18" borderId="1" xfId="0" applyNumberFormat="1" applyFont="1" applyFill="1" applyBorder="1"/>
    <xf numFmtId="0" fontId="1" fillId="12" borderId="0" xfId="0" applyFont="1" applyFill="1" applyBorder="1"/>
    <xf numFmtId="0" fontId="1" fillId="16" borderId="0" xfId="0" applyFont="1" applyFill="1"/>
    <xf numFmtId="2" fontId="0" fillId="16" borderId="1" xfId="0" applyNumberFormat="1" applyFill="1" applyBorder="1"/>
    <xf numFmtId="0" fontId="1" fillId="3" borderId="1" xfId="0" applyFont="1" applyFill="1" applyBorder="1" applyAlignment="1">
      <alignment wrapText="1"/>
    </xf>
    <xf numFmtId="0" fontId="1" fillId="16" borderId="6" xfId="0" applyFont="1" applyFill="1" applyBorder="1"/>
    <xf numFmtId="0" fontId="1" fillId="3" borderId="6" xfId="0" applyFont="1" applyFill="1" applyBorder="1" applyAlignment="1"/>
    <xf numFmtId="2" fontId="3" fillId="16" borderId="1" xfId="0" applyNumberFormat="1" applyFont="1" applyFill="1" applyBorder="1" applyAlignment="1"/>
    <xf numFmtId="1" fontId="0" fillId="0" borderId="5" xfId="0" applyNumberFormat="1" applyFill="1" applyBorder="1"/>
    <xf numFmtId="0" fontId="4" fillId="16" borderId="6" xfId="0" applyFont="1" applyFill="1" applyBorder="1"/>
    <xf numFmtId="0" fontId="7" fillId="16" borderId="1" xfId="0" applyFont="1" applyFill="1" applyBorder="1"/>
    <xf numFmtId="1" fontId="8" fillId="16" borderId="1" xfId="0" applyNumberFormat="1" applyFont="1" applyFill="1" applyBorder="1"/>
    <xf numFmtId="2" fontId="4" fillId="16" borderId="1" xfId="0" applyNumberFormat="1" applyFont="1" applyFill="1" applyBorder="1" applyAlignment="1"/>
    <xf numFmtId="1" fontId="13" fillId="9" borderId="1" xfId="0" quotePrefix="1" applyNumberFormat="1" applyFont="1" applyFill="1" applyBorder="1"/>
    <xf numFmtId="0" fontId="8" fillId="0" borderId="1" xfId="0" applyFont="1" applyFill="1" applyBorder="1" applyAlignment="1">
      <alignment wrapText="1"/>
    </xf>
    <xf numFmtId="0" fontId="37" fillId="0" borderId="1" xfId="0" applyFont="1" applyFill="1" applyBorder="1" applyAlignment="1">
      <alignment wrapText="1"/>
    </xf>
    <xf numFmtId="0" fontId="1" fillId="13" borderId="0" xfId="0" applyFont="1" applyFill="1" applyBorder="1"/>
    <xf numFmtId="164" fontId="37" fillId="17" borderId="1" xfId="0" applyNumberFormat="1" applyFont="1" applyFill="1" applyBorder="1"/>
    <xf numFmtId="2" fontId="38" fillId="0" borderId="0" xfId="0" applyNumberFormat="1" applyFont="1" applyFill="1" applyBorder="1"/>
    <xf numFmtId="0" fontId="39" fillId="0" borderId="1" xfId="0" applyFont="1" applyFill="1" applyBorder="1"/>
    <xf numFmtId="0" fontId="37" fillId="0" borderId="4" xfId="0" applyFont="1" applyFill="1" applyBorder="1" applyAlignment="1"/>
    <xf numFmtId="0" fontId="1" fillId="10" borderId="0" xfId="0" applyFont="1" applyFill="1" applyBorder="1"/>
    <xf numFmtId="0" fontId="4" fillId="10" borderId="0" xfId="0" applyFont="1" applyFill="1" applyBorder="1"/>
    <xf numFmtId="0" fontId="4" fillId="19" borderId="0" xfId="0" applyFont="1" applyFill="1" applyBorder="1"/>
    <xf numFmtId="0" fontId="1" fillId="19" borderId="0" xfId="0" applyFont="1" applyFill="1" applyBorder="1"/>
    <xf numFmtId="0" fontId="4" fillId="16" borderId="0" xfId="0" applyFont="1" applyFill="1" applyBorder="1" applyAlignment="1"/>
    <xf numFmtId="0" fontId="4" fillId="10" borderId="0" xfId="0" applyFont="1" applyFill="1" applyBorder="1" applyAlignment="1"/>
    <xf numFmtId="0" fontId="37" fillId="16" borderId="1" xfId="0" applyFont="1" applyFill="1" applyBorder="1"/>
    <xf numFmtId="3" fontId="37" fillId="16" borderId="1" xfId="0" applyNumberFormat="1" applyFont="1" applyFill="1" applyBorder="1"/>
    <xf numFmtId="0" fontId="1" fillId="16" borderId="0" xfId="0" applyFont="1" applyFill="1" applyBorder="1" applyAlignment="1"/>
    <xf numFmtId="0" fontId="1" fillId="16" borderId="4" xfId="0" applyFont="1" applyFill="1" applyBorder="1"/>
    <xf numFmtId="0" fontId="1" fillId="16" borderId="0" xfId="0" applyFont="1" applyFill="1" applyBorder="1"/>
    <xf numFmtId="0" fontId="3" fillId="16" borderId="0" xfId="0" applyFont="1" applyFill="1" applyBorder="1" applyAlignment="1"/>
    <xf numFmtId="3" fontId="38" fillId="16" borderId="1" xfId="0" applyNumberFormat="1" applyFont="1" applyFill="1" applyBorder="1"/>
    <xf numFmtId="0" fontId="38" fillId="16" borderId="1" xfId="0" applyFont="1" applyFill="1" applyBorder="1"/>
    <xf numFmtId="0" fontId="3" fillId="16" borderId="6" xfId="0" applyFont="1" applyFill="1" applyBorder="1"/>
    <xf numFmtId="0" fontId="3" fillId="16" borderId="1" xfId="0" applyFont="1" applyFill="1" applyBorder="1" applyAlignment="1">
      <alignment wrapText="1"/>
    </xf>
    <xf numFmtId="1" fontId="3" fillId="16" borderId="1" xfId="0" applyNumberFormat="1" applyFont="1" applyFill="1" applyBorder="1" applyAlignment="1"/>
    <xf numFmtId="2" fontId="37" fillId="16" borderId="1" xfId="0" applyNumberFormat="1" applyFont="1" applyFill="1" applyBorder="1" applyAlignment="1"/>
    <xf numFmtId="3" fontId="1" fillId="16" borderId="1" xfId="0" applyNumberFormat="1" applyFont="1" applyFill="1" applyBorder="1" applyAlignment="1"/>
    <xf numFmtId="1" fontId="4" fillId="16" borderId="1" xfId="0" applyNumberFormat="1" applyFont="1" applyFill="1" applyBorder="1" applyAlignment="1"/>
    <xf numFmtId="3" fontId="4" fillId="16" borderId="1" xfId="0" applyNumberFormat="1" applyFont="1" applyFill="1" applyBorder="1" applyAlignment="1"/>
    <xf numFmtId="0" fontId="4" fillId="16" borderId="1" xfId="0" applyFont="1" applyFill="1" applyBorder="1" applyAlignment="1">
      <alignment horizontal="left"/>
    </xf>
    <xf numFmtId="0" fontId="1" fillId="16" borderId="1" xfId="0" applyFont="1" applyFill="1" applyBorder="1" applyAlignment="1">
      <alignment horizontal="left"/>
    </xf>
    <xf numFmtId="1" fontId="1" fillId="16" borderId="1" xfId="0" applyNumberFormat="1" applyFont="1" applyFill="1" applyBorder="1" applyAlignment="1"/>
    <xf numFmtId="2" fontId="1" fillId="16" borderId="1" xfId="0" applyNumberFormat="1" applyFont="1" applyFill="1" applyBorder="1" applyAlignment="1"/>
    <xf numFmtId="1" fontId="4" fillId="13" borderId="1" xfId="0" applyNumberFormat="1" applyFont="1" applyFill="1" applyBorder="1" applyAlignment="1"/>
    <xf numFmtId="0" fontId="1" fillId="18" borderId="1" xfId="0" applyFont="1" applyFill="1" applyBorder="1"/>
    <xf numFmtId="0" fontId="13" fillId="18" borderId="1" xfId="0" applyFont="1" applyFill="1" applyBorder="1"/>
    <xf numFmtId="0" fontId="8" fillId="18" borderId="1" xfId="0" applyFont="1" applyFill="1" applyBorder="1"/>
    <xf numFmtId="2" fontId="1" fillId="18" borderId="1" xfId="0" applyNumberFormat="1" applyFont="1" applyFill="1" applyBorder="1"/>
    <xf numFmtId="1" fontId="1" fillId="18" borderId="1" xfId="0" applyNumberFormat="1" applyFont="1" applyFill="1" applyBorder="1"/>
    <xf numFmtId="0" fontId="1" fillId="18" borderId="4" xfId="0" applyFont="1" applyFill="1" applyBorder="1"/>
    <xf numFmtId="0" fontId="1" fillId="18" borderId="0" xfId="0" applyFont="1" applyFill="1" applyBorder="1"/>
    <xf numFmtId="1" fontId="3" fillId="18" borderId="1" xfId="0" applyNumberFormat="1" applyFont="1" applyFill="1" applyBorder="1"/>
    <xf numFmtId="0" fontId="3" fillId="18" borderId="1" xfId="0" applyFont="1" applyFill="1" applyBorder="1" applyAlignment="1"/>
    <xf numFmtId="3" fontId="37" fillId="18" borderId="1" xfId="0" applyNumberFormat="1" applyFont="1" applyFill="1" applyBorder="1"/>
    <xf numFmtId="2" fontId="3" fillId="18" borderId="1" xfId="0" applyNumberFormat="1" applyFont="1" applyFill="1" applyBorder="1"/>
    <xf numFmtId="0" fontId="3" fillId="18" borderId="4" xfId="0" applyFont="1" applyFill="1" applyBorder="1"/>
    <xf numFmtId="0" fontId="3" fillId="18" borderId="0" xfId="0" applyFont="1" applyFill="1" applyBorder="1"/>
    <xf numFmtId="1" fontId="1" fillId="17" borderId="2" xfId="0" applyNumberFormat="1" applyFont="1" applyFill="1" applyBorder="1"/>
    <xf numFmtId="0" fontId="1" fillId="17" borderId="0" xfId="0" applyFont="1" applyFill="1" applyBorder="1"/>
    <xf numFmtId="0" fontId="4" fillId="0" borderId="4" xfId="0" applyFont="1" applyFill="1" applyBorder="1" applyAlignment="1">
      <alignment wrapText="1"/>
    </xf>
    <xf numFmtId="0" fontId="3" fillId="19" borderId="0" xfId="0" applyFont="1" applyFill="1" applyBorder="1"/>
    <xf numFmtId="0" fontId="4" fillId="19" borderId="0" xfId="0" applyFont="1" applyFill="1" applyBorder="1" applyAlignment="1">
      <alignment wrapText="1"/>
    </xf>
    <xf numFmtId="0" fontId="3" fillId="10" borderId="0" xfId="0" applyFont="1" applyFill="1" applyBorder="1"/>
    <xf numFmtId="0" fontId="4" fillId="10" borderId="0" xfId="0" applyFont="1" applyFill="1" applyBorder="1" applyAlignment="1">
      <alignment wrapText="1"/>
    </xf>
    <xf numFmtId="0" fontId="4" fillId="15" borderId="2" xfId="0" applyFont="1" applyFill="1" applyBorder="1" applyAlignment="1">
      <alignment wrapText="1"/>
    </xf>
    <xf numFmtId="1" fontId="4" fillId="15" borderId="2" xfId="0" applyNumberFormat="1" applyFont="1" applyFill="1" applyBorder="1" applyAlignment="1">
      <alignment wrapText="1"/>
    </xf>
    <xf numFmtId="2" fontId="4" fillId="15" borderId="2" xfId="0" applyNumberFormat="1" applyFont="1" applyFill="1" applyBorder="1" applyAlignment="1">
      <alignment wrapText="1"/>
    </xf>
    <xf numFmtId="2" fontId="17" fillId="15" borderId="2" xfId="0" applyNumberFormat="1" applyFont="1" applyFill="1" applyBorder="1" applyAlignment="1">
      <alignment wrapText="1"/>
    </xf>
    <xf numFmtId="0" fontId="4" fillId="15" borderId="3" xfId="0" applyFont="1" applyFill="1" applyBorder="1" applyAlignment="1">
      <alignment wrapText="1"/>
    </xf>
    <xf numFmtId="0" fontId="4" fillId="15" borderId="4" xfId="0" applyFont="1" applyFill="1" applyBorder="1" applyAlignment="1">
      <alignment wrapText="1"/>
    </xf>
    <xf numFmtId="0" fontId="4" fillId="15" borderId="0" xfId="0" applyFont="1" applyFill="1" applyBorder="1" applyAlignment="1">
      <alignment wrapText="1"/>
    </xf>
    <xf numFmtId="0" fontId="2" fillId="15" borderId="1" xfId="0" quotePrefix="1" applyFont="1" applyFill="1" applyBorder="1"/>
    <xf numFmtId="0" fontId="38" fillId="15" borderId="1" xfId="0" applyFont="1" applyFill="1" applyBorder="1"/>
    <xf numFmtId="1" fontId="4" fillId="15" borderId="4" xfId="0" applyNumberFormat="1" applyFont="1" applyFill="1" applyBorder="1"/>
    <xf numFmtId="1" fontId="3" fillId="15" borderId="1" xfId="0" applyNumberFormat="1" applyFont="1" applyFill="1" applyBorder="1"/>
    <xf numFmtId="0" fontId="0" fillId="15" borderId="1" xfId="0" applyFill="1" applyBorder="1"/>
    <xf numFmtId="0" fontId="13" fillId="15" borderId="1" xfId="0" applyFont="1" applyFill="1" applyBorder="1"/>
    <xf numFmtId="0" fontId="13" fillId="15" borderId="1" xfId="0" quotePrefix="1" applyFont="1" applyFill="1" applyBorder="1"/>
    <xf numFmtId="0" fontId="37" fillId="15" borderId="1" xfId="0" applyFont="1" applyFill="1" applyBorder="1"/>
    <xf numFmtId="0" fontId="3" fillId="15" borderId="4" xfId="0" applyFont="1" applyFill="1" applyBorder="1"/>
    <xf numFmtId="1" fontId="3" fillId="15" borderId="4" xfId="0" applyNumberFormat="1" applyFont="1" applyFill="1" applyBorder="1"/>
    <xf numFmtId="0" fontId="1" fillId="15" borderId="0" xfId="0" applyFont="1" applyFill="1" applyBorder="1"/>
    <xf numFmtId="0" fontId="3" fillId="15" borderId="0" xfId="0" applyFont="1" applyFill="1" applyBorder="1"/>
    <xf numFmtId="16" fontId="13" fillId="15" borderId="1" xfId="0" quotePrefix="1" applyNumberFormat="1" applyFont="1" applyFill="1" applyBorder="1"/>
    <xf numFmtId="1" fontId="3" fillId="15" borderId="1" xfId="0" quotePrefix="1" applyNumberFormat="1" applyFont="1" applyFill="1" applyBorder="1"/>
    <xf numFmtId="16" fontId="2" fillId="15" borderId="1" xfId="0" quotePrefix="1" applyNumberFormat="1" applyFont="1" applyFill="1" applyBorder="1"/>
    <xf numFmtId="1" fontId="13" fillId="15" borderId="1" xfId="0" quotePrefix="1" applyNumberFormat="1" applyFont="1" applyFill="1" applyBorder="1"/>
    <xf numFmtId="1" fontId="3" fillId="15" borderId="1" xfId="0" quotePrefix="1" applyNumberFormat="1" applyFont="1" applyFill="1" applyBorder="1" applyAlignment="1">
      <alignment horizontal="left"/>
    </xf>
    <xf numFmtId="1" fontId="2" fillId="15" borderId="1" xfId="0" quotePrefix="1" applyNumberFormat="1" applyFont="1" applyFill="1" applyBorder="1" applyAlignment="1">
      <alignment horizontal="left"/>
    </xf>
    <xf numFmtId="1" fontId="4" fillId="15" borderId="1" xfId="0" applyNumberFormat="1" applyFont="1" applyFill="1" applyBorder="1" applyAlignment="1">
      <alignment horizontal="left"/>
    </xf>
    <xf numFmtId="1" fontId="4" fillId="15" borderId="1" xfId="0" quotePrefix="1" applyNumberFormat="1" applyFont="1" applyFill="1" applyBorder="1" applyAlignment="1">
      <alignment horizontal="left"/>
    </xf>
    <xf numFmtId="1" fontId="2" fillId="15" borderId="1" xfId="0" quotePrefix="1" applyNumberFormat="1" applyFont="1" applyFill="1" applyBorder="1"/>
    <xf numFmtId="0" fontId="1" fillId="15" borderId="4" xfId="0" applyFont="1" applyFill="1" applyBorder="1"/>
    <xf numFmtId="1" fontId="1" fillId="15" borderId="4" xfId="0" applyNumberFormat="1" applyFont="1" applyFill="1" applyBorder="1"/>
    <xf numFmtId="0" fontId="2" fillId="0" borderId="1" xfId="0" quotePrefix="1" applyFont="1" applyFill="1" applyBorder="1"/>
    <xf numFmtId="1" fontId="2" fillId="0" borderId="1" xfId="0" quotePrefix="1" applyNumberFormat="1" applyFont="1" applyFill="1" applyBorder="1"/>
    <xf numFmtId="0" fontId="38" fillId="0" borderId="1" xfId="0" applyFont="1" applyFill="1" applyBorder="1"/>
    <xf numFmtId="0" fontId="4" fillId="0" borderId="1" xfId="0" quotePrefix="1" applyFont="1" applyFill="1" applyBorder="1"/>
    <xf numFmtId="3" fontId="37" fillId="15" borderId="1" xfId="0" applyNumberFormat="1" applyFont="1" applyFill="1" applyBorder="1"/>
    <xf numFmtId="49" fontId="3" fillId="15" borderId="1" xfId="0" applyNumberFormat="1" applyFont="1" applyFill="1" applyBorder="1"/>
    <xf numFmtId="2" fontId="38" fillId="15" borderId="1" xfId="0" applyNumberFormat="1" applyFont="1" applyFill="1" applyBorder="1"/>
    <xf numFmtId="49" fontId="4" fillId="15" borderId="1" xfId="0" applyNumberFormat="1" applyFont="1" applyFill="1" applyBorder="1"/>
    <xf numFmtId="49" fontId="1" fillId="15" borderId="1" xfId="0" applyNumberFormat="1" applyFont="1" applyFill="1" applyBorder="1"/>
    <xf numFmtId="3" fontId="8" fillId="15" borderId="1" xfId="0" applyNumberFormat="1" applyFont="1" applyFill="1" applyBorder="1"/>
    <xf numFmtId="3" fontId="7" fillId="15" borderId="1" xfId="0" applyNumberFormat="1" applyFont="1" applyFill="1" applyBorder="1"/>
    <xf numFmtId="0" fontId="3" fillId="15" borderId="1" xfId="0" applyFont="1" applyFill="1" applyBorder="1" applyAlignment="1"/>
    <xf numFmtId="0" fontId="13" fillId="15" borderId="1" xfId="0" applyFont="1" applyFill="1" applyBorder="1" applyAlignment="1"/>
    <xf numFmtId="1" fontId="3" fillId="15" borderId="1" xfId="0" applyNumberFormat="1" applyFont="1" applyFill="1" applyBorder="1" applyAlignment="1"/>
    <xf numFmtId="2" fontId="3" fillId="15" borderId="1" xfId="0" applyNumberFormat="1" applyFont="1" applyFill="1" applyBorder="1" applyAlignment="1"/>
    <xf numFmtId="0" fontId="8" fillId="15" borderId="1" xfId="0" applyFont="1" applyFill="1" applyBorder="1" applyAlignment="1"/>
    <xf numFmtId="0" fontId="3" fillId="15" borderId="4" xfId="0" applyFont="1" applyFill="1" applyBorder="1" applyAlignment="1"/>
    <xf numFmtId="0" fontId="3" fillId="15" borderId="0" xfId="0" applyFont="1" applyFill="1" applyBorder="1" applyAlignment="1"/>
    <xf numFmtId="0" fontId="1" fillId="15" borderId="1" xfId="0" applyFont="1" applyFill="1" applyBorder="1" applyAlignment="1"/>
    <xf numFmtId="2" fontId="8" fillId="15" borderId="1" xfId="0" applyNumberFormat="1" applyFont="1" applyFill="1" applyBorder="1" applyAlignment="1"/>
    <xf numFmtId="0" fontId="3" fillId="15" borderId="0" xfId="0" applyFont="1" applyFill="1" applyBorder="1" applyAlignment="1">
      <alignment wrapText="1"/>
    </xf>
    <xf numFmtId="0" fontId="4" fillId="15" borderId="1" xfId="0" applyFont="1" applyFill="1" applyBorder="1" applyAlignment="1"/>
    <xf numFmtId="0" fontId="2" fillId="15" borderId="1" xfId="0" applyFont="1" applyFill="1" applyBorder="1" applyAlignment="1"/>
    <xf numFmtId="1" fontId="4" fillId="15" borderId="1" xfId="0" applyNumberFormat="1" applyFont="1" applyFill="1" applyBorder="1" applyAlignment="1"/>
    <xf numFmtId="2" fontId="4" fillId="15" borderId="1" xfId="0" applyNumberFormat="1" applyFont="1" applyFill="1" applyBorder="1" applyAlignment="1"/>
    <xf numFmtId="2" fontId="7" fillId="15" borderId="1" xfId="0" applyNumberFormat="1" applyFont="1" applyFill="1" applyBorder="1" applyAlignment="1"/>
    <xf numFmtId="0" fontId="7" fillId="15" borderId="1" xfId="0" applyFont="1" applyFill="1" applyBorder="1" applyAlignment="1"/>
    <xf numFmtId="0" fontId="4" fillId="15" borderId="4" xfId="0" applyFont="1" applyFill="1" applyBorder="1" applyAlignment="1"/>
    <xf numFmtId="0" fontId="4" fillId="15" borderId="0" xfId="0" applyFont="1" applyFill="1" applyBorder="1" applyAlignment="1"/>
    <xf numFmtId="0" fontId="37" fillId="16" borderId="1" xfId="0" applyFont="1" applyFill="1" applyBorder="1" applyAlignment="1"/>
    <xf numFmtId="3" fontId="37" fillId="16" borderId="1" xfId="0" applyNumberFormat="1" applyFont="1" applyFill="1" applyBorder="1" applyAlignment="1"/>
    <xf numFmtId="0" fontId="3" fillId="16" borderId="0" xfId="0" applyFont="1" applyFill="1" applyBorder="1" applyAlignment="1">
      <alignment wrapText="1"/>
    </xf>
    <xf numFmtId="2" fontId="8" fillId="16" borderId="1" xfId="0" applyNumberFormat="1" applyFont="1" applyFill="1" applyBorder="1" applyAlignment="1"/>
    <xf numFmtId="2" fontId="7" fillId="16" borderId="1" xfId="0" applyNumberFormat="1" applyFont="1" applyFill="1" applyBorder="1" applyAlignment="1"/>
    <xf numFmtId="0" fontId="38" fillId="16" borderId="1" xfId="0" applyFont="1" applyFill="1" applyBorder="1" applyAlignment="1"/>
    <xf numFmtId="3" fontId="38" fillId="16" borderId="1" xfId="0" applyNumberFormat="1" applyFont="1" applyFill="1" applyBorder="1" applyAlignment="1"/>
    <xf numFmtId="0" fontId="4" fillId="16" borderId="0" xfId="0" applyFont="1" applyFill="1" applyBorder="1" applyAlignment="1">
      <alignment wrapText="1"/>
    </xf>
    <xf numFmtId="0" fontId="13" fillId="16" borderId="1" xfId="0" applyFont="1" applyFill="1" applyBorder="1" applyAlignment="1">
      <alignment wrapText="1"/>
    </xf>
    <xf numFmtId="1" fontId="3" fillId="16" borderId="1" xfId="0" applyNumberFormat="1" applyFont="1" applyFill="1" applyBorder="1" applyAlignment="1">
      <alignment wrapText="1"/>
    </xf>
    <xf numFmtId="2" fontId="3" fillId="16" borderId="1" xfId="0" applyNumberFormat="1" applyFont="1" applyFill="1" applyBorder="1" applyAlignment="1">
      <alignment wrapText="1"/>
    </xf>
    <xf numFmtId="3" fontId="3" fillId="16" borderId="1" xfId="0" applyNumberFormat="1" applyFont="1" applyFill="1" applyBorder="1"/>
    <xf numFmtId="3" fontId="3" fillId="16" borderId="1" xfId="0" applyNumberFormat="1" applyFont="1" applyFill="1" applyBorder="1" applyAlignment="1"/>
    <xf numFmtId="2" fontId="37" fillId="16" borderId="1" xfId="0" applyNumberFormat="1" applyFont="1" applyFill="1" applyBorder="1" applyAlignment="1">
      <alignment wrapText="1"/>
    </xf>
    <xf numFmtId="0" fontId="4" fillId="16" borderId="1" xfId="0" applyFont="1" applyFill="1" applyBorder="1" applyAlignment="1">
      <alignment wrapText="1"/>
    </xf>
    <xf numFmtId="2" fontId="38" fillId="16" borderId="1" xfId="0" applyNumberFormat="1" applyFont="1" applyFill="1" applyBorder="1" applyAlignment="1">
      <alignment wrapText="1"/>
    </xf>
    <xf numFmtId="3" fontId="1" fillId="16" borderId="1" xfId="0" applyNumberFormat="1" applyFont="1" applyFill="1" applyBorder="1"/>
    <xf numFmtId="3" fontId="4" fillId="16" borderId="1" xfId="0" applyNumberFormat="1" applyFont="1" applyFill="1" applyBorder="1"/>
    <xf numFmtId="2" fontId="38" fillId="16" borderId="1" xfId="0" applyNumberFormat="1" applyFont="1" applyFill="1" applyBorder="1"/>
    <xf numFmtId="3" fontId="7" fillId="16" borderId="1" xfId="0" applyNumberFormat="1" applyFont="1" applyFill="1" applyBorder="1"/>
    <xf numFmtId="0" fontId="8" fillId="16" borderId="1" xfId="0" applyFont="1" applyFill="1" applyBorder="1" applyAlignment="1">
      <alignment wrapText="1"/>
    </xf>
    <xf numFmtId="0" fontId="37" fillId="16" borderId="1" xfId="0" applyFont="1" applyFill="1" applyBorder="1" applyAlignment="1">
      <alignment wrapText="1"/>
    </xf>
    <xf numFmtId="0" fontId="7" fillId="16" borderId="1" xfId="0" applyFont="1" applyFill="1" applyBorder="1" applyAlignment="1">
      <alignment wrapText="1"/>
    </xf>
    <xf numFmtId="0" fontId="38" fillId="16" borderId="1" xfId="0" applyFont="1" applyFill="1" applyBorder="1" applyAlignment="1">
      <alignment wrapText="1"/>
    </xf>
    <xf numFmtId="1" fontId="37" fillId="16" borderId="1" xfId="0" applyNumberFormat="1" applyFont="1" applyFill="1" applyBorder="1"/>
    <xf numFmtId="0" fontId="1" fillId="16" borderId="6" xfId="0" applyFont="1" applyFill="1" applyBorder="1" applyAlignment="1"/>
    <xf numFmtId="2" fontId="38" fillId="16" borderId="1" xfId="0" applyNumberFormat="1" applyFont="1" applyFill="1" applyBorder="1" applyAlignment="1"/>
    <xf numFmtId="0" fontId="4" fillId="0" borderId="1" xfId="0" applyFont="1" applyFill="1" applyBorder="1" applyAlignment="1">
      <alignment horizontal="left"/>
    </xf>
    <xf numFmtId="0" fontId="3" fillId="18" borderId="0" xfId="0" applyFont="1" applyFill="1" applyBorder="1" applyAlignment="1"/>
    <xf numFmtId="16" fontId="3" fillId="18" borderId="1" xfId="0" applyNumberFormat="1" applyFont="1" applyFill="1" applyBorder="1"/>
    <xf numFmtId="0" fontId="3" fillId="18" borderId="6" xfId="0" applyFont="1" applyFill="1" applyBorder="1"/>
    <xf numFmtId="0" fontId="2" fillId="18" borderId="1" xfId="0" applyFont="1" applyFill="1" applyBorder="1"/>
    <xf numFmtId="0" fontId="7" fillId="18" borderId="1" xfId="0" applyFont="1" applyFill="1" applyBorder="1"/>
    <xf numFmtId="2" fontId="4" fillId="18" borderId="1" xfId="0" applyNumberFormat="1" applyFont="1" applyFill="1" applyBorder="1"/>
    <xf numFmtId="0" fontId="4" fillId="18" borderId="1" xfId="0" applyFont="1" applyFill="1" applyBorder="1" applyAlignment="1"/>
    <xf numFmtId="2" fontId="7" fillId="18" borderId="1" xfId="0" applyNumberFormat="1" applyFont="1" applyFill="1" applyBorder="1"/>
    <xf numFmtId="0" fontId="38" fillId="18" borderId="1" xfId="0" applyFont="1" applyFill="1" applyBorder="1"/>
    <xf numFmtId="1" fontId="4" fillId="18" borderId="1" xfId="0" applyNumberFormat="1" applyFont="1" applyFill="1" applyBorder="1"/>
    <xf numFmtId="0" fontId="4" fillId="18" borderId="4" xfId="0" applyFont="1" applyFill="1" applyBorder="1"/>
    <xf numFmtId="0" fontId="4" fillId="18" borderId="0" xfId="0" applyFont="1" applyFill="1" applyBorder="1"/>
    <xf numFmtId="3" fontId="3" fillId="18" borderId="1" xfId="0" applyNumberFormat="1" applyFont="1" applyFill="1" applyBorder="1"/>
    <xf numFmtId="2" fontId="37" fillId="18" borderId="1" xfId="0" applyNumberFormat="1" applyFont="1" applyFill="1" applyBorder="1"/>
    <xf numFmtId="3" fontId="4" fillId="18" borderId="1" xfId="0" applyNumberFormat="1" applyFont="1" applyFill="1" applyBorder="1"/>
    <xf numFmtId="1" fontId="4" fillId="18" borderId="5" xfId="0" applyNumberFormat="1" applyFont="1" applyFill="1" applyBorder="1"/>
    <xf numFmtId="1" fontId="3" fillId="18" borderId="5" xfId="0" applyNumberFormat="1" applyFont="1" applyFill="1" applyBorder="1"/>
    <xf numFmtId="164" fontId="4" fillId="18" borderId="1" xfId="0" applyNumberFormat="1" applyFont="1" applyFill="1" applyBorder="1"/>
    <xf numFmtId="164" fontId="3" fillId="18" borderId="1" xfId="0" applyNumberFormat="1" applyFont="1" applyFill="1" applyBorder="1"/>
    <xf numFmtId="0" fontId="1" fillId="18" borderId="6" xfId="0" applyFont="1" applyFill="1" applyBorder="1"/>
    <xf numFmtId="0" fontId="8" fillId="18" borderId="4" xfId="0" applyFont="1" applyFill="1" applyBorder="1"/>
    <xf numFmtId="0" fontId="0" fillId="18" borderId="1" xfId="0" applyFill="1" applyBorder="1"/>
    <xf numFmtId="2" fontId="7" fillId="17" borderId="1" xfId="0" applyNumberFormat="1" applyFont="1" applyFill="1" applyBorder="1"/>
    <xf numFmtId="0" fontId="4" fillId="17" borderId="0" xfId="0" applyFont="1" applyFill="1" applyBorder="1" applyAlignment="1"/>
    <xf numFmtId="0" fontId="4" fillId="17" borderId="0" xfId="0" applyFont="1" applyFill="1" applyBorder="1"/>
    <xf numFmtId="0" fontId="3" fillId="17" borderId="0" xfId="0" applyFont="1" applyFill="1" applyBorder="1" applyAlignment="1"/>
    <xf numFmtId="1" fontId="3" fillId="17" borderId="5" xfId="0" applyNumberFormat="1" applyFont="1" applyFill="1" applyBorder="1"/>
    <xf numFmtId="0" fontId="3" fillId="17" borderId="1" xfId="0" applyNumberFormat="1" applyFont="1" applyFill="1" applyBorder="1"/>
    <xf numFmtId="17" fontId="3" fillId="17" borderId="1" xfId="0" applyNumberFormat="1" applyFont="1" applyFill="1" applyBorder="1"/>
    <xf numFmtId="0" fontId="3" fillId="17" borderId="1" xfId="0" applyFont="1" applyFill="1" applyBorder="1" applyAlignment="1"/>
    <xf numFmtId="0" fontId="13" fillId="17" borderId="1" xfId="0" applyFont="1" applyFill="1" applyBorder="1" applyAlignment="1"/>
    <xf numFmtId="0" fontId="26" fillId="17" borderId="1" xfId="0" applyFont="1" applyFill="1" applyBorder="1"/>
    <xf numFmtId="1" fontId="26" fillId="17" borderId="1" xfId="0" applyNumberFormat="1" applyFont="1" applyFill="1" applyBorder="1"/>
    <xf numFmtId="17" fontId="26" fillId="17" borderId="1" xfId="0" applyNumberFormat="1" applyFont="1" applyFill="1" applyBorder="1"/>
    <xf numFmtId="2" fontId="26" fillId="17" borderId="1" xfId="0" applyNumberFormat="1" applyFont="1" applyFill="1" applyBorder="1"/>
    <xf numFmtId="2" fontId="25" fillId="17" borderId="1" xfId="0" applyNumberFormat="1" applyFont="1" applyFill="1" applyBorder="1"/>
    <xf numFmtId="0" fontId="28" fillId="17" borderId="1" xfId="0" applyFont="1" applyFill="1" applyBorder="1"/>
    <xf numFmtId="0" fontId="30" fillId="17" borderId="1" xfId="0" applyFont="1" applyFill="1" applyBorder="1"/>
    <xf numFmtId="0" fontId="26" fillId="17" borderId="4" xfId="0" applyFont="1" applyFill="1" applyBorder="1"/>
    <xf numFmtId="0" fontId="26" fillId="17" borderId="0" xfId="0" applyFont="1" applyFill="1" applyBorder="1"/>
    <xf numFmtId="0" fontId="26" fillId="17" borderId="1" xfId="0" applyNumberFormat="1" applyFont="1" applyFill="1" applyBorder="1"/>
    <xf numFmtId="2" fontId="19" fillId="17" borderId="1" xfId="0" applyNumberFormat="1" applyFont="1" applyFill="1" applyBorder="1"/>
    <xf numFmtId="2" fontId="20" fillId="17" borderId="1" xfId="0" applyNumberFormat="1" applyFont="1" applyFill="1" applyBorder="1"/>
    <xf numFmtId="2" fontId="30" fillId="17" borderId="1" xfId="0" applyNumberFormat="1" applyFont="1" applyFill="1" applyBorder="1"/>
    <xf numFmtId="0" fontId="27" fillId="17" borderId="1" xfId="0" applyFont="1" applyFill="1" applyBorder="1"/>
    <xf numFmtId="0" fontId="25" fillId="17" borderId="1" xfId="0" applyFont="1" applyFill="1" applyBorder="1"/>
    <xf numFmtId="164" fontId="31" fillId="0" borderId="1" xfId="0" applyNumberFormat="1" applyFont="1" applyFill="1" applyBorder="1" applyAlignment="1"/>
    <xf numFmtId="49" fontId="1" fillId="17" borderId="1" xfId="0" quotePrefix="1" applyNumberFormat="1" applyFont="1" applyFill="1" applyBorder="1"/>
    <xf numFmtId="0" fontId="13" fillId="17" borderId="1" xfId="0" applyFont="1" applyFill="1" applyBorder="1"/>
    <xf numFmtId="0" fontId="2" fillId="17" borderId="1" xfId="0" applyFont="1" applyFill="1" applyBorder="1"/>
    <xf numFmtId="165" fontId="4" fillId="17" borderId="1" xfId="0" applyNumberFormat="1" applyFont="1" applyFill="1" applyBorder="1"/>
    <xf numFmtId="1" fontId="4" fillId="17" borderId="5" xfId="0" applyNumberFormat="1" applyFont="1" applyFill="1" applyBorder="1"/>
    <xf numFmtId="1" fontId="3" fillId="17" borderId="4" xfId="0" applyNumberFormat="1" applyFont="1" applyFill="1" applyBorder="1"/>
    <xf numFmtId="1" fontId="4" fillId="17" borderId="4" xfId="0" applyNumberFormat="1" applyFont="1" applyFill="1" applyBorder="1"/>
    <xf numFmtId="165" fontId="0" fillId="0" borderId="1" xfId="0" applyNumberFormat="1" applyFill="1" applyBorder="1"/>
    <xf numFmtId="1" fontId="1" fillId="17" borderId="1" xfId="0" quotePrefix="1" applyNumberFormat="1" applyFont="1" applyFill="1" applyBorder="1"/>
    <xf numFmtId="0" fontId="8" fillId="17" borderId="0" xfId="0" applyFont="1" applyFill="1" applyBorder="1"/>
    <xf numFmtId="1" fontId="4" fillId="17" borderId="1" xfId="0" quotePrefix="1" applyNumberFormat="1" applyFont="1" applyFill="1" applyBorder="1"/>
    <xf numFmtId="0" fontId="8" fillId="17" borderId="2" xfId="0" applyFont="1" applyFill="1" applyBorder="1"/>
    <xf numFmtId="1" fontId="0" fillId="17" borderId="4" xfId="0" applyNumberFormat="1" applyFill="1" applyBorder="1" applyAlignment="1">
      <alignment wrapText="1"/>
    </xf>
    <xf numFmtId="1" fontId="1" fillId="17" borderId="4" xfId="0" applyNumberFormat="1" applyFont="1" applyFill="1" applyBorder="1"/>
    <xf numFmtId="0" fontId="1" fillId="17" borderId="0" xfId="0" applyFont="1" applyFill="1"/>
    <xf numFmtId="0" fontId="38" fillId="17" borderId="1" xfId="0" applyFont="1" applyFill="1" applyBorder="1"/>
    <xf numFmtId="164" fontId="38" fillId="17" borderId="1" xfId="0" applyNumberFormat="1" applyFont="1" applyFill="1" applyBorder="1"/>
    <xf numFmtId="2" fontId="4" fillId="17" borderId="5" xfId="0" applyNumberFormat="1" applyFont="1" applyFill="1" applyBorder="1"/>
    <xf numFmtId="0" fontId="1" fillId="17" borderId="6" xfId="0" applyFont="1" applyFill="1" applyBorder="1"/>
    <xf numFmtId="1" fontId="4" fillId="17" borderId="2" xfId="0" applyNumberFormat="1" applyFont="1" applyFill="1" applyBorder="1"/>
    <xf numFmtId="0" fontId="1" fillId="17" borderId="2" xfId="0" applyFont="1" applyFill="1" applyBorder="1"/>
    <xf numFmtId="0" fontId="1" fillId="17" borderId="5" xfId="0" applyNumberFormat="1" applyFont="1" applyFill="1" applyBorder="1"/>
    <xf numFmtId="1" fontId="1" fillId="17" borderId="5" xfId="0" applyNumberFormat="1" applyFont="1" applyFill="1" applyBorder="1"/>
    <xf numFmtId="2" fontId="1" fillId="17" borderId="5" xfId="0" applyNumberFormat="1" applyFont="1" applyFill="1" applyBorder="1"/>
    <xf numFmtId="0" fontId="0" fillId="17" borderId="5" xfId="0" applyFill="1" applyBorder="1"/>
    <xf numFmtId="0" fontId="7" fillId="17" borderId="5" xfId="0" applyFont="1" applyFill="1" applyBorder="1"/>
    <xf numFmtId="164" fontId="1" fillId="0" borderId="1" xfId="0" applyNumberFormat="1" applyFont="1" applyFill="1" applyBorder="1"/>
    <xf numFmtId="0" fontId="1" fillId="0" borderId="1" xfId="0" applyNumberFormat="1" applyFont="1" applyFill="1" applyBorder="1"/>
    <xf numFmtId="2" fontId="37" fillId="17" borderId="2" xfId="0" applyNumberFormat="1" applyFont="1" applyFill="1" applyBorder="1"/>
    <xf numFmtId="0" fontId="38" fillId="17" borderId="2" xfId="0" applyFont="1" applyFill="1" applyBorder="1"/>
    <xf numFmtId="0" fontId="1" fillId="17" borderId="3" xfId="0" applyFont="1" applyFill="1" applyBorder="1"/>
    <xf numFmtId="2" fontId="8" fillId="17" borderId="5" xfId="0" applyNumberFormat="1" applyFont="1" applyFill="1" applyBorder="1"/>
    <xf numFmtId="164" fontId="1" fillId="17" borderId="5" xfId="0" applyNumberFormat="1" applyFont="1" applyFill="1" applyBorder="1"/>
    <xf numFmtId="1" fontId="1" fillId="17" borderId="6" xfId="0" applyNumberFormat="1" applyFont="1" applyFill="1" applyBorder="1"/>
    <xf numFmtId="0" fontId="1" fillId="17" borderId="9" xfId="0" applyFont="1" applyFill="1" applyBorder="1"/>
    <xf numFmtId="2" fontId="15" fillId="17" borderId="1" xfId="0" applyNumberFormat="1" applyFont="1" applyFill="1" applyBorder="1"/>
    <xf numFmtId="165" fontId="13" fillId="0" borderId="0" xfId="0" applyNumberFormat="1" applyFont="1" applyFill="1"/>
    <xf numFmtId="165" fontId="1" fillId="0" borderId="0" xfId="0" applyNumberFormat="1" applyFont="1" applyFill="1"/>
    <xf numFmtId="165" fontId="2" fillId="0" borderId="0" xfId="0" applyNumberFormat="1" applyFont="1" applyFill="1"/>
    <xf numFmtId="165" fontId="14" fillId="0" borderId="1" xfId="0" applyNumberFormat="1" applyFont="1" applyFill="1" applyBorder="1"/>
    <xf numFmtId="165" fontId="13" fillId="0" borderId="1" xfId="0" applyNumberFormat="1" applyFont="1" applyFill="1" applyBorder="1"/>
    <xf numFmtId="165" fontId="1" fillId="0" borderId="1" xfId="0" applyNumberFormat="1" applyFont="1" applyFill="1" applyBorder="1"/>
    <xf numFmtId="165" fontId="2" fillId="0" borderId="1" xfId="0" applyNumberFormat="1" applyFont="1" applyFill="1" applyBorder="1"/>
    <xf numFmtId="16" fontId="13" fillId="0" borderId="1" xfId="0" quotePrefix="1" applyNumberFormat="1" applyFont="1" applyFill="1" applyBorder="1"/>
    <xf numFmtId="1" fontId="13" fillId="0" borderId="1" xfId="0" quotePrefix="1" applyNumberFormat="1" applyFont="1" applyFill="1" applyBorder="1"/>
    <xf numFmtId="0" fontId="1" fillId="0" borderId="0" xfId="0" applyFont="1" applyAlignment="1">
      <alignment wrapText="1"/>
    </xf>
    <xf numFmtId="0" fontId="1" fillId="17" borderId="1" xfId="0" applyFont="1" applyFill="1" applyBorder="1" applyAlignment="1">
      <alignment wrapText="1"/>
    </xf>
    <xf numFmtId="0" fontId="1" fillId="17" borderId="0" xfId="0" applyFont="1" applyFill="1" applyBorder="1" applyAlignment="1">
      <alignment wrapText="1"/>
    </xf>
    <xf numFmtId="0" fontId="0" fillId="0" borderId="0" xfId="0" applyAlignment="1">
      <alignment wrapText="1"/>
    </xf>
    <xf numFmtId="0" fontId="3" fillId="15" borderId="1" xfId="0" applyFont="1" applyFill="1" applyBorder="1" applyAlignment="1">
      <alignment wrapText="1"/>
    </xf>
    <xf numFmtId="0" fontId="1" fillId="15" borderId="1" xfId="0" applyFont="1" applyFill="1" applyBorder="1" applyAlignment="1">
      <alignment wrapText="1"/>
    </xf>
    <xf numFmtId="0" fontId="4" fillId="0" borderId="0" xfId="0" applyFont="1" applyBorder="1" applyAlignment="1">
      <alignment wrapText="1"/>
    </xf>
    <xf numFmtId="1" fontId="1" fillId="0" borderId="1" xfId="0" applyNumberFormat="1" applyFont="1" applyBorder="1" applyAlignment="1">
      <alignment wrapText="1"/>
    </xf>
    <xf numFmtId="0" fontId="0" fillId="18" borderId="1" xfId="0" applyFill="1" applyBorder="1" applyAlignment="1">
      <alignment wrapText="1"/>
    </xf>
    <xf numFmtId="0" fontId="1" fillId="0" borderId="0" xfId="0" applyFont="1" applyFill="1" applyAlignment="1">
      <alignment wrapText="1"/>
    </xf>
    <xf numFmtId="0" fontId="0" fillId="16" borderId="1" xfId="0" applyFill="1" applyBorder="1" applyAlignment="1">
      <alignment wrapText="1"/>
    </xf>
    <xf numFmtId="0" fontId="4" fillId="0" borderId="2" xfId="0" applyFont="1" applyBorder="1" applyAlignment="1"/>
    <xf numFmtId="0" fontId="1" fillId="17" borderId="5" xfId="0" applyFont="1" applyFill="1" applyBorder="1" applyAlignment="1">
      <alignment wrapText="1"/>
    </xf>
    <xf numFmtId="0" fontId="1" fillId="0" borderId="0" xfId="0" applyNumberFormat="1" applyFont="1" applyFill="1" applyBorder="1"/>
    <xf numFmtId="165" fontId="1" fillId="17" borderId="1" xfId="0" applyNumberFormat="1" applyFont="1" applyFill="1" applyBorder="1"/>
    <xf numFmtId="0" fontId="1" fillId="16" borderId="1" xfId="0" applyFont="1" applyFill="1" applyBorder="1" applyAlignment="1">
      <alignment wrapText="1"/>
    </xf>
    <xf numFmtId="166" fontId="3" fillId="15" borderId="1" xfId="0" applyNumberFormat="1" applyFont="1" applyFill="1" applyBorder="1"/>
    <xf numFmtId="164" fontId="4" fillId="19" borderId="1" xfId="0" applyNumberFormat="1" applyFont="1" applyFill="1" applyBorder="1"/>
    <xf numFmtId="0" fontId="47" fillId="0" borderId="0" xfId="0" applyFont="1"/>
    <xf numFmtId="0" fontId="46" fillId="0" borderId="0" xfId="1" applyFont="1"/>
    <xf numFmtId="0" fontId="47" fillId="0" borderId="0" xfId="1" applyFont="1"/>
    <xf numFmtId="0" fontId="46" fillId="0" borderId="10" xfId="1" applyFont="1" applyBorder="1" applyAlignment="1">
      <alignment horizontal="center"/>
    </xf>
    <xf numFmtId="0" fontId="46" fillId="0" borderId="10" xfId="1" applyFont="1" applyBorder="1" applyAlignment="1">
      <alignment horizontal="left"/>
    </xf>
    <xf numFmtId="166" fontId="47" fillId="0" borderId="0" xfId="1" applyNumberFormat="1" applyFont="1" applyAlignment="1">
      <alignment horizontal="center"/>
    </xf>
    <xf numFmtId="166" fontId="47" fillId="0" borderId="0" xfId="0" applyNumberFormat="1" applyFont="1" applyAlignment="1">
      <alignment horizontal="center"/>
    </xf>
    <xf numFmtId="1" fontId="47" fillId="0" borderId="0" xfId="1" applyNumberFormat="1" applyFont="1" applyAlignment="1">
      <alignment horizontal="center"/>
    </xf>
    <xf numFmtId="0" fontId="48" fillId="0" borderId="0" xfId="1" applyFont="1" applyBorder="1" applyAlignment="1">
      <alignment wrapText="1"/>
    </xf>
    <xf numFmtId="0" fontId="47" fillId="0" borderId="0" xfId="1" applyFont="1" applyBorder="1" applyAlignment="1">
      <alignment wrapText="1"/>
    </xf>
    <xf numFmtId="0" fontId="46" fillId="0" borderId="11" xfId="0" applyFont="1" applyBorder="1" applyAlignment="1">
      <alignment horizontal="left"/>
    </xf>
    <xf numFmtId="0" fontId="46" fillId="0" borderId="0" xfId="0" applyFont="1" applyAlignment="1">
      <alignment horizontal="left"/>
    </xf>
    <xf numFmtId="0" fontId="46" fillId="0" borderId="11" xfId="0" applyFont="1" applyBorder="1" applyAlignment="1">
      <alignment horizontal="center"/>
    </xf>
    <xf numFmtId="166" fontId="46" fillId="0" borderId="11" xfId="0" applyNumberFormat="1" applyFont="1" applyBorder="1" applyAlignment="1">
      <alignment horizontal="center"/>
    </xf>
    <xf numFmtId="0" fontId="46" fillId="0" borderId="10" xfId="0" applyFont="1" applyBorder="1" applyAlignment="1">
      <alignment horizontal="center"/>
    </xf>
    <xf numFmtId="0" fontId="47" fillId="0" borderId="0" xfId="0" applyFont="1" applyBorder="1"/>
    <xf numFmtId="166" fontId="47" fillId="0" borderId="0" xfId="0" quotePrefix="1" applyNumberFormat="1" applyFont="1" applyBorder="1" applyAlignment="1">
      <alignment horizontal="center"/>
    </xf>
    <xf numFmtId="0" fontId="47" fillId="0" borderId="12" xfId="0" applyFont="1" applyBorder="1"/>
    <xf numFmtId="0" fontId="49" fillId="0" borderId="0" xfId="0" applyFont="1" applyBorder="1"/>
    <xf numFmtId="2" fontId="47" fillId="0" borderId="0" xfId="0" quotePrefix="1" applyNumberFormat="1" applyFont="1" applyBorder="1" applyAlignment="1">
      <alignment horizontal="center"/>
    </xf>
    <xf numFmtId="0" fontId="47" fillId="0" borderId="0" xfId="0" applyFont="1" applyFill="1" applyBorder="1"/>
    <xf numFmtId="0" fontId="46" fillId="0" borderId="0" xfId="1" applyFont="1" applyBorder="1"/>
    <xf numFmtId="0" fontId="47" fillId="0" borderId="0" xfId="1" applyFont="1" applyBorder="1"/>
    <xf numFmtId="0" fontId="46" fillId="0" borderId="12" xfId="1" applyFont="1" applyBorder="1" applyAlignment="1">
      <alignment horizontal="center"/>
    </xf>
    <xf numFmtId="0" fontId="46" fillId="0" borderId="12" xfId="1" applyFont="1" applyBorder="1" applyAlignment="1">
      <alignment horizontal="left"/>
    </xf>
    <xf numFmtId="0" fontId="47" fillId="0" borderId="12" xfId="1" applyFont="1" applyBorder="1"/>
    <xf numFmtId="0" fontId="47" fillId="0" borderId="12" xfId="1" applyFont="1" applyBorder="1" applyAlignment="1">
      <alignment horizontal="center"/>
    </xf>
    <xf numFmtId="0" fontId="46" fillId="0" borderId="0" xfId="1" applyFont="1" applyFill="1" applyBorder="1"/>
    <xf numFmtId="0" fontId="51" fillId="0" borderId="0" xfId="2" applyFont="1" applyAlignment="1" applyProtection="1"/>
    <xf numFmtId="0" fontId="47" fillId="0" borderId="0" xfId="1" applyFont="1" applyBorder="1" applyAlignment="1">
      <alignment horizontal="left"/>
    </xf>
    <xf numFmtId="0" fontId="47" fillId="0" borderId="0" xfId="2" applyFont="1" applyAlignment="1" applyProtection="1"/>
    <xf numFmtId="166" fontId="47" fillId="0" borderId="0" xfId="0" applyNumberFormat="1" applyFont="1"/>
    <xf numFmtId="0" fontId="52" fillId="0" borderId="0" xfId="1" applyFont="1" applyBorder="1"/>
    <xf numFmtId="0" fontId="52" fillId="0" borderId="0" xfId="1" applyFont="1" applyBorder="1" applyAlignment="1">
      <alignment horizontal="center"/>
    </xf>
    <xf numFmtId="0" fontId="47" fillId="0" borderId="0" xfId="1" applyFont="1" applyAlignment="1">
      <alignment horizontal="center"/>
    </xf>
    <xf numFmtId="166" fontId="46" fillId="0" borderId="13" xfId="0" applyNumberFormat="1" applyFont="1" applyBorder="1" applyAlignment="1">
      <alignment horizontal="center"/>
    </xf>
    <xf numFmtId="166" fontId="47" fillId="0" borderId="12" xfId="0" applyNumberFormat="1" applyFont="1" applyBorder="1" applyAlignment="1">
      <alignment horizontal="center"/>
    </xf>
    <xf numFmtId="0" fontId="47" fillId="0" borderId="11" xfId="0" applyFont="1" applyBorder="1"/>
    <xf numFmtId="0" fontId="0" fillId="0" borderId="0" xfId="0" applyAlignment="1">
      <alignment horizontal="center" vertical="center"/>
    </xf>
    <xf numFmtId="0" fontId="47" fillId="0" borderId="11" xfId="1" applyFont="1" applyBorder="1"/>
    <xf numFmtId="0" fontId="0" fillId="0" borderId="11" xfId="0" applyBorder="1" applyAlignment="1">
      <alignment horizontal="center" vertical="center"/>
    </xf>
    <xf numFmtId="0" fontId="0" fillId="0" borderId="0" xfId="0" applyBorder="1" applyAlignment="1">
      <alignment horizontal="center" vertical="center"/>
    </xf>
    <xf numFmtId="0" fontId="48" fillId="0" borderId="0" xfId="0" applyFont="1" applyAlignment="1">
      <alignment horizontal="left" wrapText="1"/>
    </xf>
    <xf numFmtId="0" fontId="47" fillId="0" borderId="0" xfId="0" applyFont="1" applyAlignment="1">
      <alignment horizontal="left" wrapText="1"/>
    </xf>
    <xf numFmtId="166" fontId="47" fillId="0" borderId="11" xfId="1" applyNumberFormat="1" applyFont="1" applyBorder="1" applyAlignment="1">
      <alignment horizontal="center"/>
    </xf>
    <xf numFmtId="0" fontId="49" fillId="0" borderId="11" xfId="0" applyFont="1" applyBorder="1"/>
    <xf numFmtId="166" fontId="47" fillId="0" borderId="11" xfId="0" quotePrefix="1" applyNumberFormat="1" applyFont="1" applyBorder="1" applyAlignment="1">
      <alignment horizontal="center"/>
    </xf>
    <xf numFmtId="0" fontId="47" fillId="0" borderId="11" xfId="1" applyFont="1" applyBorder="1" applyAlignment="1">
      <alignment horizontal="center"/>
    </xf>
    <xf numFmtId="2" fontId="47" fillId="0" borderId="11" xfId="0" quotePrefix="1" applyNumberFormat="1" applyFont="1" applyBorder="1" applyAlignment="1">
      <alignment horizontal="center"/>
    </xf>
    <xf numFmtId="0" fontId="4" fillId="0" borderId="4" xfId="0" applyFont="1" applyFill="1" applyBorder="1" applyAlignment="1">
      <alignment wrapText="1"/>
    </xf>
    <xf numFmtId="0" fontId="38" fillId="0" borderId="1" xfId="0" applyFont="1" applyFill="1" applyBorder="1" applyAlignment="1">
      <alignment wrapText="1"/>
    </xf>
    <xf numFmtId="2" fontId="4" fillId="0" borderId="0" xfId="0" applyNumberFormat="1" applyFont="1"/>
    <xf numFmtId="1" fontId="1" fillId="0" borderId="0" xfId="0" applyNumberFormat="1" applyFont="1"/>
    <xf numFmtId="2" fontId="1" fillId="0" borderId="0" xfId="0" applyNumberFormat="1" applyFont="1"/>
    <xf numFmtId="0" fontId="13" fillId="0" borderId="0" xfId="0" applyFont="1" applyFill="1" applyBorder="1"/>
    <xf numFmtId="1" fontId="1" fillId="0" borderId="0" xfId="0" applyNumberFormat="1" applyFont="1" applyFill="1" applyBorder="1"/>
    <xf numFmtId="2" fontId="3" fillId="0" borderId="1" xfId="0" applyNumberFormat="1" applyFont="1" applyFill="1" applyBorder="1" applyAlignment="1"/>
    <xf numFmtId="2" fontId="1" fillId="16" borderId="0" xfId="0" applyNumberFormat="1" applyFont="1" applyFill="1"/>
    <xf numFmtId="2" fontId="7" fillId="0" borderId="2" xfId="0" applyNumberFormat="1" applyFont="1" applyFill="1" applyBorder="1"/>
    <xf numFmtId="2" fontId="32" fillId="0" borderId="1" xfId="0" applyNumberFormat="1" applyFont="1" applyFill="1" applyBorder="1"/>
    <xf numFmtId="2" fontId="32" fillId="17" borderId="1" xfId="0" applyNumberFormat="1" applyFont="1" applyFill="1" applyBorder="1"/>
    <xf numFmtId="2" fontId="38" fillId="18" borderId="1" xfId="0" applyNumberFormat="1" applyFont="1" applyFill="1" applyBorder="1"/>
    <xf numFmtId="2" fontId="21" fillId="0" borderId="1" xfId="0" applyNumberFormat="1" applyFont="1" applyFill="1" applyBorder="1"/>
    <xf numFmtId="2" fontId="39" fillId="17" borderId="1" xfId="0" applyNumberFormat="1" applyFont="1" applyFill="1" applyBorder="1"/>
    <xf numFmtId="2" fontId="4" fillId="0" borderId="2" xfId="0" applyNumberFormat="1" applyFont="1" applyFill="1" applyBorder="1"/>
    <xf numFmtId="2" fontId="7" fillId="17" borderId="0" xfId="0" applyNumberFormat="1" applyFont="1" applyFill="1"/>
    <xf numFmtId="2" fontId="8" fillId="17" borderId="0" xfId="0" applyNumberFormat="1" applyFont="1" applyFill="1" applyBorder="1"/>
    <xf numFmtId="2" fontId="4" fillId="16" borderId="1" xfId="0" applyNumberFormat="1" applyFont="1" applyFill="1" applyBorder="1" applyAlignment="1">
      <alignment wrapText="1"/>
    </xf>
    <xf numFmtId="2" fontId="30" fillId="0" borderId="1" xfId="0" applyNumberFormat="1" applyFont="1" applyFill="1" applyBorder="1"/>
    <xf numFmtId="2" fontId="8" fillId="0" borderId="0" xfId="0" applyNumberFormat="1" applyFont="1" applyFill="1" applyBorder="1"/>
    <xf numFmtId="0" fontId="1" fillId="0" borderId="0" xfId="0" applyFont="1" applyAlignment="1"/>
    <xf numFmtId="2" fontId="4" fillId="8" borderId="0" xfId="0" applyNumberFormat="1" applyFont="1" applyFill="1" applyBorder="1"/>
    <xf numFmtId="1" fontId="4" fillId="0" borderId="3" xfId="0" applyNumberFormat="1" applyFont="1" applyBorder="1" applyAlignment="1">
      <alignment wrapText="1"/>
    </xf>
    <xf numFmtId="0" fontId="2" fillId="2" borderId="4" xfId="0" quotePrefix="1" applyFont="1" applyFill="1" applyBorder="1"/>
    <xf numFmtId="0" fontId="13" fillId="2" borderId="4" xfId="0" quotePrefix="1" applyFont="1" applyFill="1" applyBorder="1"/>
    <xf numFmtId="1" fontId="2" fillId="0" borderId="4" xfId="0" quotePrefix="1" applyNumberFormat="1" applyFont="1" applyFill="1" applyBorder="1"/>
    <xf numFmtId="1" fontId="3" fillId="2" borderId="4" xfId="0" quotePrefix="1" applyNumberFormat="1" applyFont="1" applyFill="1" applyBorder="1"/>
    <xf numFmtId="0" fontId="53" fillId="0" borderId="0" xfId="0" applyFont="1" applyAlignment="1">
      <alignment vertical="center"/>
    </xf>
    <xf numFmtId="0" fontId="53" fillId="0" borderId="0" xfId="0" applyFont="1"/>
    <xf numFmtId="1" fontId="0" fillId="0" borderId="0" xfId="0" applyNumberFormat="1"/>
    <xf numFmtId="3" fontId="56" fillId="0" borderId="0" xfId="0" applyNumberFormat="1" applyFont="1" applyBorder="1" applyAlignment="1">
      <alignment horizontal="center" wrapText="1"/>
    </xf>
    <xf numFmtId="2" fontId="55" fillId="0" borderId="0" xfId="0" applyNumberFormat="1" applyFont="1"/>
    <xf numFmtId="0" fontId="55" fillId="0" borderId="0" xfId="0" applyFont="1"/>
    <xf numFmtId="3" fontId="55" fillId="0" borderId="0" xfId="0" applyNumberFormat="1" applyFont="1"/>
    <xf numFmtId="3" fontId="55" fillId="0" borderId="0" xfId="0" applyNumberFormat="1" applyFont="1" applyFill="1"/>
    <xf numFmtId="165" fontId="55" fillId="0" borderId="0" xfId="0" applyNumberFormat="1" applyFont="1"/>
    <xf numFmtId="165" fontId="57" fillId="0" borderId="0" xfId="0" applyNumberFormat="1" applyFont="1"/>
    <xf numFmtId="3" fontId="0" fillId="0" borderId="0" xfId="0" applyNumberFormat="1"/>
    <xf numFmtId="2" fontId="58" fillId="0" borderId="0" xfId="0" applyNumberFormat="1" applyFont="1"/>
    <xf numFmtId="0" fontId="58" fillId="0" borderId="0" xfId="0" applyFont="1"/>
    <xf numFmtId="3" fontId="58" fillId="0" borderId="0" xfId="0" applyNumberFormat="1" applyFont="1"/>
    <xf numFmtId="3" fontId="58" fillId="0" borderId="0" xfId="0" applyNumberFormat="1" applyFont="1" applyFill="1"/>
    <xf numFmtId="165" fontId="58" fillId="0" borderId="0" xfId="0" applyNumberFormat="1" applyFont="1"/>
    <xf numFmtId="165" fontId="59" fillId="0" borderId="0" xfId="0" applyNumberFormat="1" applyFont="1"/>
    <xf numFmtId="3" fontId="60" fillId="0" borderId="0" xfId="0" applyNumberFormat="1" applyFont="1"/>
    <xf numFmtId="3" fontId="61" fillId="0" borderId="0" xfId="0" applyNumberFormat="1" applyFont="1" applyBorder="1" applyAlignment="1">
      <alignment horizontal="center" wrapText="1"/>
    </xf>
    <xf numFmtId="0" fontId="60" fillId="0" borderId="0" xfId="0" applyFont="1"/>
    <xf numFmtId="3" fontId="59" fillId="0" borderId="0" xfId="0" applyNumberFormat="1" applyFont="1"/>
    <xf numFmtId="2" fontId="60" fillId="0" borderId="0" xfId="0" applyNumberFormat="1" applyFont="1"/>
    <xf numFmtId="3" fontId="60" fillId="0" borderId="0" xfId="0" applyNumberFormat="1" applyFont="1" applyFill="1"/>
    <xf numFmtId="2" fontId="62" fillId="0" borderId="14" xfId="0" applyNumberFormat="1" applyFont="1" applyBorder="1" applyAlignment="1">
      <alignment horizontal="center" wrapText="1"/>
    </xf>
    <xf numFmtId="2" fontId="62" fillId="0" borderId="10" xfId="0" applyNumberFormat="1" applyFont="1" applyBorder="1" applyAlignment="1">
      <alignment horizontal="center" wrapText="1"/>
    </xf>
    <xf numFmtId="3" fontId="62" fillId="0" borderId="15" xfId="0" applyNumberFormat="1" applyFont="1" applyBorder="1" applyAlignment="1">
      <alignment horizontal="center" wrapText="1"/>
    </xf>
    <xf numFmtId="3" fontId="62" fillId="0" borderId="16" xfId="0" applyNumberFormat="1" applyFont="1" applyFill="1" applyBorder="1" applyAlignment="1">
      <alignment horizontal="center" wrapText="1"/>
    </xf>
    <xf numFmtId="165" fontId="62" fillId="0" borderId="14" xfId="0" applyNumberFormat="1" applyFont="1" applyBorder="1" applyAlignment="1">
      <alignment horizontal="center" wrapText="1"/>
    </xf>
    <xf numFmtId="165" fontId="62" fillId="0" borderId="10" xfId="0" applyNumberFormat="1" applyFont="1" applyBorder="1" applyAlignment="1">
      <alignment horizontal="center" wrapText="1"/>
    </xf>
    <xf numFmtId="3" fontId="62" fillId="0" borderId="10" xfId="0" applyNumberFormat="1" applyFont="1" applyBorder="1" applyAlignment="1">
      <alignment horizontal="center" wrapText="1"/>
    </xf>
    <xf numFmtId="3" fontId="62" fillId="0" borderId="12" xfId="0" applyNumberFormat="1" applyFont="1" applyBorder="1" applyAlignment="1">
      <alignment horizontal="center" wrapText="1"/>
    </xf>
    <xf numFmtId="2" fontId="59" fillId="0" borderId="0" xfId="0" applyNumberFormat="1" applyFont="1" applyFill="1" applyBorder="1"/>
    <xf numFmtId="3" fontId="60" fillId="0" borderId="0" xfId="0" applyNumberFormat="1" applyFont="1" applyFill="1" applyBorder="1"/>
    <xf numFmtId="3" fontId="59" fillId="0" borderId="0" xfId="0" applyNumberFormat="1" applyFont="1" applyFill="1" applyBorder="1" applyAlignment="1">
      <alignment horizontal="center" wrapText="1"/>
    </xf>
    <xf numFmtId="3" fontId="60" fillId="0" borderId="0" xfId="0" applyNumberFormat="1" applyFont="1" applyBorder="1"/>
    <xf numFmtId="3" fontId="59" fillId="0" borderId="0" xfId="0" applyNumberFormat="1" applyFont="1" applyFill="1"/>
    <xf numFmtId="2" fontId="69" fillId="0" borderId="0" xfId="0" applyNumberFormat="1" applyFont="1" applyFill="1" applyBorder="1"/>
    <xf numFmtId="0" fontId="69" fillId="0" borderId="0" xfId="0" applyFont="1" applyFill="1" applyBorder="1"/>
    <xf numFmtId="165" fontId="60" fillId="0" borderId="0" xfId="0" applyNumberFormat="1" applyFont="1"/>
    <xf numFmtId="0" fontId="56" fillId="0" borderId="0" xfId="0" applyFont="1" applyAlignment="1">
      <alignment horizontal="center"/>
    </xf>
    <xf numFmtId="0" fontId="1" fillId="0" borderId="0" xfId="0" applyFont="1" applyBorder="1"/>
    <xf numFmtId="0" fontId="3" fillId="17" borderId="1" xfId="0" applyFont="1" applyFill="1" applyBorder="1" applyAlignment="1">
      <alignment wrapText="1"/>
    </xf>
    <xf numFmtId="0" fontId="0" fillId="17" borderId="1" xfId="0" applyFill="1" applyBorder="1" applyAlignment="1">
      <alignment wrapText="1"/>
    </xf>
    <xf numFmtId="3" fontId="56" fillId="0" borderId="0" xfId="0" applyNumberFormat="1" applyFont="1" applyAlignment="1">
      <alignment horizontal="center"/>
    </xf>
    <xf numFmtId="2" fontId="56" fillId="0" borderId="0" xfId="0" applyNumberFormat="1" applyFont="1" applyAlignment="1">
      <alignment horizontal="center"/>
    </xf>
    <xf numFmtId="2" fontId="71" fillId="0" borderId="0" xfId="0" applyNumberFormat="1" applyFont="1"/>
    <xf numFmtId="0" fontId="71" fillId="0" borderId="0" xfId="0" applyFont="1"/>
    <xf numFmtId="3" fontId="71" fillId="0" borderId="0" xfId="0" applyNumberFormat="1" applyFont="1"/>
    <xf numFmtId="3" fontId="71" fillId="0" borderId="0" xfId="0" applyNumberFormat="1" applyFont="1" applyFill="1"/>
    <xf numFmtId="165" fontId="72" fillId="0" borderId="0" xfId="0" applyNumberFormat="1" applyFont="1"/>
    <xf numFmtId="0" fontId="72" fillId="0" borderId="0" xfId="0" applyFont="1"/>
    <xf numFmtId="3" fontId="72" fillId="0" borderId="0" xfId="0" applyNumberFormat="1" applyFont="1"/>
    <xf numFmtId="3" fontId="73" fillId="0" borderId="0" xfId="0" applyNumberFormat="1" applyFont="1" applyBorder="1" applyAlignment="1">
      <alignment horizontal="center" wrapText="1"/>
    </xf>
    <xf numFmtId="3" fontId="74" fillId="0" borderId="0" xfId="0" applyNumberFormat="1" applyFont="1"/>
    <xf numFmtId="0" fontId="75" fillId="0" borderId="0" xfId="0" applyFont="1"/>
    <xf numFmtId="3" fontId="75" fillId="0" borderId="0" xfId="0" applyNumberFormat="1" applyFont="1"/>
    <xf numFmtId="0" fontId="74" fillId="0" borderId="0" xfId="0" applyFont="1"/>
    <xf numFmtId="2" fontId="74" fillId="0" borderId="0" xfId="0" applyNumberFormat="1" applyFont="1"/>
    <xf numFmtId="3" fontId="72" fillId="0" borderId="0" xfId="0" applyNumberFormat="1" applyFont="1" applyBorder="1" applyAlignment="1">
      <alignment wrapText="1"/>
    </xf>
    <xf numFmtId="3" fontId="74" fillId="0" borderId="0" xfId="0" applyNumberFormat="1" applyFont="1" applyFill="1"/>
    <xf numFmtId="1" fontId="74" fillId="0" borderId="0" xfId="0" applyNumberFormat="1" applyFont="1"/>
    <xf numFmtId="2" fontId="59" fillId="0" borderId="17" xfId="0" applyNumberFormat="1" applyFont="1" applyFill="1" applyBorder="1" applyAlignment="1">
      <alignment horizontal="right" vertical="center" wrapText="1"/>
    </xf>
    <xf numFmtId="2" fontId="59" fillId="0" borderId="12" xfId="0" applyNumberFormat="1" applyFont="1" applyFill="1" applyBorder="1" applyAlignment="1">
      <alignment horizontal="right" vertical="center" wrapText="1"/>
    </xf>
    <xf numFmtId="2" fontId="59" fillId="0" borderId="12" xfId="0" applyNumberFormat="1" applyFont="1" applyFill="1" applyBorder="1" applyAlignment="1">
      <alignment horizontal="right" vertical="center"/>
    </xf>
    <xf numFmtId="3" fontId="59" fillId="0" borderId="18" xfId="0" applyNumberFormat="1" applyFont="1" applyFill="1" applyBorder="1" applyAlignment="1">
      <alignment horizontal="right" vertical="center" wrapText="1"/>
    </xf>
    <xf numFmtId="3" fontId="37" fillId="0" borderId="0" xfId="0" applyNumberFormat="1" applyFont="1" applyFill="1" applyBorder="1" applyAlignment="1">
      <alignment horizontal="right" vertical="center"/>
    </xf>
    <xf numFmtId="165" fontId="59" fillId="0" borderId="17" xfId="0" applyNumberFormat="1" applyFont="1" applyFill="1" applyBorder="1" applyAlignment="1">
      <alignment horizontal="right" vertical="center" wrapText="1"/>
    </xf>
    <xf numFmtId="165" fontId="59" fillId="0" borderId="12" xfId="0" applyNumberFormat="1" applyFont="1" applyFill="1" applyBorder="1" applyAlignment="1">
      <alignment horizontal="right" vertical="center" wrapText="1"/>
    </xf>
    <xf numFmtId="3" fontId="60" fillId="0" borderId="0" xfId="0" applyNumberFormat="1" applyFont="1" applyFill="1" applyAlignment="1">
      <alignment horizontal="right" vertical="center"/>
    </xf>
    <xf numFmtId="2" fontId="59" fillId="0" borderId="19" xfId="0" applyNumberFormat="1" applyFont="1" applyFill="1" applyBorder="1" applyAlignment="1">
      <alignment horizontal="right" vertical="center" wrapText="1"/>
    </xf>
    <xf numFmtId="2" fontId="59" fillId="0" borderId="0" xfId="0" applyNumberFormat="1" applyFont="1" applyFill="1" applyBorder="1" applyAlignment="1">
      <alignment horizontal="right" vertical="center" wrapText="1"/>
    </xf>
    <xf numFmtId="3" fontId="59" fillId="0" borderId="0" xfId="0" applyNumberFormat="1" applyFont="1" applyFill="1" applyBorder="1" applyAlignment="1">
      <alignment horizontal="right" vertical="center"/>
    </xf>
    <xf numFmtId="3" fontId="64" fillId="0" borderId="17" xfId="0" applyNumberFormat="1" applyFont="1" applyFill="1" applyBorder="1" applyAlignment="1">
      <alignment horizontal="right" vertical="center"/>
    </xf>
    <xf numFmtId="2" fontId="59" fillId="0" borderId="12" xfId="0" applyNumberFormat="1" applyFont="1" applyBorder="1" applyAlignment="1">
      <alignment horizontal="right" vertical="center"/>
    </xf>
    <xf numFmtId="3" fontId="59" fillId="0" borderId="12" xfId="0" applyNumberFormat="1" applyFont="1" applyBorder="1" applyAlignment="1">
      <alignment horizontal="right" vertical="center"/>
    </xf>
    <xf numFmtId="2" fontId="59" fillId="0" borderId="0" xfId="0" applyNumberFormat="1" applyFont="1" applyFill="1" applyBorder="1" applyAlignment="1">
      <alignment horizontal="right" vertical="center"/>
    </xf>
    <xf numFmtId="3" fontId="59" fillId="0" borderId="20" xfId="0" applyNumberFormat="1" applyFont="1" applyFill="1" applyBorder="1" applyAlignment="1">
      <alignment horizontal="right" vertical="center" wrapText="1"/>
    </xf>
    <xf numFmtId="165" fontId="59" fillId="0" borderId="19" xfId="0" applyNumberFormat="1" applyFont="1" applyFill="1" applyBorder="1" applyAlignment="1">
      <alignment horizontal="right" vertical="center" wrapText="1"/>
    </xf>
    <xf numFmtId="165" fontId="59" fillId="0" borderId="0" xfId="0" applyNumberFormat="1" applyFont="1" applyFill="1" applyBorder="1" applyAlignment="1">
      <alignment horizontal="right" vertical="center" wrapText="1"/>
    </xf>
    <xf numFmtId="3" fontId="64" fillId="0" borderId="19" xfId="0" applyNumberFormat="1" applyFont="1" applyFill="1" applyBorder="1" applyAlignment="1">
      <alignment horizontal="right" vertical="center"/>
    </xf>
    <xf numFmtId="2" fontId="59" fillId="0" borderId="0" xfId="0" applyNumberFormat="1" applyFont="1" applyFill="1" applyBorder="1" applyAlignment="1" applyProtection="1">
      <alignment horizontal="right" vertical="center" wrapText="1"/>
    </xf>
    <xf numFmtId="2" fontId="59" fillId="0" borderId="0" xfId="0" applyNumberFormat="1" applyFont="1" applyBorder="1" applyAlignment="1">
      <alignment horizontal="right" vertical="center"/>
    </xf>
    <xf numFmtId="3" fontId="59" fillId="0" borderId="0" xfId="0" applyNumberFormat="1" applyFont="1" applyBorder="1" applyAlignment="1">
      <alignment horizontal="right" vertical="center"/>
    </xf>
    <xf numFmtId="2" fontId="60" fillId="0" borderId="19" xfId="0" applyNumberFormat="1" applyFont="1" applyFill="1" applyBorder="1" applyAlignment="1">
      <alignment horizontal="right" vertical="center"/>
    </xf>
    <xf numFmtId="2" fontId="60" fillId="0" borderId="0" xfId="0" applyNumberFormat="1" applyFont="1" applyFill="1" applyBorder="1" applyAlignment="1">
      <alignment horizontal="right" vertical="center"/>
    </xf>
    <xf numFmtId="3" fontId="60" fillId="0" borderId="0" xfId="0" applyNumberFormat="1" applyFont="1" applyFill="1" applyBorder="1" applyAlignment="1">
      <alignment horizontal="right" vertical="center"/>
    </xf>
    <xf numFmtId="3" fontId="60" fillId="0" borderId="19" xfId="0" applyNumberFormat="1" applyFont="1" applyFill="1" applyBorder="1" applyAlignment="1">
      <alignment horizontal="right" vertical="center"/>
    </xf>
    <xf numFmtId="3" fontId="37" fillId="0" borderId="0" xfId="0" applyNumberFormat="1" applyFont="1" applyFill="1" applyBorder="1" applyAlignment="1">
      <alignment horizontal="right" vertical="center" wrapText="1"/>
    </xf>
    <xf numFmtId="3" fontId="65" fillId="0" borderId="0" xfId="0" applyNumberFormat="1" applyFont="1" applyFill="1" applyAlignment="1">
      <alignment horizontal="right" vertical="center"/>
    </xf>
    <xf numFmtId="3" fontId="59" fillId="0" borderId="19" xfId="0" applyNumberFormat="1" applyFont="1" applyFill="1" applyBorder="1" applyAlignment="1">
      <alignment horizontal="right" vertical="center" wrapText="1"/>
    </xf>
    <xf numFmtId="3" fontId="59" fillId="0" borderId="19" xfId="0" applyNumberFormat="1" applyFont="1" applyFill="1" applyBorder="1" applyAlignment="1">
      <alignment horizontal="right" vertical="center"/>
    </xf>
    <xf numFmtId="3" fontId="66" fillId="0" borderId="0" xfId="0" applyNumberFormat="1" applyFont="1" applyFill="1" applyAlignment="1">
      <alignment horizontal="right" vertical="center"/>
    </xf>
    <xf numFmtId="2" fontId="59" fillId="0" borderId="19" xfId="0" applyNumberFormat="1" applyFont="1" applyFill="1" applyBorder="1" applyAlignment="1">
      <alignment horizontal="right" vertical="center"/>
    </xf>
    <xf numFmtId="0" fontId="60" fillId="0" borderId="0" xfId="0" applyFont="1" applyFill="1" applyBorder="1" applyAlignment="1">
      <alignment horizontal="right" vertical="center"/>
    </xf>
    <xf numFmtId="165" fontId="60" fillId="0" borderId="19" xfId="0" applyNumberFormat="1" applyFont="1" applyFill="1" applyBorder="1" applyAlignment="1">
      <alignment horizontal="right" vertical="center"/>
    </xf>
    <xf numFmtId="165" fontId="60" fillId="0" borderId="0" xfId="0" applyNumberFormat="1" applyFont="1" applyFill="1" applyBorder="1" applyAlignment="1">
      <alignment horizontal="right" vertical="center"/>
    </xf>
    <xf numFmtId="3" fontId="67" fillId="0" borderId="0" xfId="0" applyNumberFormat="1" applyFont="1" applyFill="1" applyBorder="1" applyAlignment="1">
      <alignment horizontal="right" vertical="center"/>
    </xf>
    <xf numFmtId="3" fontId="1" fillId="0" borderId="0" xfId="0" applyNumberFormat="1" applyFont="1" applyFill="1" applyBorder="1" applyAlignment="1">
      <alignment horizontal="right" vertical="center" wrapText="1"/>
    </xf>
    <xf numFmtId="3" fontId="59" fillId="0" borderId="20" xfId="0" applyNumberFormat="1" applyFont="1" applyFill="1" applyBorder="1" applyAlignment="1">
      <alignment horizontal="right" vertical="center"/>
    </xf>
    <xf numFmtId="3" fontId="59" fillId="0" borderId="0" xfId="0" applyNumberFormat="1" applyFont="1" applyFill="1" applyAlignment="1">
      <alignment horizontal="right" vertical="center"/>
    </xf>
    <xf numFmtId="2" fontId="59" fillId="0" borderId="21" xfId="0" applyNumberFormat="1" applyFont="1" applyFill="1" applyBorder="1" applyAlignment="1">
      <alignment horizontal="right" vertical="center"/>
    </xf>
    <xf numFmtId="2" fontId="59" fillId="0" borderId="11" xfId="0" applyNumberFormat="1" applyFont="1" applyFill="1" applyBorder="1" applyAlignment="1">
      <alignment horizontal="right" vertical="center"/>
    </xf>
    <xf numFmtId="3" fontId="59" fillId="0" borderId="22" xfId="0" applyNumberFormat="1" applyFont="1" applyFill="1" applyBorder="1" applyAlignment="1">
      <alignment horizontal="right" vertical="center" wrapText="1"/>
    </xf>
    <xf numFmtId="165" fontId="59" fillId="0" borderId="21" xfId="0" applyNumberFormat="1" applyFont="1" applyFill="1" applyBorder="1" applyAlignment="1">
      <alignment horizontal="right" vertical="center" wrapText="1"/>
    </xf>
    <xf numFmtId="165" fontId="59" fillId="0" borderId="11" xfId="0" applyNumberFormat="1" applyFont="1" applyFill="1" applyBorder="1" applyAlignment="1">
      <alignment horizontal="right" vertical="center" wrapText="1"/>
    </xf>
    <xf numFmtId="2" fontId="59" fillId="0" borderId="11" xfId="0" applyNumberFormat="1" applyFont="1" applyFill="1" applyBorder="1" applyAlignment="1">
      <alignment horizontal="right" vertical="center" wrapText="1"/>
    </xf>
    <xf numFmtId="3" fontId="59" fillId="0" borderId="11" xfId="0" applyNumberFormat="1" applyFont="1" applyFill="1" applyBorder="1" applyAlignment="1">
      <alignment horizontal="right" vertical="center"/>
    </xf>
    <xf numFmtId="2" fontId="59" fillId="0" borderId="11" xfId="0" applyNumberFormat="1" applyFont="1" applyBorder="1" applyAlignment="1">
      <alignment horizontal="right" vertical="center"/>
    </xf>
    <xf numFmtId="3" fontId="59" fillId="0" borderId="11" xfId="0" applyNumberFormat="1" applyFont="1" applyBorder="1" applyAlignment="1">
      <alignment horizontal="right" vertical="center"/>
    </xf>
    <xf numFmtId="2" fontId="70" fillId="0" borderId="19" xfId="0" applyNumberFormat="1" applyFont="1" applyFill="1" applyBorder="1" applyAlignment="1">
      <alignment horizontal="right" vertical="center"/>
    </xf>
    <xf numFmtId="2" fontId="70" fillId="0" borderId="0" xfId="0" applyNumberFormat="1" applyFont="1" applyFill="1" applyBorder="1" applyAlignment="1">
      <alignment horizontal="right" vertical="center"/>
    </xf>
    <xf numFmtId="2" fontId="62" fillId="0" borderId="12" xfId="0" applyNumberFormat="1" applyFont="1" applyBorder="1" applyAlignment="1">
      <alignment horizontal="center" wrapText="1"/>
    </xf>
    <xf numFmtId="3" fontId="59" fillId="0" borderId="18" xfId="0" applyNumberFormat="1" applyFont="1" applyFill="1" applyBorder="1" applyAlignment="1">
      <alignment horizontal="right" vertical="center"/>
    </xf>
    <xf numFmtId="0" fontId="0" fillId="0" borderId="19" xfId="0" applyBorder="1"/>
    <xf numFmtId="3" fontId="59" fillId="0" borderId="22" xfId="0" applyNumberFormat="1" applyFont="1" applyFill="1" applyBorder="1" applyAlignment="1">
      <alignment horizontal="right" vertical="center"/>
    </xf>
    <xf numFmtId="2" fontId="1" fillId="0" borderId="19" xfId="0" applyNumberFormat="1" applyFont="1" applyFill="1" applyBorder="1" applyAlignment="1">
      <alignment horizontal="right" vertical="center"/>
    </xf>
    <xf numFmtId="2" fontId="1" fillId="0" borderId="0" xfId="0" applyNumberFormat="1" applyFont="1" applyFill="1" applyBorder="1" applyAlignment="1">
      <alignment horizontal="right" vertical="center"/>
    </xf>
    <xf numFmtId="0" fontId="1" fillId="0" borderId="0" xfId="0" applyFont="1" applyFill="1" applyBorder="1" applyAlignment="1">
      <alignment horizontal="right" vertical="center"/>
    </xf>
    <xf numFmtId="165" fontId="1" fillId="0" borderId="19" xfId="0" applyNumberFormat="1" applyFont="1" applyFill="1" applyBorder="1" applyAlignment="1">
      <alignment horizontal="right" vertical="center"/>
    </xf>
    <xf numFmtId="165" fontId="1" fillId="0" borderId="0" xfId="0" applyNumberFormat="1" applyFont="1" applyFill="1" applyBorder="1" applyAlignment="1">
      <alignment horizontal="right" vertical="center"/>
    </xf>
    <xf numFmtId="3" fontId="1" fillId="0" borderId="0" xfId="0" applyNumberFormat="1" applyFont="1" applyFill="1" applyAlignment="1">
      <alignment horizontal="right" vertical="center"/>
    </xf>
    <xf numFmtId="0" fontId="62" fillId="0" borderId="17" xfId="0" applyFont="1" applyBorder="1" applyAlignment="1">
      <alignment horizontal="center" wrapText="1"/>
    </xf>
    <xf numFmtId="0" fontId="62" fillId="0" borderId="12" xfId="0" applyFont="1" applyBorder="1" applyAlignment="1">
      <alignment horizontal="center" wrapText="1"/>
    </xf>
    <xf numFmtId="3" fontId="62" fillId="0" borderId="18" xfId="0" applyNumberFormat="1" applyFont="1" applyBorder="1" applyAlignment="1">
      <alignment horizontal="center" wrapText="1"/>
    </xf>
    <xf numFmtId="165" fontId="60" fillId="0" borderId="19" xfId="0" applyNumberFormat="1" applyFont="1" applyFill="1" applyBorder="1" applyAlignment="1">
      <alignment vertical="center"/>
    </xf>
    <xf numFmtId="2" fontId="60" fillId="0" borderId="19" xfId="0" applyNumberFormat="1" applyFont="1" applyFill="1" applyBorder="1" applyAlignment="1">
      <alignment vertical="center"/>
    </xf>
    <xf numFmtId="165" fontId="59" fillId="0" borderId="0" xfId="0" applyNumberFormat="1" applyFont="1" applyFill="1" applyBorder="1" applyAlignment="1" applyProtection="1">
      <alignment horizontal="right" vertical="center" wrapText="1"/>
    </xf>
    <xf numFmtId="165" fontId="59" fillId="0" borderId="19" xfId="0" applyNumberFormat="1" applyFont="1" applyFill="1" applyBorder="1" applyAlignment="1" applyProtection="1">
      <alignment horizontal="right" vertical="center" wrapText="1"/>
    </xf>
    <xf numFmtId="165" fontId="59" fillId="0" borderId="21" xfId="0" applyNumberFormat="1" applyFont="1" applyFill="1" applyBorder="1" applyAlignment="1" applyProtection="1">
      <alignment horizontal="right" vertical="center" wrapText="1"/>
    </xf>
    <xf numFmtId="165" fontId="59" fillId="0" borderId="11" xfId="0" applyNumberFormat="1" applyFont="1" applyFill="1" applyBorder="1" applyAlignment="1" applyProtection="1">
      <alignment horizontal="right" vertical="center" wrapText="1"/>
    </xf>
    <xf numFmtId="2" fontId="62" fillId="0" borderId="17" xfId="0" applyNumberFormat="1" applyFont="1" applyBorder="1" applyAlignment="1">
      <alignment horizontal="center" wrapText="1"/>
    </xf>
    <xf numFmtId="3" fontId="59" fillId="0" borderId="12" xfId="0" applyNumberFormat="1" applyFont="1" applyFill="1" applyBorder="1" applyAlignment="1">
      <alignment horizontal="right" vertical="center"/>
    </xf>
    <xf numFmtId="165" fontId="59" fillId="0" borderId="17" xfId="0" applyNumberFormat="1" applyFont="1" applyFill="1" applyBorder="1" applyAlignment="1" applyProtection="1">
      <alignment horizontal="right" vertical="center" wrapText="1"/>
    </xf>
    <xf numFmtId="165" fontId="59" fillId="0" borderId="12" xfId="0" applyNumberFormat="1" applyFont="1" applyFill="1" applyBorder="1" applyAlignment="1" applyProtection="1">
      <alignment horizontal="right" vertical="center" wrapText="1"/>
    </xf>
    <xf numFmtId="3" fontId="62" fillId="0" borderId="0" xfId="0" applyNumberFormat="1" applyFont="1" applyFill="1" applyBorder="1" applyAlignment="1">
      <alignment horizontal="center" wrapText="1"/>
    </xf>
    <xf numFmtId="0" fontId="4" fillId="0" borderId="4" xfId="0" applyFont="1" applyFill="1" applyBorder="1" applyAlignment="1">
      <alignment wrapText="1"/>
    </xf>
    <xf numFmtId="0" fontId="4" fillId="0" borderId="7" xfId="0" applyFont="1" applyFill="1" applyBorder="1" applyAlignment="1">
      <alignment wrapText="1"/>
    </xf>
    <xf numFmtId="0" fontId="4" fillId="0" borderId="8" xfId="0" applyFont="1" applyFill="1" applyBorder="1" applyAlignment="1">
      <alignment wrapText="1"/>
    </xf>
    <xf numFmtId="0" fontId="46" fillId="0" borderId="0" xfId="1" applyFont="1" applyAlignment="1">
      <alignment horizontal="left"/>
    </xf>
    <xf numFmtId="0" fontId="48" fillId="0" borderId="0" xfId="1" applyFont="1" applyBorder="1" applyAlignment="1">
      <alignment wrapText="1"/>
    </xf>
    <xf numFmtId="0" fontId="47" fillId="0" borderId="0" xfId="1" applyFont="1" applyBorder="1" applyAlignment="1">
      <alignment wrapText="1"/>
    </xf>
    <xf numFmtId="0" fontId="48" fillId="0" borderId="0" xfId="0" applyFont="1" applyAlignment="1">
      <alignment horizontal="left" wrapText="1"/>
    </xf>
    <xf numFmtId="0" fontId="47" fillId="0" borderId="0" xfId="0" applyFont="1" applyAlignment="1">
      <alignment horizontal="left" wrapText="1"/>
    </xf>
    <xf numFmtId="0" fontId="56" fillId="0" borderId="0" xfId="0" applyFont="1" applyBorder="1" applyAlignment="1">
      <alignment horizontal="center"/>
    </xf>
    <xf numFmtId="0" fontId="56" fillId="0" borderId="0" xfId="0" applyFont="1" applyBorder="1" applyAlignment="1">
      <alignment horizontal="center" wrapText="1"/>
    </xf>
    <xf numFmtId="0" fontId="56" fillId="0" borderId="0" xfId="0" applyFont="1" applyAlignment="1">
      <alignment horizontal="center"/>
    </xf>
  </cellXfs>
  <cellStyles count="3">
    <cellStyle name="Hyperlink" xfId="2" builtinId="8"/>
    <cellStyle name="Normal" xfId="0" builtinId="0"/>
    <cellStyle name="Normal 2" xfId="1"/>
  </cellStyles>
  <dxfs count="0"/>
  <tableStyles count="0" defaultTableStyle="TableStyleMedium9" defaultPivotStyle="PivotStyleLight16"/>
  <colors>
    <mruColors>
      <color rgb="FFCCFFFF"/>
      <color rgb="FF9966FF"/>
      <color rgb="FFFF99CC"/>
      <color rgb="FF99CCFF"/>
      <color rgb="FFFFFF99"/>
      <color rgb="FFFFCC99"/>
      <color rgb="FFFF9933"/>
      <color rgb="FF00FFFF"/>
      <color rgb="FFCCFFCC"/>
      <color rgb="FF66FF33"/>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charts/_rels/chart226.xml.rels><?xml version="1.0" encoding="UTF-8" standalone="yes"?>
<Relationships xmlns="http://schemas.openxmlformats.org/package/2006/relationships"><Relationship Id="rId1" Type="http://schemas.openxmlformats.org/officeDocument/2006/relationships/chartUserShapes" Target="../drawings/drawing2.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'Growth Pattern'!$CE$83</c:f>
              <c:strCache>
                <c:ptCount val="1"/>
                <c:pt idx="0">
                  <c:v>MAI</c:v>
                </c:pt>
              </c:strCache>
            </c:strRef>
          </c:tx>
          <c:val>
            <c:numRef>
              <c:f>'Growth Pattern'!$CE$88:$CE$92</c:f>
              <c:numCache>
                <c:formatCode>0.00</c:formatCode>
                <c:ptCount val="5"/>
                <c:pt idx="0">
                  <c:v>2.2000000000000002</c:v>
                </c:pt>
                <c:pt idx="1">
                  <c:v>3.85</c:v>
                </c:pt>
                <c:pt idx="2">
                  <c:v>6.166666666666667</c:v>
                </c:pt>
                <c:pt idx="3">
                  <c:v>7.3</c:v>
                </c:pt>
                <c:pt idx="4">
                  <c:v>7.74</c:v>
                </c:pt>
              </c:numCache>
            </c:numRef>
          </c:val>
          <c:smooth val="0"/>
        </c:ser>
        <c:ser>
          <c:idx val="1"/>
          <c:order val="1"/>
          <c:tx>
            <c:strRef>
              <c:f>'Growth Pattern'!$CF$87</c:f>
              <c:strCache>
                <c:ptCount val="1"/>
                <c:pt idx="0">
                  <c:v>CAI</c:v>
                </c:pt>
              </c:strCache>
            </c:strRef>
          </c:tx>
          <c:val>
            <c:numRef>
              <c:f>'Growth Pattern'!$CF$88:$CF$92</c:f>
              <c:numCache>
                <c:formatCode>0.00</c:formatCode>
                <c:ptCount val="5"/>
                <c:pt idx="0">
                  <c:v>2.2000000000000002</c:v>
                </c:pt>
                <c:pt idx="1">
                  <c:v>5.5</c:v>
                </c:pt>
                <c:pt idx="2">
                  <c:v>10.8</c:v>
                </c:pt>
                <c:pt idx="3">
                  <c:v>10.7</c:v>
                </c:pt>
                <c:pt idx="4">
                  <c:v>9.5</c:v>
                </c:pt>
              </c:numCache>
            </c:numRef>
          </c:val>
          <c:smooth val="0"/>
        </c:ser>
        <c:dLbls>
          <c:showLegendKey val="0"/>
          <c:showVal val="0"/>
          <c:showCatName val="0"/>
          <c:showSerName val="0"/>
          <c:showPercent val="0"/>
          <c:showBubbleSize val="0"/>
        </c:dLbls>
        <c:marker val="1"/>
        <c:smooth val="0"/>
        <c:axId val="90772224"/>
        <c:axId val="90774144"/>
      </c:lineChart>
      <c:catAx>
        <c:axId val="90772224"/>
        <c:scaling>
          <c:orientation val="minMax"/>
        </c:scaling>
        <c:delete val="0"/>
        <c:axPos val="b"/>
        <c:title>
          <c:tx>
            <c:rich>
              <a:bodyPr/>
              <a:lstStyle/>
              <a:p>
                <a:pPr>
                  <a:defRPr/>
                </a:pPr>
                <a:r>
                  <a:rPr lang="en-US"/>
                  <a:t>Root Age/Harvest Year</a:t>
                </a:r>
              </a:p>
            </c:rich>
          </c:tx>
          <c:overlay val="0"/>
        </c:title>
        <c:majorTickMark val="out"/>
        <c:minorTickMark val="none"/>
        <c:tickLblPos val="nextTo"/>
        <c:crossAx val="90774144"/>
        <c:crosses val="autoZero"/>
        <c:auto val="1"/>
        <c:lblAlgn val="ctr"/>
        <c:lblOffset val="100"/>
        <c:noMultiLvlLbl val="0"/>
      </c:catAx>
      <c:valAx>
        <c:axId val="90774144"/>
        <c:scaling>
          <c:orientation val="minMax"/>
        </c:scaling>
        <c:delete val="0"/>
        <c:axPos val="l"/>
        <c:majorGridlines/>
        <c:title>
          <c:tx>
            <c:rich>
              <a:bodyPr rot="-5400000" vert="horz"/>
              <a:lstStyle/>
              <a:p>
                <a:pPr>
                  <a:defRPr/>
                </a:pPr>
                <a:r>
                  <a:rPr lang="en-US"/>
                  <a:t>dry Mg ha-1 yr-1</a:t>
                </a:r>
              </a:p>
            </c:rich>
          </c:tx>
          <c:overlay val="0"/>
        </c:title>
        <c:numFmt formatCode="0.00" sourceLinked="1"/>
        <c:majorTickMark val="out"/>
        <c:minorTickMark val="none"/>
        <c:tickLblPos val="nextTo"/>
        <c:crossAx val="90772224"/>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'Growth Pattern'!$CE$186</c:f>
              <c:strCache>
                <c:ptCount val="1"/>
                <c:pt idx="0">
                  <c:v>MAI</c:v>
                </c:pt>
              </c:strCache>
            </c:strRef>
          </c:tx>
          <c:val>
            <c:numRef>
              <c:f>'Growth Pattern'!$CE$187:$CE$196</c:f>
              <c:numCache>
                <c:formatCode>0.00</c:formatCode>
                <c:ptCount val="10"/>
                <c:pt idx="0">
                  <c:v>1.49</c:v>
                </c:pt>
                <c:pt idx="1">
                  <c:v>2.7650000000000001</c:v>
                </c:pt>
                <c:pt idx="2">
                  <c:v>4.78</c:v>
                </c:pt>
                <c:pt idx="3">
                  <c:v>6.6850000000000005</c:v>
                </c:pt>
                <c:pt idx="4">
                  <c:v>8.0100000000000016</c:v>
                </c:pt>
                <c:pt idx="5">
                  <c:v>8.2266666666666683</c:v>
                </c:pt>
                <c:pt idx="6">
                  <c:v>8.4885714285714293</c:v>
                </c:pt>
                <c:pt idx="7">
                  <c:v>8.7062500000000007</c:v>
                </c:pt>
                <c:pt idx="8">
                  <c:v>8.9433333333333351</c:v>
                </c:pt>
                <c:pt idx="9">
                  <c:v>8.9710000000000001</c:v>
                </c:pt>
              </c:numCache>
            </c:numRef>
          </c:val>
          <c:smooth val="0"/>
        </c:ser>
        <c:ser>
          <c:idx val="1"/>
          <c:order val="1"/>
          <c:tx>
            <c:strRef>
              <c:f>'Growth Pattern'!$CF$186</c:f>
              <c:strCache>
                <c:ptCount val="1"/>
                <c:pt idx="0">
                  <c:v>CAI</c:v>
                </c:pt>
              </c:strCache>
            </c:strRef>
          </c:tx>
          <c:val>
            <c:numRef>
              <c:f>'Growth Pattern'!$CF$187:$CF$196</c:f>
              <c:numCache>
                <c:formatCode>0.00</c:formatCode>
                <c:ptCount val="10"/>
                <c:pt idx="0">
                  <c:v>1.49</c:v>
                </c:pt>
                <c:pt idx="1">
                  <c:v>4.04</c:v>
                </c:pt>
                <c:pt idx="2">
                  <c:v>8.81</c:v>
                </c:pt>
                <c:pt idx="3">
                  <c:v>12.4</c:v>
                </c:pt>
                <c:pt idx="4">
                  <c:v>13.31</c:v>
                </c:pt>
                <c:pt idx="5">
                  <c:v>9.31</c:v>
                </c:pt>
                <c:pt idx="6">
                  <c:v>10.06</c:v>
                </c:pt>
                <c:pt idx="7">
                  <c:v>10.23</c:v>
                </c:pt>
                <c:pt idx="8">
                  <c:v>10.84</c:v>
                </c:pt>
                <c:pt idx="9">
                  <c:v>9.2200000000000006</c:v>
                </c:pt>
              </c:numCache>
            </c:numRef>
          </c:val>
          <c:smooth val="0"/>
        </c:ser>
        <c:dLbls>
          <c:showLegendKey val="0"/>
          <c:showVal val="0"/>
          <c:showCatName val="0"/>
          <c:showSerName val="0"/>
          <c:showPercent val="0"/>
          <c:showBubbleSize val="0"/>
        </c:dLbls>
        <c:marker val="1"/>
        <c:smooth val="0"/>
        <c:axId val="93212672"/>
        <c:axId val="93214208"/>
      </c:lineChart>
      <c:catAx>
        <c:axId val="93212672"/>
        <c:scaling>
          <c:orientation val="minMax"/>
        </c:scaling>
        <c:delete val="0"/>
        <c:axPos val="b"/>
        <c:majorTickMark val="out"/>
        <c:minorTickMark val="none"/>
        <c:tickLblPos val="nextTo"/>
        <c:crossAx val="93214208"/>
        <c:crosses val="autoZero"/>
        <c:auto val="1"/>
        <c:lblAlgn val="ctr"/>
        <c:lblOffset val="100"/>
        <c:noMultiLvlLbl val="0"/>
      </c:catAx>
      <c:valAx>
        <c:axId val="93214208"/>
        <c:scaling>
          <c:orientation val="minMax"/>
        </c:scaling>
        <c:delete val="0"/>
        <c:axPos val="l"/>
        <c:majorGridlines/>
        <c:numFmt formatCode="0.00" sourceLinked="1"/>
        <c:majorTickMark val="out"/>
        <c:minorTickMark val="none"/>
        <c:tickLblPos val="nextTo"/>
        <c:crossAx val="93212672"/>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0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lotArea>
      <c:layout/>
      <c:barChart>
        <c:barDir val="col"/>
        <c:grouping val="clustered"/>
        <c:varyColors val="0"/>
        <c:ser>
          <c:idx val="0"/>
          <c:order val="0"/>
          <c:tx>
            <c:strRef>
              <c:f>'Growth Pattern'!$CE$908</c:f>
              <c:strCache>
                <c:ptCount val="1"/>
                <c:pt idx="0">
                  <c:v>MAI Age 5</c:v>
                </c:pt>
              </c:strCache>
            </c:strRef>
          </c:tx>
          <c:invertIfNegative val="0"/>
          <c:cat>
            <c:strRef>
              <c:f>'Growth Pattern'!$CD$909:$CD$913</c:f>
              <c:strCache>
                <c:ptCount val="5"/>
                <c:pt idx="0">
                  <c:v>145/51</c:v>
                </c:pt>
                <c:pt idx="1">
                  <c:v>DN34</c:v>
                </c:pt>
                <c:pt idx="2">
                  <c:v>26C6R51</c:v>
                </c:pt>
                <c:pt idx="3">
                  <c:v>2059</c:v>
                </c:pt>
                <c:pt idx="4">
                  <c:v>1112</c:v>
                </c:pt>
              </c:strCache>
            </c:strRef>
          </c:cat>
          <c:val>
            <c:numRef>
              <c:f>'Growth Pattern'!$CE$909:$CE$913</c:f>
              <c:numCache>
                <c:formatCode>0.00</c:formatCode>
                <c:ptCount val="5"/>
                <c:pt idx="0">
                  <c:v>6.0939999999999994</c:v>
                </c:pt>
                <c:pt idx="1">
                  <c:v>6.6079999999999997</c:v>
                </c:pt>
                <c:pt idx="2">
                  <c:v>10.654</c:v>
                </c:pt>
                <c:pt idx="3">
                  <c:v>11.552</c:v>
                </c:pt>
                <c:pt idx="4">
                  <c:v>10.651999999999999</c:v>
                </c:pt>
              </c:numCache>
            </c:numRef>
          </c:val>
        </c:ser>
        <c:dLbls>
          <c:showLegendKey val="0"/>
          <c:showVal val="0"/>
          <c:showCatName val="0"/>
          <c:showSerName val="0"/>
          <c:showPercent val="0"/>
          <c:showBubbleSize val="0"/>
        </c:dLbls>
        <c:gapWidth val="150"/>
        <c:axId val="123250560"/>
        <c:axId val="123252096"/>
      </c:barChart>
      <c:catAx>
        <c:axId val="123250560"/>
        <c:scaling>
          <c:orientation val="minMax"/>
        </c:scaling>
        <c:delete val="0"/>
        <c:axPos val="b"/>
        <c:majorTickMark val="out"/>
        <c:minorTickMark val="none"/>
        <c:tickLblPos val="nextTo"/>
        <c:crossAx val="123252096"/>
        <c:crosses val="autoZero"/>
        <c:auto val="1"/>
        <c:lblAlgn val="ctr"/>
        <c:lblOffset val="100"/>
        <c:noMultiLvlLbl val="0"/>
      </c:catAx>
      <c:valAx>
        <c:axId val="123252096"/>
        <c:scaling>
          <c:orientation val="minMax"/>
        </c:scaling>
        <c:delete val="0"/>
        <c:axPos val="l"/>
        <c:majorGridlines/>
        <c:numFmt formatCode="0.00" sourceLinked="1"/>
        <c:majorTickMark val="out"/>
        <c:minorTickMark val="none"/>
        <c:tickLblPos val="nextTo"/>
        <c:crossAx val="123250560"/>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0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'Growth Pattern'!$CE$779</c:f>
              <c:strCache>
                <c:ptCount val="1"/>
                <c:pt idx="0">
                  <c:v>MAI</c:v>
                </c:pt>
              </c:strCache>
            </c:strRef>
          </c:tx>
          <c:cat>
            <c:numLit>
              <c:formatCode>General</c:formatCode>
              <c:ptCount val="7"/>
              <c:pt idx="0">
                <c:v>2</c:v>
              </c:pt>
              <c:pt idx="1">
                <c:v>3</c:v>
              </c:pt>
              <c:pt idx="2">
                <c:v>4</c:v>
              </c:pt>
              <c:pt idx="3">
                <c:v>5</c:v>
              </c:pt>
              <c:pt idx="4">
                <c:v>6</c:v>
              </c:pt>
              <c:pt idx="5">
                <c:v>7</c:v>
              </c:pt>
              <c:pt idx="6">
                <c:v>8</c:v>
              </c:pt>
            </c:numLit>
          </c:cat>
          <c:val>
            <c:numRef>
              <c:f>'Growth Pattern'!$CE$780:$CE$785</c:f>
              <c:numCache>
                <c:formatCode>0.00</c:formatCode>
                <c:ptCount val="6"/>
                <c:pt idx="0">
                  <c:v>1.8791899999999999</c:v>
                </c:pt>
                <c:pt idx="1">
                  <c:v>3.6174499999999998</c:v>
                </c:pt>
                <c:pt idx="2">
                  <c:v>6.4832200000000002</c:v>
                </c:pt>
                <c:pt idx="3">
                  <c:v>9.4429499999999997</c:v>
                </c:pt>
                <c:pt idx="4">
                  <c:v>10.24161</c:v>
                </c:pt>
                <c:pt idx="5">
                  <c:v>13.295299999999999</c:v>
                </c:pt>
              </c:numCache>
            </c:numRef>
          </c:val>
          <c:smooth val="0"/>
        </c:ser>
        <c:ser>
          <c:idx val="1"/>
          <c:order val="1"/>
          <c:tx>
            <c:strRef>
              <c:f>'Growth Pattern'!$CF$779</c:f>
              <c:strCache>
                <c:ptCount val="1"/>
                <c:pt idx="0">
                  <c:v>CAI</c:v>
                </c:pt>
              </c:strCache>
            </c:strRef>
          </c:tx>
          <c:cat>
            <c:numLit>
              <c:formatCode>General</c:formatCode>
              <c:ptCount val="7"/>
              <c:pt idx="0">
                <c:v>2</c:v>
              </c:pt>
              <c:pt idx="1">
                <c:v>3</c:v>
              </c:pt>
              <c:pt idx="2">
                <c:v>4</c:v>
              </c:pt>
              <c:pt idx="3">
                <c:v>5</c:v>
              </c:pt>
              <c:pt idx="4">
                <c:v>6</c:v>
              </c:pt>
              <c:pt idx="5">
                <c:v>7</c:v>
              </c:pt>
              <c:pt idx="6">
                <c:v>8</c:v>
              </c:pt>
            </c:numLit>
          </c:cat>
          <c:val>
            <c:numRef>
              <c:f>'Growth Pattern'!$CF$780:$CF$785</c:f>
              <c:numCache>
                <c:formatCode>0.00</c:formatCode>
                <c:ptCount val="6"/>
                <c:pt idx="1">
                  <c:v>7.0939699999999997</c:v>
                </c:pt>
                <c:pt idx="2">
                  <c:v>15.080530000000001</c:v>
                </c:pt>
                <c:pt idx="3">
                  <c:v>21.281869999999994</c:v>
                </c:pt>
                <c:pt idx="4">
                  <c:v>14.234909999999999</c:v>
                </c:pt>
                <c:pt idx="5">
                  <c:v>31.617440000000002</c:v>
                </c:pt>
              </c:numCache>
            </c:numRef>
          </c:val>
          <c:smooth val="0"/>
        </c:ser>
        <c:dLbls>
          <c:showLegendKey val="0"/>
          <c:showVal val="0"/>
          <c:showCatName val="0"/>
          <c:showSerName val="0"/>
          <c:showPercent val="0"/>
          <c:showBubbleSize val="0"/>
        </c:dLbls>
        <c:marker val="1"/>
        <c:smooth val="0"/>
        <c:axId val="123154816"/>
        <c:axId val="123156736"/>
      </c:lineChart>
      <c:catAx>
        <c:axId val="123154816"/>
        <c:scaling>
          <c:orientation val="minMax"/>
        </c:scaling>
        <c:delete val="0"/>
        <c:axPos val="b"/>
        <c:title>
          <c:tx>
            <c:rich>
              <a:bodyPr/>
              <a:lstStyle/>
              <a:p>
                <a:pPr>
                  <a:defRPr/>
                </a:pPr>
                <a:r>
                  <a:rPr lang="en-US"/>
                  <a:t>Stand Age</a:t>
                </a:r>
              </a:p>
            </c:rich>
          </c:tx>
          <c:overlay val="0"/>
        </c:title>
        <c:numFmt formatCode="General" sourceLinked="1"/>
        <c:majorTickMark val="out"/>
        <c:minorTickMark val="none"/>
        <c:tickLblPos val="nextTo"/>
        <c:crossAx val="123156736"/>
        <c:crosses val="autoZero"/>
        <c:auto val="1"/>
        <c:lblAlgn val="ctr"/>
        <c:lblOffset val="100"/>
        <c:noMultiLvlLbl val="0"/>
      </c:catAx>
      <c:valAx>
        <c:axId val="123156736"/>
        <c:scaling>
          <c:orientation val="minMax"/>
        </c:scaling>
        <c:delete val="0"/>
        <c:axPos val="l"/>
        <c:majorGridlines/>
        <c:title>
          <c:tx>
            <c:rich>
              <a:bodyPr rot="-5400000" vert="horz"/>
              <a:lstStyle/>
              <a:p>
                <a:pPr>
                  <a:defRPr/>
                </a:pPr>
                <a:r>
                  <a:rPr lang="en-US"/>
                  <a:t>dry Mg ha-1 yr-1</a:t>
                </a:r>
              </a:p>
            </c:rich>
          </c:tx>
          <c:overlay val="0"/>
        </c:title>
        <c:numFmt formatCode="0.00" sourceLinked="1"/>
        <c:majorTickMark val="out"/>
        <c:minorTickMark val="none"/>
        <c:tickLblPos val="nextTo"/>
        <c:crossAx val="123154816"/>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0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'Growth Pattern'!$CE$786</c:f>
              <c:strCache>
                <c:ptCount val="1"/>
                <c:pt idx="0">
                  <c:v>MAI</c:v>
                </c:pt>
              </c:strCache>
            </c:strRef>
          </c:tx>
          <c:cat>
            <c:numLit>
              <c:formatCode>General</c:formatCode>
              <c:ptCount val="6"/>
              <c:pt idx="0">
                <c:v>2</c:v>
              </c:pt>
              <c:pt idx="1">
                <c:v>3</c:v>
              </c:pt>
              <c:pt idx="2">
                <c:v>4</c:v>
              </c:pt>
              <c:pt idx="3">
                <c:v>5</c:v>
              </c:pt>
              <c:pt idx="4">
                <c:v>6</c:v>
              </c:pt>
              <c:pt idx="5">
                <c:v>7</c:v>
              </c:pt>
            </c:numLit>
          </c:cat>
          <c:val>
            <c:numRef>
              <c:f>'Growth Pattern'!$CE$787:$CE$792</c:f>
              <c:numCache>
                <c:formatCode>0.00</c:formatCode>
                <c:ptCount val="6"/>
                <c:pt idx="0">
                  <c:v>1.6443000000000001</c:v>
                </c:pt>
                <c:pt idx="1">
                  <c:v>1.8322099999999999</c:v>
                </c:pt>
                <c:pt idx="2">
                  <c:v>3.3355700000000001</c:v>
                </c:pt>
                <c:pt idx="3">
                  <c:v>5.4496599999999997</c:v>
                </c:pt>
                <c:pt idx="4">
                  <c:v>6.4362399999999997</c:v>
                </c:pt>
                <c:pt idx="5">
                  <c:v>8.8322099999999999</c:v>
                </c:pt>
              </c:numCache>
            </c:numRef>
          </c:val>
          <c:smooth val="0"/>
        </c:ser>
        <c:ser>
          <c:idx val="1"/>
          <c:order val="1"/>
          <c:tx>
            <c:strRef>
              <c:f>'Growth Pattern'!$CF$786</c:f>
              <c:strCache>
                <c:ptCount val="1"/>
                <c:pt idx="0">
                  <c:v>CAI</c:v>
                </c:pt>
              </c:strCache>
            </c:strRef>
          </c:tx>
          <c:cat>
            <c:numLit>
              <c:formatCode>General</c:formatCode>
              <c:ptCount val="6"/>
              <c:pt idx="0">
                <c:v>2</c:v>
              </c:pt>
              <c:pt idx="1">
                <c:v>3</c:v>
              </c:pt>
              <c:pt idx="2">
                <c:v>4</c:v>
              </c:pt>
              <c:pt idx="3">
                <c:v>5</c:v>
              </c:pt>
              <c:pt idx="4">
                <c:v>6</c:v>
              </c:pt>
              <c:pt idx="5">
                <c:v>7</c:v>
              </c:pt>
            </c:numLit>
          </c:cat>
          <c:val>
            <c:numRef>
              <c:f>'Growth Pattern'!$CF$787:$CF$792</c:f>
              <c:numCache>
                <c:formatCode>0.00</c:formatCode>
                <c:ptCount val="6"/>
                <c:pt idx="1">
                  <c:v>2.2080299999999995</c:v>
                </c:pt>
                <c:pt idx="2">
                  <c:v>7.8456500000000009</c:v>
                </c:pt>
                <c:pt idx="3">
                  <c:v>13.90602</c:v>
                </c:pt>
                <c:pt idx="4">
                  <c:v>11.369140000000002</c:v>
                </c:pt>
                <c:pt idx="5">
                  <c:v>23.208029999999994</c:v>
                </c:pt>
              </c:numCache>
            </c:numRef>
          </c:val>
          <c:smooth val="0"/>
        </c:ser>
        <c:dLbls>
          <c:showLegendKey val="0"/>
          <c:showVal val="0"/>
          <c:showCatName val="0"/>
          <c:showSerName val="0"/>
          <c:showPercent val="0"/>
          <c:showBubbleSize val="0"/>
        </c:dLbls>
        <c:marker val="1"/>
        <c:smooth val="0"/>
        <c:axId val="123169792"/>
        <c:axId val="123183872"/>
      </c:lineChart>
      <c:catAx>
        <c:axId val="123169792"/>
        <c:scaling>
          <c:orientation val="minMax"/>
        </c:scaling>
        <c:delete val="0"/>
        <c:axPos val="b"/>
        <c:numFmt formatCode="General" sourceLinked="1"/>
        <c:majorTickMark val="out"/>
        <c:minorTickMark val="none"/>
        <c:tickLblPos val="nextTo"/>
        <c:crossAx val="123183872"/>
        <c:crosses val="autoZero"/>
        <c:auto val="1"/>
        <c:lblAlgn val="ctr"/>
        <c:lblOffset val="100"/>
        <c:noMultiLvlLbl val="0"/>
      </c:catAx>
      <c:valAx>
        <c:axId val="123183872"/>
        <c:scaling>
          <c:orientation val="minMax"/>
        </c:scaling>
        <c:delete val="0"/>
        <c:axPos val="l"/>
        <c:majorGridlines/>
        <c:numFmt formatCode="0.00" sourceLinked="1"/>
        <c:majorTickMark val="out"/>
        <c:minorTickMark val="none"/>
        <c:tickLblPos val="nextTo"/>
        <c:crossAx val="123169792"/>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0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'Growth Pattern'!$CE$924</c:f>
              <c:strCache>
                <c:ptCount val="1"/>
                <c:pt idx="0">
                  <c:v>MAI</c:v>
                </c:pt>
              </c:strCache>
            </c:strRef>
          </c:tx>
          <c:val>
            <c:numRef>
              <c:f>'Growth Pattern'!$CE$925:$CE$929</c:f>
              <c:numCache>
                <c:formatCode>0.00</c:formatCode>
                <c:ptCount val="5"/>
                <c:pt idx="0">
                  <c:v>3.9</c:v>
                </c:pt>
                <c:pt idx="1">
                  <c:v>6.75</c:v>
                </c:pt>
                <c:pt idx="2">
                  <c:v>7.3666666666666671</c:v>
                </c:pt>
                <c:pt idx="3">
                  <c:v>7.2750000000000004</c:v>
                </c:pt>
                <c:pt idx="4">
                  <c:v>7</c:v>
                </c:pt>
              </c:numCache>
            </c:numRef>
          </c:val>
          <c:smooth val="0"/>
        </c:ser>
        <c:ser>
          <c:idx val="1"/>
          <c:order val="1"/>
          <c:tx>
            <c:strRef>
              <c:f>'Growth Pattern'!$CF$924</c:f>
              <c:strCache>
                <c:ptCount val="1"/>
                <c:pt idx="0">
                  <c:v>CAI</c:v>
                </c:pt>
              </c:strCache>
            </c:strRef>
          </c:tx>
          <c:val>
            <c:numRef>
              <c:f>'Growth Pattern'!$CF$925:$CF$929</c:f>
              <c:numCache>
                <c:formatCode>0.00</c:formatCode>
                <c:ptCount val="5"/>
                <c:pt idx="0">
                  <c:v>3.9</c:v>
                </c:pt>
                <c:pt idx="1">
                  <c:v>9.6</c:v>
                </c:pt>
                <c:pt idx="2">
                  <c:v>8.6</c:v>
                </c:pt>
                <c:pt idx="3">
                  <c:v>7</c:v>
                </c:pt>
                <c:pt idx="4">
                  <c:v>5.9</c:v>
                </c:pt>
              </c:numCache>
            </c:numRef>
          </c:val>
          <c:smooth val="0"/>
        </c:ser>
        <c:dLbls>
          <c:showLegendKey val="0"/>
          <c:showVal val="0"/>
          <c:showCatName val="0"/>
          <c:showSerName val="0"/>
          <c:showPercent val="0"/>
          <c:showBubbleSize val="0"/>
        </c:dLbls>
        <c:marker val="1"/>
        <c:smooth val="0"/>
        <c:axId val="123294848"/>
        <c:axId val="123296384"/>
      </c:lineChart>
      <c:catAx>
        <c:axId val="123294848"/>
        <c:scaling>
          <c:orientation val="minMax"/>
        </c:scaling>
        <c:delete val="0"/>
        <c:axPos val="b"/>
        <c:majorTickMark val="out"/>
        <c:minorTickMark val="none"/>
        <c:tickLblPos val="nextTo"/>
        <c:crossAx val="123296384"/>
        <c:crosses val="autoZero"/>
        <c:auto val="1"/>
        <c:lblAlgn val="ctr"/>
        <c:lblOffset val="100"/>
        <c:noMultiLvlLbl val="0"/>
      </c:catAx>
      <c:valAx>
        <c:axId val="123296384"/>
        <c:scaling>
          <c:orientation val="minMax"/>
        </c:scaling>
        <c:delete val="0"/>
        <c:axPos val="l"/>
        <c:majorGridlines/>
        <c:numFmt formatCode="0.00" sourceLinked="1"/>
        <c:majorTickMark val="out"/>
        <c:minorTickMark val="none"/>
        <c:tickLblPos val="nextTo"/>
        <c:crossAx val="123294848"/>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0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'Growth Pattern'!$CE$930</c:f>
              <c:strCache>
                <c:ptCount val="1"/>
                <c:pt idx="0">
                  <c:v>MAI</c:v>
                </c:pt>
              </c:strCache>
            </c:strRef>
          </c:tx>
          <c:val>
            <c:numRef>
              <c:f>'Growth Pattern'!$CE$931:$CE$935</c:f>
              <c:numCache>
                <c:formatCode>0.00</c:formatCode>
                <c:ptCount val="5"/>
                <c:pt idx="0">
                  <c:v>3.1</c:v>
                </c:pt>
                <c:pt idx="1">
                  <c:v>5.8999999999999995</c:v>
                </c:pt>
                <c:pt idx="2">
                  <c:v>6.5666666666666664</c:v>
                </c:pt>
                <c:pt idx="3">
                  <c:v>6.1749999999999998</c:v>
                </c:pt>
                <c:pt idx="4">
                  <c:v>6.4</c:v>
                </c:pt>
              </c:numCache>
            </c:numRef>
          </c:val>
          <c:smooth val="0"/>
        </c:ser>
        <c:ser>
          <c:idx val="1"/>
          <c:order val="1"/>
          <c:tx>
            <c:strRef>
              <c:f>'Growth Pattern'!$CF$930</c:f>
              <c:strCache>
                <c:ptCount val="1"/>
                <c:pt idx="0">
                  <c:v>CAI</c:v>
                </c:pt>
              </c:strCache>
            </c:strRef>
          </c:tx>
          <c:val>
            <c:numRef>
              <c:f>'Growth Pattern'!$CF$931:$CF$935</c:f>
              <c:numCache>
                <c:formatCode>0.00</c:formatCode>
                <c:ptCount val="5"/>
                <c:pt idx="0">
                  <c:v>3.1</c:v>
                </c:pt>
                <c:pt idx="1">
                  <c:v>8.6999999999999993</c:v>
                </c:pt>
                <c:pt idx="2">
                  <c:v>7.9</c:v>
                </c:pt>
                <c:pt idx="3">
                  <c:v>5</c:v>
                </c:pt>
                <c:pt idx="4">
                  <c:v>7.3</c:v>
                </c:pt>
              </c:numCache>
            </c:numRef>
          </c:val>
          <c:smooth val="0"/>
        </c:ser>
        <c:dLbls>
          <c:showLegendKey val="0"/>
          <c:showVal val="0"/>
          <c:showCatName val="0"/>
          <c:showSerName val="0"/>
          <c:showPercent val="0"/>
          <c:showBubbleSize val="0"/>
        </c:dLbls>
        <c:marker val="1"/>
        <c:smooth val="0"/>
        <c:axId val="123313152"/>
        <c:axId val="123327232"/>
      </c:lineChart>
      <c:catAx>
        <c:axId val="123313152"/>
        <c:scaling>
          <c:orientation val="minMax"/>
        </c:scaling>
        <c:delete val="0"/>
        <c:axPos val="b"/>
        <c:majorTickMark val="out"/>
        <c:minorTickMark val="none"/>
        <c:tickLblPos val="nextTo"/>
        <c:crossAx val="123327232"/>
        <c:crosses val="autoZero"/>
        <c:auto val="1"/>
        <c:lblAlgn val="ctr"/>
        <c:lblOffset val="100"/>
        <c:noMultiLvlLbl val="0"/>
      </c:catAx>
      <c:valAx>
        <c:axId val="123327232"/>
        <c:scaling>
          <c:orientation val="minMax"/>
        </c:scaling>
        <c:delete val="0"/>
        <c:axPos val="l"/>
        <c:majorGridlines/>
        <c:numFmt formatCode="0.00" sourceLinked="1"/>
        <c:majorTickMark val="out"/>
        <c:minorTickMark val="none"/>
        <c:tickLblPos val="nextTo"/>
        <c:crossAx val="123313152"/>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0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'Growth Pattern'!$CE$936</c:f>
              <c:strCache>
                <c:ptCount val="1"/>
                <c:pt idx="0">
                  <c:v>MAI</c:v>
                </c:pt>
              </c:strCache>
            </c:strRef>
          </c:tx>
          <c:val>
            <c:numRef>
              <c:f>'Growth Pattern'!$CE$937:$CE$941</c:f>
              <c:numCache>
                <c:formatCode>0.00</c:formatCode>
                <c:ptCount val="5"/>
                <c:pt idx="0">
                  <c:v>4.0999999999999996</c:v>
                </c:pt>
                <c:pt idx="1">
                  <c:v>6.2</c:v>
                </c:pt>
                <c:pt idx="2">
                  <c:v>6.9000000000000012</c:v>
                </c:pt>
                <c:pt idx="3">
                  <c:v>7.1250000000000009</c:v>
                </c:pt>
                <c:pt idx="4">
                  <c:v>6.8800000000000008</c:v>
                </c:pt>
              </c:numCache>
            </c:numRef>
          </c:val>
          <c:smooth val="0"/>
        </c:ser>
        <c:ser>
          <c:idx val="1"/>
          <c:order val="1"/>
          <c:tx>
            <c:strRef>
              <c:f>'Growth Pattern'!$CF$936</c:f>
              <c:strCache>
                <c:ptCount val="1"/>
                <c:pt idx="0">
                  <c:v>CAI</c:v>
                </c:pt>
              </c:strCache>
            </c:strRef>
          </c:tx>
          <c:val>
            <c:numRef>
              <c:f>'Growth Pattern'!$CF$937:$CF$941</c:f>
              <c:numCache>
                <c:formatCode>0.00</c:formatCode>
                <c:ptCount val="5"/>
                <c:pt idx="0">
                  <c:v>4.0999999999999996</c:v>
                </c:pt>
                <c:pt idx="1">
                  <c:v>8.3000000000000007</c:v>
                </c:pt>
                <c:pt idx="2">
                  <c:v>8.3000000000000007</c:v>
                </c:pt>
                <c:pt idx="3">
                  <c:v>7.8</c:v>
                </c:pt>
                <c:pt idx="4">
                  <c:v>5.9</c:v>
                </c:pt>
              </c:numCache>
            </c:numRef>
          </c:val>
          <c:smooth val="0"/>
        </c:ser>
        <c:dLbls>
          <c:showLegendKey val="0"/>
          <c:showVal val="0"/>
          <c:showCatName val="0"/>
          <c:showSerName val="0"/>
          <c:showPercent val="0"/>
          <c:showBubbleSize val="0"/>
        </c:dLbls>
        <c:marker val="1"/>
        <c:smooth val="0"/>
        <c:axId val="123478784"/>
        <c:axId val="123480320"/>
      </c:lineChart>
      <c:catAx>
        <c:axId val="123478784"/>
        <c:scaling>
          <c:orientation val="minMax"/>
        </c:scaling>
        <c:delete val="0"/>
        <c:axPos val="b"/>
        <c:majorTickMark val="out"/>
        <c:minorTickMark val="none"/>
        <c:tickLblPos val="nextTo"/>
        <c:crossAx val="123480320"/>
        <c:crosses val="autoZero"/>
        <c:auto val="1"/>
        <c:lblAlgn val="ctr"/>
        <c:lblOffset val="100"/>
        <c:noMultiLvlLbl val="0"/>
      </c:catAx>
      <c:valAx>
        <c:axId val="123480320"/>
        <c:scaling>
          <c:orientation val="minMax"/>
        </c:scaling>
        <c:delete val="0"/>
        <c:axPos val="l"/>
        <c:majorGridlines/>
        <c:numFmt formatCode="0.00" sourceLinked="1"/>
        <c:majorTickMark val="out"/>
        <c:minorTickMark val="none"/>
        <c:tickLblPos val="nextTo"/>
        <c:crossAx val="123478784"/>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0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'Growth Pattern'!$CE$942</c:f>
              <c:strCache>
                <c:ptCount val="1"/>
                <c:pt idx="0">
                  <c:v>MAI</c:v>
                </c:pt>
              </c:strCache>
            </c:strRef>
          </c:tx>
          <c:val>
            <c:numRef>
              <c:f>'Growth Pattern'!$CE$943:$CE$947</c:f>
              <c:numCache>
                <c:formatCode>0.00</c:formatCode>
                <c:ptCount val="5"/>
                <c:pt idx="0">
                  <c:v>3</c:v>
                </c:pt>
                <c:pt idx="1">
                  <c:v>5.35</c:v>
                </c:pt>
                <c:pt idx="2">
                  <c:v>6.0666666666666664</c:v>
                </c:pt>
                <c:pt idx="3">
                  <c:v>6.375</c:v>
                </c:pt>
                <c:pt idx="4">
                  <c:v>6.42</c:v>
                </c:pt>
              </c:numCache>
            </c:numRef>
          </c:val>
          <c:smooth val="0"/>
        </c:ser>
        <c:ser>
          <c:idx val="1"/>
          <c:order val="1"/>
          <c:tx>
            <c:strRef>
              <c:f>'Growth Pattern'!$CF$942</c:f>
              <c:strCache>
                <c:ptCount val="1"/>
                <c:pt idx="0">
                  <c:v>CAI</c:v>
                </c:pt>
              </c:strCache>
            </c:strRef>
          </c:tx>
          <c:val>
            <c:numRef>
              <c:f>'Growth Pattern'!$CF$943:$CF$947</c:f>
              <c:numCache>
                <c:formatCode>0.00</c:formatCode>
                <c:ptCount val="5"/>
                <c:pt idx="0">
                  <c:v>3</c:v>
                </c:pt>
                <c:pt idx="1">
                  <c:v>7.7</c:v>
                </c:pt>
                <c:pt idx="2">
                  <c:v>7.5</c:v>
                </c:pt>
                <c:pt idx="3">
                  <c:v>7.3</c:v>
                </c:pt>
                <c:pt idx="4">
                  <c:v>6.6</c:v>
                </c:pt>
              </c:numCache>
            </c:numRef>
          </c:val>
          <c:smooth val="0"/>
        </c:ser>
        <c:dLbls>
          <c:showLegendKey val="0"/>
          <c:showVal val="0"/>
          <c:showCatName val="0"/>
          <c:showSerName val="0"/>
          <c:showPercent val="0"/>
          <c:showBubbleSize val="0"/>
        </c:dLbls>
        <c:marker val="1"/>
        <c:smooth val="0"/>
        <c:axId val="123509376"/>
        <c:axId val="123515264"/>
      </c:lineChart>
      <c:catAx>
        <c:axId val="123509376"/>
        <c:scaling>
          <c:orientation val="minMax"/>
        </c:scaling>
        <c:delete val="0"/>
        <c:axPos val="b"/>
        <c:majorTickMark val="out"/>
        <c:minorTickMark val="none"/>
        <c:tickLblPos val="nextTo"/>
        <c:crossAx val="123515264"/>
        <c:crosses val="autoZero"/>
        <c:auto val="1"/>
        <c:lblAlgn val="ctr"/>
        <c:lblOffset val="100"/>
        <c:noMultiLvlLbl val="0"/>
      </c:catAx>
      <c:valAx>
        <c:axId val="123515264"/>
        <c:scaling>
          <c:orientation val="minMax"/>
        </c:scaling>
        <c:delete val="0"/>
        <c:axPos val="l"/>
        <c:majorGridlines/>
        <c:numFmt formatCode="0.00" sourceLinked="1"/>
        <c:majorTickMark val="out"/>
        <c:minorTickMark val="none"/>
        <c:tickLblPos val="nextTo"/>
        <c:crossAx val="123509376"/>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0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'Growth Pattern'!$CE$948</c:f>
              <c:strCache>
                <c:ptCount val="1"/>
                <c:pt idx="0">
                  <c:v>MAI</c:v>
                </c:pt>
              </c:strCache>
            </c:strRef>
          </c:tx>
          <c:val>
            <c:numRef>
              <c:f>'Growth Pattern'!$CE$949:$CE$955</c:f>
              <c:numCache>
                <c:formatCode>0.00</c:formatCode>
                <c:ptCount val="7"/>
                <c:pt idx="0">
                  <c:v>3.8980100000000002</c:v>
                </c:pt>
                <c:pt idx="1">
                  <c:v>8.3892000000000007</c:v>
                </c:pt>
                <c:pt idx="2">
                  <c:v>11.032266666666667</c:v>
                </c:pt>
                <c:pt idx="3">
                  <c:v>10.291</c:v>
                </c:pt>
                <c:pt idx="4">
                  <c:v>10.80598</c:v>
                </c:pt>
                <c:pt idx="5">
                  <c:v>10.464116666666667</c:v>
                </c:pt>
                <c:pt idx="6">
                  <c:v>9.8290857142857142</c:v>
                </c:pt>
              </c:numCache>
            </c:numRef>
          </c:val>
          <c:smooth val="0"/>
        </c:ser>
        <c:ser>
          <c:idx val="1"/>
          <c:order val="1"/>
          <c:tx>
            <c:strRef>
              <c:f>'Growth Pattern'!$CF$948</c:f>
              <c:strCache>
                <c:ptCount val="1"/>
                <c:pt idx="0">
                  <c:v>CAI</c:v>
                </c:pt>
              </c:strCache>
            </c:strRef>
          </c:tx>
          <c:val>
            <c:numRef>
              <c:f>'Growth Pattern'!$CF$949:$CF$955</c:f>
              <c:numCache>
                <c:formatCode>0.00</c:formatCode>
                <c:ptCount val="7"/>
                <c:pt idx="0">
                  <c:v>3.9</c:v>
                </c:pt>
                <c:pt idx="1">
                  <c:v>12.880390000000002</c:v>
                </c:pt>
                <c:pt idx="2">
                  <c:v>16.3184</c:v>
                </c:pt>
                <c:pt idx="3">
                  <c:v>8.0671999999999997</c:v>
                </c:pt>
                <c:pt idx="4">
                  <c:v>12.865899999999996</c:v>
                </c:pt>
                <c:pt idx="5">
                  <c:v>8.754800000000003</c:v>
                </c:pt>
                <c:pt idx="6">
                  <c:v>6.0189000000000021</c:v>
                </c:pt>
              </c:numCache>
            </c:numRef>
          </c:val>
          <c:smooth val="0"/>
        </c:ser>
        <c:dLbls>
          <c:showLegendKey val="0"/>
          <c:showVal val="0"/>
          <c:showCatName val="0"/>
          <c:showSerName val="0"/>
          <c:showPercent val="0"/>
          <c:showBubbleSize val="0"/>
        </c:dLbls>
        <c:marker val="1"/>
        <c:smooth val="0"/>
        <c:axId val="123810560"/>
        <c:axId val="123812480"/>
      </c:lineChart>
      <c:catAx>
        <c:axId val="123810560"/>
        <c:scaling>
          <c:orientation val="minMax"/>
        </c:scaling>
        <c:delete val="0"/>
        <c:axPos val="b"/>
        <c:title>
          <c:tx>
            <c:rich>
              <a:bodyPr/>
              <a:lstStyle/>
              <a:p>
                <a:pPr>
                  <a:defRPr/>
                </a:pPr>
                <a:r>
                  <a:rPr lang="en-US"/>
                  <a:t>Stand Age</a:t>
                </a:r>
              </a:p>
            </c:rich>
          </c:tx>
          <c:overlay val="0"/>
        </c:title>
        <c:majorTickMark val="out"/>
        <c:minorTickMark val="none"/>
        <c:tickLblPos val="nextTo"/>
        <c:crossAx val="123812480"/>
        <c:crosses val="autoZero"/>
        <c:auto val="1"/>
        <c:lblAlgn val="ctr"/>
        <c:lblOffset val="100"/>
        <c:noMultiLvlLbl val="0"/>
      </c:catAx>
      <c:valAx>
        <c:axId val="123812480"/>
        <c:scaling>
          <c:orientation val="minMax"/>
        </c:scaling>
        <c:delete val="0"/>
        <c:axPos val="l"/>
        <c:majorGridlines/>
        <c:title>
          <c:tx>
            <c:rich>
              <a:bodyPr rot="-5400000" vert="horz"/>
              <a:lstStyle/>
              <a:p>
                <a:pPr>
                  <a:defRPr/>
                </a:pPr>
                <a:r>
                  <a:rPr lang="en-US"/>
                  <a:t>dry Mg ha-1 yr-1</a:t>
                </a:r>
              </a:p>
            </c:rich>
          </c:tx>
          <c:overlay val="0"/>
        </c:title>
        <c:numFmt formatCode="0.00" sourceLinked="1"/>
        <c:majorTickMark val="out"/>
        <c:minorTickMark val="none"/>
        <c:tickLblPos val="nextTo"/>
        <c:crossAx val="123810560"/>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0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'Growth Pattern'!$CE$956</c:f>
              <c:strCache>
                <c:ptCount val="1"/>
                <c:pt idx="0">
                  <c:v>MAI</c:v>
                </c:pt>
              </c:strCache>
            </c:strRef>
          </c:tx>
          <c:val>
            <c:numRef>
              <c:f>'Growth Pattern'!$CE$957:$CE$963</c:f>
              <c:numCache>
                <c:formatCode>0.00</c:formatCode>
                <c:ptCount val="7"/>
                <c:pt idx="0">
                  <c:v>3.8980100000000002</c:v>
                </c:pt>
                <c:pt idx="1">
                  <c:v>5.2949999999999999</c:v>
                </c:pt>
                <c:pt idx="2">
                  <c:v>8.9646333333333335</c:v>
                </c:pt>
                <c:pt idx="3">
                  <c:v>10.1191</c:v>
                </c:pt>
                <c:pt idx="4">
                  <c:v>11.6311</c:v>
                </c:pt>
                <c:pt idx="5">
                  <c:v>11.037116666666668</c:v>
                </c:pt>
                <c:pt idx="6">
                  <c:v>10.219928571428571</c:v>
                </c:pt>
              </c:numCache>
            </c:numRef>
          </c:val>
          <c:smooth val="0"/>
        </c:ser>
        <c:ser>
          <c:idx val="1"/>
          <c:order val="1"/>
          <c:tx>
            <c:strRef>
              <c:f>'Growth Pattern'!$CF$956</c:f>
              <c:strCache>
                <c:ptCount val="1"/>
                <c:pt idx="0">
                  <c:v>CAI</c:v>
                </c:pt>
              </c:strCache>
            </c:strRef>
          </c:tx>
          <c:val>
            <c:numRef>
              <c:f>'Growth Pattern'!$CF$957:$CF$963</c:f>
              <c:numCache>
                <c:formatCode>0.00</c:formatCode>
                <c:ptCount val="7"/>
                <c:pt idx="0">
                  <c:v>3.9</c:v>
                </c:pt>
                <c:pt idx="1">
                  <c:v>6.6919899999999997</c:v>
                </c:pt>
                <c:pt idx="2">
                  <c:v>16.303899999999999</c:v>
                </c:pt>
                <c:pt idx="3">
                  <c:v>13.5825</c:v>
                </c:pt>
                <c:pt idx="4">
                  <c:v>17.679100000000005</c:v>
                </c:pt>
                <c:pt idx="5">
                  <c:v>8.0671999999999997</c:v>
                </c:pt>
                <c:pt idx="6">
                  <c:v>5.3168000000000006</c:v>
                </c:pt>
              </c:numCache>
            </c:numRef>
          </c:val>
          <c:smooth val="0"/>
        </c:ser>
        <c:dLbls>
          <c:showLegendKey val="0"/>
          <c:showVal val="0"/>
          <c:showCatName val="0"/>
          <c:showSerName val="0"/>
          <c:showPercent val="0"/>
          <c:showBubbleSize val="0"/>
        </c:dLbls>
        <c:marker val="1"/>
        <c:smooth val="0"/>
        <c:axId val="123841920"/>
        <c:axId val="123843712"/>
      </c:lineChart>
      <c:catAx>
        <c:axId val="123841920"/>
        <c:scaling>
          <c:orientation val="minMax"/>
        </c:scaling>
        <c:delete val="0"/>
        <c:axPos val="b"/>
        <c:majorTickMark val="out"/>
        <c:minorTickMark val="none"/>
        <c:tickLblPos val="nextTo"/>
        <c:crossAx val="123843712"/>
        <c:crosses val="autoZero"/>
        <c:auto val="1"/>
        <c:lblAlgn val="ctr"/>
        <c:lblOffset val="100"/>
        <c:noMultiLvlLbl val="0"/>
      </c:catAx>
      <c:valAx>
        <c:axId val="123843712"/>
        <c:scaling>
          <c:orientation val="minMax"/>
        </c:scaling>
        <c:delete val="0"/>
        <c:axPos val="l"/>
        <c:majorGridlines/>
        <c:numFmt formatCode="0.00" sourceLinked="1"/>
        <c:majorTickMark val="out"/>
        <c:minorTickMark val="none"/>
        <c:tickLblPos val="nextTo"/>
        <c:crossAx val="123841920"/>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0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'Growth Pattern'!$CE$964</c:f>
              <c:strCache>
                <c:ptCount val="1"/>
                <c:pt idx="0">
                  <c:v>MAI</c:v>
                </c:pt>
              </c:strCache>
            </c:strRef>
          </c:tx>
          <c:val>
            <c:numRef>
              <c:f>'Growth Pattern'!$CE$965:$CE$971</c:f>
              <c:numCache>
                <c:formatCode>0.00</c:formatCode>
                <c:ptCount val="7"/>
                <c:pt idx="0">
                  <c:v>3.1958899999999999</c:v>
                </c:pt>
                <c:pt idx="1">
                  <c:v>2.19354</c:v>
                </c:pt>
                <c:pt idx="2">
                  <c:v>5.5266333333333328</c:v>
                </c:pt>
                <c:pt idx="3">
                  <c:v>7.3686999999999996</c:v>
                </c:pt>
                <c:pt idx="4">
                  <c:v>9.1557399999999998</c:v>
                </c:pt>
                <c:pt idx="5">
                  <c:v>8.8597166666666656</c:v>
                </c:pt>
                <c:pt idx="6">
                  <c:v>9.8270142857142861</c:v>
                </c:pt>
              </c:numCache>
            </c:numRef>
          </c:val>
          <c:smooth val="0"/>
        </c:ser>
        <c:ser>
          <c:idx val="1"/>
          <c:order val="1"/>
          <c:tx>
            <c:strRef>
              <c:f>'Growth Pattern'!$CF$964</c:f>
              <c:strCache>
                <c:ptCount val="1"/>
                <c:pt idx="0">
                  <c:v>CAI</c:v>
                </c:pt>
              </c:strCache>
            </c:strRef>
          </c:tx>
          <c:val>
            <c:numRef>
              <c:f>'Growth Pattern'!$CF$965:$CF$971</c:f>
              <c:numCache>
                <c:formatCode>0.00</c:formatCode>
                <c:ptCount val="7"/>
                <c:pt idx="0">
                  <c:v>3.2</c:v>
                </c:pt>
                <c:pt idx="1">
                  <c:v>1.1911900000000002</c:v>
                </c:pt>
                <c:pt idx="2">
                  <c:v>12.192819999999998</c:v>
                </c:pt>
                <c:pt idx="3">
                  <c:v>12.8949</c:v>
                </c:pt>
                <c:pt idx="4">
                  <c:v>16.303900000000002</c:v>
                </c:pt>
                <c:pt idx="5">
                  <c:v>7.3795999999999964</c:v>
                </c:pt>
                <c:pt idx="6">
                  <c:v>15.630800000000008</c:v>
                </c:pt>
              </c:numCache>
            </c:numRef>
          </c:val>
          <c:smooth val="0"/>
        </c:ser>
        <c:dLbls>
          <c:showLegendKey val="0"/>
          <c:showVal val="0"/>
          <c:showCatName val="0"/>
          <c:showSerName val="0"/>
          <c:showPercent val="0"/>
          <c:showBubbleSize val="0"/>
        </c:dLbls>
        <c:marker val="1"/>
        <c:smooth val="0"/>
        <c:axId val="123549184"/>
        <c:axId val="123550720"/>
      </c:lineChart>
      <c:catAx>
        <c:axId val="123549184"/>
        <c:scaling>
          <c:orientation val="minMax"/>
        </c:scaling>
        <c:delete val="0"/>
        <c:axPos val="b"/>
        <c:majorTickMark val="out"/>
        <c:minorTickMark val="none"/>
        <c:tickLblPos val="nextTo"/>
        <c:crossAx val="123550720"/>
        <c:crosses val="autoZero"/>
        <c:auto val="1"/>
        <c:lblAlgn val="ctr"/>
        <c:lblOffset val="100"/>
        <c:noMultiLvlLbl val="0"/>
      </c:catAx>
      <c:valAx>
        <c:axId val="123550720"/>
        <c:scaling>
          <c:orientation val="minMax"/>
        </c:scaling>
        <c:delete val="0"/>
        <c:axPos val="l"/>
        <c:majorGridlines/>
        <c:numFmt formatCode="0.00" sourceLinked="1"/>
        <c:majorTickMark val="out"/>
        <c:minorTickMark val="none"/>
        <c:tickLblPos val="nextTo"/>
        <c:crossAx val="123549184"/>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'Growth Pattern'!$CE$197</c:f>
              <c:strCache>
                <c:ptCount val="1"/>
                <c:pt idx="0">
                  <c:v>MAI</c:v>
                </c:pt>
              </c:strCache>
            </c:strRef>
          </c:tx>
          <c:val>
            <c:numRef>
              <c:f>'Growth Pattern'!$CE$198:$CE$207</c:f>
              <c:numCache>
                <c:formatCode>0.00</c:formatCode>
                <c:ptCount val="10"/>
                <c:pt idx="0">
                  <c:v>0.64</c:v>
                </c:pt>
                <c:pt idx="1">
                  <c:v>2.21</c:v>
                </c:pt>
                <c:pt idx="2">
                  <c:v>5.6066666666666665</c:v>
                </c:pt>
                <c:pt idx="3">
                  <c:v>7.5549999999999997</c:v>
                </c:pt>
                <c:pt idx="4">
                  <c:v>8.6840000000000011</c:v>
                </c:pt>
                <c:pt idx="5">
                  <c:v>8.6333333333333346</c:v>
                </c:pt>
                <c:pt idx="6">
                  <c:v>8.8714285714285719</c:v>
                </c:pt>
                <c:pt idx="7">
                  <c:v>8.9312500000000004</c:v>
                </c:pt>
                <c:pt idx="8">
                  <c:v>8.7188888888888894</c:v>
                </c:pt>
                <c:pt idx="9">
                  <c:v>8.5350000000000001</c:v>
                </c:pt>
              </c:numCache>
            </c:numRef>
          </c:val>
          <c:smooth val="0"/>
        </c:ser>
        <c:ser>
          <c:idx val="1"/>
          <c:order val="1"/>
          <c:tx>
            <c:strRef>
              <c:f>'Growth Pattern'!$CF$197</c:f>
              <c:strCache>
                <c:ptCount val="1"/>
                <c:pt idx="0">
                  <c:v>CAI</c:v>
                </c:pt>
              </c:strCache>
            </c:strRef>
          </c:tx>
          <c:val>
            <c:numRef>
              <c:f>'Growth Pattern'!$CF$198:$CF$207</c:f>
              <c:numCache>
                <c:formatCode>0.00</c:formatCode>
                <c:ptCount val="10"/>
                <c:pt idx="0">
                  <c:v>0.64</c:v>
                </c:pt>
                <c:pt idx="1">
                  <c:v>3.78</c:v>
                </c:pt>
                <c:pt idx="2">
                  <c:v>12.4</c:v>
                </c:pt>
                <c:pt idx="3">
                  <c:v>13.4</c:v>
                </c:pt>
                <c:pt idx="4">
                  <c:v>13.2</c:v>
                </c:pt>
                <c:pt idx="5">
                  <c:v>8.3800000000000008</c:v>
                </c:pt>
                <c:pt idx="6">
                  <c:v>10.3</c:v>
                </c:pt>
                <c:pt idx="7">
                  <c:v>9.35</c:v>
                </c:pt>
                <c:pt idx="8">
                  <c:v>7.02</c:v>
                </c:pt>
                <c:pt idx="9">
                  <c:v>6.88</c:v>
                </c:pt>
              </c:numCache>
            </c:numRef>
          </c:val>
          <c:smooth val="0"/>
        </c:ser>
        <c:dLbls>
          <c:showLegendKey val="0"/>
          <c:showVal val="0"/>
          <c:showCatName val="0"/>
          <c:showSerName val="0"/>
          <c:showPercent val="0"/>
          <c:showBubbleSize val="0"/>
        </c:dLbls>
        <c:marker val="1"/>
        <c:smooth val="0"/>
        <c:axId val="93235072"/>
        <c:axId val="93236608"/>
      </c:lineChart>
      <c:catAx>
        <c:axId val="93235072"/>
        <c:scaling>
          <c:orientation val="minMax"/>
        </c:scaling>
        <c:delete val="0"/>
        <c:axPos val="b"/>
        <c:majorTickMark val="out"/>
        <c:minorTickMark val="none"/>
        <c:tickLblPos val="nextTo"/>
        <c:crossAx val="93236608"/>
        <c:crosses val="autoZero"/>
        <c:auto val="1"/>
        <c:lblAlgn val="ctr"/>
        <c:lblOffset val="100"/>
        <c:noMultiLvlLbl val="0"/>
      </c:catAx>
      <c:valAx>
        <c:axId val="93236608"/>
        <c:scaling>
          <c:orientation val="minMax"/>
        </c:scaling>
        <c:delete val="0"/>
        <c:axPos val="l"/>
        <c:majorGridlines/>
        <c:numFmt formatCode="0.00" sourceLinked="1"/>
        <c:majorTickMark val="out"/>
        <c:minorTickMark val="none"/>
        <c:tickLblPos val="nextTo"/>
        <c:crossAx val="93235072"/>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'Growth Pattern'!$CE$972</c:f>
              <c:strCache>
                <c:ptCount val="1"/>
                <c:pt idx="0">
                  <c:v>MAI</c:v>
                </c:pt>
              </c:strCache>
            </c:strRef>
          </c:tx>
          <c:val>
            <c:numRef>
              <c:f>'Growth Pattern'!$CE$973:$CE$979</c:f>
              <c:numCache>
                <c:formatCode>0.00</c:formatCode>
                <c:ptCount val="7"/>
                <c:pt idx="0">
                  <c:v>8.7257400000000001</c:v>
                </c:pt>
                <c:pt idx="1">
                  <c:v>11.476150000000001</c:v>
                </c:pt>
                <c:pt idx="2">
                  <c:v>14.928666666666667</c:v>
                </c:pt>
                <c:pt idx="3">
                  <c:v>16.307500000000001</c:v>
                </c:pt>
                <c:pt idx="4">
                  <c:v>17.681979999999999</c:v>
                </c:pt>
                <c:pt idx="5">
                  <c:v>17.574166666666667</c:v>
                </c:pt>
                <c:pt idx="6">
                  <c:v>16.017428571428571</c:v>
                </c:pt>
              </c:numCache>
            </c:numRef>
          </c:val>
          <c:smooth val="0"/>
        </c:ser>
        <c:ser>
          <c:idx val="1"/>
          <c:order val="1"/>
          <c:tx>
            <c:strRef>
              <c:f>'Growth Pattern'!$CF$972</c:f>
              <c:strCache>
                <c:ptCount val="1"/>
                <c:pt idx="0">
                  <c:v>CAI</c:v>
                </c:pt>
              </c:strCache>
            </c:strRef>
          </c:tx>
          <c:val>
            <c:numRef>
              <c:f>'Growth Pattern'!$CF$973:$CF$979</c:f>
              <c:numCache>
                <c:formatCode>0.00</c:formatCode>
                <c:ptCount val="7"/>
                <c:pt idx="0">
                  <c:v>8.73</c:v>
                </c:pt>
                <c:pt idx="1">
                  <c:v>14.226560000000001</c:v>
                </c:pt>
                <c:pt idx="2">
                  <c:v>21.8337</c:v>
                </c:pt>
                <c:pt idx="3">
                  <c:v>20.444000000000003</c:v>
                </c:pt>
                <c:pt idx="4">
                  <c:v>23.179899999999989</c:v>
                </c:pt>
                <c:pt idx="5">
                  <c:v>17.0351</c:v>
                </c:pt>
                <c:pt idx="6">
                  <c:v>6.6770000000000067</c:v>
                </c:pt>
              </c:numCache>
            </c:numRef>
          </c:val>
          <c:smooth val="0"/>
        </c:ser>
        <c:dLbls>
          <c:showLegendKey val="0"/>
          <c:showVal val="0"/>
          <c:showCatName val="0"/>
          <c:showSerName val="0"/>
          <c:showPercent val="0"/>
          <c:showBubbleSize val="0"/>
        </c:dLbls>
        <c:marker val="1"/>
        <c:smooth val="0"/>
        <c:axId val="123563392"/>
        <c:axId val="123577472"/>
      </c:lineChart>
      <c:catAx>
        <c:axId val="123563392"/>
        <c:scaling>
          <c:orientation val="minMax"/>
        </c:scaling>
        <c:delete val="0"/>
        <c:axPos val="b"/>
        <c:majorTickMark val="out"/>
        <c:minorTickMark val="none"/>
        <c:tickLblPos val="nextTo"/>
        <c:crossAx val="123577472"/>
        <c:crosses val="autoZero"/>
        <c:auto val="1"/>
        <c:lblAlgn val="ctr"/>
        <c:lblOffset val="100"/>
        <c:noMultiLvlLbl val="0"/>
      </c:catAx>
      <c:valAx>
        <c:axId val="123577472"/>
        <c:scaling>
          <c:orientation val="minMax"/>
        </c:scaling>
        <c:delete val="0"/>
        <c:axPos val="l"/>
        <c:majorGridlines/>
        <c:numFmt formatCode="0.00" sourceLinked="1"/>
        <c:majorTickMark val="out"/>
        <c:minorTickMark val="none"/>
        <c:tickLblPos val="nextTo"/>
        <c:crossAx val="123563392"/>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024098407821235"/>
          <c:y val="0.12214054520836684"/>
          <c:w val="0.60306578387607723"/>
          <c:h val="0.71580393571733758"/>
        </c:manualLayout>
      </c:layout>
      <c:lineChart>
        <c:grouping val="standard"/>
        <c:varyColors val="0"/>
        <c:ser>
          <c:idx val="0"/>
          <c:order val="0"/>
          <c:tx>
            <c:strRef>
              <c:f>'Growth Pattern'!$CE$980</c:f>
              <c:strCache>
                <c:ptCount val="1"/>
                <c:pt idx="0">
                  <c:v>MAI</c:v>
                </c:pt>
              </c:strCache>
            </c:strRef>
          </c:tx>
          <c:val>
            <c:numRef>
              <c:f>'Growth Pattern'!$CE$981:$CE$987</c:f>
              <c:numCache>
                <c:formatCode>0.00</c:formatCode>
                <c:ptCount val="7"/>
                <c:pt idx="0">
                  <c:v>5.9608100000000004</c:v>
                </c:pt>
                <c:pt idx="1">
                  <c:v>8.0309000000000008</c:v>
                </c:pt>
                <c:pt idx="2">
                  <c:v>13.090233333333332</c:v>
                </c:pt>
                <c:pt idx="3">
                  <c:v>16.651299999999999</c:v>
                </c:pt>
                <c:pt idx="4">
                  <c:v>18.369579999999999</c:v>
                </c:pt>
                <c:pt idx="5">
                  <c:v>18.488499999999998</c:v>
                </c:pt>
                <c:pt idx="6">
                  <c:v>18.17642857142857</c:v>
                </c:pt>
              </c:numCache>
            </c:numRef>
          </c:val>
          <c:smooth val="0"/>
        </c:ser>
        <c:ser>
          <c:idx val="1"/>
          <c:order val="1"/>
          <c:tx>
            <c:strRef>
              <c:f>'Growth Pattern'!$CF$980</c:f>
              <c:strCache>
                <c:ptCount val="1"/>
                <c:pt idx="0">
                  <c:v>CAI</c:v>
                </c:pt>
              </c:strCache>
            </c:strRef>
          </c:tx>
          <c:val>
            <c:numRef>
              <c:f>'Growth Pattern'!$CF$981:$CF$987</c:f>
              <c:numCache>
                <c:formatCode>0.00</c:formatCode>
                <c:ptCount val="7"/>
                <c:pt idx="0">
                  <c:v>5.96</c:v>
                </c:pt>
                <c:pt idx="1">
                  <c:v>10.100990000000001</c:v>
                </c:pt>
                <c:pt idx="2">
                  <c:v>23.208899999999996</c:v>
                </c:pt>
                <c:pt idx="3">
                  <c:v>27.334499999999998</c:v>
                </c:pt>
                <c:pt idx="4">
                  <c:v>25.242699999999999</c:v>
                </c:pt>
                <c:pt idx="5">
                  <c:v>19.083100000000002</c:v>
                </c:pt>
                <c:pt idx="6">
                  <c:v>16.304000000000002</c:v>
                </c:pt>
              </c:numCache>
            </c:numRef>
          </c:val>
          <c:smooth val="0"/>
        </c:ser>
        <c:dLbls>
          <c:showLegendKey val="0"/>
          <c:showVal val="0"/>
          <c:showCatName val="0"/>
          <c:showSerName val="0"/>
          <c:showPercent val="0"/>
          <c:showBubbleSize val="0"/>
        </c:dLbls>
        <c:marker val="1"/>
        <c:smooth val="0"/>
        <c:axId val="123610240"/>
        <c:axId val="123612160"/>
      </c:lineChart>
      <c:catAx>
        <c:axId val="123610240"/>
        <c:scaling>
          <c:orientation val="minMax"/>
        </c:scaling>
        <c:delete val="0"/>
        <c:axPos val="b"/>
        <c:title>
          <c:tx>
            <c:rich>
              <a:bodyPr/>
              <a:lstStyle/>
              <a:p>
                <a:pPr>
                  <a:defRPr/>
                </a:pPr>
                <a:r>
                  <a:rPr lang="en-US"/>
                  <a:t>Stand Age</a:t>
                </a:r>
              </a:p>
            </c:rich>
          </c:tx>
          <c:overlay val="0"/>
        </c:title>
        <c:majorTickMark val="out"/>
        <c:minorTickMark val="none"/>
        <c:tickLblPos val="nextTo"/>
        <c:crossAx val="123612160"/>
        <c:crosses val="autoZero"/>
        <c:auto val="1"/>
        <c:lblAlgn val="ctr"/>
        <c:lblOffset val="100"/>
        <c:noMultiLvlLbl val="0"/>
      </c:catAx>
      <c:valAx>
        <c:axId val="123612160"/>
        <c:scaling>
          <c:orientation val="minMax"/>
        </c:scaling>
        <c:delete val="0"/>
        <c:axPos val="l"/>
        <c:majorGridlines/>
        <c:title>
          <c:tx>
            <c:rich>
              <a:bodyPr rot="-5400000" vert="horz"/>
              <a:lstStyle/>
              <a:p>
                <a:pPr>
                  <a:defRPr/>
                </a:pPr>
                <a:r>
                  <a:rPr lang="en-US"/>
                  <a:t>dry Mg ha-1 yr-1</a:t>
                </a:r>
              </a:p>
            </c:rich>
          </c:tx>
          <c:overlay val="0"/>
        </c:title>
        <c:numFmt formatCode="0.00" sourceLinked="1"/>
        <c:majorTickMark val="out"/>
        <c:minorTickMark val="none"/>
        <c:tickLblPos val="nextTo"/>
        <c:crossAx val="123610240"/>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'Growth Pattern'!$CE$988</c:f>
              <c:strCache>
                <c:ptCount val="1"/>
                <c:pt idx="0">
                  <c:v>MAI</c:v>
                </c:pt>
              </c:strCache>
            </c:strRef>
          </c:tx>
          <c:val>
            <c:numRef>
              <c:f>'Growth Pattern'!$CE$989:$CE$995</c:f>
              <c:numCache>
                <c:formatCode>0.00</c:formatCode>
                <c:ptCount val="7"/>
                <c:pt idx="0">
                  <c:v>4.6001399999999997</c:v>
                </c:pt>
                <c:pt idx="1">
                  <c:v>4.9439399999999996</c:v>
                </c:pt>
                <c:pt idx="2">
                  <c:v>8.9646333333333335</c:v>
                </c:pt>
                <c:pt idx="3">
                  <c:v>12.865875000000001</c:v>
                </c:pt>
                <c:pt idx="4">
                  <c:v>15.48166</c:v>
                </c:pt>
                <c:pt idx="5">
                  <c:v>16.313549999999999</c:v>
                </c:pt>
                <c:pt idx="6">
                  <c:v>17.098000000000003</c:v>
                </c:pt>
              </c:numCache>
            </c:numRef>
          </c:val>
          <c:smooth val="0"/>
        </c:ser>
        <c:ser>
          <c:idx val="1"/>
          <c:order val="1"/>
          <c:tx>
            <c:strRef>
              <c:f>'Growth Pattern'!$CF$988</c:f>
              <c:strCache>
                <c:ptCount val="1"/>
                <c:pt idx="0">
                  <c:v>CAI</c:v>
                </c:pt>
              </c:strCache>
            </c:strRef>
          </c:tx>
          <c:val>
            <c:numRef>
              <c:f>'Growth Pattern'!$CF$989:$CF$995</c:f>
              <c:numCache>
                <c:formatCode>0.00</c:formatCode>
                <c:ptCount val="7"/>
                <c:pt idx="0">
                  <c:v>4.5999999999999996</c:v>
                </c:pt>
                <c:pt idx="1">
                  <c:v>5.2877399999999994</c:v>
                </c:pt>
                <c:pt idx="2">
                  <c:v>17.006019999999999</c:v>
                </c:pt>
                <c:pt idx="3">
                  <c:v>24.569600000000005</c:v>
                </c:pt>
                <c:pt idx="4">
                  <c:v>25.944799999999994</c:v>
                </c:pt>
                <c:pt idx="5">
                  <c:v>20.472999999999999</c:v>
                </c:pt>
                <c:pt idx="6">
                  <c:v>21.804700000000011</c:v>
                </c:pt>
              </c:numCache>
            </c:numRef>
          </c:val>
          <c:smooth val="0"/>
        </c:ser>
        <c:dLbls>
          <c:showLegendKey val="0"/>
          <c:showVal val="0"/>
          <c:showCatName val="0"/>
          <c:showSerName val="0"/>
          <c:showPercent val="0"/>
          <c:showBubbleSize val="0"/>
        </c:dLbls>
        <c:marker val="1"/>
        <c:smooth val="0"/>
        <c:axId val="123645952"/>
        <c:axId val="123647488"/>
      </c:lineChart>
      <c:catAx>
        <c:axId val="123645952"/>
        <c:scaling>
          <c:orientation val="minMax"/>
        </c:scaling>
        <c:delete val="0"/>
        <c:axPos val="b"/>
        <c:majorTickMark val="out"/>
        <c:minorTickMark val="none"/>
        <c:tickLblPos val="nextTo"/>
        <c:crossAx val="123647488"/>
        <c:crosses val="autoZero"/>
        <c:auto val="1"/>
        <c:lblAlgn val="ctr"/>
        <c:lblOffset val="100"/>
        <c:noMultiLvlLbl val="0"/>
      </c:catAx>
      <c:valAx>
        <c:axId val="123647488"/>
        <c:scaling>
          <c:orientation val="minMax"/>
        </c:scaling>
        <c:delete val="0"/>
        <c:axPos val="l"/>
        <c:majorGridlines/>
        <c:numFmt formatCode="0.00" sourceLinked="1"/>
        <c:majorTickMark val="out"/>
        <c:minorTickMark val="none"/>
        <c:tickLblPos val="nextTo"/>
        <c:crossAx val="123645952"/>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'Growth Pattern'!$CE$1035</c:f>
              <c:strCache>
                <c:ptCount val="1"/>
                <c:pt idx="0">
                  <c:v>MAI</c:v>
                </c:pt>
              </c:strCache>
            </c:strRef>
          </c:tx>
          <c:val>
            <c:numRef>
              <c:f>'Growth Pattern'!$CE$1036:$CE$1039</c:f>
              <c:numCache>
                <c:formatCode>0.00</c:formatCode>
                <c:ptCount val="4"/>
                <c:pt idx="0">
                  <c:v>0.5</c:v>
                </c:pt>
                <c:pt idx="1">
                  <c:v>4.0999999999999996</c:v>
                </c:pt>
                <c:pt idx="2">
                  <c:v>10.7</c:v>
                </c:pt>
                <c:pt idx="3">
                  <c:v>15.6</c:v>
                </c:pt>
              </c:numCache>
            </c:numRef>
          </c:val>
          <c:smooth val="0"/>
        </c:ser>
        <c:ser>
          <c:idx val="1"/>
          <c:order val="1"/>
          <c:tx>
            <c:strRef>
              <c:f>'Growth Pattern'!$CF$1035</c:f>
              <c:strCache>
                <c:ptCount val="1"/>
                <c:pt idx="0">
                  <c:v>CAI</c:v>
                </c:pt>
              </c:strCache>
            </c:strRef>
          </c:tx>
          <c:val>
            <c:numRef>
              <c:f>'Growth Pattern'!$CF$1036:$CF$1039</c:f>
              <c:numCache>
                <c:formatCode>0.00</c:formatCode>
                <c:ptCount val="4"/>
                <c:pt idx="0">
                  <c:v>0.5</c:v>
                </c:pt>
                <c:pt idx="1">
                  <c:v>7.6999999999999993</c:v>
                </c:pt>
                <c:pt idx="2">
                  <c:v>23.899999999999995</c:v>
                </c:pt>
                <c:pt idx="3">
                  <c:v>30.300000000000004</c:v>
                </c:pt>
              </c:numCache>
            </c:numRef>
          </c:val>
          <c:smooth val="0"/>
        </c:ser>
        <c:dLbls>
          <c:showLegendKey val="0"/>
          <c:showVal val="0"/>
          <c:showCatName val="0"/>
          <c:showSerName val="0"/>
          <c:showPercent val="0"/>
          <c:showBubbleSize val="0"/>
        </c:dLbls>
        <c:marker val="1"/>
        <c:smooth val="0"/>
        <c:axId val="123742080"/>
        <c:axId val="123743616"/>
      </c:lineChart>
      <c:catAx>
        <c:axId val="123742080"/>
        <c:scaling>
          <c:orientation val="minMax"/>
        </c:scaling>
        <c:delete val="0"/>
        <c:axPos val="b"/>
        <c:majorTickMark val="out"/>
        <c:minorTickMark val="none"/>
        <c:tickLblPos val="nextTo"/>
        <c:crossAx val="123743616"/>
        <c:crosses val="autoZero"/>
        <c:auto val="1"/>
        <c:lblAlgn val="ctr"/>
        <c:lblOffset val="100"/>
        <c:noMultiLvlLbl val="0"/>
      </c:catAx>
      <c:valAx>
        <c:axId val="123743616"/>
        <c:scaling>
          <c:orientation val="minMax"/>
        </c:scaling>
        <c:delete val="0"/>
        <c:axPos val="l"/>
        <c:majorGridlines/>
        <c:numFmt formatCode="0.00" sourceLinked="1"/>
        <c:majorTickMark val="out"/>
        <c:minorTickMark val="none"/>
        <c:tickLblPos val="nextTo"/>
        <c:crossAx val="123742080"/>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tricocarpa clones rotations</a:t>
            </a:r>
            <a:r>
              <a:rPr lang="en-US" baseline="0"/>
              <a:t> 1 &amp; 2</a:t>
            </a:r>
            <a:endParaRPr lang="en-US"/>
          </a:p>
        </c:rich>
      </c:tx>
      <c:overlay val="0"/>
    </c:title>
    <c:autoTitleDeleted val="0"/>
    <c:plotArea>
      <c:layout/>
      <c:scatterChart>
        <c:scatterStyle val="lineMarker"/>
        <c:varyColors val="0"/>
        <c:ser>
          <c:idx val="0"/>
          <c:order val="0"/>
          <c:tx>
            <c:strRef>
              <c:f>'Growth Pattern'!$CH$1063</c:f>
              <c:strCache>
                <c:ptCount val="1"/>
                <c:pt idx="0">
                  <c:v>tricocarpa clones</c:v>
                </c:pt>
              </c:strCache>
            </c:strRef>
          </c:tx>
          <c:spPr>
            <a:ln w="28575">
              <a:noFill/>
            </a:ln>
          </c:spPr>
          <c:xVal>
            <c:numRef>
              <c:f>'Growth Pattern'!$CG$1064:$CG$1102</c:f>
              <c:numCache>
                <c:formatCode>General</c:formatCode>
                <c:ptCount val="39"/>
                <c:pt idx="0">
                  <c:v>4</c:v>
                </c:pt>
                <c:pt idx="2">
                  <c:v>8</c:v>
                </c:pt>
                <c:pt idx="4">
                  <c:v>4</c:v>
                </c:pt>
                <c:pt idx="6">
                  <c:v>8</c:v>
                </c:pt>
                <c:pt idx="8">
                  <c:v>4</c:v>
                </c:pt>
                <c:pt idx="10">
                  <c:v>8</c:v>
                </c:pt>
                <c:pt idx="12">
                  <c:v>4</c:v>
                </c:pt>
                <c:pt idx="14">
                  <c:v>8</c:v>
                </c:pt>
                <c:pt idx="16">
                  <c:v>4</c:v>
                </c:pt>
                <c:pt idx="18">
                  <c:v>8</c:v>
                </c:pt>
                <c:pt idx="20">
                  <c:v>4</c:v>
                </c:pt>
                <c:pt idx="22">
                  <c:v>8</c:v>
                </c:pt>
                <c:pt idx="24">
                  <c:v>4</c:v>
                </c:pt>
                <c:pt idx="26">
                  <c:v>8</c:v>
                </c:pt>
                <c:pt idx="28">
                  <c:v>4</c:v>
                </c:pt>
                <c:pt idx="30">
                  <c:v>8</c:v>
                </c:pt>
                <c:pt idx="32">
                  <c:v>4</c:v>
                </c:pt>
                <c:pt idx="34">
                  <c:v>8</c:v>
                </c:pt>
                <c:pt idx="36">
                  <c:v>4</c:v>
                </c:pt>
                <c:pt idx="38">
                  <c:v>8</c:v>
                </c:pt>
              </c:numCache>
            </c:numRef>
          </c:xVal>
          <c:yVal>
            <c:numRef>
              <c:f>'Growth Pattern'!$CH$1064:$CH$1102</c:f>
              <c:numCache>
                <c:formatCode>General</c:formatCode>
                <c:ptCount val="39"/>
                <c:pt idx="0">
                  <c:v>16.100000000000001</c:v>
                </c:pt>
                <c:pt idx="2">
                  <c:v>15.5</c:v>
                </c:pt>
                <c:pt idx="4">
                  <c:v>15.7</c:v>
                </c:pt>
                <c:pt idx="6">
                  <c:v>14.3</c:v>
                </c:pt>
                <c:pt idx="8">
                  <c:v>14.6</c:v>
                </c:pt>
                <c:pt idx="10">
                  <c:v>10.6</c:v>
                </c:pt>
                <c:pt idx="12">
                  <c:v>13.3</c:v>
                </c:pt>
                <c:pt idx="14">
                  <c:v>9.1</c:v>
                </c:pt>
                <c:pt idx="16">
                  <c:v>12.3</c:v>
                </c:pt>
                <c:pt idx="18">
                  <c:v>13.2</c:v>
                </c:pt>
                <c:pt idx="20">
                  <c:v>11.8</c:v>
                </c:pt>
                <c:pt idx="22">
                  <c:v>13.8</c:v>
                </c:pt>
                <c:pt idx="24">
                  <c:v>11.4</c:v>
                </c:pt>
                <c:pt idx="26">
                  <c:v>10.5</c:v>
                </c:pt>
                <c:pt idx="28">
                  <c:v>10.7</c:v>
                </c:pt>
                <c:pt idx="30">
                  <c:v>8.9</c:v>
                </c:pt>
                <c:pt idx="32">
                  <c:v>10.199999999999999</c:v>
                </c:pt>
                <c:pt idx="34">
                  <c:v>8.1999999999999993</c:v>
                </c:pt>
                <c:pt idx="36">
                  <c:v>9</c:v>
                </c:pt>
                <c:pt idx="38">
                  <c:v>7.6</c:v>
                </c:pt>
              </c:numCache>
            </c:numRef>
          </c:yVal>
          <c:smooth val="0"/>
        </c:ser>
        <c:dLbls>
          <c:showLegendKey val="0"/>
          <c:showVal val="0"/>
          <c:showCatName val="0"/>
          <c:showSerName val="0"/>
          <c:showPercent val="0"/>
          <c:showBubbleSize val="0"/>
        </c:dLbls>
        <c:axId val="123771904"/>
        <c:axId val="123778176"/>
      </c:scatterChart>
      <c:valAx>
        <c:axId val="123771904"/>
        <c:scaling>
          <c:orientation val="minMax"/>
        </c:scaling>
        <c:delete val="0"/>
        <c:axPos val="b"/>
        <c:title>
          <c:tx>
            <c:rich>
              <a:bodyPr/>
              <a:lstStyle/>
              <a:p>
                <a:pPr>
                  <a:defRPr/>
                </a:pPr>
                <a:r>
                  <a:rPr lang="en-US"/>
                  <a:t>Stump</a:t>
                </a:r>
                <a:r>
                  <a:rPr lang="en-US" baseline="0"/>
                  <a:t> Age</a:t>
                </a:r>
                <a:endParaRPr lang="en-US"/>
              </a:p>
            </c:rich>
          </c:tx>
          <c:overlay val="0"/>
        </c:title>
        <c:numFmt formatCode="General" sourceLinked="1"/>
        <c:majorTickMark val="out"/>
        <c:minorTickMark val="none"/>
        <c:tickLblPos val="nextTo"/>
        <c:crossAx val="123778176"/>
        <c:crosses val="autoZero"/>
        <c:crossBetween val="midCat"/>
      </c:valAx>
      <c:valAx>
        <c:axId val="123778176"/>
        <c:scaling>
          <c:orientation val="minMax"/>
        </c:scaling>
        <c:delete val="0"/>
        <c:axPos val="l"/>
        <c:majorGridlines/>
        <c:title>
          <c:tx>
            <c:rich>
              <a:bodyPr rot="-5400000" vert="horz"/>
              <a:lstStyle/>
              <a:p>
                <a:pPr>
                  <a:defRPr/>
                </a:pPr>
                <a:r>
                  <a:rPr lang="en-US"/>
                  <a:t>MAI (dry Mg/ha/yr)</a:t>
                </a:r>
              </a:p>
            </c:rich>
          </c:tx>
          <c:overlay val="0"/>
        </c:title>
        <c:numFmt formatCode="General" sourceLinked="1"/>
        <c:majorTickMark val="out"/>
        <c:minorTickMark val="none"/>
        <c:tickLblPos val="nextTo"/>
        <c:crossAx val="123771904"/>
        <c:crosses val="autoZero"/>
        <c:crossBetween val="midCat"/>
      </c:valAx>
    </c:plotArea>
    <c:legend>
      <c:legendPos val="r"/>
      <c:overlay val="0"/>
    </c:legend>
    <c:plotVisOnly val="1"/>
    <c:dispBlanksAs val="gap"/>
    <c:showDLblsOverMax val="0"/>
  </c:chart>
  <c:printSettings>
    <c:headerFooter/>
    <c:pageMargins b="0.75" l="0.7" r="0.7" t="0.75" header="0.3" footer="0.3"/>
    <c:pageSetup/>
  </c:printSettings>
</c:chartSpace>
</file>

<file path=xl/charts/chart1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'Growth Pattern'!$CE$1103</c:f>
              <c:strCache>
                <c:ptCount val="1"/>
                <c:pt idx="0">
                  <c:v>Control</c:v>
                </c:pt>
              </c:strCache>
            </c:strRef>
          </c:tx>
          <c:invertIfNegative val="0"/>
          <c:val>
            <c:numRef>
              <c:f>'Growth Pattern'!$CE$1104:$CE$1109</c:f>
              <c:numCache>
                <c:formatCode>0.00</c:formatCode>
                <c:ptCount val="6"/>
                <c:pt idx="0">
                  <c:v>25.9</c:v>
                </c:pt>
                <c:pt idx="1">
                  <c:v>27.5</c:v>
                </c:pt>
                <c:pt idx="2">
                  <c:v>24.6</c:v>
                </c:pt>
                <c:pt idx="3">
                  <c:v>16.3</c:v>
                </c:pt>
                <c:pt idx="4">
                  <c:v>16.3</c:v>
                </c:pt>
                <c:pt idx="5">
                  <c:v>14.9</c:v>
                </c:pt>
              </c:numCache>
            </c:numRef>
          </c:val>
        </c:ser>
        <c:ser>
          <c:idx val="1"/>
          <c:order val="1"/>
          <c:tx>
            <c:strRef>
              <c:f>'Growth Pattern'!$CE$1110</c:f>
              <c:strCache>
                <c:ptCount val="1"/>
                <c:pt idx="0">
                  <c:v>Fertilized</c:v>
                </c:pt>
              </c:strCache>
            </c:strRef>
          </c:tx>
          <c:invertIfNegative val="0"/>
          <c:val>
            <c:numRef>
              <c:f>'Growth Pattern'!$CE$1111:$CE$1116</c:f>
              <c:numCache>
                <c:formatCode>0.00</c:formatCode>
                <c:ptCount val="6"/>
                <c:pt idx="0">
                  <c:v>30.5</c:v>
                </c:pt>
                <c:pt idx="1">
                  <c:v>31.2</c:v>
                </c:pt>
                <c:pt idx="2">
                  <c:v>26.8</c:v>
                </c:pt>
                <c:pt idx="3">
                  <c:v>21.5</c:v>
                </c:pt>
                <c:pt idx="4">
                  <c:v>22.5</c:v>
                </c:pt>
                <c:pt idx="5">
                  <c:v>19.399999999999999</c:v>
                </c:pt>
              </c:numCache>
            </c:numRef>
          </c:val>
        </c:ser>
        <c:dLbls>
          <c:showLegendKey val="0"/>
          <c:showVal val="0"/>
          <c:showCatName val="0"/>
          <c:showSerName val="0"/>
          <c:showPercent val="0"/>
          <c:showBubbleSize val="0"/>
        </c:dLbls>
        <c:gapWidth val="150"/>
        <c:axId val="123791616"/>
        <c:axId val="124268928"/>
      </c:barChart>
      <c:catAx>
        <c:axId val="123791616"/>
        <c:scaling>
          <c:orientation val="minMax"/>
        </c:scaling>
        <c:delete val="0"/>
        <c:axPos val="b"/>
        <c:title>
          <c:tx>
            <c:rich>
              <a:bodyPr/>
              <a:lstStyle/>
              <a:p>
                <a:pPr>
                  <a:defRPr/>
                </a:pPr>
                <a:r>
                  <a:rPr lang="en-US"/>
                  <a:t>Clone Number</a:t>
                </a:r>
              </a:p>
            </c:rich>
          </c:tx>
          <c:overlay val="0"/>
        </c:title>
        <c:numFmt formatCode="General" sourceLinked="1"/>
        <c:majorTickMark val="out"/>
        <c:minorTickMark val="none"/>
        <c:tickLblPos val="nextTo"/>
        <c:crossAx val="124268928"/>
        <c:crosses val="autoZero"/>
        <c:auto val="1"/>
        <c:lblAlgn val="ctr"/>
        <c:lblOffset val="100"/>
        <c:noMultiLvlLbl val="0"/>
      </c:catAx>
      <c:valAx>
        <c:axId val="124268928"/>
        <c:scaling>
          <c:orientation val="minMax"/>
        </c:scaling>
        <c:delete val="0"/>
        <c:axPos val="l"/>
        <c:majorGridlines/>
        <c:title>
          <c:tx>
            <c:rich>
              <a:bodyPr rot="-5400000" vert="horz"/>
              <a:lstStyle/>
              <a:p>
                <a:pPr>
                  <a:defRPr/>
                </a:pPr>
                <a:r>
                  <a:rPr lang="en-US"/>
                  <a:t>Age 4 MAI, Dry Mg/ha/yr</a:t>
                </a:r>
              </a:p>
            </c:rich>
          </c:tx>
          <c:overlay val="0"/>
        </c:title>
        <c:numFmt formatCode="0.00" sourceLinked="1"/>
        <c:majorTickMark val="out"/>
        <c:minorTickMark val="none"/>
        <c:tickLblPos val="nextTo"/>
        <c:crossAx val="123791616"/>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'Growth Pattern'!$CE$1117</c:f>
              <c:strCache>
                <c:ptCount val="1"/>
                <c:pt idx="0">
                  <c:v>Age 4 MAI</c:v>
                </c:pt>
              </c:strCache>
            </c:strRef>
          </c:tx>
          <c:invertIfNegative val="0"/>
          <c:cat>
            <c:strRef>
              <c:f>'Growth Pattern'!$CD$1118:$CD$1129</c:f>
              <c:strCache>
                <c:ptCount val="12"/>
                <c:pt idx="0">
                  <c:v>cl 10-12</c:v>
                </c:pt>
                <c:pt idx="1">
                  <c:v>cl IL-005</c:v>
                </c:pt>
                <c:pt idx="2">
                  <c:v>cl 44-136 Hy</c:v>
                </c:pt>
                <c:pt idx="3">
                  <c:v>cl 11-11 Hy</c:v>
                </c:pt>
                <c:pt idx="4">
                  <c:v>cl 12-106</c:v>
                </c:pt>
                <c:pt idx="5">
                  <c:v>cl 80-803</c:v>
                </c:pt>
                <c:pt idx="6">
                  <c:v>cl St 66</c:v>
                </c:pt>
                <c:pt idx="7">
                  <c:v>cl Min 288</c:v>
                </c:pt>
                <c:pt idx="8">
                  <c:v>cl 11-05 Hy</c:v>
                </c:pt>
                <c:pt idx="9">
                  <c:v>cl 19-56 HY</c:v>
                </c:pt>
                <c:pt idx="10">
                  <c:v>cl 47-160</c:v>
                </c:pt>
                <c:pt idx="11">
                  <c:v>cl 55-258 Hy</c:v>
                </c:pt>
              </c:strCache>
            </c:strRef>
          </c:cat>
          <c:val>
            <c:numRef>
              <c:f>'Growth Pattern'!$CE$1118:$CE$1129</c:f>
              <c:numCache>
                <c:formatCode>0.00</c:formatCode>
                <c:ptCount val="12"/>
                <c:pt idx="0">
                  <c:v>14.6</c:v>
                </c:pt>
                <c:pt idx="1">
                  <c:v>13.8</c:v>
                </c:pt>
                <c:pt idx="2">
                  <c:v>24.2</c:v>
                </c:pt>
                <c:pt idx="3">
                  <c:v>29.4</c:v>
                </c:pt>
                <c:pt idx="4">
                  <c:v>19.5</c:v>
                </c:pt>
                <c:pt idx="5">
                  <c:v>17.600000000000001</c:v>
                </c:pt>
                <c:pt idx="6">
                  <c:v>13.6</c:v>
                </c:pt>
                <c:pt idx="7">
                  <c:v>6.9</c:v>
                </c:pt>
                <c:pt idx="8">
                  <c:v>23.1</c:v>
                </c:pt>
                <c:pt idx="9">
                  <c:v>23.2</c:v>
                </c:pt>
                <c:pt idx="10">
                  <c:v>16.899999999999999</c:v>
                </c:pt>
                <c:pt idx="11">
                  <c:v>29.2</c:v>
                </c:pt>
              </c:numCache>
            </c:numRef>
          </c:val>
        </c:ser>
        <c:dLbls>
          <c:showLegendKey val="0"/>
          <c:showVal val="0"/>
          <c:showCatName val="0"/>
          <c:showSerName val="0"/>
          <c:showPercent val="0"/>
          <c:showBubbleSize val="0"/>
        </c:dLbls>
        <c:gapWidth val="150"/>
        <c:axId val="124289408"/>
        <c:axId val="124290944"/>
      </c:barChart>
      <c:catAx>
        <c:axId val="124289408"/>
        <c:scaling>
          <c:orientation val="minMax"/>
        </c:scaling>
        <c:delete val="0"/>
        <c:axPos val="b"/>
        <c:majorTickMark val="out"/>
        <c:minorTickMark val="none"/>
        <c:tickLblPos val="nextTo"/>
        <c:crossAx val="124290944"/>
        <c:crosses val="autoZero"/>
        <c:auto val="1"/>
        <c:lblAlgn val="ctr"/>
        <c:lblOffset val="100"/>
        <c:noMultiLvlLbl val="0"/>
      </c:catAx>
      <c:valAx>
        <c:axId val="124290944"/>
        <c:scaling>
          <c:orientation val="minMax"/>
        </c:scaling>
        <c:delete val="0"/>
        <c:axPos val="l"/>
        <c:majorGridlines/>
        <c:numFmt formatCode="0.00" sourceLinked="1"/>
        <c:majorTickMark val="out"/>
        <c:minorTickMark val="none"/>
        <c:tickLblPos val="nextTo"/>
        <c:crossAx val="124289408"/>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'Growth Pattern'!$CE$1147</c:f>
              <c:strCache>
                <c:ptCount val="1"/>
                <c:pt idx="0">
                  <c:v>MAI</c:v>
                </c:pt>
              </c:strCache>
            </c:strRef>
          </c:tx>
          <c:val>
            <c:numRef>
              <c:f>'Growth Pattern'!$CE$1148:$CE$1154</c:f>
              <c:numCache>
                <c:formatCode>0.00</c:formatCode>
                <c:ptCount val="7"/>
                <c:pt idx="1">
                  <c:v>2.2400000000000002</c:v>
                </c:pt>
                <c:pt idx="2">
                  <c:v>4.0233333333333334</c:v>
                </c:pt>
                <c:pt idx="3">
                  <c:v>4.62</c:v>
                </c:pt>
                <c:pt idx="4">
                  <c:v>5.1219999999999999</c:v>
                </c:pt>
                <c:pt idx="5">
                  <c:v>5.4349999999999996</c:v>
                </c:pt>
                <c:pt idx="6">
                  <c:v>5.4914285714285711</c:v>
                </c:pt>
              </c:numCache>
            </c:numRef>
          </c:val>
          <c:smooth val="0"/>
        </c:ser>
        <c:ser>
          <c:idx val="1"/>
          <c:order val="1"/>
          <c:tx>
            <c:strRef>
              <c:f>'Growth Pattern'!$CF$1147</c:f>
              <c:strCache>
                <c:ptCount val="1"/>
                <c:pt idx="0">
                  <c:v>CAI</c:v>
                </c:pt>
              </c:strCache>
            </c:strRef>
          </c:tx>
          <c:val>
            <c:numRef>
              <c:f>'Growth Pattern'!$CF$1148:$CF$1154</c:f>
              <c:numCache>
                <c:formatCode>0.00</c:formatCode>
                <c:ptCount val="7"/>
                <c:pt idx="2">
                  <c:v>7.59</c:v>
                </c:pt>
                <c:pt idx="3">
                  <c:v>6.41</c:v>
                </c:pt>
                <c:pt idx="4">
                  <c:v>7.129999999999999</c:v>
                </c:pt>
                <c:pt idx="5">
                  <c:v>7</c:v>
                </c:pt>
                <c:pt idx="6">
                  <c:v>5.8299999999999983</c:v>
                </c:pt>
              </c:numCache>
            </c:numRef>
          </c:val>
          <c:smooth val="0"/>
        </c:ser>
        <c:dLbls>
          <c:showLegendKey val="0"/>
          <c:showVal val="0"/>
          <c:showCatName val="0"/>
          <c:showSerName val="0"/>
          <c:showPercent val="0"/>
          <c:showBubbleSize val="0"/>
        </c:dLbls>
        <c:marker val="1"/>
        <c:smooth val="0"/>
        <c:axId val="124315904"/>
        <c:axId val="123932672"/>
      </c:lineChart>
      <c:catAx>
        <c:axId val="124315904"/>
        <c:scaling>
          <c:orientation val="minMax"/>
        </c:scaling>
        <c:delete val="0"/>
        <c:axPos val="b"/>
        <c:majorTickMark val="out"/>
        <c:minorTickMark val="none"/>
        <c:tickLblPos val="nextTo"/>
        <c:crossAx val="123932672"/>
        <c:crosses val="autoZero"/>
        <c:auto val="1"/>
        <c:lblAlgn val="ctr"/>
        <c:lblOffset val="100"/>
        <c:noMultiLvlLbl val="0"/>
      </c:catAx>
      <c:valAx>
        <c:axId val="123932672"/>
        <c:scaling>
          <c:orientation val="minMax"/>
        </c:scaling>
        <c:delete val="0"/>
        <c:axPos val="l"/>
        <c:majorGridlines/>
        <c:numFmt formatCode="0.00" sourceLinked="1"/>
        <c:majorTickMark val="out"/>
        <c:minorTickMark val="none"/>
        <c:tickLblPos val="nextTo"/>
        <c:crossAx val="124315904"/>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'Growth Pattern'!$CE$1155</c:f>
              <c:strCache>
                <c:ptCount val="1"/>
                <c:pt idx="0">
                  <c:v>MAI</c:v>
                </c:pt>
              </c:strCache>
            </c:strRef>
          </c:tx>
          <c:val>
            <c:numRef>
              <c:f>'Growth Pattern'!$CE$1156:$CE$1162</c:f>
              <c:numCache>
                <c:formatCode>0.00</c:formatCode>
                <c:ptCount val="7"/>
                <c:pt idx="1">
                  <c:v>2.5449999999999999</c:v>
                </c:pt>
                <c:pt idx="2">
                  <c:v>4.5966666666666667</c:v>
                </c:pt>
                <c:pt idx="3">
                  <c:v>5.1775000000000002</c:v>
                </c:pt>
                <c:pt idx="4">
                  <c:v>5.7460000000000004</c:v>
                </c:pt>
                <c:pt idx="5">
                  <c:v>6.0450000000000008</c:v>
                </c:pt>
                <c:pt idx="6">
                  <c:v>5.9428571428571431</c:v>
                </c:pt>
              </c:numCache>
            </c:numRef>
          </c:val>
          <c:smooth val="0"/>
        </c:ser>
        <c:ser>
          <c:idx val="1"/>
          <c:order val="1"/>
          <c:tx>
            <c:strRef>
              <c:f>'Growth Pattern'!$CF$1155</c:f>
              <c:strCache>
                <c:ptCount val="1"/>
                <c:pt idx="0">
                  <c:v>CAI</c:v>
                </c:pt>
              </c:strCache>
            </c:strRef>
          </c:tx>
          <c:val>
            <c:numRef>
              <c:f>'Growth Pattern'!$CF$1156:$CF$1162</c:f>
              <c:numCache>
                <c:formatCode>0.00</c:formatCode>
                <c:ptCount val="7"/>
                <c:pt idx="2" formatCode="General">
                  <c:v>8.6999999999999993</c:v>
                </c:pt>
                <c:pt idx="3" formatCode="General">
                  <c:v>6.9200000000000017</c:v>
                </c:pt>
                <c:pt idx="4" formatCode="General">
                  <c:v>8.02</c:v>
                </c:pt>
                <c:pt idx="5" formatCode="General">
                  <c:v>7.5400000000000027</c:v>
                </c:pt>
                <c:pt idx="6" formatCode="General">
                  <c:v>5.3299999999999983</c:v>
                </c:pt>
              </c:numCache>
            </c:numRef>
          </c:val>
          <c:smooth val="0"/>
        </c:ser>
        <c:dLbls>
          <c:showLegendKey val="0"/>
          <c:showVal val="0"/>
          <c:showCatName val="0"/>
          <c:showSerName val="0"/>
          <c:showPercent val="0"/>
          <c:showBubbleSize val="0"/>
        </c:dLbls>
        <c:marker val="1"/>
        <c:smooth val="0"/>
        <c:axId val="123957632"/>
        <c:axId val="123959168"/>
      </c:lineChart>
      <c:catAx>
        <c:axId val="123957632"/>
        <c:scaling>
          <c:orientation val="minMax"/>
        </c:scaling>
        <c:delete val="0"/>
        <c:axPos val="b"/>
        <c:majorTickMark val="out"/>
        <c:minorTickMark val="none"/>
        <c:tickLblPos val="nextTo"/>
        <c:crossAx val="123959168"/>
        <c:crosses val="autoZero"/>
        <c:auto val="1"/>
        <c:lblAlgn val="ctr"/>
        <c:lblOffset val="100"/>
        <c:noMultiLvlLbl val="0"/>
      </c:catAx>
      <c:valAx>
        <c:axId val="123959168"/>
        <c:scaling>
          <c:orientation val="minMax"/>
        </c:scaling>
        <c:delete val="0"/>
        <c:axPos val="l"/>
        <c:majorGridlines/>
        <c:numFmt formatCode="0.00" sourceLinked="1"/>
        <c:majorTickMark val="out"/>
        <c:minorTickMark val="none"/>
        <c:tickLblPos val="nextTo"/>
        <c:crossAx val="123957632"/>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'Growth Pattern'!$CE$1163</c:f>
              <c:strCache>
                <c:ptCount val="1"/>
                <c:pt idx="0">
                  <c:v>MAI</c:v>
                </c:pt>
              </c:strCache>
            </c:strRef>
          </c:tx>
          <c:val>
            <c:numRef>
              <c:f>'Growth Pattern'!$CE$1164:$CE$1170</c:f>
              <c:numCache>
                <c:formatCode>0.00</c:formatCode>
                <c:ptCount val="7"/>
                <c:pt idx="1">
                  <c:v>0.25</c:v>
                </c:pt>
                <c:pt idx="2">
                  <c:v>0.48666666666666664</c:v>
                </c:pt>
                <c:pt idx="3">
                  <c:v>0.76</c:v>
                </c:pt>
                <c:pt idx="4">
                  <c:v>1.248</c:v>
                </c:pt>
                <c:pt idx="5">
                  <c:v>1.8099999999999998</c:v>
                </c:pt>
                <c:pt idx="6">
                  <c:v>2.5028571428571427</c:v>
                </c:pt>
              </c:numCache>
            </c:numRef>
          </c:val>
          <c:smooth val="0"/>
        </c:ser>
        <c:ser>
          <c:idx val="1"/>
          <c:order val="1"/>
          <c:tx>
            <c:strRef>
              <c:f>'Growth Pattern'!$CF$1163</c:f>
              <c:strCache>
                <c:ptCount val="1"/>
                <c:pt idx="0">
                  <c:v>CAI</c:v>
                </c:pt>
              </c:strCache>
            </c:strRef>
          </c:tx>
          <c:val>
            <c:numRef>
              <c:f>'Growth Pattern'!$CF$1164:$CF$1170</c:f>
              <c:numCache>
                <c:formatCode>0.00</c:formatCode>
                <c:ptCount val="7"/>
                <c:pt idx="2">
                  <c:v>0.96</c:v>
                </c:pt>
                <c:pt idx="3">
                  <c:v>1.58</c:v>
                </c:pt>
                <c:pt idx="4">
                  <c:v>3.2</c:v>
                </c:pt>
                <c:pt idx="5">
                  <c:v>4.6199999999999992</c:v>
                </c:pt>
                <c:pt idx="6">
                  <c:v>6.66</c:v>
                </c:pt>
              </c:numCache>
            </c:numRef>
          </c:val>
          <c:smooth val="0"/>
        </c:ser>
        <c:dLbls>
          <c:showLegendKey val="0"/>
          <c:showVal val="0"/>
          <c:showCatName val="0"/>
          <c:showSerName val="0"/>
          <c:showPercent val="0"/>
          <c:showBubbleSize val="0"/>
        </c:dLbls>
        <c:marker val="1"/>
        <c:smooth val="0"/>
        <c:axId val="123988224"/>
        <c:axId val="123998208"/>
      </c:lineChart>
      <c:catAx>
        <c:axId val="123988224"/>
        <c:scaling>
          <c:orientation val="minMax"/>
        </c:scaling>
        <c:delete val="0"/>
        <c:axPos val="b"/>
        <c:majorTickMark val="out"/>
        <c:minorTickMark val="none"/>
        <c:tickLblPos val="nextTo"/>
        <c:crossAx val="123998208"/>
        <c:crosses val="autoZero"/>
        <c:auto val="1"/>
        <c:lblAlgn val="ctr"/>
        <c:lblOffset val="100"/>
        <c:noMultiLvlLbl val="0"/>
      </c:catAx>
      <c:valAx>
        <c:axId val="123998208"/>
        <c:scaling>
          <c:orientation val="minMax"/>
        </c:scaling>
        <c:delete val="0"/>
        <c:axPos val="l"/>
        <c:majorGridlines/>
        <c:numFmt formatCode="0.00" sourceLinked="1"/>
        <c:majorTickMark val="out"/>
        <c:minorTickMark val="none"/>
        <c:tickLblPos val="nextTo"/>
        <c:crossAx val="123988224"/>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'Growth Pattern'!$CE$208</c:f>
              <c:strCache>
                <c:ptCount val="1"/>
                <c:pt idx="0">
                  <c:v>MAI</c:v>
                </c:pt>
              </c:strCache>
            </c:strRef>
          </c:tx>
          <c:val>
            <c:numRef>
              <c:f>'Growth Pattern'!$CE$209:$CE$218</c:f>
              <c:numCache>
                <c:formatCode>0.00</c:formatCode>
                <c:ptCount val="10"/>
                <c:pt idx="0">
                  <c:v>0.6</c:v>
                </c:pt>
                <c:pt idx="1">
                  <c:v>1.7250000000000001</c:v>
                </c:pt>
                <c:pt idx="2">
                  <c:v>3.2966666666666669</c:v>
                </c:pt>
                <c:pt idx="3">
                  <c:v>5.1624999999999996</c:v>
                </c:pt>
                <c:pt idx="4">
                  <c:v>6.3159999999999998</c:v>
                </c:pt>
                <c:pt idx="5">
                  <c:v>6.1950000000000003</c:v>
                </c:pt>
                <c:pt idx="6">
                  <c:v>6.4928571428571429</c:v>
                </c:pt>
                <c:pt idx="7">
                  <c:v>6.5512500000000005</c:v>
                </c:pt>
                <c:pt idx="8">
                  <c:v>6.4988888888888887</c:v>
                </c:pt>
                <c:pt idx="9">
                  <c:v>6.5329999999999995</c:v>
                </c:pt>
              </c:numCache>
            </c:numRef>
          </c:val>
          <c:smooth val="0"/>
        </c:ser>
        <c:ser>
          <c:idx val="1"/>
          <c:order val="1"/>
          <c:tx>
            <c:strRef>
              <c:f>'Growth Pattern'!$CF$208</c:f>
              <c:strCache>
                <c:ptCount val="1"/>
                <c:pt idx="0">
                  <c:v>CAI</c:v>
                </c:pt>
              </c:strCache>
            </c:strRef>
          </c:tx>
          <c:val>
            <c:numRef>
              <c:f>'Growth Pattern'!$CF$209:$CF$218</c:f>
              <c:numCache>
                <c:formatCode>0.00</c:formatCode>
                <c:ptCount val="10"/>
                <c:pt idx="0">
                  <c:v>0.6</c:v>
                </c:pt>
                <c:pt idx="1">
                  <c:v>2.85</c:v>
                </c:pt>
                <c:pt idx="2">
                  <c:v>6.44</c:v>
                </c:pt>
                <c:pt idx="3">
                  <c:v>10.76</c:v>
                </c:pt>
                <c:pt idx="4">
                  <c:v>10.93</c:v>
                </c:pt>
                <c:pt idx="5">
                  <c:v>5.59</c:v>
                </c:pt>
                <c:pt idx="6">
                  <c:v>8.2799999999999994</c:v>
                </c:pt>
                <c:pt idx="7">
                  <c:v>6.96</c:v>
                </c:pt>
                <c:pt idx="8">
                  <c:v>6.08</c:v>
                </c:pt>
                <c:pt idx="9">
                  <c:v>6.84</c:v>
                </c:pt>
              </c:numCache>
            </c:numRef>
          </c:val>
          <c:smooth val="0"/>
        </c:ser>
        <c:dLbls>
          <c:showLegendKey val="0"/>
          <c:showVal val="0"/>
          <c:showCatName val="0"/>
          <c:showSerName val="0"/>
          <c:showPercent val="0"/>
          <c:showBubbleSize val="0"/>
        </c:dLbls>
        <c:marker val="1"/>
        <c:smooth val="0"/>
        <c:axId val="93343744"/>
        <c:axId val="93345280"/>
      </c:lineChart>
      <c:catAx>
        <c:axId val="93343744"/>
        <c:scaling>
          <c:orientation val="minMax"/>
        </c:scaling>
        <c:delete val="0"/>
        <c:axPos val="b"/>
        <c:majorTickMark val="out"/>
        <c:minorTickMark val="none"/>
        <c:tickLblPos val="nextTo"/>
        <c:crossAx val="93345280"/>
        <c:crosses val="autoZero"/>
        <c:auto val="1"/>
        <c:lblAlgn val="ctr"/>
        <c:lblOffset val="100"/>
        <c:noMultiLvlLbl val="0"/>
      </c:catAx>
      <c:valAx>
        <c:axId val="93345280"/>
        <c:scaling>
          <c:orientation val="minMax"/>
        </c:scaling>
        <c:delete val="0"/>
        <c:axPos val="l"/>
        <c:majorGridlines/>
        <c:numFmt formatCode="0.00" sourceLinked="1"/>
        <c:majorTickMark val="out"/>
        <c:minorTickMark val="none"/>
        <c:tickLblPos val="nextTo"/>
        <c:crossAx val="93343744"/>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'Growth Pattern'!$CE$1171</c:f>
              <c:strCache>
                <c:ptCount val="1"/>
                <c:pt idx="0">
                  <c:v>MAI</c:v>
                </c:pt>
              </c:strCache>
            </c:strRef>
          </c:tx>
          <c:val>
            <c:numRef>
              <c:f>'Growth Pattern'!$CE$1172:$CE$1177</c:f>
              <c:numCache>
                <c:formatCode>0.00</c:formatCode>
                <c:ptCount val="6"/>
                <c:pt idx="0">
                  <c:v>0.56000000000000005</c:v>
                </c:pt>
                <c:pt idx="1">
                  <c:v>2.2400000000000002</c:v>
                </c:pt>
                <c:pt idx="2">
                  <c:v>4.8466666666666667</c:v>
                </c:pt>
                <c:pt idx="3">
                  <c:v>6.4524999999999997</c:v>
                </c:pt>
                <c:pt idx="4">
                  <c:v>10.24</c:v>
                </c:pt>
                <c:pt idx="5">
                  <c:v>7.2349999999999994</c:v>
                </c:pt>
              </c:numCache>
            </c:numRef>
          </c:val>
          <c:smooth val="0"/>
        </c:ser>
        <c:ser>
          <c:idx val="1"/>
          <c:order val="1"/>
          <c:tx>
            <c:strRef>
              <c:f>'Growth Pattern'!$CF$1171</c:f>
              <c:strCache>
                <c:ptCount val="1"/>
                <c:pt idx="0">
                  <c:v>CAI</c:v>
                </c:pt>
              </c:strCache>
            </c:strRef>
          </c:tx>
          <c:val>
            <c:numRef>
              <c:f>'Growth Pattern'!$CF$1172:$CF$1177</c:f>
              <c:numCache>
                <c:formatCode>0.00</c:formatCode>
                <c:ptCount val="6"/>
                <c:pt idx="0">
                  <c:v>0.56000000000000005</c:v>
                </c:pt>
                <c:pt idx="1">
                  <c:v>3.9200000000000004</c:v>
                </c:pt>
                <c:pt idx="2">
                  <c:v>10.059999999999999</c:v>
                </c:pt>
                <c:pt idx="3">
                  <c:v>11.27</c:v>
                </c:pt>
                <c:pt idx="4">
                  <c:v>25.390000000000004</c:v>
                </c:pt>
                <c:pt idx="5">
                  <c:v>-7.7900000000000063</c:v>
                </c:pt>
              </c:numCache>
            </c:numRef>
          </c:val>
          <c:smooth val="0"/>
        </c:ser>
        <c:dLbls>
          <c:showLegendKey val="0"/>
          <c:showVal val="0"/>
          <c:showCatName val="0"/>
          <c:showSerName val="0"/>
          <c:showPercent val="0"/>
          <c:showBubbleSize val="0"/>
        </c:dLbls>
        <c:marker val="1"/>
        <c:smooth val="0"/>
        <c:axId val="124031360"/>
        <c:axId val="124032896"/>
      </c:lineChart>
      <c:catAx>
        <c:axId val="124031360"/>
        <c:scaling>
          <c:orientation val="minMax"/>
        </c:scaling>
        <c:delete val="0"/>
        <c:axPos val="b"/>
        <c:majorTickMark val="out"/>
        <c:minorTickMark val="none"/>
        <c:tickLblPos val="nextTo"/>
        <c:crossAx val="124032896"/>
        <c:crosses val="autoZero"/>
        <c:auto val="1"/>
        <c:lblAlgn val="ctr"/>
        <c:lblOffset val="100"/>
        <c:noMultiLvlLbl val="0"/>
      </c:catAx>
      <c:valAx>
        <c:axId val="124032896"/>
        <c:scaling>
          <c:orientation val="minMax"/>
        </c:scaling>
        <c:delete val="0"/>
        <c:axPos val="l"/>
        <c:majorGridlines/>
        <c:numFmt formatCode="0.00" sourceLinked="1"/>
        <c:majorTickMark val="out"/>
        <c:minorTickMark val="none"/>
        <c:tickLblPos val="nextTo"/>
        <c:crossAx val="124031360"/>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'Growth Pattern'!$CE$1184</c:f>
              <c:strCache>
                <c:ptCount val="1"/>
                <c:pt idx="0">
                  <c:v>MAI</c:v>
                </c:pt>
              </c:strCache>
            </c:strRef>
          </c:tx>
          <c:val>
            <c:numRef>
              <c:f>'Growth Pattern'!$CE$1185:$CE$1190</c:f>
              <c:numCache>
                <c:formatCode>0.00</c:formatCode>
                <c:ptCount val="6"/>
                <c:pt idx="0">
                  <c:v>0.3</c:v>
                </c:pt>
                <c:pt idx="1">
                  <c:v>1.4550000000000001</c:v>
                </c:pt>
                <c:pt idx="2">
                  <c:v>3.653</c:v>
                </c:pt>
                <c:pt idx="3">
                  <c:v>5.2</c:v>
                </c:pt>
                <c:pt idx="4">
                  <c:v>7.46</c:v>
                </c:pt>
                <c:pt idx="5">
                  <c:v>7.27</c:v>
                </c:pt>
              </c:numCache>
            </c:numRef>
          </c:val>
          <c:smooth val="0"/>
        </c:ser>
        <c:ser>
          <c:idx val="1"/>
          <c:order val="1"/>
          <c:tx>
            <c:strRef>
              <c:f>'Growth Pattern'!$CF$1184</c:f>
              <c:strCache>
                <c:ptCount val="1"/>
                <c:pt idx="0">
                  <c:v>CAI</c:v>
                </c:pt>
              </c:strCache>
            </c:strRef>
          </c:tx>
          <c:val>
            <c:numRef>
              <c:f>'Growth Pattern'!$CF$1185:$CF$1190</c:f>
              <c:numCache>
                <c:formatCode>0.00</c:formatCode>
                <c:ptCount val="6"/>
                <c:pt idx="0">
                  <c:v>0.3</c:v>
                </c:pt>
                <c:pt idx="1">
                  <c:v>2.6100000000000003</c:v>
                </c:pt>
                <c:pt idx="2">
                  <c:v>8.0500000000000007</c:v>
                </c:pt>
                <c:pt idx="3">
                  <c:v>9.84</c:v>
                </c:pt>
                <c:pt idx="4">
                  <c:v>16.499999999999996</c:v>
                </c:pt>
                <c:pt idx="5">
                  <c:v>6.32</c:v>
                </c:pt>
              </c:numCache>
            </c:numRef>
          </c:val>
          <c:smooth val="0"/>
        </c:ser>
        <c:dLbls>
          <c:showLegendKey val="0"/>
          <c:showVal val="0"/>
          <c:showCatName val="0"/>
          <c:showSerName val="0"/>
          <c:showPercent val="0"/>
          <c:showBubbleSize val="0"/>
        </c:dLbls>
        <c:marker val="1"/>
        <c:smooth val="0"/>
        <c:axId val="124053760"/>
        <c:axId val="124055552"/>
      </c:lineChart>
      <c:catAx>
        <c:axId val="124053760"/>
        <c:scaling>
          <c:orientation val="minMax"/>
        </c:scaling>
        <c:delete val="0"/>
        <c:axPos val="b"/>
        <c:majorTickMark val="out"/>
        <c:minorTickMark val="none"/>
        <c:tickLblPos val="nextTo"/>
        <c:crossAx val="124055552"/>
        <c:crosses val="autoZero"/>
        <c:auto val="1"/>
        <c:lblAlgn val="ctr"/>
        <c:lblOffset val="100"/>
        <c:noMultiLvlLbl val="0"/>
      </c:catAx>
      <c:valAx>
        <c:axId val="124055552"/>
        <c:scaling>
          <c:orientation val="minMax"/>
        </c:scaling>
        <c:delete val="0"/>
        <c:axPos val="l"/>
        <c:majorGridlines/>
        <c:numFmt formatCode="0.00" sourceLinked="1"/>
        <c:majorTickMark val="out"/>
        <c:minorTickMark val="none"/>
        <c:tickLblPos val="nextTo"/>
        <c:crossAx val="124053760"/>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2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'Growth Pattern'!$CE$1197</c:f>
              <c:strCache>
                <c:ptCount val="1"/>
                <c:pt idx="0">
                  <c:v>MAI</c:v>
                </c:pt>
              </c:strCache>
            </c:strRef>
          </c:tx>
          <c:val>
            <c:numRef>
              <c:f>'Growth Pattern'!$CE$1198:$CE$1203</c:f>
              <c:numCache>
                <c:formatCode>0.00</c:formatCode>
                <c:ptCount val="6"/>
                <c:pt idx="0">
                  <c:v>0.22</c:v>
                </c:pt>
                <c:pt idx="1">
                  <c:v>1.1200000000000001</c:v>
                </c:pt>
                <c:pt idx="2">
                  <c:v>1.5669999999999999</c:v>
                </c:pt>
                <c:pt idx="3">
                  <c:v>4.3899999999999997</c:v>
                </c:pt>
                <c:pt idx="4">
                  <c:v>4.4400000000000004</c:v>
                </c:pt>
                <c:pt idx="5">
                  <c:v>5.01</c:v>
                </c:pt>
              </c:numCache>
            </c:numRef>
          </c:val>
          <c:smooth val="0"/>
        </c:ser>
        <c:ser>
          <c:idx val="1"/>
          <c:order val="1"/>
          <c:tx>
            <c:strRef>
              <c:f>'Growth Pattern'!$CF$1197</c:f>
              <c:strCache>
                <c:ptCount val="1"/>
                <c:pt idx="0">
                  <c:v>CAI</c:v>
                </c:pt>
              </c:strCache>
            </c:strRef>
          </c:tx>
          <c:val>
            <c:numRef>
              <c:f>'Growth Pattern'!$CF$1198:$CF$1203</c:f>
              <c:numCache>
                <c:formatCode>0.00</c:formatCode>
                <c:ptCount val="6"/>
                <c:pt idx="0">
                  <c:v>0.22</c:v>
                </c:pt>
                <c:pt idx="1">
                  <c:v>2.02</c:v>
                </c:pt>
                <c:pt idx="2">
                  <c:v>2.46</c:v>
                </c:pt>
                <c:pt idx="3">
                  <c:v>12.86</c:v>
                </c:pt>
                <c:pt idx="4">
                  <c:v>4.6400000000000006</c:v>
                </c:pt>
                <c:pt idx="5">
                  <c:v>7.8599999999999994</c:v>
                </c:pt>
              </c:numCache>
            </c:numRef>
          </c:val>
          <c:smooth val="0"/>
        </c:ser>
        <c:dLbls>
          <c:showLegendKey val="0"/>
          <c:showVal val="0"/>
          <c:showCatName val="0"/>
          <c:showSerName val="0"/>
          <c:showPercent val="0"/>
          <c:showBubbleSize val="0"/>
        </c:dLbls>
        <c:marker val="1"/>
        <c:smooth val="0"/>
        <c:axId val="124150144"/>
        <c:axId val="124151680"/>
      </c:lineChart>
      <c:catAx>
        <c:axId val="124150144"/>
        <c:scaling>
          <c:orientation val="minMax"/>
        </c:scaling>
        <c:delete val="0"/>
        <c:axPos val="b"/>
        <c:majorTickMark val="out"/>
        <c:minorTickMark val="none"/>
        <c:tickLblPos val="nextTo"/>
        <c:crossAx val="124151680"/>
        <c:crosses val="autoZero"/>
        <c:auto val="1"/>
        <c:lblAlgn val="ctr"/>
        <c:lblOffset val="100"/>
        <c:noMultiLvlLbl val="0"/>
      </c:catAx>
      <c:valAx>
        <c:axId val="124151680"/>
        <c:scaling>
          <c:orientation val="minMax"/>
        </c:scaling>
        <c:delete val="0"/>
        <c:axPos val="l"/>
        <c:majorGridlines/>
        <c:numFmt formatCode="0.00" sourceLinked="1"/>
        <c:majorTickMark val="out"/>
        <c:minorTickMark val="none"/>
        <c:tickLblPos val="nextTo"/>
        <c:crossAx val="124150144"/>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2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'Growth Pattern'!$CE$1210</c:f>
              <c:strCache>
                <c:ptCount val="1"/>
                <c:pt idx="0">
                  <c:v>MAI</c:v>
                </c:pt>
              </c:strCache>
            </c:strRef>
          </c:tx>
          <c:val>
            <c:numRef>
              <c:f>'Growth Pattern'!$CE$1211:$CE$1216</c:f>
              <c:numCache>
                <c:formatCode>0.00</c:formatCode>
                <c:ptCount val="6"/>
                <c:pt idx="0">
                  <c:v>2.93</c:v>
                </c:pt>
                <c:pt idx="1">
                  <c:v>6.27</c:v>
                </c:pt>
                <c:pt idx="2">
                  <c:v>7.39</c:v>
                </c:pt>
                <c:pt idx="3">
                  <c:v>7.0679999999999996</c:v>
                </c:pt>
                <c:pt idx="4">
                  <c:v>8.5399999999999991</c:v>
                </c:pt>
                <c:pt idx="5">
                  <c:v>7</c:v>
                </c:pt>
              </c:numCache>
            </c:numRef>
          </c:val>
          <c:smooth val="0"/>
        </c:ser>
        <c:ser>
          <c:idx val="1"/>
          <c:order val="1"/>
          <c:tx>
            <c:strRef>
              <c:f>'Growth Pattern'!$CF$1210</c:f>
              <c:strCache>
                <c:ptCount val="1"/>
                <c:pt idx="0">
                  <c:v>CAI</c:v>
                </c:pt>
              </c:strCache>
            </c:strRef>
          </c:tx>
          <c:val>
            <c:numRef>
              <c:f>'Growth Pattern'!$CF$1211:$CF$1216</c:f>
              <c:numCache>
                <c:formatCode>0.00</c:formatCode>
                <c:ptCount val="6"/>
                <c:pt idx="0">
                  <c:v>2.93</c:v>
                </c:pt>
                <c:pt idx="1">
                  <c:v>9.61</c:v>
                </c:pt>
                <c:pt idx="2">
                  <c:v>9.6300000000000026</c:v>
                </c:pt>
                <c:pt idx="3">
                  <c:v>6.0999999999999979</c:v>
                </c:pt>
                <c:pt idx="4">
                  <c:v>14.430000000000003</c:v>
                </c:pt>
                <c:pt idx="5">
                  <c:v>-0.70000000000000284</c:v>
                </c:pt>
              </c:numCache>
            </c:numRef>
          </c:val>
          <c:smooth val="0"/>
        </c:ser>
        <c:dLbls>
          <c:showLegendKey val="0"/>
          <c:showVal val="0"/>
          <c:showCatName val="0"/>
          <c:showSerName val="0"/>
          <c:showPercent val="0"/>
          <c:showBubbleSize val="0"/>
        </c:dLbls>
        <c:marker val="1"/>
        <c:smooth val="0"/>
        <c:axId val="124172544"/>
        <c:axId val="124178432"/>
      </c:lineChart>
      <c:catAx>
        <c:axId val="124172544"/>
        <c:scaling>
          <c:orientation val="minMax"/>
        </c:scaling>
        <c:delete val="0"/>
        <c:axPos val="b"/>
        <c:majorTickMark val="out"/>
        <c:minorTickMark val="none"/>
        <c:tickLblPos val="nextTo"/>
        <c:crossAx val="124178432"/>
        <c:crosses val="autoZero"/>
        <c:auto val="1"/>
        <c:lblAlgn val="ctr"/>
        <c:lblOffset val="100"/>
        <c:noMultiLvlLbl val="0"/>
      </c:catAx>
      <c:valAx>
        <c:axId val="124178432"/>
        <c:scaling>
          <c:orientation val="minMax"/>
        </c:scaling>
        <c:delete val="0"/>
        <c:axPos val="l"/>
        <c:majorGridlines/>
        <c:numFmt formatCode="0.00" sourceLinked="1"/>
        <c:majorTickMark val="out"/>
        <c:minorTickMark val="none"/>
        <c:tickLblPos val="nextTo"/>
        <c:crossAx val="124172544"/>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2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'Growth Pattern'!$CE$1223</c:f>
              <c:strCache>
                <c:ptCount val="1"/>
                <c:pt idx="0">
                  <c:v>MAI</c:v>
                </c:pt>
              </c:strCache>
            </c:strRef>
          </c:tx>
          <c:val>
            <c:numRef>
              <c:f>'Growth Pattern'!$CE$1224:$CE$1229</c:f>
              <c:numCache>
                <c:formatCode>0.00</c:formatCode>
                <c:ptCount val="6"/>
                <c:pt idx="0">
                  <c:v>1.57</c:v>
                </c:pt>
                <c:pt idx="1">
                  <c:v>5.04</c:v>
                </c:pt>
                <c:pt idx="2">
                  <c:v>6.9130000000000003</c:v>
                </c:pt>
                <c:pt idx="3">
                  <c:v>6.5330000000000004</c:v>
                </c:pt>
                <c:pt idx="4">
                  <c:v>6.14</c:v>
                </c:pt>
                <c:pt idx="5">
                  <c:v>6.5019999999999998</c:v>
                </c:pt>
              </c:numCache>
            </c:numRef>
          </c:val>
          <c:smooth val="0"/>
        </c:ser>
        <c:ser>
          <c:idx val="1"/>
          <c:order val="1"/>
          <c:tx>
            <c:strRef>
              <c:f>'Growth Pattern'!$CF$1223</c:f>
              <c:strCache>
                <c:ptCount val="1"/>
                <c:pt idx="0">
                  <c:v>CAI</c:v>
                </c:pt>
              </c:strCache>
            </c:strRef>
          </c:tx>
          <c:val>
            <c:numRef>
              <c:f>'Growth Pattern'!$CF$1224:$CF$1229</c:f>
              <c:numCache>
                <c:formatCode>0.00</c:formatCode>
                <c:ptCount val="6"/>
                <c:pt idx="0">
                  <c:v>1.57</c:v>
                </c:pt>
                <c:pt idx="1">
                  <c:v>8.51</c:v>
                </c:pt>
                <c:pt idx="2">
                  <c:v>10.659999999999998</c:v>
                </c:pt>
                <c:pt idx="3">
                  <c:v>5.3900000000000006</c:v>
                </c:pt>
                <c:pt idx="4">
                  <c:v>4.57</c:v>
                </c:pt>
                <c:pt idx="5">
                  <c:v>8.3099999999999987</c:v>
                </c:pt>
              </c:numCache>
            </c:numRef>
          </c:val>
          <c:smooth val="0"/>
        </c:ser>
        <c:dLbls>
          <c:showLegendKey val="0"/>
          <c:showVal val="0"/>
          <c:showCatName val="0"/>
          <c:showSerName val="0"/>
          <c:showPercent val="0"/>
          <c:showBubbleSize val="0"/>
        </c:dLbls>
        <c:marker val="1"/>
        <c:smooth val="0"/>
        <c:axId val="124662144"/>
        <c:axId val="124663680"/>
      </c:lineChart>
      <c:catAx>
        <c:axId val="124662144"/>
        <c:scaling>
          <c:orientation val="minMax"/>
        </c:scaling>
        <c:delete val="0"/>
        <c:axPos val="b"/>
        <c:majorTickMark val="out"/>
        <c:minorTickMark val="none"/>
        <c:tickLblPos val="nextTo"/>
        <c:crossAx val="124663680"/>
        <c:crosses val="autoZero"/>
        <c:auto val="1"/>
        <c:lblAlgn val="ctr"/>
        <c:lblOffset val="100"/>
        <c:noMultiLvlLbl val="0"/>
      </c:catAx>
      <c:valAx>
        <c:axId val="124663680"/>
        <c:scaling>
          <c:orientation val="minMax"/>
        </c:scaling>
        <c:delete val="0"/>
        <c:axPos val="l"/>
        <c:majorGridlines/>
        <c:numFmt formatCode="0.00" sourceLinked="1"/>
        <c:majorTickMark val="out"/>
        <c:minorTickMark val="none"/>
        <c:tickLblPos val="nextTo"/>
        <c:crossAx val="124662144"/>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2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'Growth Pattern'!$CE$1236</c:f>
              <c:strCache>
                <c:ptCount val="1"/>
                <c:pt idx="0">
                  <c:v>MAI</c:v>
                </c:pt>
              </c:strCache>
            </c:strRef>
          </c:tx>
          <c:val>
            <c:numRef>
              <c:f>'Growth Pattern'!$CE$1237:$CE$1242</c:f>
              <c:numCache>
                <c:formatCode>0.00</c:formatCode>
                <c:ptCount val="6"/>
                <c:pt idx="0">
                  <c:v>0.98</c:v>
                </c:pt>
                <c:pt idx="1">
                  <c:v>4.1449999999999996</c:v>
                </c:pt>
                <c:pt idx="2">
                  <c:v>5.617</c:v>
                </c:pt>
                <c:pt idx="3">
                  <c:v>6.1929999999999996</c:v>
                </c:pt>
                <c:pt idx="4">
                  <c:v>5.92</c:v>
                </c:pt>
                <c:pt idx="5">
                  <c:v>6.7169999999999996</c:v>
                </c:pt>
              </c:numCache>
            </c:numRef>
          </c:val>
          <c:smooth val="0"/>
        </c:ser>
        <c:ser>
          <c:idx val="1"/>
          <c:order val="1"/>
          <c:tx>
            <c:strRef>
              <c:f>'Growth Pattern'!$CF$1236</c:f>
              <c:strCache>
                <c:ptCount val="1"/>
                <c:pt idx="0">
                  <c:v>CAI</c:v>
                </c:pt>
              </c:strCache>
            </c:strRef>
          </c:tx>
          <c:val>
            <c:numRef>
              <c:f>'Growth Pattern'!$CF$1237:$CF$1242</c:f>
              <c:numCache>
                <c:formatCode>0.00</c:formatCode>
                <c:ptCount val="6"/>
                <c:pt idx="0">
                  <c:v>0.98</c:v>
                </c:pt>
                <c:pt idx="1">
                  <c:v>7.3099999999999987</c:v>
                </c:pt>
                <c:pt idx="2">
                  <c:v>8.5600000000000023</c:v>
                </c:pt>
                <c:pt idx="3">
                  <c:v>7.9199999999999982</c:v>
                </c:pt>
                <c:pt idx="4">
                  <c:v>4.8300000000000018</c:v>
                </c:pt>
                <c:pt idx="5">
                  <c:v>10.699999999999996</c:v>
                </c:pt>
              </c:numCache>
            </c:numRef>
          </c:val>
          <c:smooth val="0"/>
        </c:ser>
        <c:dLbls>
          <c:showLegendKey val="0"/>
          <c:showVal val="0"/>
          <c:showCatName val="0"/>
          <c:showSerName val="0"/>
          <c:showPercent val="0"/>
          <c:showBubbleSize val="0"/>
        </c:dLbls>
        <c:marker val="1"/>
        <c:smooth val="0"/>
        <c:axId val="124696832"/>
        <c:axId val="124698624"/>
      </c:lineChart>
      <c:catAx>
        <c:axId val="124696832"/>
        <c:scaling>
          <c:orientation val="minMax"/>
        </c:scaling>
        <c:delete val="0"/>
        <c:axPos val="b"/>
        <c:majorTickMark val="out"/>
        <c:minorTickMark val="none"/>
        <c:tickLblPos val="nextTo"/>
        <c:crossAx val="124698624"/>
        <c:crosses val="autoZero"/>
        <c:auto val="1"/>
        <c:lblAlgn val="ctr"/>
        <c:lblOffset val="100"/>
        <c:noMultiLvlLbl val="0"/>
      </c:catAx>
      <c:valAx>
        <c:axId val="124698624"/>
        <c:scaling>
          <c:orientation val="minMax"/>
        </c:scaling>
        <c:delete val="0"/>
        <c:axPos val="l"/>
        <c:majorGridlines/>
        <c:numFmt formatCode="0.00" sourceLinked="1"/>
        <c:majorTickMark val="out"/>
        <c:minorTickMark val="none"/>
        <c:tickLblPos val="nextTo"/>
        <c:crossAx val="124696832"/>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2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'Growth Pattern'!$CE$1249</c:f>
              <c:strCache>
                <c:ptCount val="1"/>
                <c:pt idx="0">
                  <c:v>MAI</c:v>
                </c:pt>
              </c:strCache>
            </c:strRef>
          </c:tx>
          <c:val>
            <c:numRef>
              <c:f>'Growth Pattern'!$CE$1250:$CE$1255</c:f>
              <c:numCache>
                <c:formatCode>0.00</c:formatCode>
                <c:ptCount val="6"/>
                <c:pt idx="0">
                  <c:v>0.6</c:v>
                </c:pt>
                <c:pt idx="1">
                  <c:v>2.0150000000000001</c:v>
                </c:pt>
                <c:pt idx="2">
                  <c:v>5.08</c:v>
                </c:pt>
                <c:pt idx="3">
                  <c:v>7.1479999999999997</c:v>
                </c:pt>
                <c:pt idx="4">
                  <c:v>9.4600000000000009</c:v>
                </c:pt>
                <c:pt idx="5">
                  <c:v>7.9669999999999996</c:v>
                </c:pt>
              </c:numCache>
            </c:numRef>
          </c:val>
          <c:smooth val="0"/>
        </c:ser>
        <c:ser>
          <c:idx val="1"/>
          <c:order val="1"/>
          <c:tx>
            <c:strRef>
              <c:f>'Growth Pattern'!$CF$1249</c:f>
              <c:strCache>
                <c:ptCount val="1"/>
                <c:pt idx="0">
                  <c:v>CAI</c:v>
                </c:pt>
              </c:strCache>
            </c:strRef>
          </c:tx>
          <c:val>
            <c:numRef>
              <c:f>'Growth Pattern'!$CF$1250:$CF$1255</c:f>
              <c:numCache>
                <c:formatCode>0.00</c:formatCode>
                <c:ptCount val="6"/>
                <c:pt idx="0">
                  <c:v>0.6</c:v>
                </c:pt>
                <c:pt idx="1">
                  <c:v>3.43</c:v>
                </c:pt>
                <c:pt idx="2">
                  <c:v>11.21</c:v>
                </c:pt>
                <c:pt idx="3">
                  <c:v>13.35</c:v>
                </c:pt>
                <c:pt idx="4">
                  <c:v>18.709999999999997</c:v>
                </c:pt>
                <c:pt idx="5">
                  <c:v>0.5</c:v>
                </c:pt>
              </c:numCache>
            </c:numRef>
          </c:val>
          <c:smooth val="0"/>
        </c:ser>
        <c:dLbls>
          <c:showLegendKey val="0"/>
          <c:showVal val="0"/>
          <c:showCatName val="0"/>
          <c:showSerName val="0"/>
          <c:showPercent val="0"/>
          <c:showBubbleSize val="0"/>
        </c:dLbls>
        <c:marker val="1"/>
        <c:smooth val="0"/>
        <c:axId val="124391808"/>
        <c:axId val="124393344"/>
      </c:lineChart>
      <c:catAx>
        <c:axId val="124391808"/>
        <c:scaling>
          <c:orientation val="minMax"/>
        </c:scaling>
        <c:delete val="0"/>
        <c:axPos val="b"/>
        <c:majorTickMark val="out"/>
        <c:minorTickMark val="none"/>
        <c:tickLblPos val="nextTo"/>
        <c:crossAx val="124393344"/>
        <c:crosses val="autoZero"/>
        <c:auto val="1"/>
        <c:lblAlgn val="ctr"/>
        <c:lblOffset val="100"/>
        <c:noMultiLvlLbl val="0"/>
      </c:catAx>
      <c:valAx>
        <c:axId val="124393344"/>
        <c:scaling>
          <c:orientation val="minMax"/>
        </c:scaling>
        <c:delete val="0"/>
        <c:axPos val="l"/>
        <c:majorGridlines/>
        <c:numFmt formatCode="0.00" sourceLinked="1"/>
        <c:majorTickMark val="out"/>
        <c:minorTickMark val="none"/>
        <c:tickLblPos val="nextTo"/>
        <c:crossAx val="124391808"/>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2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482760278837797"/>
          <c:y val="7.6137795421140922E-2"/>
          <c:w val="0.67187009173506329"/>
          <c:h val="0.77610242431933107"/>
        </c:manualLayout>
      </c:layout>
      <c:lineChart>
        <c:grouping val="standard"/>
        <c:varyColors val="0"/>
        <c:ser>
          <c:idx val="0"/>
          <c:order val="0"/>
          <c:tx>
            <c:strRef>
              <c:f>'Growth Pattern'!$CE$1262</c:f>
              <c:strCache>
                <c:ptCount val="1"/>
                <c:pt idx="0">
                  <c:v>MAI</c:v>
                </c:pt>
              </c:strCache>
            </c:strRef>
          </c:tx>
          <c:val>
            <c:numRef>
              <c:f>'Growth Pattern'!$CE$1263:$CE$1268</c:f>
              <c:numCache>
                <c:formatCode>0.00</c:formatCode>
                <c:ptCount val="6"/>
                <c:pt idx="0">
                  <c:v>0.32</c:v>
                </c:pt>
                <c:pt idx="1">
                  <c:v>1.79</c:v>
                </c:pt>
                <c:pt idx="2">
                  <c:v>3.5630000000000002</c:v>
                </c:pt>
                <c:pt idx="3">
                  <c:v>4.6369999999999996</c:v>
                </c:pt>
                <c:pt idx="4">
                  <c:v>4.62</c:v>
                </c:pt>
                <c:pt idx="5">
                  <c:v>7.048</c:v>
                </c:pt>
              </c:numCache>
            </c:numRef>
          </c:val>
          <c:smooth val="0"/>
        </c:ser>
        <c:ser>
          <c:idx val="1"/>
          <c:order val="1"/>
          <c:tx>
            <c:strRef>
              <c:f>'Growth Pattern'!$CF$1262</c:f>
              <c:strCache>
                <c:ptCount val="1"/>
                <c:pt idx="0">
                  <c:v>CAI</c:v>
                </c:pt>
              </c:strCache>
            </c:strRef>
          </c:tx>
          <c:val>
            <c:numRef>
              <c:f>'Growth Pattern'!$CF$1263:$CF$1268</c:f>
              <c:numCache>
                <c:formatCode>0.00</c:formatCode>
                <c:ptCount val="6"/>
                <c:pt idx="0">
                  <c:v>0.32</c:v>
                </c:pt>
                <c:pt idx="1">
                  <c:v>3.2600000000000002</c:v>
                </c:pt>
                <c:pt idx="2">
                  <c:v>7.1099999999999994</c:v>
                </c:pt>
                <c:pt idx="3">
                  <c:v>7.8600000000000012</c:v>
                </c:pt>
                <c:pt idx="4">
                  <c:v>4.5500000000000007</c:v>
                </c:pt>
                <c:pt idx="5">
                  <c:v>19.189999999999998</c:v>
                </c:pt>
              </c:numCache>
            </c:numRef>
          </c:val>
          <c:smooth val="0"/>
        </c:ser>
        <c:dLbls>
          <c:showLegendKey val="0"/>
          <c:showVal val="0"/>
          <c:showCatName val="0"/>
          <c:showSerName val="0"/>
          <c:showPercent val="0"/>
          <c:showBubbleSize val="0"/>
        </c:dLbls>
        <c:marker val="1"/>
        <c:smooth val="0"/>
        <c:axId val="124422400"/>
        <c:axId val="124436480"/>
      </c:lineChart>
      <c:catAx>
        <c:axId val="124422400"/>
        <c:scaling>
          <c:orientation val="minMax"/>
        </c:scaling>
        <c:delete val="0"/>
        <c:axPos val="b"/>
        <c:majorTickMark val="out"/>
        <c:minorTickMark val="none"/>
        <c:tickLblPos val="nextTo"/>
        <c:crossAx val="124436480"/>
        <c:crosses val="autoZero"/>
        <c:auto val="1"/>
        <c:lblAlgn val="ctr"/>
        <c:lblOffset val="100"/>
        <c:noMultiLvlLbl val="0"/>
      </c:catAx>
      <c:valAx>
        <c:axId val="124436480"/>
        <c:scaling>
          <c:orientation val="minMax"/>
        </c:scaling>
        <c:delete val="0"/>
        <c:axPos val="l"/>
        <c:majorGridlines/>
        <c:numFmt formatCode="0.00" sourceLinked="1"/>
        <c:majorTickMark val="out"/>
        <c:minorTickMark val="none"/>
        <c:tickLblPos val="nextTo"/>
        <c:crossAx val="124422400"/>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2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'Growth Pattern'!$CE$1275</c:f>
              <c:strCache>
                <c:ptCount val="1"/>
                <c:pt idx="0">
                  <c:v>MAI</c:v>
                </c:pt>
              </c:strCache>
            </c:strRef>
          </c:tx>
          <c:val>
            <c:numRef>
              <c:f>'Growth Pattern'!$CE$1276:$CE$1281</c:f>
              <c:numCache>
                <c:formatCode>0.00</c:formatCode>
                <c:ptCount val="6"/>
                <c:pt idx="0">
                  <c:v>0.22</c:v>
                </c:pt>
                <c:pt idx="1">
                  <c:v>1.4550000000000001</c:v>
                </c:pt>
                <c:pt idx="2">
                  <c:v>3.2370000000000001</c:v>
                </c:pt>
                <c:pt idx="3">
                  <c:v>3.7480000000000002</c:v>
                </c:pt>
                <c:pt idx="4">
                  <c:v>4.04</c:v>
                </c:pt>
                <c:pt idx="5">
                  <c:v>5.1280000000000001</c:v>
                </c:pt>
              </c:numCache>
            </c:numRef>
          </c:val>
          <c:smooth val="0"/>
        </c:ser>
        <c:ser>
          <c:idx val="1"/>
          <c:order val="1"/>
          <c:tx>
            <c:strRef>
              <c:f>'Growth Pattern'!$CF$1275</c:f>
              <c:strCache>
                <c:ptCount val="1"/>
                <c:pt idx="0">
                  <c:v>CAI</c:v>
                </c:pt>
              </c:strCache>
            </c:strRef>
          </c:tx>
          <c:val>
            <c:numRef>
              <c:f>'Growth Pattern'!$CF$1276:$CF$1281</c:f>
              <c:numCache>
                <c:formatCode>0.00</c:formatCode>
                <c:ptCount val="6"/>
                <c:pt idx="0">
                  <c:v>0.22</c:v>
                </c:pt>
                <c:pt idx="1">
                  <c:v>2.69</c:v>
                </c:pt>
                <c:pt idx="2">
                  <c:v>6.8000000000000007</c:v>
                </c:pt>
                <c:pt idx="3">
                  <c:v>5.2799999999999994</c:v>
                </c:pt>
                <c:pt idx="4">
                  <c:v>5.2099999999999991</c:v>
                </c:pt>
                <c:pt idx="5">
                  <c:v>10.57</c:v>
                </c:pt>
              </c:numCache>
            </c:numRef>
          </c:val>
          <c:smooth val="0"/>
        </c:ser>
        <c:dLbls>
          <c:showLegendKey val="0"/>
          <c:showVal val="0"/>
          <c:showCatName val="0"/>
          <c:showSerName val="0"/>
          <c:showPercent val="0"/>
          <c:showBubbleSize val="0"/>
        </c:dLbls>
        <c:marker val="1"/>
        <c:smooth val="0"/>
        <c:axId val="124522880"/>
        <c:axId val="124524416"/>
      </c:lineChart>
      <c:catAx>
        <c:axId val="124522880"/>
        <c:scaling>
          <c:orientation val="minMax"/>
        </c:scaling>
        <c:delete val="0"/>
        <c:axPos val="b"/>
        <c:majorTickMark val="out"/>
        <c:minorTickMark val="none"/>
        <c:tickLblPos val="nextTo"/>
        <c:crossAx val="124524416"/>
        <c:crosses val="autoZero"/>
        <c:auto val="1"/>
        <c:lblAlgn val="ctr"/>
        <c:lblOffset val="100"/>
        <c:noMultiLvlLbl val="0"/>
      </c:catAx>
      <c:valAx>
        <c:axId val="124524416"/>
        <c:scaling>
          <c:orientation val="minMax"/>
        </c:scaling>
        <c:delete val="0"/>
        <c:axPos val="l"/>
        <c:majorGridlines/>
        <c:numFmt formatCode="0.00" sourceLinked="1"/>
        <c:majorTickMark val="out"/>
        <c:minorTickMark val="none"/>
        <c:tickLblPos val="nextTo"/>
        <c:crossAx val="124522880"/>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2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'Growth Pattern'!$CE$1288</c:f>
              <c:strCache>
                <c:ptCount val="1"/>
                <c:pt idx="0">
                  <c:v>MAI</c:v>
                </c:pt>
              </c:strCache>
            </c:strRef>
          </c:tx>
          <c:val>
            <c:numRef>
              <c:f>'Growth Pattern'!$CE$1289:$CE$1291</c:f>
              <c:numCache>
                <c:formatCode>0.00</c:formatCode>
                <c:ptCount val="3"/>
                <c:pt idx="0">
                  <c:v>4.58</c:v>
                </c:pt>
                <c:pt idx="1">
                  <c:v>7.19</c:v>
                </c:pt>
                <c:pt idx="2">
                  <c:v>9.48</c:v>
                </c:pt>
              </c:numCache>
            </c:numRef>
          </c:val>
          <c:smooth val="0"/>
        </c:ser>
        <c:ser>
          <c:idx val="1"/>
          <c:order val="1"/>
          <c:tx>
            <c:strRef>
              <c:f>'Growth Pattern'!$CF$1288</c:f>
              <c:strCache>
                <c:ptCount val="1"/>
                <c:pt idx="0">
                  <c:v>CAI</c:v>
                </c:pt>
              </c:strCache>
            </c:strRef>
          </c:tx>
          <c:val>
            <c:numRef>
              <c:f>'Growth Pattern'!$CF$1289:$CF$1291</c:f>
              <c:numCache>
                <c:formatCode>0.00</c:formatCode>
                <c:ptCount val="3"/>
                <c:pt idx="1">
                  <c:v>9.8000000000000007</c:v>
                </c:pt>
                <c:pt idx="2">
                  <c:v>14.06</c:v>
                </c:pt>
              </c:numCache>
            </c:numRef>
          </c:val>
          <c:smooth val="0"/>
        </c:ser>
        <c:dLbls>
          <c:showLegendKey val="0"/>
          <c:showVal val="0"/>
          <c:showCatName val="0"/>
          <c:showSerName val="0"/>
          <c:showPercent val="0"/>
          <c:showBubbleSize val="0"/>
        </c:dLbls>
        <c:marker val="1"/>
        <c:smooth val="0"/>
        <c:axId val="124553472"/>
        <c:axId val="124555264"/>
      </c:lineChart>
      <c:catAx>
        <c:axId val="124553472"/>
        <c:scaling>
          <c:orientation val="minMax"/>
        </c:scaling>
        <c:delete val="0"/>
        <c:axPos val="b"/>
        <c:majorTickMark val="out"/>
        <c:minorTickMark val="none"/>
        <c:tickLblPos val="nextTo"/>
        <c:crossAx val="124555264"/>
        <c:crosses val="autoZero"/>
        <c:auto val="1"/>
        <c:lblAlgn val="ctr"/>
        <c:lblOffset val="100"/>
        <c:noMultiLvlLbl val="0"/>
      </c:catAx>
      <c:valAx>
        <c:axId val="124555264"/>
        <c:scaling>
          <c:orientation val="minMax"/>
        </c:scaling>
        <c:delete val="0"/>
        <c:axPos val="l"/>
        <c:majorGridlines/>
        <c:numFmt formatCode="0.00" sourceLinked="1"/>
        <c:majorTickMark val="out"/>
        <c:minorTickMark val="none"/>
        <c:tickLblPos val="nextTo"/>
        <c:crossAx val="124553472"/>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'Growth Pattern'!$CE$219</c:f>
              <c:strCache>
                <c:ptCount val="1"/>
                <c:pt idx="0">
                  <c:v>MAI</c:v>
                </c:pt>
              </c:strCache>
            </c:strRef>
          </c:tx>
          <c:val>
            <c:numRef>
              <c:f>'Growth Pattern'!$CE$220:$CE$229</c:f>
              <c:numCache>
                <c:formatCode>0.00</c:formatCode>
                <c:ptCount val="10"/>
                <c:pt idx="0">
                  <c:v>2.99</c:v>
                </c:pt>
                <c:pt idx="1">
                  <c:v>6.05</c:v>
                </c:pt>
                <c:pt idx="2">
                  <c:v>7.333333333333333</c:v>
                </c:pt>
                <c:pt idx="3">
                  <c:v>8.0500000000000007</c:v>
                </c:pt>
                <c:pt idx="4">
                  <c:v>8.6999999999999993</c:v>
                </c:pt>
                <c:pt idx="5">
                  <c:v>8.5166666666666675</c:v>
                </c:pt>
                <c:pt idx="6">
                  <c:v>8.701428571428572</c:v>
                </c:pt>
                <c:pt idx="7">
                  <c:v>8.7437500000000004</c:v>
                </c:pt>
                <c:pt idx="8">
                  <c:v>8.7966666666666669</c:v>
                </c:pt>
                <c:pt idx="9">
                  <c:v>8.793000000000001</c:v>
                </c:pt>
              </c:numCache>
            </c:numRef>
          </c:val>
          <c:smooth val="0"/>
        </c:ser>
        <c:ser>
          <c:idx val="1"/>
          <c:order val="1"/>
          <c:tx>
            <c:strRef>
              <c:f>'Growth Pattern'!$CF$219</c:f>
              <c:strCache>
                <c:ptCount val="1"/>
                <c:pt idx="0">
                  <c:v>CAI</c:v>
                </c:pt>
              </c:strCache>
            </c:strRef>
          </c:tx>
          <c:val>
            <c:numRef>
              <c:f>'Growth Pattern'!$CF$220:$CF$229</c:f>
              <c:numCache>
                <c:formatCode>0.00</c:formatCode>
                <c:ptCount val="10"/>
                <c:pt idx="0">
                  <c:v>2.99</c:v>
                </c:pt>
                <c:pt idx="1">
                  <c:v>9.11</c:v>
                </c:pt>
                <c:pt idx="2">
                  <c:v>9.9</c:v>
                </c:pt>
                <c:pt idx="3">
                  <c:v>10.199999999999999</c:v>
                </c:pt>
                <c:pt idx="4">
                  <c:v>11.3</c:v>
                </c:pt>
                <c:pt idx="5">
                  <c:v>7.6</c:v>
                </c:pt>
                <c:pt idx="6">
                  <c:v>9.81</c:v>
                </c:pt>
                <c:pt idx="7">
                  <c:v>9.0399999999999991</c:v>
                </c:pt>
                <c:pt idx="8">
                  <c:v>9.2200000000000006</c:v>
                </c:pt>
                <c:pt idx="9">
                  <c:v>8.76</c:v>
                </c:pt>
              </c:numCache>
            </c:numRef>
          </c:val>
          <c:smooth val="0"/>
        </c:ser>
        <c:dLbls>
          <c:showLegendKey val="0"/>
          <c:showVal val="0"/>
          <c:showCatName val="0"/>
          <c:showSerName val="0"/>
          <c:showPercent val="0"/>
          <c:showBubbleSize val="0"/>
        </c:dLbls>
        <c:marker val="1"/>
        <c:smooth val="0"/>
        <c:axId val="93382528"/>
        <c:axId val="93384064"/>
      </c:lineChart>
      <c:catAx>
        <c:axId val="93382528"/>
        <c:scaling>
          <c:orientation val="minMax"/>
        </c:scaling>
        <c:delete val="0"/>
        <c:axPos val="b"/>
        <c:majorTickMark val="out"/>
        <c:minorTickMark val="none"/>
        <c:tickLblPos val="nextTo"/>
        <c:crossAx val="93384064"/>
        <c:crosses val="autoZero"/>
        <c:auto val="1"/>
        <c:lblAlgn val="ctr"/>
        <c:lblOffset val="100"/>
        <c:noMultiLvlLbl val="0"/>
      </c:catAx>
      <c:valAx>
        <c:axId val="93384064"/>
        <c:scaling>
          <c:orientation val="minMax"/>
        </c:scaling>
        <c:delete val="0"/>
        <c:axPos val="l"/>
        <c:majorGridlines/>
        <c:numFmt formatCode="0.00" sourceLinked="1"/>
        <c:majorTickMark val="out"/>
        <c:minorTickMark val="none"/>
        <c:tickLblPos val="nextTo"/>
        <c:crossAx val="93382528"/>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3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'Growth Pattern'!$CE$1292</c:f>
              <c:strCache>
                <c:ptCount val="1"/>
                <c:pt idx="0">
                  <c:v>MAI</c:v>
                </c:pt>
              </c:strCache>
            </c:strRef>
          </c:tx>
          <c:val>
            <c:numRef>
              <c:f>'Growth Pattern'!$CE$1293:$CE$1295</c:f>
              <c:numCache>
                <c:formatCode>0.00</c:formatCode>
                <c:ptCount val="3"/>
                <c:pt idx="0">
                  <c:v>6.63</c:v>
                </c:pt>
                <c:pt idx="1">
                  <c:v>8.9450000000000003</c:v>
                </c:pt>
                <c:pt idx="2">
                  <c:v>11.263333333333334</c:v>
                </c:pt>
              </c:numCache>
            </c:numRef>
          </c:val>
          <c:smooth val="0"/>
        </c:ser>
        <c:ser>
          <c:idx val="1"/>
          <c:order val="1"/>
          <c:tx>
            <c:strRef>
              <c:f>'Growth Pattern'!$CF$1292</c:f>
              <c:strCache>
                <c:ptCount val="1"/>
                <c:pt idx="0">
                  <c:v>CAI</c:v>
                </c:pt>
              </c:strCache>
            </c:strRef>
          </c:tx>
          <c:val>
            <c:numRef>
              <c:f>'Growth Pattern'!$CF$1293:$CF$1295</c:f>
              <c:numCache>
                <c:formatCode>0.00</c:formatCode>
                <c:ptCount val="3"/>
                <c:pt idx="1">
                  <c:v>11.260000000000002</c:v>
                </c:pt>
                <c:pt idx="2">
                  <c:v>15.899999999999999</c:v>
                </c:pt>
              </c:numCache>
            </c:numRef>
          </c:val>
          <c:smooth val="0"/>
        </c:ser>
        <c:dLbls>
          <c:showLegendKey val="0"/>
          <c:showVal val="0"/>
          <c:showCatName val="0"/>
          <c:showSerName val="0"/>
          <c:showPercent val="0"/>
          <c:showBubbleSize val="0"/>
        </c:dLbls>
        <c:marker val="1"/>
        <c:smooth val="0"/>
        <c:axId val="124588416"/>
        <c:axId val="124589952"/>
      </c:lineChart>
      <c:catAx>
        <c:axId val="124588416"/>
        <c:scaling>
          <c:orientation val="minMax"/>
        </c:scaling>
        <c:delete val="0"/>
        <c:axPos val="b"/>
        <c:majorTickMark val="out"/>
        <c:minorTickMark val="none"/>
        <c:tickLblPos val="nextTo"/>
        <c:crossAx val="124589952"/>
        <c:crosses val="autoZero"/>
        <c:auto val="1"/>
        <c:lblAlgn val="ctr"/>
        <c:lblOffset val="100"/>
        <c:noMultiLvlLbl val="0"/>
      </c:catAx>
      <c:valAx>
        <c:axId val="124589952"/>
        <c:scaling>
          <c:orientation val="minMax"/>
        </c:scaling>
        <c:delete val="0"/>
        <c:axPos val="l"/>
        <c:majorGridlines/>
        <c:numFmt formatCode="0.00" sourceLinked="1"/>
        <c:majorTickMark val="out"/>
        <c:minorTickMark val="none"/>
        <c:tickLblPos val="nextTo"/>
        <c:crossAx val="124588416"/>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3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'Growth Pattern'!$CE$1296</c:f>
              <c:strCache>
                <c:ptCount val="1"/>
                <c:pt idx="0">
                  <c:v>MAI</c:v>
                </c:pt>
              </c:strCache>
            </c:strRef>
          </c:tx>
          <c:val>
            <c:numRef>
              <c:f>'Growth Pattern'!$CE$1297:$CE$1299</c:f>
              <c:numCache>
                <c:formatCode>0.00</c:formatCode>
                <c:ptCount val="3"/>
                <c:pt idx="0">
                  <c:v>6.27</c:v>
                </c:pt>
                <c:pt idx="1">
                  <c:v>9.7100000000000009</c:v>
                </c:pt>
                <c:pt idx="2">
                  <c:v>11.136666666666665</c:v>
                </c:pt>
              </c:numCache>
            </c:numRef>
          </c:val>
          <c:smooth val="0"/>
        </c:ser>
        <c:ser>
          <c:idx val="1"/>
          <c:order val="1"/>
          <c:tx>
            <c:strRef>
              <c:f>'Growth Pattern'!$CF$1296</c:f>
              <c:strCache>
                <c:ptCount val="1"/>
                <c:pt idx="0">
                  <c:v>CAI</c:v>
                </c:pt>
              </c:strCache>
            </c:strRef>
          </c:tx>
          <c:val>
            <c:numRef>
              <c:f>'Growth Pattern'!$CF$1297:$CF$1299</c:f>
              <c:numCache>
                <c:formatCode>0.00</c:formatCode>
                <c:ptCount val="3"/>
                <c:pt idx="1">
                  <c:v>13.150000000000002</c:v>
                </c:pt>
                <c:pt idx="2">
                  <c:v>13.989999999999995</c:v>
                </c:pt>
              </c:numCache>
            </c:numRef>
          </c:val>
          <c:smooth val="0"/>
        </c:ser>
        <c:dLbls>
          <c:showLegendKey val="0"/>
          <c:showVal val="0"/>
          <c:showCatName val="0"/>
          <c:showSerName val="0"/>
          <c:showPercent val="0"/>
          <c:showBubbleSize val="0"/>
        </c:dLbls>
        <c:marker val="1"/>
        <c:smooth val="0"/>
        <c:axId val="124602624"/>
        <c:axId val="124616704"/>
      </c:lineChart>
      <c:catAx>
        <c:axId val="124602624"/>
        <c:scaling>
          <c:orientation val="minMax"/>
        </c:scaling>
        <c:delete val="0"/>
        <c:axPos val="b"/>
        <c:majorTickMark val="out"/>
        <c:minorTickMark val="none"/>
        <c:tickLblPos val="nextTo"/>
        <c:crossAx val="124616704"/>
        <c:crosses val="autoZero"/>
        <c:auto val="1"/>
        <c:lblAlgn val="ctr"/>
        <c:lblOffset val="100"/>
        <c:noMultiLvlLbl val="0"/>
      </c:catAx>
      <c:valAx>
        <c:axId val="124616704"/>
        <c:scaling>
          <c:orientation val="minMax"/>
        </c:scaling>
        <c:delete val="0"/>
        <c:axPos val="l"/>
        <c:majorGridlines/>
        <c:numFmt formatCode="0.00" sourceLinked="1"/>
        <c:majorTickMark val="out"/>
        <c:minorTickMark val="none"/>
        <c:tickLblPos val="nextTo"/>
        <c:crossAx val="124602624"/>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3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val>
            <c:numRef>
              <c:f>'Growth Pattern'!$CE$1301:$CE$1303</c:f>
              <c:numCache>
                <c:formatCode>0.00</c:formatCode>
                <c:ptCount val="3"/>
                <c:pt idx="0">
                  <c:v>5.6</c:v>
                </c:pt>
                <c:pt idx="1">
                  <c:v>9.81</c:v>
                </c:pt>
                <c:pt idx="2">
                  <c:v>11.976666666666667</c:v>
                </c:pt>
              </c:numCache>
            </c:numRef>
          </c:val>
          <c:smooth val="0"/>
        </c:ser>
        <c:ser>
          <c:idx val="1"/>
          <c:order val="1"/>
          <c:val>
            <c:numRef>
              <c:f>'Growth Pattern'!$CF$1301:$CF$1303</c:f>
              <c:numCache>
                <c:formatCode>0.00</c:formatCode>
                <c:ptCount val="3"/>
                <c:pt idx="1">
                  <c:v>14.020000000000001</c:v>
                </c:pt>
                <c:pt idx="2">
                  <c:v>16.309999999999999</c:v>
                </c:pt>
              </c:numCache>
            </c:numRef>
          </c:val>
          <c:smooth val="0"/>
        </c:ser>
        <c:dLbls>
          <c:showLegendKey val="0"/>
          <c:showVal val="0"/>
          <c:showCatName val="0"/>
          <c:showSerName val="0"/>
          <c:showPercent val="0"/>
          <c:showBubbleSize val="0"/>
        </c:dLbls>
        <c:marker val="1"/>
        <c:smooth val="0"/>
        <c:axId val="124637568"/>
        <c:axId val="124639104"/>
      </c:lineChart>
      <c:catAx>
        <c:axId val="124637568"/>
        <c:scaling>
          <c:orientation val="minMax"/>
        </c:scaling>
        <c:delete val="0"/>
        <c:axPos val="b"/>
        <c:majorTickMark val="out"/>
        <c:minorTickMark val="none"/>
        <c:tickLblPos val="nextTo"/>
        <c:crossAx val="124639104"/>
        <c:crosses val="autoZero"/>
        <c:auto val="1"/>
        <c:lblAlgn val="ctr"/>
        <c:lblOffset val="100"/>
        <c:noMultiLvlLbl val="0"/>
      </c:catAx>
      <c:valAx>
        <c:axId val="124639104"/>
        <c:scaling>
          <c:orientation val="minMax"/>
        </c:scaling>
        <c:delete val="0"/>
        <c:axPos val="l"/>
        <c:majorGridlines/>
        <c:numFmt formatCode="0.00" sourceLinked="1"/>
        <c:majorTickMark val="out"/>
        <c:minorTickMark val="none"/>
        <c:tickLblPos val="nextTo"/>
        <c:crossAx val="124637568"/>
        <c:crosses val="autoZero"/>
        <c:crossBetween val="between"/>
      </c:valAx>
    </c:plotArea>
    <c:legend>
      <c:legendPos val="r"/>
      <c:layout>
        <c:manualLayout>
          <c:xMode val="edge"/>
          <c:yMode val="edge"/>
          <c:x val="0.78366095330504393"/>
          <c:y val="0.68968743254957232"/>
          <c:w val="0.21633918187936282"/>
          <c:h val="0.30223945625653537"/>
        </c:manualLayout>
      </c:layout>
      <c:overlay val="0"/>
    </c:legend>
    <c:plotVisOnly val="1"/>
    <c:dispBlanksAs val="gap"/>
    <c:showDLblsOverMax val="0"/>
  </c:chart>
  <c:printSettings>
    <c:headerFooter/>
    <c:pageMargins b="0.75" l="0.7" r="0.7" t="0.75" header="0.3" footer="0.3"/>
    <c:pageSetup/>
  </c:printSettings>
</c:chartSpace>
</file>

<file path=xl/charts/chart13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val>
            <c:numRef>
              <c:f>'Growth Pattern'!$CE$1305:$CE$1307</c:f>
              <c:numCache>
                <c:formatCode>0.00</c:formatCode>
                <c:ptCount val="3"/>
                <c:pt idx="0">
                  <c:v>5.93</c:v>
                </c:pt>
                <c:pt idx="1">
                  <c:v>11.845000000000001</c:v>
                </c:pt>
                <c:pt idx="2">
                  <c:v>14.479999999999999</c:v>
                </c:pt>
              </c:numCache>
            </c:numRef>
          </c:val>
          <c:smooth val="0"/>
        </c:ser>
        <c:ser>
          <c:idx val="1"/>
          <c:order val="1"/>
          <c:val>
            <c:numRef>
              <c:f>'Growth Pattern'!$CF$1305:$CF$1307</c:f>
              <c:numCache>
                <c:formatCode>0.00</c:formatCode>
                <c:ptCount val="3"/>
                <c:pt idx="1">
                  <c:v>17.760000000000002</c:v>
                </c:pt>
                <c:pt idx="2">
                  <c:v>19.749999999999996</c:v>
                </c:pt>
              </c:numCache>
            </c:numRef>
          </c:val>
          <c:smooth val="0"/>
        </c:ser>
        <c:dLbls>
          <c:showLegendKey val="0"/>
          <c:showVal val="0"/>
          <c:showCatName val="0"/>
          <c:showSerName val="0"/>
          <c:showPercent val="0"/>
          <c:showBubbleSize val="0"/>
        </c:dLbls>
        <c:marker val="1"/>
        <c:smooth val="0"/>
        <c:axId val="124815616"/>
        <c:axId val="124817408"/>
      </c:lineChart>
      <c:catAx>
        <c:axId val="124815616"/>
        <c:scaling>
          <c:orientation val="minMax"/>
        </c:scaling>
        <c:delete val="0"/>
        <c:axPos val="b"/>
        <c:majorTickMark val="out"/>
        <c:minorTickMark val="none"/>
        <c:tickLblPos val="nextTo"/>
        <c:crossAx val="124817408"/>
        <c:crosses val="autoZero"/>
        <c:auto val="1"/>
        <c:lblAlgn val="ctr"/>
        <c:lblOffset val="100"/>
        <c:noMultiLvlLbl val="0"/>
      </c:catAx>
      <c:valAx>
        <c:axId val="124817408"/>
        <c:scaling>
          <c:orientation val="minMax"/>
        </c:scaling>
        <c:delete val="0"/>
        <c:axPos val="l"/>
        <c:majorGridlines/>
        <c:numFmt formatCode="0.00" sourceLinked="1"/>
        <c:majorTickMark val="out"/>
        <c:minorTickMark val="none"/>
        <c:tickLblPos val="nextTo"/>
        <c:crossAx val="124815616"/>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3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MAI Age 3</a:t>
            </a:r>
          </a:p>
        </c:rich>
      </c:tx>
      <c:overlay val="0"/>
    </c:title>
    <c:autoTitleDeleted val="0"/>
    <c:plotArea>
      <c:layout/>
      <c:barChart>
        <c:barDir val="col"/>
        <c:grouping val="clustered"/>
        <c:varyColors val="0"/>
        <c:ser>
          <c:idx val="0"/>
          <c:order val="0"/>
          <c:tx>
            <c:strRef>
              <c:f>'Growth Pattern'!$CE$1308</c:f>
              <c:strCache>
                <c:ptCount val="1"/>
                <c:pt idx="0">
                  <c:v>MAI</c:v>
                </c:pt>
              </c:strCache>
            </c:strRef>
          </c:tx>
          <c:invertIfNegative val="0"/>
          <c:cat>
            <c:strRef>
              <c:f>'Growth Pattern'!$CD$1309:$CD$1312</c:f>
              <c:strCache>
                <c:ptCount val="4"/>
                <c:pt idx="0">
                  <c:v>ST66_C</c:v>
                </c:pt>
                <c:pt idx="1">
                  <c:v>ST66_I</c:v>
                </c:pt>
                <c:pt idx="2">
                  <c:v>ST66_F</c:v>
                </c:pt>
                <c:pt idx="3">
                  <c:v>ST66_I+F</c:v>
                </c:pt>
              </c:strCache>
            </c:strRef>
          </c:cat>
          <c:val>
            <c:numRef>
              <c:f>'Growth Pattern'!$CE$1309:$CE$1312</c:f>
              <c:numCache>
                <c:formatCode>0.00</c:formatCode>
                <c:ptCount val="4"/>
                <c:pt idx="0">
                  <c:v>0.6</c:v>
                </c:pt>
                <c:pt idx="1">
                  <c:v>1.1000000000000001</c:v>
                </c:pt>
                <c:pt idx="2">
                  <c:v>1.8</c:v>
                </c:pt>
                <c:pt idx="3">
                  <c:v>3.1</c:v>
                </c:pt>
              </c:numCache>
            </c:numRef>
          </c:val>
        </c:ser>
        <c:dLbls>
          <c:showLegendKey val="0"/>
          <c:showVal val="0"/>
          <c:showCatName val="0"/>
          <c:showSerName val="0"/>
          <c:showPercent val="0"/>
          <c:showBubbleSize val="0"/>
        </c:dLbls>
        <c:gapWidth val="150"/>
        <c:axId val="124829056"/>
        <c:axId val="124834944"/>
      </c:barChart>
      <c:catAx>
        <c:axId val="124829056"/>
        <c:scaling>
          <c:orientation val="minMax"/>
        </c:scaling>
        <c:delete val="0"/>
        <c:axPos val="b"/>
        <c:majorTickMark val="out"/>
        <c:minorTickMark val="none"/>
        <c:tickLblPos val="nextTo"/>
        <c:crossAx val="124834944"/>
        <c:crosses val="autoZero"/>
        <c:auto val="1"/>
        <c:lblAlgn val="ctr"/>
        <c:lblOffset val="100"/>
        <c:noMultiLvlLbl val="0"/>
      </c:catAx>
      <c:valAx>
        <c:axId val="124834944"/>
        <c:scaling>
          <c:orientation val="minMax"/>
        </c:scaling>
        <c:delete val="0"/>
        <c:axPos val="l"/>
        <c:majorGridlines/>
        <c:numFmt formatCode="0.00" sourceLinked="1"/>
        <c:majorTickMark val="out"/>
        <c:minorTickMark val="none"/>
        <c:tickLblPos val="nextTo"/>
        <c:crossAx val="124829056"/>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3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MAI Age 3</a:t>
            </a:r>
          </a:p>
        </c:rich>
      </c:tx>
      <c:overlay val="0"/>
    </c:title>
    <c:autoTitleDeleted val="0"/>
    <c:plotArea>
      <c:layout/>
      <c:barChart>
        <c:barDir val="col"/>
        <c:grouping val="clustered"/>
        <c:varyColors val="0"/>
        <c:ser>
          <c:idx val="0"/>
          <c:order val="0"/>
          <c:tx>
            <c:strRef>
              <c:f>'Growth Pattern'!$CE$1313</c:f>
              <c:strCache>
                <c:ptCount val="1"/>
                <c:pt idx="0">
                  <c:v>MAI</c:v>
                </c:pt>
              </c:strCache>
            </c:strRef>
          </c:tx>
          <c:invertIfNegative val="0"/>
          <c:cat>
            <c:strRef>
              <c:f>'Growth Pattern'!$CD$1314:$CD$1317</c:f>
              <c:strCache>
                <c:ptCount val="4"/>
                <c:pt idx="0">
                  <c:v>S7C15_C</c:v>
                </c:pt>
                <c:pt idx="1">
                  <c:v>S7C15_I</c:v>
                </c:pt>
                <c:pt idx="2">
                  <c:v>S7C15_F</c:v>
                </c:pt>
                <c:pt idx="3">
                  <c:v>S7C15_I+F</c:v>
                </c:pt>
              </c:strCache>
            </c:strRef>
          </c:cat>
          <c:val>
            <c:numRef>
              <c:f>'Growth Pattern'!$CE$1314:$CE$1317</c:f>
              <c:numCache>
                <c:formatCode>0.00</c:formatCode>
                <c:ptCount val="4"/>
                <c:pt idx="0">
                  <c:v>0.8</c:v>
                </c:pt>
                <c:pt idx="1">
                  <c:v>1.7</c:v>
                </c:pt>
                <c:pt idx="2">
                  <c:v>1.8</c:v>
                </c:pt>
                <c:pt idx="3">
                  <c:v>3.2</c:v>
                </c:pt>
              </c:numCache>
            </c:numRef>
          </c:val>
        </c:ser>
        <c:dLbls>
          <c:showLegendKey val="0"/>
          <c:showVal val="0"/>
          <c:showCatName val="0"/>
          <c:showSerName val="0"/>
          <c:showPercent val="0"/>
          <c:showBubbleSize val="0"/>
        </c:dLbls>
        <c:gapWidth val="150"/>
        <c:axId val="124867712"/>
        <c:axId val="124869248"/>
      </c:barChart>
      <c:catAx>
        <c:axId val="124867712"/>
        <c:scaling>
          <c:orientation val="minMax"/>
        </c:scaling>
        <c:delete val="0"/>
        <c:axPos val="b"/>
        <c:majorTickMark val="out"/>
        <c:minorTickMark val="none"/>
        <c:tickLblPos val="nextTo"/>
        <c:crossAx val="124869248"/>
        <c:crosses val="autoZero"/>
        <c:auto val="1"/>
        <c:lblAlgn val="ctr"/>
        <c:lblOffset val="100"/>
        <c:noMultiLvlLbl val="0"/>
      </c:catAx>
      <c:valAx>
        <c:axId val="124869248"/>
        <c:scaling>
          <c:orientation val="minMax"/>
        </c:scaling>
        <c:delete val="0"/>
        <c:axPos val="l"/>
        <c:majorGridlines/>
        <c:numFmt formatCode="0.00" sourceLinked="1"/>
        <c:majorTickMark val="out"/>
        <c:minorTickMark val="none"/>
        <c:tickLblPos val="nextTo"/>
        <c:crossAx val="124867712"/>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3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MAI Age 3</a:t>
            </a:r>
          </a:p>
        </c:rich>
      </c:tx>
      <c:overlay val="0"/>
    </c:title>
    <c:autoTitleDeleted val="0"/>
    <c:plotArea>
      <c:layout/>
      <c:barChart>
        <c:barDir val="col"/>
        <c:grouping val="clustered"/>
        <c:varyColors val="0"/>
        <c:ser>
          <c:idx val="0"/>
          <c:order val="0"/>
          <c:tx>
            <c:strRef>
              <c:f>'Growth Pattern'!$CE$1318</c:f>
              <c:strCache>
                <c:ptCount val="1"/>
                <c:pt idx="0">
                  <c:v>MAI</c:v>
                </c:pt>
              </c:strCache>
            </c:strRef>
          </c:tx>
          <c:invertIfNegative val="0"/>
          <c:cat>
            <c:strRef>
              <c:f>'Growth Pattern'!$CD$1319:$CD$1322</c:f>
              <c:strCache>
                <c:ptCount val="4"/>
                <c:pt idx="0">
                  <c:v>Sycamore_C</c:v>
                </c:pt>
                <c:pt idx="1">
                  <c:v>Sycamore_I</c:v>
                </c:pt>
                <c:pt idx="2">
                  <c:v>Sycamore_F</c:v>
                </c:pt>
                <c:pt idx="3">
                  <c:v>Sycamore_I+F</c:v>
                </c:pt>
              </c:strCache>
            </c:strRef>
          </c:cat>
          <c:val>
            <c:numRef>
              <c:f>'Growth Pattern'!$CE$1319:$CE$1322</c:f>
              <c:numCache>
                <c:formatCode>0.00</c:formatCode>
                <c:ptCount val="4"/>
                <c:pt idx="0">
                  <c:v>1.5</c:v>
                </c:pt>
                <c:pt idx="1">
                  <c:v>3.5</c:v>
                </c:pt>
                <c:pt idx="2">
                  <c:v>3.3</c:v>
                </c:pt>
                <c:pt idx="3">
                  <c:v>6.3</c:v>
                </c:pt>
              </c:numCache>
            </c:numRef>
          </c:val>
        </c:ser>
        <c:dLbls>
          <c:showLegendKey val="0"/>
          <c:showVal val="0"/>
          <c:showCatName val="0"/>
          <c:showSerName val="0"/>
          <c:showPercent val="0"/>
          <c:showBubbleSize val="0"/>
        </c:dLbls>
        <c:gapWidth val="150"/>
        <c:axId val="124885632"/>
        <c:axId val="125174144"/>
      </c:barChart>
      <c:catAx>
        <c:axId val="124885632"/>
        <c:scaling>
          <c:orientation val="minMax"/>
        </c:scaling>
        <c:delete val="0"/>
        <c:axPos val="b"/>
        <c:majorTickMark val="out"/>
        <c:minorTickMark val="none"/>
        <c:tickLblPos val="nextTo"/>
        <c:crossAx val="125174144"/>
        <c:crosses val="autoZero"/>
        <c:auto val="1"/>
        <c:lblAlgn val="ctr"/>
        <c:lblOffset val="100"/>
        <c:noMultiLvlLbl val="0"/>
      </c:catAx>
      <c:valAx>
        <c:axId val="125174144"/>
        <c:scaling>
          <c:orientation val="minMax"/>
        </c:scaling>
        <c:delete val="0"/>
        <c:axPos val="l"/>
        <c:majorGridlines/>
        <c:numFmt formatCode="0.00" sourceLinked="1"/>
        <c:majorTickMark val="out"/>
        <c:minorTickMark val="none"/>
        <c:tickLblPos val="nextTo"/>
        <c:crossAx val="124885632"/>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3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#REF!</c:f>
              <c:strCache>
                <c:ptCount val="1"/>
                <c:pt idx="0">
                  <c:v>#REF!</c:v>
                </c:pt>
              </c:strCache>
            </c:strRef>
          </c:tx>
          <c:cat>
            <c:multiLvlStrRef>
              <c:f>#REF!</c:f>
            </c:multiLvlStrRef>
          </c:cat>
          <c:val>
            <c:numRef>
              <c:f>#REF!</c:f>
              <c:numCache>
                <c:formatCode>General</c:formatCode>
                <c:ptCount val="1"/>
                <c:pt idx="0">
                  <c:v>1</c:v>
                </c:pt>
              </c:numCache>
            </c:numRef>
          </c:val>
          <c:smooth val="0"/>
        </c:ser>
        <c:ser>
          <c:idx val="1"/>
          <c:order val="1"/>
          <c:tx>
            <c:strRef>
              <c:f>#REF!</c:f>
              <c:strCache>
                <c:ptCount val="1"/>
                <c:pt idx="0">
                  <c:v>#REF!</c:v>
                </c:pt>
              </c:strCache>
            </c:strRef>
          </c:tx>
          <c:cat>
            <c:multiLvlStrRef>
              <c:f>#REF!</c:f>
            </c:multiLvlStrRef>
          </c:cat>
          <c:val>
            <c:numRef>
              <c:f>#REF!</c:f>
              <c:numCache>
                <c:formatCode>General</c:formatCode>
                <c:ptCount val="1"/>
                <c:pt idx="0">
                  <c:v>1</c:v>
                </c:pt>
              </c:numCache>
            </c:numRef>
          </c:val>
          <c:smooth val="0"/>
        </c:ser>
        <c:dLbls>
          <c:showLegendKey val="0"/>
          <c:showVal val="0"/>
          <c:showCatName val="0"/>
          <c:showSerName val="0"/>
          <c:showPercent val="0"/>
          <c:showBubbleSize val="0"/>
        </c:dLbls>
        <c:marker val="1"/>
        <c:smooth val="0"/>
        <c:axId val="125203584"/>
        <c:axId val="125205504"/>
      </c:lineChart>
      <c:catAx>
        <c:axId val="125203584"/>
        <c:scaling>
          <c:orientation val="minMax"/>
        </c:scaling>
        <c:delete val="0"/>
        <c:axPos val="b"/>
        <c:title>
          <c:tx>
            <c:rich>
              <a:bodyPr/>
              <a:lstStyle/>
              <a:p>
                <a:pPr>
                  <a:defRPr/>
                </a:pPr>
                <a:r>
                  <a:rPr lang="en-US"/>
                  <a:t>Number</a:t>
                </a:r>
                <a:r>
                  <a:rPr lang="en-US" baseline="0"/>
                  <a:t> of 6 month periods</a:t>
                </a:r>
                <a:endParaRPr lang="en-US"/>
              </a:p>
            </c:rich>
          </c:tx>
          <c:overlay val="0"/>
        </c:title>
        <c:numFmt formatCode="General" sourceLinked="1"/>
        <c:majorTickMark val="out"/>
        <c:minorTickMark val="none"/>
        <c:tickLblPos val="nextTo"/>
        <c:crossAx val="125205504"/>
        <c:crosses val="autoZero"/>
        <c:auto val="1"/>
        <c:lblAlgn val="ctr"/>
        <c:lblOffset val="100"/>
        <c:noMultiLvlLbl val="0"/>
      </c:catAx>
      <c:valAx>
        <c:axId val="125205504"/>
        <c:scaling>
          <c:orientation val="minMax"/>
        </c:scaling>
        <c:delete val="0"/>
        <c:axPos val="l"/>
        <c:majorGridlines/>
        <c:title>
          <c:tx>
            <c:rich>
              <a:bodyPr rot="-5400000" vert="horz"/>
              <a:lstStyle/>
              <a:p>
                <a:pPr>
                  <a:defRPr/>
                </a:pPr>
                <a:r>
                  <a:rPr lang="en-US"/>
                  <a:t>dry Mg/ha/6 month periods</a:t>
                </a:r>
              </a:p>
            </c:rich>
          </c:tx>
          <c:overlay val="0"/>
        </c:title>
        <c:numFmt formatCode="General" sourceLinked="1"/>
        <c:majorTickMark val="out"/>
        <c:minorTickMark val="none"/>
        <c:tickLblPos val="nextTo"/>
        <c:crossAx val="125203584"/>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3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#REF!</c:f>
              <c:strCache>
                <c:ptCount val="1"/>
                <c:pt idx="0">
                  <c:v>#REF!</c:v>
                </c:pt>
              </c:strCache>
            </c:strRef>
          </c:tx>
          <c:val>
            <c:numRef>
              <c:f>#REF!</c:f>
              <c:numCache>
                <c:formatCode>General</c:formatCode>
                <c:ptCount val="1"/>
                <c:pt idx="0">
                  <c:v>1</c:v>
                </c:pt>
              </c:numCache>
            </c:numRef>
          </c:val>
          <c:smooth val="0"/>
        </c:ser>
        <c:ser>
          <c:idx val="1"/>
          <c:order val="1"/>
          <c:tx>
            <c:strRef>
              <c:f>#REF!</c:f>
              <c:strCache>
                <c:ptCount val="1"/>
                <c:pt idx="0">
                  <c:v>#REF!</c:v>
                </c:pt>
              </c:strCache>
            </c:strRef>
          </c:tx>
          <c:val>
            <c:numRef>
              <c:f>#REF!</c:f>
              <c:numCache>
                <c:formatCode>General</c:formatCode>
                <c:ptCount val="1"/>
                <c:pt idx="0">
                  <c:v>1</c:v>
                </c:pt>
              </c:numCache>
            </c:numRef>
          </c:val>
          <c:smooth val="0"/>
        </c:ser>
        <c:dLbls>
          <c:showLegendKey val="0"/>
          <c:showVal val="0"/>
          <c:showCatName val="0"/>
          <c:showSerName val="0"/>
          <c:showPercent val="0"/>
          <c:showBubbleSize val="0"/>
        </c:dLbls>
        <c:marker val="1"/>
        <c:smooth val="0"/>
        <c:axId val="125227008"/>
        <c:axId val="125228928"/>
      </c:lineChart>
      <c:catAx>
        <c:axId val="125227008"/>
        <c:scaling>
          <c:orientation val="minMax"/>
        </c:scaling>
        <c:delete val="0"/>
        <c:axPos val="b"/>
        <c:title>
          <c:tx>
            <c:rich>
              <a:bodyPr/>
              <a:lstStyle/>
              <a:p>
                <a:pPr>
                  <a:defRPr/>
                </a:pPr>
                <a:r>
                  <a:rPr lang="en-US"/>
                  <a:t>Number</a:t>
                </a:r>
                <a:r>
                  <a:rPr lang="en-US" baseline="0"/>
                  <a:t> of 6 month periods</a:t>
                </a:r>
                <a:endParaRPr lang="en-US"/>
              </a:p>
            </c:rich>
          </c:tx>
          <c:overlay val="0"/>
        </c:title>
        <c:majorTickMark val="out"/>
        <c:minorTickMark val="none"/>
        <c:tickLblPos val="nextTo"/>
        <c:crossAx val="125228928"/>
        <c:crosses val="autoZero"/>
        <c:auto val="1"/>
        <c:lblAlgn val="ctr"/>
        <c:lblOffset val="100"/>
        <c:noMultiLvlLbl val="0"/>
      </c:catAx>
      <c:valAx>
        <c:axId val="125228928"/>
        <c:scaling>
          <c:orientation val="minMax"/>
        </c:scaling>
        <c:delete val="0"/>
        <c:axPos val="l"/>
        <c:majorGridlines/>
        <c:title>
          <c:tx>
            <c:rich>
              <a:bodyPr rot="-5400000" vert="horz"/>
              <a:lstStyle/>
              <a:p>
                <a:pPr>
                  <a:defRPr/>
                </a:pPr>
                <a:r>
                  <a:rPr lang="en-US"/>
                  <a:t>dry</a:t>
                </a:r>
                <a:r>
                  <a:rPr lang="en-US" baseline="0"/>
                  <a:t> Mg/ha/ 6 month periods</a:t>
                </a:r>
                <a:endParaRPr lang="en-US"/>
              </a:p>
            </c:rich>
          </c:tx>
          <c:overlay val="0"/>
        </c:title>
        <c:numFmt formatCode="General" sourceLinked="1"/>
        <c:majorTickMark val="out"/>
        <c:minorTickMark val="none"/>
        <c:tickLblPos val="nextTo"/>
        <c:crossAx val="125227008"/>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3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smoothMarker"/>
        <c:varyColors val="0"/>
        <c:ser>
          <c:idx val="0"/>
          <c:order val="0"/>
          <c:tx>
            <c:strRef>
              <c:f>'Growth Pattern'!$CE$1324</c:f>
              <c:strCache>
                <c:ptCount val="1"/>
                <c:pt idx="0">
                  <c:v>MAI</c:v>
                </c:pt>
              </c:strCache>
            </c:strRef>
          </c:tx>
          <c:xVal>
            <c:numRef>
              <c:f>'Growth Pattern'!$CD$1325:$CD$1332</c:f>
              <c:numCache>
                <c:formatCode>General</c:formatCode>
                <c:ptCount val="8"/>
                <c:pt idx="0">
                  <c:v>0.5</c:v>
                </c:pt>
                <c:pt idx="1">
                  <c:v>1</c:v>
                </c:pt>
                <c:pt idx="2">
                  <c:v>1.5</c:v>
                </c:pt>
                <c:pt idx="3">
                  <c:v>2</c:v>
                </c:pt>
                <c:pt idx="4">
                  <c:v>2.5</c:v>
                </c:pt>
                <c:pt idx="5">
                  <c:v>3</c:v>
                </c:pt>
                <c:pt idx="6">
                  <c:v>3.5</c:v>
                </c:pt>
                <c:pt idx="7">
                  <c:v>4</c:v>
                </c:pt>
              </c:numCache>
            </c:numRef>
          </c:xVal>
          <c:yVal>
            <c:numRef>
              <c:f>'Growth Pattern'!$CE$1325:$CE$1332</c:f>
              <c:numCache>
                <c:formatCode>0.00</c:formatCode>
                <c:ptCount val="8"/>
                <c:pt idx="0">
                  <c:v>0.7</c:v>
                </c:pt>
                <c:pt idx="1">
                  <c:v>8.1</c:v>
                </c:pt>
                <c:pt idx="2">
                  <c:v>12.333333333333334</c:v>
                </c:pt>
                <c:pt idx="3">
                  <c:v>14.05</c:v>
                </c:pt>
                <c:pt idx="4">
                  <c:v>14.440000000000001</c:v>
                </c:pt>
                <c:pt idx="5">
                  <c:v>14.233333333333334</c:v>
                </c:pt>
                <c:pt idx="6">
                  <c:v>13.742857142857144</c:v>
                </c:pt>
                <c:pt idx="7">
                  <c:v>13.1325</c:v>
                </c:pt>
              </c:numCache>
            </c:numRef>
          </c:yVal>
          <c:smooth val="1"/>
        </c:ser>
        <c:ser>
          <c:idx val="1"/>
          <c:order val="1"/>
          <c:tx>
            <c:strRef>
              <c:f>'Growth Pattern'!$CF$1324</c:f>
              <c:strCache>
                <c:ptCount val="1"/>
                <c:pt idx="0">
                  <c:v>CAI</c:v>
                </c:pt>
              </c:strCache>
            </c:strRef>
          </c:tx>
          <c:xVal>
            <c:numRef>
              <c:f>'Growth Pattern'!$CD$1325:$CD$1332</c:f>
              <c:numCache>
                <c:formatCode>General</c:formatCode>
                <c:ptCount val="8"/>
                <c:pt idx="0">
                  <c:v>0.5</c:v>
                </c:pt>
                <c:pt idx="1">
                  <c:v>1</c:v>
                </c:pt>
                <c:pt idx="2">
                  <c:v>1.5</c:v>
                </c:pt>
                <c:pt idx="3">
                  <c:v>2</c:v>
                </c:pt>
                <c:pt idx="4">
                  <c:v>2.5</c:v>
                </c:pt>
                <c:pt idx="5">
                  <c:v>3</c:v>
                </c:pt>
                <c:pt idx="6">
                  <c:v>3.5</c:v>
                </c:pt>
                <c:pt idx="7">
                  <c:v>4</c:v>
                </c:pt>
              </c:numCache>
            </c:numRef>
          </c:xVal>
          <c:yVal>
            <c:numRef>
              <c:f>'Growth Pattern'!$CF$1325:$CF$1332</c:f>
              <c:numCache>
                <c:formatCode>General</c:formatCode>
                <c:ptCount val="8"/>
                <c:pt idx="1">
                  <c:v>8.1</c:v>
                </c:pt>
                <c:pt idx="3">
                  <c:v>20</c:v>
                </c:pt>
                <c:pt idx="5">
                  <c:v>14.600000000000001</c:v>
                </c:pt>
                <c:pt idx="7">
                  <c:v>9.8299999999999983</c:v>
                </c:pt>
              </c:numCache>
            </c:numRef>
          </c:yVal>
          <c:smooth val="1"/>
        </c:ser>
        <c:dLbls>
          <c:showLegendKey val="0"/>
          <c:showVal val="0"/>
          <c:showCatName val="0"/>
          <c:showSerName val="0"/>
          <c:showPercent val="0"/>
          <c:showBubbleSize val="0"/>
        </c:dLbls>
        <c:axId val="125237888"/>
        <c:axId val="125059456"/>
      </c:scatterChart>
      <c:valAx>
        <c:axId val="125237888"/>
        <c:scaling>
          <c:orientation val="minMax"/>
        </c:scaling>
        <c:delete val="0"/>
        <c:axPos val="b"/>
        <c:numFmt formatCode="General" sourceLinked="1"/>
        <c:majorTickMark val="out"/>
        <c:minorTickMark val="none"/>
        <c:tickLblPos val="nextTo"/>
        <c:crossAx val="125059456"/>
        <c:crosses val="autoZero"/>
        <c:crossBetween val="midCat"/>
      </c:valAx>
      <c:valAx>
        <c:axId val="125059456"/>
        <c:scaling>
          <c:orientation val="minMax"/>
        </c:scaling>
        <c:delete val="0"/>
        <c:axPos val="l"/>
        <c:majorGridlines/>
        <c:numFmt formatCode="0.00" sourceLinked="1"/>
        <c:majorTickMark val="out"/>
        <c:minorTickMark val="none"/>
        <c:tickLblPos val="nextTo"/>
        <c:crossAx val="125237888"/>
        <c:crosses val="autoZero"/>
        <c:crossBetween val="midCat"/>
      </c:valAx>
    </c:plotArea>
    <c:legend>
      <c:legendPos val="r"/>
      <c:overlay val="0"/>
    </c:legend>
    <c:plotVisOnly val="1"/>
    <c:dispBlanksAs val="gap"/>
    <c:showDLblsOverMax val="0"/>
  </c:chart>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'Growth Pattern'!$CE$230</c:f>
              <c:strCache>
                <c:ptCount val="1"/>
                <c:pt idx="0">
                  <c:v>MAI</c:v>
                </c:pt>
              </c:strCache>
            </c:strRef>
          </c:tx>
          <c:val>
            <c:numRef>
              <c:f>'Growth Pattern'!$CE$231:$CE$240</c:f>
              <c:numCache>
                <c:formatCode>0.00</c:formatCode>
                <c:ptCount val="10"/>
                <c:pt idx="0">
                  <c:v>2.69</c:v>
                </c:pt>
                <c:pt idx="1">
                  <c:v>5.0750000000000002</c:v>
                </c:pt>
                <c:pt idx="2">
                  <c:v>7.0166666666666666</c:v>
                </c:pt>
                <c:pt idx="3">
                  <c:v>8.5124999999999993</c:v>
                </c:pt>
                <c:pt idx="4">
                  <c:v>9.532</c:v>
                </c:pt>
                <c:pt idx="5">
                  <c:v>9.1966666666666654</c:v>
                </c:pt>
                <c:pt idx="6">
                  <c:v>9.4271428571428562</c:v>
                </c:pt>
                <c:pt idx="7">
                  <c:v>9.5274999999999999</c:v>
                </c:pt>
                <c:pt idx="8">
                  <c:v>9.7888888888888879</c:v>
                </c:pt>
                <c:pt idx="9">
                  <c:v>9.7319999999999993</c:v>
                </c:pt>
              </c:numCache>
            </c:numRef>
          </c:val>
          <c:smooth val="0"/>
        </c:ser>
        <c:ser>
          <c:idx val="1"/>
          <c:order val="1"/>
          <c:tx>
            <c:strRef>
              <c:f>'Growth Pattern'!$CF$230</c:f>
              <c:strCache>
                <c:ptCount val="1"/>
                <c:pt idx="0">
                  <c:v>CAI</c:v>
                </c:pt>
              </c:strCache>
            </c:strRef>
          </c:tx>
          <c:val>
            <c:numRef>
              <c:f>'Growth Pattern'!$CF$231:$CF$240</c:f>
              <c:numCache>
                <c:formatCode>0.00</c:formatCode>
                <c:ptCount val="10"/>
                <c:pt idx="0">
                  <c:v>2.69</c:v>
                </c:pt>
                <c:pt idx="1">
                  <c:v>7.46</c:v>
                </c:pt>
                <c:pt idx="2">
                  <c:v>10.9</c:v>
                </c:pt>
                <c:pt idx="3">
                  <c:v>13</c:v>
                </c:pt>
                <c:pt idx="4">
                  <c:v>13.61</c:v>
                </c:pt>
                <c:pt idx="5">
                  <c:v>7.52</c:v>
                </c:pt>
                <c:pt idx="6">
                  <c:v>10.81</c:v>
                </c:pt>
                <c:pt idx="7">
                  <c:v>10.23</c:v>
                </c:pt>
                <c:pt idx="8">
                  <c:v>11.88</c:v>
                </c:pt>
                <c:pt idx="9">
                  <c:v>9.2200000000000006</c:v>
                </c:pt>
              </c:numCache>
            </c:numRef>
          </c:val>
          <c:smooth val="0"/>
        </c:ser>
        <c:dLbls>
          <c:showLegendKey val="0"/>
          <c:showVal val="0"/>
          <c:showCatName val="0"/>
          <c:showSerName val="0"/>
          <c:showPercent val="0"/>
          <c:showBubbleSize val="0"/>
        </c:dLbls>
        <c:marker val="1"/>
        <c:smooth val="0"/>
        <c:axId val="93405184"/>
        <c:axId val="93406720"/>
      </c:lineChart>
      <c:catAx>
        <c:axId val="93405184"/>
        <c:scaling>
          <c:orientation val="minMax"/>
        </c:scaling>
        <c:delete val="0"/>
        <c:axPos val="b"/>
        <c:majorTickMark val="out"/>
        <c:minorTickMark val="none"/>
        <c:tickLblPos val="nextTo"/>
        <c:crossAx val="93406720"/>
        <c:crosses val="autoZero"/>
        <c:auto val="1"/>
        <c:lblAlgn val="ctr"/>
        <c:lblOffset val="100"/>
        <c:noMultiLvlLbl val="0"/>
      </c:catAx>
      <c:valAx>
        <c:axId val="93406720"/>
        <c:scaling>
          <c:orientation val="minMax"/>
        </c:scaling>
        <c:delete val="0"/>
        <c:axPos val="l"/>
        <c:majorGridlines/>
        <c:numFmt formatCode="0.00" sourceLinked="1"/>
        <c:majorTickMark val="out"/>
        <c:minorTickMark val="none"/>
        <c:tickLblPos val="nextTo"/>
        <c:crossAx val="93405184"/>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4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smoothMarker"/>
        <c:varyColors val="0"/>
        <c:ser>
          <c:idx val="0"/>
          <c:order val="0"/>
          <c:tx>
            <c:strRef>
              <c:f>'Growth Pattern'!$CE$1333</c:f>
              <c:strCache>
                <c:ptCount val="1"/>
                <c:pt idx="0">
                  <c:v>MAI</c:v>
                </c:pt>
              </c:strCache>
            </c:strRef>
          </c:tx>
          <c:xVal>
            <c:numRef>
              <c:f>'Growth Pattern'!$CD$1334:$CD$1341</c:f>
              <c:numCache>
                <c:formatCode>General</c:formatCode>
                <c:ptCount val="8"/>
                <c:pt idx="0">
                  <c:v>0.5</c:v>
                </c:pt>
                <c:pt idx="1">
                  <c:v>1</c:v>
                </c:pt>
                <c:pt idx="2">
                  <c:v>1.5</c:v>
                </c:pt>
                <c:pt idx="3">
                  <c:v>2</c:v>
                </c:pt>
                <c:pt idx="4">
                  <c:v>2.5</c:v>
                </c:pt>
                <c:pt idx="5">
                  <c:v>3</c:v>
                </c:pt>
                <c:pt idx="6">
                  <c:v>3.5</c:v>
                </c:pt>
                <c:pt idx="7">
                  <c:v>4</c:v>
                </c:pt>
              </c:numCache>
            </c:numRef>
          </c:xVal>
          <c:yVal>
            <c:numRef>
              <c:f>'Growth Pattern'!$CE$1334:$CE$1341</c:f>
              <c:numCache>
                <c:formatCode>0.00</c:formatCode>
                <c:ptCount val="8"/>
                <c:pt idx="0">
                  <c:v>4.7</c:v>
                </c:pt>
                <c:pt idx="1">
                  <c:v>21.5</c:v>
                </c:pt>
                <c:pt idx="2">
                  <c:v>23.8</c:v>
                </c:pt>
                <c:pt idx="3">
                  <c:v>22.95</c:v>
                </c:pt>
                <c:pt idx="4">
                  <c:v>21.4</c:v>
                </c:pt>
                <c:pt idx="5">
                  <c:v>19.733333333333334</c:v>
                </c:pt>
                <c:pt idx="6">
                  <c:v>18.171428571428571</c:v>
                </c:pt>
                <c:pt idx="7">
                  <c:v>16.785</c:v>
                </c:pt>
              </c:numCache>
            </c:numRef>
          </c:yVal>
          <c:smooth val="1"/>
        </c:ser>
        <c:ser>
          <c:idx val="1"/>
          <c:order val="1"/>
          <c:tx>
            <c:strRef>
              <c:f>'Growth Pattern'!$CF$1333</c:f>
              <c:strCache>
                <c:ptCount val="1"/>
                <c:pt idx="0">
                  <c:v>CAI</c:v>
                </c:pt>
              </c:strCache>
            </c:strRef>
          </c:tx>
          <c:xVal>
            <c:numRef>
              <c:f>'Growth Pattern'!$CD$1334:$CD$1340</c:f>
              <c:numCache>
                <c:formatCode>General</c:formatCode>
                <c:ptCount val="7"/>
                <c:pt idx="0">
                  <c:v>0.5</c:v>
                </c:pt>
                <c:pt idx="1">
                  <c:v>1</c:v>
                </c:pt>
                <c:pt idx="2">
                  <c:v>1.5</c:v>
                </c:pt>
                <c:pt idx="3">
                  <c:v>2</c:v>
                </c:pt>
                <c:pt idx="4">
                  <c:v>2.5</c:v>
                </c:pt>
                <c:pt idx="5">
                  <c:v>3</c:v>
                </c:pt>
                <c:pt idx="6">
                  <c:v>3.5</c:v>
                </c:pt>
              </c:numCache>
            </c:numRef>
          </c:xVal>
          <c:yVal>
            <c:numRef>
              <c:f>'Growth Pattern'!$CF$1334:$CF$1341</c:f>
              <c:numCache>
                <c:formatCode>General</c:formatCode>
                <c:ptCount val="8"/>
                <c:pt idx="1">
                  <c:v>21.5</c:v>
                </c:pt>
                <c:pt idx="3">
                  <c:v>24.4</c:v>
                </c:pt>
                <c:pt idx="5">
                  <c:v>13.300000000000004</c:v>
                </c:pt>
                <c:pt idx="7">
                  <c:v>7.9399999999999977</c:v>
                </c:pt>
              </c:numCache>
            </c:numRef>
          </c:yVal>
          <c:smooth val="1"/>
        </c:ser>
        <c:dLbls>
          <c:showLegendKey val="0"/>
          <c:showVal val="0"/>
          <c:showCatName val="0"/>
          <c:showSerName val="0"/>
          <c:showPercent val="0"/>
          <c:showBubbleSize val="0"/>
        </c:dLbls>
        <c:axId val="125104896"/>
        <c:axId val="125106432"/>
      </c:scatterChart>
      <c:valAx>
        <c:axId val="125104896"/>
        <c:scaling>
          <c:orientation val="minMax"/>
        </c:scaling>
        <c:delete val="0"/>
        <c:axPos val="b"/>
        <c:numFmt formatCode="General" sourceLinked="1"/>
        <c:majorTickMark val="out"/>
        <c:minorTickMark val="none"/>
        <c:tickLblPos val="nextTo"/>
        <c:crossAx val="125106432"/>
        <c:crosses val="autoZero"/>
        <c:crossBetween val="midCat"/>
      </c:valAx>
      <c:valAx>
        <c:axId val="125106432"/>
        <c:scaling>
          <c:orientation val="minMax"/>
        </c:scaling>
        <c:delete val="0"/>
        <c:axPos val="l"/>
        <c:majorGridlines/>
        <c:numFmt formatCode="0.00" sourceLinked="1"/>
        <c:majorTickMark val="out"/>
        <c:minorTickMark val="none"/>
        <c:tickLblPos val="nextTo"/>
        <c:crossAx val="125104896"/>
        <c:crosses val="autoZero"/>
        <c:crossBetween val="midCat"/>
      </c:valAx>
    </c:plotArea>
    <c:legend>
      <c:legendPos val="r"/>
      <c:overlay val="0"/>
    </c:legend>
    <c:plotVisOnly val="1"/>
    <c:dispBlanksAs val="gap"/>
    <c:showDLblsOverMax val="0"/>
  </c:chart>
  <c:printSettings>
    <c:headerFooter/>
    <c:pageMargins b="0.75" l="0.7" r="0.7" t="0.75" header="0.3" footer="0.3"/>
    <c:pageSetup/>
  </c:printSettings>
</c:chartSpace>
</file>

<file path=xl/charts/chart14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'Growth Pattern'!$CE$1135</c:f>
              <c:strCache>
                <c:ptCount val="1"/>
                <c:pt idx="0">
                  <c:v>Age 6 MAI</c:v>
                </c:pt>
              </c:strCache>
            </c:strRef>
          </c:tx>
          <c:invertIfNegative val="0"/>
          <c:cat>
            <c:strRef>
              <c:f>'Growth Pattern'!$CD$1136:$CD$1140</c:f>
              <c:strCache>
                <c:ptCount val="5"/>
                <c:pt idx="0">
                  <c:v>Control</c:v>
                </c:pt>
                <c:pt idx="1">
                  <c:v>Irrigation</c:v>
                </c:pt>
                <c:pt idx="2">
                  <c:v>I-Low Fert</c:v>
                </c:pt>
                <c:pt idx="3">
                  <c:v>I-Med Fert</c:v>
                </c:pt>
                <c:pt idx="4">
                  <c:v>I- High Fert</c:v>
                </c:pt>
              </c:strCache>
            </c:strRef>
          </c:cat>
          <c:val>
            <c:numRef>
              <c:f>'Growth Pattern'!$CE$1136:$CE$1140</c:f>
              <c:numCache>
                <c:formatCode>0.00</c:formatCode>
                <c:ptCount val="5"/>
                <c:pt idx="0">
                  <c:v>0.63833333333333342</c:v>
                </c:pt>
                <c:pt idx="1">
                  <c:v>1.3816666666666666</c:v>
                </c:pt>
                <c:pt idx="2">
                  <c:v>4.5883333333333338</c:v>
                </c:pt>
                <c:pt idx="3">
                  <c:v>6.8866666666666667</c:v>
                </c:pt>
                <c:pt idx="4">
                  <c:v>5.1833333333333327</c:v>
                </c:pt>
              </c:numCache>
            </c:numRef>
          </c:val>
        </c:ser>
        <c:dLbls>
          <c:showLegendKey val="0"/>
          <c:showVal val="0"/>
          <c:showCatName val="0"/>
          <c:showSerName val="0"/>
          <c:showPercent val="0"/>
          <c:showBubbleSize val="0"/>
        </c:dLbls>
        <c:gapWidth val="150"/>
        <c:axId val="124995456"/>
        <c:axId val="124996992"/>
      </c:barChart>
      <c:catAx>
        <c:axId val="124995456"/>
        <c:scaling>
          <c:orientation val="minMax"/>
        </c:scaling>
        <c:delete val="0"/>
        <c:axPos val="b"/>
        <c:majorTickMark val="out"/>
        <c:minorTickMark val="none"/>
        <c:tickLblPos val="nextTo"/>
        <c:crossAx val="124996992"/>
        <c:crosses val="autoZero"/>
        <c:auto val="1"/>
        <c:lblAlgn val="ctr"/>
        <c:lblOffset val="100"/>
        <c:noMultiLvlLbl val="0"/>
      </c:catAx>
      <c:valAx>
        <c:axId val="124996992"/>
        <c:scaling>
          <c:orientation val="minMax"/>
        </c:scaling>
        <c:delete val="0"/>
        <c:axPos val="l"/>
        <c:majorGridlines/>
        <c:numFmt formatCode="0.00" sourceLinked="1"/>
        <c:majorTickMark val="out"/>
        <c:minorTickMark val="none"/>
        <c:tickLblPos val="nextTo"/>
        <c:crossAx val="124995456"/>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4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'Growth Pattern'!$CE$1141</c:f>
              <c:strCache>
                <c:ptCount val="1"/>
                <c:pt idx="0">
                  <c:v>Age 6 MAI</c:v>
                </c:pt>
              </c:strCache>
            </c:strRef>
          </c:tx>
          <c:invertIfNegative val="0"/>
          <c:cat>
            <c:strRef>
              <c:f>'Growth Pattern'!$CD$1142:$CD$1146</c:f>
              <c:strCache>
                <c:ptCount val="5"/>
                <c:pt idx="0">
                  <c:v>Control</c:v>
                </c:pt>
                <c:pt idx="1">
                  <c:v>Irrigation</c:v>
                </c:pt>
                <c:pt idx="2">
                  <c:v>I-Low Fert</c:v>
                </c:pt>
                <c:pt idx="3">
                  <c:v>I-Med Fert</c:v>
                </c:pt>
                <c:pt idx="4">
                  <c:v>I- High Fert</c:v>
                </c:pt>
              </c:strCache>
            </c:strRef>
          </c:cat>
          <c:val>
            <c:numRef>
              <c:f>'Growth Pattern'!$CE$1142:$CE$1146</c:f>
              <c:numCache>
                <c:formatCode>0.00</c:formatCode>
                <c:ptCount val="5"/>
                <c:pt idx="0">
                  <c:v>0.90166666666666673</c:v>
                </c:pt>
                <c:pt idx="1">
                  <c:v>3.2650000000000001</c:v>
                </c:pt>
                <c:pt idx="2">
                  <c:v>5.4966666666666661</c:v>
                </c:pt>
                <c:pt idx="3">
                  <c:v>8.2483333333333331</c:v>
                </c:pt>
                <c:pt idx="4">
                  <c:v>7.458333333333333</c:v>
                </c:pt>
              </c:numCache>
            </c:numRef>
          </c:val>
        </c:ser>
        <c:dLbls>
          <c:showLegendKey val="0"/>
          <c:showVal val="0"/>
          <c:showCatName val="0"/>
          <c:showSerName val="0"/>
          <c:showPercent val="0"/>
          <c:showBubbleSize val="0"/>
        </c:dLbls>
        <c:gapWidth val="150"/>
        <c:axId val="125004800"/>
        <c:axId val="125010688"/>
      </c:barChart>
      <c:catAx>
        <c:axId val="125004800"/>
        <c:scaling>
          <c:orientation val="minMax"/>
        </c:scaling>
        <c:delete val="0"/>
        <c:axPos val="b"/>
        <c:majorTickMark val="out"/>
        <c:minorTickMark val="none"/>
        <c:tickLblPos val="nextTo"/>
        <c:crossAx val="125010688"/>
        <c:crosses val="autoZero"/>
        <c:auto val="1"/>
        <c:lblAlgn val="ctr"/>
        <c:lblOffset val="100"/>
        <c:noMultiLvlLbl val="0"/>
      </c:catAx>
      <c:valAx>
        <c:axId val="125010688"/>
        <c:scaling>
          <c:orientation val="minMax"/>
        </c:scaling>
        <c:delete val="0"/>
        <c:axPos val="l"/>
        <c:majorGridlines/>
        <c:numFmt formatCode="0.00" sourceLinked="1"/>
        <c:majorTickMark val="out"/>
        <c:minorTickMark val="none"/>
        <c:tickLblPos val="nextTo"/>
        <c:crossAx val="125004800"/>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4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lotArea>
      <c:layout/>
      <c:scatterChart>
        <c:scatterStyle val="lineMarker"/>
        <c:varyColors val="0"/>
        <c:ser>
          <c:idx val="0"/>
          <c:order val="0"/>
          <c:tx>
            <c:strRef>
              <c:f>#REF!</c:f>
              <c:strCache>
                <c:ptCount val="1"/>
                <c:pt idx="0">
                  <c:v>#REF!</c:v>
                </c:pt>
              </c:strCache>
            </c:strRef>
          </c:tx>
          <c:spPr>
            <a:ln w="28575">
              <a:noFill/>
            </a:ln>
          </c:spPr>
          <c:xVal>
            <c:numRef>
              <c:f>#REF!</c:f>
            </c:numRef>
          </c:xVal>
          <c:yVal>
            <c:numRef>
              <c:f>#REF!</c:f>
              <c:numCache>
                <c:formatCode>General</c:formatCode>
                <c:ptCount val="1"/>
                <c:pt idx="0">
                  <c:v>1</c:v>
                </c:pt>
              </c:numCache>
            </c:numRef>
          </c:yVal>
          <c:smooth val="0"/>
        </c:ser>
        <c:dLbls>
          <c:showLegendKey val="0"/>
          <c:showVal val="0"/>
          <c:showCatName val="0"/>
          <c:showSerName val="0"/>
          <c:showPercent val="0"/>
          <c:showBubbleSize val="0"/>
        </c:dLbls>
        <c:axId val="125247872"/>
        <c:axId val="125249408"/>
      </c:scatterChart>
      <c:valAx>
        <c:axId val="125247872"/>
        <c:scaling>
          <c:orientation val="minMax"/>
        </c:scaling>
        <c:delete val="0"/>
        <c:axPos val="b"/>
        <c:numFmt formatCode="0" sourceLinked="1"/>
        <c:majorTickMark val="out"/>
        <c:minorTickMark val="none"/>
        <c:tickLblPos val="nextTo"/>
        <c:crossAx val="125249408"/>
        <c:crosses val="autoZero"/>
        <c:crossBetween val="midCat"/>
      </c:valAx>
      <c:valAx>
        <c:axId val="125249408"/>
        <c:scaling>
          <c:orientation val="minMax"/>
        </c:scaling>
        <c:delete val="0"/>
        <c:axPos val="l"/>
        <c:majorGridlines/>
        <c:numFmt formatCode="General" sourceLinked="1"/>
        <c:majorTickMark val="out"/>
        <c:minorTickMark val="none"/>
        <c:tickLblPos val="nextTo"/>
        <c:crossAx val="125247872"/>
        <c:crosses val="autoZero"/>
        <c:crossBetween val="midCat"/>
      </c:valAx>
    </c:plotArea>
    <c:legend>
      <c:legendPos val="r"/>
      <c:overlay val="0"/>
    </c:legend>
    <c:plotVisOnly val="1"/>
    <c:dispBlanksAs val="gap"/>
    <c:showDLblsOverMax val="0"/>
  </c:chart>
  <c:printSettings>
    <c:headerFooter/>
    <c:pageMargins b="0.75" l="0.7" r="0.7" t="0.75" header="0.3" footer="0.3"/>
    <c:pageSetup/>
  </c:printSettings>
</c:chartSpace>
</file>

<file path=xl/charts/chart14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lotArea>
      <c:layout/>
      <c:scatterChart>
        <c:scatterStyle val="lineMarker"/>
        <c:varyColors val="0"/>
        <c:ser>
          <c:idx val="0"/>
          <c:order val="0"/>
          <c:tx>
            <c:strRef>
              <c:f>#REF!</c:f>
              <c:strCache>
                <c:ptCount val="1"/>
                <c:pt idx="0">
                  <c:v>#REF!</c:v>
                </c:pt>
              </c:strCache>
            </c:strRef>
          </c:tx>
          <c:spPr>
            <a:ln w="28575">
              <a:noFill/>
            </a:ln>
          </c:spPr>
          <c:xVal>
            <c:numRef>
              <c:f>#REF!</c:f>
            </c:numRef>
          </c:xVal>
          <c:yVal>
            <c:numRef>
              <c:f>#REF!</c:f>
              <c:numCache>
                <c:formatCode>General</c:formatCode>
                <c:ptCount val="1"/>
                <c:pt idx="0">
                  <c:v>1</c:v>
                </c:pt>
              </c:numCache>
            </c:numRef>
          </c:yVal>
          <c:smooth val="0"/>
        </c:ser>
        <c:dLbls>
          <c:showLegendKey val="0"/>
          <c:showVal val="0"/>
          <c:showCatName val="0"/>
          <c:showSerName val="0"/>
          <c:showPercent val="0"/>
          <c:showBubbleSize val="0"/>
        </c:dLbls>
        <c:axId val="125257600"/>
        <c:axId val="125259136"/>
      </c:scatterChart>
      <c:valAx>
        <c:axId val="125257600"/>
        <c:scaling>
          <c:orientation val="minMax"/>
        </c:scaling>
        <c:delete val="0"/>
        <c:axPos val="b"/>
        <c:numFmt formatCode="0" sourceLinked="1"/>
        <c:majorTickMark val="out"/>
        <c:minorTickMark val="none"/>
        <c:tickLblPos val="nextTo"/>
        <c:crossAx val="125259136"/>
        <c:crosses val="autoZero"/>
        <c:crossBetween val="midCat"/>
      </c:valAx>
      <c:valAx>
        <c:axId val="125259136"/>
        <c:scaling>
          <c:orientation val="minMax"/>
        </c:scaling>
        <c:delete val="0"/>
        <c:axPos val="l"/>
        <c:majorGridlines/>
        <c:numFmt formatCode="General" sourceLinked="1"/>
        <c:majorTickMark val="out"/>
        <c:minorTickMark val="none"/>
        <c:tickLblPos val="nextTo"/>
        <c:crossAx val="125257600"/>
        <c:crosses val="autoZero"/>
        <c:crossBetween val="midCat"/>
      </c:valAx>
    </c:plotArea>
    <c:legend>
      <c:legendPos val="r"/>
      <c:overlay val="0"/>
    </c:legend>
    <c:plotVisOnly val="1"/>
    <c:dispBlanksAs val="gap"/>
    <c:showDLblsOverMax val="0"/>
  </c:chart>
  <c:printSettings>
    <c:headerFooter/>
    <c:pageMargins b="0.75" l="0.7" r="0.7" t="0.75" header="0.3" footer="0.3"/>
    <c:pageSetup/>
  </c:printSettings>
</c:chartSpace>
</file>

<file path=xl/charts/chart14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lotArea>
      <c:layout/>
      <c:scatterChart>
        <c:scatterStyle val="lineMarker"/>
        <c:varyColors val="0"/>
        <c:ser>
          <c:idx val="0"/>
          <c:order val="0"/>
          <c:tx>
            <c:strRef>
              <c:f>#REF!</c:f>
              <c:strCache>
                <c:ptCount val="1"/>
                <c:pt idx="0">
                  <c:v>#REF!</c:v>
                </c:pt>
              </c:strCache>
            </c:strRef>
          </c:tx>
          <c:spPr>
            <a:ln w="28575">
              <a:noFill/>
            </a:ln>
          </c:spPr>
          <c:xVal>
            <c:numRef>
              <c:f>#REF!</c:f>
            </c:numRef>
          </c:xVal>
          <c:yVal>
            <c:numRef>
              <c:f>#REF!</c:f>
              <c:numCache>
                <c:formatCode>General</c:formatCode>
                <c:ptCount val="1"/>
                <c:pt idx="0">
                  <c:v>1</c:v>
                </c:pt>
              </c:numCache>
            </c:numRef>
          </c:yVal>
          <c:smooth val="0"/>
        </c:ser>
        <c:dLbls>
          <c:showLegendKey val="0"/>
          <c:showVal val="0"/>
          <c:showCatName val="0"/>
          <c:showSerName val="0"/>
          <c:showPercent val="0"/>
          <c:showBubbleSize val="0"/>
        </c:dLbls>
        <c:axId val="125287808"/>
        <c:axId val="125641856"/>
      </c:scatterChart>
      <c:valAx>
        <c:axId val="125287808"/>
        <c:scaling>
          <c:orientation val="minMax"/>
        </c:scaling>
        <c:delete val="0"/>
        <c:axPos val="b"/>
        <c:numFmt formatCode="0" sourceLinked="1"/>
        <c:majorTickMark val="out"/>
        <c:minorTickMark val="none"/>
        <c:tickLblPos val="nextTo"/>
        <c:crossAx val="125641856"/>
        <c:crosses val="autoZero"/>
        <c:crossBetween val="midCat"/>
      </c:valAx>
      <c:valAx>
        <c:axId val="125641856"/>
        <c:scaling>
          <c:orientation val="minMax"/>
        </c:scaling>
        <c:delete val="0"/>
        <c:axPos val="l"/>
        <c:majorGridlines/>
        <c:numFmt formatCode="General" sourceLinked="1"/>
        <c:majorTickMark val="out"/>
        <c:minorTickMark val="none"/>
        <c:tickLblPos val="nextTo"/>
        <c:crossAx val="125287808"/>
        <c:crosses val="autoZero"/>
        <c:crossBetween val="midCat"/>
      </c:valAx>
    </c:plotArea>
    <c:legend>
      <c:legendPos val="r"/>
      <c:overlay val="0"/>
    </c:legend>
    <c:plotVisOnly val="1"/>
    <c:dispBlanksAs val="gap"/>
    <c:showDLblsOverMax val="0"/>
  </c:chart>
  <c:printSettings>
    <c:headerFooter/>
    <c:pageMargins b="0.75" l="0.7" r="0.7" t="0.75" header="0.3" footer="0.3"/>
    <c:pageSetup/>
  </c:printSettings>
</c:chartSpace>
</file>

<file path=xl/charts/chart14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lotArea>
      <c:layout/>
      <c:scatterChart>
        <c:scatterStyle val="lineMarker"/>
        <c:varyColors val="0"/>
        <c:ser>
          <c:idx val="0"/>
          <c:order val="0"/>
          <c:tx>
            <c:strRef>
              <c:f>#REF!</c:f>
              <c:strCache>
                <c:ptCount val="1"/>
                <c:pt idx="0">
                  <c:v>#REF!</c:v>
                </c:pt>
              </c:strCache>
            </c:strRef>
          </c:tx>
          <c:spPr>
            <a:ln w="28575">
              <a:noFill/>
            </a:ln>
          </c:spPr>
          <c:xVal>
            <c:numRef>
              <c:f>#REF!</c:f>
            </c:numRef>
          </c:xVal>
          <c:yVal>
            <c:numRef>
              <c:f>#REF!</c:f>
              <c:numCache>
                <c:formatCode>General</c:formatCode>
                <c:ptCount val="1"/>
                <c:pt idx="0">
                  <c:v>1</c:v>
                </c:pt>
              </c:numCache>
            </c:numRef>
          </c:yVal>
          <c:smooth val="0"/>
        </c:ser>
        <c:dLbls>
          <c:showLegendKey val="0"/>
          <c:showVal val="0"/>
          <c:showCatName val="0"/>
          <c:showSerName val="0"/>
          <c:showPercent val="0"/>
          <c:showBubbleSize val="0"/>
        </c:dLbls>
        <c:axId val="125662336"/>
        <c:axId val="125663872"/>
      </c:scatterChart>
      <c:valAx>
        <c:axId val="125662336"/>
        <c:scaling>
          <c:orientation val="minMax"/>
        </c:scaling>
        <c:delete val="0"/>
        <c:axPos val="b"/>
        <c:numFmt formatCode="0" sourceLinked="1"/>
        <c:majorTickMark val="out"/>
        <c:minorTickMark val="none"/>
        <c:tickLblPos val="nextTo"/>
        <c:crossAx val="125663872"/>
        <c:crosses val="autoZero"/>
        <c:crossBetween val="midCat"/>
      </c:valAx>
      <c:valAx>
        <c:axId val="125663872"/>
        <c:scaling>
          <c:orientation val="minMax"/>
        </c:scaling>
        <c:delete val="0"/>
        <c:axPos val="l"/>
        <c:majorGridlines/>
        <c:numFmt formatCode="General" sourceLinked="1"/>
        <c:majorTickMark val="out"/>
        <c:minorTickMark val="none"/>
        <c:tickLblPos val="nextTo"/>
        <c:crossAx val="125662336"/>
        <c:crosses val="autoZero"/>
        <c:crossBetween val="midCat"/>
      </c:valAx>
    </c:plotArea>
    <c:legend>
      <c:legendPos val="r"/>
      <c:overlay val="0"/>
    </c:legend>
    <c:plotVisOnly val="1"/>
    <c:dispBlanksAs val="gap"/>
    <c:showDLblsOverMax val="0"/>
  </c:chart>
  <c:printSettings>
    <c:headerFooter/>
    <c:pageMargins b="0.75" l="0.7" r="0.7" t="0.75" header="0.3" footer="0.3"/>
    <c:pageSetup/>
  </c:printSettings>
</c:chartSpace>
</file>

<file path=xl/charts/chart14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lotArea>
      <c:layout/>
      <c:scatterChart>
        <c:scatterStyle val="lineMarker"/>
        <c:varyColors val="0"/>
        <c:ser>
          <c:idx val="0"/>
          <c:order val="0"/>
          <c:tx>
            <c:strRef>
              <c:f>#REF!</c:f>
              <c:strCache>
                <c:ptCount val="1"/>
                <c:pt idx="0">
                  <c:v>#REF!</c:v>
                </c:pt>
              </c:strCache>
            </c:strRef>
          </c:tx>
          <c:spPr>
            <a:ln w="28575">
              <a:noFill/>
            </a:ln>
          </c:spPr>
          <c:xVal>
            <c:numRef>
              <c:f>#REF!</c:f>
            </c:numRef>
          </c:xVal>
          <c:yVal>
            <c:numRef>
              <c:f>#REF!</c:f>
              <c:numCache>
                <c:formatCode>General</c:formatCode>
                <c:ptCount val="1"/>
                <c:pt idx="0">
                  <c:v>1</c:v>
                </c:pt>
              </c:numCache>
            </c:numRef>
          </c:yVal>
          <c:smooth val="0"/>
        </c:ser>
        <c:dLbls>
          <c:showLegendKey val="0"/>
          <c:showVal val="0"/>
          <c:showCatName val="0"/>
          <c:showSerName val="0"/>
          <c:showPercent val="0"/>
          <c:showBubbleSize val="0"/>
        </c:dLbls>
        <c:axId val="125680256"/>
        <c:axId val="125690240"/>
      </c:scatterChart>
      <c:valAx>
        <c:axId val="125680256"/>
        <c:scaling>
          <c:orientation val="minMax"/>
        </c:scaling>
        <c:delete val="0"/>
        <c:axPos val="b"/>
        <c:numFmt formatCode="0" sourceLinked="1"/>
        <c:majorTickMark val="out"/>
        <c:minorTickMark val="none"/>
        <c:tickLblPos val="nextTo"/>
        <c:crossAx val="125690240"/>
        <c:crosses val="autoZero"/>
        <c:crossBetween val="midCat"/>
      </c:valAx>
      <c:valAx>
        <c:axId val="125690240"/>
        <c:scaling>
          <c:orientation val="minMax"/>
        </c:scaling>
        <c:delete val="0"/>
        <c:axPos val="l"/>
        <c:majorGridlines/>
        <c:numFmt formatCode="General" sourceLinked="1"/>
        <c:majorTickMark val="out"/>
        <c:minorTickMark val="none"/>
        <c:tickLblPos val="nextTo"/>
        <c:crossAx val="125680256"/>
        <c:crosses val="autoZero"/>
        <c:crossBetween val="midCat"/>
      </c:valAx>
    </c:plotArea>
    <c:legend>
      <c:legendPos val="r"/>
      <c:overlay val="0"/>
    </c:legend>
    <c:plotVisOnly val="1"/>
    <c:dispBlanksAs val="gap"/>
    <c:showDLblsOverMax val="0"/>
  </c:chart>
  <c:printSettings>
    <c:headerFooter/>
    <c:pageMargins b="0.75" l="0.7" r="0.7" t="0.75" header="0.3" footer="0.3"/>
    <c:pageSetup/>
  </c:printSettings>
</c:chartSpace>
</file>

<file path=xl/charts/chart14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lotArea>
      <c:layout/>
      <c:scatterChart>
        <c:scatterStyle val="lineMarker"/>
        <c:varyColors val="0"/>
        <c:ser>
          <c:idx val="0"/>
          <c:order val="0"/>
          <c:tx>
            <c:strRef>
              <c:f>#REF!</c:f>
              <c:strCache>
                <c:ptCount val="1"/>
                <c:pt idx="0">
                  <c:v>#REF!</c:v>
                </c:pt>
              </c:strCache>
            </c:strRef>
          </c:tx>
          <c:spPr>
            <a:ln w="28575">
              <a:noFill/>
            </a:ln>
          </c:spPr>
          <c:xVal>
            <c:numRef>
              <c:f>#REF!</c:f>
            </c:numRef>
          </c:xVal>
          <c:yVal>
            <c:numRef>
              <c:f>#REF!</c:f>
              <c:numCache>
                <c:formatCode>General</c:formatCode>
                <c:ptCount val="1"/>
                <c:pt idx="0">
                  <c:v>1</c:v>
                </c:pt>
              </c:numCache>
            </c:numRef>
          </c:yVal>
          <c:smooth val="0"/>
        </c:ser>
        <c:dLbls>
          <c:showLegendKey val="0"/>
          <c:showVal val="0"/>
          <c:showCatName val="0"/>
          <c:showSerName val="0"/>
          <c:showPercent val="0"/>
          <c:showBubbleSize val="0"/>
        </c:dLbls>
        <c:axId val="125403520"/>
        <c:axId val="125405056"/>
      </c:scatterChart>
      <c:valAx>
        <c:axId val="125403520"/>
        <c:scaling>
          <c:orientation val="minMax"/>
        </c:scaling>
        <c:delete val="0"/>
        <c:axPos val="b"/>
        <c:numFmt formatCode="0" sourceLinked="1"/>
        <c:majorTickMark val="out"/>
        <c:minorTickMark val="none"/>
        <c:tickLblPos val="nextTo"/>
        <c:crossAx val="125405056"/>
        <c:crosses val="autoZero"/>
        <c:crossBetween val="midCat"/>
      </c:valAx>
      <c:valAx>
        <c:axId val="125405056"/>
        <c:scaling>
          <c:orientation val="minMax"/>
        </c:scaling>
        <c:delete val="0"/>
        <c:axPos val="l"/>
        <c:majorGridlines/>
        <c:numFmt formatCode="General" sourceLinked="1"/>
        <c:majorTickMark val="out"/>
        <c:minorTickMark val="none"/>
        <c:tickLblPos val="nextTo"/>
        <c:crossAx val="125403520"/>
        <c:crosses val="autoZero"/>
        <c:crossBetween val="midCat"/>
      </c:valAx>
    </c:plotArea>
    <c:legend>
      <c:legendPos val="r"/>
      <c:overlay val="0"/>
    </c:legend>
    <c:plotVisOnly val="1"/>
    <c:dispBlanksAs val="gap"/>
    <c:showDLblsOverMax val="0"/>
  </c:chart>
  <c:printSettings>
    <c:headerFooter/>
    <c:pageMargins b="0.75" l="0.7" r="0.7" t="0.75" header="0.3" footer="0.3"/>
    <c:pageSetup/>
  </c:printSettings>
</c:chartSpace>
</file>

<file path=xl/charts/chart14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lotArea>
      <c:layout/>
      <c:scatterChart>
        <c:scatterStyle val="lineMarker"/>
        <c:varyColors val="0"/>
        <c:ser>
          <c:idx val="0"/>
          <c:order val="0"/>
          <c:tx>
            <c:strRef>
              <c:f>#REF!</c:f>
              <c:strCache>
                <c:ptCount val="1"/>
                <c:pt idx="0">
                  <c:v>#REF!</c:v>
                </c:pt>
              </c:strCache>
            </c:strRef>
          </c:tx>
          <c:spPr>
            <a:ln w="28575">
              <a:noFill/>
            </a:ln>
          </c:spPr>
          <c:xVal>
            <c:numRef>
              <c:f>#REF!</c:f>
            </c:numRef>
          </c:xVal>
          <c:yVal>
            <c:numRef>
              <c:f>#REF!</c:f>
              <c:numCache>
                <c:formatCode>General</c:formatCode>
                <c:ptCount val="1"/>
                <c:pt idx="0">
                  <c:v>1</c:v>
                </c:pt>
              </c:numCache>
            </c:numRef>
          </c:yVal>
          <c:smooth val="0"/>
        </c:ser>
        <c:dLbls>
          <c:showLegendKey val="0"/>
          <c:showVal val="0"/>
          <c:showCatName val="0"/>
          <c:showSerName val="0"/>
          <c:showPercent val="0"/>
          <c:showBubbleSize val="0"/>
        </c:dLbls>
        <c:axId val="125425536"/>
        <c:axId val="125427072"/>
      </c:scatterChart>
      <c:valAx>
        <c:axId val="125425536"/>
        <c:scaling>
          <c:orientation val="minMax"/>
        </c:scaling>
        <c:delete val="0"/>
        <c:axPos val="b"/>
        <c:numFmt formatCode="0" sourceLinked="1"/>
        <c:majorTickMark val="out"/>
        <c:minorTickMark val="none"/>
        <c:tickLblPos val="nextTo"/>
        <c:crossAx val="125427072"/>
        <c:crosses val="autoZero"/>
        <c:crossBetween val="midCat"/>
      </c:valAx>
      <c:valAx>
        <c:axId val="125427072"/>
        <c:scaling>
          <c:orientation val="minMax"/>
        </c:scaling>
        <c:delete val="0"/>
        <c:axPos val="l"/>
        <c:majorGridlines/>
        <c:numFmt formatCode="General" sourceLinked="1"/>
        <c:majorTickMark val="out"/>
        <c:minorTickMark val="none"/>
        <c:tickLblPos val="nextTo"/>
        <c:crossAx val="125425536"/>
        <c:crosses val="autoZero"/>
        <c:crossBetween val="midCat"/>
      </c:valAx>
    </c:plotArea>
    <c:legend>
      <c:legendPos val="r"/>
      <c:overlay val="0"/>
    </c:legend>
    <c:plotVisOnly val="1"/>
    <c:dispBlanksAs val="gap"/>
    <c:showDLblsOverMax val="0"/>
  </c:chart>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'Growth Pattern'!$CE$241</c:f>
              <c:strCache>
                <c:ptCount val="1"/>
                <c:pt idx="0">
                  <c:v>MAI</c:v>
                </c:pt>
              </c:strCache>
            </c:strRef>
          </c:tx>
          <c:val>
            <c:numRef>
              <c:f>'Growth Pattern'!$CE$242:$CE$245</c:f>
              <c:numCache>
                <c:formatCode>0.00</c:formatCode>
                <c:ptCount val="4"/>
                <c:pt idx="0">
                  <c:v>19.87</c:v>
                </c:pt>
                <c:pt idx="1">
                  <c:v>10.324999999999999</c:v>
                </c:pt>
                <c:pt idx="2">
                  <c:v>17.173333333333336</c:v>
                </c:pt>
                <c:pt idx="3">
                  <c:v>16.62</c:v>
                </c:pt>
              </c:numCache>
            </c:numRef>
          </c:val>
          <c:smooth val="0"/>
        </c:ser>
        <c:ser>
          <c:idx val="1"/>
          <c:order val="1"/>
          <c:tx>
            <c:strRef>
              <c:f>'Growth Pattern'!$CF$241</c:f>
              <c:strCache>
                <c:ptCount val="1"/>
                <c:pt idx="0">
                  <c:v>CAI</c:v>
                </c:pt>
              </c:strCache>
            </c:strRef>
          </c:tx>
          <c:val>
            <c:numRef>
              <c:f>'Growth Pattern'!$CF$242:$CF$245</c:f>
              <c:numCache>
                <c:formatCode>0.00</c:formatCode>
                <c:ptCount val="4"/>
                <c:pt idx="0">
                  <c:v>19.87</c:v>
                </c:pt>
                <c:pt idx="1">
                  <c:v>0.77999999999999758</c:v>
                </c:pt>
                <c:pt idx="2">
                  <c:v>30.870000000000005</c:v>
                </c:pt>
                <c:pt idx="3">
                  <c:v>14.96</c:v>
                </c:pt>
              </c:numCache>
            </c:numRef>
          </c:val>
          <c:smooth val="0"/>
        </c:ser>
        <c:dLbls>
          <c:showLegendKey val="0"/>
          <c:showVal val="0"/>
          <c:showCatName val="0"/>
          <c:showSerName val="0"/>
          <c:showPercent val="0"/>
          <c:showBubbleSize val="0"/>
        </c:dLbls>
        <c:marker val="1"/>
        <c:smooth val="0"/>
        <c:axId val="93435776"/>
        <c:axId val="93437312"/>
      </c:lineChart>
      <c:catAx>
        <c:axId val="93435776"/>
        <c:scaling>
          <c:orientation val="minMax"/>
        </c:scaling>
        <c:delete val="0"/>
        <c:axPos val="b"/>
        <c:majorTickMark val="out"/>
        <c:minorTickMark val="none"/>
        <c:tickLblPos val="nextTo"/>
        <c:crossAx val="93437312"/>
        <c:crosses val="autoZero"/>
        <c:auto val="1"/>
        <c:lblAlgn val="ctr"/>
        <c:lblOffset val="100"/>
        <c:noMultiLvlLbl val="0"/>
      </c:catAx>
      <c:valAx>
        <c:axId val="93437312"/>
        <c:scaling>
          <c:orientation val="minMax"/>
        </c:scaling>
        <c:delete val="0"/>
        <c:axPos val="l"/>
        <c:majorGridlines/>
        <c:numFmt formatCode="0.00" sourceLinked="1"/>
        <c:majorTickMark val="out"/>
        <c:minorTickMark val="none"/>
        <c:tickLblPos val="nextTo"/>
        <c:crossAx val="93435776"/>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5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lotArea>
      <c:layout/>
      <c:scatterChart>
        <c:scatterStyle val="lineMarker"/>
        <c:varyColors val="0"/>
        <c:ser>
          <c:idx val="0"/>
          <c:order val="0"/>
          <c:tx>
            <c:strRef>
              <c:f>#REF!</c:f>
              <c:strCache>
                <c:ptCount val="1"/>
                <c:pt idx="0">
                  <c:v>#REF!</c:v>
                </c:pt>
              </c:strCache>
            </c:strRef>
          </c:tx>
          <c:spPr>
            <a:ln w="28575">
              <a:noFill/>
            </a:ln>
          </c:spPr>
          <c:xVal>
            <c:numRef>
              <c:f>#REF!</c:f>
            </c:numRef>
          </c:xVal>
          <c:yVal>
            <c:numRef>
              <c:f>#REF!</c:f>
              <c:numCache>
                <c:formatCode>General</c:formatCode>
                <c:ptCount val="1"/>
                <c:pt idx="0">
                  <c:v>1</c:v>
                </c:pt>
              </c:numCache>
            </c:numRef>
          </c:yVal>
          <c:smooth val="0"/>
        </c:ser>
        <c:dLbls>
          <c:showLegendKey val="0"/>
          <c:showVal val="0"/>
          <c:showCatName val="0"/>
          <c:showSerName val="0"/>
          <c:showPercent val="0"/>
          <c:showBubbleSize val="0"/>
        </c:dLbls>
        <c:axId val="125455744"/>
        <c:axId val="125457536"/>
      </c:scatterChart>
      <c:valAx>
        <c:axId val="125455744"/>
        <c:scaling>
          <c:orientation val="minMax"/>
        </c:scaling>
        <c:delete val="0"/>
        <c:axPos val="b"/>
        <c:numFmt formatCode="0" sourceLinked="1"/>
        <c:majorTickMark val="out"/>
        <c:minorTickMark val="none"/>
        <c:tickLblPos val="nextTo"/>
        <c:crossAx val="125457536"/>
        <c:crosses val="autoZero"/>
        <c:crossBetween val="midCat"/>
      </c:valAx>
      <c:valAx>
        <c:axId val="125457536"/>
        <c:scaling>
          <c:orientation val="minMax"/>
        </c:scaling>
        <c:delete val="0"/>
        <c:axPos val="l"/>
        <c:majorGridlines/>
        <c:numFmt formatCode="General" sourceLinked="1"/>
        <c:majorTickMark val="out"/>
        <c:minorTickMark val="none"/>
        <c:tickLblPos val="nextTo"/>
        <c:crossAx val="125455744"/>
        <c:crosses val="autoZero"/>
        <c:crossBetween val="midCat"/>
      </c:valAx>
    </c:plotArea>
    <c:legend>
      <c:legendPos val="r"/>
      <c:overlay val="0"/>
    </c:legend>
    <c:plotVisOnly val="1"/>
    <c:dispBlanksAs val="gap"/>
    <c:showDLblsOverMax val="0"/>
  </c:chart>
  <c:printSettings>
    <c:headerFooter/>
    <c:pageMargins b="0.75" l="0.7" r="0.7" t="0.75" header="0.3" footer="0.3"/>
    <c:pageSetup/>
  </c:printSettings>
</c:chartSpace>
</file>

<file path=xl/charts/chart15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#REF!</c:f>
              <c:strCache>
                <c:ptCount val="1"/>
                <c:pt idx="0">
                  <c:v>#REF!</c:v>
                </c:pt>
              </c:strCache>
            </c:strRef>
          </c:tx>
          <c:cat>
            <c:numLit>
              <c:formatCode>General</c:formatCode>
              <c:ptCount val="10"/>
              <c:pt idx="0">
                <c:v>2</c:v>
              </c:pt>
              <c:pt idx="1">
                <c:v>3</c:v>
              </c:pt>
              <c:pt idx="2">
                <c:v>4</c:v>
              </c:pt>
              <c:pt idx="3">
                <c:v>5</c:v>
              </c:pt>
              <c:pt idx="4">
                <c:v>6</c:v>
              </c:pt>
              <c:pt idx="5">
                <c:v>7</c:v>
              </c:pt>
              <c:pt idx="6">
                <c:v>8</c:v>
              </c:pt>
              <c:pt idx="7">
                <c:v>9</c:v>
              </c:pt>
              <c:pt idx="8">
                <c:v>10</c:v>
              </c:pt>
              <c:pt idx="9">
                <c:v>11</c:v>
              </c:pt>
            </c:numLit>
          </c:cat>
          <c:val>
            <c:numRef>
              <c:f>#REF!</c:f>
              <c:numCache>
                <c:formatCode>General</c:formatCode>
                <c:ptCount val="1"/>
                <c:pt idx="0">
                  <c:v>1</c:v>
                </c:pt>
              </c:numCache>
            </c:numRef>
          </c:val>
          <c:smooth val="0"/>
        </c:ser>
        <c:ser>
          <c:idx val="1"/>
          <c:order val="1"/>
          <c:tx>
            <c:strRef>
              <c:f>#REF!</c:f>
              <c:strCache>
                <c:ptCount val="1"/>
                <c:pt idx="0">
                  <c:v>#REF!</c:v>
                </c:pt>
              </c:strCache>
            </c:strRef>
          </c:tx>
          <c:cat>
            <c:numLit>
              <c:formatCode>General</c:formatCode>
              <c:ptCount val="10"/>
              <c:pt idx="0">
                <c:v>2</c:v>
              </c:pt>
              <c:pt idx="1">
                <c:v>3</c:v>
              </c:pt>
              <c:pt idx="2">
                <c:v>4</c:v>
              </c:pt>
              <c:pt idx="3">
                <c:v>5</c:v>
              </c:pt>
              <c:pt idx="4">
                <c:v>6</c:v>
              </c:pt>
              <c:pt idx="5">
                <c:v>7</c:v>
              </c:pt>
              <c:pt idx="6">
                <c:v>8</c:v>
              </c:pt>
              <c:pt idx="7">
                <c:v>9</c:v>
              </c:pt>
              <c:pt idx="8">
                <c:v>10</c:v>
              </c:pt>
              <c:pt idx="9">
                <c:v>11</c:v>
              </c:pt>
            </c:numLit>
          </c:cat>
          <c:val>
            <c:numRef>
              <c:f>#REF!</c:f>
              <c:numCache>
                <c:formatCode>General</c:formatCode>
                <c:ptCount val="1"/>
                <c:pt idx="0">
                  <c:v>1</c:v>
                </c:pt>
              </c:numCache>
            </c:numRef>
          </c:val>
          <c:smooth val="0"/>
        </c:ser>
        <c:dLbls>
          <c:showLegendKey val="0"/>
          <c:showVal val="0"/>
          <c:showCatName val="0"/>
          <c:showSerName val="0"/>
          <c:showPercent val="0"/>
          <c:showBubbleSize val="0"/>
        </c:dLbls>
        <c:marker val="1"/>
        <c:smooth val="0"/>
        <c:axId val="125486976"/>
        <c:axId val="125488512"/>
      </c:lineChart>
      <c:catAx>
        <c:axId val="125486976"/>
        <c:scaling>
          <c:orientation val="minMax"/>
        </c:scaling>
        <c:delete val="0"/>
        <c:axPos val="b"/>
        <c:numFmt formatCode="General" sourceLinked="1"/>
        <c:majorTickMark val="out"/>
        <c:minorTickMark val="none"/>
        <c:tickLblPos val="nextTo"/>
        <c:crossAx val="125488512"/>
        <c:crosses val="autoZero"/>
        <c:auto val="1"/>
        <c:lblAlgn val="ctr"/>
        <c:lblOffset val="100"/>
        <c:noMultiLvlLbl val="0"/>
      </c:catAx>
      <c:valAx>
        <c:axId val="125488512"/>
        <c:scaling>
          <c:orientation val="minMax"/>
        </c:scaling>
        <c:delete val="0"/>
        <c:axPos val="l"/>
        <c:majorGridlines/>
        <c:numFmt formatCode="General" sourceLinked="1"/>
        <c:majorTickMark val="out"/>
        <c:minorTickMark val="none"/>
        <c:tickLblPos val="nextTo"/>
        <c:crossAx val="125486976"/>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5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#REF!</c:f>
              <c:strCache>
                <c:ptCount val="1"/>
                <c:pt idx="0">
                  <c:v>#REF!</c:v>
                </c:pt>
              </c:strCache>
            </c:strRef>
          </c:tx>
          <c:cat>
            <c:multiLvlStrRef>
              <c:f>#REF!</c:f>
            </c:multiLvlStrRef>
          </c:cat>
          <c:val>
            <c:numRef>
              <c:f>#REF!</c:f>
              <c:numCache>
                <c:formatCode>General</c:formatCode>
                <c:ptCount val="1"/>
                <c:pt idx="0">
                  <c:v>1</c:v>
                </c:pt>
              </c:numCache>
            </c:numRef>
          </c:val>
          <c:smooth val="0"/>
        </c:ser>
        <c:ser>
          <c:idx val="1"/>
          <c:order val="1"/>
          <c:tx>
            <c:strRef>
              <c:f>#REF!</c:f>
              <c:strCache>
                <c:ptCount val="1"/>
                <c:pt idx="0">
                  <c:v>#REF!</c:v>
                </c:pt>
              </c:strCache>
            </c:strRef>
          </c:tx>
          <c:cat>
            <c:multiLvlStrRef>
              <c:f>#REF!</c:f>
            </c:multiLvlStrRef>
          </c:cat>
          <c:val>
            <c:numRef>
              <c:f>#REF!</c:f>
              <c:numCache>
                <c:formatCode>General</c:formatCode>
                <c:ptCount val="1"/>
                <c:pt idx="0">
                  <c:v>1</c:v>
                </c:pt>
              </c:numCache>
            </c:numRef>
          </c:val>
          <c:smooth val="0"/>
        </c:ser>
        <c:dLbls>
          <c:showLegendKey val="0"/>
          <c:showVal val="0"/>
          <c:showCatName val="0"/>
          <c:showSerName val="0"/>
          <c:showPercent val="0"/>
          <c:showBubbleSize val="0"/>
        </c:dLbls>
        <c:marker val="1"/>
        <c:smooth val="0"/>
        <c:axId val="125517824"/>
        <c:axId val="125519360"/>
      </c:lineChart>
      <c:catAx>
        <c:axId val="125517824"/>
        <c:scaling>
          <c:orientation val="minMax"/>
        </c:scaling>
        <c:delete val="0"/>
        <c:axPos val="b"/>
        <c:numFmt formatCode="General" sourceLinked="1"/>
        <c:majorTickMark val="out"/>
        <c:minorTickMark val="none"/>
        <c:tickLblPos val="nextTo"/>
        <c:crossAx val="125519360"/>
        <c:crosses val="autoZero"/>
        <c:auto val="1"/>
        <c:lblAlgn val="ctr"/>
        <c:lblOffset val="100"/>
        <c:noMultiLvlLbl val="0"/>
      </c:catAx>
      <c:valAx>
        <c:axId val="125519360"/>
        <c:scaling>
          <c:orientation val="minMax"/>
        </c:scaling>
        <c:delete val="0"/>
        <c:axPos val="l"/>
        <c:majorGridlines/>
        <c:numFmt formatCode="General" sourceLinked="1"/>
        <c:majorTickMark val="out"/>
        <c:minorTickMark val="none"/>
        <c:tickLblPos val="nextTo"/>
        <c:crossAx val="125517824"/>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5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#REF!</c:f>
              <c:strCache>
                <c:ptCount val="1"/>
                <c:pt idx="0">
                  <c:v>#REF!</c:v>
                </c:pt>
              </c:strCache>
            </c:strRef>
          </c:tx>
          <c:cat>
            <c:numLit>
              <c:formatCode>General</c:formatCode>
              <c:ptCount val="10"/>
              <c:pt idx="0">
                <c:v>2</c:v>
              </c:pt>
              <c:pt idx="1">
                <c:v>3</c:v>
              </c:pt>
              <c:pt idx="2">
                <c:v>4</c:v>
              </c:pt>
              <c:pt idx="3">
                <c:v>5</c:v>
              </c:pt>
              <c:pt idx="4">
                <c:v>6</c:v>
              </c:pt>
              <c:pt idx="5">
                <c:v>7</c:v>
              </c:pt>
              <c:pt idx="6">
                <c:v>8</c:v>
              </c:pt>
              <c:pt idx="7">
                <c:v>9</c:v>
              </c:pt>
              <c:pt idx="8">
                <c:v>10</c:v>
              </c:pt>
              <c:pt idx="9">
                <c:v>11</c:v>
              </c:pt>
            </c:numLit>
          </c:cat>
          <c:val>
            <c:numRef>
              <c:f>#REF!</c:f>
              <c:numCache>
                <c:formatCode>General</c:formatCode>
                <c:ptCount val="1"/>
                <c:pt idx="0">
                  <c:v>1</c:v>
                </c:pt>
              </c:numCache>
            </c:numRef>
          </c:val>
          <c:smooth val="0"/>
        </c:ser>
        <c:ser>
          <c:idx val="1"/>
          <c:order val="1"/>
          <c:tx>
            <c:strRef>
              <c:f>#REF!</c:f>
              <c:strCache>
                <c:ptCount val="1"/>
                <c:pt idx="0">
                  <c:v>#REF!</c:v>
                </c:pt>
              </c:strCache>
            </c:strRef>
          </c:tx>
          <c:cat>
            <c:numLit>
              <c:formatCode>General</c:formatCode>
              <c:ptCount val="10"/>
              <c:pt idx="0">
                <c:v>2</c:v>
              </c:pt>
              <c:pt idx="1">
                <c:v>3</c:v>
              </c:pt>
              <c:pt idx="2">
                <c:v>4</c:v>
              </c:pt>
              <c:pt idx="3">
                <c:v>5</c:v>
              </c:pt>
              <c:pt idx="4">
                <c:v>6</c:v>
              </c:pt>
              <c:pt idx="5">
                <c:v>7</c:v>
              </c:pt>
              <c:pt idx="6">
                <c:v>8</c:v>
              </c:pt>
              <c:pt idx="7">
                <c:v>9</c:v>
              </c:pt>
              <c:pt idx="8">
                <c:v>10</c:v>
              </c:pt>
              <c:pt idx="9">
                <c:v>11</c:v>
              </c:pt>
            </c:numLit>
          </c:cat>
          <c:val>
            <c:numRef>
              <c:f>#REF!</c:f>
              <c:numCache>
                <c:formatCode>General</c:formatCode>
                <c:ptCount val="1"/>
                <c:pt idx="0">
                  <c:v>1</c:v>
                </c:pt>
              </c:numCache>
            </c:numRef>
          </c:val>
          <c:smooth val="0"/>
        </c:ser>
        <c:dLbls>
          <c:showLegendKey val="0"/>
          <c:showVal val="0"/>
          <c:showCatName val="0"/>
          <c:showSerName val="0"/>
          <c:showPercent val="0"/>
          <c:showBubbleSize val="0"/>
        </c:dLbls>
        <c:marker val="1"/>
        <c:smooth val="0"/>
        <c:axId val="125560704"/>
        <c:axId val="125562240"/>
      </c:lineChart>
      <c:catAx>
        <c:axId val="125560704"/>
        <c:scaling>
          <c:orientation val="minMax"/>
        </c:scaling>
        <c:delete val="0"/>
        <c:axPos val="b"/>
        <c:numFmt formatCode="General" sourceLinked="1"/>
        <c:majorTickMark val="out"/>
        <c:minorTickMark val="none"/>
        <c:tickLblPos val="nextTo"/>
        <c:crossAx val="125562240"/>
        <c:crosses val="autoZero"/>
        <c:auto val="1"/>
        <c:lblAlgn val="ctr"/>
        <c:lblOffset val="100"/>
        <c:noMultiLvlLbl val="0"/>
      </c:catAx>
      <c:valAx>
        <c:axId val="125562240"/>
        <c:scaling>
          <c:orientation val="minMax"/>
        </c:scaling>
        <c:delete val="0"/>
        <c:axPos val="l"/>
        <c:majorGridlines/>
        <c:numFmt formatCode="General" sourceLinked="1"/>
        <c:majorTickMark val="out"/>
        <c:minorTickMark val="none"/>
        <c:tickLblPos val="nextTo"/>
        <c:crossAx val="125560704"/>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5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#REF!</c:f>
              <c:strCache>
                <c:ptCount val="1"/>
                <c:pt idx="0">
                  <c:v>#REF!</c:v>
                </c:pt>
              </c:strCache>
            </c:strRef>
          </c:tx>
          <c:val>
            <c:numRef>
              <c:f>#REF!</c:f>
              <c:numCache>
                <c:formatCode>General</c:formatCode>
                <c:ptCount val="1"/>
                <c:pt idx="0">
                  <c:v>1</c:v>
                </c:pt>
              </c:numCache>
            </c:numRef>
          </c:val>
          <c:smooth val="0"/>
        </c:ser>
        <c:ser>
          <c:idx val="1"/>
          <c:order val="1"/>
          <c:tx>
            <c:strRef>
              <c:f>#REF!</c:f>
              <c:strCache>
                <c:ptCount val="1"/>
                <c:pt idx="0">
                  <c:v>#REF!</c:v>
                </c:pt>
              </c:strCache>
            </c:strRef>
          </c:tx>
          <c:val>
            <c:numRef>
              <c:f>#REF!</c:f>
              <c:numCache>
                <c:formatCode>General</c:formatCode>
                <c:ptCount val="1"/>
                <c:pt idx="0">
                  <c:v>1</c:v>
                </c:pt>
              </c:numCache>
            </c:numRef>
          </c:val>
          <c:smooth val="0"/>
        </c:ser>
        <c:dLbls>
          <c:showLegendKey val="0"/>
          <c:showVal val="0"/>
          <c:showCatName val="0"/>
          <c:showSerName val="0"/>
          <c:showPercent val="0"/>
          <c:showBubbleSize val="0"/>
        </c:dLbls>
        <c:marker val="1"/>
        <c:smooth val="0"/>
        <c:axId val="125779968"/>
        <c:axId val="125781504"/>
      </c:lineChart>
      <c:catAx>
        <c:axId val="125779968"/>
        <c:scaling>
          <c:orientation val="minMax"/>
        </c:scaling>
        <c:delete val="0"/>
        <c:axPos val="b"/>
        <c:majorTickMark val="out"/>
        <c:minorTickMark val="none"/>
        <c:tickLblPos val="nextTo"/>
        <c:crossAx val="125781504"/>
        <c:crosses val="autoZero"/>
        <c:auto val="1"/>
        <c:lblAlgn val="ctr"/>
        <c:lblOffset val="100"/>
        <c:noMultiLvlLbl val="0"/>
      </c:catAx>
      <c:valAx>
        <c:axId val="125781504"/>
        <c:scaling>
          <c:orientation val="minMax"/>
        </c:scaling>
        <c:delete val="0"/>
        <c:axPos val="l"/>
        <c:majorGridlines/>
        <c:numFmt formatCode="General" sourceLinked="1"/>
        <c:majorTickMark val="out"/>
        <c:minorTickMark val="none"/>
        <c:tickLblPos val="nextTo"/>
        <c:crossAx val="125779968"/>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5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lotArea>
      <c:layout/>
      <c:barChart>
        <c:barDir val="col"/>
        <c:grouping val="clustered"/>
        <c:varyColors val="0"/>
        <c:ser>
          <c:idx val="0"/>
          <c:order val="0"/>
          <c:tx>
            <c:strRef>
              <c:f>#REF!</c:f>
              <c:strCache>
                <c:ptCount val="1"/>
                <c:pt idx="0">
                  <c:v>#REF!</c:v>
                </c:pt>
              </c:strCache>
            </c:strRef>
          </c:tx>
          <c:invertIfNegative val="0"/>
          <c:cat>
            <c:multiLvlStrRef>
              <c:f>#REF!</c:f>
            </c:multiLvlStrRef>
          </c:cat>
          <c:val>
            <c:numRef>
              <c:f>#REF!</c:f>
              <c:numCache>
                <c:formatCode>General</c:formatCode>
                <c:ptCount val="1"/>
                <c:pt idx="0">
                  <c:v>1</c:v>
                </c:pt>
              </c:numCache>
            </c:numRef>
          </c:val>
        </c:ser>
        <c:dLbls>
          <c:showLegendKey val="0"/>
          <c:showVal val="0"/>
          <c:showCatName val="0"/>
          <c:showSerName val="0"/>
          <c:showPercent val="0"/>
          <c:showBubbleSize val="0"/>
        </c:dLbls>
        <c:gapWidth val="150"/>
        <c:axId val="125801600"/>
        <c:axId val="125803136"/>
      </c:barChart>
      <c:catAx>
        <c:axId val="125801600"/>
        <c:scaling>
          <c:orientation val="minMax"/>
        </c:scaling>
        <c:delete val="0"/>
        <c:axPos val="b"/>
        <c:majorTickMark val="out"/>
        <c:minorTickMark val="none"/>
        <c:tickLblPos val="nextTo"/>
        <c:crossAx val="125803136"/>
        <c:crosses val="autoZero"/>
        <c:auto val="1"/>
        <c:lblAlgn val="ctr"/>
        <c:lblOffset val="100"/>
        <c:noMultiLvlLbl val="0"/>
      </c:catAx>
      <c:valAx>
        <c:axId val="125803136"/>
        <c:scaling>
          <c:orientation val="minMax"/>
        </c:scaling>
        <c:delete val="0"/>
        <c:axPos val="l"/>
        <c:majorGridlines/>
        <c:numFmt formatCode="General" sourceLinked="1"/>
        <c:majorTickMark val="out"/>
        <c:minorTickMark val="none"/>
        <c:tickLblPos val="nextTo"/>
        <c:crossAx val="125801600"/>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5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lotArea>
      <c:layout/>
      <c:barChart>
        <c:barDir val="col"/>
        <c:grouping val="clustered"/>
        <c:varyColors val="0"/>
        <c:ser>
          <c:idx val="0"/>
          <c:order val="0"/>
          <c:tx>
            <c:strRef>
              <c:f>#REF!</c:f>
              <c:strCache>
                <c:ptCount val="1"/>
                <c:pt idx="0">
                  <c:v>#REF!</c:v>
                </c:pt>
              </c:strCache>
            </c:strRef>
          </c:tx>
          <c:invertIfNegative val="0"/>
          <c:cat>
            <c:multiLvlStrRef>
              <c:f>#REF!</c:f>
            </c:multiLvlStrRef>
          </c:cat>
          <c:val>
            <c:numRef>
              <c:f>#REF!</c:f>
              <c:numCache>
                <c:formatCode>General</c:formatCode>
                <c:ptCount val="1"/>
                <c:pt idx="0">
                  <c:v>1</c:v>
                </c:pt>
              </c:numCache>
            </c:numRef>
          </c:val>
        </c:ser>
        <c:dLbls>
          <c:showLegendKey val="0"/>
          <c:showVal val="0"/>
          <c:showCatName val="0"/>
          <c:showSerName val="0"/>
          <c:showPercent val="0"/>
          <c:showBubbleSize val="0"/>
        </c:dLbls>
        <c:gapWidth val="150"/>
        <c:axId val="126098048"/>
        <c:axId val="126103936"/>
      </c:barChart>
      <c:catAx>
        <c:axId val="126098048"/>
        <c:scaling>
          <c:orientation val="minMax"/>
        </c:scaling>
        <c:delete val="0"/>
        <c:axPos val="b"/>
        <c:majorTickMark val="out"/>
        <c:minorTickMark val="none"/>
        <c:tickLblPos val="nextTo"/>
        <c:crossAx val="126103936"/>
        <c:crosses val="autoZero"/>
        <c:auto val="1"/>
        <c:lblAlgn val="ctr"/>
        <c:lblOffset val="100"/>
        <c:noMultiLvlLbl val="0"/>
      </c:catAx>
      <c:valAx>
        <c:axId val="126103936"/>
        <c:scaling>
          <c:orientation val="minMax"/>
        </c:scaling>
        <c:delete val="0"/>
        <c:axPos val="l"/>
        <c:majorGridlines/>
        <c:numFmt formatCode="General" sourceLinked="1"/>
        <c:majorTickMark val="out"/>
        <c:minorTickMark val="none"/>
        <c:tickLblPos val="nextTo"/>
        <c:crossAx val="126098048"/>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5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lotArea>
      <c:layout/>
      <c:barChart>
        <c:barDir val="col"/>
        <c:grouping val="clustered"/>
        <c:varyColors val="0"/>
        <c:ser>
          <c:idx val="0"/>
          <c:order val="0"/>
          <c:tx>
            <c:strRef>
              <c:f>#REF!</c:f>
              <c:strCache>
                <c:ptCount val="1"/>
                <c:pt idx="0">
                  <c:v>#REF!</c:v>
                </c:pt>
              </c:strCache>
            </c:strRef>
          </c:tx>
          <c:invertIfNegative val="0"/>
          <c:cat>
            <c:multiLvlStrRef>
              <c:f>#REF!</c:f>
            </c:multiLvlStrRef>
          </c:cat>
          <c:val>
            <c:numRef>
              <c:f>#REF!</c:f>
              <c:numCache>
                <c:formatCode>General</c:formatCode>
                <c:ptCount val="1"/>
                <c:pt idx="0">
                  <c:v>1</c:v>
                </c:pt>
              </c:numCache>
            </c:numRef>
          </c:val>
        </c:ser>
        <c:dLbls>
          <c:showLegendKey val="0"/>
          <c:showVal val="0"/>
          <c:showCatName val="0"/>
          <c:showSerName val="0"/>
          <c:showPercent val="0"/>
          <c:showBubbleSize val="0"/>
        </c:dLbls>
        <c:gapWidth val="150"/>
        <c:axId val="126128512"/>
        <c:axId val="126130048"/>
      </c:barChart>
      <c:catAx>
        <c:axId val="126128512"/>
        <c:scaling>
          <c:orientation val="minMax"/>
        </c:scaling>
        <c:delete val="0"/>
        <c:axPos val="b"/>
        <c:majorTickMark val="out"/>
        <c:minorTickMark val="none"/>
        <c:tickLblPos val="nextTo"/>
        <c:crossAx val="126130048"/>
        <c:crosses val="autoZero"/>
        <c:auto val="1"/>
        <c:lblAlgn val="ctr"/>
        <c:lblOffset val="100"/>
        <c:noMultiLvlLbl val="0"/>
      </c:catAx>
      <c:valAx>
        <c:axId val="126130048"/>
        <c:scaling>
          <c:orientation val="minMax"/>
        </c:scaling>
        <c:delete val="0"/>
        <c:axPos val="l"/>
        <c:majorGridlines/>
        <c:numFmt formatCode="General" sourceLinked="1"/>
        <c:majorTickMark val="out"/>
        <c:minorTickMark val="none"/>
        <c:tickLblPos val="nextTo"/>
        <c:crossAx val="126128512"/>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5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'Growth Pattern'!$CE$1582</c:f>
              <c:strCache>
                <c:ptCount val="1"/>
                <c:pt idx="0">
                  <c:v>MAI</c:v>
                </c:pt>
              </c:strCache>
            </c:strRef>
          </c:tx>
          <c:cat>
            <c:numRef>
              <c:f>'Growth Pattern'!$CD$1583:$CD$1595</c:f>
              <c:numCache>
                <c:formatCode>0</c:formatCode>
                <c:ptCount val="13"/>
                <c:pt idx="0">
                  <c:v>3</c:v>
                </c:pt>
                <c:pt idx="1">
                  <c:v>4</c:v>
                </c:pt>
                <c:pt idx="2">
                  <c:v>5</c:v>
                </c:pt>
                <c:pt idx="3">
                  <c:v>6</c:v>
                </c:pt>
                <c:pt idx="4">
                  <c:v>7</c:v>
                </c:pt>
                <c:pt idx="5">
                  <c:v>8</c:v>
                </c:pt>
                <c:pt idx="6">
                  <c:v>9</c:v>
                </c:pt>
                <c:pt idx="7">
                  <c:v>10</c:v>
                </c:pt>
                <c:pt idx="8">
                  <c:v>11</c:v>
                </c:pt>
                <c:pt idx="9">
                  <c:v>12</c:v>
                </c:pt>
                <c:pt idx="10">
                  <c:v>13</c:v>
                </c:pt>
                <c:pt idx="11">
                  <c:v>14</c:v>
                </c:pt>
                <c:pt idx="12">
                  <c:v>15</c:v>
                </c:pt>
              </c:numCache>
            </c:numRef>
          </c:cat>
          <c:val>
            <c:numRef>
              <c:f>'Growth Pattern'!$CE$1583:$CE$1595</c:f>
              <c:numCache>
                <c:formatCode>0.00</c:formatCode>
                <c:ptCount val="13"/>
                <c:pt idx="0">
                  <c:v>0.51135319999999995</c:v>
                </c:pt>
                <c:pt idx="1">
                  <c:v>0.91588320000000001</c:v>
                </c:pt>
                <c:pt idx="2">
                  <c:v>1.8432413999999999</c:v>
                </c:pt>
                <c:pt idx="3">
                  <c:v>2.9611503999999997</c:v>
                </c:pt>
                <c:pt idx="4">
                  <c:v>3.9340484</c:v>
                </c:pt>
                <c:pt idx="5">
                  <c:v>4.8231612000000004</c:v>
                </c:pt>
                <c:pt idx="6">
                  <c:v>5.5412208000000005</c:v>
                </c:pt>
                <c:pt idx="7">
                  <c:v>5.9681853</c:v>
                </c:pt>
                <c:pt idx="8">
                  <c:v>6.5088512999999999</c:v>
                </c:pt>
                <c:pt idx="9">
                  <c:v>7.1864772000000006</c:v>
                </c:pt>
                <c:pt idx="10">
                  <c:v>7.3177532999999997</c:v>
                </c:pt>
                <c:pt idx="11">
                  <c:v>7.7111033999999998</c:v>
                </c:pt>
                <c:pt idx="12">
                  <c:v>8.4364851999999999</c:v>
                </c:pt>
              </c:numCache>
            </c:numRef>
          </c:val>
          <c:smooth val="0"/>
        </c:ser>
        <c:ser>
          <c:idx val="1"/>
          <c:order val="1"/>
          <c:tx>
            <c:strRef>
              <c:f>'Growth Pattern'!$CF$1583:$CF$1584</c:f>
              <c:strCache>
                <c:ptCount val="1"/>
                <c:pt idx="0">
                  <c:v>0.38 2.36</c:v>
                </c:pt>
              </c:strCache>
            </c:strRef>
          </c:tx>
          <c:cat>
            <c:numRef>
              <c:f>'Growth Pattern'!$CD$1583:$CD$1595</c:f>
              <c:numCache>
                <c:formatCode>0</c:formatCode>
                <c:ptCount val="13"/>
                <c:pt idx="0">
                  <c:v>3</c:v>
                </c:pt>
                <c:pt idx="1">
                  <c:v>4</c:v>
                </c:pt>
                <c:pt idx="2">
                  <c:v>5</c:v>
                </c:pt>
                <c:pt idx="3">
                  <c:v>6</c:v>
                </c:pt>
                <c:pt idx="4">
                  <c:v>7</c:v>
                </c:pt>
                <c:pt idx="5">
                  <c:v>8</c:v>
                </c:pt>
                <c:pt idx="6">
                  <c:v>9</c:v>
                </c:pt>
                <c:pt idx="7">
                  <c:v>10</c:v>
                </c:pt>
                <c:pt idx="8">
                  <c:v>11</c:v>
                </c:pt>
                <c:pt idx="9">
                  <c:v>12</c:v>
                </c:pt>
                <c:pt idx="10">
                  <c:v>13</c:v>
                </c:pt>
                <c:pt idx="11">
                  <c:v>14</c:v>
                </c:pt>
                <c:pt idx="12">
                  <c:v>15</c:v>
                </c:pt>
              </c:numCache>
            </c:numRef>
          </c:cat>
          <c:val>
            <c:numRef>
              <c:f>'Growth Pattern'!$CF$1583:$CF$1595</c:f>
              <c:numCache>
                <c:formatCode>0.00</c:formatCode>
                <c:ptCount val="13"/>
                <c:pt idx="0">
                  <c:v>0.38224999999999998</c:v>
                </c:pt>
                <c:pt idx="1">
                  <c:v>2.3592384000000006</c:v>
                </c:pt>
                <c:pt idx="2">
                  <c:v>6.8300596000000002</c:v>
                </c:pt>
                <c:pt idx="3">
                  <c:v>9.0828205000000004</c:v>
                </c:pt>
                <c:pt idx="4">
                  <c:v>9.8747187999999984</c:v>
                </c:pt>
                <c:pt idx="5">
                  <c:v>12.5024952</c:v>
                </c:pt>
                <c:pt idx="6">
                  <c:v>12.1762792</c:v>
                </c:pt>
                <c:pt idx="7">
                  <c:v>11.566107000000001</c:v>
                </c:pt>
                <c:pt idx="8">
                  <c:v>12.6528045</c:v>
                </c:pt>
                <c:pt idx="9">
                  <c:v>13.740016499999999</c:v>
                </c:pt>
                <c:pt idx="10">
                  <c:v>12.298400399999998</c:v>
                </c:pt>
                <c:pt idx="11">
                  <c:v>12.0277586</c:v>
                </c:pt>
                <c:pt idx="12">
                  <c:v>19.128252</c:v>
                </c:pt>
              </c:numCache>
            </c:numRef>
          </c:val>
          <c:smooth val="0"/>
        </c:ser>
        <c:dLbls>
          <c:showLegendKey val="0"/>
          <c:showVal val="0"/>
          <c:showCatName val="0"/>
          <c:showSerName val="0"/>
          <c:showPercent val="0"/>
          <c:showBubbleSize val="0"/>
        </c:dLbls>
        <c:marker val="1"/>
        <c:smooth val="0"/>
        <c:axId val="125897344"/>
        <c:axId val="125903232"/>
      </c:lineChart>
      <c:catAx>
        <c:axId val="125897344"/>
        <c:scaling>
          <c:orientation val="minMax"/>
        </c:scaling>
        <c:delete val="0"/>
        <c:axPos val="b"/>
        <c:numFmt formatCode="0" sourceLinked="1"/>
        <c:majorTickMark val="out"/>
        <c:minorTickMark val="none"/>
        <c:tickLblPos val="nextTo"/>
        <c:crossAx val="125903232"/>
        <c:crosses val="autoZero"/>
        <c:auto val="1"/>
        <c:lblAlgn val="ctr"/>
        <c:lblOffset val="100"/>
        <c:noMultiLvlLbl val="0"/>
      </c:catAx>
      <c:valAx>
        <c:axId val="125903232"/>
        <c:scaling>
          <c:orientation val="minMax"/>
        </c:scaling>
        <c:delete val="0"/>
        <c:axPos val="l"/>
        <c:majorGridlines/>
        <c:numFmt formatCode="0.00" sourceLinked="1"/>
        <c:majorTickMark val="out"/>
        <c:minorTickMark val="none"/>
        <c:tickLblPos val="nextTo"/>
        <c:crossAx val="125897344"/>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5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'Growth Pattern'!$CE$1598</c:f>
              <c:strCache>
                <c:ptCount val="1"/>
                <c:pt idx="0">
                  <c:v>MAI</c:v>
                </c:pt>
              </c:strCache>
            </c:strRef>
          </c:tx>
          <c:cat>
            <c:numRef>
              <c:f>'Growth Pattern'!$CD$1599:$CD$1611</c:f>
              <c:numCache>
                <c:formatCode>0</c:formatCode>
                <c:ptCount val="13"/>
                <c:pt idx="0">
                  <c:v>3</c:v>
                </c:pt>
                <c:pt idx="1">
                  <c:v>4</c:v>
                </c:pt>
                <c:pt idx="2">
                  <c:v>5</c:v>
                </c:pt>
                <c:pt idx="3">
                  <c:v>6</c:v>
                </c:pt>
                <c:pt idx="4">
                  <c:v>7</c:v>
                </c:pt>
                <c:pt idx="5">
                  <c:v>8</c:v>
                </c:pt>
                <c:pt idx="6">
                  <c:v>9</c:v>
                </c:pt>
                <c:pt idx="7">
                  <c:v>10</c:v>
                </c:pt>
                <c:pt idx="8">
                  <c:v>11</c:v>
                </c:pt>
                <c:pt idx="9">
                  <c:v>12</c:v>
                </c:pt>
                <c:pt idx="10">
                  <c:v>13</c:v>
                </c:pt>
                <c:pt idx="11">
                  <c:v>14</c:v>
                </c:pt>
                <c:pt idx="12">
                  <c:v>15</c:v>
                </c:pt>
              </c:numCache>
            </c:numRef>
          </c:cat>
          <c:val>
            <c:numRef>
              <c:f>'Growth Pattern'!$CE$1599:$CE$1611</c:f>
              <c:numCache>
                <c:formatCode>0.00</c:formatCode>
                <c:ptCount val="13"/>
                <c:pt idx="0">
                  <c:v>1.2725249999999999</c:v>
                </c:pt>
                <c:pt idx="1">
                  <c:v>2.9879791666666669</c:v>
                </c:pt>
                <c:pt idx="2">
                  <c:v>5.0289482758620689</c:v>
                </c:pt>
                <c:pt idx="3">
                  <c:v>6.0697540983606562</c:v>
                </c:pt>
                <c:pt idx="4">
                  <c:v>6.9400483870967742</c:v>
                </c:pt>
                <c:pt idx="5">
                  <c:v>7.5882343749999999</c:v>
                </c:pt>
                <c:pt idx="6">
                  <c:v>8.3948923076923094</c:v>
                </c:pt>
                <c:pt idx="7">
                  <c:v>8.895545454545454</c:v>
                </c:pt>
                <c:pt idx="8">
                  <c:v>9.5163676470588232</c:v>
                </c:pt>
                <c:pt idx="9">
                  <c:v>9.8365571428571421</c:v>
                </c:pt>
                <c:pt idx="10">
                  <c:v>10.138652777777777</c:v>
                </c:pt>
                <c:pt idx="11">
                  <c:v>10.424797297297296</c:v>
                </c:pt>
                <c:pt idx="12">
                  <c:v>11.147813333333334</c:v>
                </c:pt>
              </c:numCache>
            </c:numRef>
          </c:val>
          <c:smooth val="0"/>
        </c:ser>
        <c:ser>
          <c:idx val="1"/>
          <c:order val="1"/>
          <c:tx>
            <c:strRef>
              <c:f>'Growth Pattern'!$CF$1598</c:f>
              <c:strCache>
                <c:ptCount val="1"/>
                <c:pt idx="0">
                  <c:v>CAI</c:v>
                </c:pt>
              </c:strCache>
            </c:strRef>
          </c:tx>
          <c:cat>
            <c:numRef>
              <c:f>'Growth Pattern'!$CD$1599:$CD$1611</c:f>
              <c:numCache>
                <c:formatCode>0</c:formatCode>
                <c:ptCount val="13"/>
                <c:pt idx="0">
                  <c:v>3</c:v>
                </c:pt>
                <c:pt idx="1">
                  <c:v>4</c:v>
                </c:pt>
                <c:pt idx="2">
                  <c:v>5</c:v>
                </c:pt>
                <c:pt idx="3">
                  <c:v>6</c:v>
                </c:pt>
                <c:pt idx="4">
                  <c:v>7</c:v>
                </c:pt>
                <c:pt idx="5">
                  <c:v>8</c:v>
                </c:pt>
                <c:pt idx="6">
                  <c:v>9</c:v>
                </c:pt>
                <c:pt idx="7">
                  <c:v>10</c:v>
                </c:pt>
                <c:pt idx="8">
                  <c:v>11</c:v>
                </c:pt>
                <c:pt idx="9">
                  <c:v>12</c:v>
                </c:pt>
                <c:pt idx="10">
                  <c:v>13</c:v>
                </c:pt>
                <c:pt idx="11">
                  <c:v>14</c:v>
                </c:pt>
                <c:pt idx="12">
                  <c:v>15</c:v>
                </c:pt>
              </c:numCache>
            </c:numRef>
          </c:cat>
          <c:val>
            <c:numRef>
              <c:f>'Growth Pattern'!$CF$1599:$CF$1611</c:f>
              <c:numCache>
                <c:formatCode>0.00</c:formatCode>
                <c:ptCount val="13"/>
                <c:pt idx="0">
                  <c:v>4.3</c:v>
                </c:pt>
                <c:pt idx="1">
                  <c:v>8.6041666666666679</c:v>
                </c:pt>
                <c:pt idx="2">
                  <c:v>14.551724137931032</c:v>
                </c:pt>
                <c:pt idx="3">
                  <c:v>13.377049180327869</c:v>
                </c:pt>
                <c:pt idx="4">
                  <c:v>13.161290322580644</c:v>
                </c:pt>
                <c:pt idx="5">
                  <c:v>14.046875</c:v>
                </c:pt>
                <c:pt idx="6">
                  <c:v>15.83076923076923</c:v>
                </c:pt>
                <c:pt idx="7">
                  <c:v>14.030303030303029</c:v>
                </c:pt>
                <c:pt idx="8">
                  <c:v>18.397058823529413</c:v>
                </c:pt>
                <c:pt idx="9">
                  <c:v>18.457142857142859</c:v>
                </c:pt>
                <c:pt idx="10">
                  <c:v>16.333333333333332</c:v>
                </c:pt>
                <c:pt idx="11">
                  <c:v>16.513513513513512</c:v>
                </c:pt>
                <c:pt idx="12">
                  <c:v>23.77333333333333</c:v>
                </c:pt>
              </c:numCache>
            </c:numRef>
          </c:val>
          <c:smooth val="0"/>
        </c:ser>
        <c:dLbls>
          <c:showLegendKey val="0"/>
          <c:showVal val="0"/>
          <c:showCatName val="0"/>
          <c:showSerName val="0"/>
          <c:showPercent val="0"/>
          <c:showBubbleSize val="0"/>
        </c:dLbls>
        <c:marker val="1"/>
        <c:smooth val="0"/>
        <c:axId val="125932288"/>
        <c:axId val="125933824"/>
      </c:lineChart>
      <c:catAx>
        <c:axId val="125932288"/>
        <c:scaling>
          <c:orientation val="minMax"/>
        </c:scaling>
        <c:delete val="0"/>
        <c:axPos val="b"/>
        <c:numFmt formatCode="0" sourceLinked="1"/>
        <c:majorTickMark val="out"/>
        <c:minorTickMark val="none"/>
        <c:tickLblPos val="nextTo"/>
        <c:crossAx val="125933824"/>
        <c:crosses val="autoZero"/>
        <c:auto val="1"/>
        <c:lblAlgn val="ctr"/>
        <c:lblOffset val="100"/>
        <c:noMultiLvlLbl val="0"/>
      </c:catAx>
      <c:valAx>
        <c:axId val="125933824"/>
        <c:scaling>
          <c:orientation val="minMax"/>
        </c:scaling>
        <c:delete val="0"/>
        <c:axPos val="l"/>
        <c:majorGridlines/>
        <c:numFmt formatCode="0.00" sourceLinked="1"/>
        <c:majorTickMark val="out"/>
        <c:minorTickMark val="none"/>
        <c:tickLblPos val="nextTo"/>
        <c:crossAx val="125932288"/>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'Growth Pattern'!$CE$246</c:f>
              <c:strCache>
                <c:ptCount val="1"/>
                <c:pt idx="0">
                  <c:v>MAI</c:v>
                </c:pt>
              </c:strCache>
            </c:strRef>
          </c:tx>
          <c:val>
            <c:numRef>
              <c:f>'Growth Pattern'!$CE$247:$CE$250</c:f>
              <c:numCache>
                <c:formatCode>0.00</c:formatCode>
                <c:ptCount val="4"/>
                <c:pt idx="0">
                  <c:v>22.32</c:v>
                </c:pt>
                <c:pt idx="1">
                  <c:v>11.914999999999999</c:v>
                </c:pt>
                <c:pt idx="2">
                  <c:v>17.010000000000002</c:v>
                </c:pt>
                <c:pt idx="3">
                  <c:v>18.05</c:v>
                </c:pt>
              </c:numCache>
            </c:numRef>
          </c:val>
          <c:smooth val="0"/>
        </c:ser>
        <c:ser>
          <c:idx val="1"/>
          <c:order val="1"/>
          <c:tx>
            <c:strRef>
              <c:f>'Growth Pattern'!$CF$241</c:f>
              <c:strCache>
                <c:ptCount val="1"/>
                <c:pt idx="0">
                  <c:v>CAI</c:v>
                </c:pt>
              </c:strCache>
            </c:strRef>
          </c:tx>
          <c:val>
            <c:numRef>
              <c:f>'Growth Pattern'!$CF$247:$CF$250</c:f>
              <c:numCache>
                <c:formatCode>0.00</c:formatCode>
                <c:ptCount val="4"/>
                <c:pt idx="0">
                  <c:v>22.32</c:v>
                </c:pt>
                <c:pt idx="1">
                  <c:v>1.509999999999998</c:v>
                </c:pt>
                <c:pt idx="2">
                  <c:v>27.200000000000003</c:v>
                </c:pt>
                <c:pt idx="3">
                  <c:v>21.17</c:v>
                </c:pt>
              </c:numCache>
            </c:numRef>
          </c:val>
          <c:smooth val="0"/>
        </c:ser>
        <c:dLbls>
          <c:showLegendKey val="0"/>
          <c:showVal val="0"/>
          <c:showCatName val="0"/>
          <c:showSerName val="0"/>
          <c:showPercent val="0"/>
          <c:showBubbleSize val="0"/>
        </c:dLbls>
        <c:marker val="1"/>
        <c:smooth val="0"/>
        <c:axId val="93736960"/>
        <c:axId val="93738496"/>
      </c:lineChart>
      <c:catAx>
        <c:axId val="93736960"/>
        <c:scaling>
          <c:orientation val="minMax"/>
        </c:scaling>
        <c:delete val="0"/>
        <c:axPos val="b"/>
        <c:majorTickMark val="out"/>
        <c:minorTickMark val="none"/>
        <c:tickLblPos val="nextTo"/>
        <c:crossAx val="93738496"/>
        <c:crosses val="autoZero"/>
        <c:auto val="1"/>
        <c:lblAlgn val="ctr"/>
        <c:lblOffset val="100"/>
        <c:noMultiLvlLbl val="0"/>
      </c:catAx>
      <c:valAx>
        <c:axId val="93738496"/>
        <c:scaling>
          <c:orientation val="minMax"/>
        </c:scaling>
        <c:delete val="0"/>
        <c:axPos val="l"/>
        <c:majorGridlines/>
        <c:numFmt formatCode="0.00" sourceLinked="1"/>
        <c:majorTickMark val="out"/>
        <c:minorTickMark val="none"/>
        <c:tickLblPos val="nextTo"/>
        <c:crossAx val="93736960"/>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6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#REF!</c:f>
              <c:strCache>
                <c:ptCount val="1"/>
                <c:pt idx="0">
                  <c:v>#REF!</c:v>
                </c:pt>
              </c:strCache>
            </c:strRef>
          </c:tx>
          <c:val>
            <c:numRef>
              <c:f>#REF!</c:f>
              <c:numCache>
                <c:formatCode>General</c:formatCode>
                <c:ptCount val="1"/>
                <c:pt idx="0">
                  <c:v>1</c:v>
                </c:pt>
              </c:numCache>
            </c:numRef>
          </c:val>
          <c:smooth val="0"/>
        </c:ser>
        <c:ser>
          <c:idx val="1"/>
          <c:order val="1"/>
          <c:tx>
            <c:strRef>
              <c:f>#REF!</c:f>
              <c:strCache>
                <c:ptCount val="1"/>
                <c:pt idx="0">
                  <c:v>#REF!</c:v>
                </c:pt>
              </c:strCache>
            </c:strRef>
          </c:tx>
          <c:val>
            <c:numRef>
              <c:f>#REF!</c:f>
              <c:numCache>
                <c:formatCode>General</c:formatCode>
                <c:ptCount val="1"/>
                <c:pt idx="0">
                  <c:v>1</c:v>
                </c:pt>
              </c:numCache>
            </c:numRef>
          </c:val>
          <c:smooth val="0"/>
        </c:ser>
        <c:dLbls>
          <c:showLegendKey val="0"/>
          <c:showVal val="0"/>
          <c:showCatName val="0"/>
          <c:showSerName val="0"/>
          <c:showPercent val="0"/>
          <c:showBubbleSize val="0"/>
        </c:dLbls>
        <c:marker val="1"/>
        <c:smooth val="0"/>
        <c:axId val="125962880"/>
        <c:axId val="125964672"/>
      </c:lineChart>
      <c:catAx>
        <c:axId val="125962880"/>
        <c:scaling>
          <c:orientation val="minMax"/>
        </c:scaling>
        <c:delete val="0"/>
        <c:axPos val="b"/>
        <c:majorTickMark val="out"/>
        <c:minorTickMark val="none"/>
        <c:tickLblPos val="nextTo"/>
        <c:crossAx val="125964672"/>
        <c:crosses val="autoZero"/>
        <c:auto val="1"/>
        <c:lblAlgn val="ctr"/>
        <c:lblOffset val="100"/>
        <c:noMultiLvlLbl val="0"/>
      </c:catAx>
      <c:valAx>
        <c:axId val="125964672"/>
        <c:scaling>
          <c:orientation val="minMax"/>
        </c:scaling>
        <c:delete val="0"/>
        <c:axPos val="l"/>
        <c:majorGridlines/>
        <c:numFmt formatCode="General" sourceLinked="1"/>
        <c:majorTickMark val="out"/>
        <c:minorTickMark val="none"/>
        <c:tickLblPos val="nextTo"/>
        <c:crossAx val="125962880"/>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6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#REF!</c:f>
              <c:strCache>
                <c:ptCount val="1"/>
                <c:pt idx="0">
                  <c:v>#REF!</c:v>
                </c:pt>
              </c:strCache>
            </c:strRef>
          </c:tx>
          <c:val>
            <c:numRef>
              <c:f>#REF!</c:f>
              <c:numCache>
                <c:formatCode>General</c:formatCode>
                <c:ptCount val="1"/>
                <c:pt idx="0">
                  <c:v>1</c:v>
                </c:pt>
              </c:numCache>
            </c:numRef>
          </c:val>
          <c:smooth val="0"/>
        </c:ser>
        <c:ser>
          <c:idx val="1"/>
          <c:order val="1"/>
          <c:tx>
            <c:strRef>
              <c:f>#REF!</c:f>
              <c:strCache>
                <c:ptCount val="1"/>
                <c:pt idx="0">
                  <c:v>#REF!</c:v>
                </c:pt>
              </c:strCache>
            </c:strRef>
          </c:tx>
          <c:val>
            <c:numRef>
              <c:f>#REF!</c:f>
              <c:numCache>
                <c:formatCode>General</c:formatCode>
                <c:ptCount val="1"/>
                <c:pt idx="0">
                  <c:v>1</c:v>
                </c:pt>
              </c:numCache>
            </c:numRef>
          </c:val>
          <c:smooth val="0"/>
        </c:ser>
        <c:dLbls>
          <c:showLegendKey val="0"/>
          <c:showVal val="0"/>
          <c:showCatName val="0"/>
          <c:showSerName val="0"/>
          <c:showPercent val="0"/>
          <c:showBubbleSize val="0"/>
        </c:dLbls>
        <c:marker val="1"/>
        <c:smooth val="0"/>
        <c:axId val="125989632"/>
        <c:axId val="125991168"/>
      </c:lineChart>
      <c:catAx>
        <c:axId val="125989632"/>
        <c:scaling>
          <c:orientation val="minMax"/>
        </c:scaling>
        <c:delete val="0"/>
        <c:axPos val="b"/>
        <c:majorTickMark val="out"/>
        <c:minorTickMark val="none"/>
        <c:tickLblPos val="nextTo"/>
        <c:crossAx val="125991168"/>
        <c:crosses val="autoZero"/>
        <c:auto val="1"/>
        <c:lblAlgn val="ctr"/>
        <c:lblOffset val="100"/>
        <c:noMultiLvlLbl val="0"/>
      </c:catAx>
      <c:valAx>
        <c:axId val="125991168"/>
        <c:scaling>
          <c:orientation val="minMax"/>
        </c:scaling>
        <c:delete val="0"/>
        <c:axPos val="l"/>
        <c:majorGridlines/>
        <c:numFmt formatCode="General" sourceLinked="1"/>
        <c:majorTickMark val="out"/>
        <c:minorTickMark val="none"/>
        <c:tickLblPos val="nextTo"/>
        <c:crossAx val="125989632"/>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6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tx>
            <c:strRef>
              <c:f>#REF!</c:f>
              <c:strCache>
                <c:ptCount val="1"/>
                <c:pt idx="0">
                  <c:v>#REF!</c:v>
                </c:pt>
              </c:strCache>
            </c:strRef>
          </c:tx>
          <c:spPr>
            <a:ln w="28575">
              <a:noFill/>
            </a:ln>
          </c:spPr>
          <c:xVal>
            <c:numRef>
              <c:f>#REF!</c:f>
            </c:numRef>
          </c:xVal>
          <c:yVal>
            <c:numRef>
              <c:f>#REF!</c:f>
              <c:numCache>
                <c:formatCode>General</c:formatCode>
                <c:ptCount val="1"/>
                <c:pt idx="0">
                  <c:v>1</c:v>
                </c:pt>
              </c:numCache>
            </c:numRef>
          </c:yVal>
          <c:smooth val="0"/>
        </c:ser>
        <c:ser>
          <c:idx val="1"/>
          <c:order val="1"/>
          <c:tx>
            <c:strRef>
              <c:f>#REF!</c:f>
              <c:strCache>
                <c:ptCount val="1"/>
                <c:pt idx="0">
                  <c:v>#REF!</c:v>
                </c:pt>
              </c:strCache>
            </c:strRef>
          </c:tx>
          <c:spPr>
            <a:ln w="28575">
              <a:noFill/>
            </a:ln>
          </c:spPr>
          <c:xVal>
            <c:numRef>
              <c:f>#REF!</c:f>
            </c:numRef>
          </c:xVal>
          <c:yVal>
            <c:numRef>
              <c:f>#REF!</c:f>
              <c:numCache>
                <c:formatCode>General</c:formatCode>
                <c:ptCount val="1"/>
                <c:pt idx="0">
                  <c:v>1</c:v>
                </c:pt>
              </c:numCache>
            </c:numRef>
          </c:yVal>
          <c:smooth val="0"/>
        </c:ser>
        <c:dLbls>
          <c:showLegendKey val="0"/>
          <c:showVal val="0"/>
          <c:showCatName val="0"/>
          <c:showSerName val="0"/>
          <c:showPercent val="0"/>
          <c:showBubbleSize val="0"/>
        </c:dLbls>
        <c:axId val="125999744"/>
        <c:axId val="126022016"/>
      </c:scatterChart>
      <c:valAx>
        <c:axId val="125999744"/>
        <c:scaling>
          <c:orientation val="minMax"/>
        </c:scaling>
        <c:delete val="0"/>
        <c:axPos val="b"/>
        <c:numFmt formatCode="General" sourceLinked="1"/>
        <c:majorTickMark val="out"/>
        <c:minorTickMark val="none"/>
        <c:tickLblPos val="nextTo"/>
        <c:crossAx val="126022016"/>
        <c:crosses val="autoZero"/>
        <c:crossBetween val="midCat"/>
      </c:valAx>
      <c:valAx>
        <c:axId val="126022016"/>
        <c:scaling>
          <c:orientation val="minMax"/>
        </c:scaling>
        <c:delete val="0"/>
        <c:axPos val="l"/>
        <c:majorGridlines/>
        <c:numFmt formatCode="General" sourceLinked="1"/>
        <c:majorTickMark val="out"/>
        <c:minorTickMark val="none"/>
        <c:tickLblPos val="nextTo"/>
        <c:crossAx val="125999744"/>
        <c:crosses val="autoZero"/>
        <c:crossBetween val="midCat"/>
      </c:valAx>
    </c:plotArea>
    <c:legend>
      <c:legendPos val="r"/>
      <c:overlay val="0"/>
    </c:legend>
    <c:plotVisOnly val="1"/>
    <c:dispBlanksAs val="gap"/>
    <c:showDLblsOverMax val="0"/>
  </c:chart>
  <c:printSettings>
    <c:headerFooter/>
    <c:pageMargins b="0.75" l="0.7" r="0.7" t="0.75" header="0.3" footer="0.3"/>
    <c:pageSetup/>
  </c:printSettings>
</c:chartSpace>
</file>

<file path=xl/charts/chart16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tx>
            <c:strRef>
              <c:f>#REF!</c:f>
              <c:strCache>
                <c:ptCount val="1"/>
                <c:pt idx="0">
                  <c:v>#REF!</c:v>
                </c:pt>
              </c:strCache>
            </c:strRef>
          </c:tx>
          <c:spPr>
            <a:ln w="28575">
              <a:noFill/>
            </a:ln>
          </c:spPr>
          <c:xVal>
            <c:numRef>
              <c:f>#REF!</c:f>
            </c:numRef>
          </c:xVal>
          <c:yVal>
            <c:numRef>
              <c:f>#REF!</c:f>
              <c:numCache>
                <c:formatCode>General</c:formatCode>
                <c:ptCount val="1"/>
                <c:pt idx="0">
                  <c:v>1</c:v>
                </c:pt>
              </c:numCache>
            </c:numRef>
          </c:yVal>
          <c:smooth val="0"/>
        </c:ser>
        <c:ser>
          <c:idx val="1"/>
          <c:order val="1"/>
          <c:tx>
            <c:strRef>
              <c:f>#REF!</c:f>
              <c:strCache>
                <c:ptCount val="1"/>
                <c:pt idx="0">
                  <c:v>#REF!</c:v>
                </c:pt>
              </c:strCache>
            </c:strRef>
          </c:tx>
          <c:spPr>
            <a:ln w="28575">
              <a:noFill/>
            </a:ln>
          </c:spPr>
          <c:xVal>
            <c:numRef>
              <c:f>#REF!</c:f>
            </c:numRef>
          </c:xVal>
          <c:yVal>
            <c:numRef>
              <c:f>#REF!</c:f>
              <c:numCache>
                <c:formatCode>General</c:formatCode>
                <c:ptCount val="1"/>
                <c:pt idx="0">
                  <c:v>1</c:v>
                </c:pt>
              </c:numCache>
            </c:numRef>
          </c:yVal>
          <c:smooth val="0"/>
        </c:ser>
        <c:dLbls>
          <c:showLegendKey val="0"/>
          <c:showVal val="0"/>
          <c:showCatName val="0"/>
          <c:showSerName val="0"/>
          <c:showPercent val="0"/>
          <c:showBubbleSize val="0"/>
        </c:dLbls>
        <c:axId val="126186240"/>
        <c:axId val="126187776"/>
      </c:scatterChart>
      <c:valAx>
        <c:axId val="126186240"/>
        <c:scaling>
          <c:orientation val="minMax"/>
        </c:scaling>
        <c:delete val="0"/>
        <c:axPos val="b"/>
        <c:numFmt formatCode="General" sourceLinked="1"/>
        <c:majorTickMark val="out"/>
        <c:minorTickMark val="none"/>
        <c:tickLblPos val="nextTo"/>
        <c:crossAx val="126187776"/>
        <c:crosses val="autoZero"/>
        <c:crossBetween val="midCat"/>
      </c:valAx>
      <c:valAx>
        <c:axId val="126187776"/>
        <c:scaling>
          <c:orientation val="minMax"/>
        </c:scaling>
        <c:delete val="0"/>
        <c:axPos val="l"/>
        <c:majorGridlines/>
        <c:numFmt formatCode="General" sourceLinked="1"/>
        <c:majorTickMark val="out"/>
        <c:minorTickMark val="none"/>
        <c:tickLblPos val="nextTo"/>
        <c:crossAx val="126186240"/>
        <c:crosses val="autoZero"/>
        <c:crossBetween val="midCat"/>
      </c:valAx>
    </c:plotArea>
    <c:legend>
      <c:legendPos val="r"/>
      <c:overlay val="0"/>
    </c:legend>
    <c:plotVisOnly val="1"/>
    <c:dispBlanksAs val="gap"/>
    <c:showDLblsOverMax val="0"/>
  </c:chart>
  <c:printSettings>
    <c:headerFooter/>
    <c:pageMargins b="0.75" l="0.7" r="0.7" t="0.75" header="0.3" footer="0.3"/>
    <c:pageSetup/>
  </c:printSettings>
</c:chartSpace>
</file>

<file path=xl/charts/chart16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tx>
            <c:strRef>
              <c:f>#REF!</c:f>
              <c:strCache>
                <c:ptCount val="1"/>
                <c:pt idx="0">
                  <c:v>#REF!</c:v>
                </c:pt>
              </c:strCache>
            </c:strRef>
          </c:tx>
          <c:spPr>
            <a:ln w="28575">
              <a:noFill/>
            </a:ln>
          </c:spPr>
          <c:xVal>
            <c:numRef>
              <c:f>#REF!</c:f>
            </c:numRef>
          </c:xVal>
          <c:yVal>
            <c:numRef>
              <c:f>#REF!</c:f>
              <c:numCache>
                <c:formatCode>General</c:formatCode>
                <c:ptCount val="1"/>
                <c:pt idx="0">
                  <c:v>1</c:v>
                </c:pt>
              </c:numCache>
            </c:numRef>
          </c:yVal>
          <c:smooth val="0"/>
        </c:ser>
        <c:ser>
          <c:idx val="1"/>
          <c:order val="1"/>
          <c:tx>
            <c:strRef>
              <c:f>#REF!</c:f>
              <c:strCache>
                <c:ptCount val="1"/>
                <c:pt idx="0">
                  <c:v>#REF!</c:v>
                </c:pt>
              </c:strCache>
            </c:strRef>
          </c:tx>
          <c:spPr>
            <a:ln w="28575">
              <a:noFill/>
            </a:ln>
          </c:spPr>
          <c:xVal>
            <c:numRef>
              <c:f>#REF!</c:f>
            </c:numRef>
          </c:xVal>
          <c:yVal>
            <c:numRef>
              <c:f>#REF!</c:f>
              <c:numCache>
                <c:formatCode>General</c:formatCode>
                <c:ptCount val="1"/>
                <c:pt idx="0">
                  <c:v>1</c:v>
                </c:pt>
              </c:numCache>
            </c:numRef>
          </c:yVal>
          <c:smooth val="0"/>
        </c:ser>
        <c:dLbls>
          <c:showLegendKey val="0"/>
          <c:showVal val="0"/>
          <c:showCatName val="0"/>
          <c:showSerName val="0"/>
          <c:showPercent val="0"/>
          <c:showBubbleSize val="0"/>
        </c:dLbls>
        <c:axId val="126212736"/>
        <c:axId val="126288256"/>
      </c:scatterChart>
      <c:valAx>
        <c:axId val="126212736"/>
        <c:scaling>
          <c:orientation val="minMax"/>
        </c:scaling>
        <c:delete val="0"/>
        <c:axPos val="b"/>
        <c:numFmt formatCode="General" sourceLinked="1"/>
        <c:majorTickMark val="out"/>
        <c:minorTickMark val="none"/>
        <c:tickLblPos val="nextTo"/>
        <c:crossAx val="126288256"/>
        <c:crosses val="autoZero"/>
        <c:crossBetween val="midCat"/>
      </c:valAx>
      <c:valAx>
        <c:axId val="126288256"/>
        <c:scaling>
          <c:orientation val="minMax"/>
        </c:scaling>
        <c:delete val="0"/>
        <c:axPos val="l"/>
        <c:majorGridlines/>
        <c:numFmt formatCode="General" sourceLinked="1"/>
        <c:majorTickMark val="out"/>
        <c:minorTickMark val="none"/>
        <c:tickLblPos val="nextTo"/>
        <c:crossAx val="126212736"/>
        <c:crosses val="autoZero"/>
        <c:crossBetween val="midCat"/>
      </c:valAx>
    </c:plotArea>
    <c:legend>
      <c:legendPos val="r"/>
      <c:overlay val="0"/>
    </c:legend>
    <c:plotVisOnly val="1"/>
    <c:dispBlanksAs val="gap"/>
    <c:showDLblsOverMax val="0"/>
  </c:chart>
  <c:printSettings>
    <c:headerFooter/>
    <c:pageMargins b="0.75" l="0.7" r="0.7" t="0.75" header="0.3" footer="0.3"/>
    <c:pageSetup/>
  </c:printSettings>
</c:chartSpace>
</file>

<file path=xl/charts/chart16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tx>
            <c:strRef>
              <c:f>#REF!</c:f>
              <c:strCache>
                <c:ptCount val="1"/>
                <c:pt idx="0">
                  <c:v>#REF!</c:v>
                </c:pt>
              </c:strCache>
            </c:strRef>
          </c:tx>
          <c:spPr>
            <a:ln w="28575">
              <a:noFill/>
            </a:ln>
          </c:spPr>
          <c:xVal>
            <c:numRef>
              <c:f>#REF!</c:f>
            </c:numRef>
          </c:xVal>
          <c:yVal>
            <c:numRef>
              <c:f>#REF!</c:f>
              <c:numCache>
                <c:formatCode>General</c:formatCode>
                <c:ptCount val="1"/>
                <c:pt idx="0">
                  <c:v>1</c:v>
                </c:pt>
              </c:numCache>
            </c:numRef>
          </c:yVal>
          <c:smooth val="0"/>
        </c:ser>
        <c:ser>
          <c:idx val="1"/>
          <c:order val="1"/>
          <c:tx>
            <c:strRef>
              <c:f>#REF!</c:f>
              <c:strCache>
                <c:ptCount val="1"/>
                <c:pt idx="0">
                  <c:v>#REF!</c:v>
                </c:pt>
              </c:strCache>
            </c:strRef>
          </c:tx>
          <c:spPr>
            <a:ln w="28575">
              <a:noFill/>
            </a:ln>
          </c:spPr>
          <c:xVal>
            <c:numRef>
              <c:f>#REF!</c:f>
            </c:numRef>
          </c:xVal>
          <c:yVal>
            <c:numRef>
              <c:f>#REF!</c:f>
              <c:numCache>
                <c:formatCode>General</c:formatCode>
                <c:ptCount val="1"/>
                <c:pt idx="0">
                  <c:v>1</c:v>
                </c:pt>
              </c:numCache>
            </c:numRef>
          </c:yVal>
          <c:smooth val="0"/>
        </c:ser>
        <c:dLbls>
          <c:showLegendKey val="0"/>
          <c:showVal val="0"/>
          <c:showCatName val="0"/>
          <c:showSerName val="0"/>
          <c:showPercent val="0"/>
          <c:showBubbleSize val="0"/>
        </c:dLbls>
        <c:axId val="126309120"/>
        <c:axId val="126310656"/>
      </c:scatterChart>
      <c:valAx>
        <c:axId val="126309120"/>
        <c:scaling>
          <c:orientation val="minMax"/>
        </c:scaling>
        <c:delete val="0"/>
        <c:axPos val="b"/>
        <c:numFmt formatCode="General" sourceLinked="1"/>
        <c:majorTickMark val="out"/>
        <c:minorTickMark val="none"/>
        <c:tickLblPos val="nextTo"/>
        <c:crossAx val="126310656"/>
        <c:crosses val="autoZero"/>
        <c:crossBetween val="midCat"/>
      </c:valAx>
      <c:valAx>
        <c:axId val="126310656"/>
        <c:scaling>
          <c:orientation val="minMax"/>
        </c:scaling>
        <c:delete val="0"/>
        <c:axPos val="l"/>
        <c:majorGridlines/>
        <c:numFmt formatCode="General" sourceLinked="1"/>
        <c:majorTickMark val="out"/>
        <c:minorTickMark val="none"/>
        <c:tickLblPos val="nextTo"/>
        <c:crossAx val="126309120"/>
        <c:crosses val="autoZero"/>
        <c:crossBetween val="midCat"/>
      </c:valAx>
    </c:plotArea>
    <c:legend>
      <c:legendPos val="r"/>
      <c:overlay val="0"/>
    </c:legend>
    <c:plotVisOnly val="1"/>
    <c:dispBlanksAs val="gap"/>
    <c:showDLblsOverMax val="0"/>
  </c:chart>
  <c:printSettings>
    <c:headerFooter/>
    <c:pageMargins b="0.75" l="0.7" r="0.7" t="0.75" header="0.3" footer="0.3"/>
    <c:pageSetup/>
  </c:printSettings>
</c:chartSpace>
</file>

<file path=xl/charts/chart16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tx>
            <c:v>MAI</c:v>
          </c:tx>
          <c:spPr>
            <a:ln w="28575">
              <a:noFill/>
            </a:ln>
          </c:spPr>
          <c:dPt>
            <c:idx val="0"/>
            <c:marker>
              <c:spPr>
                <a:noFill/>
              </c:spPr>
            </c:marker>
            <c:bubble3D val="0"/>
          </c:dPt>
          <c:dPt>
            <c:idx val="3"/>
            <c:marker>
              <c:spPr>
                <a:noFill/>
              </c:spPr>
            </c:marker>
            <c:bubble3D val="0"/>
          </c:dPt>
          <c:xVal>
            <c:numLit>
              <c:formatCode>General</c:formatCode>
              <c:ptCount val="5"/>
              <c:pt idx="0">
                <c:v>1</c:v>
              </c:pt>
              <c:pt idx="1">
                <c:v>2</c:v>
              </c:pt>
              <c:pt idx="2">
                <c:v>3</c:v>
              </c:pt>
              <c:pt idx="3">
                <c:v>4</c:v>
              </c:pt>
              <c:pt idx="4">
                <c:v>5</c:v>
              </c:pt>
            </c:numLit>
          </c:xVal>
          <c:yVal>
            <c:numLit>
              <c:formatCode>General</c:formatCode>
              <c:ptCount val="5"/>
              <c:pt idx="0">
                <c:v>0</c:v>
              </c:pt>
              <c:pt idx="1">
                <c:v>5.3361499999999999</c:v>
              </c:pt>
              <c:pt idx="2">
                <c:v>12.690066666666667</c:v>
              </c:pt>
              <c:pt idx="3">
                <c:v>0</c:v>
              </c:pt>
              <c:pt idx="4">
                <c:v>13.847559999999998</c:v>
              </c:pt>
            </c:numLit>
          </c:yVal>
          <c:smooth val="0"/>
        </c:ser>
        <c:dLbls>
          <c:showLegendKey val="0"/>
          <c:showVal val="0"/>
          <c:showCatName val="0"/>
          <c:showSerName val="0"/>
          <c:showPercent val="0"/>
          <c:showBubbleSize val="0"/>
        </c:dLbls>
        <c:axId val="126339712"/>
        <c:axId val="126345984"/>
      </c:scatterChart>
      <c:valAx>
        <c:axId val="126339712"/>
        <c:scaling>
          <c:orientation val="minMax"/>
        </c:scaling>
        <c:delete val="0"/>
        <c:axPos val="b"/>
        <c:title>
          <c:tx>
            <c:rich>
              <a:bodyPr/>
              <a:lstStyle/>
              <a:p>
                <a:pPr>
                  <a:defRPr/>
                </a:pPr>
                <a:r>
                  <a:rPr lang="en-US"/>
                  <a:t>Stand Age</a:t>
                </a:r>
              </a:p>
            </c:rich>
          </c:tx>
          <c:overlay val="0"/>
        </c:title>
        <c:numFmt formatCode="General" sourceLinked="1"/>
        <c:majorTickMark val="out"/>
        <c:minorTickMark val="none"/>
        <c:tickLblPos val="nextTo"/>
        <c:crossAx val="126345984"/>
        <c:crosses val="autoZero"/>
        <c:crossBetween val="midCat"/>
      </c:valAx>
      <c:valAx>
        <c:axId val="126345984"/>
        <c:scaling>
          <c:orientation val="minMax"/>
        </c:scaling>
        <c:delete val="0"/>
        <c:axPos val="l"/>
        <c:majorGridlines/>
        <c:title>
          <c:tx>
            <c:rich>
              <a:bodyPr rot="-5400000" vert="horz"/>
              <a:lstStyle/>
              <a:p>
                <a:pPr>
                  <a:defRPr/>
                </a:pPr>
                <a:r>
                  <a:rPr lang="en-US"/>
                  <a:t>dry Mg ha-1 yr -1</a:t>
                </a:r>
              </a:p>
            </c:rich>
          </c:tx>
          <c:overlay val="0"/>
        </c:title>
        <c:numFmt formatCode="General" sourceLinked="1"/>
        <c:majorTickMark val="out"/>
        <c:minorTickMark val="none"/>
        <c:tickLblPos val="nextTo"/>
        <c:crossAx val="126339712"/>
        <c:crosses val="autoZero"/>
        <c:crossBetween val="midCat"/>
      </c:valAx>
    </c:plotArea>
    <c:legend>
      <c:legendPos val="r"/>
      <c:overlay val="0"/>
    </c:legend>
    <c:plotVisOnly val="1"/>
    <c:dispBlanksAs val="gap"/>
    <c:showDLblsOverMax val="0"/>
  </c:chart>
  <c:printSettings>
    <c:headerFooter/>
    <c:pageMargins b="0.75" l="0.7" r="0.7" t="0.75" header="0.3" footer="0.3"/>
    <c:pageSetup/>
  </c:printSettings>
</c:chartSpace>
</file>

<file path=xl/charts/chart16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lotArea>
      <c:layout/>
      <c:scatterChart>
        <c:scatterStyle val="lineMarker"/>
        <c:varyColors val="0"/>
        <c:ser>
          <c:idx val="0"/>
          <c:order val="0"/>
          <c:tx>
            <c:v>MAI</c:v>
          </c:tx>
          <c:spPr>
            <a:ln w="28575">
              <a:noFill/>
            </a:ln>
          </c:spPr>
          <c:xVal>
            <c:numLit>
              <c:formatCode>General</c:formatCode>
              <c:ptCount val="5"/>
              <c:pt idx="0">
                <c:v>1</c:v>
              </c:pt>
              <c:pt idx="1">
                <c:v>2</c:v>
              </c:pt>
              <c:pt idx="2">
                <c:v>3</c:v>
              </c:pt>
              <c:pt idx="3">
                <c:v>4</c:v>
              </c:pt>
              <c:pt idx="4">
                <c:v>5</c:v>
              </c:pt>
            </c:numLit>
          </c:xVal>
          <c:yVal>
            <c:numLit>
              <c:formatCode>General</c:formatCode>
              <c:ptCount val="5"/>
              <c:pt idx="0">
                <c:v>0</c:v>
              </c:pt>
              <c:pt idx="1">
                <c:v>4.57348</c:v>
              </c:pt>
              <c:pt idx="2">
                <c:v>10.402866666666666</c:v>
              </c:pt>
              <c:pt idx="3">
                <c:v>0</c:v>
              </c:pt>
              <c:pt idx="4">
                <c:v>11.48508</c:v>
              </c:pt>
            </c:numLit>
          </c:yVal>
          <c:smooth val="0"/>
        </c:ser>
        <c:dLbls>
          <c:showLegendKey val="0"/>
          <c:showVal val="0"/>
          <c:showCatName val="0"/>
          <c:showSerName val="0"/>
          <c:showPercent val="0"/>
          <c:showBubbleSize val="0"/>
        </c:dLbls>
        <c:axId val="126374656"/>
        <c:axId val="126376192"/>
      </c:scatterChart>
      <c:valAx>
        <c:axId val="126374656"/>
        <c:scaling>
          <c:orientation val="minMax"/>
        </c:scaling>
        <c:delete val="0"/>
        <c:axPos val="b"/>
        <c:numFmt formatCode="General" sourceLinked="1"/>
        <c:majorTickMark val="out"/>
        <c:minorTickMark val="none"/>
        <c:tickLblPos val="nextTo"/>
        <c:crossAx val="126376192"/>
        <c:crosses val="autoZero"/>
        <c:crossBetween val="midCat"/>
      </c:valAx>
      <c:valAx>
        <c:axId val="126376192"/>
        <c:scaling>
          <c:orientation val="minMax"/>
        </c:scaling>
        <c:delete val="0"/>
        <c:axPos val="l"/>
        <c:majorGridlines/>
        <c:numFmt formatCode="General" sourceLinked="1"/>
        <c:majorTickMark val="out"/>
        <c:minorTickMark val="none"/>
        <c:tickLblPos val="nextTo"/>
        <c:crossAx val="126374656"/>
        <c:crosses val="autoZero"/>
        <c:crossBetween val="midCat"/>
      </c:valAx>
    </c:plotArea>
    <c:legend>
      <c:legendPos val="r"/>
      <c:overlay val="0"/>
    </c:legend>
    <c:plotVisOnly val="1"/>
    <c:dispBlanksAs val="gap"/>
    <c:showDLblsOverMax val="0"/>
  </c:chart>
  <c:printSettings>
    <c:headerFooter/>
    <c:pageMargins b="0.75" l="0.7" r="0.7" t="0.75" header="0.3" footer="0.3"/>
    <c:pageSetup/>
  </c:printSettings>
</c:chartSpace>
</file>

<file path=xl/charts/chart16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lotArea>
      <c:layout/>
      <c:scatterChart>
        <c:scatterStyle val="lineMarker"/>
        <c:varyColors val="0"/>
        <c:ser>
          <c:idx val="0"/>
          <c:order val="0"/>
          <c:tx>
            <c:v>MAI</c:v>
          </c:tx>
          <c:spPr>
            <a:ln w="28575">
              <a:noFill/>
            </a:ln>
          </c:spPr>
          <c:xVal>
            <c:numLit>
              <c:formatCode>General</c:formatCode>
              <c:ptCount val="5"/>
              <c:pt idx="0">
                <c:v>1</c:v>
              </c:pt>
              <c:pt idx="1">
                <c:v>2</c:v>
              </c:pt>
              <c:pt idx="2">
                <c:v>3</c:v>
              </c:pt>
              <c:pt idx="3">
                <c:v>4</c:v>
              </c:pt>
              <c:pt idx="4">
                <c:v>5</c:v>
              </c:pt>
            </c:numLit>
          </c:xVal>
          <c:yVal>
            <c:numLit>
              <c:formatCode>General</c:formatCode>
              <c:ptCount val="5"/>
              <c:pt idx="0">
                <c:v>0</c:v>
              </c:pt>
              <c:pt idx="1">
                <c:v>2.54</c:v>
              </c:pt>
              <c:pt idx="2">
                <c:v>6.7633333333333328</c:v>
              </c:pt>
              <c:pt idx="3">
                <c:v>0</c:v>
              </c:pt>
              <c:pt idx="4">
                <c:v>7.9779999999999998</c:v>
              </c:pt>
            </c:numLit>
          </c:yVal>
          <c:smooth val="0"/>
        </c:ser>
        <c:dLbls>
          <c:showLegendKey val="0"/>
          <c:showVal val="0"/>
          <c:showCatName val="0"/>
          <c:showSerName val="0"/>
          <c:showPercent val="0"/>
          <c:showBubbleSize val="0"/>
        </c:dLbls>
        <c:axId val="126388480"/>
        <c:axId val="126406656"/>
      </c:scatterChart>
      <c:valAx>
        <c:axId val="126388480"/>
        <c:scaling>
          <c:orientation val="minMax"/>
        </c:scaling>
        <c:delete val="0"/>
        <c:axPos val="b"/>
        <c:numFmt formatCode="General" sourceLinked="1"/>
        <c:majorTickMark val="out"/>
        <c:minorTickMark val="none"/>
        <c:tickLblPos val="nextTo"/>
        <c:crossAx val="126406656"/>
        <c:crosses val="autoZero"/>
        <c:crossBetween val="midCat"/>
      </c:valAx>
      <c:valAx>
        <c:axId val="126406656"/>
        <c:scaling>
          <c:orientation val="minMax"/>
        </c:scaling>
        <c:delete val="0"/>
        <c:axPos val="l"/>
        <c:majorGridlines/>
        <c:numFmt formatCode="General" sourceLinked="1"/>
        <c:majorTickMark val="out"/>
        <c:minorTickMark val="none"/>
        <c:tickLblPos val="nextTo"/>
        <c:crossAx val="126388480"/>
        <c:crosses val="autoZero"/>
        <c:crossBetween val="midCat"/>
      </c:valAx>
    </c:plotArea>
    <c:legend>
      <c:legendPos val="r"/>
      <c:overlay val="0"/>
    </c:legend>
    <c:plotVisOnly val="1"/>
    <c:dispBlanksAs val="gap"/>
    <c:showDLblsOverMax val="0"/>
  </c:chart>
  <c:printSettings>
    <c:headerFooter/>
    <c:pageMargins b="0.75" l="0.7" r="0.7" t="0.75" header="0.3" footer="0.3"/>
    <c:pageSetup/>
  </c:printSettings>
</c:chartSpace>
</file>

<file path=xl/charts/chart16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lotArea>
      <c:layout/>
      <c:scatterChart>
        <c:scatterStyle val="lineMarker"/>
        <c:varyColors val="0"/>
        <c:ser>
          <c:idx val="0"/>
          <c:order val="0"/>
          <c:tx>
            <c:v>MAI</c:v>
          </c:tx>
          <c:spPr>
            <a:ln w="28575">
              <a:noFill/>
            </a:ln>
          </c:spPr>
          <c:xVal>
            <c:numLit>
              <c:formatCode>General</c:formatCode>
              <c:ptCount val="5"/>
              <c:pt idx="0">
                <c:v>1</c:v>
              </c:pt>
              <c:pt idx="1">
                <c:v>2</c:v>
              </c:pt>
              <c:pt idx="2">
                <c:v>3</c:v>
              </c:pt>
              <c:pt idx="3">
                <c:v>4</c:v>
              </c:pt>
              <c:pt idx="4">
                <c:v>5</c:v>
              </c:pt>
            </c:numLit>
          </c:xVal>
          <c:yVal>
            <c:numLit>
              <c:formatCode>General</c:formatCode>
              <c:ptCount val="5"/>
              <c:pt idx="0">
                <c:v>0</c:v>
              </c:pt>
              <c:pt idx="1">
                <c:v>1.9694400000000001</c:v>
              </c:pt>
              <c:pt idx="2">
                <c:v>5.1947999999999999</c:v>
              </c:pt>
              <c:pt idx="3">
                <c:v>0</c:v>
              </c:pt>
              <c:pt idx="4">
                <c:v>6.6824399999999997</c:v>
              </c:pt>
            </c:numLit>
          </c:yVal>
          <c:smooth val="0"/>
        </c:ser>
        <c:dLbls>
          <c:showLegendKey val="0"/>
          <c:showVal val="0"/>
          <c:showCatName val="0"/>
          <c:showSerName val="0"/>
          <c:showPercent val="0"/>
          <c:showBubbleSize val="0"/>
        </c:dLbls>
        <c:axId val="126754816"/>
        <c:axId val="126756352"/>
      </c:scatterChart>
      <c:valAx>
        <c:axId val="126754816"/>
        <c:scaling>
          <c:orientation val="minMax"/>
        </c:scaling>
        <c:delete val="0"/>
        <c:axPos val="b"/>
        <c:numFmt formatCode="General" sourceLinked="1"/>
        <c:majorTickMark val="out"/>
        <c:minorTickMark val="none"/>
        <c:tickLblPos val="nextTo"/>
        <c:crossAx val="126756352"/>
        <c:crosses val="autoZero"/>
        <c:crossBetween val="midCat"/>
      </c:valAx>
      <c:valAx>
        <c:axId val="126756352"/>
        <c:scaling>
          <c:orientation val="minMax"/>
        </c:scaling>
        <c:delete val="0"/>
        <c:axPos val="l"/>
        <c:majorGridlines/>
        <c:numFmt formatCode="General" sourceLinked="1"/>
        <c:majorTickMark val="out"/>
        <c:minorTickMark val="none"/>
        <c:tickLblPos val="nextTo"/>
        <c:crossAx val="126754816"/>
        <c:crosses val="autoZero"/>
        <c:crossBetween val="midCat"/>
      </c:valAx>
    </c:plotArea>
    <c:legend>
      <c:legendPos val="r"/>
      <c:overlay val="0"/>
    </c:legend>
    <c:plotVisOnly val="1"/>
    <c:dispBlanksAs val="gap"/>
    <c:showDLblsOverMax val="0"/>
  </c:chart>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'Growth Pattern'!$CE$251</c:f>
              <c:strCache>
                <c:ptCount val="1"/>
                <c:pt idx="0">
                  <c:v>MAI</c:v>
                </c:pt>
              </c:strCache>
            </c:strRef>
          </c:tx>
          <c:val>
            <c:numRef>
              <c:f>'Growth Pattern'!$CE$252:$CE$255</c:f>
              <c:numCache>
                <c:formatCode>0.00</c:formatCode>
                <c:ptCount val="4"/>
                <c:pt idx="0">
                  <c:v>3.48</c:v>
                </c:pt>
                <c:pt idx="1">
                  <c:v>4.33</c:v>
                </c:pt>
                <c:pt idx="2">
                  <c:v>8.0366666666666671</c:v>
                </c:pt>
                <c:pt idx="3">
                  <c:v>11.095000000000001</c:v>
                </c:pt>
              </c:numCache>
            </c:numRef>
          </c:val>
          <c:smooth val="0"/>
        </c:ser>
        <c:ser>
          <c:idx val="1"/>
          <c:order val="1"/>
          <c:tx>
            <c:strRef>
              <c:f>'Growth Pattern'!$CF$251</c:f>
              <c:strCache>
                <c:ptCount val="1"/>
                <c:pt idx="0">
                  <c:v>CAI</c:v>
                </c:pt>
              </c:strCache>
            </c:strRef>
          </c:tx>
          <c:val>
            <c:numRef>
              <c:f>'Growth Pattern'!$CF$252:$CF$255</c:f>
              <c:numCache>
                <c:formatCode>0.00</c:formatCode>
                <c:ptCount val="4"/>
                <c:pt idx="0">
                  <c:v>3.48</c:v>
                </c:pt>
                <c:pt idx="1">
                  <c:v>5.18</c:v>
                </c:pt>
                <c:pt idx="2">
                  <c:v>15.45</c:v>
                </c:pt>
                <c:pt idx="3">
                  <c:v>20.270000000000003</c:v>
                </c:pt>
              </c:numCache>
            </c:numRef>
          </c:val>
          <c:smooth val="0"/>
        </c:ser>
        <c:dLbls>
          <c:showLegendKey val="0"/>
          <c:showVal val="0"/>
          <c:showCatName val="0"/>
          <c:showSerName val="0"/>
          <c:showPercent val="0"/>
          <c:showBubbleSize val="0"/>
        </c:dLbls>
        <c:marker val="1"/>
        <c:smooth val="0"/>
        <c:axId val="93763456"/>
        <c:axId val="93764992"/>
      </c:lineChart>
      <c:catAx>
        <c:axId val="93763456"/>
        <c:scaling>
          <c:orientation val="minMax"/>
        </c:scaling>
        <c:delete val="0"/>
        <c:axPos val="b"/>
        <c:majorTickMark val="out"/>
        <c:minorTickMark val="none"/>
        <c:tickLblPos val="nextTo"/>
        <c:crossAx val="93764992"/>
        <c:crosses val="autoZero"/>
        <c:auto val="1"/>
        <c:lblAlgn val="ctr"/>
        <c:lblOffset val="100"/>
        <c:noMultiLvlLbl val="0"/>
      </c:catAx>
      <c:valAx>
        <c:axId val="93764992"/>
        <c:scaling>
          <c:orientation val="minMax"/>
        </c:scaling>
        <c:delete val="0"/>
        <c:axPos val="l"/>
        <c:majorGridlines/>
        <c:numFmt formatCode="0.00" sourceLinked="1"/>
        <c:majorTickMark val="out"/>
        <c:minorTickMark val="none"/>
        <c:tickLblPos val="nextTo"/>
        <c:crossAx val="93763456"/>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7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lotArea>
      <c:layout/>
      <c:scatterChart>
        <c:scatterStyle val="lineMarker"/>
        <c:varyColors val="0"/>
        <c:ser>
          <c:idx val="0"/>
          <c:order val="0"/>
          <c:tx>
            <c:v>MAI</c:v>
          </c:tx>
          <c:spPr>
            <a:ln w="28575">
              <a:noFill/>
            </a:ln>
          </c:spPr>
          <c:xVal>
            <c:numLit>
              <c:formatCode>General</c:formatCode>
              <c:ptCount val="5"/>
              <c:pt idx="0">
                <c:v>1</c:v>
              </c:pt>
              <c:pt idx="1">
                <c:v>2</c:v>
              </c:pt>
              <c:pt idx="2">
                <c:v>3</c:v>
              </c:pt>
              <c:pt idx="3">
                <c:v>4</c:v>
              </c:pt>
              <c:pt idx="4">
                <c:v>5</c:v>
              </c:pt>
            </c:numLit>
          </c:xVal>
          <c:yVal>
            <c:numLit>
              <c:formatCode>General</c:formatCode>
              <c:ptCount val="5"/>
              <c:pt idx="0">
                <c:v>0</c:v>
              </c:pt>
              <c:pt idx="1">
                <c:v>6.8815</c:v>
              </c:pt>
              <c:pt idx="2">
                <c:v>11.812433333333333</c:v>
              </c:pt>
              <c:pt idx="3">
                <c:v>0</c:v>
              </c:pt>
              <c:pt idx="4">
                <c:v>13.18732</c:v>
              </c:pt>
            </c:numLit>
          </c:yVal>
          <c:smooth val="0"/>
        </c:ser>
        <c:dLbls>
          <c:showLegendKey val="0"/>
          <c:showVal val="0"/>
          <c:showCatName val="0"/>
          <c:showSerName val="0"/>
          <c:showPercent val="0"/>
          <c:showBubbleSize val="0"/>
        </c:dLbls>
        <c:axId val="126772736"/>
        <c:axId val="126774272"/>
      </c:scatterChart>
      <c:valAx>
        <c:axId val="126772736"/>
        <c:scaling>
          <c:orientation val="minMax"/>
        </c:scaling>
        <c:delete val="0"/>
        <c:axPos val="b"/>
        <c:numFmt formatCode="General" sourceLinked="1"/>
        <c:majorTickMark val="out"/>
        <c:minorTickMark val="none"/>
        <c:tickLblPos val="nextTo"/>
        <c:crossAx val="126774272"/>
        <c:crosses val="autoZero"/>
        <c:crossBetween val="midCat"/>
      </c:valAx>
      <c:valAx>
        <c:axId val="126774272"/>
        <c:scaling>
          <c:orientation val="minMax"/>
        </c:scaling>
        <c:delete val="0"/>
        <c:axPos val="l"/>
        <c:majorGridlines/>
        <c:numFmt formatCode="General" sourceLinked="1"/>
        <c:majorTickMark val="out"/>
        <c:minorTickMark val="none"/>
        <c:tickLblPos val="nextTo"/>
        <c:crossAx val="126772736"/>
        <c:crosses val="autoZero"/>
        <c:crossBetween val="midCat"/>
      </c:valAx>
    </c:plotArea>
    <c:legend>
      <c:legendPos val="r"/>
      <c:overlay val="0"/>
    </c:legend>
    <c:plotVisOnly val="1"/>
    <c:dispBlanksAs val="gap"/>
    <c:showDLblsOverMax val="0"/>
  </c:chart>
  <c:printSettings>
    <c:headerFooter/>
    <c:pageMargins b="0.75" l="0.7" r="0.7" t="0.75" header="0.3" footer="0.3"/>
    <c:pageSetup/>
  </c:printSettings>
</c:chartSpace>
</file>

<file path=xl/charts/chart17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lotArea>
      <c:layout/>
      <c:scatterChart>
        <c:scatterStyle val="lineMarker"/>
        <c:varyColors val="0"/>
        <c:ser>
          <c:idx val="0"/>
          <c:order val="0"/>
          <c:tx>
            <c:v>MAI</c:v>
          </c:tx>
          <c:spPr>
            <a:ln w="28575">
              <a:noFill/>
            </a:ln>
          </c:spPr>
          <c:xVal>
            <c:numLit>
              <c:formatCode>General</c:formatCode>
              <c:ptCount val="5"/>
              <c:pt idx="0">
                <c:v>1</c:v>
              </c:pt>
              <c:pt idx="1">
                <c:v>2</c:v>
              </c:pt>
              <c:pt idx="2">
                <c:v>3</c:v>
              </c:pt>
              <c:pt idx="3">
                <c:v>4</c:v>
              </c:pt>
              <c:pt idx="4">
                <c:v>5</c:v>
              </c:pt>
            </c:numLit>
          </c:xVal>
          <c:yVal>
            <c:numLit>
              <c:formatCode>General</c:formatCode>
              <c:ptCount val="5"/>
              <c:pt idx="0">
                <c:v>0</c:v>
              </c:pt>
              <c:pt idx="1">
                <c:v>4.8498349999999997</c:v>
              </c:pt>
              <c:pt idx="2">
                <c:v>7.8797333333333333</c:v>
              </c:pt>
              <c:pt idx="3">
                <c:v>0</c:v>
              </c:pt>
              <c:pt idx="4">
                <c:v>8.1794399999999996</c:v>
              </c:pt>
            </c:numLit>
          </c:yVal>
          <c:smooth val="0"/>
        </c:ser>
        <c:dLbls>
          <c:showLegendKey val="0"/>
          <c:showVal val="0"/>
          <c:showCatName val="0"/>
          <c:showSerName val="0"/>
          <c:showPercent val="0"/>
          <c:showBubbleSize val="0"/>
        </c:dLbls>
        <c:axId val="126802944"/>
        <c:axId val="126493440"/>
      </c:scatterChart>
      <c:valAx>
        <c:axId val="126802944"/>
        <c:scaling>
          <c:orientation val="minMax"/>
        </c:scaling>
        <c:delete val="0"/>
        <c:axPos val="b"/>
        <c:numFmt formatCode="General" sourceLinked="1"/>
        <c:majorTickMark val="out"/>
        <c:minorTickMark val="none"/>
        <c:tickLblPos val="nextTo"/>
        <c:crossAx val="126493440"/>
        <c:crosses val="autoZero"/>
        <c:crossBetween val="midCat"/>
      </c:valAx>
      <c:valAx>
        <c:axId val="126493440"/>
        <c:scaling>
          <c:orientation val="minMax"/>
        </c:scaling>
        <c:delete val="0"/>
        <c:axPos val="l"/>
        <c:majorGridlines/>
        <c:numFmt formatCode="General" sourceLinked="1"/>
        <c:majorTickMark val="out"/>
        <c:minorTickMark val="none"/>
        <c:tickLblPos val="nextTo"/>
        <c:crossAx val="126802944"/>
        <c:crosses val="autoZero"/>
        <c:crossBetween val="midCat"/>
      </c:valAx>
    </c:plotArea>
    <c:legend>
      <c:legendPos val="r"/>
      <c:overlay val="0"/>
    </c:legend>
    <c:plotVisOnly val="1"/>
    <c:dispBlanksAs val="gap"/>
    <c:showDLblsOverMax val="0"/>
  </c:chart>
  <c:printSettings>
    <c:headerFooter/>
    <c:pageMargins b="0.75" l="0.7" r="0.7" t="0.75" header="0.3" footer="0.3"/>
    <c:pageSetup/>
  </c:printSettings>
</c:chartSpace>
</file>

<file path=xl/charts/chart17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lotArea>
      <c:layout/>
      <c:scatterChart>
        <c:scatterStyle val="lineMarker"/>
        <c:varyColors val="0"/>
        <c:ser>
          <c:idx val="0"/>
          <c:order val="0"/>
          <c:tx>
            <c:v>MAI</c:v>
          </c:tx>
          <c:spPr>
            <a:ln w="28575">
              <a:noFill/>
            </a:ln>
          </c:spPr>
          <c:xVal>
            <c:numLit>
              <c:formatCode>General</c:formatCode>
              <c:ptCount val="5"/>
              <c:pt idx="0">
                <c:v>1</c:v>
              </c:pt>
              <c:pt idx="1">
                <c:v>2</c:v>
              </c:pt>
              <c:pt idx="2">
                <c:v>3</c:v>
              </c:pt>
              <c:pt idx="3">
                <c:v>4</c:v>
              </c:pt>
              <c:pt idx="4">
                <c:v>5</c:v>
              </c:pt>
            </c:numLit>
          </c:xVal>
          <c:yVal>
            <c:numLit>
              <c:formatCode>General</c:formatCode>
              <c:ptCount val="5"/>
              <c:pt idx="0">
                <c:v>0</c:v>
              </c:pt>
              <c:pt idx="1">
                <c:v>3.1452049999999998</c:v>
              </c:pt>
              <c:pt idx="2">
                <c:v>6.0005333333333333</c:v>
              </c:pt>
              <c:pt idx="3">
                <c:v>0</c:v>
              </c:pt>
              <c:pt idx="4">
                <c:v>7.4718800000000005</c:v>
              </c:pt>
            </c:numLit>
          </c:yVal>
          <c:smooth val="0"/>
        </c:ser>
        <c:dLbls>
          <c:showLegendKey val="0"/>
          <c:showVal val="0"/>
          <c:showCatName val="0"/>
          <c:showSerName val="0"/>
          <c:showPercent val="0"/>
          <c:showBubbleSize val="0"/>
        </c:dLbls>
        <c:axId val="126526208"/>
        <c:axId val="126527744"/>
      </c:scatterChart>
      <c:valAx>
        <c:axId val="126526208"/>
        <c:scaling>
          <c:orientation val="minMax"/>
        </c:scaling>
        <c:delete val="0"/>
        <c:axPos val="b"/>
        <c:numFmt formatCode="General" sourceLinked="1"/>
        <c:majorTickMark val="out"/>
        <c:minorTickMark val="none"/>
        <c:tickLblPos val="nextTo"/>
        <c:crossAx val="126527744"/>
        <c:crosses val="autoZero"/>
        <c:crossBetween val="midCat"/>
      </c:valAx>
      <c:valAx>
        <c:axId val="126527744"/>
        <c:scaling>
          <c:orientation val="minMax"/>
        </c:scaling>
        <c:delete val="0"/>
        <c:axPos val="l"/>
        <c:majorGridlines/>
        <c:numFmt formatCode="General" sourceLinked="1"/>
        <c:majorTickMark val="out"/>
        <c:minorTickMark val="none"/>
        <c:tickLblPos val="nextTo"/>
        <c:crossAx val="126526208"/>
        <c:crosses val="autoZero"/>
        <c:crossBetween val="midCat"/>
      </c:valAx>
    </c:plotArea>
    <c:legend>
      <c:legendPos val="r"/>
      <c:overlay val="0"/>
    </c:legend>
    <c:plotVisOnly val="1"/>
    <c:dispBlanksAs val="gap"/>
    <c:showDLblsOverMax val="0"/>
  </c:chart>
  <c:printSettings>
    <c:headerFooter/>
    <c:pageMargins b="0.75" l="0.7" r="0.7" t="0.75" header="0.3" footer="0.3"/>
    <c:pageSetup/>
  </c:printSettings>
</c:chartSpace>
</file>

<file path=xl/charts/chart17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lotArea>
      <c:layout/>
      <c:scatterChart>
        <c:scatterStyle val="lineMarker"/>
        <c:varyColors val="0"/>
        <c:ser>
          <c:idx val="0"/>
          <c:order val="0"/>
          <c:tx>
            <c:v>MAI</c:v>
          </c:tx>
          <c:spPr>
            <a:ln w="28575">
              <a:noFill/>
            </a:ln>
          </c:spPr>
          <c:xVal>
            <c:numLit>
              <c:formatCode>General</c:formatCode>
              <c:ptCount val="5"/>
              <c:pt idx="0">
                <c:v>1</c:v>
              </c:pt>
              <c:pt idx="1">
                <c:v>2</c:v>
              </c:pt>
              <c:pt idx="2">
                <c:v>3</c:v>
              </c:pt>
              <c:pt idx="3">
                <c:v>4</c:v>
              </c:pt>
              <c:pt idx="4">
                <c:v>5</c:v>
              </c:pt>
            </c:numLit>
          </c:xVal>
          <c:yVal>
            <c:numLit>
              <c:formatCode>General</c:formatCode>
              <c:ptCount val="5"/>
              <c:pt idx="0">
                <c:v>0</c:v>
              </c:pt>
              <c:pt idx="1">
                <c:v>2.2270349999999999</c:v>
              </c:pt>
              <c:pt idx="2">
                <c:v>3.9906999999999999</c:v>
              </c:pt>
              <c:pt idx="3">
                <c:v>0</c:v>
              </c:pt>
              <c:pt idx="4">
                <c:v>4.8495800000000004</c:v>
              </c:pt>
            </c:numLit>
          </c:yVal>
          <c:smooth val="0"/>
        </c:ser>
        <c:dLbls>
          <c:showLegendKey val="0"/>
          <c:showVal val="0"/>
          <c:showCatName val="0"/>
          <c:showSerName val="0"/>
          <c:showPercent val="0"/>
          <c:showBubbleSize val="0"/>
        </c:dLbls>
        <c:axId val="126540032"/>
        <c:axId val="126554112"/>
      </c:scatterChart>
      <c:valAx>
        <c:axId val="126540032"/>
        <c:scaling>
          <c:orientation val="minMax"/>
        </c:scaling>
        <c:delete val="0"/>
        <c:axPos val="b"/>
        <c:numFmt formatCode="General" sourceLinked="1"/>
        <c:majorTickMark val="out"/>
        <c:minorTickMark val="none"/>
        <c:tickLblPos val="nextTo"/>
        <c:crossAx val="126554112"/>
        <c:crosses val="autoZero"/>
        <c:crossBetween val="midCat"/>
      </c:valAx>
      <c:valAx>
        <c:axId val="126554112"/>
        <c:scaling>
          <c:orientation val="minMax"/>
        </c:scaling>
        <c:delete val="0"/>
        <c:axPos val="l"/>
        <c:majorGridlines/>
        <c:numFmt formatCode="General" sourceLinked="1"/>
        <c:majorTickMark val="out"/>
        <c:minorTickMark val="none"/>
        <c:tickLblPos val="nextTo"/>
        <c:crossAx val="126540032"/>
        <c:crosses val="autoZero"/>
        <c:crossBetween val="midCat"/>
      </c:valAx>
    </c:plotArea>
    <c:legend>
      <c:legendPos val="r"/>
      <c:overlay val="0"/>
    </c:legend>
    <c:plotVisOnly val="1"/>
    <c:dispBlanksAs val="gap"/>
    <c:showDLblsOverMax val="0"/>
  </c:chart>
  <c:printSettings>
    <c:headerFooter/>
    <c:pageMargins b="0.75" l="0.7" r="0.7" t="0.75" header="0.3" footer="0.3"/>
    <c:pageSetup/>
  </c:printSettings>
</c:chartSpace>
</file>

<file path=xl/charts/chart17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v>MAI</c:v>
          </c:tx>
          <c:cat>
            <c:numLit>
              <c:formatCode>General</c:formatCode>
              <c:ptCount val="10"/>
              <c:pt idx="0">
                <c:v>2</c:v>
              </c:pt>
              <c:pt idx="1">
                <c:v>3</c:v>
              </c:pt>
              <c:pt idx="2">
                <c:v>4</c:v>
              </c:pt>
              <c:pt idx="3">
                <c:v>5</c:v>
              </c:pt>
              <c:pt idx="4">
                <c:v>6</c:v>
              </c:pt>
              <c:pt idx="5">
                <c:v>7</c:v>
              </c:pt>
              <c:pt idx="6">
                <c:v>8</c:v>
              </c:pt>
              <c:pt idx="7">
                <c:v>9</c:v>
              </c:pt>
              <c:pt idx="8">
                <c:v>10</c:v>
              </c:pt>
              <c:pt idx="9">
                <c:v>11</c:v>
              </c:pt>
            </c:numLit>
          </c:cat>
          <c:val>
            <c:numLit>
              <c:formatCode>General</c:formatCode>
              <c:ptCount val="10"/>
              <c:pt idx="0">
                <c:v>2.7941176470588234</c:v>
              </c:pt>
              <c:pt idx="1">
                <c:v>5.4509803921568629</c:v>
              </c:pt>
              <c:pt idx="2">
                <c:v>11.333333333333334</c:v>
              </c:pt>
              <c:pt idx="3">
                <c:v>11.775757575757575</c:v>
              </c:pt>
              <c:pt idx="4">
                <c:v>14.005050505050505</c:v>
              </c:pt>
              <c:pt idx="5">
                <c:v>15.869387755102041</c:v>
              </c:pt>
              <c:pt idx="6">
                <c:v>16.009999999999998</c:v>
              </c:pt>
              <c:pt idx="7">
                <c:v>16.140646976090011</c:v>
              </c:pt>
              <c:pt idx="8">
                <c:v>17.373170731707319</c:v>
              </c:pt>
              <c:pt idx="9">
                <c:v>18.376940133037696</c:v>
              </c:pt>
            </c:numLit>
          </c:val>
          <c:smooth val="0"/>
        </c:ser>
        <c:ser>
          <c:idx val="1"/>
          <c:order val="1"/>
          <c:tx>
            <c:v>CAI</c:v>
          </c:tx>
          <c:cat>
            <c:numLit>
              <c:formatCode>General</c:formatCode>
              <c:ptCount val="10"/>
              <c:pt idx="0">
                <c:v>2</c:v>
              </c:pt>
              <c:pt idx="1">
                <c:v>3</c:v>
              </c:pt>
              <c:pt idx="2">
                <c:v>4</c:v>
              </c:pt>
              <c:pt idx="3">
                <c:v>5</c:v>
              </c:pt>
              <c:pt idx="4">
                <c:v>6</c:v>
              </c:pt>
              <c:pt idx="5">
                <c:v>7</c:v>
              </c:pt>
              <c:pt idx="6">
                <c:v>8</c:v>
              </c:pt>
              <c:pt idx="7">
                <c:v>9</c:v>
              </c:pt>
              <c:pt idx="8">
                <c:v>10</c:v>
              </c:pt>
              <c:pt idx="9">
                <c:v>11</c:v>
              </c:pt>
            </c:numLit>
          </c:cat>
          <c:val>
            <c:numLit>
              <c:formatCode>General</c:formatCode>
              <c:ptCount val="10"/>
              <c:pt idx="0">
                <c:v>5.5882352941176467</c:v>
              </c:pt>
              <c:pt idx="1">
                <c:v>10.76470588235294</c:v>
              </c:pt>
              <c:pt idx="2">
                <c:v>33.75</c:v>
              </c:pt>
              <c:pt idx="3">
                <c:v>25.90909090909091</c:v>
              </c:pt>
              <c:pt idx="4">
                <c:v>25.151515151515152</c:v>
              </c:pt>
              <c:pt idx="5">
                <c:v>31.857142857142858</c:v>
              </c:pt>
              <c:pt idx="6">
                <c:v>24.4</c:v>
              </c:pt>
              <c:pt idx="7">
                <c:v>23.670886075949365</c:v>
              </c:pt>
              <c:pt idx="8">
                <c:v>33.780487804878049</c:v>
              </c:pt>
              <c:pt idx="9">
                <c:v>28.414634146341463</c:v>
              </c:pt>
            </c:numLit>
          </c:val>
          <c:smooth val="0"/>
        </c:ser>
        <c:dLbls>
          <c:showLegendKey val="0"/>
          <c:showVal val="0"/>
          <c:showCatName val="0"/>
          <c:showSerName val="0"/>
          <c:showPercent val="0"/>
          <c:showBubbleSize val="0"/>
        </c:dLbls>
        <c:marker val="1"/>
        <c:smooth val="0"/>
        <c:axId val="126571264"/>
        <c:axId val="126572800"/>
      </c:lineChart>
      <c:catAx>
        <c:axId val="126571264"/>
        <c:scaling>
          <c:orientation val="minMax"/>
        </c:scaling>
        <c:delete val="0"/>
        <c:axPos val="b"/>
        <c:numFmt formatCode="General" sourceLinked="1"/>
        <c:majorTickMark val="out"/>
        <c:minorTickMark val="none"/>
        <c:tickLblPos val="nextTo"/>
        <c:crossAx val="126572800"/>
        <c:crosses val="autoZero"/>
        <c:auto val="1"/>
        <c:lblAlgn val="ctr"/>
        <c:lblOffset val="100"/>
        <c:noMultiLvlLbl val="0"/>
      </c:catAx>
      <c:valAx>
        <c:axId val="126572800"/>
        <c:scaling>
          <c:orientation val="minMax"/>
        </c:scaling>
        <c:delete val="0"/>
        <c:axPos val="l"/>
        <c:majorGridlines/>
        <c:numFmt formatCode="General" sourceLinked="1"/>
        <c:majorTickMark val="out"/>
        <c:minorTickMark val="none"/>
        <c:tickLblPos val="nextTo"/>
        <c:crossAx val="126571264"/>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7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v>0</c:v>
          </c:tx>
          <c:cat>
            <c:numLit>
              <c:formatCode>General</c:formatCode>
              <c:ptCount val="10"/>
              <c:pt idx="0">
                <c:v>2</c:v>
              </c:pt>
              <c:pt idx="1">
                <c:v>3</c:v>
              </c:pt>
              <c:pt idx="2">
                <c:v>4</c:v>
              </c:pt>
              <c:pt idx="3">
                <c:v>5</c:v>
              </c:pt>
              <c:pt idx="4">
                <c:v>6</c:v>
              </c:pt>
              <c:pt idx="5">
                <c:v>7</c:v>
              </c:pt>
              <c:pt idx="6">
                <c:v>8</c:v>
              </c:pt>
              <c:pt idx="7">
                <c:v>9</c:v>
              </c:pt>
              <c:pt idx="8">
                <c:v>10</c:v>
              </c:pt>
              <c:pt idx="9">
                <c:v>11</c:v>
              </c:pt>
            </c:numLit>
          </c:cat>
          <c:val>
            <c:numLit>
              <c:formatCode>General</c:formatCode>
              <c:ptCount val="10"/>
              <c:pt idx="0">
                <c:v>2.7941176470588234</c:v>
              </c:pt>
              <c:pt idx="1">
                <c:v>5.4509803921568629</c:v>
              </c:pt>
              <c:pt idx="2">
                <c:v>8.78125</c:v>
              </c:pt>
              <c:pt idx="3">
                <c:v>10.251515151515152</c:v>
              </c:pt>
              <c:pt idx="4">
                <c:v>11.118686868686869</c:v>
              </c:pt>
              <c:pt idx="5">
                <c:v>14.312244897959184</c:v>
              </c:pt>
              <c:pt idx="6">
                <c:v>15.704999999999998</c:v>
              </c:pt>
              <c:pt idx="7">
                <c:v>16.080168776371305</c:v>
              </c:pt>
              <c:pt idx="8">
                <c:v>17.625609756097557</c:v>
              </c:pt>
              <c:pt idx="9">
                <c:v>19.160753880266075</c:v>
              </c:pt>
            </c:numLit>
          </c:val>
          <c:smooth val="0"/>
        </c:ser>
        <c:ser>
          <c:idx val="1"/>
          <c:order val="1"/>
          <c:tx>
            <c:v>0</c:v>
          </c:tx>
          <c:cat>
            <c:numLit>
              <c:formatCode>General</c:formatCode>
              <c:ptCount val="10"/>
              <c:pt idx="0">
                <c:v>2</c:v>
              </c:pt>
              <c:pt idx="1">
                <c:v>3</c:v>
              </c:pt>
              <c:pt idx="2">
                <c:v>4</c:v>
              </c:pt>
              <c:pt idx="3">
                <c:v>5</c:v>
              </c:pt>
              <c:pt idx="4">
                <c:v>6</c:v>
              </c:pt>
              <c:pt idx="5">
                <c:v>7</c:v>
              </c:pt>
              <c:pt idx="6">
                <c:v>8</c:v>
              </c:pt>
              <c:pt idx="7">
                <c:v>9</c:v>
              </c:pt>
              <c:pt idx="8">
                <c:v>10</c:v>
              </c:pt>
              <c:pt idx="9">
                <c:v>11</c:v>
              </c:pt>
            </c:numLit>
          </c:cat>
          <c:val>
            <c:numLit>
              <c:formatCode>General</c:formatCode>
              <c:ptCount val="10"/>
              <c:pt idx="0">
                <c:v>1.4705882352941175</c:v>
              </c:pt>
              <c:pt idx="1">
                <c:v>10.76470588235294</c:v>
              </c:pt>
              <c:pt idx="2">
                <c:v>23.541666666666671</c:v>
              </c:pt>
              <c:pt idx="3">
                <c:v>25.712121212121211</c:v>
              </c:pt>
              <c:pt idx="4">
                <c:v>15.454545454545453</c:v>
              </c:pt>
              <c:pt idx="5">
                <c:v>37.285714285714292</c:v>
              </c:pt>
              <c:pt idx="6">
                <c:v>32.133333333333333</c:v>
              </c:pt>
              <c:pt idx="7">
                <c:v>25.443037974683545</c:v>
              </c:pt>
              <c:pt idx="8">
                <c:v>36.829268292682926</c:v>
              </c:pt>
              <c:pt idx="9">
                <c:v>34.512195121951223</c:v>
              </c:pt>
            </c:numLit>
          </c:val>
          <c:smooth val="0"/>
        </c:ser>
        <c:dLbls>
          <c:showLegendKey val="0"/>
          <c:showVal val="0"/>
          <c:showCatName val="0"/>
          <c:showSerName val="0"/>
          <c:showPercent val="0"/>
          <c:showBubbleSize val="0"/>
        </c:dLbls>
        <c:marker val="1"/>
        <c:smooth val="0"/>
        <c:axId val="126589568"/>
        <c:axId val="126611840"/>
      </c:lineChart>
      <c:catAx>
        <c:axId val="126589568"/>
        <c:scaling>
          <c:orientation val="minMax"/>
        </c:scaling>
        <c:delete val="0"/>
        <c:axPos val="b"/>
        <c:numFmt formatCode="General" sourceLinked="1"/>
        <c:majorTickMark val="out"/>
        <c:minorTickMark val="none"/>
        <c:tickLblPos val="nextTo"/>
        <c:crossAx val="126611840"/>
        <c:crosses val="autoZero"/>
        <c:auto val="1"/>
        <c:lblAlgn val="ctr"/>
        <c:lblOffset val="100"/>
        <c:noMultiLvlLbl val="0"/>
      </c:catAx>
      <c:valAx>
        <c:axId val="126611840"/>
        <c:scaling>
          <c:orientation val="minMax"/>
        </c:scaling>
        <c:delete val="0"/>
        <c:axPos val="l"/>
        <c:majorGridlines/>
        <c:numFmt formatCode="General" sourceLinked="1"/>
        <c:majorTickMark val="out"/>
        <c:minorTickMark val="none"/>
        <c:tickLblPos val="nextTo"/>
        <c:crossAx val="126589568"/>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7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v>0</c:v>
          </c:tx>
          <c:cat>
            <c:numLit>
              <c:formatCode>General</c:formatCode>
              <c:ptCount val="10"/>
              <c:pt idx="0">
                <c:v>2</c:v>
              </c:pt>
              <c:pt idx="1">
                <c:v>3</c:v>
              </c:pt>
              <c:pt idx="2">
                <c:v>4</c:v>
              </c:pt>
              <c:pt idx="3">
                <c:v>5</c:v>
              </c:pt>
              <c:pt idx="4">
                <c:v>6</c:v>
              </c:pt>
              <c:pt idx="5">
                <c:v>7</c:v>
              </c:pt>
              <c:pt idx="6">
                <c:v>8</c:v>
              </c:pt>
              <c:pt idx="7">
                <c:v>9</c:v>
              </c:pt>
              <c:pt idx="8">
                <c:v>10</c:v>
              </c:pt>
              <c:pt idx="9">
                <c:v>11</c:v>
              </c:pt>
            </c:numLit>
          </c:cat>
          <c:val>
            <c:numLit>
              <c:formatCode>General</c:formatCode>
              <c:ptCount val="10"/>
              <c:pt idx="0">
                <c:v>2.7142857142857144</c:v>
              </c:pt>
              <c:pt idx="1">
                <c:v>5.295238095238096</c:v>
              </c:pt>
              <c:pt idx="2">
                <c:v>8.7291666666666661</c:v>
              </c:pt>
              <c:pt idx="3">
                <c:v>8.7569230769230764</c:v>
              </c:pt>
              <c:pt idx="4">
                <c:v>9.712121212121211</c:v>
              </c:pt>
              <c:pt idx="5">
                <c:v>11.808163265306121</c:v>
              </c:pt>
              <c:pt idx="6">
                <c:v>13.009999999999998</c:v>
              </c:pt>
              <c:pt idx="7">
                <c:v>13.763713080168774</c:v>
              </c:pt>
              <c:pt idx="8">
                <c:v>14.726829268292681</c:v>
              </c:pt>
              <c:pt idx="9">
                <c:v>16.126385809312634</c:v>
              </c:pt>
            </c:numLit>
          </c:val>
          <c:smooth val="0"/>
        </c:ser>
        <c:ser>
          <c:idx val="1"/>
          <c:order val="1"/>
          <c:tx>
            <c:v>0</c:v>
          </c:tx>
          <c:cat>
            <c:numLit>
              <c:formatCode>General</c:formatCode>
              <c:ptCount val="10"/>
              <c:pt idx="0">
                <c:v>2</c:v>
              </c:pt>
              <c:pt idx="1">
                <c:v>3</c:v>
              </c:pt>
              <c:pt idx="2">
                <c:v>4</c:v>
              </c:pt>
              <c:pt idx="3">
                <c:v>5</c:v>
              </c:pt>
              <c:pt idx="4">
                <c:v>6</c:v>
              </c:pt>
              <c:pt idx="5">
                <c:v>7</c:v>
              </c:pt>
              <c:pt idx="6">
                <c:v>8</c:v>
              </c:pt>
              <c:pt idx="7">
                <c:v>9</c:v>
              </c:pt>
              <c:pt idx="8">
                <c:v>10</c:v>
              </c:pt>
              <c:pt idx="9">
                <c:v>11</c:v>
              </c:pt>
            </c:numLit>
          </c:cat>
          <c:val>
            <c:numLit>
              <c:formatCode>General</c:formatCode>
              <c:ptCount val="10"/>
              <c:pt idx="0">
                <c:v>1.4285714285714286</c:v>
              </c:pt>
              <c:pt idx="1">
                <c:v>10.457142857142857</c:v>
              </c:pt>
              <c:pt idx="2">
                <c:v>23.333333333333332</c:v>
              </c:pt>
              <c:pt idx="3">
                <c:v>17.999999999999996</c:v>
              </c:pt>
              <c:pt idx="4">
                <c:v>15.151515151515152</c:v>
              </c:pt>
              <c:pt idx="5">
                <c:v>27.714285714285712</c:v>
              </c:pt>
              <c:pt idx="6">
                <c:v>26.93333333333333</c:v>
              </c:pt>
              <c:pt idx="7">
                <c:v>25.063291139240505</c:v>
              </c:pt>
              <c:pt idx="8">
                <c:v>27.926829268292682</c:v>
              </c:pt>
              <c:pt idx="9">
                <c:v>30.121951219512194</c:v>
              </c:pt>
            </c:numLit>
          </c:val>
          <c:smooth val="0"/>
        </c:ser>
        <c:dLbls>
          <c:showLegendKey val="0"/>
          <c:showVal val="0"/>
          <c:showCatName val="0"/>
          <c:showSerName val="0"/>
          <c:showPercent val="0"/>
          <c:showBubbleSize val="0"/>
        </c:dLbls>
        <c:marker val="1"/>
        <c:smooth val="0"/>
        <c:axId val="126706432"/>
        <c:axId val="126707968"/>
      </c:lineChart>
      <c:catAx>
        <c:axId val="126706432"/>
        <c:scaling>
          <c:orientation val="minMax"/>
        </c:scaling>
        <c:delete val="0"/>
        <c:axPos val="b"/>
        <c:numFmt formatCode="General" sourceLinked="1"/>
        <c:majorTickMark val="out"/>
        <c:minorTickMark val="none"/>
        <c:tickLblPos val="nextTo"/>
        <c:crossAx val="126707968"/>
        <c:crosses val="autoZero"/>
        <c:auto val="1"/>
        <c:lblAlgn val="ctr"/>
        <c:lblOffset val="100"/>
        <c:noMultiLvlLbl val="0"/>
      </c:catAx>
      <c:valAx>
        <c:axId val="126707968"/>
        <c:scaling>
          <c:orientation val="minMax"/>
        </c:scaling>
        <c:delete val="0"/>
        <c:axPos val="l"/>
        <c:majorGridlines/>
        <c:numFmt formatCode="General" sourceLinked="1"/>
        <c:majorTickMark val="out"/>
        <c:minorTickMark val="none"/>
        <c:tickLblPos val="nextTo"/>
        <c:crossAx val="126706432"/>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7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v>0</c:v>
          </c:tx>
          <c:val>
            <c:numLit>
              <c:formatCode>General</c:formatCode>
              <c:ptCount val="10"/>
              <c:pt idx="0">
                <c:v>2.6388888888888888</c:v>
              </c:pt>
              <c:pt idx="1">
                <c:v>4.3796296296296298</c:v>
              </c:pt>
              <c:pt idx="2">
                <c:v>5.6020408163265314</c:v>
              </c:pt>
              <c:pt idx="3">
                <c:v>5.9343750000000011</c:v>
              </c:pt>
              <c:pt idx="4">
                <c:v>5.9333333333333327</c:v>
              </c:pt>
              <c:pt idx="5">
                <c:v>7.8550724637681171</c:v>
              </c:pt>
              <c:pt idx="6">
                <c:v>9.0035211267605639</c:v>
              </c:pt>
              <c:pt idx="7">
                <c:v>9.872592592592591</c:v>
              </c:pt>
              <c:pt idx="8">
                <c:v>10.436450839328538</c:v>
              </c:pt>
              <c:pt idx="9">
                <c:v>11.71135818617833</c:v>
              </c:pt>
            </c:numLit>
          </c:val>
          <c:smooth val="0"/>
        </c:ser>
        <c:ser>
          <c:idx val="1"/>
          <c:order val="1"/>
          <c:tx>
            <c:v>0</c:v>
          </c:tx>
          <c:val>
            <c:numLit>
              <c:formatCode>General</c:formatCode>
              <c:ptCount val="10"/>
              <c:pt idx="0">
                <c:v>1.3888888888888888</c:v>
              </c:pt>
              <c:pt idx="1">
                <c:v>7.8611111111111107</c:v>
              </c:pt>
              <c:pt idx="2">
                <c:v>12.771428571428572</c:v>
              </c:pt>
              <c:pt idx="3">
                <c:v>12.515625</c:v>
              </c:pt>
              <c:pt idx="4">
                <c:v>6.384615384615385</c:v>
              </c:pt>
              <c:pt idx="5">
                <c:v>21.449275362318843</c:v>
              </c:pt>
              <c:pt idx="6">
                <c:v>18.591549295774648</c:v>
              </c:pt>
              <c:pt idx="7">
                <c:v>20.666666666666664</c:v>
              </c:pt>
              <c:pt idx="8">
                <c:v>24.46043165467626</c:v>
              </c:pt>
              <c:pt idx="9">
                <c:v>24.46043165467626</c:v>
              </c:pt>
            </c:numLit>
          </c:val>
          <c:smooth val="0"/>
        </c:ser>
        <c:dLbls>
          <c:showLegendKey val="0"/>
          <c:showVal val="0"/>
          <c:showCatName val="0"/>
          <c:showSerName val="0"/>
          <c:showPercent val="0"/>
          <c:showBubbleSize val="0"/>
        </c:dLbls>
        <c:marker val="1"/>
        <c:smooth val="0"/>
        <c:axId val="126737024"/>
        <c:axId val="126738816"/>
      </c:lineChart>
      <c:catAx>
        <c:axId val="126737024"/>
        <c:scaling>
          <c:orientation val="minMax"/>
        </c:scaling>
        <c:delete val="0"/>
        <c:axPos val="b"/>
        <c:majorTickMark val="out"/>
        <c:minorTickMark val="none"/>
        <c:tickLblPos val="nextTo"/>
        <c:crossAx val="126738816"/>
        <c:crosses val="autoZero"/>
        <c:auto val="1"/>
        <c:lblAlgn val="ctr"/>
        <c:lblOffset val="100"/>
        <c:noMultiLvlLbl val="0"/>
      </c:catAx>
      <c:valAx>
        <c:axId val="126738816"/>
        <c:scaling>
          <c:orientation val="minMax"/>
        </c:scaling>
        <c:delete val="0"/>
        <c:axPos val="l"/>
        <c:majorGridlines/>
        <c:numFmt formatCode="General" sourceLinked="1"/>
        <c:majorTickMark val="out"/>
        <c:minorTickMark val="none"/>
        <c:tickLblPos val="nextTo"/>
        <c:crossAx val="126737024"/>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7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lotArea>
      <c:layout/>
      <c:barChart>
        <c:barDir val="col"/>
        <c:grouping val="clustered"/>
        <c:varyColors val="0"/>
        <c:ser>
          <c:idx val="0"/>
          <c:order val="0"/>
          <c:tx>
            <c:v>MAI Age 6</c:v>
          </c:tx>
          <c:invertIfNegative val="0"/>
          <c:cat>
            <c:strLit>
              <c:ptCount val="3"/>
              <c:pt idx="0">
                <c:v>WIFP</c:v>
              </c:pt>
              <c:pt idx="1">
                <c:v>WIF</c:v>
              </c:pt>
              <c:pt idx="2">
                <c:v>W</c:v>
              </c:pt>
            </c:strLit>
          </c:cat>
          <c:val>
            <c:numLit>
              <c:formatCode>General</c:formatCode>
              <c:ptCount val="3"/>
              <c:pt idx="0">
                <c:v>15.233333333333334</c:v>
              </c:pt>
              <c:pt idx="1">
                <c:v>11.450000000000001</c:v>
              </c:pt>
              <c:pt idx="2">
                <c:v>8.0666666666666664</c:v>
              </c:pt>
            </c:numLit>
          </c:val>
        </c:ser>
        <c:dLbls>
          <c:showLegendKey val="0"/>
          <c:showVal val="0"/>
          <c:showCatName val="0"/>
          <c:showSerName val="0"/>
          <c:showPercent val="0"/>
          <c:showBubbleSize val="0"/>
        </c:dLbls>
        <c:gapWidth val="150"/>
        <c:axId val="126824448"/>
        <c:axId val="126825984"/>
      </c:barChart>
      <c:catAx>
        <c:axId val="126824448"/>
        <c:scaling>
          <c:orientation val="minMax"/>
        </c:scaling>
        <c:delete val="0"/>
        <c:axPos val="b"/>
        <c:majorTickMark val="out"/>
        <c:minorTickMark val="none"/>
        <c:tickLblPos val="nextTo"/>
        <c:crossAx val="126825984"/>
        <c:crosses val="autoZero"/>
        <c:auto val="1"/>
        <c:lblAlgn val="ctr"/>
        <c:lblOffset val="100"/>
        <c:noMultiLvlLbl val="0"/>
      </c:catAx>
      <c:valAx>
        <c:axId val="126825984"/>
        <c:scaling>
          <c:orientation val="minMax"/>
        </c:scaling>
        <c:delete val="0"/>
        <c:axPos val="l"/>
        <c:majorGridlines/>
        <c:numFmt formatCode="General" sourceLinked="1"/>
        <c:majorTickMark val="out"/>
        <c:minorTickMark val="none"/>
        <c:tickLblPos val="nextTo"/>
        <c:crossAx val="126824448"/>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7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lotArea>
      <c:layout/>
      <c:barChart>
        <c:barDir val="col"/>
        <c:grouping val="clustered"/>
        <c:varyColors val="0"/>
        <c:ser>
          <c:idx val="0"/>
          <c:order val="0"/>
          <c:tx>
            <c:v>MAI Age 6</c:v>
          </c:tx>
          <c:invertIfNegative val="0"/>
          <c:cat>
            <c:strLit>
              <c:ptCount val="5"/>
              <c:pt idx="0">
                <c:v>C</c:v>
              </c:pt>
              <c:pt idx="1">
                <c:v>I</c:v>
              </c:pt>
              <c:pt idx="2">
                <c:v>I-LF</c:v>
              </c:pt>
              <c:pt idx="3">
                <c:v>I-MF</c:v>
              </c:pt>
              <c:pt idx="4">
                <c:v>I- HF</c:v>
              </c:pt>
            </c:strLit>
          </c:cat>
          <c:val>
            <c:numLit>
              <c:formatCode>General</c:formatCode>
              <c:ptCount val="5"/>
              <c:pt idx="0">
                <c:v>7.3483333333333336</c:v>
              </c:pt>
              <c:pt idx="1">
                <c:v>8.8066666666666666</c:v>
              </c:pt>
              <c:pt idx="2">
                <c:v>10.938333333333333</c:v>
              </c:pt>
              <c:pt idx="3">
                <c:v>13.193333333333333</c:v>
              </c:pt>
              <c:pt idx="4">
                <c:v>12.033333333333333</c:v>
              </c:pt>
            </c:numLit>
          </c:val>
        </c:ser>
        <c:dLbls>
          <c:showLegendKey val="0"/>
          <c:showVal val="0"/>
          <c:showCatName val="0"/>
          <c:showSerName val="0"/>
          <c:showPercent val="0"/>
          <c:showBubbleSize val="0"/>
        </c:dLbls>
        <c:gapWidth val="150"/>
        <c:axId val="126850560"/>
        <c:axId val="126852096"/>
      </c:barChart>
      <c:catAx>
        <c:axId val="126850560"/>
        <c:scaling>
          <c:orientation val="minMax"/>
        </c:scaling>
        <c:delete val="0"/>
        <c:axPos val="b"/>
        <c:majorTickMark val="out"/>
        <c:minorTickMark val="none"/>
        <c:tickLblPos val="nextTo"/>
        <c:crossAx val="126852096"/>
        <c:crosses val="autoZero"/>
        <c:auto val="1"/>
        <c:lblAlgn val="ctr"/>
        <c:lblOffset val="100"/>
        <c:noMultiLvlLbl val="0"/>
      </c:catAx>
      <c:valAx>
        <c:axId val="126852096"/>
        <c:scaling>
          <c:orientation val="minMax"/>
        </c:scaling>
        <c:delete val="0"/>
        <c:axPos val="l"/>
        <c:majorGridlines/>
        <c:numFmt formatCode="General" sourceLinked="1"/>
        <c:majorTickMark val="out"/>
        <c:minorTickMark val="none"/>
        <c:tickLblPos val="nextTo"/>
        <c:crossAx val="126850560"/>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'Growth Pattern'!$CE$256</c:f>
              <c:strCache>
                <c:ptCount val="1"/>
                <c:pt idx="0">
                  <c:v>MAI</c:v>
                </c:pt>
              </c:strCache>
            </c:strRef>
          </c:tx>
          <c:val>
            <c:numRef>
              <c:f>'Growth Pattern'!$CE$257:$CE$260</c:f>
              <c:numCache>
                <c:formatCode>0.00</c:formatCode>
                <c:ptCount val="4"/>
                <c:pt idx="0">
                  <c:v>3.72</c:v>
                </c:pt>
                <c:pt idx="1">
                  <c:v>3.72</c:v>
                </c:pt>
                <c:pt idx="2">
                  <c:v>6.8966666666666674</c:v>
                </c:pt>
                <c:pt idx="3">
                  <c:v>6.2</c:v>
                </c:pt>
              </c:numCache>
            </c:numRef>
          </c:val>
          <c:smooth val="0"/>
        </c:ser>
        <c:ser>
          <c:idx val="1"/>
          <c:order val="1"/>
          <c:tx>
            <c:strRef>
              <c:f>'Growth Pattern'!$CF$256</c:f>
              <c:strCache>
                <c:ptCount val="1"/>
                <c:pt idx="0">
                  <c:v>CAI</c:v>
                </c:pt>
              </c:strCache>
            </c:strRef>
          </c:tx>
          <c:val>
            <c:numRef>
              <c:f>'Growth Pattern'!$CF$257:$CF$260</c:f>
              <c:numCache>
                <c:formatCode>0.00</c:formatCode>
                <c:ptCount val="4"/>
                <c:pt idx="0">
                  <c:v>3.72</c:v>
                </c:pt>
                <c:pt idx="1">
                  <c:v>3.72</c:v>
                </c:pt>
                <c:pt idx="2">
                  <c:v>13.25</c:v>
                </c:pt>
                <c:pt idx="3">
                  <c:v>4.1099999999999994</c:v>
                </c:pt>
              </c:numCache>
            </c:numRef>
          </c:val>
          <c:smooth val="0"/>
        </c:ser>
        <c:dLbls>
          <c:showLegendKey val="0"/>
          <c:showVal val="0"/>
          <c:showCatName val="0"/>
          <c:showSerName val="0"/>
          <c:showPercent val="0"/>
          <c:showBubbleSize val="0"/>
        </c:dLbls>
        <c:marker val="1"/>
        <c:smooth val="0"/>
        <c:axId val="93786112"/>
        <c:axId val="93787648"/>
      </c:lineChart>
      <c:catAx>
        <c:axId val="93786112"/>
        <c:scaling>
          <c:orientation val="minMax"/>
        </c:scaling>
        <c:delete val="0"/>
        <c:axPos val="b"/>
        <c:majorTickMark val="out"/>
        <c:minorTickMark val="none"/>
        <c:tickLblPos val="nextTo"/>
        <c:crossAx val="93787648"/>
        <c:crosses val="autoZero"/>
        <c:auto val="1"/>
        <c:lblAlgn val="ctr"/>
        <c:lblOffset val="100"/>
        <c:noMultiLvlLbl val="0"/>
      </c:catAx>
      <c:valAx>
        <c:axId val="93787648"/>
        <c:scaling>
          <c:orientation val="minMax"/>
        </c:scaling>
        <c:delete val="0"/>
        <c:axPos val="l"/>
        <c:majorGridlines/>
        <c:numFmt formatCode="0.00" sourceLinked="1"/>
        <c:majorTickMark val="out"/>
        <c:minorTickMark val="none"/>
        <c:tickLblPos val="nextTo"/>
        <c:crossAx val="93786112"/>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8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lotArea>
      <c:layout/>
      <c:barChart>
        <c:barDir val="col"/>
        <c:grouping val="clustered"/>
        <c:varyColors val="0"/>
        <c:ser>
          <c:idx val="0"/>
          <c:order val="0"/>
          <c:tx>
            <c:v>0</c:v>
          </c:tx>
          <c:invertIfNegative val="0"/>
          <c:cat>
            <c:strLit>
              <c:ptCount val="5"/>
              <c:pt idx="0">
                <c:v>C</c:v>
              </c:pt>
              <c:pt idx="1">
                <c:v>I</c:v>
              </c:pt>
              <c:pt idx="2">
                <c:v>I-LF</c:v>
              </c:pt>
              <c:pt idx="3">
                <c:v>I-MF</c:v>
              </c:pt>
              <c:pt idx="4">
                <c:v>I-HF</c:v>
              </c:pt>
            </c:strLit>
          </c:cat>
          <c:val>
            <c:numLit>
              <c:formatCode>General</c:formatCode>
              <c:ptCount val="5"/>
              <c:pt idx="0">
                <c:v>5.1450000000000005</c:v>
              </c:pt>
              <c:pt idx="1">
                <c:v>6.1849999999999996</c:v>
              </c:pt>
              <c:pt idx="2">
                <c:v>8.5683333333333334</c:v>
              </c:pt>
              <c:pt idx="3">
                <c:v>9.8266666666666662</c:v>
              </c:pt>
              <c:pt idx="4">
                <c:v>9.3016666666666676</c:v>
              </c:pt>
            </c:numLit>
          </c:val>
        </c:ser>
        <c:dLbls>
          <c:showLegendKey val="0"/>
          <c:showVal val="0"/>
          <c:showCatName val="0"/>
          <c:showSerName val="0"/>
          <c:showPercent val="0"/>
          <c:showBubbleSize val="0"/>
        </c:dLbls>
        <c:gapWidth val="150"/>
        <c:axId val="126880768"/>
        <c:axId val="126886656"/>
      </c:barChart>
      <c:catAx>
        <c:axId val="126880768"/>
        <c:scaling>
          <c:orientation val="minMax"/>
        </c:scaling>
        <c:delete val="0"/>
        <c:axPos val="b"/>
        <c:majorTickMark val="out"/>
        <c:minorTickMark val="none"/>
        <c:tickLblPos val="nextTo"/>
        <c:crossAx val="126886656"/>
        <c:crosses val="autoZero"/>
        <c:auto val="1"/>
        <c:lblAlgn val="ctr"/>
        <c:lblOffset val="100"/>
        <c:noMultiLvlLbl val="0"/>
      </c:catAx>
      <c:valAx>
        <c:axId val="126886656"/>
        <c:scaling>
          <c:orientation val="minMax"/>
        </c:scaling>
        <c:delete val="0"/>
        <c:axPos val="l"/>
        <c:majorGridlines/>
        <c:numFmt formatCode="General" sourceLinked="1"/>
        <c:majorTickMark val="out"/>
        <c:minorTickMark val="none"/>
        <c:tickLblPos val="nextTo"/>
        <c:crossAx val="126880768"/>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8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v>0</c:v>
          </c:tx>
          <c:val>
            <c:numLit>
              <c:formatCode>General</c:formatCode>
              <c:ptCount val="15"/>
              <c:pt idx="0">
                <c:v>0</c:v>
              </c:pt>
              <c:pt idx="1">
                <c:v>0</c:v>
              </c:pt>
              <c:pt idx="2">
                <c:v>0.34375</c:v>
              </c:pt>
              <c:pt idx="3">
                <c:v>2.0203541666666669</c:v>
              </c:pt>
              <c:pt idx="4">
                <c:v>4.3081034482758618</c:v>
              </c:pt>
              <c:pt idx="5">
                <c:v>6.7959032258064518</c:v>
              </c:pt>
              <c:pt idx="6">
                <c:v>8.8938730158730159</c:v>
              </c:pt>
              <c:pt idx="7">
                <c:v>10.614984615384616</c:v>
              </c:pt>
              <c:pt idx="8">
                <c:v>11.780661764705883</c:v>
              </c:pt>
              <c:pt idx="9">
                <c:v>12.566785714285714</c:v>
              </c:pt>
              <c:pt idx="10">
                <c:v>13.502541666666668</c:v>
              </c:pt>
              <c:pt idx="11">
                <c:v>13.823283783783783</c:v>
              </c:pt>
              <c:pt idx="12">
                <c:v>13.881706666666666</c:v>
              </c:pt>
              <c:pt idx="13">
                <c:v>14.248546666666666</c:v>
              </c:pt>
              <c:pt idx="14">
                <c:v>15.172666666666666</c:v>
              </c:pt>
            </c:numLit>
          </c:val>
          <c:smooth val="0"/>
        </c:ser>
        <c:ser>
          <c:idx val="1"/>
          <c:order val="1"/>
          <c:tx>
            <c:v>0</c:v>
          </c:tx>
          <c:val>
            <c:numLit>
              <c:formatCode>General</c:formatCode>
              <c:ptCount val="15"/>
              <c:pt idx="0">
                <c:v>0</c:v>
              </c:pt>
              <c:pt idx="1">
                <c:v>0</c:v>
              </c:pt>
              <c:pt idx="2">
                <c:v>0.69169999999999998</c:v>
              </c:pt>
              <c:pt idx="3">
                <c:v>7.7285416666666675</c:v>
              </c:pt>
              <c:pt idx="4">
                <c:v>14.637017241379311</c:v>
              </c:pt>
              <c:pt idx="5">
                <c:v>20.128645161290322</c:v>
              </c:pt>
              <c:pt idx="6">
                <c:v>22.457158730158728</c:v>
              </c:pt>
              <c:pt idx="7">
                <c:v>24.404153846153847</c:v>
              </c:pt>
              <c:pt idx="8">
                <c:v>25.57594117647059</c:v>
              </c:pt>
              <c:pt idx="9">
                <c:v>21.390400000000003</c:v>
              </c:pt>
              <c:pt idx="10">
                <c:v>26.467097222222222</c:v>
              </c:pt>
              <c:pt idx="11">
                <c:v>22.797405405405406</c:v>
              </c:pt>
              <c:pt idx="12">
                <c:v>16.234639999999999</c:v>
              </c:pt>
              <c:pt idx="13">
                <c:v>19.697546666666668</c:v>
              </c:pt>
              <c:pt idx="14">
                <c:v>28.299479999999996</c:v>
              </c:pt>
            </c:numLit>
          </c:val>
          <c:smooth val="0"/>
        </c:ser>
        <c:dLbls>
          <c:showLegendKey val="0"/>
          <c:showVal val="0"/>
          <c:showCatName val="0"/>
          <c:showSerName val="0"/>
          <c:showPercent val="0"/>
          <c:showBubbleSize val="0"/>
        </c:dLbls>
        <c:marker val="1"/>
        <c:smooth val="0"/>
        <c:axId val="126916096"/>
        <c:axId val="126917632"/>
      </c:lineChart>
      <c:catAx>
        <c:axId val="126916096"/>
        <c:scaling>
          <c:orientation val="minMax"/>
        </c:scaling>
        <c:delete val="0"/>
        <c:axPos val="b"/>
        <c:majorTickMark val="out"/>
        <c:minorTickMark val="none"/>
        <c:tickLblPos val="nextTo"/>
        <c:crossAx val="126917632"/>
        <c:crosses val="autoZero"/>
        <c:auto val="1"/>
        <c:lblAlgn val="ctr"/>
        <c:lblOffset val="100"/>
        <c:noMultiLvlLbl val="0"/>
      </c:catAx>
      <c:valAx>
        <c:axId val="126917632"/>
        <c:scaling>
          <c:orientation val="minMax"/>
        </c:scaling>
        <c:delete val="0"/>
        <c:axPos val="l"/>
        <c:majorGridlines/>
        <c:numFmt formatCode="General" sourceLinked="1"/>
        <c:majorTickMark val="out"/>
        <c:minorTickMark val="none"/>
        <c:tickLblPos val="nextTo"/>
        <c:crossAx val="126916096"/>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8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v>0</c:v>
          </c:tx>
          <c:val>
            <c:numLit>
              <c:formatCode>General</c:formatCode>
              <c:ptCount val="15"/>
              <c:pt idx="0">
                <c:v>0</c:v>
              </c:pt>
              <c:pt idx="1">
                <c:v>0</c:v>
              </c:pt>
              <c:pt idx="2">
                <c:v>2.981238095238095</c:v>
              </c:pt>
              <c:pt idx="3">
                <c:v>5.494092592592593</c:v>
              </c:pt>
              <c:pt idx="4">
                <c:v>8.3442833333333333</c:v>
              </c:pt>
              <c:pt idx="5">
                <c:v>9.9314285714285706</c:v>
              </c:pt>
              <c:pt idx="6">
                <c:v>11.222015624999999</c:v>
              </c:pt>
              <c:pt idx="7">
                <c:v>12.213424242424242</c:v>
              </c:pt>
              <c:pt idx="8">
                <c:v>13.010044117647061</c:v>
              </c:pt>
              <c:pt idx="9">
                <c:v>13.371098591549295</c:v>
              </c:pt>
              <c:pt idx="10">
                <c:v>14.144767123287671</c:v>
              </c:pt>
              <c:pt idx="11">
                <c:v>14.62968</c:v>
              </c:pt>
              <c:pt idx="12">
                <c:v>15.05836</c:v>
              </c:pt>
              <c:pt idx="13">
                <c:v>15.425106666666666</c:v>
              </c:pt>
              <c:pt idx="14">
                <c:v>16.410959999999999</c:v>
              </c:pt>
            </c:numLit>
          </c:val>
          <c:smooth val="0"/>
        </c:ser>
        <c:ser>
          <c:idx val="1"/>
          <c:order val="1"/>
          <c:tx>
            <c:v>0</c:v>
          </c:tx>
          <c:val>
            <c:numLit>
              <c:formatCode>General</c:formatCode>
              <c:ptCount val="15"/>
              <c:pt idx="0">
                <c:v>0</c:v>
              </c:pt>
              <c:pt idx="1">
                <c:v>0</c:v>
              </c:pt>
              <c:pt idx="2">
                <c:v>9.3943095238095236</c:v>
              </c:pt>
              <c:pt idx="3">
                <c:v>14.351999999999999</c:v>
              </c:pt>
              <c:pt idx="4">
                <c:v>22.276266666666668</c:v>
              </c:pt>
              <c:pt idx="5">
                <c:v>19.735539682539681</c:v>
              </c:pt>
              <c:pt idx="6">
                <c:v>19.85696875</c:v>
              </c:pt>
              <c:pt idx="7">
                <c:v>21.712424242424241</c:v>
              </c:pt>
              <c:pt idx="8">
                <c:v>22.91258823529412</c:v>
              </c:pt>
              <c:pt idx="9">
                <c:v>21.089126760563381</c:v>
              </c:pt>
              <c:pt idx="10">
                <c:v>24.57775342465753</c:v>
              </c:pt>
              <c:pt idx="11">
                <c:v>24.784559999999999</c:v>
              </c:pt>
              <c:pt idx="12">
                <c:v>20.507266666666666</c:v>
              </c:pt>
              <c:pt idx="13">
                <c:v>18.335413333333332</c:v>
              </c:pt>
              <c:pt idx="14">
                <c:v>33.810400000000001</c:v>
              </c:pt>
            </c:numLit>
          </c:val>
          <c:smooth val="0"/>
        </c:ser>
        <c:dLbls>
          <c:showLegendKey val="0"/>
          <c:showVal val="0"/>
          <c:showCatName val="0"/>
          <c:showSerName val="0"/>
          <c:showPercent val="0"/>
          <c:showBubbleSize val="0"/>
        </c:dLbls>
        <c:marker val="1"/>
        <c:smooth val="0"/>
        <c:axId val="126954880"/>
        <c:axId val="126956672"/>
      </c:lineChart>
      <c:catAx>
        <c:axId val="126954880"/>
        <c:scaling>
          <c:orientation val="minMax"/>
        </c:scaling>
        <c:delete val="0"/>
        <c:axPos val="b"/>
        <c:majorTickMark val="out"/>
        <c:minorTickMark val="none"/>
        <c:tickLblPos val="nextTo"/>
        <c:crossAx val="126956672"/>
        <c:crosses val="autoZero"/>
        <c:auto val="1"/>
        <c:lblAlgn val="ctr"/>
        <c:lblOffset val="100"/>
        <c:noMultiLvlLbl val="0"/>
      </c:catAx>
      <c:valAx>
        <c:axId val="126956672"/>
        <c:scaling>
          <c:orientation val="minMax"/>
        </c:scaling>
        <c:delete val="0"/>
        <c:axPos val="l"/>
        <c:majorGridlines/>
        <c:numFmt formatCode="General" sourceLinked="1"/>
        <c:majorTickMark val="out"/>
        <c:minorTickMark val="none"/>
        <c:tickLblPos val="nextTo"/>
        <c:crossAx val="126954880"/>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8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tx>
            <c:v>0</c:v>
          </c:tx>
          <c:spPr>
            <a:ln w="28575">
              <a:noFill/>
            </a:ln>
          </c:spPr>
          <c:xVal>
            <c:numLit>
              <c:formatCode>General</c:formatCode>
              <c:ptCount val="6"/>
              <c:pt idx="0">
                <c:v>4</c:v>
              </c:pt>
              <c:pt idx="1">
                <c:v>6</c:v>
              </c:pt>
              <c:pt idx="2">
                <c:v>9</c:v>
              </c:pt>
              <c:pt idx="3">
                <c:v>11</c:v>
              </c:pt>
              <c:pt idx="4">
                <c:v>13</c:v>
              </c:pt>
              <c:pt idx="5">
                <c:v>16</c:v>
              </c:pt>
            </c:numLit>
          </c:xVal>
          <c:yVal>
            <c:numLit>
              <c:formatCode>General</c:formatCode>
              <c:ptCount val="6"/>
              <c:pt idx="0">
                <c:v>8.3885000000000005</c:v>
              </c:pt>
              <c:pt idx="1">
                <c:v>8.9768833333333333</c:v>
              </c:pt>
              <c:pt idx="2">
                <c:v>11.442666666666666</c:v>
              </c:pt>
              <c:pt idx="3">
                <c:v>12.193363636363637</c:v>
              </c:pt>
              <c:pt idx="4">
                <c:v>11.938461538461537</c:v>
              </c:pt>
              <c:pt idx="5">
                <c:v>10.625</c:v>
              </c:pt>
            </c:numLit>
          </c:yVal>
          <c:smooth val="0"/>
        </c:ser>
        <c:ser>
          <c:idx val="1"/>
          <c:order val="1"/>
          <c:tx>
            <c:v>0</c:v>
          </c:tx>
          <c:spPr>
            <a:ln w="28575">
              <a:noFill/>
            </a:ln>
          </c:spPr>
          <c:xVal>
            <c:numLit>
              <c:formatCode>General</c:formatCode>
              <c:ptCount val="6"/>
              <c:pt idx="0">
                <c:v>4</c:v>
              </c:pt>
              <c:pt idx="1">
                <c:v>6</c:v>
              </c:pt>
              <c:pt idx="2">
                <c:v>9</c:v>
              </c:pt>
              <c:pt idx="3">
                <c:v>11</c:v>
              </c:pt>
              <c:pt idx="4">
                <c:v>13</c:v>
              </c:pt>
              <c:pt idx="5">
                <c:v>16</c:v>
              </c:pt>
            </c:numLit>
          </c:xVal>
          <c:yVal>
            <c:numLit>
              <c:formatCode>General</c:formatCode>
              <c:ptCount val="6"/>
              <c:pt idx="0">
                <c:v>0</c:v>
              </c:pt>
              <c:pt idx="1">
                <c:v>10.153649999999999</c:v>
              </c:pt>
              <c:pt idx="2">
                <c:v>16.374233333333333</c:v>
              </c:pt>
              <c:pt idx="3">
                <c:v>15.571500000000007</c:v>
              </c:pt>
              <c:pt idx="4">
                <c:v>10.53649999999999</c:v>
              </c:pt>
              <c:pt idx="5">
                <c:v>4.9333333333333371</c:v>
              </c:pt>
            </c:numLit>
          </c:yVal>
          <c:smooth val="0"/>
        </c:ser>
        <c:dLbls>
          <c:showLegendKey val="0"/>
          <c:showVal val="0"/>
          <c:showCatName val="0"/>
          <c:showSerName val="0"/>
          <c:showPercent val="0"/>
          <c:showBubbleSize val="0"/>
        </c:dLbls>
        <c:axId val="126973440"/>
        <c:axId val="126974976"/>
      </c:scatterChart>
      <c:valAx>
        <c:axId val="126973440"/>
        <c:scaling>
          <c:orientation val="minMax"/>
        </c:scaling>
        <c:delete val="0"/>
        <c:axPos val="b"/>
        <c:numFmt formatCode="General" sourceLinked="1"/>
        <c:majorTickMark val="out"/>
        <c:minorTickMark val="none"/>
        <c:tickLblPos val="nextTo"/>
        <c:crossAx val="126974976"/>
        <c:crosses val="autoZero"/>
        <c:crossBetween val="midCat"/>
      </c:valAx>
      <c:valAx>
        <c:axId val="126974976"/>
        <c:scaling>
          <c:orientation val="minMax"/>
        </c:scaling>
        <c:delete val="0"/>
        <c:axPos val="l"/>
        <c:majorGridlines/>
        <c:numFmt formatCode="General" sourceLinked="1"/>
        <c:majorTickMark val="out"/>
        <c:minorTickMark val="none"/>
        <c:tickLblPos val="nextTo"/>
        <c:crossAx val="126973440"/>
        <c:crosses val="autoZero"/>
        <c:crossBetween val="midCat"/>
      </c:valAx>
    </c:plotArea>
    <c:legend>
      <c:legendPos val="r"/>
      <c:overlay val="0"/>
    </c:legend>
    <c:plotVisOnly val="1"/>
    <c:dispBlanksAs val="gap"/>
    <c:showDLblsOverMax val="0"/>
  </c:chart>
  <c:printSettings>
    <c:headerFooter/>
    <c:pageMargins b="0.75" l="0.7" r="0.7" t="0.75" header="0.3" footer="0.3"/>
    <c:pageSetup/>
  </c:printSettings>
</c:chartSpace>
</file>

<file path=xl/charts/chart18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tx>
            <c:v>0</c:v>
          </c:tx>
          <c:spPr>
            <a:ln w="28575">
              <a:noFill/>
            </a:ln>
          </c:spPr>
          <c:xVal>
            <c:numLit>
              <c:formatCode>General</c:formatCode>
              <c:ptCount val="6"/>
              <c:pt idx="0">
                <c:v>4</c:v>
              </c:pt>
              <c:pt idx="1">
                <c:v>6</c:v>
              </c:pt>
              <c:pt idx="2">
                <c:v>9</c:v>
              </c:pt>
              <c:pt idx="3">
                <c:v>11</c:v>
              </c:pt>
              <c:pt idx="4">
                <c:v>13</c:v>
              </c:pt>
              <c:pt idx="5">
                <c:v>16</c:v>
              </c:pt>
            </c:numLit>
          </c:xVal>
          <c:yVal>
            <c:numLit>
              <c:formatCode>General</c:formatCode>
              <c:ptCount val="6"/>
              <c:pt idx="0">
                <c:v>4.0244499999999999</c:v>
              </c:pt>
              <c:pt idx="1">
                <c:v>6.2674833333333337</c:v>
              </c:pt>
              <c:pt idx="2">
                <c:v>9.3024888888888881</c:v>
              </c:pt>
              <c:pt idx="3">
                <c:v>10.195727272727273</c:v>
              </c:pt>
              <c:pt idx="4">
                <c:v>10.292307692307693</c:v>
              </c:pt>
              <c:pt idx="5">
                <c:v>9.6120000000000001</c:v>
              </c:pt>
            </c:numLit>
          </c:yVal>
          <c:smooth val="0"/>
        </c:ser>
        <c:ser>
          <c:idx val="1"/>
          <c:order val="1"/>
          <c:tx>
            <c:v>0</c:v>
          </c:tx>
          <c:spPr>
            <a:ln w="28575">
              <a:noFill/>
            </a:ln>
          </c:spPr>
          <c:xVal>
            <c:numLit>
              <c:formatCode>General</c:formatCode>
              <c:ptCount val="6"/>
              <c:pt idx="0">
                <c:v>4</c:v>
              </c:pt>
              <c:pt idx="1">
                <c:v>6</c:v>
              </c:pt>
              <c:pt idx="2">
                <c:v>9</c:v>
              </c:pt>
              <c:pt idx="3">
                <c:v>11</c:v>
              </c:pt>
              <c:pt idx="4">
                <c:v>13</c:v>
              </c:pt>
              <c:pt idx="5">
                <c:v>16</c:v>
              </c:pt>
            </c:numLit>
          </c:xVal>
          <c:yVal>
            <c:numLit>
              <c:formatCode>General</c:formatCode>
              <c:ptCount val="6"/>
              <c:pt idx="0">
                <c:v>0</c:v>
              </c:pt>
              <c:pt idx="1">
                <c:v>10.753550000000001</c:v>
              </c:pt>
              <c:pt idx="2">
                <c:v>15.372499999999997</c:v>
              </c:pt>
              <c:pt idx="3">
                <c:v>14.215300000000006</c:v>
              </c:pt>
              <c:pt idx="4">
                <c:v>10.823500000000003</c:v>
              </c:pt>
              <c:pt idx="5">
                <c:v>6.663999999999997</c:v>
              </c:pt>
            </c:numLit>
          </c:yVal>
          <c:smooth val="0"/>
        </c:ser>
        <c:dLbls>
          <c:showLegendKey val="0"/>
          <c:showVal val="0"/>
          <c:showCatName val="0"/>
          <c:showSerName val="0"/>
          <c:showPercent val="0"/>
          <c:showBubbleSize val="0"/>
        </c:dLbls>
        <c:axId val="126995840"/>
        <c:axId val="126997632"/>
      </c:scatterChart>
      <c:valAx>
        <c:axId val="126995840"/>
        <c:scaling>
          <c:orientation val="minMax"/>
        </c:scaling>
        <c:delete val="0"/>
        <c:axPos val="b"/>
        <c:numFmt formatCode="General" sourceLinked="1"/>
        <c:majorTickMark val="out"/>
        <c:minorTickMark val="none"/>
        <c:tickLblPos val="nextTo"/>
        <c:crossAx val="126997632"/>
        <c:crosses val="autoZero"/>
        <c:crossBetween val="midCat"/>
      </c:valAx>
      <c:valAx>
        <c:axId val="126997632"/>
        <c:scaling>
          <c:orientation val="minMax"/>
        </c:scaling>
        <c:delete val="0"/>
        <c:axPos val="l"/>
        <c:majorGridlines/>
        <c:numFmt formatCode="General" sourceLinked="1"/>
        <c:majorTickMark val="out"/>
        <c:minorTickMark val="none"/>
        <c:tickLblPos val="nextTo"/>
        <c:crossAx val="126995840"/>
        <c:crosses val="autoZero"/>
        <c:crossBetween val="midCat"/>
      </c:valAx>
    </c:plotArea>
    <c:legend>
      <c:legendPos val="r"/>
      <c:overlay val="0"/>
    </c:legend>
    <c:plotVisOnly val="1"/>
    <c:dispBlanksAs val="gap"/>
    <c:showDLblsOverMax val="0"/>
  </c:chart>
  <c:printSettings>
    <c:headerFooter/>
    <c:pageMargins b="0.75" l="0.7" r="0.7" t="0.75" header="0.3" footer="0.3"/>
    <c:pageSetup/>
  </c:printSettings>
</c:chartSpace>
</file>

<file path=xl/charts/chart18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tx>
            <c:v>0</c:v>
          </c:tx>
          <c:spPr>
            <a:ln w="28575">
              <a:noFill/>
            </a:ln>
          </c:spPr>
          <c:xVal>
            <c:numLit>
              <c:formatCode>General</c:formatCode>
              <c:ptCount val="6"/>
              <c:pt idx="0">
                <c:v>4</c:v>
              </c:pt>
              <c:pt idx="1">
                <c:v>6</c:v>
              </c:pt>
              <c:pt idx="2">
                <c:v>9</c:v>
              </c:pt>
              <c:pt idx="3">
                <c:v>11</c:v>
              </c:pt>
              <c:pt idx="4">
                <c:v>13</c:v>
              </c:pt>
              <c:pt idx="5">
                <c:v>16</c:v>
              </c:pt>
            </c:numLit>
          </c:xVal>
          <c:yVal>
            <c:numLit>
              <c:formatCode>General</c:formatCode>
              <c:ptCount val="6"/>
              <c:pt idx="0">
                <c:v>3.8729499999999999</c:v>
              </c:pt>
              <c:pt idx="1">
                <c:v>5.6662166666666671</c:v>
              </c:pt>
              <c:pt idx="2">
                <c:v>7.6968666666666667</c:v>
              </c:pt>
              <c:pt idx="3">
                <c:v>8.5813272727272718</c:v>
              </c:pt>
              <c:pt idx="4">
                <c:v>9.0076923076923077</c:v>
              </c:pt>
              <c:pt idx="5">
                <c:v>8.32</c:v>
              </c:pt>
            </c:numLit>
          </c:yVal>
          <c:smooth val="0"/>
        </c:ser>
        <c:ser>
          <c:idx val="1"/>
          <c:order val="1"/>
          <c:tx>
            <c:v>0</c:v>
          </c:tx>
          <c:spPr>
            <a:ln w="28575">
              <a:noFill/>
            </a:ln>
          </c:spPr>
          <c:xVal>
            <c:numLit>
              <c:formatCode>General</c:formatCode>
              <c:ptCount val="6"/>
              <c:pt idx="0">
                <c:v>4</c:v>
              </c:pt>
              <c:pt idx="1">
                <c:v>6</c:v>
              </c:pt>
              <c:pt idx="2">
                <c:v>9</c:v>
              </c:pt>
              <c:pt idx="3">
                <c:v>11</c:v>
              </c:pt>
              <c:pt idx="4">
                <c:v>13</c:v>
              </c:pt>
              <c:pt idx="5">
                <c:v>16</c:v>
              </c:pt>
            </c:numLit>
          </c:xVal>
          <c:yVal>
            <c:numLit>
              <c:formatCode>General</c:formatCode>
              <c:ptCount val="6"/>
              <c:pt idx="0">
                <c:v>0</c:v>
              </c:pt>
              <c:pt idx="1">
                <c:v>9.2527500000000025</c:v>
              </c:pt>
              <c:pt idx="2">
                <c:v>11.758166666666666</c:v>
              </c:pt>
              <c:pt idx="3">
                <c:v>12.561399999999999</c:v>
              </c:pt>
              <c:pt idx="4">
                <c:v>11.352699999999999</c:v>
              </c:pt>
              <c:pt idx="5">
                <c:v>5.3400000000000034</c:v>
              </c:pt>
            </c:numLit>
          </c:yVal>
          <c:smooth val="0"/>
        </c:ser>
        <c:dLbls>
          <c:showLegendKey val="0"/>
          <c:showVal val="0"/>
          <c:showCatName val="0"/>
          <c:showSerName val="0"/>
          <c:showPercent val="0"/>
          <c:showBubbleSize val="0"/>
        </c:dLbls>
        <c:axId val="127108608"/>
        <c:axId val="127110144"/>
      </c:scatterChart>
      <c:valAx>
        <c:axId val="127108608"/>
        <c:scaling>
          <c:orientation val="minMax"/>
        </c:scaling>
        <c:delete val="0"/>
        <c:axPos val="b"/>
        <c:numFmt formatCode="General" sourceLinked="1"/>
        <c:majorTickMark val="out"/>
        <c:minorTickMark val="none"/>
        <c:tickLblPos val="nextTo"/>
        <c:crossAx val="127110144"/>
        <c:crosses val="autoZero"/>
        <c:crossBetween val="midCat"/>
      </c:valAx>
      <c:valAx>
        <c:axId val="127110144"/>
        <c:scaling>
          <c:orientation val="minMax"/>
        </c:scaling>
        <c:delete val="0"/>
        <c:axPos val="l"/>
        <c:majorGridlines/>
        <c:numFmt formatCode="General" sourceLinked="1"/>
        <c:majorTickMark val="out"/>
        <c:minorTickMark val="none"/>
        <c:tickLblPos val="nextTo"/>
        <c:crossAx val="127108608"/>
        <c:crosses val="autoZero"/>
        <c:crossBetween val="midCat"/>
      </c:valAx>
    </c:plotArea>
    <c:legend>
      <c:legendPos val="r"/>
      <c:overlay val="0"/>
    </c:legend>
    <c:plotVisOnly val="1"/>
    <c:dispBlanksAs val="gap"/>
    <c:showDLblsOverMax val="0"/>
  </c:chart>
  <c:printSettings>
    <c:headerFooter/>
    <c:pageMargins b="0.75" l="0.7" r="0.7" t="0.75" header="0.3" footer="0.3"/>
    <c:pageSetup/>
  </c:printSettings>
</c:chartSpace>
</file>

<file path=xl/charts/chart18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tx>
            <c:v>0</c:v>
          </c:tx>
          <c:spPr>
            <a:ln w="28575">
              <a:noFill/>
            </a:ln>
          </c:spPr>
          <c:xVal>
            <c:numLit>
              <c:formatCode>General</c:formatCode>
              <c:ptCount val="6"/>
              <c:pt idx="0">
                <c:v>4</c:v>
              </c:pt>
              <c:pt idx="1">
                <c:v>6</c:v>
              </c:pt>
              <c:pt idx="2">
                <c:v>9</c:v>
              </c:pt>
              <c:pt idx="3">
                <c:v>11</c:v>
              </c:pt>
              <c:pt idx="4">
                <c:v>13</c:v>
              </c:pt>
              <c:pt idx="5">
                <c:v>16</c:v>
              </c:pt>
            </c:numLit>
          </c:xVal>
          <c:yVal>
            <c:numLit>
              <c:formatCode>General</c:formatCode>
              <c:ptCount val="6"/>
              <c:pt idx="0">
                <c:v>0.26029750000000001</c:v>
              </c:pt>
              <c:pt idx="1">
                <c:v>1.1510050000000001</c:v>
              </c:pt>
              <c:pt idx="2">
                <c:v>2.1452</c:v>
              </c:pt>
              <c:pt idx="3">
                <c:v>2.9993363636363637</c:v>
              </c:pt>
              <c:pt idx="4">
                <c:v>3.4615384615384617</c:v>
              </c:pt>
              <c:pt idx="5">
                <c:v>3.8053312500000001</c:v>
              </c:pt>
            </c:numLit>
          </c:yVal>
          <c:smooth val="0"/>
        </c:ser>
        <c:ser>
          <c:idx val="1"/>
          <c:order val="1"/>
          <c:tx>
            <c:v>0</c:v>
          </c:tx>
          <c:spPr>
            <a:ln w="28575">
              <a:noFill/>
            </a:ln>
          </c:spPr>
          <c:xVal>
            <c:numLit>
              <c:formatCode>General</c:formatCode>
              <c:ptCount val="6"/>
              <c:pt idx="0">
                <c:v>4</c:v>
              </c:pt>
              <c:pt idx="1">
                <c:v>6</c:v>
              </c:pt>
              <c:pt idx="2">
                <c:v>9</c:v>
              </c:pt>
              <c:pt idx="3">
                <c:v>11</c:v>
              </c:pt>
              <c:pt idx="4">
                <c:v>13</c:v>
              </c:pt>
              <c:pt idx="5">
                <c:v>16</c:v>
              </c:pt>
            </c:numLit>
          </c:xVal>
          <c:yVal>
            <c:numLit>
              <c:formatCode>General</c:formatCode>
              <c:ptCount val="6"/>
              <c:pt idx="0">
                <c:v>0</c:v>
              </c:pt>
              <c:pt idx="1">
                <c:v>2.93242</c:v>
              </c:pt>
              <c:pt idx="2">
                <c:v>4.133589999999999</c:v>
              </c:pt>
              <c:pt idx="3">
                <c:v>6.8429500000000001</c:v>
              </c:pt>
              <c:pt idx="4">
                <c:v>6.0036500000000004</c:v>
              </c:pt>
              <c:pt idx="5">
                <c:v>5.2951000000000006</c:v>
              </c:pt>
            </c:numLit>
          </c:yVal>
          <c:smooth val="0"/>
        </c:ser>
        <c:dLbls>
          <c:showLegendKey val="0"/>
          <c:showVal val="0"/>
          <c:showCatName val="0"/>
          <c:showSerName val="0"/>
          <c:showPercent val="0"/>
          <c:showBubbleSize val="0"/>
        </c:dLbls>
        <c:axId val="127122816"/>
        <c:axId val="127132800"/>
      </c:scatterChart>
      <c:valAx>
        <c:axId val="127122816"/>
        <c:scaling>
          <c:orientation val="minMax"/>
        </c:scaling>
        <c:delete val="0"/>
        <c:axPos val="b"/>
        <c:numFmt formatCode="General" sourceLinked="1"/>
        <c:majorTickMark val="out"/>
        <c:minorTickMark val="none"/>
        <c:tickLblPos val="nextTo"/>
        <c:crossAx val="127132800"/>
        <c:crosses val="autoZero"/>
        <c:crossBetween val="midCat"/>
      </c:valAx>
      <c:valAx>
        <c:axId val="127132800"/>
        <c:scaling>
          <c:orientation val="minMax"/>
        </c:scaling>
        <c:delete val="0"/>
        <c:axPos val="l"/>
        <c:majorGridlines/>
        <c:numFmt formatCode="General" sourceLinked="1"/>
        <c:majorTickMark val="out"/>
        <c:minorTickMark val="none"/>
        <c:tickLblPos val="nextTo"/>
        <c:crossAx val="127122816"/>
        <c:crosses val="autoZero"/>
        <c:crossBetween val="midCat"/>
      </c:valAx>
    </c:plotArea>
    <c:legend>
      <c:legendPos val="r"/>
      <c:overlay val="0"/>
    </c:legend>
    <c:plotVisOnly val="1"/>
    <c:dispBlanksAs val="gap"/>
    <c:showDLblsOverMax val="0"/>
  </c:chart>
  <c:printSettings>
    <c:headerFooter/>
    <c:pageMargins b="0.75" l="0.7" r="0.7" t="0.75" header="0.3" footer="0.3"/>
    <c:pageSetup/>
  </c:printSettings>
</c:chartSpace>
</file>

<file path=xl/charts/chart18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tx>
            <c:v>MAI</c:v>
          </c:tx>
          <c:spPr>
            <a:ln w="28575">
              <a:noFill/>
            </a:ln>
          </c:spPr>
          <c:dPt>
            <c:idx val="0"/>
            <c:marker>
              <c:spPr>
                <a:noFill/>
              </c:spPr>
            </c:marker>
            <c:bubble3D val="0"/>
          </c:dPt>
          <c:dPt>
            <c:idx val="3"/>
            <c:marker>
              <c:spPr>
                <a:noFill/>
              </c:spPr>
            </c:marker>
            <c:bubble3D val="0"/>
          </c:dPt>
          <c:xVal>
            <c:numLit>
              <c:formatCode>General</c:formatCode>
              <c:ptCount val="5"/>
              <c:pt idx="0">
                <c:v>1</c:v>
              </c:pt>
              <c:pt idx="1">
                <c:v>2</c:v>
              </c:pt>
              <c:pt idx="2">
                <c:v>3</c:v>
              </c:pt>
              <c:pt idx="3">
                <c:v>4</c:v>
              </c:pt>
              <c:pt idx="4">
                <c:v>5</c:v>
              </c:pt>
            </c:numLit>
          </c:xVal>
          <c:yVal>
            <c:numLit>
              <c:formatCode>General</c:formatCode>
              <c:ptCount val="5"/>
              <c:pt idx="0">
                <c:v>0</c:v>
              </c:pt>
              <c:pt idx="1">
                <c:v>4.57348</c:v>
              </c:pt>
              <c:pt idx="2">
                <c:v>10.402866666666666</c:v>
              </c:pt>
              <c:pt idx="3">
                <c:v>0</c:v>
              </c:pt>
              <c:pt idx="4">
                <c:v>11.48508</c:v>
              </c:pt>
            </c:numLit>
          </c:yVal>
          <c:smooth val="0"/>
        </c:ser>
        <c:dLbls>
          <c:showLegendKey val="0"/>
          <c:showVal val="0"/>
          <c:showCatName val="0"/>
          <c:showSerName val="0"/>
          <c:showPercent val="0"/>
          <c:showBubbleSize val="0"/>
        </c:dLbls>
        <c:axId val="127227392"/>
        <c:axId val="127228928"/>
      </c:scatterChart>
      <c:valAx>
        <c:axId val="127227392"/>
        <c:scaling>
          <c:orientation val="minMax"/>
        </c:scaling>
        <c:delete val="0"/>
        <c:axPos val="b"/>
        <c:numFmt formatCode="General" sourceLinked="1"/>
        <c:majorTickMark val="out"/>
        <c:minorTickMark val="none"/>
        <c:tickLblPos val="nextTo"/>
        <c:crossAx val="127228928"/>
        <c:crosses val="autoZero"/>
        <c:crossBetween val="midCat"/>
      </c:valAx>
      <c:valAx>
        <c:axId val="127228928"/>
        <c:scaling>
          <c:orientation val="minMax"/>
        </c:scaling>
        <c:delete val="0"/>
        <c:axPos val="l"/>
        <c:majorGridlines/>
        <c:numFmt formatCode="General" sourceLinked="1"/>
        <c:majorTickMark val="out"/>
        <c:minorTickMark val="none"/>
        <c:tickLblPos val="nextTo"/>
        <c:crossAx val="127227392"/>
        <c:crosses val="autoZero"/>
        <c:crossBetween val="midCat"/>
      </c:valAx>
    </c:plotArea>
    <c:legend>
      <c:legendPos val="r"/>
      <c:overlay val="0"/>
    </c:legend>
    <c:plotVisOnly val="1"/>
    <c:dispBlanksAs val="gap"/>
    <c:showDLblsOverMax val="0"/>
  </c:chart>
  <c:printSettings>
    <c:headerFooter/>
    <c:pageMargins b="0.75" l="0.7" r="0.7" t="0.75" header="0.3" footer="0.3"/>
    <c:pageSetup/>
  </c:printSettings>
</c:chartSpace>
</file>

<file path=xl/charts/chart18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tx>
            <c:v>MAI</c:v>
          </c:tx>
          <c:spPr>
            <a:ln w="28575">
              <a:noFill/>
            </a:ln>
          </c:spPr>
          <c:dPt>
            <c:idx val="0"/>
            <c:marker>
              <c:spPr>
                <a:noFill/>
              </c:spPr>
            </c:marker>
            <c:bubble3D val="0"/>
          </c:dPt>
          <c:dPt>
            <c:idx val="3"/>
            <c:marker>
              <c:spPr>
                <a:noFill/>
              </c:spPr>
            </c:marker>
            <c:bubble3D val="0"/>
          </c:dPt>
          <c:xVal>
            <c:numLit>
              <c:formatCode>General</c:formatCode>
              <c:ptCount val="5"/>
              <c:pt idx="0">
                <c:v>1</c:v>
              </c:pt>
              <c:pt idx="1">
                <c:v>2</c:v>
              </c:pt>
              <c:pt idx="2">
                <c:v>3</c:v>
              </c:pt>
              <c:pt idx="3">
                <c:v>4</c:v>
              </c:pt>
              <c:pt idx="4">
                <c:v>5</c:v>
              </c:pt>
            </c:numLit>
          </c:xVal>
          <c:yVal>
            <c:numLit>
              <c:formatCode>General</c:formatCode>
              <c:ptCount val="5"/>
              <c:pt idx="0">
                <c:v>0</c:v>
              </c:pt>
              <c:pt idx="1">
                <c:v>2.54</c:v>
              </c:pt>
              <c:pt idx="2">
                <c:v>6.7633333333333328</c:v>
              </c:pt>
              <c:pt idx="3">
                <c:v>0</c:v>
              </c:pt>
              <c:pt idx="4">
                <c:v>7.9779999999999998</c:v>
              </c:pt>
            </c:numLit>
          </c:yVal>
          <c:smooth val="0"/>
        </c:ser>
        <c:dLbls>
          <c:showLegendKey val="0"/>
          <c:showVal val="0"/>
          <c:showCatName val="0"/>
          <c:showSerName val="0"/>
          <c:showPercent val="0"/>
          <c:showBubbleSize val="0"/>
        </c:dLbls>
        <c:axId val="127245696"/>
        <c:axId val="127259776"/>
      </c:scatterChart>
      <c:valAx>
        <c:axId val="127245696"/>
        <c:scaling>
          <c:orientation val="minMax"/>
        </c:scaling>
        <c:delete val="0"/>
        <c:axPos val="b"/>
        <c:numFmt formatCode="General" sourceLinked="1"/>
        <c:majorTickMark val="out"/>
        <c:minorTickMark val="none"/>
        <c:tickLblPos val="nextTo"/>
        <c:crossAx val="127259776"/>
        <c:crosses val="autoZero"/>
        <c:crossBetween val="midCat"/>
      </c:valAx>
      <c:valAx>
        <c:axId val="127259776"/>
        <c:scaling>
          <c:orientation val="minMax"/>
        </c:scaling>
        <c:delete val="0"/>
        <c:axPos val="l"/>
        <c:majorGridlines/>
        <c:numFmt formatCode="General" sourceLinked="1"/>
        <c:majorTickMark val="out"/>
        <c:minorTickMark val="none"/>
        <c:tickLblPos val="nextTo"/>
        <c:crossAx val="127245696"/>
        <c:crosses val="autoZero"/>
        <c:crossBetween val="midCat"/>
      </c:valAx>
    </c:plotArea>
    <c:legend>
      <c:legendPos val="r"/>
      <c:overlay val="0"/>
    </c:legend>
    <c:plotVisOnly val="1"/>
    <c:dispBlanksAs val="gap"/>
    <c:showDLblsOverMax val="0"/>
  </c:chart>
  <c:printSettings>
    <c:headerFooter/>
    <c:pageMargins b="0.75" l="0.7" r="0.7" t="0.75" header="0.3" footer="0.3"/>
    <c:pageSetup/>
  </c:printSettings>
</c:chartSpace>
</file>

<file path=xl/charts/chart18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tx>
            <c:v>MAI</c:v>
          </c:tx>
          <c:spPr>
            <a:ln w="28575">
              <a:noFill/>
            </a:ln>
          </c:spPr>
          <c:dPt>
            <c:idx val="0"/>
            <c:marker>
              <c:spPr>
                <a:noFill/>
              </c:spPr>
            </c:marker>
            <c:bubble3D val="0"/>
          </c:dPt>
          <c:dPt>
            <c:idx val="3"/>
            <c:marker>
              <c:spPr>
                <a:noFill/>
              </c:spPr>
            </c:marker>
            <c:bubble3D val="0"/>
          </c:dPt>
          <c:xVal>
            <c:numLit>
              <c:formatCode>General</c:formatCode>
              <c:ptCount val="5"/>
              <c:pt idx="0">
                <c:v>1</c:v>
              </c:pt>
              <c:pt idx="1">
                <c:v>2</c:v>
              </c:pt>
              <c:pt idx="2">
                <c:v>3</c:v>
              </c:pt>
              <c:pt idx="3">
                <c:v>4</c:v>
              </c:pt>
              <c:pt idx="4">
                <c:v>5</c:v>
              </c:pt>
            </c:numLit>
          </c:xVal>
          <c:yVal>
            <c:numLit>
              <c:formatCode>General</c:formatCode>
              <c:ptCount val="5"/>
              <c:pt idx="0">
                <c:v>0</c:v>
              </c:pt>
              <c:pt idx="1">
                <c:v>1.9694400000000001</c:v>
              </c:pt>
              <c:pt idx="2">
                <c:v>5.1947999999999999</c:v>
              </c:pt>
              <c:pt idx="3">
                <c:v>0</c:v>
              </c:pt>
              <c:pt idx="4">
                <c:v>6.6824399999999997</c:v>
              </c:pt>
            </c:numLit>
          </c:yVal>
          <c:smooth val="0"/>
        </c:ser>
        <c:dLbls>
          <c:showLegendKey val="0"/>
          <c:showVal val="0"/>
          <c:showCatName val="0"/>
          <c:showSerName val="0"/>
          <c:showPercent val="0"/>
          <c:showBubbleSize val="0"/>
        </c:dLbls>
        <c:axId val="127350272"/>
        <c:axId val="127351808"/>
      </c:scatterChart>
      <c:valAx>
        <c:axId val="127350272"/>
        <c:scaling>
          <c:orientation val="minMax"/>
        </c:scaling>
        <c:delete val="0"/>
        <c:axPos val="b"/>
        <c:numFmt formatCode="General" sourceLinked="1"/>
        <c:majorTickMark val="out"/>
        <c:minorTickMark val="none"/>
        <c:tickLblPos val="nextTo"/>
        <c:crossAx val="127351808"/>
        <c:crosses val="autoZero"/>
        <c:crossBetween val="midCat"/>
      </c:valAx>
      <c:valAx>
        <c:axId val="127351808"/>
        <c:scaling>
          <c:orientation val="minMax"/>
        </c:scaling>
        <c:delete val="0"/>
        <c:axPos val="l"/>
        <c:majorGridlines/>
        <c:numFmt formatCode="General" sourceLinked="1"/>
        <c:majorTickMark val="out"/>
        <c:minorTickMark val="none"/>
        <c:tickLblPos val="nextTo"/>
        <c:crossAx val="127350272"/>
        <c:crosses val="autoZero"/>
        <c:crossBetween val="midCat"/>
      </c:valAx>
    </c:plotArea>
    <c:legend>
      <c:legendPos val="r"/>
      <c:overlay val="0"/>
    </c:legend>
    <c:plotVisOnly val="1"/>
    <c:dispBlanksAs val="gap"/>
    <c:showDLblsOverMax val="0"/>
  </c:chart>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'Growth Pattern'!$CE$266</c:f>
              <c:strCache>
                <c:ptCount val="1"/>
                <c:pt idx="0">
                  <c:v>MAI</c:v>
                </c:pt>
              </c:strCache>
            </c:strRef>
          </c:tx>
          <c:val>
            <c:numRef>
              <c:f>'Growth Pattern'!$CE$267:$CE$270</c:f>
              <c:numCache>
                <c:formatCode>0.00</c:formatCode>
                <c:ptCount val="4"/>
                <c:pt idx="0">
                  <c:v>2.0099999999999998</c:v>
                </c:pt>
                <c:pt idx="1">
                  <c:v>4.33</c:v>
                </c:pt>
                <c:pt idx="2">
                  <c:v>7.06</c:v>
                </c:pt>
                <c:pt idx="3">
                  <c:v>14.13</c:v>
                </c:pt>
              </c:numCache>
            </c:numRef>
          </c:val>
          <c:smooth val="0"/>
        </c:ser>
        <c:ser>
          <c:idx val="1"/>
          <c:order val="1"/>
          <c:tx>
            <c:strRef>
              <c:f>'Growth Pattern'!$CF$266</c:f>
              <c:strCache>
                <c:ptCount val="1"/>
                <c:pt idx="0">
                  <c:v>CAI</c:v>
                </c:pt>
              </c:strCache>
            </c:strRef>
          </c:tx>
          <c:val>
            <c:numRef>
              <c:f>'Growth Pattern'!$CF$267:$CF$270</c:f>
              <c:numCache>
                <c:formatCode>0.00</c:formatCode>
                <c:ptCount val="4"/>
                <c:pt idx="0">
                  <c:v>2.0099999999999998</c:v>
                </c:pt>
                <c:pt idx="1">
                  <c:v>6.65</c:v>
                </c:pt>
                <c:pt idx="2">
                  <c:v>12.52</c:v>
                </c:pt>
                <c:pt idx="3">
                  <c:v>35.340000000000003</c:v>
                </c:pt>
              </c:numCache>
            </c:numRef>
          </c:val>
          <c:smooth val="0"/>
        </c:ser>
        <c:dLbls>
          <c:showLegendKey val="0"/>
          <c:showVal val="0"/>
          <c:showCatName val="0"/>
          <c:showSerName val="0"/>
          <c:showPercent val="0"/>
          <c:showBubbleSize val="0"/>
        </c:dLbls>
        <c:marker val="1"/>
        <c:smooth val="0"/>
        <c:axId val="93824896"/>
        <c:axId val="93826432"/>
      </c:lineChart>
      <c:catAx>
        <c:axId val="93824896"/>
        <c:scaling>
          <c:orientation val="minMax"/>
        </c:scaling>
        <c:delete val="0"/>
        <c:axPos val="b"/>
        <c:majorTickMark val="out"/>
        <c:minorTickMark val="none"/>
        <c:tickLblPos val="nextTo"/>
        <c:crossAx val="93826432"/>
        <c:crosses val="autoZero"/>
        <c:auto val="1"/>
        <c:lblAlgn val="ctr"/>
        <c:lblOffset val="100"/>
        <c:noMultiLvlLbl val="0"/>
      </c:catAx>
      <c:valAx>
        <c:axId val="93826432"/>
        <c:scaling>
          <c:orientation val="minMax"/>
        </c:scaling>
        <c:delete val="0"/>
        <c:axPos val="l"/>
        <c:majorGridlines/>
        <c:numFmt formatCode="0.00" sourceLinked="1"/>
        <c:majorTickMark val="out"/>
        <c:minorTickMark val="none"/>
        <c:tickLblPos val="nextTo"/>
        <c:crossAx val="93824896"/>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9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lotArea>
      <c:layout/>
      <c:scatterChart>
        <c:scatterStyle val="lineMarker"/>
        <c:varyColors val="0"/>
        <c:ser>
          <c:idx val="0"/>
          <c:order val="0"/>
          <c:tx>
            <c:v>MAI</c:v>
          </c:tx>
          <c:spPr>
            <a:ln w="28575">
              <a:noFill/>
            </a:ln>
          </c:spPr>
          <c:xVal>
            <c:numLit>
              <c:formatCode>General</c:formatCode>
              <c:ptCount val="5"/>
              <c:pt idx="0">
                <c:v>1</c:v>
              </c:pt>
              <c:pt idx="1">
                <c:v>2</c:v>
              </c:pt>
              <c:pt idx="2">
                <c:v>3</c:v>
              </c:pt>
              <c:pt idx="3">
                <c:v>4</c:v>
              </c:pt>
              <c:pt idx="4">
                <c:v>5</c:v>
              </c:pt>
            </c:numLit>
          </c:xVal>
          <c:yVal>
            <c:numLit>
              <c:formatCode>General</c:formatCode>
              <c:ptCount val="5"/>
              <c:pt idx="0">
                <c:v>0</c:v>
              </c:pt>
              <c:pt idx="1">
                <c:v>6.8815</c:v>
              </c:pt>
              <c:pt idx="2">
                <c:v>11.812433333333333</c:v>
              </c:pt>
              <c:pt idx="3">
                <c:v>0</c:v>
              </c:pt>
              <c:pt idx="4">
                <c:v>13.18732</c:v>
              </c:pt>
            </c:numLit>
          </c:yVal>
          <c:smooth val="0"/>
        </c:ser>
        <c:dLbls>
          <c:showLegendKey val="0"/>
          <c:showVal val="0"/>
          <c:showCatName val="0"/>
          <c:showSerName val="0"/>
          <c:showPercent val="0"/>
          <c:showBubbleSize val="0"/>
        </c:dLbls>
        <c:axId val="127376000"/>
        <c:axId val="127377792"/>
      </c:scatterChart>
      <c:valAx>
        <c:axId val="127376000"/>
        <c:scaling>
          <c:orientation val="minMax"/>
        </c:scaling>
        <c:delete val="0"/>
        <c:axPos val="b"/>
        <c:numFmt formatCode="General" sourceLinked="1"/>
        <c:majorTickMark val="out"/>
        <c:minorTickMark val="none"/>
        <c:tickLblPos val="nextTo"/>
        <c:crossAx val="127377792"/>
        <c:crosses val="autoZero"/>
        <c:crossBetween val="midCat"/>
      </c:valAx>
      <c:valAx>
        <c:axId val="127377792"/>
        <c:scaling>
          <c:orientation val="minMax"/>
        </c:scaling>
        <c:delete val="0"/>
        <c:axPos val="l"/>
        <c:majorGridlines/>
        <c:numFmt formatCode="General" sourceLinked="1"/>
        <c:majorTickMark val="out"/>
        <c:minorTickMark val="none"/>
        <c:tickLblPos val="nextTo"/>
        <c:crossAx val="127376000"/>
        <c:crosses val="autoZero"/>
        <c:crossBetween val="midCat"/>
      </c:valAx>
    </c:plotArea>
    <c:legend>
      <c:legendPos val="r"/>
      <c:overlay val="0"/>
    </c:legend>
    <c:plotVisOnly val="1"/>
    <c:dispBlanksAs val="gap"/>
    <c:showDLblsOverMax val="0"/>
  </c:chart>
  <c:printSettings>
    <c:headerFooter/>
    <c:pageMargins b="0.75" l="0.7" r="0.7" t="0.75" header="0.3" footer="0.3"/>
    <c:pageSetup/>
  </c:printSettings>
</c:chartSpace>
</file>

<file path=xl/charts/chart19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lotArea>
      <c:layout/>
      <c:scatterChart>
        <c:scatterStyle val="lineMarker"/>
        <c:varyColors val="0"/>
        <c:ser>
          <c:idx val="0"/>
          <c:order val="0"/>
          <c:tx>
            <c:v>MAI</c:v>
          </c:tx>
          <c:spPr>
            <a:ln w="28575">
              <a:noFill/>
            </a:ln>
          </c:spPr>
          <c:xVal>
            <c:numLit>
              <c:formatCode>General</c:formatCode>
              <c:ptCount val="5"/>
              <c:pt idx="0">
                <c:v>1</c:v>
              </c:pt>
              <c:pt idx="1">
                <c:v>2</c:v>
              </c:pt>
              <c:pt idx="2">
                <c:v>3</c:v>
              </c:pt>
              <c:pt idx="3">
                <c:v>4</c:v>
              </c:pt>
              <c:pt idx="4">
                <c:v>5</c:v>
              </c:pt>
            </c:numLit>
          </c:xVal>
          <c:yVal>
            <c:numLit>
              <c:formatCode>General</c:formatCode>
              <c:ptCount val="5"/>
              <c:pt idx="0">
                <c:v>0</c:v>
              </c:pt>
              <c:pt idx="1">
                <c:v>4.8498349999999997</c:v>
              </c:pt>
              <c:pt idx="2">
                <c:v>7.8797333333333333</c:v>
              </c:pt>
              <c:pt idx="3">
                <c:v>0</c:v>
              </c:pt>
              <c:pt idx="4">
                <c:v>8.1794399999999996</c:v>
              </c:pt>
            </c:numLit>
          </c:yVal>
          <c:smooth val="0"/>
        </c:ser>
        <c:dLbls>
          <c:showLegendKey val="0"/>
          <c:showVal val="0"/>
          <c:showCatName val="0"/>
          <c:showSerName val="0"/>
          <c:showPercent val="0"/>
          <c:showBubbleSize val="0"/>
        </c:dLbls>
        <c:axId val="127406464"/>
        <c:axId val="127408000"/>
      </c:scatterChart>
      <c:valAx>
        <c:axId val="127406464"/>
        <c:scaling>
          <c:orientation val="minMax"/>
        </c:scaling>
        <c:delete val="0"/>
        <c:axPos val="b"/>
        <c:numFmt formatCode="General" sourceLinked="1"/>
        <c:majorTickMark val="out"/>
        <c:minorTickMark val="none"/>
        <c:tickLblPos val="nextTo"/>
        <c:crossAx val="127408000"/>
        <c:crosses val="autoZero"/>
        <c:crossBetween val="midCat"/>
      </c:valAx>
      <c:valAx>
        <c:axId val="127408000"/>
        <c:scaling>
          <c:orientation val="minMax"/>
        </c:scaling>
        <c:delete val="0"/>
        <c:axPos val="l"/>
        <c:majorGridlines/>
        <c:numFmt formatCode="General" sourceLinked="1"/>
        <c:majorTickMark val="out"/>
        <c:minorTickMark val="none"/>
        <c:tickLblPos val="nextTo"/>
        <c:crossAx val="127406464"/>
        <c:crosses val="autoZero"/>
        <c:crossBetween val="midCat"/>
      </c:valAx>
    </c:plotArea>
    <c:legend>
      <c:legendPos val="r"/>
      <c:overlay val="0"/>
    </c:legend>
    <c:plotVisOnly val="1"/>
    <c:dispBlanksAs val="gap"/>
    <c:showDLblsOverMax val="0"/>
  </c:chart>
  <c:printSettings>
    <c:headerFooter/>
    <c:pageMargins b="0.75" l="0.7" r="0.7" t="0.75" header="0.3" footer="0.3"/>
    <c:pageSetup/>
  </c:printSettings>
</c:chartSpace>
</file>

<file path=xl/charts/chart19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lotArea>
      <c:layout/>
      <c:scatterChart>
        <c:scatterStyle val="lineMarker"/>
        <c:varyColors val="0"/>
        <c:ser>
          <c:idx val="0"/>
          <c:order val="0"/>
          <c:tx>
            <c:v>MAI</c:v>
          </c:tx>
          <c:spPr>
            <a:ln w="28575">
              <a:noFill/>
            </a:ln>
          </c:spPr>
          <c:xVal>
            <c:numLit>
              <c:formatCode>General</c:formatCode>
              <c:ptCount val="5"/>
              <c:pt idx="0">
                <c:v>1</c:v>
              </c:pt>
              <c:pt idx="1">
                <c:v>2</c:v>
              </c:pt>
              <c:pt idx="2">
                <c:v>3</c:v>
              </c:pt>
              <c:pt idx="3">
                <c:v>4</c:v>
              </c:pt>
              <c:pt idx="4">
                <c:v>5</c:v>
              </c:pt>
            </c:numLit>
          </c:xVal>
          <c:yVal>
            <c:numLit>
              <c:formatCode>General</c:formatCode>
              <c:ptCount val="5"/>
              <c:pt idx="0">
                <c:v>0</c:v>
              </c:pt>
              <c:pt idx="1">
                <c:v>3.1452049999999998</c:v>
              </c:pt>
              <c:pt idx="2">
                <c:v>6.0005333333333333</c:v>
              </c:pt>
              <c:pt idx="3">
                <c:v>0</c:v>
              </c:pt>
              <c:pt idx="4">
                <c:v>7.4718800000000005</c:v>
              </c:pt>
            </c:numLit>
          </c:yVal>
          <c:smooth val="0"/>
        </c:ser>
        <c:dLbls>
          <c:showLegendKey val="0"/>
          <c:showVal val="0"/>
          <c:showCatName val="0"/>
          <c:showSerName val="0"/>
          <c:showPercent val="0"/>
          <c:showBubbleSize val="0"/>
        </c:dLbls>
        <c:axId val="127448960"/>
        <c:axId val="127450496"/>
      </c:scatterChart>
      <c:valAx>
        <c:axId val="127448960"/>
        <c:scaling>
          <c:orientation val="minMax"/>
        </c:scaling>
        <c:delete val="0"/>
        <c:axPos val="b"/>
        <c:numFmt formatCode="General" sourceLinked="1"/>
        <c:majorTickMark val="out"/>
        <c:minorTickMark val="none"/>
        <c:tickLblPos val="nextTo"/>
        <c:crossAx val="127450496"/>
        <c:crosses val="autoZero"/>
        <c:crossBetween val="midCat"/>
      </c:valAx>
      <c:valAx>
        <c:axId val="127450496"/>
        <c:scaling>
          <c:orientation val="minMax"/>
        </c:scaling>
        <c:delete val="0"/>
        <c:axPos val="l"/>
        <c:majorGridlines/>
        <c:numFmt formatCode="General" sourceLinked="1"/>
        <c:majorTickMark val="out"/>
        <c:minorTickMark val="none"/>
        <c:tickLblPos val="nextTo"/>
        <c:crossAx val="127448960"/>
        <c:crosses val="autoZero"/>
        <c:crossBetween val="midCat"/>
      </c:valAx>
    </c:plotArea>
    <c:legend>
      <c:legendPos val="r"/>
      <c:overlay val="0"/>
    </c:legend>
    <c:plotVisOnly val="1"/>
    <c:dispBlanksAs val="gap"/>
    <c:showDLblsOverMax val="0"/>
  </c:chart>
  <c:printSettings>
    <c:headerFooter/>
    <c:pageMargins b="0.75" l="0.7" r="0.7" t="0.75" header="0.3" footer="0.3"/>
    <c:pageSetup/>
  </c:printSettings>
</c:chartSpace>
</file>

<file path=xl/charts/chart19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lotArea>
      <c:layout/>
      <c:scatterChart>
        <c:scatterStyle val="lineMarker"/>
        <c:varyColors val="0"/>
        <c:ser>
          <c:idx val="0"/>
          <c:order val="0"/>
          <c:tx>
            <c:v>MAI</c:v>
          </c:tx>
          <c:spPr>
            <a:ln w="28575">
              <a:noFill/>
            </a:ln>
          </c:spPr>
          <c:xVal>
            <c:numLit>
              <c:formatCode>General</c:formatCode>
              <c:ptCount val="5"/>
              <c:pt idx="0">
                <c:v>1</c:v>
              </c:pt>
              <c:pt idx="1">
                <c:v>2</c:v>
              </c:pt>
              <c:pt idx="2">
                <c:v>3</c:v>
              </c:pt>
              <c:pt idx="3">
                <c:v>4</c:v>
              </c:pt>
              <c:pt idx="4">
                <c:v>5</c:v>
              </c:pt>
            </c:numLit>
          </c:xVal>
          <c:yVal>
            <c:numLit>
              <c:formatCode>General</c:formatCode>
              <c:ptCount val="5"/>
              <c:pt idx="0">
                <c:v>0</c:v>
              </c:pt>
              <c:pt idx="1">
                <c:v>2.2270349999999999</c:v>
              </c:pt>
              <c:pt idx="2">
                <c:v>3.9906999999999999</c:v>
              </c:pt>
              <c:pt idx="3">
                <c:v>0</c:v>
              </c:pt>
              <c:pt idx="4">
                <c:v>4.8495800000000004</c:v>
              </c:pt>
            </c:numLit>
          </c:yVal>
          <c:smooth val="0"/>
        </c:ser>
        <c:dLbls>
          <c:showLegendKey val="0"/>
          <c:showVal val="0"/>
          <c:showCatName val="0"/>
          <c:showSerName val="0"/>
          <c:showPercent val="0"/>
          <c:showBubbleSize val="0"/>
        </c:dLbls>
        <c:axId val="127458688"/>
        <c:axId val="127739008"/>
      </c:scatterChart>
      <c:valAx>
        <c:axId val="127458688"/>
        <c:scaling>
          <c:orientation val="minMax"/>
        </c:scaling>
        <c:delete val="0"/>
        <c:axPos val="b"/>
        <c:numFmt formatCode="General" sourceLinked="1"/>
        <c:majorTickMark val="out"/>
        <c:minorTickMark val="none"/>
        <c:tickLblPos val="nextTo"/>
        <c:crossAx val="127739008"/>
        <c:crosses val="autoZero"/>
        <c:crossBetween val="midCat"/>
      </c:valAx>
      <c:valAx>
        <c:axId val="127739008"/>
        <c:scaling>
          <c:orientation val="minMax"/>
        </c:scaling>
        <c:delete val="0"/>
        <c:axPos val="l"/>
        <c:majorGridlines/>
        <c:numFmt formatCode="General" sourceLinked="1"/>
        <c:majorTickMark val="out"/>
        <c:minorTickMark val="none"/>
        <c:tickLblPos val="nextTo"/>
        <c:crossAx val="127458688"/>
        <c:crosses val="autoZero"/>
        <c:crossBetween val="midCat"/>
      </c:valAx>
    </c:plotArea>
    <c:legend>
      <c:legendPos val="r"/>
      <c:overlay val="0"/>
    </c:legend>
    <c:plotVisOnly val="1"/>
    <c:dispBlanksAs val="gap"/>
    <c:showDLblsOverMax val="0"/>
  </c:chart>
  <c:printSettings>
    <c:headerFooter/>
    <c:pageMargins b="0.75" l="0.7" r="0.7" t="0.75" header="0.3" footer="0.3"/>
    <c:pageSetup/>
  </c:printSettings>
</c:chartSpace>
</file>

<file path=xl/charts/chart19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v>MAI</c:v>
          </c:tx>
          <c:cat>
            <c:numLit>
              <c:formatCode>General</c:formatCode>
              <c:ptCount val="10"/>
              <c:pt idx="0">
                <c:v>2</c:v>
              </c:pt>
              <c:pt idx="1">
                <c:v>3</c:v>
              </c:pt>
              <c:pt idx="2">
                <c:v>4</c:v>
              </c:pt>
              <c:pt idx="3">
                <c:v>5</c:v>
              </c:pt>
              <c:pt idx="4">
                <c:v>6</c:v>
              </c:pt>
              <c:pt idx="5">
                <c:v>7</c:v>
              </c:pt>
              <c:pt idx="6">
                <c:v>8</c:v>
              </c:pt>
              <c:pt idx="7">
                <c:v>9</c:v>
              </c:pt>
              <c:pt idx="8">
                <c:v>10</c:v>
              </c:pt>
              <c:pt idx="9">
                <c:v>11</c:v>
              </c:pt>
            </c:numLit>
          </c:cat>
          <c:val>
            <c:numLit>
              <c:formatCode>General</c:formatCode>
              <c:ptCount val="10"/>
              <c:pt idx="0">
                <c:v>2.7941176470588234</c:v>
              </c:pt>
              <c:pt idx="1">
                <c:v>5.4509803921568629</c:v>
              </c:pt>
              <c:pt idx="2">
                <c:v>11.333333333333334</c:v>
              </c:pt>
              <c:pt idx="3">
                <c:v>11.775757575757575</c:v>
              </c:pt>
              <c:pt idx="4">
                <c:v>14.005050505050505</c:v>
              </c:pt>
              <c:pt idx="5">
                <c:v>15.869387755102041</c:v>
              </c:pt>
              <c:pt idx="6">
                <c:v>16.009999999999998</c:v>
              </c:pt>
              <c:pt idx="7">
                <c:v>16.140646976090011</c:v>
              </c:pt>
              <c:pt idx="8">
                <c:v>17.373170731707319</c:v>
              </c:pt>
              <c:pt idx="9">
                <c:v>18.376940133037696</c:v>
              </c:pt>
            </c:numLit>
          </c:val>
          <c:smooth val="0"/>
        </c:ser>
        <c:ser>
          <c:idx val="1"/>
          <c:order val="1"/>
          <c:tx>
            <c:v>CAI</c:v>
          </c:tx>
          <c:cat>
            <c:numLit>
              <c:formatCode>General</c:formatCode>
              <c:ptCount val="10"/>
              <c:pt idx="0">
                <c:v>2</c:v>
              </c:pt>
              <c:pt idx="1">
                <c:v>3</c:v>
              </c:pt>
              <c:pt idx="2">
                <c:v>4</c:v>
              </c:pt>
              <c:pt idx="3">
                <c:v>5</c:v>
              </c:pt>
              <c:pt idx="4">
                <c:v>6</c:v>
              </c:pt>
              <c:pt idx="5">
                <c:v>7</c:v>
              </c:pt>
              <c:pt idx="6">
                <c:v>8</c:v>
              </c:pt>
              <c:pt idx="7">
                <c:v>9</c:v>
              </c:pt>
              <c:pt idx="8">
                <c:v>10</c:v>
              </c:pt>
              <c:pt idx="9">
                <c:v>11</c:v>
              </c:pt>
            </c:numLit>
          </c:cat>
          <c:val>
            <c:numLit>
              <c:formatCode>General</c:formatCode>
              <c:ptCount val="10"/>
              <c:pt idx="0">
                <c:v>5.5882352941176467</c:v>
              </c:pt>
              <c:pt idx="1">
                <c:v>10.76470588235294</c:v>
              </c:pt>
              <c:pt idx="2">
                <c:v>33.75</c:v>
              </c:pt>
              <c:pt idx="3">
                <c:v>25.90909090909091</c:v>
              </c:pt>
              <c:pt idx="4">
                <c:v>25.151515151515152</c:v>
              </c:pt>
              <c:pt idx="5">
                <c:v>31.857142857142858</c:v>
              </c:pt>
              <c:pt idx="6">
                <c:v>24.4</c:v>
              </c:pt>
              <c:pt idx="7">
                <c:v>23.670886075949365</c:v>
              </c:pt>
              <c:pt idx="8">
                <c:v>33.780487804878049</c:v>
              </c:pt>
              <c:pt idx="9">
                <c:v>28.414634146341463</c:v>
              </c:pt>
            </c:numLit>
          </c:val>
          <c:smooth val="0"/>
        </c:ser>
        <c:dLbls>
          <c:showLegendKey val="0"/>
          <c:showVal val="0"/>
          <c:showCatName val="0"/>
          <c:showSerName val="0"/>
          <c:showPercent val="0"/>
          <c:showBubbleSize val="0"/>
        </c:dLbls>
        <c:marker val="1"/>
        <c:smooth val="0"/>
        <c:axId val="127756160"/>
        <c:axId val="127758336"/>
      </c:lineChart>
      <c:catAx>
        <c:axId val="127756160"/>
        <c:scaling>
          <c:orientation val="minMax"/>
        </c:scaling>
        <c:delete val="0"/>
        <c:axPos val="b"/>
        <c:title>
          <c:tx>
            <c:rich>
              <a:bodyPr/>
              <a:lstStyle/>
              <a:p>
                <a:pPr>
                  <a:defRPr/>
                </a:pPr>
                <a:r>
                  <a:rPr lang="en-US"/>
                  <a:t>Stand Age</a:t>
                </a:r>
              </a:p>
            </c:rich>
          </c:tx>
          <c:overlay val="0"/>
        </c:title>
        <c:numFmt formatCode="General" sourceLinked="1"/>
        <c:majorTickMark val="out"/>
        <c:minorTickMark val="none"/>
        <c:tickLblPos val="nextTo"/>
        <c:crossAx val="127758336"/>
        <c:crosses val="autoZero"/>
        <c:auto val="1"/>
        <c:lblAlgn val="ctr"/>
        <c:lblOffset val="100"/>
        <c:noMultiLvlLbl val="0"/>
      </c:catAx>
      <c:valAx>
        <c:axId val="127758336"/>
        <c:scaling>
          <c:orientation val="minMax"/>
        </c:scaling>
        <c:delete val="0"/>
        <c:axPos val="l"/>
        <c:majorGridlines/>
        <c:title>
          <c:tx>
            <c:rich>
              <a:bodyPr rot="-5400000" vert="horz"/>
              <a:lstStyle/>
              <a:p>
                <a:pPr>
                  <a:defRPr/>
                </a:pPr>
                <a:r>
                  <a:rPr lang="en-US"/>
                  <a:t>dry Mg ha-1 yr-1</a:t>
                </a:r>
              </a:p>
            </c:rich>
          </c:tx>
          <c:overlay val="0"/>
        </c:title>
        <c:numFmt formatCode="General" sourceLinked="1"/>
        <c:majorTickMark val="out"/>
        <c:minorTickMark val="none"/>
        <c:tickLblPos val="nextTo"/>
        <c:crossAx val="127756160"/>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9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v>0</c:v>
          </c:tx>
          <c:cat>
            <c:numLit>
              <c:formatCode>General</c:formatCode>
              <c:ptCount val="10"/>
              <c:pt idx="0">
                <c:v>2</c:v>
              </c:pt>
              <c:pt idx="1">
                <c:v>3</c:v>
              </c:pt>
              <c:pt idx="2">
                <c:v>4</c:v>
              </c:pt>
              <c:pt idx="3">
                <c:v>5</c:v>
              </c:pt>
              <c:pt idx="4">
                <c:v>6</c:v>
              </c:pt>
              <c:pt idx="5">
                <c:v>7</c:v>
              </c:pt>
              <c:pt idx="6">
                <c:v>8</c:v>
              </c:pt>
              <c:pt idx="7">
                <c:v>9</c:v>
              </c:pt>
              <c:pt idx="8">
                <c:v>10</c:v>
              </c:pt>
              <c:pt idx="9">
                <c:v>11</c:v>
              </c:pt>
            </c:numLit>
          </c:cat>
          <c:val>
            <c:numLit>
              <c:formatCode>General</c:formatCode>
              <c:ptCount val="10"/>
              <c:pt idx="0">
                <c:v>2.7142857142857144</c:v>
              </c:pt>
              <c:pt idx="1">
                <c:v>5.295238095238096</c:v>
              </c:pt>
              <c:pt idx="2">
                <c:v>8.7291666666666661</c:v>
              </c:pt>
              <c:pt idx="3">
                <c:v>8.7569230769230764</c:v>
              </c:pt>
              <c:pt idx="4">
                <c:v>9.712121212121211</c:v>
              </c:pt>
              <c:pt idx="5">
                <c:v>11.808163265306121</c:v>
              </c:pt>
              <c:pt idx="6">
                <c:v>13.009999999999998</c:v>
              </c:pt>
              <c:pt idx="7">
                <c:v>13.763713080168774</c:v>
              </c:pt>
              <c:pt idx="8">
                <c:v>14.726829268292681</c:v>
              </c:pt>
              <c:pt idx="9">
                <c:v>16.126385809312634</c:v>
              </c:pt>
            </c:numLit>
          </c:val>
          <c:smooth val="0"/>
        </c:ser>
        <c:ser>
          <c:idx val="1"/>
          <c:order val="1"/>
          <c:tx>
            <c:v>0</c:v>
          </c:tx>
          <c:cat>
            <c:numLit>
              <c:formatCode>General</c:formatCode>
              <c:ptCount val="10"/>
              <c:pt idx="0">
                <c:v>2</c:v>
              </c:pt>
              <c:pt idx="1">
                <c:v>3</c:v>
              </c:pt>
              <c:pt idx="2">
                <c:v>4</c:v>
              </c:pt>
              <c:pt idx="3">
                <c:v>5</c:v>
              </c:pt>
              <c:pt idx="4">
                <c:v>6</c:v>
              </c:pt>
              <c:pt idx="5">
                <c:v>7</c:v>
              </c:pt>
              <c:pt idx="6">
                <c:v>8</c:v>
              </c:pt>
              <c:pt idx="7">
                <c:v>9</c:v>
              </c:pt>
              <c:pt idx="8">
                <c:v>10</c:v>
              </c:pt>
              <c:pt idx="9">
                <c:v>11</c:v>
              </c:pt>
            </c:numLit>
          </c:cat>
          <c:val>
            <c:numLit>
              <c:formatCode>General</c:formatCode>
              <c:ptCount val="10"/>
              <c:pt idx="0">
                <c:v>1.4285714285714286</c:v>
              </c:pt>
              <c:pt idx="1">
                <c:v>10.457142857142857</c:v>
              </c:pt>
              <c:pt idx="2">
                <c:v>23.333333333333332</c:v>
              </c:pt>
              <c:pt idx="3">
                <c:v>17.999999999999996</c:v>
              </c:pt>
              <c:pt idx="4">
                <c:v>15.151515151515152</c:v>
              </c:pt>
              <c:pt idx="5">
                <c:v>27.714285714285712</c:v>
              </c:pt>
              <c:pt idx="6">
                <c:v>26.93333333333333</c:v>
              </c:pt>
              <c:pt idx="7">
                <c:v>25.063291139240505</c:v>
              </c:pt>
              <c:pt idx="8">
                <c:v>27.926829268292682</c:v>
              </c:pt>
              <c:pt idx="9">
                <c:v>30.121951219512194</c:v>
              </c:pt>
            </c:numLit>
          </c:val>
          <c:smooth val="0"/>
        </c:ser>
        <c:dLbls>
          <c:showLegendKey val="0"/>
          <c:showVal val="0"/>
          <c:showCatName val="0"/>
          <c:showSerName val="0"/>
          <c:showPercent val="0"/>
          <c:showBubbleSize val="0"/>
        </c:dLbls>
        <c:marker val="1"/>
        <c:smooth val="0"/>
        <c:axId val="127607552"/>
        <c:axId val="127609088"/>
      </c:lineChart>
      <c:catAx>
        <c:axId val="127607552"/>
        <c:scaling>
          <c:orientation val="minMax"/>
        </c:scaling>
        <c:delete val="0"/>
        <c:axPos val="b"/>
        <c:numFmt formatCode="General" sourceLinked="1"/>
        <c:majorTickMark val="out"/>
        <c:minorTickMark val="none"/>
        <c:tickLblPos val="nextTo"/>
        <c:crossAx val="127609088"/>
        <c:crosses val="autoZero"/>
        <c:auto val="1"/>
        <c:lblAlgn val="ctr"/>
        <c:lblOffset val="100"/>
        <c:noMultiLvlLbl val="0"/>
      </c:catAx>
      <c:valAx>
        <c:axId val="127609088"/>
        <c:scaling>
          <c:orientation val="minMax"/>
        </c:scaling>
        <c:delete val="0"/>
        <c:axPos val="l"/>
        <c:majorGridlines/>
        <c:numFmt formatCode="General" sourceLinked="1"/>
        <c:majorTickMark val="out"/>
        <c:minorTickMark val="none"/>
        <c:tickLblPos val="nextTo"/>
        <c:crossAx val="127607552"/>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9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v>0</c:v>
          </c:tx>
          <c:val>
            <c:numLit>
              <c:formatCode>General</c:formatCode>
              <c:ptCount val="10"/>
              <c:pt idx="0">
                <c:v>2.6388888888888888</c:v>
              </c:pt>
              <c:pt idx="1">
                <c:v>4.3796296296296298</c:v>
              </c:pt>
              <c:pt idx="2">
                <c:v>5.6020408163265314</c:v>
              </c:pt>
              <c:pt idx="3">
                <c:v>5.9343750000000011</c:v>
              </c:pt>
              <c:pt idx="4">
                <c:v>5.9333333333333327</c:v>
              </c:pt>
              <c:pt idx="5">
                <c:v>7.8550724637681171</c:v>
              </c:pt>
              <c:pt idx="6">
                <c:v>9.0035211267605639</c:v>
              </c:pt>
              <c:pt idx="7">
                <c:v>9.872592592592591</c:v>
              </c:pt>
              <c:pt idx="8">
                <c:v>10.436450839328538</c:v>
              </c:pt>
              <c:pt idx="9">
                <c:v>11.71135818617833</c:v>
              </c:pt>
            </c:numLit>
          </c:val>
          <c:smooth val="0"/>
        </c:ser>
        <c:ser>
          <c:idx val="1"/>
          <c:order val="1"/>
          <c:tx>
            <c:v>0</c:v>
          </c:tx>
          <c:val>
            <c:numLit>
              <c:formatCode>General</c:formatCode>
              <c:ptCount val="10"/>
              <c:pt idx="0">
                <c:v>1.3888888888888888</c:v>
              </c:pt>
              <c:pt idx="1">
                <c:v>7.8611111111111107</c:v>
              </c:pt>
              <c:pt idx="2">
                <c:v>12.771428571428572</c:v>
              </c:pt>
              <c:pt idx="3">
                <c:v>12.515625</c:v>
              </c:pt>
              <c:pt idx="4">
                <c:v>6.384615384615385</c:v>
              </c:pt>
              <c:pt idx="5">
                <c:v>21.449275362318843</c:v>
              </c:pt>
              <c:pt idx="6">
                <c:v>18.591549295774648</c:v>
              </c:pt>
              <c:pt idx="7">
                <c:v>20.666666666666664</c:v>
              </c:pt>
              <c:pt idx="8">
                <c:v>24.46043165467626</c:v>
              </c:pt>
              <c:pt idx="9">
                <c:v>24.46043165467626</c:v>
              </c:pt>
            </c:numLit>
          </c:val>
          <c:smooth val="0"/>
        </c:ser>
        <c:dLbls>
          <c:showLegendKey val="0"/>
          <c:showVal val="0"/>
          <c:showCatName val="0"/>
          <c:showSerName val="0"/>
          <c:showPercent val="0"/>
          <c:showBubbleSize val="0"/>
        </c:dLbls>
        <c:marker val="1"/>
        <c:smooth val="0"/>
        <c:axId val="127617664"/>
        <c:axId val="127631744"/>
      </c:lineChart>
      <c:catAx>
        <c:axId val="127617664"/>
        <c:scaling>
          <c:orientation val="minMax"/>
        </c:scaling>
        <c:delete val="0"/>
        <c:axPos val="b"/>
        <c:majorTickMark val="out"/>
        <c:minorTickMark val="none"/>
        <c:tickLblPos val="nextTo"/>
        <c:crossAx val="127631744"/>
        <c:crosses val="autoZero"/>
        <c:auto val="1"/>
        <c:lblAlgn val="ctr"/>
        <c:lblOffset val="100"/>
        <c:noMultiLvlLbl val="0"/>
      </c:catAx>
      <c:valAx>
        <c:axId val="127631744"/>
        <c:scaling>
          <c:orientation val="minMax"/>
        </c:scaling>
        <c:delete val="0"/>
        <c:axPos val="l"/>
        <c:majorGridlines/>
        <c:numFmt formatCode="General" sourceLinked="1"/>
        <c:majorTickMark val="out"/>
        <c:minorTickMark val="none"/>
        <c:tickLblPos val="nextTo"/>
        <c:crossAx val="127617664"/>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9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lotArea>
      <c:layout/>
      <c:barChart>
        <c:barDir val="col"/>
        <c:grouping val="clustered"/>
        <c:varyColors val="0"/>
        <c:ser>
          <c:idx val="0"/>
          <c:order val="0"/>
          <c:tx>
            <c:v>MAI Age 6</c:v>
          </c:tx>
          <c:invertIfNegative val="0"/>
          <c:cat>
            <c:strLit>
              <c:ptCount val="3"/>
              <c:pt idx="0">
                <c:v>WIFP</c:v>
              </c:pt>
              <c:pt idx="1">
                <c:v>WIF</c:v>
              </c:pt>
              <c:pt idx="2">
                <c:v>W</c:v>
              </c:pt>
            </c:strLit>
          </c:cat>
          <c:val>
            <c:numLit>
              <c:formatCode>General</c:formatCode>
              <c:ptCount val="3"/>
              <c:pt idx="0">
                <c:v>15.233333333333334</c:v>
              </c:pt>
              <c:pt idx="1">
                <c:v>11.450000000000001</c:v>
              </c:pt>
              <c:pt idx="2">
                <c:v>8.0666666666666664</c:v>
              </c:pt>
            </c:numLit>
          </c:val>
        </c:ser>
        <c:dLbls>
          <c:showLegendKey val="0"/>
          <c:showVal val="0"/>
          <c:showCatName val="0"/>
          <c:showSerName val="0"/>
          <c:showPercent val="0"/>
          <c:showBubbleSize val="0"/>
        </c:dLbls>
        <c:gapWidth val="150"/>
        <c:axId val="127668224"/>
        <c:axId val="127669760"/>
      </c:barChart>
      <c:catAx>
        <c:axId val="127668224"/>
        <c:scaling>
          <c:orientation val="minMax"/>
        </c:scaling>
        <c:delete val="0"/>
        <c:axPos val="b"/>
        <c:majorTickMark val="out"/>
        <c:minorTickMark val="none"/>
        <c:tickLblPos val="nextTo"/>
        <c:crossAx val="127669760"/>
        <c:crosses val="autoZero"/>
        <c:auto val="1"/>
        <c:lblAlgn val="ctr"/>
        <c:lblOffset val="100"/>
        <c:noMultiLvlLbl val="0"/>
      </c:catAx>
      <c:valAx>
        <c:axId val="127669760"/>
        <c:scaling>
          <c:orientation val="minMax"/>
        </c:scaling>
        <c:delete val="0"/>
        <c:axPos val="l"/>
        <c:majorGridlines/>
        <c:numFmt formatCode="General" sourceLinked="1"/>
        <c:majorTickMark val="out"/>
        <c:minorTickMark val="none"/>
        <c:tickLblPos val="nextTo"/>
        <c:crossAx val="127668224"/>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9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lotArea>
      <c:layout/>
      <c:barChart>
        <c:barDir val="col"/>
        <c:grouping val="clustered"/>
        <c:varyColors val="0"/>
        <c:ser>
          <c:idx val="0"/>
          <c:order val="0"/>
          <c:tx>
            <c:v>MAI Age 6</c:v>
          </c:tx>
          <c:invertIfNegative val="0"/>
          <c:cat>
            <c:strLit>
              <c:ptCount val="5"/>
              <c:pt idx="0">
                <c:v>C</c:v>
              </c:pt>
              <c:pt idx="1">
                <c:v>I</c:v>
              </c:pt>
              <c:pt idx="2">
                <c:v>I-LF</c:v>
              </c:pt>
              <c:pt idx="3">
                <c:v>I-MF</c:v>
              </c:pt>
              <c:pt idx="4">
                <c:v>I- HF</c:v>
              </c:pt>
            </c:strLit>
          </c:cat>
          <c:val>
            <c:numLit>
              <c:formatCode>General</c:formatCode>
              <c:ptCount val="5"/>
              <c:pt idx="0">
                <c:v>7.3483333333333336</c:v>
              </c:pt>
              <c:pt idx="1">
                <c:v>8.8066666666666666</c:v>
              </c:pt>
              <c:pt idx="2">
                <c:v>10.938333333333333</c:v>
              </c:pt>
              <c:pt idx="3">
                <c:v>13.193333333333333</c:v>
              </c:pt>
              <c:pt idx="4">
                <c:v>12.033333333333333</c:v>
              </c:pt>
            </c:numLit>
          </c:val>
        </c:ser>
        <c:dLbls>
          <c:showLegendKey val="0"/>
          <c:showVal val="0"/>
          <c:showCatName val="0"/>
          <c:showSerName val="0"/>
          <c:showPercent val="0"/>
          <c:showBubbleSize val="0"/>
        </c:dLbls>
        <c:gapWidth val="150"/>
        <c:axId val="127682048"/>
        <c:axId val="127683584"/>
      </c:barChart>
      <c:catAx>
        <c:axId val="127682048"/>
        <c:scaling>
          <c:orientation val="minMax"/>
        </c:scaling>
        <c:delete val="0"/>
        <c:axPos val="b"/>
        <c:majorTickMark val="out"/>
        <c:minorTickMark val="none"/>
        <c:tickLblPos val="nextTo"/>
        <c:crossAx val="127683584"/>
        <c:crosses val="autoZero"/>
        <c:auto val="1"/>
        <c:lblAlgn val="ctr"/>
        <c:lblOffset val="100"/>
        <c:noMultiLvlLbl val="0"/>
      </c:catAx>
      <c:valAx>
        <c:axId val="127683584"/>
        <c:scaling>
          <c:orientation val="minMax"/>
        </c:scaling>
        <c:delete val="0"/>
        <c:axPos val="l"/>
        <c:majorGridlines/>
        <c:numFmt formatCode="General" sourceLinked="1"/>
        <c:majorTickMark val="out"/>
        <c:minorTickMark val="none"/>
        <c:tickLblPos val="nextTo"/>
        <c:crossAx val="127682048"/>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9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MAI</a:t>
            </a:r>
            <a:r>
              <a:rPr lang="en-US" baseline="0"/>
              <a:t> Age 6</a:t>
            </a:r>
            <a:endParaRPr lang="en-US"/>
          </a:p>
        </c:rich>
      </c:tx>
      <c:overlay val="0"/>
    </c:title>
    <c:autoTitleDeleted val="0"/>
    <c:plotArea>
      <c:layout/>
      <c:barChart>
        <c:barDir val="col"/>
        <c:grouping val="clustered"/>
        <c:varyColors val="0"/>
        <c:ser>
          <c:idx val="0"/>
          <c:order val="0"/>
          <c:tx>
            <c:v>0</c:v>
          </c:tx>
          <c:invertIfNegative val="0"/>
          <c:cat>
            <c:strLit>
              <c:ptCount val="5"/>
              <c:pt idx="0">
                <c:v>C</c:v>
              </c:pt>
              <c:pt idx="1">
                <c:v>I</c:v>
              </c:pt>
              <c:pt idx="2">
                <c:v>I-LF</c:v>
              </c:pt>
              <c:pt idx="3">
                <c:v>I-MF</c:v>
              </c:pt>
              <c:pt idx="4">
                <c:v>I-HF</c:v>
              </c:pt>
            </c:strLit>
          </c:cat>
          <c:val>
            <c:numLit>
              <c:formatCode>General</c:formatCode>
              <c:ptCount val="5"/>
              <c:pt idx="0">
                <c:v>5.1450000000000005</c:v>
              </c:pt>
              <c:pt idx="1">
                <c:v>6.1849999999999996</c:v>
              </c:pt>
              <c:pt idx="2">
                <c:v>8.5683333333333334</c:v>
              </c:pt>
              <c:pt idx="3">
                <c:v>9.8266666666666662</c:v>
              </c:pt>
              <c:pt idx="4">
                <c:v>9.3016666666666676</c:v>
              </c:pt>
            </c:numLit>
          </c:val>
        </c:ser>
        <c:dLbls>
          <c:showLegendKey val="0"/>
          <c:showVal val="0"/>
          <c:showCatName val="0"/>
          <c:showSerName val="0"/>
          <c:showPercent val="0"/>
          <c:showBubbleSize val="0"/>
        </c:dLbls>
        <c:gapWidth val="150"/>
        <c:axId val="127695872"/>
        <c:axId val="127701760"/>
      </c:barChart>
      <c:catAx>
        <c:axId val="127695872"/>
        <c:scaling>
          <c:orientation val="minMax"/>
        </c:scaling>
        <c:delete val="0"/>
        <c:axPos val="b"/>
        <c:majorTickMark val="out"/>
        <c:minorTickMark val="none"/>
        <c:tickLblPos val="nextTo"/>
        <c:crossAx val="127701760"/>
        <c:crosses val="autoZero"/>
        <c:auto val="1"/>
        <c:lblAlgn val="ctr"/>
        <c:lblOffset val="100"/>
        <c:noMultiLvlLbl val="0"/>
      </c:catAx>
      <c:valAx>
        <c:axId val="127701760"/>
        <c:scaling>
          <c:orientation val="minMax"/>
        </c:scaling>
        <c:delete val="0"/>
        <c:axPos val="l"/>
        <c:majorGridlines/>
        <c:numFmt formatCode="General" sourceLinked="1"/>
        <c:majorTickMark val="out"/>
        <c:minorTickMark val="none"/>
        <c:tickLblPos val="nextTo"/>
        <c:crossAx val="127695872"/>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'Growth Pattern'!$CE$93</c:f>
              <c:strCache>
                <c:ptCount val="1"/>
                <c:pt idx="0">
                  <c:v>MAI</c:v>
                </c:pt>
              </c:strCache>
            </c:strRef>
          </c:tx>
          <c:val>
            <c:numRef>
              <c:f>'Growth Pattern'!$CE$94:$CE$98</c:f>
              <c:numCache>
                <c:formatCode>0.00</c:formatCode>
                <c:ptCount val="5"/>
                <c:pt idx="0">
                  <c:v>1.5</c:v>
                </c:pt>
                <c:pt idx="1">
                  <c:v>3.15</c:v>
                </c:pt>
                <c:pt idx="2">
                  <c:v>4.5333333333333332</c:v>
                </c:pt>
                <c:pt idx="3">
                  <c:v>5.6999999999999993</c:v>
                </c:pt>
                <c:pt idx="4">
                  <c:v>6.839999999999999</c:v>
                </c:pt>
              </c:numCache>
            </c:numRef>
          </c:val>
          <c:smooth val="0"/>
        </c:ser>
        <c:ser>
          <c:idx val="1"/>
          <c:order val="1"/>
          <c:tx>
            <c:strRef>
              <c:f>'Growth Pattern'!$CF$87</c:f>
              <c:strCache>
                <c:ptCount val="1"/>
                <c:pt idx="0">
                  <c:v>CAI</c:v>
                </c:pt>
              </c:strCache>
            </c:strRef>
          </c:tx>
          <c:val>
            <c:numRef>
              <c:f>'Growth Pattern'!$CF$94:$CF$98</c:f>
              <c:numCache>
                <c:formatCode>0.00</c:formatCode>
                <c:ptCount val="5"/>
                <c:pt idx="0">
                  <c:v>1.5</c:v>
                </c:pt>
                <c:pt idx="1">
                  <c:v>4.8</c:v>
                </c:pt>
                <c:pt idx="2">
                  <c:v>7.3</c:v>
                </c:pt>
                <c:pt idx="3">
                  <c:v>9.1999999999999993</c:v>
                </c:pt>
                <c:pt idx="4">
                  <c:v>11.4</c:v>
                </c:pt>
              </c:numCache>
            </c:numRef>
          </c:val>
          <c:smooth val="0"/>
        </c:ser>
        <c:dLbls>
          <c:showLegendKey val="0"/>
          <c:showVal val="0"/>
          <c:showCatName val="0"/>
          <c:showSerName val="0"/>
          <c:showPercent val="0"/>
          <c:showBubbleSize val="0"/>
        </c:dLbls>
        <c:marker val="1"/>
        <c:smooth val="0"/>
        <c:axId val="90811776"/>
        <c:axId val="90813952"/>
      </c:lineChart>
      <c:catAx>
        <c:axId val="90811776"/>
        <c:scaling>
          <c:orientation val="minMax"/>
        </c:scaling>
        <c:delete val="0"/>
        <c:axPos val="b"/>
        <c:title>
          <c:tx>
            <c:rich>
              <a:bodyPr/>
              <a:lstStyle/>
              <a:p>
                <a:pPr>
                  <a:defRPr/>
                </a:pPr>
                <a:r>
                  <a:rPr lang="en-US"/>
                  <a:t>Root Age/Harvest Year</a:t>
                </a:r>
              </a:p>
            </c:rich>
          </c:tx>
          <c:overlay val="0"/>
        </c:title>
        <c:majorTickMark val="out"/>
        <c:minorTickMark val="none"/>
        <c:tickLblPos val="nextTo"/>
        <c:crossAx val="90813952"/>
        <c:crosses val="autoZero"/>
        <c:auto val="1"/>
        <c:lblAlgn val="ctr"/>
        <c:lblOffset val="100"/>
        <c:noMultiLvlLbl val="0"/>
      </c:catAx>
      <c:valAx>
        <c:axId val="90813952"/>
        <c:scaling>
          <c:orientation val="minMax"/>
        </c:scaling>
        <c:delete val="0"/>
        <c:axPos val="l"/>
        <c:majorGridlines/>
        <c:title>
          <c:tx>
            <c:rich>
              <a:bodyPr rot="-5400000" vert="horz"/>
              <a:lstStyle/>
              <a:p>
                <a:pPr>
                  <a:defRPr/>
                </a:pPr>
                <a:r>
                  <a:rPr lang="en-US"/>
                  <a:t>dry Mg ha-1 yr-1</a:t>
                </a:r>
              </a:p>
            </c:rich>
          </c:tx>
          <c:overlay val="0"/>
        </c:title>
        <c:numFmt formatCode="0.00" sourceLinked="1"/>
        <c:majorTickMark val="out"/>
        <c:minorTickMark val="none"/>
        <c:tickLblPos val="nextTo"/>
        <c:crossAx val="90811776"/>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160305704663177"/>
          <c:y val="0.1378768458500223"/>
          <c:w val="0.62096524178649393"/>
          <c:h val="0.6959103094833079"/>
        </c:manualLayout>
      </c:layout>
      <c:lineChart>
        <c:grouping val="standard"/>
        <c:varyColors val="0"/>
        <c:ser>
          <c:idx val="0"/>
          <c:order val="0"/>
          <c:tx>
            <c:strRef>
              <c:f>'Growth Pattern'!$CE$271</c:f>
              <c:strCache>
                <c:ptCount val="1"/>
                <c:pt idx="0">
                  <c:v>MAI</c:v>
                </c:pt>
              </c:strCache>
            </c:strRef>
          </c:tx>
          <c:val>
            <c:numRef>
              <c:f>'Growth Pattern'!$CE$272:$CE$275</c:f>
              <c:numCache>
                <c:formatCode>0.00</c:formatCode>
                <c:ptCount val="4"/>
                <c:pt idx="0">
                  <c:v>1.52</c:v>
                </c:pt>
                <c:pt idx="1">
                  <c:v>2.99</c:v>
                </c:pt>
                <c:pt idx="2">
                  <c:v>5.9200000000000008</c:v>
                </c:pt>
                <c:pt idx="3">
                  <c:v>9.3000000000000007</c:v>
                </c:pt>
              </c:numCache>
            </c:numRef>
          </c:val>
          <c:smooth val="0"/>
        </c:ser>
        <c:ser>
          <c:idx val="1"/>
          <c:order val="1"/>
          <c:tx>
            <c:strRef>
              <c:f>'Growth Pattern'!$CF$271</c:f>
              <c:strCache>
                <c:ptCount val="1"/>
                <c:pt idx="0">
                  <c:v>CAI</c:v>
                </c:pt>
              </c:strCache>
            </c:strRef>
          </c:tx>
          <c:val>
            <c:numRef>
              <c:f>'Growth Pattern'!$CF$272:$CF$275</c:f>
              <c:numCache>
                <c:formatCode>0.00</c:formatCode>
                <c:ptCount val="4"/>
                <c:pt idx="0">
                  <c:v>1.52</c:v>
                </c:pt>
                <c:pt idx="1">
                  <c:v>4.4600000000000009</c:v>
                </c:pt>
                <c:pt idx="2">
                  <c:v>11.780000000000001</c:v>
                </c:pt>
                <c:pt idx="3">
                  <c:v>19.440000000000001</c:v>
                </c:pt>
              </c:numCache>
            </c:numRef>
          </c:val>
          <c:smooth val="0"/>
        </c:ser>
        <c:dLbls>
          <c:showLegendKey val="0"/>
          <c:showVal val="0"/>
          <c:showCatName val="0"/>
          <c:showSerName val="0"/>
          <c:showPercent val="0"/>
          <c:showBubbleSize val="0"/>
        </c:dLbls>
        <c:marker val="1"/>
        <c:smooth val="0"/>
        <c:axId val="93917184"/>
        <c:axId val="93918720"/>
      </c:lineChart>
      <c:catAx>
        <c:axId val="93917184"/>
        <c:scaling>
          <c:orientation val="minMax"/>
        </c:scaling>
        <c:delete val="0"/>
        <c:axPos val="b"/>
        <c:majorTickMark val="out"/>
        <c:minorTickMark val="none"/>
        <c:tickLblPos val="nextTo"/>
        <c:crossAx val="93918720"/>
        <c:crosses val="autoZero"/>
        <c:auto val="1"/>
        <c:lblAlgn val="ctr"/>
        <c:lblOffset val="100"/>
        <c:noMultiLvlLbl val="0"/>
      </c:catAx>
      <c:valAx>
        <c:axId val="93918720"/>
        <c:scaling>
          <c:orientation val="minMax"/>
        </c:scaling>
        <c:delete val="0"/>
        <c:axPos val="l"/>
        <c:majorGridlines/>
        <c:numFmt formatCode="0.00" sourceLinked="1"/>
        <c:majorTickMark val="out"/>
        <c:minorTickMark val="none"/>
        <c:tickLblPos val="nextTo"/>
        <c:crossAx val="93917184"/>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20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'Growth Pattern'!$CE$1614</c:f>
              <c:strCache>
                <c:ptCount val="1"/>
                <c:pt idx="0">
                  <c:v>MAI</c:v>
                </c:pt>
              </c:strCache>
            </c:strRef>
          </c:tx>
          <c:cat>
            <c:numRef>
              <c:f>'Growth Pattern'!$CD$1615:$CD$1627</c:f>
              <c:numCache>
                <c:formatCode>0</c:formatCode>
                <c:ptCount val="13"/>
                <c:pt idx="0">
                  <c:v>3</c:v>
                </c:pt>
                <c:pt idx="1">
                  <c:v>4</c:v>
                </c:pt>
                <c:pt idx="2">
                  <c:v>5</c:v>
                </c:pt>
                <c:pt idx="3">
                  <c:v>6</c:v>
                </c:pt>
                <c:pt idx="4">
                  <c:v>7</c:v>
                </c:pt>
                <c:pt idx="5">
                  <c:v>8</c:v>
                </c:pt>
                <c:pt idx="6">
                  <c:v>9</c:v>
                </c:pt>
                <c:pt idx="7">
                  <c:v>10</c:v>
                </c:pt>
                <c:pt idx="8">
                  <c:v>11</c:v>
                </c:pt>
                <c:pt idx="9">
                  <c:v>12</c:v>
                </c:pt>
                <c:pt idx="10">
                  <c:v>13</c:v>
                </c:pt>
                <c:pt idx="11">
                  <c:v>14</c:v>
                </c:pt>
                <c:pt idx="12">
                  <c:v>15</c:v>
                </c:pt>
              </c:numCache>
            </c:numRef>
          </c:cat>
          <c:val>
            <c:numRef>
              <c:f>'Growth Pattern'!$CE$1615:$CE$1627</c:f>
              <c:numCache>
                <c:formatCode>0.00</c:formatCode>
                <c:ptCount val="13"/>
                <c:pt idx="0">
                  <c:v>0.34375</c:v>
                </c:pt>
                <c:pt idx="1">
                  <c:v>2.0203541666666669</c:v>
                </c:pt>
                <c:pt idx="2">
                  <c:v>4.3081034482758618</c:v>
                </c:pt>
                <c:pt idx="3">
                  <c:v>6.7959032258064518</c:v>
                </c:pt>
                <c:pt idx="4">
                  <c:v>8.8938730158730159</c:v>
                </c:pt>
                <c:pt idx="5">
                  <c:v>10.614984615384616</c:v>
                </c:pt>
                <c:pt idx="6">
                  <c:v>11.780661764705883</c:v>
                </c:pt>
                <c:pt idx="7">
                  <c:v>12.566785714285714</c:v>
                </c:pt>
                <c:pt idx="8">
                  <c:v>13.502541666666668</c:v>
                </c:pt>
                <c:pt idx="9">
                  <c:v>13.823283783783783</c:v>
                </c:pt>
                <c:pt idx="10">
                  <c:v>13.881706666666666</c:v>
                </c:pt>
                <c:pt idx="11">
                  <c:v>14.248546666666666</c:v>
                </c:pt>
                <c:pt idx="12">
                  <c:v>15.172666666666666</c:v>
                </c:pt>
              </c:numCache>
            </c:numRef>
          </c:val>
          <c:smooth val="0"/>
        </c:ser>
        <c:ser>
          <c:idx val="1"/>
          <c:order val="1"/>
          <c:tx>
            <c:strRef>
              <c:f>'Growth Pattern'!$CF$1614</c:f>
              <c:strCache>
                <c:ptCount val="1"/>
                <c:pt idx="0">
                  <c:v>CAI</c:v>
                </c:pt>
              </c:strCache>
            </c:strRef>
          </c:tx>
          <c:cat>
            <c:numRef>
              <c:f>'Growth Pattern'!$CD$1615:$CD$1627</c:f>
              <c:numCache>
                <c:formatCode>0</c:formatCode>
                <c:ptCount val="13"/>
                <c:pt idx="0">
                  <c:v>3</c:v>
                </c:pt>
                <c:pt idx="1">
                  <c:v>4</c:v>
                </c:pt>
                <c:pt idx="2">
                  <c:v>5</c:v>
                </c:pt>
                <c:pt idx="3">
                  <c:v>6</c:v>
                </c:pt>
                <c:pt idx="4">
                  <c:v>7</c:v>
                </c:pt>
                <c:pt idx="5">
                  <c:v>8</c:v>
                </c:pt>
                <c:pt idx="6">
                  <c:v>9</c:v>
                </c:pt>
                <c:pt idx="7">
                  <c:v>10</c:v>
                </c:pt>
                <c:pt idx="8">
                  <c:v>11</c:v>
                </c:pt>
                <c:pt idx="9">
                  <c:v>12</c:v>
                </c:pt>
                <c:pt idx="10">
                  <c:v>13</c:v>
                </c:pt>
                <c:pt idx="11">
                  <c:v>14</c:v>
                </c:pt>
                <c:pt idx="12">
                  <c:v>15</c:v>
                </c:pt>
              </c:numCache>
            </c:numRef>
          </c:cat>
          <c:val>
            <c:numRef>
              <c:f>'Growth Pattern'!$CF$1615:$CF$1627</c:f>
              <c:numCache>
                <c:formatCode>0.00</c:formatCode>
                <c:ptCount val="13"/>
                <c:pt idx="0">
                  <c:v>0.69169999999999998</c:v>
                </c:pt>
                <c:pt idx="1">
                  <c:v>7.7285416666666675</c:v>
                </c:pt>
                <c:pt idx="2">
                  <c:v>14.637017241379311</c:v>
                </c:pt>
                <c:pt idx="3">
                  <c:v>20.128645161290322</c:v>
                </c:pt>
                <c:pt idx="4">
                  <c:v>22.457158730158728</c:v>
                </c:pt>
                <c:pt idx="5">
                  <c:v>24.404153846153847</c:v>
                </c:pt>
                <c:pt idx="6">
                  <c:v>25.57594117647059</c:v>
                </c:pt>
                <c:pt idx="7">
                  <c:v>21.390400000000003</c:v>
                </c:pt>
                <c:pt idx="8">
                  <c:v>26.467097222222222</c:v>
                </c:pt>
                <c:pt idx="9">
                  <c:v>22.797405405405406</c:v>
                </c:pt>
                <c:pt idx="10">
                  <c:v>16.234639999999999</c:v>
                </c:pt>
                <c:pt idx="11">
                  <c:v>19.697546666666668</c:v>
                </c:pt>
                <c:pt idx="12">
                  <c:v>28.299479999999996</c:v>
                </c:pt>
              </c:numCache>
            </c:numRef>
          </c:val>
          <c:smooth val="0"/>
        </c:ser>
        <c:dLbls>
          <c:showLegendKey val="0"/>
          <c:showVal val="0"/>
          <c:showCatName val="0"/>
          <c:showSerName val="0"/>
          <c:showPercent val="0"/>
          <c:showBubbleSize val="0"/>
        </c:dLbls>
        <c:marker val="1"/>
        <c:smooth val="0"/>
        <c:axId val="127817216"/>
        <c:axId val="127818752"/>
      </c:lineChart>
      <c:catAx>
        <c:axId val="127817216"/>
        <c:scaling>
          <c:orientation val="minMax"/>
        </c:scaling>
        <c:delete val="0"/>
        <c:axPos val="b"/>
        <c:numFmt formatCode="0" sourceLinked="1"/>
        <c:majorTickMark val="out"/>
        <c:minorTickMark val="none"/>
        <c:tickLblPos val="nextTo"/>
        <c:crossAx val="127818752"/>
        <c:crosses val="autoZero"/>
        <c:auto val="1"/>
        <c:lblAlgn val="ctr"/>
        <c:lblOffset val="100"/>
        <c:noMultiLvlLbl val="0"/>
      </c:catAx>
      <c:valAx>
        <c:axId val="127818752"/>
        <c:scaling>
          <c:orientation val="minMax"/>
        </c:scaling>
        <c:delete val="0"/>
        <c:axPos val="l"/>
        <c:majorGridlines/>
        <c:numFmt formatCode="0.00" sourceLinked="1"/>
        <c:majorTickMark val="out"/>
        <c:minorTickMark val="none"/>
        <c:tickLblPos val="nextTo"/>
        <c:crossAx val="127817216"/>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20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'Growth Pattern'!$CE$1630</c:f>
              <c:strCache>
                <c:ptCount val="1"/>
                <c:pt idx="0">
                  <c:v>MAI</c:v>
                </c:pt>
              </c:strCache>
            </c:strRef>
          </c:tx>
          <c:cat>
            <c:numRef>
              <c:f>'Growth Pattern'!$CD$1631:$CD$1643</c:f>
              <c:numCache>
                <c:formatCode>0</c:formatCode>
                <c:ptCount val="13"/>
                <c:pt idx="0">
                  <c:v>3</c:v>
                </c:pt>
                <c:pt idx="1">
                  <c:v>4</c:v>
                </c:pt>
                <c:pt idx="2">
                  <c:v>5</c:v>
                </c:pt>
                <c:pt idx="3">
                  <c:v>6</c:v>
                </c:pt>
                <c:pt idx="4">
                  <c:v>7</c:v>
                </c:pt>
                <c:pt idx="5">
                  <c:v>8</c:v>
                </c:pt>
                <c:pt idx="6">
                  <c:v>9</c:v>
                </c:pt>
                <c:pt idx="7">
                  <c:v>10</c:v>
                </c:pt>
                <c:pt idx="8">
                  <c:v>11</c:v>
                </c:pt>
                <c:pt idx="9">
                  <c:v>12</c:v>
                </c:pt>
                <c:pt idx="10">
                  <c:v>13</c:v>
                </c:pt>
                <c:pt idx="11">
                  <c:v>14</c:v>
                </c:pt>
                <c:pt idx="12">
                  <c:v>15</c:v>
                </c:pt>
              </c:numCache>
            </c:numRef>
          </c:cat>
          <c:val>
            <c:numRef>
              <c:f>'Growth Pattern'!$CE$1631:$CE$1643</c:f>
              <c:numCache>
                <c:formatCode>0.00</c:formatCode>
                <c:ptCount val="13"/>
                <c:pt idx="0">
                  <c:v>2.981238095238095</c:v>
                </c:pt>
                <c:pt idx="1">
                  <c:v>5.494092592592593</c:v>
                </c:pt>
                <c:pt idx="2">
                  <c:v>8.3442833333333333</c:v>
                </c:pt>
                <c:pt idx="3">
                  <c:v>9.9314285714285706</c:v>
                </c:pt>
                <c:pt idx="4">
                  <c:v>11.222015624999999</c:v>
                </c:pt>
                <c:pt idx="5">
                  <c:v>12.213424242424242</c:v>
                </c:pt>
                <c:pt idx="6">
                  <c:v>13.010044117647061</c:v>
                </c:pt>
                <c:pt idx="7">
                  <c:v>13.371098591549295</c:v>
                </c:pt>
                <c:pt idx="8">
                  <c:v>14.144767123287671</c:v>
                </c:pt>
                <c:pt idx="9">
                  <c:v>14.62968</c:v>
                </c:pt>
                <c:pt idx="10">
                  <c:v>15.05836</c:v>
                </c:pt>
                <c:pt idx="11">
                  <c:v>15.425106666666666</c:v>
                </c:pt>
                <c:pt idx="12">
                  <c:v>16.410959999999999</c:v>
                </c:pt>
              </c:numCache>
            </c:numRef>
          </c:val>
          <c:smooth val="0"/>
        </c:ser>
        <c:ser>
          <c:idx val="1"/>
          <c:order val="1"/>
          <c:tx>
            <c:strRef>
              <c:f>'Growth Pattern'!$CF$1630</c:f>
              <c:strCache>
                <c:ptCount val="1"/>
                <c:pt idx="0">
                  <c:v>CAI</c:v>
                </c:pt>
              </c:strCache>
            </c:strRef>
          </c:tx>
          <c:cat>
            <c:numRef>
              <c:f>'Growth Pattern'!$CD$1631:$CD$1643</c:f>
              <c:numCache>
                <c:formatCode>0</c:formatCode>
                <c:ptCount val="13"/>
                <c:pt idx="0">
                  <c:v>3</c:v>
                </c:pt>
                <c:pt idx="1">
                  <c:v>4</c:v>
                </c:pt>
                <c:pt idx="2">
                  <c:v>5</c:v>
                </c:pt>
                <c:pt idx="3">
                  <c:v>6</c:v>
                </c:pt>
                <c:pt idx="4">
                  <c:v>7</c:v>
                </c:pt>
                <c:pt idx="5">
                  <c:v>8</c:v>
                </c:pt>
                <c:pt idx="6">
                  <c:v>9</c:v>
                </c:pt>
                <c:pt idx="7">
                  <c:v>10</c:v>
                </c:pt>
                <c:pt idx="8">
                  <c:v>11</c:v>
                </c:pt>
                <c:pt idx="9">
                  <c:v>12</c:v>
                </c:pt>
                <c:pt idx="10">
                  <c:v>13</c:v>
                </c:pt>
                <c:pt idx="11">
                  <c:v>14</c:v>
                </c:pt>
                <c:pt idx="12">
                  <c:v>15</c:v>
                </c:pt>
              </c:numCache>
            </c:numRef>
          </c:cat>
          <c:val>
            <c:numRef>
              <c:f>'Growth Pattern'!$CF$1631:$CF$1643</c:f>
              <c:numCache>
                <c:formatCode>0.00</c:formatCode>
                <c:ptCount val="13"/>
                <c:pt idx="0">
                  <c:v>9.3943095238095236</c:v>
                </c:pt>
                <c:pt idx="1">
                  <c:v>14.351999999999999</c:v>
                </c:pt>
                <c:pt idx="2">
                  <c:v>22.276266666666668</c:v>
                </c:pt>
                <c:pt idx="3">
                  <c:v>19.735539682539681</c:v>
                </c:pt>
                <c:pt idx="4">
                  <c:v>19.85696875</c:v>
                </c:pt>
                <c:pt idx="5">
                  <c:v>21.712424242424241</c:v>
                </c:pt>
                <c:pt idx="6">
                  <c:v>22.91258823529412</c:v>
                </c:pt>
                <c:pt idx="7">
                  <c:v>21.089126760563381</c:v>
                </c:pt>
                <c:pt idx="8">
                  <c:v>24.57775342465753</c:v>
                </c:pt>
                <c:pt idx="9">
                  <c:v>24.784559999999999</c:v>
                </c:pt>
                <c:pt idx="10">
                  <c:v>20.507266666666666</c:v>
                </c:pt>
                <c:pt idx="11">
                  <c:v>18.335413333333332</c:v>
                </c:pt>
                <c:pt idx="12">
                  <c:v>33.810400000000001</c:v>
                </c:pt>
              </c:numCache>
            </c:numRef>
          </c:val>
          <c:smooth val="0"/>
        </c:ser>
        <c:dLbls>
          <c:showLegendKey val="0"/>
          <c:showVal val="0"/>
          <c:showCatName val="0"/>
          <c:showSerName val="0"/>
          <c:showPercent val="0"/>
          <c:showBubbleSize val="0"/>
        </c:dLbls>
        <c:marker val="1"/>
        <c:smooth val="0"/>
        <c:axId val="127835520"/>
        <c:axId val="127857792"/>
      </c:lineChart>
      <c:catAx>
        <c:axId val="127835520"/>
        <c:scaling>
          <c:orientation val="minMax"/>
        </c:scaling>
        <c:delete val="0"/>
        <c:axPos val="b"/>
        <c:numFmt formatCode="0" sourceLinked="1"/>
        <c:majorTickMark val="out"/>
        <c:minorTickMark val="none"/>
        <c:tickLblPos val="nextTo"/>
        <c:crossAx val="127857792"/>
        <c:crosses val="autoZero"/>
        <c:auto val="1"/>
        <c:lblAlgn val="ctr"/>
        <c:lblOffset val="100"/>
        <c:noMultiLvlLbl val="0"/>
      </c:catAx>
      <c:valAx>
        <c:axId val="127857792"/>
        <c:scaling>
          <c:orientation val="minMax"/>
        </c:scaling>
        <c:delete val="0"/>
        <c:axPos val="l"/>
        <c:majorGridlines/>
        <c:numFmt formatCode="0.00" sourceLinked="1"/>
        <c:majorTickMark val="out"/>
        <c:minorTickMark val="none"/>
        <c:tickLblPos val="nextTo"/>
        <c:crossAx val="127835520"/>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20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smoothMarker"/>
        <c:varyColors val="0"/>
        <c:ser>
          <c:idx val="0"/>
          <c:order val="0"/>
          <c:tx>
            <c:strRef>
              <c:f>'Growth Pattern'!$CE$1644</c:f>
              <c:strCache>
                <c:ptCount val="1"/>
                <c:pt idx="0">
                  <c:v>MAI</c:v>
                </c:pt>
              </c:strCache>
            </c:strRef>
          </c:tx>
          <c:xVal>
            <c:numRef>
              <c:f>'Growth Pattern'!$CD$1645:$CD$1650</c:f>
              <c:numCache>
                <c:formatCode>General</c:formatCode>
                <c:ptCount val="6"/>
                <c:pt idx="0">
                  <c:v>4</c:v>
                </c:pt>
                <c:pt idx="1">
                  <c:v>6</c:v>
                </c:pt>
                <c:pt idx="2">
                  <c:v>9</c:v>
                </c:pt>
                <c:pt idx="3">
                  <c:v>11</c:v>
                </c:pt>
                <c:pt idx="4">
                  <c:v>13</c:v>
                </c:pt>
                <c:pt idx="5">
                  <c:v>16</c:v>
                </c:pt>
              </c:numCache>
            </c:numRef>
          </c:xVal>
          <c:yVal>
            <c:numRef>
              <c:f>'Growth Pattern'!$CE$1645:$CE$1650</c:f>
              <c:numCache>
                <c:formatCode>0.00</c:formatCode>
                <c:ptCount val="6"/>
                <c:pt idx="0">
                  <c:v>8.3885000000000005</c:v>
                </c:pt>
                <c:pt idx="1">
                  <c:v>8.9768833333333333</c:v>
                </c:pt>
                <c:pt idx="2">
                  <c:v>11.442666666666666</c:v>
                </c:pt>
                <c:pt idx="3">
                  <c:v>12.193363636363637</c:v>
                </c:pt>
                <c:pt idx="4">
                  <c:v>11.938461538461537</c:v>
                </c:pt>
                <c:pt idx="5">
                  <c:v>10.625</c:v>
                </c:pt>
              </c:numCache>
            </c:numRef>
          </c:yVal>
          <c:smooth val="1"/>
        </c:ser>
        <c:ser>
          <c:idx val="1"/>
          <c:order val="1"/>
          <c:tx>
            <c:strRef>
              <c:f>'Growth Pattern'!$CF$1644</c:f>
              <c:strCache>
                <c:ptCount val="1"/>
                <c:pt idx="0">
                  <c:v>CAI</c:v>
                </c:pt>
              </c:strCache>
            </c:strRef>
          </c:tx>
          <c:xVal>
            <c:numRef>
              <c:f>'Growth Pattern'!$CD$1645:$CD$1650</c:f>
              <c:numCache>
                <c:formatCode>General</c:formatCode>
                <c:ptCount val="6"/>
                <c:pt idx="0">
                  <c:v>4</c:v>
                </c:pt>
                <c:pt idx="1">
                  <c:v>6</c:v>
                </c:pt>
                <c:pt idx="2">
                  <c:v>9</c:v>
                </c:pt>
                <c:pt idx="3">
                  <c:v>11</c:v>
                </c:pt>
                <c:pt idx="4">
                  <c:v>13</c:v>
                </c:pt>
                <c:pt idx="5">
                  <c:v>16</c:v>
                </c:pt>
              </c:numCache>
            </c:numRef>
          </c:xVal>
          <c:yVal>
            <c:numRef>
              <c:f>'Growth Pattern'!$CF$1645:$CF$1650</c:f>
              <c:numCache>
                <c:formatCode>0.00</c:formatCode>
                <c:ptCount val="6"/>
                <c:pt idx="0">
                  <c:v>8.3885000000000005</c:v>
                </c:pt>
                <c:pt idx="1">
                  <c:v>10.153649999999999</c:v>
                </c:pt>
                <c:pt idx="2">
                  <c:v>16.374233333333333</c:v>
                </c:pt>
                <c:pt idx="3">
                  <c:v>15.571500000000007</c:v>
                </c:pt>
                <c:pt idx="4">
                  <c:v>10.53649999999999</c:v>
                </c:pt>
                <c:pt idx="5">
                  <c:v>4.9333333333333371</c:v>
                </c:pt>
              </c:numCache>
            </c:numRef>
          </c:yVal>
          <c:smooth val="1"/>
        </c:ser>
        <c:dLbls>
          <c:showLegendKey val="0"/>
          <c:showVal val="0"/>
          <c:showCatName val="0"/>
          <c:showSerName val="0"/>
          <c:showPercent val="0"/>
          <c:showBubbleSize val="0"/>
        </c:dLbls>
        <c:axId val="127870464"/>
        <c:axId val="127872000"/>
      </c:scatterChart>
      <c:valAx>
        <c:axId val="127870464"/>
        <c:scaling>
          <c:orientation val="minMax"/>
        </c:scaling>
        <c:delete val="0"/>
        <c:axPos val="b"/>
        <c:numFmt formatCode="General" sourceLinked="1"/>
        <c:majorTickMark val="out"/>
        <c:minorTickMark val="none"/>
        <c:tickLblPos val="nextTo"/>
        <c:crossAx val="127872000"/>
        <c:crosses val="autoZero"/>
        <c:crossBetween val="midCat"/>
      </c:valAx>
      <c:valAx>
        <c:axId val="127872000"/>
        <c:scaling>
          <c:orientation val="minMax"/>
        </c:scaling>
        <c:delete val="0"/>
        <c:axPos val="l"/>
        <c:majorGridlines/>
        <c:numFmt formatCode="0.00" sourceLinked="1"/>
        <c:majorTickMark val="out"/>
        <c:minorTickMark val="none"/>
        <c:tickLblPos val="nextTo"/>
        <c:crossAx val="127870464"/>
        <c:crosses val="autoZero"/>
        <c:crossBetween val="midCat"/>
      </c:valAx>
    </c:plotArea>
    <c:legend>
      <c:legendPos val="r"/>
      <c:overlay val="0"/>
    </c:legend>
    <c:plotVisOnly val="1"/>
    <c:dispBlanksAs val="gap"/>
    <c:showDLblsOverMax val="0"/>
  </c:chart>
  <c:printSettings>
    <c:headerFooter/>
    <c:pageMargins b="0.75" l="0.7" r="0.7" t="0.75" header="0.3" footer="0.3"/>
    <c:pageSetup/>
  </c:printSettings>
</c:chartSpace>
</file>

<file path=xl/charts/chart20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smoothMarker"/>
        <c:varyColors val="0"/>
        <c:ser>
          <c:idx val="0"/>
          <c:order val="0"/>
          <c:tx>
            <c:strRef>
              <c:f>'Growth Pattern'!$CE$1651</c:f>
              <c:strCache>
                <c:ptCount val="1"/>
                <c:pt idx="0">
                  <c:v>MAI</c:v>
                </c:pt>
              </c:strCache>
            </c:strRef>
          </c:tx>
          <c:xVal>
            <c:numRef>
              <c:f>'Growth Pattern'!$CD$1652:$CD$1657</c:f>
              <c:numCache>
                <c:formatCode>General</c:formatCode>
                <c:ptCount val="6"/>
                <c:pt idx="0">
                  <c:v>4</c:v>
                </c:pt>
                <c:pt idx="1">
                  <c:v>6</c:v>
                </c:pt>
                <c:pt idx="2">
                  <c:v>9</c:v>
                </c:pt>
                <c:pt idx="3">
                  <c:v>11</c:v>
                </c:pt>
                <c:pt idx="4">
                  <c:v>13</c:v>
                </c:pt>
                <c:pt idx="5">
                  <c:v>16</c:v>
                </c:pt>
              </c:numCache>
            </c:numRef>
          </c:xVal>
          <c:yVal>
            <c:numRef>
              <c:f>'Growth Pattern'!$CE$1652:$CE$1657</c:f>
              <c:numCache>
                <c:formatCode>0.00</c:formatCode>
                <c:ptCount val="6"/>
                <c:pt idx="0">
                  <c:v>4.0244499999999999</c:v>
                </c:pt>
                <c:pt idx="1">
                  <c:v>6.2674833333333337</c:v>
                </c:pt>
                <c:pt idx="2">
                  <c:v>9.3024888888888881</c:v>
                </c:pt>
                <c:pt idx="3">
                  <c:v>10.195727272727273</c:v>
                </c:pt>
                <c:pt idx="4">
                  <c:v>10.292307692307693</c:v>
                </c:pt>
                <c:pt idx="5">
                  <c:v>9.6120000000000001</c:v>
                </c:pt>
              </c:numCache>
            </c:numRef>
          </c:yVal>
          <c:smooth val="1"/>
        </c:ser>
        <c:ser>
          <c:idx val="1"/>
          <c:order val="1"/>
          <c:tx>
            <c:strRef>
              <c:f>'Growth Pattern'!$CF$1651</c:f>
              <c:strCache>
                <c:ptCount val="1"/>
                <c:pt idx="0">
                  <c:v>CAI</c:v>
                </c:pt>
              </c:strCache>
            </c:strRef>
          </c:tx>
          <c:xVal>
            <c:numRef>
              <c:f>'Growth Pattern'!$CD$1652:$CD$1657</c:f>
              <c:numCache>
                <c:formatCode>General</c:formatCode>
                <c:ptCount val="6"/>
                <c:pt idx="0">
                  <c:v>4</c:v>
                </c:pt>
                <c:pt idx="1">
                  <c:v>6</c:v>
                </c:pt>
                <c:pt idx="2">
                  <c:v>9</c:v>
                </c:pt>
                <c:pt idx="3">
                  <c:v>11</c:v>
                </c:pt>
                <c:pt idx="4">
                  <c:v>13</c:v>
                </c:pt>
                <c:pt idx="5">
                  <c:v>16</c:v>
                </c:pt>
              </c:numCache>
            </c:numRef>
          </c:xVal>
          <c:yVal>
            <c:numRef>
              <c:f>'Growth Pattern'!$CF$1645:$CF$1650</c:f>
              <c:numCache>
                <c:formatCode>0.00</c:formatCode>
                <c:ptCount val="6"/>
                <c:pt idx="0">
                  <c:v>8.3885000000000005</c:v>
                </c:pt>
                <c:pt idx="1">
                  <c:v>10.153649999999999</c:v>
                </c:pt>
                <c:pt idx="2">
                  <c:v>16.374233333333333</c:v>
                </c:pt>
                <c:pt idx="3">
                  <c:v>15.571500000000007</c:v>
                </c:pt>
                <c:pt idx="4">
                  <c:v>10.53649999999999</c:v>
                </c:pt>
                <c:pt idx="5">
                  <c:v>4.9333333333333371</c:v>
                </c:pt>
              </c:numCache>
            </c:numRef>
          </c:yVal>
          <c:smooth val="1"/>
        </c:ser>
        <c:dLbls>
          <c:showLegendKey val="0"/>
          <c:showVal val="0"/>
          <c:showCatName val="0"/>
          <c:showSerName val="0"/>
          <c:showPercent val="0"/>
          <c:showBubbleSize val="0"/>
        </c:dLbls>
        <c:axId val="127905152"/>
        <c:axId val="127906944"/>
      </c:scatterChart>
      <c:valAx>
        <c:axId val="127905152"/>
        <c:scaling>
          <c:orientation val="minMax"/>
        </c:scaling>
        <c:delete val="0"/>
        <c:axPos val="b"/>
        <c:numFmt formatCode="General" sourceLinked="1"/>
        <c:majorTickMark val="out"/>
        <c:minorTickMark val="none"/>
        <c:tickLblPos val="nextTo"/>
        <c:crossAx val="127906944"/>
        <c:crosses val="autoZero"/>
        <c:crossBetween val="midCat"/>
      </c:valAx>
      <c:valAx>
        <c:axId val="127906944"/>
        <c:scaling>
          <c:orientation val="minMax"/>
        </c:scaling>
        <c:delete val="0"/>
        <c:axPos val="l"/>
        <c:majorGridlines/>
        <c:numFmt formatCode="0.00" sourceLinked="1"/>
        <c:majorTickMark val="out"/>
        <c:minorTickMark val="none"/>
        <c:tickLblPos val="nextTo"/>
        <c:crossAx val="127905152"/>
        <c:crosses val="autoZero"/>
        <c:crossBetween val="midCat"/>
      </c:valAx>
    </c:plotArea>
    <c:legend>
      <c:legendPos val="r"/>
      <c:overlay val="0"/>
    </c:legend>
    <c:plotVisOnly val="1"/>
    <c:dispBlanksAs val="gap"/>
    <c:showDLblsOverMax val="0"/>
  </c:chart>
  <c:printSettings>
    <c:headerFooter/>
    <c:pageMargins b="0.75" l="0.7" r="0.7" t="0.75" header="0.3" footer="0.3"/>
    <c:pageSetup/>
  </c:printSettings>
</c:chartSpace>
</file>

<file path=xl/charts/chart20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smoothMarker"/>
        <c:varyColors val="0"/>
        <c:ser>
          <c:idx val="0"/>
          <c:order val="0"/>
          <c:tx>
            <c:strRef>
              <c:f>'Growth Pattern'!$CE$1658</c:f>
              <c:strCache>
                <c:ptCount val="1"/>
                <c:pt idx="0">
                  <c:v>MAI</c:v>
                </c:pt>
              </c:strCache>
            </c:strRef>
          </c:tx>
          <c:xVal>
            <c:numRef>
              <c:f>'Growth Pattern'!$CD$1659:$CD$1664</c:f>
              <c:numCache>
                <c:formatCode>General</c:formatCode>
                <c:ptCount val="6"/>
                <c:pt idx="0">
                  <c:v>4</c:v>
                </c:pt>
                <c:pt idx="1">
                  <c:v>6</c:v>
                </c:pt>
                <c:pt idx="2">
                  <c:v>9</c:v>
                </c:pt>
                <c:pt idx="3">
                  <c:v>11</c:v>
                </c:pt>
                <c:pt idx="4">
                  <c:v>13</c:v>
                </c:pt>
                <c:pt idx="5">
                  <c:v>16</c:v>
                </c:pt>
              </c:numCache>
            </c:numRef>
          </c:xVal>
          <c:yVal>
            <c:numRef>
              <c:f>'Growth Pattern'!$CE$1659:$CE$1664</c:f>
              <c:numCache>
                <c:formatCode>0.00</c:formatCode>
                <c:ptCount val="6"/>
                <c:pt idx="0">
                  <c:v>3.8729499999999999</c:v>
                </c:pt>
                <c:pt idx="1">
                  <c:v>5.6662166666666671</c:v>
                </c:pt>
                <c:pt idx="2">
                  <c:v>7.6968666666666667</c:v>
                </c:pt>
                <c:pt idx="3">
                  <c:v>8.5813272727272718</c:v>
                </c:pt>
                <c:pt idx="4">
                  <c:v>9.0076923076923077</c:v>
                </c:pt>
                <c:pt idx="5">
                  <c:v>8.32</c:v>
                </c:pt>
              </c:numCache>
            </c:numRef>
          </c:yVal>
          <c:smooth val="1"/>
        </c:ser>
        <c:ser>
          <c:idx val="1"/>
          <c:order val="1"/>
          <c:tx>
            <c:strRef>
              <c:f>'Growth Pattern'!$CF$1658</c:f>
              <c:strCache>
                <c:ptCount val="1"/>
                <c:pt idx="0">
                  <c:v>CAI</c:v>
                </c:pt>
              </c:strCache>
            </c:strRef>
          </c:tx>
          <c:xVal>
            <c:numRef>
              <c:f>'Growth Pattern'!$CD$1659:$CD$1664</c:f>
              <c:numCache>
                <c:formatCode>General</c:formatCode>
                <c:ptCount val="6"/>
                <c:pt idx="0">
                  <c:v>4</c:v>
                </c:pt>
                <c:pt idx="1">
                  <c:v>6</c:v>
                </c:pt>
                <c:pt idx="2">
                  <c:v>9</c:v>
                </c:pt>
                <c:pt idx="3">
                  <c:v>11</c:v>
                </c:pt>
                <c:pt idx="4">
                  <c:v>13</c:v>
                </c:pt>
                <c:pt idx="5">
                  <c:v>16</c:v>
                </c:pt>
              </c:numCache>
            </c:numRef>
          </c:xVal>
          <c:yVal>
            <c:numRef>
              <c:f>'Growth Pattern'!$CF$1659:$CF$1664</c:f>
              <c:numCache>
                <c:formatCode>0.00</c:formatCode>
                <c:ptCount val="6"/>
                <c:pt idx="0">
                  <c:v>3.8729499999999999</c:v>
                </c:pt>
                <c:pt idx="1">
                  <c:v>9.2527500000000025</c:v>
                </c:pt>
                <c:pt idx="2">
                  <c:v>11.758166666666666</c:v>
                </c:pt>
                <c:pt idx="3">
                  <c:v>12.561399999999999</c:v>
                </c:pt>
                <c:pt idx="4">
                  <c:v>11.352699999999999</c:v>
                </c:pt>
                <c:pt idx="5">
                  <c:v>5.3400000000000034</c:v>
                </c:pt>
              </c:numCache>
            </c:numRef>
          </c:yVal>
          <c:smooth val="1"/>
        </c:ser>
        <c:dLbls>
          <c:showLegendKey val="0"/>
          <c:showVal val="0"/>
          <c:showCatName val="0"/>
          <c:showSerName val="0"/>
          <c:showPercent val="0"/>
          <c:showBubbleSize val="0"/>
        </c:dLbls>
        <c:axId val="127940096"/>
        <c:axId val="127941632"/>
      </c:scatterChart>
      <c:valAx>
        <c:axId val="127940096"/>
        <c:scaling>
          <c:orientation val="minMax"/>
        </c:scaling>
        <c:delete val="0"/>
        <c:axPos val="b"/>
        <c:numFmt formatCode="General" sourceLinked="1"/>
        <c:majorTickMark val="out"/>
        <c:minorTickMark val="none"/>
        <c:tickLblPos val="nextTo"/>
        <c:crossAx val="127941632"/>
        <c:crosses val="autoZero"/>
        <c:crossBetween val="midCat"/>
      </c:valAx>
      <c:valAx>
        <c:axId val="127941632"/>
        <c:scaling>
          <c:orientation val="minMax"/>
        </c:scaling>
        <c:delete val="0"/>
        <c:axPos val="l"/>
        <c:majorGridlines/>
        <c:numFmt formatCode="0.00" sourceLinked="1"/>
        <c:majorTickMark val="out"/>
        <c:minorTickMark val="none"/>
        <c:tickLblPos val="nextTo"/>
        <c:crossAx val="127940096"/>
        <c:crosses val="autoZero"/>
        <c:crossBetween val="midCat"/>
      </c:valAx>
    </c:plotArea>
    <c:legend>
      <c:legendPos val="r"/>
      <c:overlay val="0"/>
    </c:legend>
    <c:plotVisOnly val="1"/>
    <c:dispBlanksAs val="gap"/>
    <c:showDLblsOverMax val="0"/>
  </c:chart>
  <c:printSettings>
    <c:headerFooter/>
    <c:pageMargins b="0.75" l="0.7" r="0.7" t="0.75" header="0.3" footer="0.3"/>
    <c:pageSetup/>
  </c:printSettings>
</c:chartSpace>
</file>

<file path=xl/charts/chart20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smoothMarker"/>
        <c:varyColors val="0"/>
        <c:ser>
          <c:idx val="0"/>
          <c:order val="0"/>
          <c:tx>
            <c:strRef>
              <c:f>'Growth Pattern'!$CE$1665</c:f>
              <c:strCache>
                <c:ptCount val="1"/>
                <c:pt idx="0">
                  <c:v>MAI</c:v>
                </c:pt>
              </c:strCache>
            </c:strRef>
          </c:tx>
          <c:xVal>
            <c:numRef>
              <c:f>'Growth Pattern'!$CD$1666:$CD$1671</c:f>
              <c:numCache>
                <c:formatCode>General</c:formatCode>
                <c:ptCount val="6"/>
                <c:pt idx="0">
                  <c:v>4</c:v>
                </c:pt>
                <c:pt idx="1">
                  <c:v>6</c:v>
                </c:pt>
                <c:pt idx="2">
                  <c:v>9</c:v>
                </c:pt>
                <c:pt idx="3">
                  <c:v>11</c:v>
                </c:pt>
                <c:pt idx="4">
                  <c:v>13</c:v>
                </c:pt>
                <c:pt idx="5">
                  <c:v>16</c:v>
                </c:pt>
              </c:numCache>
            </c:numRef>
          </c:xVal>
          <c:yVal>
            <c:numRef>
              <c:f>'Growth Pattern'!$CE$1666:$CE$1671</c:f>
              <c:numCache>
                <c:formatCode>0.00</c:formatCode>
                <c:ptCount val="6"/>
                <c:pt idx="0">
                  <c:v>0.26029750000000001</c:v>
                </c:pt>
                <c:pt idx="1">
                  <c:v>1.1510050000000001</c:v>
                </c:pt>
                <c:pt idx="2">
                  <c:v>2.1452</c:v>
                </c:pt>
                <c:pt idx="3">
                  <c:v>2.9993363636363637</c:v>
                </c:pt>
                <c:pt idx="4">
                  <c:v>3.4615384615384617</c:v>
                </c:pt>
                <c:pt idx="5">
                  <c:v>3.8053312500000001</c:v>
                </c:pt>
              </c:numCache>
            </c:numRef>
          </c:yVal>
          <c:smooth val="1"/>
        </c:ser>
        <c:ser>
          <c:idx val="1"/>
          <c:order val="1"/>
          <c:tx>
            <c:strRef>
              <c:f>'Growth Pattern'!$CF$1665</c:f>
              <c:strCache>
                <c:ptCount val="1"/>
                <c:pt idx="0">
                  <c:v>CAI</c:v>
                </c:pt>
              </c:strCache>
            </c:strRef>
          </c:tx>
          <c:xVal>
            <c:numRef>
              <c:f>'Growth Pattern'!$CD$1666:$CD$1671</c:f>
              <c:numCache>
                <c:formatCode>General</c:formatCode>
                <c:ptCount val="6"/>
                <c:pt idx="0">
                  <c:v>4</c:v>
                </c:pt>
                <c:pt idx="1">
                  <c:v>6</c:v>
                </c:pt>
                <c:pt idx="2">
                  <c:v>9</c:v>
                </c:pt>
                <c:pt idx="3">
                  <c:v>11</c:v>
                </c:pt>
                <c:pt idx="4">
                  <c:v>13</c:v>
                </c:pt>
                <c:pt idx="5">
                  <c:v>16</c:v>
                </c:pt>
              </c:numCache>
            </c:numRef>
          </c:xVal>
          <c:yVal>
            <c:numRef>
              <c:f>'Growth Pattern'!$CF$1659:$CF$1664</c:f>
              <c:numCache>
                <c:formatCode>0.00</c:formatCode>
                <c:ptCount val="6"/>
                <c:pt idx="0">
                  <c:v>3.8729499999999999</c:v>
                </c:pt>
                <c:pt idx="1">
                  <c:v>9.2527500000000025</c:v>
                </c:pt>
                <c:pt idx="2">
                  <c:v>11.758166666666666</c:v>
                </c:pt>
                <c:pt idx="3">
                  <c:v>12.561399999999999</c:v>
                </c:pt>
                <c:pt idx="4">
                  <c:v>11.352699999999999</c:v>
                </c:pt>
                <c:pt idx="5">
                  <c:v>5.3400000000000034</c:v>
                </c:pt>
              </c:numCache>
            </c:numRef>
          </c:yVal>
          <c:smooth val="1"/>
        </c:ser>
        <c:dLbls>
          <c:showLegendKey val="0"/>
          <c:showVal val="0"/>
          <c:showCatName val="0"/>
          <c:showSerName val="0"/>
          <c:showPercent val="0"/>
          <c:showBubbleSize val="0"/>
        </c:dLbls>
        <c:axId val="127966592"/>
        <c:axId val="127968384"/>
      </c:scatterChart>
      <c:valAx>
        <c:axId val="127966592"/>
        <c:scaling>
          <c:orientation val="minMax"/>
        </c:scaling>
        <c:delete val="0"/>
        <c:axPos val="b"/>
        <c:numFmt formatCode="General" sourceLinked="1"/>
        <c:majorTickMark val="out"/>
        <c:minorTickMark val="none"/>
        <c:tickLblPos val="nextTo"/>
        <c:crossAx val="127968384"/>
        <c:crosses val="autoZero"/>
        <c:crossBetween val="midCat"/>
      </c:valAx>
      <c:valAx>
        <c:axId val="127968384"/>
        <c:scaling>
          <c:orientation val="minMax"/>
        </c:scaling>
        <c:delete val="0"/>
        <c:axPos val="l"/>
        <c:majorGridlines/>
        <c:numFmt formatCode="0.00" sourceLinked="1"/>
        <c:majorTickMark val="out"/>
        <c:minorTickMark val="none"/>
        <c:tickLblPos val="nextTo"/>
        <c:crossAx val="127966592"/>
        <c:crosses val="autoZero"/>
        <c:crossBetween val="midCat"/>
      </c:valAx>
    </c:plotArea>
    <c:legend>
      <c:legendPos val="r"/>
      <c:overlay val="0"/>
    </c:legend>
    <c:plotVisOnly val="1"/>
    <c:dispBlanksAs val="gap"/>
    <c:showDLblsOverMax val="0"/>
  </c:chart>
  <c:printSettings>
    <c:headerFooter/>
    <c:pageMargins b="0.75" l="0.7" r="0.7" t="0.75" header="0.3" footer="0.3"/>
    <c:pageSetup/>
  </c:printSettings>
</c:chartSpace>
</file>

<file path=xl/charts/chart20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'Growth Pattern'!$CE$1518</c:f>
              <c:strCache>
                <c:ptCount val="1"/>
                <c:pt idx="0">
                  <c:v>MAI</c:v>
                </c:pt>
              </c:strCache>
            </c:strRef>
          </c:tx>
          <c:cat>
            <c:numRef>
              <c:f>'Growth Pattern'!$CD$1519:$CD$1531</c:f>
              <c:numCache>
                <c:formatCode>0</c:formatCode>
                <c:ptCount val="13"/>
                <c:pt idx="0">
                  <c:v>3</c:v>
                </c:pt>
                <c:pt idx="1">
                  <c:v>4</c:v>
                </c:pt>
                <c:pt idx="2">
                  <c:v>5</c:v>
                </c:pt>
                <c:pt idx="3">
                  <c:v>6</c:v>
                </c:pt>
                <c:pt idx="4">
                  <c:v>7</c:v>
                </c:pt>
                <c:pt idx="5">
                  <c:v>8</c:v>
                </c:pt>
                <c:pt idx="6">
                  <c:v>9</c:v>
                </c:pt>
                <c:pt idx="7">
                  <c:v>10</c:v>
                </c:pt>
                <c:pt idx="8">
                  <c:v>11</c:v>
                </c:pt>
                <c:pt idx="9">
                  <c:v>12</c:v>
                </c:pt>
                <c:pt idx="10">
                  <c:v>13</c:v>
                </c:pt>
                <c:pt idx="11">
                  <c:v>14</c:v>
                </c:pt>
                <c:pt idx="12">
                  <c:v>15</c:v>
                </c:pt>
              </c:numCache>
            </c:numRef>
          </c:cat>
          <c:val>
            <c:numRef>
              <c:f>'Growth Pattern'!$CE$1519:$CE$1531</c:f>
              <c:numCache>
                <c:formatCode>0.00</c:formatCode>
                <c:ptCount val="13"/>
                <c:pt idx="0">
                  <c:v>0.20471919999999999</c:v>
                </c:pt>
                <c:pt idx="1">
                  <c:v>0.57216060000000013</c:v>
                </c:pt>
                <c:pt idx="2">
                  <c:v>1.3402116000000002</c:v>
                </c:pt>
                <c:pt idx="3">
                  <c:v>2.2400612</c:v>
                </c:pt>
                <c:pt idx="4">
                  <c:v>3.0191415999999998</c:v>
                </c:pt>
                <c:pt idx="5">
                  <c:v>3.6759995999999999</c:v>
                </c:pt>
                <c:pt idx="6">
                  <c:v>4.3652423999999996</c:v>
                </c:pt>
                <c:pt idx="7">
                  <c:v>4.8170135999999992</c:v>
                </c:pt>
                <c:pt idx="8">
                  <c:v>5.3582529000000001</c:v>
                </c:pt>
                <c:pt idx="9">
                  <c:v>6.0618536999999995</c:v>
                </c:pt>
                <c:pt idx="10">
                  <c:v>6.4760695999999998</c:v>
                </c:pt>
                <c:pt idx="11">
                  <c:v>6.8972761</c:v>
                </c:pt>
                <c:pt idx="12">
                  <c:v>7.5290930000000005</c:v>
                </c:pt>
              </c:numCache>
            </c:numRef>
          </c:val>
          <c:smooth val="0"/>
        </c:ser>
        <c:ser>
          <c:idx val="1"/>
          <c:order val="1"/>
          <c:tx>
            <c:strRef>
              <c:f>'Growth Pattern'!$CF$1518</c:f>
              <c:strCache>
                <c:ptCount val="1"/>
                <c:pt idx="0">
                  <c:v>CAI</c:v>
                </c:pt>
              </c:strCache>
            </c:strRef>
          </c:tx>
          <c:cat>
            <c:numRef>
              <c:f>'Growth Pattern'!$CD$1519:$CD$1531</c:f>
              <c:numCache>
                <c:formatCode>0</c:formatCode>
                <c:ptCount val="13"/>
                <c:pt idx="0">
                  <c:v>3</c:v>
                </c:pt>
                <c:pt idx="1">
                  <c:v>4</c:v>
                </c:pt>
                <c:pt idx="2">
                  <c:v>5</c:v>
                </c:pt>
                <c:pt idx="3">
                  <c:v>6</c:v>
                </c:pt>
                <c:pt idx="4">
                  <c:v>7</c:v>
                </c:pt>
                <c:pt idx="5">
                  <c:v>8</c:v>
                </c:pt>
                <c:pt idx="6">
                  <c:v>9</c:v>
                </c:pt>
                <c:pt idx="7">
                  <c:v>10</c:v>
                </c:pt>
                <c:pt idx="8">
                  <c:v>11</c:v>
                </c:pt>
                <c:pt idx="9">
                  <c:v>12</c:v>
                </c:pt>
                <c:pt idx="10">
                  <c:v>13</c:v>
                </c:pt>
                <c:pt idx="11">
                  <c:v>14</c:v>
                </c:pt>
                <c:pt idx="12">
                  <c:v>15</c:v>
                </c:pt>
              </c:numCache>
            </c:numRef>
          </c:cat>
          <c:val>
            <c:numRef>
              <c:f>'Growth Pattern'!$CF$1519:$CF$1531</c:f>
              <c:numCache>
                <c:formatCode>0.00</c:formatCode>
                <c:ptCount val="13"/>
                <c:pt idx="0">
                  <c:v>0.20471919999999999</c:v>
                </c:pt>
                <c:pt idx="1">
                  <c:v>2.2886646000000002</c:v>
                </c:pt>
                <c:pt idx="2">
                  <c:v>5.3608282000000003</c:v>
                </c:pt>
                <c:pt idx="3">
                  <c:v>7.4046335999999986</c:v>
                </c:pt>
                <c:pt idx="4">
                  <c:v>8.1516855999999986</c:v>
                </c:pt>
                <c:pt idx="5">
                  <c:v>8.8453560000000007</c:v>
                </c:pt>
                <c:pt idx="6">
                  <c:v>11.416796</c:v>
                </c:pt>
                <c:pt idx="7">
                  <c:v>9.7422632999999994</c:v>
                </c:pt>
                <c:pt idx="8">
                  <c:v>10.770616499999999</c:v>
                </c:pt>
                <c:pt idx="9">
                  <c:v>14.072163000000002</c:v>
                </c:pt>
                <c:pt idx="10">
                  <c:v>12.636223599999999</c:v>
                </c:pt>
                <c:pt idx="11">
                  <c:v>12.636223599999999</c:v>
                </c:pt>
                <c:pt idx="12">
                  <c:v>15.6899886</c:v>
                </c:pt>
              </c:numCache>
            </c:numRef>
          </c:val>
          <c:smooth val="0"/>
        </c:ser>
        <c:dLbls>
          <c:showLegendKey val="0"/>
          <c:showVal val="0"/>
          <c:showCatName val="0"/>
          <c:showSerName val="0"/>
          <c:showPercent val="0"/>
          <c:showBubbleSize val="0"/>
        </c:dLbls>
        <c:marker val="1"/>
        <c:smooth val="0"/>
        <c:axId val="128194048"/>
        <c:axId val="128195584"/>
      </c:lineChart>
      <c:catAx>
        <c:axId val="128194048"/>
        <c:scaling>
          <c:orientation val="minMax"/>
        </c:scaling>
        <c:delete val="0"/>
        <c:axPos val="b"/>
        <c:numFmt formatCode="0" sourceLinked="1"/>
        <c:majorTickMark val="out"/>
        <c:minorTickMark val="none"/>
        <c:tickLblPos val="nextTo"/>
        <c:crossAx val="128195584"/>
        <c:crosses val="autoZero"/>
        <c:auto val="1"/>
        <c:lblAlgn val="ctr"/>
        <c:lblOffset val="100"/>
        <c:noMultiLvlLbl val="0"/>
      </c:catAx>
      <c:valAx>
        <c:axId val="128195584"/>
        <c:scaling>
          <c:orientation val="minMax"/>
        </c:scaling>
        <c:delete val="0"/>
        <c:axPos val="l"/>
        <c:majorGridlines/>
        <c:numFmt formatCode="0.00" sourceLinked="1"/>
        <c:majorTickMark val="out"/>
        <c:minorTickMark val="none"/>
        <c:tickLblPos val="nextTo"/>
        <c:crossAx val="128194048"/>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20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'Growth Pattern'!$CE$1534</c:f>
              <c:strCache>
                <c:ptCount val="1"/>
                <c:pt idx="0">
                  <c:v>MAI</c:v>
                </c:pt>
              </c:strCache>
            </c:strRef>
          </c:tx>
          <c:cat>
            <c:numRef>
              <c:f>'Growth Pattern'!$CD$1535:$CD$1547</c:f>
              <c:numCache>
                <c:formatCode>0</c:formatCode>
                <c:ptCount val="13"/>
                <c:pt idx="0">
                  <c:v>3</c:v>
                </c:pt>
                <c:pt idx="1">
                  <c:v>4</c:v>
                </c:pt>
                <c:pt idx="2">
                  <c:v>5</c:v>
                </c:pt>
                <c:pt idx="3">
                  <c:v>6</c:v>
                </c:pt>
                <c:pt idx="4">
                  <c:v>7</c:v>
                </c:pt>
                <c:pt idx="5">
                  <c:v>8</c:v>
                </c:pt>
                <c:pt idx="6">
                  <c:v>9</c:v>
                </c:pt>
                <c:pt idx="7">
                  <c:v>10</c:v>
                </c:pt>
                <c:pt idx="8">
                  <c:v>11</c:v>
                </c:pt>
                <c:pt idx="9">
                  <c:v>12</c:v>
                </c:pt>
                <c:pt idx="10">
                  <c:v>13</c:v>
                </c:pt>
                <c:pt idx="11">
                  <c:v>14</c:v>
                </c:pt>
                <c:pt idx="12">
                  <c:v>15</c:v>
                </c:pt>
              </c:numCache>
            </c:numRef>
          </c:cat>
          <c:val>
            <c:numRef>
              <c:f>'Growth Pattern'!$CE$1535:$CE$1547</c:f>
              <c:numCache>
                <c:formatCode>0.00</c:formatCode>
                <c:ptCount val="13"/>
                <c:pt idx="0">
                  <c:v>1.6568499999999999</c:v>
                </c:pt>
                <c:pt idx="1">
                  <c:v>3.1449375000000006</c:v>
                </c:pt>
                <c:pt idx="2">
                  <c:v>4.7610517241379311</c:v>
                </c:pt>
                <c:pt idx="3">
                  <c:v>6.0962295081967213</c:v>
                </c:pt>
                <c:pt idx="4">
                  <c:v>6.8886935483870966</c:v>
                </c:pt>
                <c:pt idx="5">
                  <c:v>7.4212968749999995</c:v>
                </c:pt>
                <c:pt idx="6">
                  <c:v>7.8735692307692311</c:v>
                </c:pt>
                <c:pt idx="7">
                  <c:v>8.2005606060606056</c:v>
                </c:pt>
                <c:pt idx="8">
                  <c:v>8.5008235294117664</c:v>
                </c:pt>
                <c:pt idx="9">
                  <c:v>8.6787285714285716</c:v>
                </c:pt>
                <c:pt idx="10">
                  <c:v>8.6422083333333326</c:v>
                </c:pt>
                <c:pt idx="11">
                  <c:v>8.6076486486486488</c:v>
                </c:pt>
                <c:pt idx="12">
                  <c:v>9.131079999999999</c:v>
                </c:pt>
              </c:numCache>
            </c:numRef>
          </c:val>
          <c:smooth val="0"/>
        </c:ser>
        <c:ser>
          <c:idx val="1"/>
          <c:order val="1"/>
          <c:tx>
            <c:strRef>
              <c:f>'Growth Pattern'!$CF$1534</c:f>
              <c:strCache>
                <c:ptCount val="1"/>
                <c:pt idx="0">
                  <c:v>CAI</c:v>
                </c:pt>
              </c:strCache>
            </c:strRef>
          </c:tx>
          <c:cat>
            <c:numRef>
              <c:f>'Growth Pattern'!$CD$1535:$CD$1547</c:f>
              <c:numCache>
                <c:formatCode>0</c:formatCode>
                <c:ptCount val="13"/>
                <c:pt idx="0">
                  <c:v>3</c:v>
                </c:pt>
                <c:pt idx="1">
                  <c:v>4</c:v>
                </c:pt>
                <c:pt idx="2">
                  <c:v>5</c:v>
                </c:pt>
                <c:pt idx="3">
                  <c:v>6</c:v>
                </c:pt>
                <c:pt idx="4">
                  <c:v>7</c:v>
                </c:pt>
                <c:pt idx="5">
                  <c:v>8</c:v>
                </c:pt>
                <c:pt idx="6">
                  <c:v>9</c:v>
                </c:pt>
                <c:pt idx="7">
                  <c:v>10</c:v>
                </c:pt>
                <c:pt idx="8">
                  <c:v>11</c:v>
                </c:pt>
                <c:pt idx="9">
                  <c:v>12</c:v>
                </c:pt>
                <c:pt idx="10">
                  <c:v>13</c:v>
                </c:pt>
                <c:pt idx="11">
                  <c:v>14</c:v>
                </c:pt>
                <c:pt idx="12">
                  <c:v>15</c:v>
                </c:pt>
              </c:numCache>
            </c:numRef>
          </c:cat>
          <c:val>
            <c:numRef>
              <c:f>'Growth Pattern'!$CF$1535:$CF$1547</c:f>
              <c:numCache>
                <c:formatCode>0.00</c:formatCode>
                <c:ptCount val="13"/>
                <c:pt idx="0">
                  <c:v>5.706925</c:v>
                </c:pt>
                <c:pt idx="1">
                  <c:v>8.2842500000000001</c:v>
                </c:pt>
                <c:pt idx="2">
                  <c:v>13.902293103448276</c:v>
                </c:pt>
                <c:pt idx="3">
                  <c:v>13.580721311475411</c:v>
                </c:pt>
                <c:pt idx="4">
                  <c:v>12.589677419354839</c:v>
                </c:pt>
                <c:pt idx="5">
                  <c:v>12.829062499999999</c:v>
                </c:pt>
                <c:pt idx="6">
                  <c:v>12.348476923076923</c:v>
                </c:pt>
                <c:pt idx="7">
                  <c:v>12.10559090909091</c:v>
                </c:pt>
                <c:pt idx="8">
                  <c:v>13.644632352941176</c:v>
                </c:pt>
                <c:pt idx="9">
                  <c:v>13.359985714285715</c:v>
                </c:pt>
                <c:pt idx="10">
                  <c:v>11.557027777777776</c:v>
                </c:pt>
                <c:pt idx="11">
                  <c:v>11.692472972972974</c:v>
                </c:pt>
                <c:pt idx="12">
                  <c:v>17.28032</c:v>
                </c:pt>
              </c:numCache>
            </c:numRef>
          </c:val>
          <c:smooth val="0"/>
        </c:ser>
        <c:dLbls>
          <c:showLegendKey val="0"/>
          <c:showVal val="0"/>
          <c:showCatName val="0"/>
          <c:showSerName val="0"/>
          <c:showPercent val="0"/>
          <c:showBubbleSize val="0"/>
        </c:dLbls>
        <c:marker val="1"/>
        <c:smooth val="0"/>
        <c:axId val="128212352"/>
        <c:axId val="128226432"/>
      </c:lineChart>
      <c:catAx>
        <c:axId val="128212352"/>
        <c:scaling>
          <c:orientation val="minMax"/>
        </c:scaling>
        <c:delete val="0"/>
        <c:axPos val="b"/>
        <c:numFmt formatCode="0" sourceLinked="1"/>
        <c:majorTickMark val="out"/>
        <c:minorTickMark val="none"/>
        <c:tickLblPos val="nextTo"/>
        <c:crossAx val="128226432"/>
        <c:crosses val="autoZero"/>
        <c:auto val="1"/>
        <c:lblAlgn val="ctr"/>
        <c:lblOffset val="100"/>
        <c:noMultiLvlLbl val="0"/>
      </c:catAx>
      <c:valAx>
        <c:axId val="128226432"/>
        <c:scaling>
          <c:orientation val="minMax"/>
        </c:scaling>
        <c:delete val="0"/>
        <c:axPos val="l"/>
        <c:majorGridlines/>
        <c:numFmt formatCode="0.00" sourceLinked="1"/>
        <c:majorTickMark val="out"/>
        <c:minorTickMark val="none"/>
        <c:tickLblPos val="nextTo"/>
        <c:crossAx val="128212352"/>
        <c:crosses val="autoZero"/>
        <c:crossBetween val="between"/>
      </c:valAx>
    </c:plotArea>
    <c:legend>
      <c:legendPos val="r"/>
      <c:overlay val="0"/>
    </c:legend>
    <c:plotVisOnly val="1"/>
    <c:dispBlanksAs val="zero"/>
    <c:showDLblsOverMax val="0"/>
  </c:chart>
  <c:printSettings>
    <c:headerFooter/>
    <c:pageMargins b="0.75" l="0.7" r="0.7" t="0.75" header="0.3" footer="0.3"/>
    <c:pageSetup/>
  </c:printSettings>
</c:chartSpace>
</file>

<file path=xl/charts/chart20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'Growth Pattern'!$CE$1550</c:f>
              <c:strCache>
                <c:ptCount val="1"/>
                <c:pt idx="0">
                  <c:v>MAI</c:v>
                </c:pt>
              </c:strCache>
            </c:strRef>
          </c:tx>
          <c:cat>
            <c:numRef>
              <c:f>'Growth Pattern'!$CD$1551:$CD$1563</c:f>
              <c:numCache>
                <c:formatCode>0</c:formatCode>
                <c:ptCount val="13"/>
                <c:pt idx="0">
                  <c:v>3</c:v>
                </c:pt>
                <c:pt idx="1">
                  <c:v>4</c:v>
                </c:pt>
                <c:pt idx="2">
                  <c:v>5</c:v>
                </c:pt>
                <c:pt idx="3">
                  <c:v>6</c:v>
                </c:pt>
                <c:pt idx="4">
                  <c:v>7</c:v>
                </c:pt>
                <c:pt idx="5">
                  <c:v>8</c:v>
                </c:pt>
                <c:pt idx="6">
                  <c:v>9</c:v>
                </c:pt>
                <c:pt idx="7">
                  <c:v>10</c:v>
                </c:pt>
                <c:pt idx="8">
                  <c:v>11</c:v>
                </c:pt>
                <c:pt idx="9">
                  <c:v>12</c:v>
                </c:pt>
                <c:pt idx="10">
                  <c:v>13</c:v>
                </c:pt>
                <c:pt idx="11">
                  <c:v>14</c:v>
                </c:pt>
                <c:pt idx="12">
                  <c:v>15</c:v>
                </c:pt>
              </c:numCache>
            </c:numRef>
          </c:cat>
          <c:val>
            <c:numRef>
              <c:f>'Growth Pattern'!$CE$1551:$CE$1563</c:f>
              <c:numCache>
                <c:formatCode>0.00</c:formatCode>
                <c:ptCount val="13"/>
                <c:pt idx="0">
                  <c:v>0.18409999999999999</c:v>
                </c:pt>
                <c:pt idx="1">
                  <c:v>2.6847083333333335</c:v>
                </c:pt>
                <c:pt idx="2">
                  <c:v>5.395862068965517</c:v>
                </c:pt>
                <c:pt idx="3">
                  <c:v>8.1951612903225808</c:v>
                </c:pt>
                <c:pt idx="4">
                  <c:v>10.519666666666666</c:v>
                </c:pt>
                <c:pt idx="5">
                  <c:v>12.235184615384616</c:v>
                </c:pt>
                <c:pt idx="6">
                  <c:v>13.590485294117647</c:v>
                </c:pt>
                <c:pt idx="7">
                  <c:v>14.411957142857142</c:v>
                </c:pt>
                <c:pt idx="8">
                  <c:v>14.880958333333332</c:v>
                </c:pt>
                <c:pt idx="9">
                  <c:v>15.175337837837837</c:v>
                </c:pt>
                <c:pt idx="10">
                  <c:v>15.562106666666667</c:v>
                </c:pt>
                <c:pt idx="11">
                  <c:v>15.856653333333334</c:v>
                </c:pt>
                <c:pt idx="12">
                  <c:v>16.347573333333333</c:v>
                </c:pt>
              </c:numCache>
            </c:numRef>
          </c:val>
          <c:smooth val="0"/>
        </c:ser>
        <c:ser>
          <c:idx val="1"/>
          <c:order val="1"/>
          <c:tx>
            <c:strRef>
              <c:f>'Growth Pattern'!$CF$1550</c:f>
              <c:strCache>
                <c:ptCount val="1"/>
                <c:pt idx="0">
                  <c:v>CAI</c:v>
                </c:pt>
              </c:strCache>
            </c:strRef>
          </c:tx>
          <c:cat>
            <c:numRef>
              <c:f>'Growth Pattern'!$CD$1551:$CD$1563</c:f>
              <c:numCache>
                <c:formatCode>0</c:formatCode>
                <c:ptCount val="13"/>
                <c:pt idx="0">
                  <c:v>3</c:v>
                </c:pt>
                <c:pt idx="1">
                  <c:v>4</c:v>
                </c:pt>
                <c:pt idx="2">
                  <c:v>5</c:v>
                </c:pt>
                <c:pt idx="3">
                  <c:v>6</c:v>
                </c:pt>
                <c:pt idx="4">
                  <c:v>7</c:v>
                </c:pt>
                <c:pt idx="5">
                  <c:v>8</c:v>
                </c:pt>
                <c:pt idx="6">
                  <c:v>9</c:v>
                </c:pt>
                <c:pt idx="7">
                  <c:v>10</c:v>
                </c:pt>
                <c:pt idx="8">
                  <c:v>11</c:v>
                </c:pt>
                <c:pt idx="9">
                  <c:v>12</c:v>
                </c:pt>
                <c:pt idx="10">
                  <c:v>13</c:v>
                </c:pt>
                <c:pt idx="11">
                  <c:v>14</c:v>
                </c:pt>
                <c:pt idx="12">
                  <c:v>15</c:v>
                </c:pt>
              </c:numCache>
            </c:numRef>
          </c:cat>
          <c:val>
            <c:numRef>
              <c:f>'Growth Pattern'!$CF$1551:$CF$1563</c:f>
              <c:numCache>
                <c:formatCode>0.00</c:formatCode>
                <c:ptCount val="13"/>
                <c:pt idx="0">
                  <c:v>0.18409999999999999</c:v>
                </c:pt>
                <c:pt idx="1">
                  <c:v>11.1990625</c:v>
                </c:pt>
                <c:pt idx="2">
                  <c:v>18.536379310344824</c:v>
                </c:pt>
                <c:pt idx="3">
                  <c:v>23.51656451612903</c:v>
                </c:pt>
                <c:pt idx="4">
                  <c:v>25.305650793650791</c:v>
                </c:pt>
                <c:pt idx="5">
                  <c:v>26.849446153846156</c:v>
                </c:pt>
                <c:pt idx="6">
                  <c:v>28.047294117647063</c:v>
                </c:pt>
                <c:pt idx="7">
                  <c:v>25.615399999999998</c:v>
                </c:pt>
                <c:pt idx="8">
                  <c:v>24.443624999999997</c:v>
                </c:pt>
                <c:pt idx="9">
                  <c:v>22.53910810810811</c:v>
                </c:pt>
                <c:pt idx="10">
                  <c:v>21.698573333333332</c:v>
                </c:pt>
                <c:pt idx="11">
                  <c:v>19.538533333333334</c:v>
                </c:pt>
                <c:pt idx="12">
                  <c:v>23.073146666666666</c:v>
                </c:pt>
              </c:numCache>
            </c:numRef>
          </c:val>
          <c:smooth val="0"/>
        </c:ser>
        <c:dLbls>
          <c:showLegendKey val="0"/>
          <c:showVal val="0"/>
          <c:showCatName val="0"/>
          <c:showSerName val="0"/>
          <c:showPercent val="0"/>
          <c:showBubbleSize val="0"/>
        </c:dLbls>
        <c:marker val="1"/>
        <c:smooth val="0"/>
        <c:axId val="128275968"/>
        <c:axId val="128277888"/>
      </c:lineChart>
      <c:catAx>
        <c:axId val="128275968"/>
        <c:scaling>
          <c:orientation val="minMax"/>
        </c:scaling>
        <c:delete val="0"/>
        <c:axPos val="b"/>
        <c:title>
          <c:tx>
            <c:rich>
              <a:bodyPr/>
              <a:lstStyle/>
              <a:p>
                <a:pPr>
                  <a:defRPr/>
                </a:pPr>
                <a:r>
                  <a:rPr lang="en-US"/>
                  <a:t>Stand Age</a:t>
                </a:r>
              </a:p>
            </c:rich>
          </c:tx>
          <c:overlay val="0"/>
        </c:title>
        <c:numFmt formatCode="0" sourceLinked="1"/>
        <c:majorTickMark val="out"/>
        <c:minorTickMark val="none"/>
        <c:tickLblPos val="nextTo"/>
        <c:crossAx val="128277888"/>
        <c:crosses val="autoZero"/>
        <c:auto val="1"/>
        <c:lblAlgn val="ctr"/>
        <c:lblOffset val="100"/>
        <c:noMultiLvlLbl val="0"/>
      </c:catAx>
      <c:valAx>
        <c:axId val="128277888"/>
        <c:scaling>
          <c:orientation val="minMax"/>
        </c:scaling>
        <c:delete val="0"/>
        <c:axPos val="l"/>
        <c:majorGridlines/>
        <c:title>
          <c:tx>
            <c:rich>
              <a:bodyPr rot="-5400000" vert="horz"/>
              <a:lstStyle/>
              <a:p>
                <a:pPr>
                  <a:defRPr/>
                </a:pPr>
                <a:r>
                  <a:rPr lang="en-US"/>
                  <a:t>dry Mg ha-1 yr-1</a:t>
                </a:r>
              </a:p>
            </c:rich>
          </c:tx>
          <c:overlay val="0"/>
        </c:title>
        <c:numFmt formatCode="0.00" sourceLinked="1"/>
        <c:majorTickMark val="out"/>
        <c:minorTickMark val="none"/>
        <c:tickLblPos val="nextTo"/>
        <c:crossAx val="128275968"/>
        <c:crosses val="autoZero"/>
        <c:crossBetween val="between"/>
      </c:valAx>
    </c:plotArea>
    <c:legend>
      <c:legendPos val="r"/>
      <c:overlay val="0"/>
    </c:legend>
    <c:plotVisOnly val="1"/>
    <c:dispBlanksAs val="zero"/>
    <c:showDLblsOverMax val="0"/>
  </c:chart>
  <c:printSettings>
    <c:headerFooter/>
    <c:pageMargins b="0.75" l="0.7" r="0.7" t="0.75" header="0.3" footer="0.3"/>
    <c:pageSetup/>
  </c:printSettings>
</c:chartSpace>
</file>

<file path=xl/charts/chart20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'Growth Pattern'!$CE$1566</c:f>
              <c:strCache>
                <c:ptCount val="1"/>
                <c:pt idx="0">
                  <c:v>MAI</c:v>
                </c:pt>
              </c:strCache>
            </c:strRef>
          </c:tx>
          <c:cat>
            <c:numRef>
              <c:f>'Growth Pattern'!$CD$1567:$CD$1579</c:f>
              <c:numCache>
                <c:formatCode>0</c:formatCode>
                <c:ptCount val="13"/>
                <c:pt idx="0">
                  <c:v>3</c:v>
                </c:pt>
                <c:pt idx="1">
                  <c:v>4</c:v>
                </c:pt>
                <c:pt idx="2">
                  <c:v>5</c:v>
                </c:pt>
                <c:pt idx="3">
                  <c:v>6</c:v>
                </c:pt>
                <c:pt idx="4">
                  <c:v>7</c:v>
                </c:pt>
                <c:pt idx="5">
                  <c:v>8</c:v>
                </c:pt>
                <c:pt idx="6">
                  <c:v>9</c:v>
                </c:pt>
                <c:pt idx="7">
                  <c:v>10</c:v>
                </c:pt>
                <c:pt idx="8">
                  <c:v>11</c:v>
                </c:pt>
                <c:pt idx="9">
                  <c:v>12</c:v>
                </c:pt>
                <c:pt idx="10">
                  <c:v>13</c:v>
                </c:pt>
                <c:pt idx="11">
                  <c:v>14</c:v>
                </c:pt>
                <c:pt idx="12">
                  <c:v>15</c:v>
                </c:pt>
              </c:numCache>
            </c:numRef>
          </c:cat>
          <c:val>
            <c:numRef>
              <c:f>'Growth Pattern'!$CE$1567:$CE$1580</c:f>
              <c:numCache>
                <c:formatCode>0.00</c:formatCode>
                <c:ptCount val="14"/>
                <c:pt idx="0">
                  <c:v>4.0325476190476186</c:v>
                </c:pt>
                <c:pt idx="1">
                  <c:v>5.5910185185185179</c:v>
                </c:pt>
                <c:pt idx="2">
                  <c:v>8.6524333333333345</c:v>
                </c:pt>
                <c:pt idx="3">
                  <c:v>10.928777777777777</c:v>
                </c:pt>
                <c:pt idx="4">
                  <c:v>12.656484374999998</c:v>
                </c:pt>
                <c:pt idx="5">
                  <c:v>13.834954545454544</c:v>
                </c:pt>
                <c:pt idx="6">
                  <c:v>14.889970588235295</c:v>
                </c:pt>
                <c:pt idx="7">
                  <c:v>15.090549295774647</c:v>
                </c:pt>
                <c:pt idx="8">
                  <c:v>15.534534246575342</c:v>
                </c:pt>
                <c:pt idx="9">
                  <c:v>15.807559999999999</c:v>
                </c:pt>
                <c:pt idx="10">
                  <c:v>16.249386666666666</c:v>
                </c:pt>
                <c:pt idx="11">
                  <c:v>16.44576</c:v>
                </c:pt>
                <c:pt idx="12">
                  <c:v>16.985759999999999</c:v>
                </c:pt>
              </c:numCache>
            </c:numRef>
          </c:val>
          <c:smooth val="0"/>
        </c:ser>
        <c:ser>
          <c:idx val="1"/>
          <c:order val="1"/>
          <c:tx>
            <c:strRef>
              <c:f>'Growth Pattern'!$CF$1566</c:f>
              <c:strCache>
                <c:ptCount val="1"/>
                <c:pt idx="0">
                  <c:v>CAI</c:v>
                </c:pt>
              </c:strCache>
            </c:strRef>
          </c:tx>
          <c:cat>
            <c:numRef>
              <c:f>'Growth Pattern'!$CD$1567:$CD$1579</c:f>
              <c:numCache>
                <c:formatCode>0</c:formatCode>
                <c:ptCount val="13"/>
                <c:pt idx="0">
                  <c:v>3</c:v>
                </c:pt>
                <c:pt idx="1">
                  <c:v>4</c:v>
                </c:pt>
                <c:pt idx="2">
                  <c:v>5</c:v>
                </c:pt>
                <c:pt idx="3">
                  <c:v>6</c:v>
                </c:pt>
                <c:pt idx="4">
                  <c:v>7</c:v>
                </c:pt>
                <c:pt idx="5">
                  <c:v>8</c:v>
                </c:pt>
                <c:pt idx="6">
                  <c:v>9</c:v>
                </c:pt>
                <c:pt idx="7">
                  <c:v>10</c:v>
                </c:pt>
                <c:pt idx="8">
                  <c:v>11</c:v>
                </c:pt>
                <c:pt idx="9">
                  <c:v>12</c:v>
                </c:pt>
                <c:pt idx="10">
                  <c:v>13</c:v>
                </c:pt>
                <c:pt idx="11">
                  <c:v>14</c:v>
                </c:pt>
                <c:pt idx="12">
                  <c:v>15</c:v>
                </c:pt>
              </c:numCache>
            </c:numRef>
          </c:cat>
          <c:val>
            <c:numRef>
              <c:f>'Growth Pattern'!$CF$1567:$CF$1579</c:f>
              <c:numCache>
                <c:formatCode>0.00</c:formatCode>
                <c:ptCount val="13"/>
                <c:pt idx="0">
                  <c:v>11.922285714285715</c:v>
                </c:pt>
                <c:pt idx="1">
                  <c:v>13.159333333333334</c:v>
                </c:pt>
                <c:pt idx="2">
                  <c:v>22.889050000000001</c:v>
                </c:pt>
                <c:pt idx="3">
                  <c:v>24.72122222222222</c:v>
                </c:pt>
                <c:pt idx="4">
                  <c:v>24.219906250000001</c:v>
                </c:pt>
                <c:pt idx="5">
                  <c:v>24.713257575757574</c:v>
                </c:pt>
                <c:pt idx="6">
                  <c:v>26.801955882352942</c:v>
                </c:pt>
                <c:pt idx="7">
                  <c:v>21.883887323943661</c:v>
                </c:pt>
                <c:pt idx="8">
                  <c:v>25.117520547945205</c:v>
                </c:pt>
                <c:pt idx="9">
                  <c:v>23.073146666666666</c:v>
                </c:pt>
                <c:pt idx="10">
                  <c:v>21.011293333333334</c:v>
                </c:pt>
                <c:pt idx="11">
                  <c:v>19.734906666666667</c:v>
                </c:pt>
                <c:pt idx="12">
                  <c:v>23.564066666666665</c:v>
                </c:pt>
              </c:numCache>
            </c:numRef>
          </c:val>
          <c:smooth val="0"/>
        </c:ser>
        <c:dLbls>
          <c:showLegendKey val="0"/>
          <c:showVal val="0"/>
          <c:showCatName val="0"/>
          <c:showSerName val="0"/>
          <c:showPercent val="0"/>
          <c:showBubbleSize val="0"/>
        </c:dLbls>
        <c:marker val="1"/>
        <c:smooth val="0"/>
        <c:axId val="128295296"/>
        <c:axId val="128296832"/>
      </c:lineChart>
      <c:catAx>
        <c:axId val="128295296"/>
        <c:scaling>
          <c:orientation val="minMax"/>
        </c:scaling>
        <c:delete val="0"/>
        <c:axPos val="b"/>
        <c:numFmt formatCode="0" sourceLinked="1"/>
        <c:majorTickMark val="out"/>
        <c:minorTickMark val="none"/>
        <c:tickLblPos val="nextTo"/>
        <c:crossAx val="128296832"/>
        <c:crosses val="autoZero"/>
        <c:auto val="1"/>
        <c:lblAlgn val="ctr"/>
        <c:lblOffset val="100"/>
        <c:noMultiLvlLbl val="0"/>
      </c:catAx>
      <c:valAx>
        <c:axId val="128296832"/>
        <c:scaling>
          <c:orientation val="minMax"/>
        </c:scaling>
        <c:delete val="0"/>
        <c:axPos val="l"/>
        <c:majorGridlines/>
        <c:numFmt formatCode="0.00" sourceLinked="1"/>
        <c:majorTickMark val="out"/>
        <c:minorTickMark val="none"/>
        <c:tickLblPos val="nextTo"/>
        <c:crossAx val="128295296"/>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'Growth Pattern'!$CE$261</c:f>
              <c:strCache>
                <c:ptCount val="1"/>
                <c:pt idx="0">
                  <c:v>MAI</c:v>
                </c:pt>
              </c:strCache>
            </c:strRef>
          </c:tx>
          <c:val>
            <c:numRef>
              <c:f>'Growth Pattern'!$CE$262:$CE$265</c:f>
              <c:numCache>
                <c:formatCode>0.00</c:formatCode>
                <c:ptCount val="4"/>
                <c:pt idx="0">
                  <c:v>3.97</c:v>
                </c:pt>
                <c:pt idx="1">
                  <c:v>3.84</c:v>
                </c:pt>
                <c:pt idx="2">
                  <c:v>7.4666666666666659</c:v>
                </c:pt>
                <c:pt idx="3">
                  <c:v>13.62</c:v>
                </c:pt>
              </c:numCache>
            </c:numRef>
          </c:val>
          <c:smooth val="0"/>
        </c:ser>
        <c:ser>
          <c:idx val="1"/>
          <c:order val="1"/>
          <c:tx>
            <c:strRef>
              <c:f>'Growth Pattern'!$CF$261</c:f>
              <c:strCache>
                <c:ptCount val="1"/>
                <c:pt idx="0">
                  <c:v>CAI</c:v>
                </c:pt>
              </c:strCache>
            </c:strRef>
          </c:tx>
          <c:val>
            <c:numRef>
              <c:f>'Growth Pattern'!$CF$262:$CF$265</c:f>
              <c:numCache>
                <c:formatCode>0.00</c:formatCode>
                <c:ptCount val="4"/>
                <c:pt idx="0">
                  <c:v>3.97</c:v>
                </c:pt>
                <c:pt idx="1">
                  <c:v>3.7099999999999995</c:v>
                </c:pt>
                <c:pt idx="2">
                  <c:v>14.719999999999999</c:v>
                </c:pt>
                <c:pt idx="3">
                  <c:v>32.08</c:v>
                </c:pt>
              </c:numCache>
            </c:numRef>
          </c:val>
          <c:smooth val="0"/>
        </c:ser>
        <c:dLbls>
          <c:showLegendKey val="0"/>
          <c:showVal val="0"/>
          <c:showCatName val="0"/>
          <c:showSerName val="0"/>
          <c:showPercent val="0"/>
          <c:showBubbleSize val="0"/>
        </c:dLbls>
        <c:marker val="1"/>
        <c:smooth val="0"/>
        <c:axId val="93939968"/>
        <c:axId val="93958144"/>
      </c:lineChart>
      <c:catAx>
        <c:axId val="93939968"/>
        <c:scaling>
          <c:orientation val="minMax"/>
        </c:scaling>
        <c:delete val="0"/>
        <c:axPos val="b"/>
        <c:majorTickMark val="out"/>
        <c:minorTickMark val="none"/>
        <c:tickLblPos val="nextTo"/>
        <c:crossAx val="93958144"/>
        <c:crosses val="autoZero"/>
        <c:auto val="1"/>
        <c:lblAlgn val="ctr"/>
        <c:lblOffset val="100"/>
        <c:noMultiLvlLbl val="0"/>
      </c:catAx>
      <c:valAx>
        <c:axId val="93958144"/>
        <c:scaling>
          <c:orientation val="minMax"/>
        </c:scaling>
        <c:delete val="0"/>
        <c:axPos val="l"/>
        <c:majorGridlines/>
        <c:numFmt formatCode="0.00" sourceLinked="1"/>
        <c:majorTickMark val="out"/>
        <c:minorTickMark val="none"/>
        <c:tickLblPos val="nextTo"/>
        <c:crossAx val="93939968"/>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2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'Growth Pattern'!$CE$55</c:f>
              <c:strCache>
                <c:ptCount val="1"/>
                <c:pt idx="0">
                  <c:v>MAI</c:v>
                </c:pt>
              </c:strCache>
            </c:strRef>
          </c:tx>
          <c:cat>
            <c:numRef>
              <c:f>'Growth Pattern'!$CD$56:$CD$58</c:f>
              <c:numCache>
                <c:formatCode>General</c:formatCode>
                <c:ptCount val="3"/>
                <c:pt idx="0">
                  <c:v>1</c:v>
                </c:pt>
                <c:pt idx="1">
                  <c:v>2</c:v>
                </c:pt>
                <c:pt idx="2">
                  <c:v>3</c:v>
                </c:pt>
              </c:numCache>
            </c:numRef>
          </c:cat>
          <c:val>
            <c:numRef>
              <c:f>'Growth Pattern'!$CE$56:$CE$58</c:f>
              <c:numCache>
                <c:formatCode>0.00</c:formatCode>
                <c:ptCount val="3"/>
                <c:pt idx="0">
                  <c:v>5.69</c:v>
                </c:pt>
                <c:pt idx="1">
                  <c:v>6.71</c:v>
                </c:pt>
                <c:pt idx="2">
                  <c:v>8.3666666666666671</c:v>
                </c:pt>
              </c:numCache>
            </c:numRef>
          </c:val>
          <c:smooth val="0"/>
        </c:ser>
        <c:ser>
          <c:idx val="1"/>
          <c:order val="1"/>
          <c:tx>
            <c:strRef>
              <c:f>'Growth Pattern'!$CF$55</c:f>
              <c:strCache>
                <c:ptCount val="1"/>
                <c:pt idx="0">
                  <c:v>CAI</c:v>
                </c:pt>
              </c:strCache>
            </c:strRef>
          </c:tx>
          <c:cat>
            <c:numRef>
              <c:f>'Growth Pattern'!$CD$56:$CD$58</c:f>
              <c:numCache>
                <c:formatCode>General</c:formatCode>
                <c:ptCount val="3"/>
                <c:pt idx="0">
                  <c:v>1</c:v>
                </c:pt>
                <c:pt idx="1">
                  <c:v>2</c:v>
                </c:pt>
                <c:pt idx="2">
                  <c:v>3</c:v>
                </c:pt>
              </c:numCache>
            </c:numRef>
          </c:cat>
          <c:val>
            <c:numRef>
              <c:f>'Growth Pattern'!$CF$56:$CF$58</c:f>
              <c:numCache>
                <c:formatCode>0.00</c:formatCode>
                <c:ptCount val="3"/>
                <c:pt idx="0">
                  <c:v>5.69</c:v>
                </c:pt>
                <c:pt idx="1">
                  <c:v>7.7299999999999995</c:v>
                </c:pt>
                <c:pt idx="2">
                  <c:v>11.680000000000001</c:v>
                </c:pt>
              </c:numCache>
            </c:numRef>
          </c:val>
          <c:smooth val="0"/>
        </c:ser>
        <c:dLbls>
          <c:showLegendKey val="0"/>
          <c:showVal val="0"/>
          <c:showCatName val="0"/>
          <c:showSerName val="0"/>
          <c:showPercent val="0"/>
          <c:showBubbleSize val="0"/>
        </c:dLbls>
        <c:marker val="1"/>
        <c:smooth val="0"/>
        <c:axId val="128387328"/>
        <c:axId val="128389120"/>
      </c:lineChart>
      <c:catAx>
        <c:axId val="128387328"/>
        <c:scaling>
          <c:orientation val="minMax"/>
        </c:scaling>
        <c:delete val="0"/>
        <c:axPos val="b"/>
        <c:numFmt formatCode="General" sourceLinked="1"/>
        <c:majorTickMark val="out"/>
        <c:minorTickMark val="none"/>
        <c:tickLblPos val="nextTo"/>
        <c:crossAx val="128389120"/>
        <c:crosses val="autoZero"/>
        <c:auto val="1"/>
        <c:lblAlgn val="ctr"/>
        <c:lblOffset val="100"/>
        <c:noMultiLvlLbl val="0"/>
      </c:catAx>
      <c:valAx>
        <c:axId val="128389120"/>
        <c:scaling>
          <c:orientation val="minMax"/>
        </c:scaling>
        <c:delete val="0"/>
        <c:axPos val="l"/>
        <c:majorGridlines/>
        <c:numFmt formatCode="0.00" sourceLinked="1"/>
        <c:majorTickMark val="out"/>
        <c:minorTickMark val="none"/>
        <c:tickLblPos val="nextTo"/>
        <c:crossAx val="128387328"/>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2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'Growth Pattern'!$CE$59</c:f>
              <c:strCache>
                <c:ptCount val="1"/>
                <c:pt idx="0">
                  <c:v>MAI</c:v>
                </c:pt>
              </c:strCache>
            </c:strRef>
          </c:tx>
          <c:cat>
            <c:numRef>
              <c:f>'Growth Pattern'!$CD$60:$CD$62</c:f>
              <c:numCache>
                <c:formatCode>General</c:formatCode>
                <c:ptCount val="3"/>
                <c:pt idx="0">
                  <c:v>1</c:v>
                </c:pt>
                <c:pt idx="1">
                  <c:v>2</c:v>
                </c:pt>
                <c:pt idx="2">
                  <c:v>3</c:v>
                </c:pt>
              </c:numCache>
            </c:numRef>
          </c:cat>
          <c:val>
            <c:numRef>
              <c:f>'Growth Pattern'!$CE$60:$CE$62</c:f>
              <c:numCache>
                <c:formatCode>0.00</c:formatCode>
                <c:ptCount val="3"/>
                <c:pt idx="0">
                  <c:v>6.24</c:v>
                </c:pt>
                <c:pt idx="1">
                  <c:v>7.3049999999999997</c:v>
                </c:pt>
                <c:pt idx="2">
                  <c:v>8.0233333333333334</c:v>
                </c:pt>
              </c:numCache>
            </c:numRef>
          </c:val>
          <c:smooth val="0"/>
        </c:ser>
        <c:ser>
          <c:idx val="1"/>
          <c:order val="1"/>
          <c:tx>
            <c:strRef>
              <c:f>'Growth Pattern'!$CF$59</c:f>
              <c:strCache>
                <c:ptCount val="1"/>
                <c:pt idx="0">
                  <c:v>CAI</c:v>
                </c:pt>
              </c:strCache>
            </c:strRef>
          </c:tx>
          <c:cat>
            <c:numRef>
              <c:f>'Growth Pattern'!$CD$60:$CD$62</c:f>
              <c:numCache>
                <c:formatCode>General</c:formatCode>
                <c:ptCount val="3"/>
                <c:pt idx="0">
                  <c:v>1</c:v>
                </c:pt>
                <c:pt idx="1">
                  <c:v>2</c:v>
                </c:pt>
                <c:pt idx="2">
                  <c:v>3</c:v>
                </c:pt>
              </c:numCache>
            </c:numRef>
          </c:cat>
          <c:val>
            <c:numRef>
              <c:f>'Growth Pattern'!$CF$60:$CF$62</c:f>
              <c:numCache>
                <c:formatCode>0.00</c:formatCode>
                <c:ptCount val="3"/>
                <c:pt idx="0">
                  <c:v>6.24</c:v>
                </c:pt>
                <c:pt idx="1">
                  <c:v>8.3699999999999992</c:v>
                </c:pt>
                <c:pt idx="2">
                  <c:v>9.4600000000000009</c:v>
                </c:pt>
              </c:numCache>
            </c:numRef>
          </c:val>
          <c:smooth val="0"/>
        </c:ser>
        <c:dLbls>
          <c:showLegendKey val="0"/>
          <c:showVal val="0"/>
          <c:showCatName val="0"/>
          <c:showSerName val="0"/>
          <c:showPercent val="0"/>
          <c:showBubbleSize val="0"/>
        </c:dLbls>
        <c:marker val="1"/>
        <c:smooth val="0"/>
        <c:axId val="128434560"/>
        <c:axId val="128436096"/>
      </c:lineChart>
      <c:catAx>
        <c:axId val="128434560"/>
        <c:scaling>
          <c:orientation val="minMax"/>
        </c:scaling>
        <c:delete val="0"/>
        <c:axPos val="b"/>
        <c:numFmt formatCode="General" sourceLinked="1"/>
        <c:majorTickMark val="out"/>
        <c:minorTickMark val="none"/>
        <c:tickLblPos val="nextTo"/>
        <c:crossAx val="128436096"/>
        <c:crosses val="autoZero"/>
        <c:auto val="1"/>
        <c:lblAlgn val="ctr"/>
        <c:lblOffset val="100"/>
        <c:noMultiLvlLbl val="0"/>
      </c:catAx>
      <c:valAx>
        <c:axId val="128436096"/>
        <c:scaling>
          <c:orientation val="minMax"/>
        </c:scaling>
        <c:delete val="0"/>
        <c:axPos val="l"/>
        <c:majorGridlines/>
        <c:numFmt formatCode="0.00" sourceLinked="1"/>
        <c:majorTickMark val="out"/>
        <c:minorTickMark val="none"/>
        <c:tickLblPos val="nextTo"/>
        <c:crossAx val="128434560"/>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2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'Growth Pattern'!$CE$63</c:f>
              <c:strCache>
                <c:ptCount val="1"/>
                <c:pt idx="0">
                  <c:v>MAI</c:v>
                </c:pt>
              </c:strCache>
            </c:strRef>
          </c:tx>
          <c:cat>
            <c:numRef>
              <c:f>'Growth Pattern'!$CD$64:$CD$66</c:f>
              <c:numCache>
                <c:formatCode>General</c:formatCode>
                <c:ptCount val="3"/>
                <c:pt idx="0">
                  <c:v>1</c:v>
                </c:pt>
                <c:pt idx="1">
                  <c:v>2</c:v>
                </c:pt>
                <c:pt idx="2">
                  <c:v>3</c:v>
                </c:pt>
              </c:numCache>
            </c:numRef>
          </c:cat>
          <c:val>
            <c:numRef>
              <c:f>'Growth Pattern'!$CE$64:$CE$66</c:f>
              <c:numCache>
                <c:formatCode>0.00</c:formatCode>
                <c:ptCount val="3"/>
                <c:pt idx="0">
                  <c:v>10.89</c:v>
                </c:pt>
                <c:pt idx="1">
                  <c:v>9.7850000000000001</c:v>
                </c:pt>
                <c:pt idx="2">
                  <c:v>10.516666666666667</c:v>
                </c:pt>
              </c:numCache>
            </c:numRef>
          </c:val>
          <c:smooth val="0"/>
        </c:ser>
        <c:ser>
          <c:idx val="1"/>
          <c:order val="1"/>
          <c:tx>
            <c:strRef>
              <c:f>'Growth Pattern'!$CF$63</c:f>
              <c:strCache>
                <c:ptCount val="1"/>
                <c:pt idx="0">
                  <c:v>CAI</c:v>
                </c:pt>
              </c:strCache>
            </c:strRef>
          </c:tx>
          <c:cat>
            <c:numRef>
              <c:f>'Growth Pattern'!$CD$64:$CD$66</c:f>
              <c:numCache>
                <c:formatCode>General</c:formatCode>
                <c:ptCount val="3"/>
                <c:pt idx="0">
                  <c:v>1</c:v>
                </c:pt>
                <c:pt idx="1">
                  <c:v>2</c:v>
                </c:pt>
                <c:pt idx="2">
                  <c:v>3</c:v>
                </c:pt>
              </c:numCache>
            </c:numRef>
          </c:cat>
          <c:val>
            <c:numRef>
              <c:f>'Growth Pattern'!$CF$64:$CF$66</c:f>
              <c:numCache>
                <c:formatCode>0.00</c:formatCode>
                <c:ptCount val="3"/>
                <c:pt idx="0">
                  <c:v>10.89</c:v>
                </c:pt>
                <c:pt idx="1">
                  <c:v>8.68</c:v>
                </c:pt>
                <c:pt idx="2">
                  <c:v>11.98</c:v>
                </c:pt>
              </c:numCache>
            </c:numRef>
          </c:val>
          <c:smooth val="0"/>
        </c:ser>
        <c:dLbls>
          <c:showLegendKey val="0"/>
          <c:showVal val="0"/>
          <c:showCatName val="0"/>
          <c:showSerName val="0"/>
          <c:showPercent val="0"/>
          <c:showBubbleSize val="0"/>
        </c:dLbls>
        <c:marker val="1"/>
        <c:smooth val="0"/>
        <c:axId val="128444672"/>
        <c:axId val="128471040"/>
      </c:lineChart>
      <c:catAx>
        <c:axId val="128444672"/>
        <c:scaling>
          <c:orientation val="minMax"/>
        </c:scaling>
        <c:delete val="0"/>
        <c:axPos val="b"/>
        <c:numFmt formatCode="General" sourceLinked="1"/>
        <c:majorTickMark val="out"/>
        <c:minorTickMark val="none"/>
        <c:tickLblPos val="nextTo"/>
        <c:crossAx val="128471040"/>
        <c:crosses val="autoZero"/>
        <c:auto val="1"/>
        <c:lblAlgn val="ctr"/>
        <c:lblOffset val="100"/>
        <c:noMultiLvlLbl val="0"/>
      </c:catAx>
      <c:valAx>
        <c:axId val="128471040"/>
        <c:scaling>
          <c:orientation val="minMax"/>
        </c:scaling>
        <c:delete val="0"/>
        <c:axPos val="l"/>
        <c:majorGridlines/>
        <c:numFmt formatCode="0.00" sourceLinked="1"/>
        <c:majorTickMark val="out"/>
        <c:minorTickMark val="none"/>
        <c:tickLblPos val="nextTo"/>
        <c:crossAx val="128444672"/>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2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'Growth Pattern'!$CE$67</c:f>
              <c:strCache>
                <c:ptCount val="1"/>
                <c:pt idx="0">
                  <c:v>MAI</c:v>
                </c:pt>
              </c:strCache>
            </c:strRef>
          </c:tx>
          <c:cat>
            <c:numRef>
              <c:f>'Growth Pattern'!$CD$68:$CD$70</c:f>
              <c:numCache>
                <c:formatCode>General</c:formatCode>
                <c:ptCount val="3"/>
                <c:pt idx="0">
                  <c:v>1</c:v>
                </c:pt>
                <c:pt idx="1">
                  <c:v>2</c:v>
                </c:pt>
                <c:pt idx="2">
                  <c:v>3</c:v>
                </c:pt>
              </c:numCache>
            </c:numRef>
          </c:cat>
          <c:val>
            <c:numRef>
              <c:f>'Growth Pattern'!$CE$68:$CE$70</c:f>
              <c:numCache>
                <c:formatCode>0.00</c:formatCode>
                <c:ptCount val="3"/>
                <c:pt idx="0">
                  <c:v>9.5500000000000007</c:v>
                </c:pt>
                <c:pt idx="1">
                  <c:v>8.9550000000000001</c:v>
                </c:pt>
                <c:pt idx="2">
                  <c:v>9.02</c:v>
                </c:pt>
              </c:numCache>
            </c:numRef>
          </c:val>
          <c:smooth val="0"/>
        </c:ser>
        <c:ser>
          <c:idx val="1"/>
          <c:order val="1"/>
          <c:tx>
            <c:strRef>
              <c:f>'Growth Pattern'!$CF$67</c:f>
              <c:strCache>
                <c:ptCount val="1"/>
                <c:pt idx="0">
                  <c:v>CAI</c:v>
                </c:pt>
              </c:strCache>
            </c:strRef>
          </c:tx>
          <c:cat>
            <c:numRef>
              <c:f>'Growth Pattern'!$CD$68:$CD$70</c:f>
              <c:numCache>
                <c:formatCode>General</c:formatCode>
                <c:ptCount val="3"/>
                <c:pt idx="0">
                  <c:v>1</c:v>
                </c:pt>
                <c:pt idx="1">
                  <c:v>2</c:v>
                </c:pt>
                <c:pt idx="2">
                  <c:v>3</c:v>
                </c:pt>
              </c:numCache>
            </c:numRef>
          </c:cat>
          <c:val>
            <c:numRef>
              <c:f>'Growth Pattern'!$CF$68:$CF$70</c:f>
              <c:numCache>
                <c:formatCode>0.00</c:formatCode>
                <c:ptCount val="3"/>
                <c:pt idx="0">
                  <c:v>9.5500000000000007</c:v>
                </c:pt>
                <c:pt idx="1">
                  <c:v>8.36</c:v>
                </c:pt>
                <c:pt idx="2">
                  <c:v>9.1499999999999986</c:v>
                </c:pt>
              </c:numCache>
            </c:numRef>
          </c:val>
          <c:smooth val="0"/>
        </c:ser>
        <c:dLbls>
          <c:showLegendKey val="0"/>
          <c:showVal val="0"/>
          <c:showCatName val="0"/>
          <c:showSerName val="0"/>
          <c:showPercent val="0"/>
          <c:showBubbleSize val="0"/>
        </c:dLbls>
        <c:marker val="1"/>
        <c:smooth val="0"/>
        <c:axId val="128491904"/>
        <c:axId val="128493440"/>
      </c:lineChart>
      <c:catAx>
        <c:axId val="128491904"/>
        <c:scaling>
          <c:orientation val="minMax"/>
        </c:scaling>
        <c:delete val="0"/>
        <c:axPos val="b"/>
        <c:numFmt formatCode="General" sourceLinked="1"/>
        <c:majorTickMark val="out"/>
        <c:minorTickMark val="none"/>
        <c:tickLblPos val="nextTo"/>
        <c:crossAx val="128493440"/>
        <c:crosses val="autoZero"/>
        <c:auto val="1"/>
        <c:lblAlgn val="ctr"/>
        <c:lblOffset val="100"/>
        <c:noMultiLvlLbl val="0"/>
      </c:catAx>
      <c:valAx>
        <c:axId val="128493440"/>
        <c:scaling>
          <c:orientation val="minMax"/>
        </c:scaling>
        <c:delete val="0"/>
        <c:axPos val="l"/>
        <c:majorGridlines/>
        <c:numFmt formatCode="0.00" sourceLinked="1"/>
        <c:majorTickMark val="out"/>
        <c:minorTickMark val="none"/>
        <c:tickLblPos val="nextTo"/>
        <c:crossAx val="128491904"/>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2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'Growth Pattern'!$CE$71</c:f>
              <c:strCache>
                <c:ptCount val="1"/>
                <c:pt idx="0">
                  <c:v>MAI</c:v>
                </c:pt>
              </c:strCache>
            </c:strRef>
          </c:tx>
          <c:cat>
            <c:numRef>
              <c:f>'Growth Pattern'!$CD$72:$CD$74</c:f>
              <c:numCache>
                <c:formatCode>General</c:formatCode>
                <c:ptCount val="3"/>
                <c:pt idx="0">
                  <c:v>1</c:v>
                </c:pt>
                <c:pt idx="1">
                  <c:v>2</c:v>
                </c:pt>
                <c:pt idx="2">
                  <c:v>3</c:v>
                </c:pt>
              </c:numCache>
            </c:numRef>
          </c:cat>
          <c:val>
            <c:numRef>
              <c:f>'Growth Pattern'!$CE$72:$CE$74</c:f>
              <c:numCache>
                <c:formatCode>0.00</c:formatCode>
                <c:ptCount val="3"/>
                <c:pt idx="0">
                  <c:v>13.25</c:v>
                </c:pt>
                <c:pt idx="1">
                  <c:v>11.675000000000001</c:v>
                </c:pt>
                <c:pt idx="2">
                  <c:v>11.146666666666667</c:v>
                </c:pt>
              </c:numCache>
            </c:numRef>
          </c:val>
          <c:smooth val="0"/>
        </c:ser>
        <c:ser>
          <c:idx val="1"/>
          <c:order val="1"/>
          <c:tx>
            <c:strRef>
              <c:f>'Growth Pattern'!$CF$71</c:f>
              <c:strCache>
                <c:ptCount val="1"/>
                <c:pt idx="0">
                  <c:v>CAI</c:v>
                </c:pt>
              </c:strCache>
            </c:strRef>
          </c:tx>
          <c:cat>
            <c:numRef>
              <c:f>'Growth Pattern'!$CD$72:$CD$74</c:f>
              <c:numCache>
                <c:formatCode>General</c:formatCode>
                <c:ptCount val="3"/>
                <c:pt idx="0">
                  <c:v>1</c:v>
                </c:pt>
                <c:pt idx="1">
                  <c:v>2</c:v>
                </c:pt>
                <c:pt idx="2">
                  <c:v>3</c:v>
                </c:pt>
              </c:numCache>
            </c:numRef>
          </c:cat>
          <c:val>
            <c:numRef>
              <c:f>'Growth Pattern'!$CF$72:$CF$74</c:f>
              <c:numCache>
                <c:formatCode>0.00</c:formatCode>
                <c:ptCount val="3"/>
                <c:pt idx="0">
                  <c:v>13.25</c:v>
                </c:pt>
                <c:pt idx="1">
                  <c:v>10.100000000000001</c:v>
                </c:pt>
                <c:pt idx="2">
                  <c:v>10.089999999999996</c:v>
                </c:pt>
              </c:numCache>
            </c:numRef>
          </c:val>
          <c:smooth val="0"/>
        </c:ser>
        <c:dLbls>
          <c:showLegendKey val="0"/>
          <c:showVal val="0"/>
          <c:showCatName val="0"/>
          <c:showSerName val="0"/>
          <c:showPercent val="0"/>
          <c:showBubbleSize val="0"/>
        </c:dLbls>
        <c:marker val="1"/>
        <c:smooth val="0"/>
        <c:axId val="128522496"/>
        <c:axId val="128532480"/>
      </c:lineChart>
      <c:catAx>
        <c:axId val="128522496"/>
        <c:scaling>
          <c:orientation val="minMax"/>
        </c:scaling>
        <c:delete val="0"/>
        <c:axPos val="b"/>
        <c:numFmt formatCode="General" sourceLinked="1"/>
        <c:majorTickMark val="out"/>
        <c:minorTickMark val="none"/>
        <c:tickLblPos val="nextTo"/>
        <c:crossAx val="128532480"/>
        <c:crosses val="autoZero"/>
        <c:auto val="1"/>
        <c:lblAlgn val="ctr"/>
        <c:lblOffset val="100"/>
        <c:noMultiLvlLbl val="0"/>
      </c:catAx>
      <c:valAx>
        <c:axId val="128532480"/>
        <c:scaling>
          <c:orientation val="minMax"/>
        </c:scaling>
        <c:delete val="0"/>
        <c:axPos val="l"/>
        <c:majorGridlines/>
        <c:numFmt formatCode="0.00" sourceLinked="1"/>
        <c:majorTickMark val="out"/>
        <c:minorTickMark val="none"/>
        <c:tickLblPos val="nextTo"/>
        <c:crossAx val="128522496"/>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2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'Growth Pattern'!$CE$75</c:f>
              <c:strCache>
                <c:ptCount val="1"/>
                <c:pt idx="0">
                  <c:v>MAI</c:v>
                </c:pt>
              </c:strCache>
            </c:strRef>
          </c:tx>
          <c:cat>
            <c:numRef>
              <c:f>'Growth Pattern'!$CD$76:$CD$78</c:f>
              <c:numCache>
                <c:formatCode>General</c:formatCode>
                <c:ptCount val="3"/>
                <c:pt idx="0">
                  <c:v>1</c:v>
                </c:pt>
                <c:pt idx="1">
                  <c:v>2</c:v>
                </c:pt>
                <c:pt idx="2">
                  <c:v>3</c:v>
                </c:pt>
              </c:numCache>
            </c:numRef>
          </c:cat>
          <c:val>
            <c:numRef>
              <c:f>'Growth Pattern'!$CE$76:$CE$78</c:f>
              <c:numCache>
                <c:formatCode>0.00</c:formatCode>
                <c:ptCount val="3"/>
                <c:pt idx="0">
                  <c:v>11.44</c:v>
                </c:pt>
                <c:pt idx="1">
                  <c:v>11.635</c:v>
                </c:pt>
                <c:pt idx="2">
                  <c:v>11.593333333333334</c:v>
                </c:pt>
              </c:numCache>
            </c:numRef>
          </c:val>
          <c:smooth val="0"/>
        </c:ser>
        <c:ser>
          <c:idx val="1"/>
          <c:order val="1"/>
          <c:tx>
            <c:strRef>
              <c:f>'Growth Pattern'!$CF$75</c:f>
              <c:strCache>
                <c:ptCount val="1"/>
                <c:pt idx="0">
                  <c:v>CAI</c:v>
                </c:pt>
              </c:strCache>
            </c:strRef>
          </c:tx>
          <c:cat>
            <c:numRef>
              <c:f>'Growth Pattern'!$CD$76:$CD$78</c:f>
              <c:numCache>
                <c:formatCode>General</c:formatCode>
                <c:ptCount val="3"/>
                <c:pt idx="0">
                  <c:v>1</c:v>
                </c:pt>
                <c:pt idx="1">
                  <c:v>2</c:v>
                </c:pt>
                <c:pt idx="2">
                  <c:v>3</c:v>
                </c:pt>
              </c:numCache>
            </c:numRef>
          </c:cat>
          <c:val>
            <c:numRef>
              <c:f>'Growth Pattern'!$CF$76:$CF$78</c:f>
              <c:numCache>
                <c:formatCode>0.00</c:formatCode>
                <c:ptCount val="3"/>
                <c:pt idx="0">
                  <c:v>11.44</c:v>
                </c:pt>
                <c:pt idx="1">
                  <c:v>11.83</c:v>
                </c:pt>
                <c:pt idx="2">
                  <c:v>11.510000000000002</c:v>
                </c:pt>
              </c:numCache>
            </c:numRef>
          </c:val>
          <c:smooth val="0"/>
        </c:ser>
        <c:dLbls>
          <c:showLegendKey val="0"/>
          <c:showVal val="0"/>
          <c:showCatName val="0"/>
          <c:showSerName val="0"/>
          <c:showPercent val="0"/>
          <c:showBubbleSize val="0"/>
        </c:dLbls>
        <c:marker val="1"/>
        <c:smooth val="0"/>
        <c:axId val="128557440"/>
        <c:axId val="128558976"/>
      </c:lineChart>
      <c:catAx>
        <c:axId val="128557440"/>
        <c:scaling>
          <c:orientation val="minMax"/>
        </c:scaling>
        <c:delete val="0"/>
        <c:axPos val="b"/>
        <c:numFmt formatCode="General" sourceLinked="1"/>
        <c:majorTickMark val="out"/>
        <c:minorTickMark val="none"/>
        <c:tickLblPos val="nextTo"/>
        <c:crossAx val="128558976"/>
        <c:crosses val="autoZero"/>
        <c:auto val="1"/>
        <c:lblAlgn val="ctr"/>
        <c:lblOffset val="100"/>
        <c:noMultiLvlLbl val="0"/>
      </c:catAx>
      <c:valAx>
        <c:axId val="128558976"/>
        <c:scaling>
          <c:orientation val="minMax"/>
        </c:scaling>
        <c:delete val="0"/>
        <c:axPos val="l"/>
        <c:majorGridlines/>
        <c:numFmt formatCode="0.00" sourceLinked="1"/>
        <c:majorTickMark val="out"/>
        <c:minorTickMark val="none"/>
        <c:tickLblPos val="nextTo"/>
        <c:crossAx val="128557440"/>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2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'Growth Pattern'!$CE$79</c:f>
              <c:strCache>
                <c:ptCount val="1"/>
                <c:pt idx="0">
                  <c:v>MAI</c:v>
                </c:pt>
              </c:strCache>
            </c:strRef>
          </c:tx>
          <c:cat>
            <c:numRef>
              <c:f>'Growth Pattern'!$CD$80:$CD$82</c:f>
              <c:numCache>
                <c:formatCode>General</c:formatCode>
                <c:ptCount val="3"/>
                <c:pt idx="0">
                  <c:v>1</c:v>
                </c:pt>
                <c:pt idx="1">
                  <c:v>2</c:v>
                </c:pt>
                <c:pt idx="2">
                  <c:v>3</c:v>
                </c:pt>
              </c:numCache>
            </c:numRef>
          </c:cat>
          <c:val>
            <c:numRef>
              <c:f>'Growth Pattern'!$CE$80:$CE$82</c:f>
              <c:numCache>
                <c:formatCode>0.00</c:formatCode>
                <c:ptCount val="3"/>
                <c:pt idx="0">
                  <c:v>11.67</c:v>
                </c:pt>
                <c:pt idx="1">
                  <c:v>10.885</c:v>
                </c:pt>
                <c:pt idx="2">
                  <c:v>10.936666666666667</c:v>
                </c:pt>
              </c:numCache>
            </c:numRef>
          </c:val>
          <c:smooth val="0"/>
        </c:ser>
        <c:ser>
          <c:idx val="1"/>
          <c:order val="1"/>
          <c:tx>
            <c:strRef>
              <c:f>'Growth Pattern'!$CF$79</c:f>
              <c:strCache>
                <c:ptCount val="1"/>
                <c:pt idx="0">
                  <c:v>CAI</c:v>
                </c:pt>
              </c:strCache>
            </c:strRef>
          </c:tx>
          <c:cat>
            <c:numRef>
              <c:f>'Growth Pattern'!$CD$80:$CD$82</c:f>
              <c:numCache>
                <c:formatCode>General</c:formatCode>
                <c:ptCount val="3"/>
                <c:pt idx="0">
                  <c:v>1</c:v>
                </c:pt>
                <c:pt idx="1">
                  <c:v>2</c:v>
                </c:pt>
                <c:pt idx="2">
                  <c:v>3</c:v>
                </c:pt>
              </c:numCache>
            </c:numRef>
          </c:cat>
          <c:val>
            <c:numRef>
              <c:f>'Growth Pattern'!$CF$80:$CF$82</c:f>
              <c:numCache>
                <c:formatCode>0.00</c:formatCode>
                <c:ptCount val="3"/>
                <c:pt idx="0">
                  <c:v>11.67</c:v>
                </c:pt>
                <c:pt idx="1">
                  <c:v>10.1</c:v>
                </c:pt>
                <c:pt idx="2">
                  <c:v>11.040000000000003</c:v>
                </c:pt>
              </c:numCache>
            </c:numRef>
          </c:val>
          <c:smooth val="0"/>
        </c:ser>
        <c:dLbls>
          <c:showLegendKey val="0"/>
          <c:showVal val="0"/>
          <c:showCatName val="0"/>
          <c:showSerName val="0"/>
          <c:showPercent val="0"/>
          <c:showBubbleSize val="0"/>
        </c:dLbls>
        <c:marker val="1"/>
        <c:smooth val="0"/>
        <c:axId val="128649472"/>
        <c:axId val="128651264"/>
      </c:lineChart>
      <c:catAx>
        <c:axId val="128649472"/>
        <c:scaling>
          <c:orientation val="minMax"/>
        </c:scaling>
        <c:delete val="0"/>
        <c:axPos val="b"/>
        <c:numFmt formatCode="General" sourceLinked="1"/>
        <c:majorTickMark val="out"/>
        <c:minorTickMark val="none"/>
        <c:tickLblPos val="nextTo"/>
        <c:crossAx val="128651264"/>
        <c:crosses val="autoZero"/>
        <c:auto val="1"/>
        <c:lblAlgn val="ctr"/>
        <c:lblOffset val="100"/>
        <c:noMultiLvlLbl val="0"/>
      </c:catAx>
      <c:valAx>
        <c:axId val="128651264"/>
        <c:scaling>
          <c:orientation val="minMax"/>
        </c:scaling>
        <c:delete val="0"/>
        <c:axPos val="l"/>
        <c:majorGridlines/>
        <c:numFmt formatCode="0.00" sourceLinked="1"/>
        <c:majorTickMark val="out"/>
        <c:minorTickMark val="none"/>
        <c:tickLblPos val="nextTo"/>
        <c:crossAx val="128649472"/>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2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'Growth Pattern'!$CE$83</c:f>
              <c:strCache>
                <c:ptCount val="1"/>
                <c:pt idx="0">
                  <c:v>MAI</c:v>
                </c:pt>
              </c:strCache>
            </c:strRef>
          </c:tx>
          <c:cat>
            <c:numRef>
              <c:f>'Growth Pattern'!$CD$84:$CD$86</c:f>
              <c:numCache>
                <c:formatCode>General</c:formatCode>
                <c:ptCount val="3"/>
                <c:pt idx="0">
                  <c:v>1</c:v>
                </c:pt>
                <c:pt idx="1">
                  <c:v>2</c:v>
                </c:pt>
                <c:pt idx="2">
                  <c:v>3</c:v>
                </c:pt>
              </c:numCache>
            </c:numRef>
          </c:cat>
          <c:val>
            <c:numRef>
              <c:f>'Growth Pattern'!$CE$84:$CE$86</c:f>
              <c:numCache>
                <c:formatCode>0.00</c:formatCode>
                <c:ptCount val="3"/>
                <c:pt idx="0">
                  <c:v>11.44</c:v>
                </c:pt>
                <c:pt idx="1">
                  <c:v>10.77</c:v>
                </c:pt>
                <c:pt idx="2">
                  <c:v>11.593333333333334</c:v>
                </c:pt>
              </c:numCache>
            </c:numRef>
          </c:val>
          <c:smooth val="0"/>
        </c:ser>
        <c:ser>
          <c:idx val="1"/>
          <c:order val="1"/>
          <c:tx>
            <c:strRef>
              <c:f>'Growth Pattern'!$CF$83</c:f>
              <c:strCache>
                <c:ptCount val="1"/>
                <c:pt idx="0">
                  <c:v>CAI</c:v>
                </c:pt>
              </c:strCache>
            </c:strRef>
          </c:tx>
          <c:cat>
            <c:numRef>
              <c:f>'Growth Pattern'!$CD$84:$CD$86</c:f>
              <c:numCache>
                <c:formatCode>General</c:formatCode>
                <c:ptCount val="3"/>
                <c:pt idx="0">
                  <c:v>1</c:v>
                </c:pt>
                <c:pt idx="1">
                  <c:v>2</c:v>
                </c:pt>
                <c:pt idx="2">
                  <c:v>3</c:v>
                </c:pt>
              </c:numCache>
            </c:numRef>
          </c:cat>
          <c:val>
            <c:numRef>
              <c:f>'Growth Pattern'!$CF$84:$CF$86</c:f>
              <c:numCache>
                <c:formatCode>0.00</c:formatCode>
                <c:ptCount val="3"/>
                <c:pt idx="0">
                  <c:v>11.44</c:v>
                </c:pt>
                <c:pt idx="1">
                  <c:v>10.1</c:v>
                </c:pt>
                <c:pt idx="2">
                  <c:v>13.240000000000002</c:v>
                </c:pt>
              </c:numCache>
            </c:numRef>
          </c:val>
          <c:smooth val="0"/>
        </c:ser>
        <c:dLbls>
          <c:showLegendKey val="0"/>
          <c:showVal val="0"/>
          <c:showCatName val="0"/>
          <c:showSerName val="0"/>
          <c:showPercent val="0"/>
          <c:showBubbleSize val="0"/>
        </c:dLbls>
        <c:marker val="1"/>
        <c:smooth val="0"/>
        <c:axId val="128692608"/>
        <c:axId val="128694144"/>
      </c:lineChart>
      <c:catAx>
        <c:axId val="128692608"/>
        <c:scaling>
          <c:orientation val="minMax"/>
        </c:scaling>
        <c:delete val="0"/>
        <c:axPos val="b"/>
        <c:numFmt formatCode="General" sourceLinked="1"/>
        <c:majorTickMark val="out"/>
        <c:minorTickMark val="none"/>
        <c:tickLblPos val="nextTo"/>
        <c:crossAx val="128694144"/>
        <c:crosses val="autoZero"/>
        <c:auto val="1"/>
        <c:lblAlgn val="ctr"/>
        <c:lblOffset val="100"/>
        <c:noMultiLvlLbl val="0"/>
      </c:catAx>
      <c:valAx>
        <c:axId val="128694144"/>
        <c:scaling>
          <c:orientation val="minMax"/>
        </c:scaling>
        <c:delete val="0"/>
        <c:axPos val="l"/>
        <c:majorGridlines/>
        <c:numFmt formatCode="0.00" sourceLinked="1"/>
        <c:majorTickMark val="out"/>
        <c:minorTickMark val="none"/>
        <c:tickLblPos val="nextTo"/>
        <c:crossAx val="128692608"/>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2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'Growth Pattern'!$CE$713</c:f>
              <c:strCache>
                <c:ptCount val="1"/>
                <c:pt idx="0">
                  <c:v>MAI</c:v>
                </c:pt>
              </c:strCache>
            </c:strRef>
          </c:tx>
          <c:cat>
            <c:numRef>
              <c:f>'Growth Pattern'!$CD$714:$CD$721</c:f>
              <c:numCache>
                <c:formatCode>General</c:formatCode>
                <c:ptCount val="8"/>
                <c:pt idx="0">
                  <c:v>3</c:v>
                </c:pt>
                <c:pt idx="1">
                  <c:v>4</c:v>
                </c:pt>
                <c:pt idx="2">
                  <c:v>5</c:v>
                </c:pt>
                <c:pt idx="3">
                  <c:v>6</c:v>
                </c:pt>
                <c:pt idx="4">
                  <c:v>7</c:v>
                </c:pt>
                <c:pt idx="5">
                  <c:v>8</c:v>
                </c:pt>
                <c:pt idx="6">
                  <c:v>9</c:v>
                </c:pt>
                <c:pt idx="7">
                  <c:v>10</c:v>
                </c:pt>
              </c:numCache>
            </c:numRef>
          </c:cat>
          <c:val>
            <c:numRef>
              <c:f>'Growth Pattern'!$CE$714:$CE$721</c:f>
              <c:numCache>
                <c:formatCode>0.00</c:formatCode>
                <c:ptCount val="8"/>
                <c:pt idx="1">
                  <c:v>2.76</c:v>
                </c:pt>
                <c:pt idx="2">
                  <c:v>3.59</c:v>
                </c:pt>
                <c:pt idx="3">
                  <c:v>5.09</c:v>
                </c:pt>
                <c:pt idx="4">
                  <c:v>5.45</c:v>
                </c:pt>
                <c:pt idx="5">
                  <c:v>5.42</c:v>
                </c:pt>
                <c:pt idx="6">
                  <c:v>5.27</c:v>
                </c:pt>
              </c:numCache>
            </c:numRef>
          </c:val>
          <c:smooth val="0"/>
        </c:ser>
        <c:ser>
          <c:idx val="1"/>
          <c:order val="1"/>
          <c:tx>
            <c:strRef>
              <c:f>'Growth Pattern'!$CF$713</c:f>
              <c:strCache>
                <c:ptCount val="1"/>
                <c:pt idx="0">
                  <c:v>CAI</c:v>
                </c:pt>
              </c:strCache>
            </c:strRef>
          </c:tx>
          <c:cat>
            <c:numRef>
              <c:f>'Growth Pattern'!$CD$714:$CD$721</c:f>
              <c:numCache>
                <c:formatCode>General</c:formatCode>
                <c:ptCount val="8"/>
                <c:pt idx="0">
                  <c:v>3</c:v>
                </c:pt>
                <c:pt idx="1">
                  <c:v>4</c:v>
                </c:pt>
                <c:pt idx="2">
                  <c:v>5</c:v>
                </c:pt>
                <c:pt idx="3">
                  <c:v>6</c:v>
                </c:pt>
                <c:pt idx="4">
                  <c:v>7</c:v>
                </c:pt>
                <c:pt idx="5">
                  <c:v>8</c:v>
                </c:pt>
                <c:pt idx="6">
                  <c:v>9</c:v>
                </c:pt>
                <c:pt idx="7">
                  <c:v>10</c:v>
                </c:pt>
              </c:numCache>
            </c:numRef>
          </c:cat>
          <c:val>
            <c:numRef>
              <c:f>'Growth Pattern'!$CF$714:$CF$721</c:f>
              <c:numCache>
                <c:formatCode>0.00</c:formatCode>
                <c:ptCount val="8"/>
                <c:pt idx="2">
                  <c:v>6.91</c:v>
                </c:pt>
                <c:pt idx="3">
                  <c:v>12.59</c:v>
                </c:pt>
                <c:pt idx="4">
                  <c:v>7.6099999999999994</c:v>
                </c:pt>
                <c:pt idx="5">
                  <c:v>5.2100000000000009</c:v>
                </c:pt>
                <c:pt idx="6">
                  <c:v>4.0699999999999932</c:v>
                </c:pt>
              </c:numCache>
            </c:numRef>
          </c:val>
          <c:smooth val="0"/>
        </c:ser>
        <c:dLbls>
          <c:showLegendKey val="0"/>
          <c:showVal val="0"/>
          <c:showCatName val="0"/>
          <c:showSerName val="0"/>
          <c:showPercent val="0"/>
          <c:showBubbleSize val="0"/>
        </c:dLbls>
        <c:marker val="1"/>
        <c:smooth val="0"/>
        <c:axId val="128723200"/>
        <c:axId val="128724992"/>
      </c:lineChart>
      <c:catAx>
        <c:axId val="128723200"/>
        <c:scaling>
          <c:orientation val="minMax"/>
        </c:scaling>
        <c:delete val="0"/>
        <c:axPos val="b"/>
        <c:numFmt formatCode="General" sourceLinked="1"/>
        <c:majorTickMark val="out"/>
        <c:minorTickMark val="none"/>
        <c:tickLblPos val="nextTo"/>
        <c:crossAx val="128724992"/>
        <c:crosses val="autoZero"/>
        <c:auto val="1"/>
        <c:lblAlgn val="ctr"/>
        <c:lblOffset val="100"/>
        <c:noMultiLvlLbl val="0"/>
      </c:catAx>
      <c:valAx>
        <c:axId val="128724992"/>
        <c:scaling>
          <c:orientation val="minMax"/>
        </c:scaling>
        <c:delete val="0"/>
        <c:axPos val="l"/>
        <c:majorGridlines/>
        <c:numFmt formatCode="0.00" sourceLinked="1"/>
        <c:majorTickMark val="out"/>
        <c:minorTickMark val="none"/>
        <c:tickLblPos val="nextTo"/>
        <c:crossAx val="128723200"/>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2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'Growth Pattern'!$CE$722</c:f>
              <c:strCache>
                <c:ptCount val="1"/>
                <c:pt idx="0">
                  <c:v>MAI</c:v>
                </c:pt>
              </c:strCache>
            </c:strRef>
          </c:tx>
          <c:cat>
            <c:numRef>
              <c:f>'Growth Pattern'!$CD$723:$CD$731</c:f>
              <c:numCache>
                <c:formatCode>0</c:formatCode>
                <c:ptCount val="9"/>
                <c:pt idx="0">
                  <c:v>2</c:v>
                </c:pt>
                <c:pt idx="1">
                  <c:v>3</c:v>
                </c:pt>
                <c:pt idx="2">
                  <c:v>4</c:v>
                </c:pt>
                <c:pt idx="3">
                  <c:v>5</c:v>
                </c:pt>
                <c:pt idx="4">
                  <c:v>6</c:v>
                </c:pt>
                <c:pt idx="5">
                  <c:v>7</c:v>
                </c:pt>
                <c:pt idx="6">
                  <c:v>8</c:v>
                </c:pt>
                <c:pt idx="7">
                  <c:v>9</c:v>
                </c:pt>
                <c:pt idx="8">
                  <c:v>10</c:v>
                </c:pt>
              </c:numCache>
            </c:numRef>
          </c:cat>
          <c:val>
            <c:numRef>
              <c:f>'Growth Pattern'!$CE$723:$CE$731</c:f>
              <c:numCache>
                <c:formatCode>0.00</c:formatCode>
                <c:ptCount val="9"/>
                <c:pt idx="0">
                  <c:v>1.2</c:v>
                </c:pt>
                <c:pt idx="1">
                  <c:v>1.8</c:v>
                </c:pt>
                <c:pt idx="2">
                  <c:v>3.3</c:v>
                </c:pt>
                <c:pt idx="3">
                  <c:v>5.35</c:v>
                </c:pt>
                <c:pt idx="4">
                  <c:v>6.79</c:v>
                </c:pt>
                <c:pt idx="8">
                  <c:v>9.77</c:v>
                </c:pt>
              </c:numCache>
            </c:numRef>
          </c:val>
          <c:smooth val="0"/>
        </c:ser>
        <c:ser>
          <c:idx val="1"/>
          <c:order val="1"/>
          <c:tx>
            <c:strRef>
              <c:f>'Growth Pattern'!$CF$722</c:f>
              <c:strCache>
                <c:ptCount val="1"/>
                <c:pt idx="0">
                  <c:v>CAI</c:v>
                </c:pt>
              </c:strCache>
            </c:strRef>
          </c:tx>
          <c:cat>
            <c:numRef>
              <c:f>'Growth Pattern'!$CD$723:$CD$731</c:f>
              <c:numCache>
                <c:formatCode>0</c:formatCode>
                <c:ptCount val="9"/>
                <c:pt idx="0">
                  <c:v>2</c:v>
                </c:pt>
                <c:pt idx="1">
                  <c:v>3</c:v>
                </c:pt>
                <c:pt idx="2">
                  <c:v>4</c:v>
                </c:pt>
                <c:pt idx="3">
                  <c:v>5</c:v>
                </c:pt>
                <c:pt idx="4">
                  <c:v>6</c:v>
                </c:pt>
                <c:pt idx="5">
                  <c:v>7</c:v>
                </c:pt>
                <c:pt idx="6">
                  <c:v>8</c:v>
                </c:pt>
                <c:pt idx="7">
                  <c:v>9</c:v>
                </c:pt>
                <c:pt idx="8">
                  <c:v>10</c:v>
                </c:pt>
              </c:numCache>
            </c:numRef>
          </c:cat>
          <c:val>
            <c:numRef>
              <c:f>'Growth Pattern'!$CF$723:$CF$731</c:f>
              <c:numCache>
                <c:formatCode>0.00</c:formatCode>
                <c:ptCount val="9"/>
                <c:pt idx="1">
                  <c:v>3.0000000000000004</c:v>
                </c:pt>
                <c:pt idx="2">
                  <c:v>7.7999999999999989</c:v>
                </c:pt>
                <c:pt idx="3">
                  <c:v>13.55</c:v>
                </c:pt>
                <c:pt idx="4">
                  <c:v>13.990000000000002</c:v>
                </c:pt>
              </c:numCache>
            </c:numRef>
          </c:val>
          <c:smooth val="0"/>
        </c:ser>
        <c:dLbls>
          <c:showLegendKey val="0"/>
          <c:showVal val="0"/>
          <c:showCatName val="0"/>
          <c:showSerName val="0"/>
          <c:showPercent val="0"/>
          <c:showBubbleSize val="0"/>
        </c:dLbls>
        <c:marker val="1"/>
        <c:smooth val="0"/>
        <c:axId val="128766336"/>
        <c:axId val="128767872"/>
      </c:lineChart>
      <c:catAx>
        <c:axId val="128766336"/>
        <c:scaling>
          <c:orientation val="minMax"/>
        </c:scaling>
        <c:delete val="0"/>
        <c:axPos val="b"/>
        <c:numFmt formatCode="0" sourceLinked="1"/>
        <c:majorTickMark val="out"/>
        <c:minorTickMark val="none"/>
        <c:tickLblPos val="nextTo"/>
        <c:crossAx val="128767872"/>
        <c:crosses val="autoZero"/>
        <c:auto val="1"/>
        <c:lblAlgn val="ctr"/>
        <c:lblOffset val="100"/>
        <c:noMultiLvlLbl val="0"/>
      </c:catAx>
      <c:valAx>
        <c:axId val="128767872"/>
        <c:scaling>
          <c:orientation val="minMax"/>
        </c:scaling>
        <c:delete val="0"/>
        <c:axPos val="l"/>
        <c:majorGridlines/>
        <c:numFmt formatCode="0.00" sourceLinked="1"/>
        <c:majorTickMark val="out"/>
        <c:minorTickMark val="none"/>
        <c:tickLblPos val="nextTo"/>
        <c:crossAx val="128766336"/>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'Growth Pattern'!$CE$276</c:f>
              <c:strCache>
                <c:ptCount val="1"/>
                <c:pt idx="0">
                  <c:v>MAI</c:v>
                </c:pt>
              </c:strCache>
            </c:strRef>
          </c:tx>
          <c:val>
            <c:numRef>
              <c:f>'Growth Pattern'!$CE$277:$CE$280</c:f>
              <c:numCache>
                <c:formatCode>0.00</c:formatCode>
                <c:ptCount val="4"/>
                <c:pt idx="0">
                  <c:v>1.77</c:v>
                </c:pt>
                <c:pt idx="1">
                  <c:v>3.11</c:v>
                </c:pt>
                <c:pt idx="2">
                  <c:v>8.9366666666666656</c:v>
                </c:pt>
                <c:pt idx="3">
                  <c:v>11.66</c:v>
                </c:pt>
              </c:numCache>
            </c:numRef>
          </c:val>
          <c:smooth val="0"/>
        </c:ser>
        <c:ser>
          <c:idx val="1"/>
          <c:order val="1"/>
          <c:tx>
            <c:strRef>
              <c:f>'Growth Pattern'!$CF$276</c:f>
              <c:strCache>
                <c:ptCount val="1"/>
                <c:pt idx="0">
                  <c:v>CAI</c:v>
                </c:pt>
              </c:strCache>
            </c:strRef>
          </c:tx>
          <c:val>
            <c:numRef>
              <c:f>'Growth Pattern'!$CF$277:$CF$280</c:f>
              <c:numCache>
                <c:formatCode>0.00</c:formatCode>
                <c:ptCount val="4"/>
                <c:pt idx="0">
                  <c:v>1.77</c:v>
                </c:pt>
                <c:pt idx="1">
                  <c:v>4.4499999999999993</c:v>
                </c:pt>
                <c:pt idx="2">
                  <c:v>20.59</c:v>
                </c:pt>
                <c:pt idx="3">
                  <c:v>19.830000000000002</c:v>
                </c:pt>
              </c:numCache>
            </c:numRef>
          </c:val>
          <c:smooth val="0"/>
        </c:ser>
        <c:dLbls>
          <c:showLegendKey val="0"/>
          <c:showVal val="0"/>
          <c:showCatName val="0"/>
          <c:showSerName val="0"/>
          <c:showPercent val="0"/>
          <c:showBubbleSize val="0"/>
        </c:dLbls>
        <c:marker val="1"/>
        <c:smooth val="0"/>
        <c:axId val="94044544"/>
        <c:axId val="94046080"/>
      </c:lineChart>
      <c:catAx>
        <c:axId val="94044544"/>
        <c:scaling>
          <c:orientation val="minMax"/>
        </c:scaling>
        <c:delete val="0"/>
        <c:axPos val="b"/>
        <c:majorTickMark val="out"/>
        <c:minorTickMark val="none"/>
        <c:tickLblPos val="nextTo"/>
        <c:crossAx val="94046080"/>
        <c:crosses val="autoZero"/>
        <c:auto val="1"/>
        <c:lblAlgn val="ctr"/>
        <c:lblOffset val="100"/>
        <c:noMultiLvlLbl val="0"/>
      </c:catAx>
      <c:valAx>
        <c:axId val="94046080"/>
        <c:scaling>
          <c:orientation val="minMax"/>
        </c:scaling>
        <c:delete val="0"/>
        <c:axPos val="l"/>
        <c:majorGridlines/>
        <c:numFmt formatCode="0.00" sourceLinked="1"/>
        <c:majorTickMark val="out"/>
        <c:minorTickMark val="none"/>
        <c:tickLblPos val="nextTo"/>
        <c:crossAx val="94044544"/>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2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'Growth Pattern'!$CE$748</c:f>
              <c:strCache>
                <c:ptCount val="1"/>
                <c:pt idx="0">
                  <c:v>MAI</c:v>
                </c:pt>
              </c:strCache>
            </c:strRef>
          </c:tx>
          <c:cat>
            <c:numRef>
              <c:f>'Growth Pattern'!$CD$749:$CD$756</c:f>
              <c:numCache>
                <c:formatCode>0</c:formatCode>
                <c:ptCount val="8"/>
                <c:pt idx="0">
                  <c:v>2</c:v>
                </c:pt>
                <c:pt idx="1">
                  <c:v>3</c:v>
                </c:pt>
                <c:pt idx="2">
                  <c:v>4</c:v>
                </c:pt>
                <c:pt idx="3">
                  <c:v>5</c:v>
                </c:pt>
                <c:pt idx="4">
                  <c:v>6</c:v>
                </c:pt>
                <c:pt idx="5">
                  <c:v>7</c:v>
                </c:pt>
                <c:pt idx="6">
                  <c:v>8</c:v>
                </c:pt>
                <c:pt idx="7">
                  <c:v>9</c:v>
                </c:pt>
              </c:numCache>
            </c:numRef>
          </c:cat>
          <c:val>
            <c:numRef>
              <c:f>'Growth Pattern'!$CE$749:$CE$756</c:f>
              <c:numCache>
                <c:formatCode>0.00</c:formatCode>
                <c:ptCount val="8"/>
                <c:pt idx="0">
                  <c:v>1.75</c:v>
                </c:pt>
                <c:pt idx="1">
                  <c:v>3.5</c:v>
                </c:pt>
                <c:pt idx="2">
                  <c:v>9.4</c:v>
                </c:pt>
                <c:pt idx="3">
                  <c:v>13.8</c:v>
                </c:pt>
                <c:pt idx="4">
                  <c:v>16.84</c:v>
                </c:pt>
                <c:pt idx="7">
                  <c:v>24.52</c:v>
                </c:pt>
              </c:numCache>
            </c:numRef>
          </c:val>
          <c:smooth val="0"/>
        </c:ser>
        <c:ser>
          <c:idx val="1"/>
          <c:order val="1"/>
          <c:tx>
            <c:strRef>
              <c:f>'Growth Pattern'!$CF$748</c:f>
              <c:strCache>
                <c:ptCount val="1"/>
                <c:pt idx="0">
                  <c:v>CAI</c:v>
                </c:pt>
              </c:strCache>
            </c:strRef>
          </c:tx>
          <c:cat>
            <c:numRef>
              <c:f>'Growth Pattern'!$CD$749:$CD$756</c:f>
              <c:numCache>
                <c:formatCode>0</c:formatCode>
                <c:ptCount val="8"/>
                <c:pt idx="0">
                  <c:v>2</c:v>
                </c:pt>
                <c:pt idx="1">
                  <c:v>3</c:v>
                </c:pt>
                <c:pt idx="2">
                  <c:v>4</c:v>
                </c:pt>
                <c:pt idx="3">
                  <c:v>5</c:v>
                </c:pt>
                <c:pt idx="4">
                  <c:v>6</c:v>
                </c:pt>
                <c:pt idx="5">
                  <c:v>7</c:v>
                </c:pt>
                <c:pt idx="6">
                  <c:v>8</c:v>
                </c:pt>
                <c:pt idx="7">
                  <c:v>9</c:v>
                </c:pt>
              </c:numCache>
            </c:numRef>
          </c:cat>
          <c:val>
            <c:numRef>
              <c:f>'Growth Pattern'!$CF$749:$CF$756</c:f>
              <c:numCache>
                <c:formatCode>0.00</c:formatCode>
                <c:ptCount val="8"/>
                <c:pt idx="1">
                  <c:v>7</c:v>
                </c:pt>
                <c:pt idx="2">
                  <c:v>27.1</c:v>
                </c:pt>
                <c:pt idx="3">
                  <c:v>31.4</c:v>
                </c:pt>
                <c:pt idx="4">
                  <c:v>32.039999999999992</c:v>
                </c:pt>
              </c:numCache>
            </c:numRef>
          </c:val>
          <c:smooth val="0"/>
        </c:ser>
        <c:dLbls>
          <c:showLegendKey val="0"/>
          <c:showVal val="0"/>
          <c:showCatName val="0"/>
          <c:showSerName val="0"/>
          <c:showPercent val="0"/>
          <c:showBubbleSize val="0"/>
        </c:dLbls>
        <c:marker val="1"/>
        <c:smooth val="0"/>
        <c:axId val="128776448"/>
        <c:axId val="128856064"/>
      </c:lineChart>
      <c:catAx>
        <c:axId val="128776448"/>
        <c:scaling>
          <c:orientation val="minMax"/>
        </c:scaling>
        <c:delete val="0"/>
        <c:axPos val="b"/>
        <c:numFmt formatCode="0" sourceLinked="1"/>
        <c:majorTickMark val="out"/>
        <c:minorTickMark val="none"/>
        <c:tickLblPos val="nextTo"/>
        <c:crossAx val="128856064"/>
        <c:crosses val="autoZero"/>
        <c:auto val="1"/>
        <c:lblAlgn val="ctr"/>
        <c:lblOffset val="100"/>
        <c:noMultiLvlLbl val="0"/>
      </c:catAx>
      <c:valAx>
        <c:axId val="128856064"/>
        <c:scaling>
          <c:orientation val="minMax"/>
        </c:scaling>
        <c:delete val="0"/>
        <c:axPos val="l"/>
        <c:majorGridlines/>
        <c:numFmt formatCode="0.00" sourceLinked="1"/>
        <c:majorTickMark val="out"/>
        <c:minorTickMark val="none"/>
        <c:tickLblPos val="nextTo"/>
        <c:crossAx val="128776448"/>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2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'Growth Pattern'!$CE$765</c:f>
              <c:strCache>
                <c:ptCount val="1"/>
                <c:pt idx="0">
                  <c:v>MAI</c:v>
                </c:pt>
              </c:strCache>
            </c:strRef>
          </c:tx>
          <c:cat>
            <c:numRef>
              <c:f>'Growth Pattern'!$CD$766:$CD$771</c:f>
              <c:numCache>
                <c:formatCode>General</c:formatCode>
                <c:ptCount val="6"/>
                <c:pt idx="0">
                  <c:v>3</c:v>
                </c:pt>
                <c:pt idx="1">
                  <c:v>4</c:v>
                </c:pt>
                <c:pt idx="2">
                  <c:v>5</c:v>
                </c:pt>
                <c:pt idx="3">
                  <c:v>6</c:v>
                </c:pt>
                <c:pt idx="4">
                  <c:v>7</c:v>
                </c:pt>
                <c:pt idx="5">
                  <c:v>8</c:v>
                </c:pt>
              </c:numCache>
            </c:numRef>
          </c:cat>
          <c:val>
            <c:numRef>
              <c:f>'Growth Pattern'!$CE$766:$CE$771</c:f>
              <c:numCache>
                <c:formatCode>General</c:formatCode>
                <c:ptCount val="6"/>
                <c:pt idx="0">
                  <c:v>3.24</c:v>
                </c:pt>
                <c:pt idx="1">
                  <c:v>4.62</c:v>
                </c:pt>
                <c:pt idx="2">
                  <c:v>6.22</c:v>
                </c:pt>
                <c:pt idx="3">
                  <c:v>7.46</c:v>
                </c:pt>
                <c:pt idx="4">
                  <c:v>8.06</c:v>
                </c:pt>
                <c:pt idx="5">
                  <c:v>9.26</c:v>
                </c:pt>
              </c:numCache>
            </c:numRef>
          </c:val>
          <c:smooth val="0"/>
        </c:ser>
        <c:ser>
          <c:idx val="1"/>
          <c:order val="1"/>
          <c:tx>
            <c:strRef>
              <c:f>'Growth Pattern'!$CF$765</c:f>
              <c:strCache>
                <c:ptCount val="1"/>
                <c:pt idx="0">
                  <c:v>CAI</c:v>
                </c:pt>
              </c:strCache>
            </c:strRef>
          </c:tx>
          <c:cat>
            <c:numRef>
              <c:f>'Growth Pattern'!$CD$766:$CD$771</c:f>
              <c:numCache>
                <c:formatCode>General</c:formatCode>
                <c:ptCount val="6"/>
                <c:pt idx="0">
                  <c:v>3</c:v>
                </c:pt>
                <c:pt idx="1">
                  <c:v>4</c:v>
                </c:pt>
                <c:pt idx="2">
                  <c:v>5</c:v>
                </c:pt>
                <c:pt idx="3">
                  <c:v>6</c:v>
                </c:pt>
                <c:pt idx="4">
                  <c:v>7</c:v>
                </c:pt>
                <c:pt idx="5">
                  <c:v>8</c:v>
                </c:pt>
              </c:numCache>
            </c:numRef>
          </c:cat>
          <c:val>
            <c:numRef>
              <c:f>'Growth Pattern'!$CF$766:$CF$771</c:f>
              <c:numCache>
                <c:formatCode>0.00</c:formatCode>
                <c:ptCount val="6"/>
                <c:pt idx="1">
                  <c:v>8.76</c:v>
                </c:pt>
                <c:pt idx="2">
                  <c:v>12.619999999999997</c:v>
                </c:pt>
                <c:pt idx="3">
                  <c:v>13.66</c:v>
                </c:pt>
                <c:pt idx="4">
                  <c:v>11.660000000000004</c:v>
                </c:pt>
                <c:pt idx="5">
                  <c:v>17.659999999999997</c:v>
                </c:pt>
              </c:numCache>
            </c:numRef>
          </c:val>
          <c:smooth val="0"/>
        </c:ser>
        <c:dLbls>
          <c:showLegendKey val="0"/>
          <c:showVal val="0"/>
          <c:showCatName val="0"/>
          <c:showSerName val="0"/>
          <c:showPercent val="0"/>
          <c:showBubbleSize val="0"/>
        </c:dLbls>
        <c:marker val="1"/>
        <c:smooth val="0"/>
        <c:axId val="128881024"/>
        <c:axId val="128882560"/>
      </c:lineChart>
      <c:catAx>
        <c:axId val="128881024"/>
        <c:scaling>
          <c:orientation val="minMax"/>
        </c:scaling>
        <c:delete val="0"/>
        <c:axPos val="b"/>
        <c:numFmt formatCode="General" sourceLinked="1"/>
        <c:majorTickMark val="out"/>
        <c:minorTickMark val="none"/>
        <c:tickLblPos val="nextTo"/>
        <c:crossAx val="128882560"/>
        <c:crosses val="autoZero"/>
        <c:auto val="1"/>
        <c:lblAlgn val="ctr"/>
        <c:lblOffset val="100"/>
        <c:noMultiLvlLbl val="0"/>
      </c:catAx>
      <c:valAx>
        <c:axId val="128882560"/>
        <c:scaling>
          <c:orientation val="minMax"/>
        </c:scaling>
        <c:delete val="0"/>
        <c:axPos val="l"/>
        <c:majorGridlines/>
        <c:numFmt formatCode="General" sourceLinked="1"/>
        <c:majorTickMark val="out"/>
        <c:minorTickMark val="none"/>
        <c:tickLblPos val="nextTo"/>
        <c:crossAx val="128881024"/>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22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'Growth Pattern'!$CE$772</c:f>
              <c:strCache>
                <c:ptCount val="1"/>
                <c:pt idx="0">
                  <c:v>MAI</c:v>
                </c:pt>
              </c:strCache>
            </c:strRef>
          </c:tx>
          <c:cat>
            <c:numRef>
              <c:f>'Growth Pattern'!$CD$773:$CD$778</c:f>
              <c:numCache>
                <c:formatCode>General</c:formatCode>
                <c:ptCount val="6"/>
                <c:pt idx="0">
                  <c:v>3</c:v>
                </c:pt>
                <c:pt idx="1">
                  <c:v>4</c:v>
                </c:pt>
                <c:pt idx="2">
                  <c:v>5</c:v>
                </c:pt>
                <c:pt idx="3">
                  <c:v>6</c:v>
                </c:pt>
                <c:pt idx="4">
                  <c:v>7</c:v>
                </c:pt>
                <c:pt idx="5">
                  <c:v>8</c:v>
                </c:pt>
              </c:numCache>
            </c:numRef>
          </c:cat>
          <c:val>
            <c:numRef>
              <c:f>'Growth Pattern'!$CE$773:$CE$778</c:f>
              <c:numCache>
                <c:formatCode>0.00</c:formatCode>
                <c:ptCount val="6"/>
                <c:pt idx="0">
                  <c:v>1.3804700000000001</c:v>
                </c:pt>
                <c:pt idx="1">
                  <c:v>1.7171700000000001</c:v>
                </c:pt>
                <c:pt idx="2">
                  <c:v>2.59259</c:v>
                </c:pt>
                <c:pt idx="3">
                  <c:v>3.46801</c:v>
                </c:pt>
                <c:pt idx="4">
                  <c:v>4.1077399999999997</c:v>
                </c:pt>
                <c:pt idx="5">
                  <c:v>5.3535399999999997</c:v>
                </c:pt>
              </c:numCache>
            </c:numRef>
          </c:val>
          <c:smooth val="0"/>
        </c:ser>
        <c:ser>
          <c:idx val="1"/>
          <c:order val="1"/>
          <c:tx>
            <c:strRef>
              <c:f>'Growth Pattern'!$CF$772</c:f>
              <c:strCache>
                <c:ptCount val="1"/>
                <c:pt idx="0">
                  <c:v>CAI</c:v>
                </c:pt>
              </c:strCache>
            </c:strRef>
          </c:tx>
          <c:cat>
            <c:numRef>
              <c:f>'Growth Pattern'!$CD$773:$CD$778</c:f>
              <c:numCache>
                <c:formatCode>General</c:formatCode>
                <c:ptCount val="6"/>
                <c:pt idx="0">
                  <c:v>3</c:v>
                </c:pt>
                <c:pt idx="1">
                  <c:v>4</c:v>
                </c:pt>
                <c:pt idx="2">
                  <c:v>5</c:v>
                </c:pt>
                <c:pt idx="3">
                  <c:v>6</c:v>
                </c:pt>
                <c:pt idx="4">
                  <c:v>7</c:v>
                </c:pt>
                <c:pt idx="5">
                  <c:v>8</c:v>
                </c:pt>
              </c:numCache>
            </c:numRef>
          </c:cat>
          <c:val>
            <c:numRef>
              <c:f>'Growth Pattern'!$CF$773:$CF$778</c:f>
              <c:numCache>
                <c:formatCode>0.00</c:formatCode>
                <c:ptCount val="6"/>
                <c:pt idx="1">
                  <c:v>2.7272699999999999</c:v>
                </c:pt>
                <c:pt idx="2">
                  <c:v>6.094269999999999</c:v>
                </c:pt>
                <c:pt idx="3">
                  <c:v>7.8451100000000018</c:v>
                </c:pt>
                <c:pt idx="4">
                  <c:v>7.946119999999997</c:v>
                </c:pt>
                <c:pt idx="5">
                  <c:v>14.07414</c:v>
                </c:pt>
              </c:numCache>
            </c:numRef>
          </c:val>
          <c:smooth val="0"/>
        </c:ser>
        <c:dLbls>
          <c:showLegendKey val="0"/>
          <c:showVal val="0"/>
          <c:showCatName val="0"/>
          <c:showSerName val="0"/>
          <c:showPercent val="0"/>
          <c:showBubbleSize val="0"/>
        </c:dLbls>
        <c:marker val="1"/>
        <c:smooth val="0"/>
        <c:axId val="128915712"/>
        <c:axId val="128917504"/>
      </c:lineChart>
      <c:catAx>
        <c:axId val="128915712"/>
        <c:scaling>
          <c:orientation val="minMax"/>
        </c:scaling>
        <c:delete val="0"/>
        <c:axPos val="b"/>
        <c:numFmt formatCode="General" sourceLinked="1"/>
        <c:majorTickMark val="out"/>
        <c:minorTickMark val="none"/>
        <c:tickLblPos val="nextTo"/>
        <c:crossAx val="128917504"/>
        <c:crosses val="autoZero"/>
        <c:auto val="1"/>
        <c:lblAlgn val="ctr"/>
        <c:lblOffset val="100"/>
        <c:noMultiLvlLbl val="0"/>
      </c:catAx>
      <c:valAx>
        <c:axId val="128917504"/>
        <c:scaling>
          <c:orientation val="minMax"/>
        </c:scaling>
        <c:delete val="0"/>
        <c:axPos val="l"/>
        <c:majorGridlines/>
        <c:numFmt formatCode="0.00" sourceLinked="1"/>
        <c:majorTickMark val="out"/>
        <c:minorTickMark val="none"/>
        <c:tickLblPos val="nextTo"/>
        <c:crossAx val="128915712"/>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22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lotArea>
      <c:layout/>
      <c:lineChart>
        <c:grouping val="standard"/>
        <c:varyColors val="0"/>
        <c:ser>
          <c:idx val="0"/>
          <c:order val="0"/>
          <c:tx>
            <c:strRef>
              <c:f>'Growth Pattern'!$CE$811</c:f>
              <c:strCache>
                <c:ptCount val="1"/>
                <c:pt idx="0">
                  <c:v>PAI</c:v>
                </c:pt>
              </c:strCache>
            </c:strRef>
          </c:tx>
          <c:val>
            <c:numRef>
              <c:f>'Growth Pattern'!$CE$812:$CE$814</c:f>
              <c:numCache>
                <c:formatCode>0.00</c:formatCode>
                <c:ptCount val="3"/>
                <c:pt idx="0">
                  <c:v>7.3</c:v>
                </c:pt>
                <c:pt idx="1">
                  <c:v>6.4</c:v>
                </c:pt>
                <c:pt idx="2">
                  <c:v>2.2999999999999998</c:v>
                </c:pt>
              </c:numCache>
            </c:numRef>
          </c:val>
          <c:smooth val="0"/>
        </c:ser>
        <c:dLbls>
          <c:showLegendKey val="0"/>
          <c:showVal val="0"/>
          <c:showCatName val="0"/>
          <c:showSerName val="0"/>
          <c:showPercent val="0"/>
          <c:showBubbleSize val="0"/>
        </c:dLbls>
        <c:marker val="1"/>
        <c:smooth val="0"/>
        <c:axId val="128937344"/>
        <c:axId val="128951424"/>
      </c:lineChart>
      <c:catAx>
        <c:axId val="128937344"/>
        <c:scaling>
          <c:orientation val="minMax"/>
        </c:scaling>
        <c:delete val="0"/>
        <c:axPos val="b"/>
        <c:majorTickMark val="out"/>
        <c:minorTickMark val="none"/>
        <c:tickLblPos val="nextTo"/>
        <c:crossAx val="128951424"/>
        <c:crosses val="autoZero"/>
        <c:auto val="1"/>
        <c:lblAlgn val="ctr"/>
        <c:lblOffset val="100"/>
        <c:noMultiLvlLbl val="0"/>
      </c:catAx>
      <c:valAx>
        <c:axId val="128951424"/>
        <c:scaling>
          <c:orientation val="minMax"/>
        </c:scaling>
        <c:delete val="0"/>
        <c:axPos val="l"/>
        <c:majorGridlines/>
        <c:numFmt formatCode="0.00" sourceLinked="1"/>
        <c:majorTickMark val="out"/>
        <c:minorTickMark val="none"/>
        <c:tickLblPos val="nextTo"/>
        <c:crossAx val="128937344"/>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22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lotArea>
      <c:layout/>
      <c:lineChart>
        <c:grouping val="standard"/>
        <c:varyColors val="0"/>
        <c:ser>
          <c:idx val="0"/>
          <c:order val="0"/>
          <c:tx>
            <c:strRef>
              <c:f>'Growth Pattern'!$CE$815</c:f>
              <c:strCache>
                <c:ptCount val="1"/>
                <c:pt idx="0">
                  <c:v>PAI</c:v>
                </c:pt>
              </c:strCache>
            </c:strRef>
          </c:tx>
          <c:val>
            <c:numRef>
              <c:f>'Growth Pattern'!$CE$816:$CE$818</c:f>
              <c:numCache>
                <c:formatCode>0.00</c:formatCode>
                <c:ptCount val="3"/>
                <c:pt idx="0">
                  <c:v>6.15</c:v>
                </c:pt>
                <c:pt idx="1">
                  <c:v>6.75</c:v>
                </c:pt>
                <c:pt idx="2">
                  <c:v>1.8</c:v>
                </c:pt>
              </c:numCache>
            </c:numRef>
          </c:val>
          <c:smooth val="0"/>
        </c:ser>
        <c:dLbls>
          <c:showLegendKey val="0"/>
          <c:showVal val="0"/>
          <c:showCatName val="0"/>
          <c:showSerName val="0"/>
          <c:showPercent val="0"/>
          <c:showBubbleSize val="0"/>
        </c:dLbls>
        <c:marker val="1"/>
        <c:smooth val="0"/>
        <c:axId val="129041536"/>
        <c:axId val="129043072"/>
      </c:lineChart>
      <c:catAx>
        <c:axId val="129041536"/>
        <c:scaling>
          <c:orientation val="minMax"/>
        </c:scaling>
        <c:delete val="0"/>
        <c:axPos val="b"/>
        <c:majorTickMark val="out"/>
        <c:minorTickMark val="none"/>
        <c:tickLblPos val="nextTo"/>
        <c:crossAx val="129043072"/>
        <c:crosses val="autoZero"/>
        <c:auto val="1"/>
        <c:lblAlgn val="ctr"/>
        <c:lblOffset val="100"/>
        <c:noMultiLvlLbl val="0"/>
      </c:catAx>
      <c:valAx>
        <c:axId val="129043072"/>
        <c:scaling>
          <c:orientation val="minMax"/>
        </c:scaling>
        <c:delete val="0"/>
        <c:axPos val="l"/>
        <c:majorGridlines/>
        <c:numFmt formatCode="0.00" sourceLinked="1"/>
        <c:majorTickMark val="out"/>
        <c:minorTickMark val="none"/>
        <c:tickLblPos val="nextTo"/>
        <c:crossAx val="129041536"/>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22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lotArea>
      <c:layout/>
      <c:lineChart>
        <c:grouping val="standard"/>
        <c:varyColors val="0"/>
        <c:ser>
          <c:idx val="0"/>
          <c:order val="0"/>
          <c:tx>
            <c:strRef>
              <c:f>'Growth Pattern'!$CE$819</c:f>
              <c:strCache>
                <c:ptCount val="1"/>
                <c:pt idx="0">
                  <c:v>PAI</c:v>
                </c:pt>
              </c:strCache>
            </c:strRef>
          </c:tx>
          <c:val>
            <c:numRef>
              <c:f>'Growth Pattern'!$CE$820:$CE$822</c:f>
              <c:numCache>
                <c:formatCode>0.00</c:formatCode>
                <c:ptCount val="3"/>
                <c:pt idx="0">
                  <c:v>6.6</c:v>
                </c:pt>
                <c:pt idx="1">
                  <c:v>7.4</c:v>
                </c:pt>
                <c:pt idx="2">
                  <c:v>1.9</c:v>
                </c:pt>
              </c:numCache>
            </c:numRef>
          </c:val>
          <c:smooth val="0"/>
        </c:ser>
        <c:dLbls>
          <c:showLegendKey val="0"/>
          <c:showVal val="0"/>
          <c:showCatName val="0"/>
          <c:showSerName val="0"/>
          <c:showPercent val="0"/>
          <c:showBubbleSize val="0"/>
        </c:dLbls>
        <c:marker val="1"/>
        <c:smooth val="0"/>
        <c:axId val="129059456"/>
        <c:axId val="129073536"/>
      </c:lineChart>
      <c:catAx>
        <c:axId val="129059456"/>
        <c:scaling>
          <c:orientation val="minMax"/>
        </c:scaling>
        <c:delete val="0"/>
        <c:axPos val="b"/>
        <c:majorTickMark val="out"/>
        <c:minorTickMark val="none"/>
        <c:tickLblPos val="nextTo"/>
        <c:crossAx val="129073536"/>
        <c:crosses val="autoZero"/>
        <c:auto val="1"/>
        <c:lblAlgn val="ctr"/>
        <c:lblOffset val="100"/>
        <c:noMultiLvlLbl val="0"/>
      </c:catAx>
      <c:valAx>
        <c:axId val="129073536"/>
        <c:scaling>
          <c:orientation val="minMax"/>
        </c:scaling>
        <c:delete val="0"/>
        <c:axPos val="l"/>
        <c:majorGridlines/>
        <c:numFmt formatCode="0.00" sourceLinked="1"/>
        <c:majorTickMark val="out"/>
        <c:minorTickMark val="none"/>
        <c:tickLblPos val="nextTo"/>
        <c:crossAx val="129059456"/>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22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Rotation MAI</a:t>
            </a:r>
          </a:p>
        </c:rich>
      </c:tx>
      <c:overlay val="0"/>
    </c:title>
    <c:autoTitleDeleted val="0"/>
    <c:plotArea>
      <c:layout/>
      <c:barChart>
        <c:barDir val="col"/>
        <c:grouping val="clustered"/>
        <c:varyColors val="0"/>
        <c:ser>
          <c:idx val="0"/>
          <c:order val="0"/>
          <c:tx>
            <c:strRef>
              <c:f>'Growth Pattern'!$CE$996</c:f>
              <c:strCache>
                <c:ptCount val="1"/>
                <c:pt idx="0">
                  <c:v>MAI</c:v>
                </c:pt>
              </c:strCache>
            </c:strRef>
          </c:tx>
          <c:invertIfNegative val="0"/>
          <c:cat>
            <c:numRef>
              <c:f>'Growth Pattern'!$CD$997:$CD$999</c:f>
              <c:numCache>
                <c:formatCode>General</c:formatCode>
                <c:ptCount val="3"/>
                <c:pt idx="0">
                  <c:v>2</c:v>
                </c:pt>
                <c:pt idx="1">
                  <c:v>2</c:v>
                </c:pt>
                <c:pt idx="2">
                  <c:v>4</c:v>
                </c:pt>
              </c:numCache>
            </c:numRef>
          </c:cat>
          <c:val>
            <c:numRef>
              <c:f>'Growth Pattern'!$CE$997:$CE$999</c:f>
              <c:numCache>
                <c:formatCode>0.00</c:formatCode>
                <c:ptCount val="3"/>
                <c:pt idx="0">
                  <c:v>8.6</c:v>
                </c:pt>
                <c:pt idx="1">
                  <c:v>8.4</c:v>
                </c:pt>
                <c:pt idx="2">
                  <c:v>10.4</c:v>
                </c:pt>
              </c:numCache>
            </c:numRef>
          </c:val>
        </c:ser>
        <c:dLbls>
          <c:showLegendKey val="0"/>
          <c:showVal val="0"/>
          <c:showCatName val="0"/>
          <c:showSerName val="0"/>
          <c:showPercent val="0"/>
          <c:showBubbleSize val="0"/>
        </c:dLbls>
        <c:gapWidth val="150"/>
        <c:axId val="129098112"/>
        <c:axId val="129100032"/>
      </c:barChart>
      <c:catAx>
        <c:axId val="129098112"/>
        <c:scaling>
          <c:orientation val="minMax"/>
        </c:scaling>
        <c:delete val="0"/>
        <c:axPos val="b"/>
        <c:title>
          <c:tx>
            <c:rich>
              <a:bodyPr/>
              <a:lstStyle/>
              <a:p>
                <a:pPr>
                  <a:defRPr/>
                </a:pPr>
                <a:r>
                  <a:rPr lang="en-US"/>
                  <a:t>Years in Rotation</a:t>
                </a:r>
              </a:p>
            </c:rich>
          </c:tx>
          <c:overlay val="0"/>
        </c:title>
        <c:numFmt formatCode="General" sourceLinked="1"/>
        <c:majorTickMark val="out"/>
        <c:minorTickMark val="none"/>
        <c:tickLblPos val="nextTo"/>
        <c:crossAx val="129100032"/>
        <c:crosses val="autoZero"/>
        <c:auto val="1"/>
        <c:lblAlgn val="ctr"/>
        <c:lblOffset val="100"/>
        <c:noMultiLvlLbl val="0"/>
      </c:catAx>
      <c:valAx>
        <c:axId val="129100032"/>
        <c:scaling>
          <c:orientation val="minMax"/>
        </c:scaling>
        <c:delete val="0"/>
        <c:axPos val="l"/>
        <c:majorGridlines/>
        <c:numFmt formatCode="0.00" sourceLinked="1"/>
        <c:majorTickMark val="out"/>
        <c:minorTickMark val="none"/>
        <c:tickLblPos val="nextTo"/>
        <c:crossAx val="129098112"/>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userShapes r:id="rId1"/>
</c:chartSpace>
</file>

<file path=xl/charts/chart22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Rotation MAI</a:t>
            </a:r>
          </a:p>
        </c:rich>
      </c:tx>
      <c:overlay val="0"/>
    </c:title>
    <c:autoTitleDeleted val="0"/>
    <c:plotArea>
      <c:layout/>
      <c:barChart>
        <c:barDir val="col"/>
        <c:grouping val="clustered"/>
        <c:varyColors val="0"/>
        <c:ser>
          <c:idx val="0"/>
          <c:order val="0"/>
          <c:tx>
            <c:strRef>
              <c:f>'Growth Pattern'!$CE$1004</c:f>
              <c:strCache>
                <c:ptCount val="1"/>
                <c:pt idx="0">
                  <c:v>MAI</c:v>
                </c:pt>
              </c:strCache>
            </c:strRef>
          </c:tx>
          <c:invertIfNegative val="0"/>
          <c:cat>
            <c:numRef>
              <c:f>'Growth Pattern'!$CD$1005:$CD$1007</c:f>
              <c:numCache>
                <c:formatCode>General</c:formatCode>
                <c:ptCount val="3"/>
                <c:pt idx="0">
                  <c:v>2</c:v>
                </c:pt>
                <c:pt idx="1">
                  <c:v>2</c:v>
                </c:pt>
                <c:pt idx="2">
                  <c:v>4</c:v>
                </c:pt>
              </c:numCache>
            </c:numRef>
          </c:cat>
          <c:val>
            <c:numRef>
              <c:f>'Growth Pattern'!$CE$1005:$CE$1007</c:f>
              <c:numCache>
                <c:formatCode>0.00</c:formatCode>
                <c:ptCount val="3"/>
                <c:pt idx="0">
                  <c:v>2.8</c:v>
                </c:pt>
                <c:pt idx="1">
                  <c:v>7.6</c:v>
                </c:pt>
                <c:pt idx="2">
                  <c:v>9.1999999999999993</c:v>
                </c:pt>
              </c:numCache>
            </c:numRef>
          </c:val>
        </c:ser>
        <c:dLbls>
          <c:showLegendKey val="0"/>
          <c:showVal val="0"/>
          <c:showCatName val="0"/>
          <c:showSerName val="0"/>
          <c:showPercent val="0"/>
          <c:showBubbleSize val="0"/>
        </c:dLbls>
        <c:gapWidth val="150"/>
        <c:axId val="129146880"/>
        <c:axId val="129148800"/>
      </c:barChart>
      <c:catAx>
        <c:axId val="129146880"/>
        <c:scaling>
          <c:orientation val="minMax"/>
        </c:scaling>
        <c:delete val="0"/>
        <c:axPos val="b"/>
        <c:title>
          <c:tx>
            <c:rich>
              <a:bodyPr/>
              <a:lstStyle/>
              <a:p>
                <a:pPr>
                  <a:defRPr/>
                </a:pPr>
                <a:r>
                  <a:rPr lang="en-US"/>
                  <a:t>Years in Rotation</a:t>
                </a:r>
              </a:p>
            </c:rich>
          </c:tx>
          <c:overlay val="0"/>
        </c:title>
        <c:numFmt formatCode="General" sourceLinked="1"/>
        <c:majorTickMark val="out"/>
        <c:minorTickMark val="none"/>
        <c:tickLblPos val="nextTo"/>
        <c:crossAx val="129148800"/>
        <c:crosses val="autoZero"/>
        <c:auto val="1"/>
        <c:lblAlgn val="ctr"/>
        <c:lblOffset val="100"/>
        <c:noMultiLvlLbl val="0"/>
      </c:catAx>
      <c:valAx>
        <c:axId val="129148800"/>
        <c:scaling>
          <c:orientation val="minMax"/>
        </c:scaling>
        <c:delete val="0"/>
        <c:axPos val="l"/>
        <c:majorGridlines/>
        <c:numFmt formatCode="0.00" sourceLinked="1"/>
        <c:majorTickMark val="out"/>
        <c:minorTickMark val="none"/>
        <c:tickLblPos val="nextTo"/>
        <c:crossAx val="129146880"/>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22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Rotation MAI</a:t>
            </a:r>
          </a:p>
        </c:rich>
      </c:tx>
      <c:overlay val="0"/>
    </c:title>
    <c:autoTitleDeleted val="0"/>
    <c:plotArea>
      <c:layout/>
      <c:barChart>
        <c:barDir val="col"/>
        <c:grouping val="clustered"/>
        <c:varyColors val="0"/>
        <c:ser>
          <c:idx val="0"/>
          <c:order val="0"/>
          <c:tx>
            <c:strRef>
              <c:f>'Growth Pattern'!$CE$1004</c:f>
              <c:strCache>
                <c:ptCount val="1"/>
                <c:pt idx="0">
                  <c:v>MAI</c:v>
                </c:pt>
              </c:strCache>
            </c:strRef>
          </c:tx>
          <c:invertIfNegative val="0"/>
          <c:cat>
            <c:numRef>
              <c:f>'Growth Pattern'!$CD$1005:$CD$1007</c:f>
              <c:numCache>
                <c:formatCode>General</c:formatCode>
                <c:ptCount val="3"/>
                <c:pt idx="0">
                  <c:v>2</c:v>
                </c:pt>
                <c:pt idx="1">
                  <c:v>2</c:v>
                </c:pt>
                <c:pt idx="2">
                  <c:v>4</c:v>
                </c:pt>
              </c:numCache>
            </c:numRef>
          </c:cat>
          <c:val>
            <c:numRef>
              <c:f>'Growth Pattern'!$CE$1005:$CE$1007</c:f>
              <c:numCache>
                <c:formatCode>0.00</c:formatCode>
                <c:ptCount val="3"/>
                <c:pt idx="0">
                  <c:v>2.8</c:v>
                </c:pt>
                <c:pt idx="1">
                  <c:v>7.6</c:v>
                </c:pt>
                <c:pt idx="2">
                  <c:v>9.1999999999999993</c:v>
                </c:pt>
              </c:numCache>
            </c:numRef>
          </c:val>
        </c:ser>
        <c:dLbls>
          <c:showLegendKey val="0"/>
          <c:showVal val="0"/>
          <c:showCatName val="0"/>
          <c:showSerName val="0"/>
          <c:showPercent val="0"/>
          <c:showBubbleSize val="0"/>
        </c:dLbls>
        <c:gapWidth val="150"/>
        <c:axId val="129161088"/>
        <c:axId val="129179648"/>
      </c:barChart>
      <c:catAx>
        <c:axId val="129161088"/>
        <c:scaling>
          <c:orientation val="minMax"/>
        </c:scaling>
        <c:delete val="0"/>
        <c:axPos val="b"/>
        <c:title>
          <c:tx>
            <c:rich>
              <a:bodyPr/>
              <a:lstStyle/>
              <a:p>
                <a:pPr>
                  <a:defRPr/>
                </a:pPr>
                <a:r>
                  <a:rPr lang="en-US"/>
                  <a:t>Years in Rotation</a:t>
                </a:r>
              </a:p>
            </c:rich>
          </c:tx>
          <c:overlay val="0"/>
        </c:title>
        <c:numFmt formatCode="General" sourceLinked="1"/>
        <c:majorTickMark val="out"/>
        <c:minorTickMark val="none"/>
        <c:tickLblPos val="nextTo"/>
        <c:crossAx val="129179648"/>
        <c:crosses val="autoZero"/>
        <c:auto val="1"/>
        <c:lblAlgn val="ctr"/>
        <c:lblOffset val="100"/>
        <c:noMultiLvlLbl val="0"/>
      </c:catAx>
      <c:valAx>
        <c:axId val="129179648"/>
        <c:scaling>
          <c:orientation val="minMax"/>
        </c:scaling>
        <c:delete val="0"/>
        <c:axPos val="l"/>
        <c:majorGridlines/>
        <c:numFmt formatCode="0.00" sourceLinked="1"/>
        <c:majorTickMark val="out"/>
        <c:minorTickMark val="none"/>
        <c:tickLblPos val="nextTo"/>
        <c:crossAx val="129161088"/>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22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lotArea>
      <c:layout/>
      <c:barChart>
        <c:barDir val="col"/>
        <c:grouping val="clustered"/>
        <c:varyColors val="0"/>
        <c:ser>
          <c:idx val="0"/>
          <c:order val="0"/>
          <c:tx>
            <c:strRef>
              <c:f>'Growth Pattern'!$CE$1008</c:f>
              <c:strCache>
                <c:ptCount val="1"/>
                <c:pt idx="0">
                  <c:v>MAI</c:v>
                </c:pt>
              </c:strCache>
            </c:strRef>
          </c:tx>
          <c:invertIfNegative val="0"/>
          <c:cat>
            <c:numRef>
              <c:f>'Growth Pattern'!$CD$1009:$CD$1011</c:f>
              <c:numCache>
                <c:formatCode>General</c:formatCode>
                <c:ptCount val="3"/>
                <c:pt idx="0">
                  <c:v>4</c:v>
                </c:pt>
                <c:pt idx="1">
                  <c:v>4</c:v>
                </c:pt>
                <c:pt idx="2">
                  <c:v>8</c:v>
                </c:pt>
              </c:numCache>
            </c:numRef>
          </c:cat>
          <c:val>
            <c:numRef>
              <c:f>'Growth Pattern'!$CE$1009:$CE$1011</c:f>
              <c:numCache>
                <c:formatCode>0.00</c:formatCode>
                <c:ptCount val="3"/>
                <c:pt idx="0">
                  <c:v>6.2</c:v>
                </c:pt>
                <c:pt idx="1">
                  <c:v>5.9</c:v>
                </c:pt>
                <c:pt idx="2">
                  <c:v>7.9</c:v>
                </c:pt>
              </c:numCache>
            </c:numRef>
          </c:val>
        </c:ser>
        <c:dLbls>
          <c:showLegendKey val="0"/>
          <c:showVal val="0"/>
          <c:showCatName val="0"/>
          <c:showSerName val="0"/>
          <c:showPercent val="0"/>
          <c:showBubbleSize val="0"/>
        </c:dLbls>
        <c:gapWidth val="150"/>
        <c:axId val="129212416"/>
        <c:axId val="129213952"/>
      </c:barChart>
      <c:catAx>
        <c:axId val="129212416"/>
        <c:scaling>
          <c:orientation val="minMax"/>
        </c:scaling>
        <c:delete val="0"/>
        <c:axPos val="b"/>
        <c:numFmt formatCode="General" sourceLinked="1"/>
        <c:majorTickMark val="out"/>
        <c:minorTickMark val="none"/>
        <c:tickLblPos val="nextTo"/>
        <c:crossAx val="129213952"/>
        <c:crosses val="autoZero"/>
        <c:auto val="1"/>
        <c:lblAlgn val="ctr"/>
        <c:lblOffset val="100"/>
        <c:noMultiLvlLbl val="0"/>
      </c:catAx>
      <c:valAx>
        <c:axId val="129213952"/>
        <c:scaling>
          <c:orientation val="minMax"/>
        </c:scaling>
        <c:delete val="0"/>
        <c:axPos val="l"/>
        <c:majorGridlines/>
        <c:numFmt formatCode="0.00" sourceLinked="1"/>
        <c:majorTickMark val="out"/>
        <c:minorTickMark val="none"/>
        <c:tickLblPos val="nextTo"/>
        <c:crossAx val="129212416"/>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'Growth Pattern'!$CE$281</c:f>
              <c:strCache>
                <c:ptCount val="1"/>
                <c:pt idx="0">
                  <c:v>MAI</c:v>
                </c:pt>
              </c:strCache>
            </c:strRef>
          </c:tx>
          <c:val>
            <c:numRef>
              <c:f>'Growth Pattern'!$CE$282:$CE$285</c:f>
              <c:numCache>
                <c:formatCode>0.00</c:formatCode>
                <c:ptCount val="4"/>
                <c:pt idx="0">
                  <c:v>1.28</c:v>
                </c:pt>
                <c:pt idx="1">
                  <c:v>1.395</c:v>
                </c:pt>
                <c:pt idx="2">
                  <c:v>5.3500000000000005</c:v>
                </c:pt>
                <c:pt idx="3">
                  <c:v>8.9600000000000009</c:v>
                </c:pt>
              </c:numCache>
            </c:numRef>
          </c:val>
          <c:smooth val="0"/>
        </c:ser>
        <c:ser>
          <c:idx val="1"/>
          <c:order val="1"/>
          <c:tx>
            <c:strRef>
              <c:f>'Growth Pattern'!$CF$281</c:f>
              <c:strCache>
                <c:ptCount val="1"/>
                <c:pt idx="0">
                  <c:v>CAI</c:v>
                </c:pt>
              </c:strCache>
            </c:strRef>
          </c:tx>
          <c:val>
            <c:numRef>
              <c:f>'Growth Pattern'!$CF$282:$CF$285</c:f>
              <c:numCache>
                <c:formatCode>0.00</c:formatCode>
                <c:ptCount val="4"/>
                <c:pt idx="0">
                  <c:v>1.28</c:v>
                </c:pt>
                <c:pt idx="1">
                  <c:v>1.51</c:v>
                </c:pt>
                <c:pt idx="2">
                  <c:v>13.260000000000002</c:v>
                </c:pt>
                <c:pt idx="3">
                  <c:v>19.790000000000003</c:v>
                </c:pt>
              </c:numCache>
            </c:numRef>
          </c:val>
          <c:smooth val="0"/>
        </c:ser>
        <c:dLbls>
          <c:showLegendKey val="0"/>
          <c:showVal val="0"/>
          <c:showCatName val="0"/>
          <c:showSerName val="0"/>
          <c:showPercent val="0"/>
          <c:showBubbleSize val="0"/>
        </c:dLbls>
        <c:marker val="1"/>
        <c:smooth val="0"/>
        <c:axId val="94079232"/>
        <c:axId val="94081024"/>
      </c:lineChart>
      <c:catAx>
        <c:axId val="94079232"/>
        <c:scaling>
          <c:orientation val="minMax"/>
        </c:scaling>
        <c:delete val="0"/>
        <c:axPos val="b"/>
        <c:majorTickMark val="out"/>
        <c:minorTickMark val="none"/>
        <c:tickLblPos val="nextTo"/>
        <c:crossAx val="94081024"/>
        <c:crosses val="autoZero"/>
        <c:auto val="1"/>
        <c:lblAlgn val="ctr"/>
        <c:lblOffset val="100"/>
        <c:noMultiLvlLbl val="0"/>
      </c:catAx>
      <c:valAx>
        <c:axId val="94081024"/>
        <c:scaling>
          <c:orientation val="minMax"/>
        </c:scaling>
        <c:delete val="0"/>
        <c:axPos val="l"/>
        <c:majorGridlines/>
        <c:numFmt formatCode="0.00" sourceLinked="1"/>
        <c:majorTickMark val="out"/>
        <c:minorTickMark val="none"/>
        <c:tickLblPos val="nextTo"/>
        <c:crossAx val="94079232"/>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23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lotArea>
      <c:layout/>
      <c:barChart>
        <c:barDir val="col"/>
        <c:grouping val="clustered"/>
        <c:varyColors val="0"/>
        <c:ser>
          <c:idx val="0"/>
          <c:order val="0"/>
          <c:tx>
            <c:strRef>
              <c:f>'Growth Pattern'!$CE$1012</c:f>
              <c:strCache>
                <c:ptCount val="1"/>
                <c:pt idx="0">
                  <c:v>MAI</c:v>
                </c:pt>
              </c:strCache>
            </c:strRef>
          </c:tx>
          <c:invertIfNegative val="0"/>
          <c:cat>
            <c:numRef>
              <c:f>'Growth Pattern'!$CD$1013:$CD$1015</c:f>
              <c:numCache>
                <c:formatCode>General</c:formatCode>
                <c:ptCount val="3"/>
                <c:pt idx="0">
                  <c:v>4</c:v>
                </c:pt>
                <c:pt idx="1">
                  <c:v>4</c:v>
                </c:pt>
                <c:pt idx="2">
                  <c:v>8</c:v>
                </c:pt>
              </c:numCache>
            </c:numRef>
          </c:cat>
          <c:val>
            <c:numRef>
              <c:f>'Growth Pattern'!$CE$1013:$CE$1015</c:f>
              <c:numCache>
                <c:formatCode>0.00</c:formatCode>
                <c:ptCount val="3"/>
                <c:pt idx="0">
                  <c:v>6</c:v>
                </c:pt>
                <c:pt idx="1">
                  <c:v>6.4</c:v>
                </c:pt>
                <c:pt idx="2">
                  <c:v>9.6</c:v>
                </c:pt>
              </c:numCache>
            </c:numRef>
          </c:val>
        </c:ser>
        <c:dLbls>
          <c:showLegendKey val="0"/>
          <c:showVal val="0"/>
          <c:showCatName val="0"/>
          <c:showSerName val="0"/>
          <c:showPercent val="0"/>
          <c:showBubbleSize val="0"/>
        </c:dLbls>
        <c:gapWidth val="150"/>
        <c:axId val="129234432"/>
        <c:axId val="129235968"/>
      </c:barChart>
      <c:catAx>
        <c:axId val="129234432"/>
        <c:scaling>
          <c:orientation val="minMax"/>
        </c:scaling>
        <c:delete val="0"/>
        <c:axPos val="b"/>
        <c:numFmt formatCode="General" sourceLinked="1"/>
        <c:majorTickMark val="out"/>
        <c:minorTickMark val="none"/>
        <c:tickLblPos val="nextTo"/>
        <c:crossAx val="129235968"/>
        <c:crosses val="autoZero"/>
        <c:auto val="1"/>
        <c:lblAlgn val="ctr"/>
        <c:lblOffset val="100"/>
        <c:noMultiLvlLbl val="0"/>
      </c:catAx>
      <c:valAx>
        <c:axId val="129235968"/>
        <c:scaling>
          <c:orientation val="minMax"/>
        </c:scaling>
        <c:delete val="0"/>
        <c:axPos val="l"/>
        <c:majorGridlines/>
        <c:numFmt formatCode="0.00" sourceLinked="1"/>
        <c:majorTickMark val="out"/>
        <c:minorTickMark val="none"/>
        <c:tickLblPos val="nextTo"/>
        <c:crossAx val="129234432"/>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23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lotArea>
      <c:layout/>
      <c:barChart>
        <c:barDir val="col"/>
        <c:grouping val="clustered"/>
        <c:varyColors val="0"/>
        <c:ser>
          <c:idx val="0"/>
          <c:order val="0"/>
          <c:tx>
            <c:strRef>
              <c:f>'Growth Pattern'!$CE$1016</c:f>
              <c:strCache>
                <c:ptCount val="1"/>
                <c:pt idx="0">
                  <c:v>MAI</c:v>
                </c:pt>
              </c:strCache>
            </c:strRef>
          </c:tx>
          <c:invertIfNegative val="0"/>
          <c:cat>
            <c:numRef>
              <c:f>'Growth Pattern'!$CD$1017:$CD$1019</c:f>
              <c:numCache>
                <c:formatCode>General</c:formatCode>
                <c:ptCount val="3"/>
                <c:pt idx="0">
                  <c:v>4</c:v>
                </c:pt>
                <c:pt idx="1">
                  <c:v>4</c:v>
                </c:pt>
                <c:pt idx="2">
                  <c:v>8</c:v>
                </c:pt>
              </c:numCache>
            </c:numRef>
          </c:cat>
          <c:val>
            <c:numRef>
              <c:f>'Growth Pattern'!$CE$1017:$CE$1019</c:f>
              <c:numCache>
                <c:formatCode>0.00</c:formatCode>
                <c:ptCount val="3"/>
                <c:pt idx="0">
                  <c:v>5.8</c:v>
                </c:pt>
                <c:pt idx="1">
                  <c:v>5.9</c:v>
                </c:pt>
                <c:pt idx="2">
                  <c:v>6.6</c:v>
                </c:pt>
              </c:numCache>
            </c:numRef>
          </c:val>
        </c:ser>
        <c:dLbls>
          <c:showLegendKey val="0"/>
          <c:showVal val="0"/>
          <c:showCatName val="0"/>
          <c:showSerName val="0"/>
          <c:showPercent val="0"/>
          <c:showBubbleSize val="0"/>
        </c:dLbls>
        <c:gapWidth val="150"/>
        <c:axId val="129313792"/>
        <c:axId val="129327872"/>
      </c:barChart>
      <c:catAx>
        <c:axId val="129313792"/>
        <c:scaling>
          <c:orientation val="minMax"/>
        </c:scaling>
        <c:delete val="0"/>
        <c:axPos val="b"/>
        <c:numFmt formatCode="General" sourceLinked="1"/>
        <c:majorTickMark val="out"/>
        <c:minorTickMark val="none"/>
        <c:tickLblPos val="nextTo"/>
        <c:crossAx val="129327872"/>
        <c:crosses val="autoZero"/>
        <c:auto val="1"/>
        <c:lblAlgn val="ctr"/>
        <c:lblOffset val="100"/>
        <c:noMultiLvlLbl val="0"/>
      </c:catAx>
      <c:valAx>
        <c:axId val="129327872"/>
        <c:scaling>
          <c:orientation val="minMax"/>
        </c:scaling>
        <c:delete val="0"/>
        <c:axPos val="l"/>
        <c:majorGridlines/>
        <c:numFmt formatCode="0.00" sourceLinked="1"/>
        <c:majorTickMark val="out"/>
        <c:minorTickMark val="none"/>
        <c:tickLblPos val="nextTo"/>
        <c:crossAx val="129313792"/>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23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lotArea>
      <c:layout/>
      <c:barChart>
        <c:barDir val="col"/>
        <c:grouping val="clustered"/>
        <c:varyColors val="0"/>
        <c:ser>
          <c:idx val="0"/>
          <c:order val="0"/>
          <c:tx>
            <c:strRef>
              <c:f>'Growth Pattern'!$CE$1020</c:f>
              <c:strCache>
                <c:ptCount val="1"/>
                <c:pt idx="0">
                  <c:v>MAI</c:v>
                </c:pt>
              </c:strCache>
            </c:strRef>
          </c:tx>
          <c:invertIfNegative val="0"/>
          <c:cat>
            <c:numRef>
              <c:f>'Growth Pattern'!$CD$1021:$CD$1023</c:f>
              <c:numCache>
                <c:formatCode>General</c:formatCode>
                <c:ptCount val="3"/>
                <c:pt idx="0">
                  <c:v>4</c:v>
                </c:pt>
                <c:pt idx="1">
                  <c:v>4</c:v>
                </c:pt>
                <c:pt idx="2">
                  <c:v>8</c:v>
                </c:pt>
              </c:numCache>
            </c:numRef>
          </c:cat>
          <c:val>
            <c:numRef>
              <c:f>'Growth Pattern'!$CE$1021:$CE$1023</c:f>
              <c:numCache>
                <c:formatCode>0.00</c:formatCode>
                <c:ptCount val="3"/>
                <c:pt idx="0">
                  <c:v>2.7</c:v>
                </c:pt>
                <c:pt idx="1">
                  <c:v>5.0999999999999996</c:v>
                </c:pt>
                <c:pt idx="2">
                  <c:v>5.6</c:v>
                </c:pt>
              </c:numCache>
            </c:numRef>
          </c:val>
        </c:ser>
        <c:dLbls>
          <c:showLegendKey val="0"/>
          <c:showVal val="0"/>
          <c:showCatName val="0"/>
          <c:showSerName val="0"/>
          <c:showPercent val="0"/>
          <c:showBubbleSize val="0"/>
        </c:dLbls>
        <c:gapWidth val="150"/>
        <c:axId val="129368832"/>
        <c:axId val="129370368"/>
      </c:barChart>
      <c:catAx>
        <c:axId val="129368832"/>
        <c:scaling>
          <c:orientation val="minMax"/>
        </c:scaling>
        <c:delete val="0"/>
        <c:axPos val="b"/>
        <c:numFmt formatCode="General" sourceLinked="1"/>
        <c:majorTickMark val="out"/>
        <c:minorTickMark val="none"/>
        <c:tickLblPos val="nextTo"/>
        <c:crossAx val="129370368"/>
        <c:crosses val="autoZero"/>
        <c:auto val="1"/>
        <c:lblAlgn val="ctr"/>
        <c:lblOffset val="100"/>
        <c:noMultiLvlLbl val="0"/>
      </c:catAx>
      <c:valAx>
        <c:axId val="129370368"/>
        <c:scaling>
          <c:orientation val="minMax"/>
        </c:scaling>
        <c:delete val="0"/>
        <c:axPos val="l"/>
        <c:majorGridlines/>
        <c:numFmt formatCode="0.00" sourceLinked="1"/>
        <c:majorTickMark val="out"/>
        <c:minorTickMark val="none"/>
        <c:tickLblPos val="nextTo"/>
        <c:crossAx val="129368832"/>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23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lotArea>
      <c:layout/>
      <c:barChart>
        <c:barDir val="col"/>
        <c:grouping val="clustered"/>
        <c:varyColors val="0"/>
        <c:ser>
          <c:idx val="0"/>
          <c:order val="0"/>
          <c:tx>
            <c:strRef>
              <c:f>'Growth Pattern'!$CE$1024</c:f>
              <c:strCache>
                <c:ptCount val="1"/>
                <c:pt idx="0">
                  <c:v>MAI</c:v>
                </c:pt>
              </c:strCache>
            </c:strRef>
          </c:tx>
          <c:invertIfNegative val="0"/>
          <c:cat>
            <c:numRef>
              <c:f>'Growth Pattern'!$CD$1025:$CD$1027</c:f>
              <c:numCache>
                <c:formatCode>General</c:formatCode>
                <c:ptCount val="3"/>
                <c:pt idx="0">
                  <c:v>4</c:v>
                </c:pt>
                <c:pt idx="1">
                  <c:v>4</c:v>
                </c:pt>
                <c:pt idx="2">
                  <c:v>8</c:v>
                </c:pt>
              </c:numCache>
            </c:numRef>
          </c:cat>
          <c:val>
            <c:numRef>
              <c:f>'Growth Pattern'!$CE$1025:$CE$1027</c:f>
              <c:numCache>
                <c:formatCode>0.00</c:formatCode>
                <c:ptCount val="3"/>
                <c:pt idx="0">
                  <c:v>2.2000000000000002</c:v>
                </c:pt>
                <c:pt idx="1">
                  <c:v>4.8</c:v>
                </c:pt>
                <c:pt idx="2">
                  <c:v>7.6</c:v>
                </c:pt>
              </c:numCache>
            </c:numRef>
          </c:val>
        </c:ser>
        <c:dLbls>
          <c:showLegendKey val="0"/>
          <c:showVal val="0"/>
          <c:showCatName val="0"/>
          <c:showSerName val="0"/>
          <c:showPercent val="0"/>
          <c:showBubbleSize val="0"/>
        </c:dLbls>
        <c:gapWidth val="150"/>
        <c:axId val="129382656"/>
        <c:axId val="129400832"/>
      </c:barChart>
      <c:catAx>
        <c:axId val="129382656"/>
        <c:scaling>
          <c:orientation val="minMax"/>
        </c:scaling>
        <c:delete val="0"/>
        <c:axPos val="b"/>
        <c:numFmt formatCode="General" sourceLinked="1"/>
        <c:majorTickMark val="out"/>
        <c:minorTickMark val="none"/>
        <c:tickLblPos val="nextTo"/>
        <c:crossAx val="129400832"/>
        <c:crosses val="autoZero"/>
        <c:auto val="1"/>
        <c:lblAlgn val="ctr"/>
        <c:lblOffset val="100"/>
        <c:noMultiLvlLbl val="0"/>
      </c:catAx>
      <c:valAx>
        <c:axId val="129400832"/>
        <c:scaling>
          <c:orientation val="minMax"/>
        </c:scaling>
        <c:delete val="0"/>
        <c:axPos val="l"/>
        <c:majorGridlines/>
        <c:numFmt formatCode="0.00" sourceLinked="1"/>
        <c:majorTickMark val="out"/>
        <c:minorTickMark val="none"/>
        <c:tickLblPos val="nextTo"/>
        <c:crossAx val="129382656"/>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23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'Growth Pattern'!$CE$1028</c:f>
              <c:strCache>
                <c:ptCount val="1"/>
                <c:pt idx="0">
                  <c:v>MAI</c:v>
                </c:pt>
              </c:strCache>
            </c:strRef>
          </c:tx>
          <c:val>
            <c:numRef>
              <c:f>'Growth Pattern'!$CE$1029:$CE$1032</c:f>
              <c:numCache>
                <c:formatCode>0.00</c:formatCode>
                <c:ptCount val="4"/>
                <c:pt idx="0">
                  <c:v>1.4</c:v>
                </c:pt>
                <c:pt idx="1">
                  <c:v>9.9</c:v>
                </c:pt>
                <c:pt idx="2">
                  <c:v>20.100000000000001</c:v>
                </c:pt>
                <c:pt idx="3">
                  <c:v>27.8</c:v>
                </c:pt>
              </c:numCache>
            </c:numRef>
          </c:val>
          <c:smooth val="0"/>
        </c:ser>
        <c:ser>
          <c:idx val="1"/>
          <c:order val="1"/>
          <c:tx>
            <c:strRef>
              <c:f>'Growth Pattern'!$CF$1028</c:f>
              <c:strCache>
                <c:ptCount val="1"/>
                <c:pt idx="0">
                  <c:v>CAI</c:v>
                </c:pt>
              </c:strCache>
            </c:strRef>
          </c:tx>
          <c:val>
            <c:numRef>
              <c:f>'Growth Pattern'!$CF$1029:$CF$1032</c:f>
              <c:numCache>
                <c:formatCode>0.00</c:formatCode>
                <c:ptCount val="4"/>
                <c:pt idx="0">
                  <c:v>1.4</c:v>
                </c:pt>
                <c:pt idx="1">
                  <c:v>18.400000000000002</c:v>
                </c:pt>
                <c:pt idx="2">
                  <c:v>40.5</c:v>
                </c:pt>
                <c:pt idx="3">
                  <c:v>50.9</c:v>
                </c:pt>
              </c:numCache>
            </c:numRef>
          </c:val>
          <c:smooth val="0"/>
        </c:ser>
        <c:dLbls>
          <c:showLegendKey val="0"/>
          <c:showVal val="0"/>
          <c:showCatName val="0"/>
          <c:showSerName val="0"/>
          <c:showPercent val="0"/>
          <c:showBubbleSize val="0"/>
        </c:dLbls>
        <c:marker val="1"/>
        <c:smooth val="0"/>
        <c:axId val="129413888"/>
        <c:axId val="129415424"/>
      </c:lineChart>
      <c:catAx>
        <c:axId val="129413888"/>
        <c:scaling>
          <c:orientation val="minMax"/>
        </c:scaling>
        <c:delete val="0"/>
        <c:axPos val="b"/>
        <c:majorTickMark val="out"/>
        <c:minorTickMark val="none"/>
        <c:tickLblPos val="nextTo"/>
        <c:crossAx val="129415424"/>
        <c:crosses val="autoZero"/>
        <c:auto val="1"/>
        <c:lblAlgn val="ctr"/>
        <c:lblOffset val="100"/>
        <c:noMultiLvlLbl val="0"/>
      </c:catAx>
      <c:valAx>
        <c:axId val="129415424"/>
        <c:scaling>
          <c:orientation val="minMax"/>
        </c:scaling>
        <c:delete val="0"/>
        <c:axPos val="l"/>
        <c:majorGridlines/>
        <c:numFmt formatCode="0.00" sourceLinked="1"/>
        <c:majorTickMark val="out"/>
        <c:minorTickMark val="none"/>
        <c:tickLblPos val="nextTo"/>
        <c:crossAx val="129413888"/>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23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'Growth Pattern'!$CE$1042</c:f>
              <c:strCache>
                <c:ptCount val="1"/>
                <c:pt idx="0">
                  <c:v>MAI</c:v>
                </c:pt>
              </c:strCache>
            </c:strRef>
          </c:tx>
          <c:cat>
            <c:numRef>
              <c:f>'Growth Pattern'!$CD$1043:$CD$1046</c:f>
              <c:numCache>
                <c:formatCode>General</c:formatCode>
                <c:ptCount val="4"/>
                <c:pt idx="0">
                  <c:v>1</c:v>
                </c:pt>
                <c:pt idx="1">
                  <c:v>2</c:v>
                </c:pt>
                <c:pt idx="2">
                  <c:v>3</c:v>
                </c:pt>
                <c:pt idx="3">
                  <c:v>4</c:v>
                </c:pt>
              </c:numCache>
            </c:numRef>
          </c:cat>
          <c:val>
            <c:numRef>
              <c:f>'Growth Pattern'!$CE$1043:$CE$1046</c:f>
              <c:numCache>
                <c:formatCode>0.00</c:formatCode>
                <c:ptCount val="4"/>
                <c:pt idx="0">
                  <c:v>0.8</c:v>
                </c:pt>
                <c:pt idx="1">
                  <c:v>8.6</c:v>
                </c:pt>
                <c:pt idx="2">
                  <c:v>19.5</c:v>
                </c:pt>
                <c:pt idx="3">
                  <c:v>27.5</c:v>
                </c:pt>
              </c:numCache>
            </c:numRef>
          </c:val>
          <c:smooth val="0"/>
        </c:ser>
        <c:ser>
          <c:idx val="1"/>
          <c:order val="1"/>
          <c:tx>
            <c:strRef>
              <c:f>'Growth Pattern'!$CF$1042</c:f>
              <c:strCache>
                <c:ptCount val="1"/>
                <c:pt idx="0">
                  <c:v>CAI</c:v>
                </c:pt>
              </c:strCache>
            </c:strRef>
          </c:tx>
          <c:cat>
            <c:numRef>
              <c:f>'Growth Pattern'!$CD$1043:$CD$1046</c:f>
              <c:numCache>
                <c:formatCode>General</c:formatCode>
                <c:ptCount val="4"/>
                <c:pt idx="0">
                  <c:v>1</c:v>
                </c:pt>
                <c:pt idx="1">
                  <c:v>2</c:v>
                </c:pt>
                <c:pt idx="2">
                  <c:v>3</c:v>
                </c:pt>
                <c:pt idx="3">
                  <c:v>4</c:v>
                </c:pt>
              </c:numCache>
            </c:numRef>
          </c:cat>
          <c:val>
            <c:numRef>
              <c:f>'Growth Pattern'!$CF$1043:$CF$1046</c:f>
              <c:numCache>
                <c:formatCode>0.00</c:formatCode>
                <c:ptCount val="4"/>
                <c:pt idx="0">
                  <c:v>0.8</c:v>
                </c:pt>
                <c:pt idx="1">
                  <c:v>16.399999999999999</c:v>
                </c:pt>
                <c:pt idx="2">
                  <c:v>41.3</c:v>
                </c:pt>
                <c:pt idx="3">
                  <c:v>51.5</c:v>
                </c:pt>
              </c:numCache>
            </c:numRef>
          </c:val>
          <c:smooth val="0"/>
        </c:ser>
        <c:dLbls>
          <c:showLegendKey val="0"/>
          <c:showVal val="0"/>
          <c:showCatName val="0"/>
          <c:showSerName val="0"/>
          <c:showPercent val="0"/>
          <c:showBubbleSize val="0"/>
        </c:dLbls>
        <c:marker val="1"/>
        <c:smooth val="0"/>
        <c:axId val="129452672"/>
        <c:axId val="129458560"/>
      </c:lineChart>
      <c:catAx>
        <c:axId val="129452672"/>
        <c:scaling>
          <c:orientation val="minMax"/>
        </c:scaling>
        <c:delete val="0"/>
        <c:axPos val="b"/>
        <c:numFmt formatCode="General" sourceLinked="1"/>
        <c:majorTickMark val="out"/>
        <c:minorTickMark val="none"/>
        <c:tickLblPos val="nextTo"/>
        <c:crossAx val="129458560"/>
        <c:crosses val="autoZero"/>
        <c:auto val="1"/>
        <c:lblAlgn val="ctr"/>
        <c:lblOffset val="100"/>
        <c:noMultiLvlLbl val="0"/>
      </c:catAx>
      <c:valAx>
        <c:axId val="129458560"/>
        <c:scaling>
          <c:orientation val="minMax"/>
        </c:scaling>
        <c:delete val="0"/>
        <c:axPos val="l"/>
        <c:majorGridlines/>
        <c:numFmt formatCode="0.00" sourceLinked="1"/>
        <c:majorTickMark val="out"/>
        <c:minorTickMark val="none"/>
        <c:tickLblPos val="nextTo"/>
        <c:crossAx val="129452672"/>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23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'Growth Pattern'!$CE$1049</c:f>
              <c:strCache>
                <c:ptCount val="1"/>
                <c:pt idx="0">
                  <c:v>MAI</c:v>
                </c:pt>
              </c:strCache>
            </c:strRef>
          </c:tx>
          <c:cat>
            <c:numRef>
              <c:f>'Growth Pattern'!$CD$1050:$CD$1053</c:f>
              <c:numCache>
                <c:formatCode>General</c:formatCode>
                <c:ptCount val="4"/>
                <c:pt idx="0">
                  <c:v>1</c:v>
                </c:pt>
                <c:pt idx="1">
                  <c:v>2</c:v>
                </c:pt>
                <c:pt idx="2">
                  <c:v>3</c:v>
                </c:pt>
                <c:pt idx="3">
                  <c:v>4</c:v>
                </c:pt>
              </c:numCache>
            </c:numRef>
          </c:cat>
          <c:val>
            <c:numRef>
              <c:f>'Growth Pattern'!$CE$1050:$CE$1053</c:f>
              <c:numCache>
                <c:formatCode>0.00</c:formatCode>
                <c:ptCount val="4"/>
                <c:pt idx="0">
                  <c:v>0.3</c:v>
                </c:pt>
                <c:pt idx="1">
                  <c:v>4.7</c:v>
                </c:pt>
                <c:pt idx="2">
                  <c:v>9.4</c:v>
                </c:pt>
                <c:pt idx="3">
                  <c:v>10.9</c:v>
                </c:pt>
              </c:numCache>
            </c:numRef>
          </c:val>
          <c:smooth val="0"/>
        </c:ser>
        <c:ser>
          <c:idx val="1"/>
          <c:order val="1"/>
          <c:tx>
            <c:strRef>
              <c:f>'Growth Pattern'!$CF$1049</c:f>
              <c:strCache>
                <c:ptCount val="1"/>
                <c:pt idx="0">
                  <c:v>CAI</c:v>
                </c:pt>
              </c:strCache>
            </c:strRef>
          </c:tx>
          <c:cat>
            <c:numRef>
              <c:f>'Growth Pattern'!$CD$1050:$CD$1053</c:f>
              <c:numCache>
                <c:formatCode>General</c:formatCode>
                <c:ptCount val="4"/>
                <c:pt idx="0">
                  <c:v>1</c:v>
                </c:pt>
                <c:pt idx="1">
                  <c:v>2</c:v>
                </c:pt>
                <c:pt idx="2">
                  <c:v>3</c:v>
                </c:pt>
                <c:pt idx="3">
                  <c:v>4</c:v>
                </c:pt>
              </c:numCache>
            </c:numRef>
          </c:cat>
          <c:val>
            <c:numRef>
              <c:f>'Growth Pattern'!$CF$1050:$CF$1053</c:f>
              <c:numCache>
                <c:formatCode>0.00</c:formatCode>
                <c:ptCount val="4"/>
                <c:pt idx="0">
                  <c:v>0.3</c:v>
                </c:pt>
                <c:pt idx="1">
                  <c:v>9.1</c:v>
                </c:pt>
                <c:pt idx="2">
                  <c:v>18.800000000000004</c:v>
                </c:pt>
                <c:pt idx="3">
                  <c:v>15.399999999999999</c:v>
                </c:pt>
              </c:numCache>
            </c:numRef>
          </c:val>
          <c:smooth val="0"/>
        </c:ser>
        <c:dLbls>
          <c:showLegendKey val="0"/>
          <c:showVal val="0"/>
          <c:showCatName val="0"/>
          <c:showSerName val="0"/>
          <c:showPercent val="0"/>
          <c:showBubbleSize val="0"/>
        </c:dLbls>
        <c:marker val="1"/>
        <c:smooth val="0"/>
        <c:axId val="129487616"/>
        <c:axId val="129489152"/>
      </c:lineChart>
      <c:catAx>
        <c:axId val="129487616"/>
        <c:scaling>
          <c:orientation val="minMax"/>
        </c:scaling>
        <c:delete val="0"/>
        <c:axPos val="b"/>
        <c:numFmt formatCode="General" sourceLinked="1"/>
        <c:majorTickMark val="out"/>
        <c:minorTickMark val="none"/>
        <c:tickLblPos val="nextTo"/>
        <c:crossAx val="129489152"/>
        <c:crosses val="autoZero"/>
        <c:auto val="1"/>
        <c:lblAlgn val="ctr"/>
        <c:lblOffset val="100"/>
        <c:noMultiLvlLbl val="0"/>
      </c:catAx>
      <c:valAx>
        <c:axId val="129489152"/>
        <c:scaling>
          <c:orientation val="minMax"/>
        </c:scaling>
        <c:delete val="0"/>
        <c:axPos val="l"/>
        <c:majorGridlines/>
        <c:numFmt formatCode="0.00" sourceLinked="1"/>
        <c:majorTickMark val="out"/>
        <c:minorTickMark val="none"/>
        <c:tickLblPos val="nextTo"/>
        <c:crossAx val="129487616"/>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23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'Growth Pattern'!$CE$1056</c:f>
              <c:strCache>
                <c:ptCount val="1"/>
                <c:pt idx="0">
                  <c:v>MAI</c:v>
                </c:pt>
              </c:strCache>
            </c:strRef>
          </c:tx>
          <c:cat>
            <c:numRef>
              <c:f>'Growth Pattern'!$CD$1057:$CD$1060</c:f>
              <c:numCache>
                <c:formatCode>General</c:formatCode>
                <c:ptCount val="4"/>
                <c:pt idx="0">
                  <c:v>1</c:v>
                </c:pt>
                <c:pt idx="1">
                  <c:v>2</c:v>
                </c:pt>
                <c:pt idx="2">
                  <c:v>3</c:v>
                </c:pt>
                <c:pt idx="3">
                  <c:v>4</c:v>
                </c:pt>
              </c:numCache>
            </c:numRef>
          </c:cat>
          <c:val>
            <c:numRef>
              <c:f>'Growth Pattern'!$CE$1057:$CE$1060</c:f>
              <c:numCache>
                <c:formatCode>0.00</c:formatCode>
                <c:ptCount val="4"/>
                <c:pt idx="0">
                  <c:v>0.46</c:v>
                </c:pt>
                <c:pt idx="1">
                  <c:v>5.3</c:v>
                </c:pt>
                <c:pt idx="2">
                  <c:v>10.3</c:v>
                </c:pt>
                <c:pt idx="3">
                  <c:v>12.5</c:v>
                </c:pt>
              </c:numCache>
            </c:numRef>
          </c:val>
          <c:smooth val="0"/>
        </c:ser>
        <c:ser>
          <c:idx val="1"/>
          <c:order val="1"/>
          <c:tx>
            <c:strRef>
              <c:f>'Growth Pattern'!$CF$1056</c:f>
              <c:strCache>
                <c:ptCount val="1"/>
                <c:pt idx="0">
                  <c:v>CAI</c:v>
                </c:pt>
              </c:strCache>
            </c:strRef>
          </c:tx>
          <c:cat>
            <c:numRef>
              <c:f>'Growth Pattern'!$CD$1057:$CD$1060</c:f>
              <c:numCache>
                <c:formatCode>General</c:formatCode>
                <c:ptCount val="4"/>
                <c:pt idx="0">
                  <c:v>1</c:v>
                </c:pt>
                <c:pt idx="1">
                  <c:v>2</c:v>
                </c:pt>
                <c:pt idx="2">
                  <c:v>3</c:v>
                </c:pt>
                <c:pt idx="3">
                  <c:v>4</c:v>
                </c:pt>
              </c:numCache>
            </c:numRef>
          </c:cat>
          <c:val>
            <c:numRef>
              <c:f>'Growth Pattern'!$CF$1057:$CF$1060</c:f>
              <c:numCache>
                <c:formatCode>0.00</c:formatCode>
                <c:ptCount val="4"/>
                <c:pt idx="0">
                  <c:v>0.46</c:v>
                </c:pt>
                <c:pt idx="1">
                  <c:v>10.139999999999999</c:v>
                </c:pt>
                <c:pt idx="2">
                  <c:v>20.300000000000004</c:v>
                </c:pt>
                <c:pt idx="3">
                  <c:v>19.099999999999998</c:v>
                </c:pt>
              </c:numCache>
            </c:numRef>
          </c:val>
          <c:smooth val="0"/>
        </c:ser>
        <c:dLbls>
          <c:showLegendKey val="0"/>
          <c:showVal val="0"/>
          <c:showCatName val="0"/>
          <c:showSerName val="0"/>
          <c:showPercent val="0"/>
          <c:showBubbleSize val="0"/>
        </c:dLbls>
        <c:marker val="1"/>
        <c:smooth val="0"/>
        <c:axId val="129591936"/>
        <c:axId val="129593728"/>
      </c:lineChart>
      <c:catAx>
        <c:axId val="129591936"/>
        <c:scaling>
          <c:orientation val="minMax"/>
        </c:scaling>
        <c:delete val="0"/>
        <c:axPos val="b"/>
        <c:numFmt formatCode="General" sourceLinked="1"/>
        <c:majorTickMark val="out"/>
        <c:minorTickMark val="none"/>
        <c:tickLblPos val="nextTo"/>
        <c:crossAx val="129593728"/>
        <c:crosses val="autoZero"/>
        <c:auto val="1"/>
        <c:lblAlgn val="ctr"/>
        <c:lblOffset val="100"/>
        <c:noMultiLvlLbl val="0"/>
      </c:catAx>
      <c:valAx>
        <c:axId val="129593728"/>
        <c:scaling>
          <c:orientation val="minMax"/>
        </c:scaling>
        <c:delete val="0"/>
        <c:axPos val="l"/>
        <c:majorGridlines/>
        <c:numFmt formatCode="0.00" sourceLinked="1"/>
        <c:majorTickMark val="out"/>
        <c:minorTickMark val="none"/>
        <c:tickLblPos val="nextTo"/>
        <c:crossAx val="129591936"/>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23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lotArea>
      <c:layout/>
      <c:barChart>
        <c:barDir val="col"/>
        <c:grouping val="clustered"/>
        <c:varyColors val="0"/>
        <c:ser>
          <c:idx val="0"/>
          <c:order val="0"/>
          <c:tx>
            <c:strRef>
              <c:f>'Growth Pattern'!$CE$1131</c:f>
              <c:strCache>
                <c:ptCount val="1"/>
                <c:pt idx="0">
                  <c:v>Age 6 MAI</c:v>
                </c:pt>
              </c:strCache>
            </c:strRef>
          </c:tx>
          <c:invertIfNegative val="0"/>
          <c:cat>
            <c:strRef>
              <c:f>'Growth Pattern'!$CD$1132:$CD$1134</c:f>
              <c:strCache>
                <c:ptCount val="3"/>
                <c:pt idx="0">
                  <c:v>WIFP</c:v>
                </c:pt>
                <c:pt idx="1">
                  <c:v>WIF</c:v>
                </c:pt>
                <c:pt idx="2">
                  <c:v>W</c:v>
                </c:pt>
              </c:strCache>
            </c:strRef>
          </c:cat>
          <c:val>
            <c:numRef>
              <c:f>'Growth Pattern'!$CE$1132:$CE$1134</c:f>
              <c:numCache>
                <c:formatCode>0.00</c:formatCode>
                <c:ptCount val="3"/>
                <c:pt idx="0">
                  <c:v>9.6333333333333346</c:v>
                </c:pt>
                <c:pt idx="1">
                  <c:v>3.3333333333333335</c:v>
                </c:pt>
                <c:pt idx="2">
                  <c:v>1.7000000000000002</c:v>
                </c:pt>
              </c:numCache>
            </c:numRef>
          </c:val>
        </c:ser>
        <c:dLbls>
          <c:showLegendKey val="0"/>
          <c:showVal val="0"/>
          <c:showCatName val="0"/>
          <c:showSerName val="0"/>
          <c:showPercent val="0"/>
          <c:showBubbleSize val="0"/>
        </c:dLbls>
        <c:gapWidth val="150"/>
        <c:axId val="129613824"/>
        <c:axId val="129615360"/>
      </c:barChart>
      <c:catAx>
        <c:axId val="129613824"/>
        <c:scaling>
          <c:orientation val="minMax"/>
        </c:scaling>
        <c:delete val="0"/>
        <c:axPos val="b"/>
        <c:majorTickMark val="out"/>
        <c:minorTickMark val="none"/>
        <c:tickLblPos val="nextTo"/>
        <c:crossAx val="129615360"/>
        <c:crosses val="autoZero"/>
        <c:auto val="1"/>
        <c:lblAlgn val="ctr"/>
        <c:lblOffset val="100"/>
        <c:noMultiLvlLbl val="0"/>
      </c:catAx>
      <c:valAx>
        <c:axId val="129615360"/>
        <c:scaling>
          <c:orientation val="minMax"/>
        </c:scaling>
        <c:delete val="0"/>
        <c:axPos val="l"/>
        <c:majorGridlines/>
        <c:numFmt formatCode="0.00" sourceLinked="1"/>
        <c:majorTickMark val="out"/>
        <c:minorTickMark val="none"/>
        <c:tickLblPos val="nextTo"/>
        <c:crossAx val="129613824"/>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23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'Growth Pattern'!$CE$1342</c:f>
              <c:strCache>
                <c:ptCount val="1"/>
                <c:pt idx="0">
                  <c:v>MAI</c:v>
                </c:pt>
              </c:strCache>
            </c:strRef>
          </c:tx>
          <c:cat>
            <c:numRef>
              <c:f>'Growth Pattern'!$CD$1343:$CD$1347</c:f>
              <c:numCache>
                <c:formatCode>General</c:formatCode>
                <c:ptCount val="5"/>
                <c:pt idx="0">
                  <c:v>1.1000000000000001</c:v>
                </c:pt>
                <c:pt idx="1">
                  <c:v>2</c:v>
                </c:pt>
                <c:pt idx="2">
                  <c:v>2.5</c:v>
                </c:pt>
                <c:pt idx="3">
                  <c:v>3.2</c:v>
                </c:pt>
                <c:pt idx="4">
                  <c:v>3.5</c:v>
                </c:pt>
              </c:numCache>
            </c:numRef>
          </c:cat>
          <c:val>
            <c:numRef>
              <c:f>'Growth Pattern'!$CE$1343:$CE$1347</c:f>
              <c:numCache>
                <c:formatCode>0.0</c:formatCode>
                <c:ptCount val="5"/>
                <c:pt idx="0">
                  <c:v>13.290909090909089</c:v>
                </c:pt>
                <c:pt idx="1">
                  <c:v>22.864999999999998</c:v>
                </c:pt>
                <c:pt idx="2">
                  <c:v>23.868000000000002</c:v>
                </c:pt>
                <c:pt idx="3">
                  <c:v>28.953124999999996</c:v>
                </c:pt>
                <c:pt idx="4">
                  <c:v>25.5</c:v>
                </c:pt>
              </c:numCache>
            </c:numRef>
          </c:val>
          <c:smooth val="0"/>
        </c:ser>
        <c:ser>
          <c:idx val="1"/>
          <c:order val="1"/>
          <c:tx>
            <c:strRef>
              <c:f>'Growth Pattern'!$CF$1342</c:f>
              <c:strCache>
                <c:ptCount val="1"/>
                <c:pt idx="0">
                  <c:v>CAI</c:v>
                </c:pt>
              </c:strCache>
            </c:strRef>
          </c:tx>
          <c:cat>
            <c:numRef>
              <c:f>'Growth Pattern'!$CD$1343:$CD$1347</c:f>
              <c:numCache>
                <c:formatCode>General</c:formatCode>
                <c:ptCount val="5"/>
                <c:pt idx="0">
                  <c:v>1.1000000000000001</c:v>
                </c:pt>
                <c:pt idx="1">
                  <c:v>2</c:v>
                </c:pt>
                <c:pt idx="2">
                  <c:v>2.5</c:v>
                </c:pt>
                <c:pt idx="3">
                  <c:v>3.2</c:v>
                </c:pt>
                <c:pt idx="4">
                  <c:v>3.5</c:v>
                </c:pt>
              </c:numCache>
            </c:numRef>
          </c:cat>
          <c:val>
            <c:numRef>
              <c:f>'Growth Pattern'!$CF$1343:$CF$1347</c:f>
              <c:numCache>
                <c:formatCode>0.00</c:formatCode>
                <c:ptCount val="5"/>
                <c:pt idx="0">
                  <c:v>14.62</c:v>
                </c:pt>
                <c:pt idx="1">
                  <c:v>31.11</c:v>
                </c:pt>
                <c:pt idx="2">
                  <c:v>28.560000000000002</c:v>
                </c:pt>
                <c:pt idx="3">
                  <c:v>64.089999999999989</c:v>
                </c:pt>
                <c:pt idx="4">
                  <c:v>25.160000000000011</c:v>
                </c:pt>
              </c:numCache>
            </c:numRef>
          </c:val>
          <c:smooth val="0"/>
        </c:ser>
        <c:dLbls>
          <c:showLegendKey val="0"/>
          <c:showVal val="0"/>
          <c:showCatName val="0"/>
          <c:showSerName val="0"/>
          <c:showPercent val="0"/>
          <c:showBubbleSize val="0"/>
        </c:dLbls>
        <c:marker val="1"/>
        <c:smooth val="0"/>
        <c:axId val="129702144"/>
        <c:axId val="129712128"/>
      </c:lineChart>
      <c:catAx>
        <c:axId val="129702144"/>
        <c:scaling>
          <c:orientation val="minMax"/>
        </c:scaling>
        <c:delete val="0"/>
        <c:axPos val="b"/>
        <c:numFmt formatCode="General" sourceLinked="1"/>
        <c:majorTickMark val="out"/>
        <c:minorTickMark val="none"/>
        <c:tickLblPos val="nextTo"/>
        <c:crossAx val="129712128"/>
        <c:crosses val="autoZero"/>
        <c:auto val="1"/>
        <c:lblAlgn val="ctr"/>
        <c:lblOffset val="100"/>
        <c:noMultiLvlLbl val="0"/>
      </c:catAx>
      <c:valAx>
        <c:axId val="129712128"/>
        <c:scaling>
          <c:orientation val="minMax"/>
        </c:scaling>
        <c:delete val="0"/>
        <c:axPos val="l"/>
        <c:majorGridlines/>
        <c:numFmt formatCode="0.0" sourceLinked="1"/>
        <c:majorTickMark val="out"/>
        <c:minorTickMark val="none"/>
        <c:tickLblPos val="nextTo"/>
        <c:crossAx val="129702144"/>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'Growth Pattern'!$CE$286</c:f>
              <c:strCache>
                <c:ptCount val="1"/>
                <c:pt idx="0">
                  <c:v>MAI</c:v>
                </c:pt>
              </c:strCache>
            </c:strRef>
          </c:tx>
          <c:val>
            <c:numRef>
              <c:f>'Growth Pattern'!$CE$287:$CE$290</c:f>
              <c:numCache>
                <c:formatCode>0.00</c:formatCode>
                <c:ptCount val="4"/>
                <c:pt idx="0">
                  <c:v>1.53</c:v>
                </c:pt>
                <c:pt idx="1">
                  <c:v>3.355</c:v>
                </c:pt>
                <c:pt idx="2">
                  <c:v>9.3466666666666658</c:v>
                </c:pt>
                <c:pt idx="3">
                  <c:v>15.585000000000001</c:v>
                </c:pt>
              </c:numCache>
            </c:numRef>
          </c:val>
          <c:smooth val="0"/>
        </c:ser>
        <c:ser>
          <c:idx val="1"/>
          <c:order val="1"/>
          <c:tx>
            <c:strRef>
              <c:f>'Growth Pattern'!$CF$286</c:f>
              <c:strCache>
                <c:ptCount val="1"/>
                <c:pt idx="0">
                  <c:v>CAI</c:v>
                </c:pt>
              </c:strCache>
            </c:strRef>
          </c:tx>
          <c:val>
            <c:numRef>
              <c:f>'Growth Pattern'!$CF$287:$CF$290</c:f>
              <c:numCache>
                <c:formatCode>0.00</c:formatCode>
                <c:ptCount val="4"/>
                <c:pt idx="0">
                  <c:v>1.53</c:v>
                </c:pt>
                <c:pt idx="1">
                  <c:v>5.18</c:v>
                </c:pt>
                <c:pt idx="2">
                  <c:v>21.33</c:v>
                </c:pt>
                <c:pt idx="3">
                  <c:v>34.300000000000004</c:v>
                </c:pt>
              </c:numCache>
            </c:numRef>
          </c:val>
          <c:smooth val="0"/>
        </c:ser>
        <c:dLbls>
          <c:showLegendKey val="0"/>
          <c:showVal val="0"/>
          <c:showCatName val="0"/>
          <c:showSerName val="0"/>
          <c:showPercent val="0"/>
          <c:showBubbleSize val="0"/>
        </c:dLbls>
        <c:marker val="1"/>
        <c:smooth val="0"/>
        <c:axId val="94114176"/>
        <c:axId val="94115712"/>
      </c:lineChart>
      <c:catAx>
        <c:axId val="94114176"/>
        <c:scaling>
          <c:orientation val="minMax"/>
        </c:scaling>
        <c:delete val="0"/>
        <c:axPos val="b"/>
        <c:majorTickMark val="out"/>
        <c:minorTickMark val="none"/>
        <c:tickLblPos val="nextTo"/>
        <c:crossAx val="94115712"/>
        <c:crosses val="autoZero"/>
        <c:auto val="1"/>
        <c:lblAlgn val="ctr"/>
        <c:lblOffset val="100"/>
        <c:noMultiLvlLbl val="0"/>
      </c:catAx>
      <c:valAx>
        <c:axId val="94115712"/>
        <c:scaling>
          <c:orientation val="minMax"/>
        </c:scaling>
        <c:delete val="0"/>
        <c:axPos val="l"/>
        <c:majorGridlines/>
        <c:numFmt formatCode="0.00" sourceLinked="1"/>
        <c:majorTickMark val="out"/>
        <c:minorTickMark val="none"/>
        <c:tickLblPos val="nextTo"/>
        <c:crossAx val="94114176"/>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24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'Growth Pattern'!$CE$1348</c:f>
              <c:strCache>
                <c:ptCount val="1"/>
                <c:pt idx="0">
                  <c:v>MAI</c:v>
                </c:pt>
              </c:strCache>
            </c:strRef>
          </c:tx>
          <c:cat>
            <c:numRef>
              <c:f>'Growth Pattern'!$CD$1349:$CD$1353</c:f>
              <c:numCache>
                <c:formatCode>General</c:formatCode>
                <c:ptCount val="5"/>
                <c:pt idx="0">
                  <c:v>1.1000000000000001</c:v>
                </c:pt>
                <c:pt idx="1">
                  <c:v>2</c:v>
                </c:pt>
                <c:pt idx="2">
                  <c:v>2.5</c:v>
                </c:pt>
                <c:pt idx="3">
                  <c:v>3.2</c:v>
                </c:pt>
                <c:pt idx="4">
                  <c:v>3.5</c:v>
                </c:pt>
              </c:numCache>
            </c:numRef>
          </c:cat>
          <c:val>
            <c:numRef>
              <c:f>'Growth Pattern'!$CE$1349:$CE$1353</c:f>
              <c:numCache>
                <c:formatCode>0.0</c:formatCode>
                <c:ptCount val="5"/>
                <c:pt idx="0">
                  <c:v>12.981818181818181</c:v>
                </c:pt>
                <c:pt idx="1">
                  <c:v>19.974999999999998</c:v>
                </c:pt>
                <c:pt idx="2">
                  <c:v>21.283999999999999</c:v>
                </c:pt>
                <c:pt idx="3">
                  <c:v>22.790624999999995</c:v>
                </c:pt>
                <c:pt idx="4">
                  <c:v>22.148571428571426</c:v>
                </c:pt>
              </c:numCache>
            </c:numRef>
          </c:val>
          <c:smooth val="0"/>
        </c:ser>
        <c:ser>
          <c:idx val="1"/>
          <c:order val="1"/>
          <c:tx>
            <c:strRef>
              <c:f>'Growth Pattern'!$CF$1348</c:f>
              <c:strCache>
                <c:ptCount val="1"/>
                <c:pt idx="0">
                  <c:v>CAI</c:v>
                </c:pt>
              </c:strCache>
            </c:strRef>
          </c:tx>
          <c:cat>
            <c:numRef>
              <c:f>'Growth Pattern'!$CD$1349:$CD$1353</c:f>
              <c:numCache>
                <c:formatCode>General</c:formatCode>
                <c:ptCount val="5"/>
                <c:pt idx="0">
                  <c:v>1.1000000000000001</c:v>
                </c:pt>
                <c:pt idx="1">
                  <c:v>2</c:v>
                </c:pt>
                <c:pt idx="2">
                  <c:v>2.5</c:v>
                </c:pt>
                <c:pt idx="3">
                  <c:v>3.2</c:v>
                </c:pt>
                <c:pt idx="4">
                  <c:v>3.5</c:v>
                </c:pt>
              </c:numCache>
            </c:numRef>
          </c:cat>
          <c:val>
            <c:numRef>
              <c:f>'Growth Pattern'!$CF$1349:$CF$1353</c:f>
              <c:numCache>
                <c:formatCode>0.00</c:formatCode>
                <c:ptCount val="5"/>
                <c:pt idx="0">
                  <c:v>14.28</c:v>
                </c:pt>
                <c:pt idx="1">
                  <c:v>25.669999999999995</c:v>
                </c:pt>
                <c:pt idx="2">
                  <c:v>27.540000000000006</c:v>
                </c:pt>
                <c:pt idx="3">
                  <c:v>45.389999999999986</c:v>
                </c:pt>
                <c:pt idx="4">
                  <c:v>32.13000000000001</c:v>
                </c:pt>
              </c:numCache>
            </c:numRef>
          </c:val>
          <c:smooth val="0"/>
        </c:ser>
        <c:dLbls>
          <c:showLegendKey val="0"/>
          <c:showVal val="0"/>
          <c:showCatName val="0"/>
          <c:showSerName val="0"/>
          <c:showPercent val="0"/>
          <c:showBubbleSize val="0"/>
        </c:dLbls>
        <c:marker val="1"/>
        <c:smooth val="0"/>
        <c:axId val="129757568"/>
        <c:axId val="129759104"/>
      </c:lineChart>
      <c:catAx>
        <c:axId val="129757568"/>
        <c:scaling>
          <c:orientation val="minMax"/>
        </c:scaling>
        <c:delete val="0"/>
        <c:axPos val="b"/>
        <c:numFmt formatCode="General" sourceLinked="1"/>
        <c:majorTickMark val="out"/>
        <c:minorTickMark val="none"/>
        <c:tickLblPos val="nextTo"/>
        <c:crossAx val="129759104"/>
        <c:crosses val="autoZero"/>
        <c:auto val="1"/>
        <c:lblAlgn val="ctr"/>
        <c:lblOffset val="100"/>
        <c:noMultiLvlLbl val="0"/>
      </c:catAx>
      <c:valAx>
        <c:axId val="129759104"/>
        <c:scaling>
          <c:orientation val="minMax"/>
        </c:scaling>
        <c:delete val="0"/>
        <c:axPos val="l"/>
        <c:majorGridlines/>
        <c:numFmt formatCode="0.0" sourceLinked="1"/>
        <c:majorTickMark val="out"/>
        <c:minorTickMark val="none"/>
        <c:tickLblPos val="nextTo"/>
        <c:crossAx val="129757568"/>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24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'Growth Pattern'!$CE$1354</c:f>
              <c:strCache>
                <c:ptCount val="1"/>
                <c:pt idx="0">
                  <c:v>MAI</c:v>
                </c:pt>
              </c:strCache>
            </c:strRef>
          </c:tx>
          <c:cat>
            <c:numRef>
              <c:f>'Growth Pattern'!$CD$1355:$CD$1359</c:f>
              <c:numCache>
                <c:formatCode>General</c:formatCode>
                <c:ptCount val="5"/>
                <c:pt idx="0">
                  <c:v>1.1000000000000001</c:v>
                </c:pt>
                <c:pt idx="1">
                  <c:v>2</c:v>
                </c:pt>
                <c:pt idx="2">
                  <c:v>2.5</c:v>
                </c:pt>
                <c:pt idx="3">
                  <c:v>3.2</c:v>
                </c:pt>
                <c:pt idx="4">
                  <c:v>3.5</c:v>
                </c:pt>
              </c:numCache>
            </c:numRef>
          </c:cat>
          <c:val>
            <c:numRef>
              <c:f>'Growth Pattern'!$CE$1355:$CE$1359</c:f>
              <c:numCache>
                <c:formatCode>0.00</c:formatCode>
                <c:ptCount val="5"/>
                <c:pt idx="0">
                  <c:v>13.290909090909089</c:v>
                </c:pt>
                <c:pt idx="1">
                  <c:v>27.625</c:v>
                </c:pt>
                <c:pt idx="2">
                  <c:v>29.580000000000002</c:v>
                </c:pt>
                <c:pt idx="3">
                  <c:v>31.556249999999995</c:v>
                </c:pt>
                <c:pt idx="4">
                  <c:v>30.162857142857142</c:v>
                </c:pt>
              </c:numCache>
            </c:numRef>
          </c:val>
          <c:smooth val="0"/>
        </c:ser>
        <c:ser>
          <c:idx val="1"/>
          <c:order val="1"/>
          <c:tx>
            <c:strRef>
              <c:f>'Growth Pattern'!$CF$1354</c:f>
              <c:strCache>
                <c:ptCount val="1"/>
                <c:pt idx="0">
                  <c:v>CAI</c:v>
                </c:pt>
              </c:strCache>
            </c:strRef>
          </c:tx>
          <c:cat>
            <c:numRef>
              <c:f>'Growth Pattern'!$CD$1355:$CD$1359</c:f>
              <c:numCache>
                <c:formatCode>General</c:formatCode>
                <c:ptCount val="5"/>
                <c:pt idx="0">
                  <c:v>1.1000000000000001</c:v>
                </c:pt>
                <c:pt idx="1">
                  <c:v>2</c:v>
                </c:pt>
                <c:pt idx="2">
                  <c:v>2.5</c:v>
                </c:pt>
                <c:pt idx="3">
                  <c:v>3.2</c:v>
                </c:pt>
                <c:pt idx="4">
                  <c:v>3.5</c:v>
                </c:pt>
              </c:numCache>
            </c:numRef>
          </c:cat>
          <c:val>
            <c:numRef>
              <c:f>'Growth Pattern'!$CF$1355:$CF$1359</c:f>
              <c:numCache>
                <c:formatCode>0.00</c:formatCode>
                <c:ptCount val="5"/>
                <c:pt idx="0">
                  <c:v>14.62</c:v>
                </c:pt>
                <c:pt idx="1">
                  <c:v>31.11</c:v>
                </c:pt>
                <c:pt idx="2">
                  <c:v>28.560000000000002</c:v>
                </c:pt>
                <c:pt idx="3">
                  <c:v>64.089999999999989</c:v>
                </c:pt>
                <c:pt idx="4">
                  <c:v>25.160000000000011</c:v>
                </c:pt>
              </c:numCache>
            </c:numRef>
          </c:val>
          <c:smooth val="0"/>
        </c:ser>
        <c:dLbls>
          <c:showLegendKey val="0"/>
          <c:showVal val="0"/>
          <c:showCatName val="0"/>
          <c:showSerName val="0"/>
          <c:showPercent val="0"/>
          <c:showBubbleSize val="0"/>
        </c:dLbls>
        <c:marker val="1"/>
        <c:smooth val="0"/>
        <c:axId val="129771776"/>
        <c:axId val="129789952"/>
      </c:lineChart>
      <c:catAx>
        <c:axId val="129771776"/>
        <c:scaling>
          <c:orientation val="minMax"/>
        </c:scaling>
        <c:delete val="0"/>
        <c:axPos val="b"/>
        <c:numFmt formatCode="General" sourceLinked="1"/>
        <c:majorTickMark val="out"/>
        <c:minorTickMark val="none"/>
        <c:tickLblPos val="nextTo"/>
        <c:crossAx val="129789952"/>
        <c:crosses val="autoZero"/>
        <c:auto val="1"/>
        <c:lblAlgn val="ctr"/>
        <c:lblOffset val="100"/>
        <c:noMultiLvlLbl val="0"/>
      </c:catAx>
      <c:valAx>
        <c:axId val="129789952"/>
        <c:scaling>
          <c:orientation val="minMax"/>
        </c:scaling>
        <c:delete val="0"/>
        <c:axPos val="l"/>
        <c:majorGridlines/>
        <c:numFmt formatCode="0.00" sourceLinked="1"/>
        <c:majorTickMark val="out"/>
        <c:minorTickMark val="none"/>
        <c:tickLblPos val="nextTo"/>
        <c:crossAx val="129771776"/>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24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'Growth Pattern'!$CE$1360</c:f>
              <c:strCache>
                <c:ptCount val="1"/>
                <c:pt idx="0">
                  <c:v>MAI</c:v>
                </c:pt>
              </c:strCache>
            </c:strRef>
          </c:tx>
          <c:cat>
            <c:numRef>
              <c:f>'Growth Pattern'!$CD$1361:$CD$1365</c:f>
              <c:numCache>
                <c:formatCode>General</c:formatCode>
                <c:ptCount val="5"/>
                <c:pt idx="0">
                  <c:v>1.1000000000000001</c:v>
                </c:pt>
                <c:pt idx="1">
                  <c:v>2</c:v>
                </c:pt>
                <c:pt idx="2">
                  <c:v>2.5</c:v>
                </c:pt>
                <c:pt idx="3">
                  <c:v>3.2</c:v>
                </c:pt>
                <c:pt idx="4">
                  <c:v>3.5</c:v>
                </c:pt>
              </c:numCache>
            </c:numRef>
          </c:cat>
          <c:val>
            <c:numRef>
              <c:f>'Growth Pattern'!$CE$1361:$CE$1365</c:f>
              <c:numCache>
                <c:formatCode>0.00</c:formatCode>
                <c:ptCount val="5"/>
                <c:pt idx="0">
                  <c:v>13.290909090909089</c:v>
                </c:pt>
                <c:pt idx="1">
                  <c:v>26.689999999999998</c:v>
                </c:pt>
                <c:pt idx="2">
                  <c:v>28.288</c:v>
                </c:pt>
                <c:pt idx="3">
                  <c:v>28.528124999999999</c:v>
                </c:pt>
                <c:pt idx="4">
                  <c:v>27.248571428571431</c:v>
                </c:pt>
              </c:numCache>
            </c:numRef>
          </c:val>
          <c:smooth val="0"/>
        </c:ser>
        <c:ser>
          <c:idx val="1"/>
          <c:order val="1"/>
          <c:tx>
            <c:strRef>
              <c:f>'Growth Pattern'!$CF$1360</c:f>
              <c:strCache>
                <c:ptCount val="1"/>
                <c:pt idx="0">
                  <c:v>CAI</c:v>
                </c:pt>
              </c:strCache>
            </c:strRef>
          </c:tx>
          <c:cat>
            <c:numRef>
              <c:f>'Growth Pattern'!$CD$1361:$CD$1365</c:f>
              <c:numCache>
                <c:formatCode>General</c:formatCode>
                <c:ptCount val="5"/>
                <c:pt idx="0">
                  <c:v>1.1000000000000001</c:v>
                </c:pt>
                <c:pt idx="1">
                  <c:v>2</c:v>
                </c:pt>
                <c:pt idx="2">
                  <c:v>2.5</c:v>
                </c:pt>
                <c:pt idx="3">
                  <c:v>3.2</c:v>
                </c:pt>
                <c:pt idx="4">
                  <c:v>3.5</c:v>
                </c:pt>
              </c:numCache>
            </c:numRef>
          </c:cat>
          <c:val>
            <c:numRef>
              <c:f>'Growth Pattern'!$CF$1361:$CF$1365</c:f>
              <c:numCache>
                <c:formatCode>0.00</c:formatCode>
                <c:ptCount val="5"/>
                <c:pt idx="0">
                  <c:v>14.62</c:v>
                </c:pt>
                <c:pt idx="1">
                  <c:v>31.11</c:v>
                </c:pt>
                <c:pt idx="2">
                  <c:v>28.560000000000002</c:v>
                </c:pt>
                <c:pt idx="3">
                  <c:v>64.089999999999989</c:v>
                </c:pt>
                <c:pt idx="4">
                  <c:v>25.160000000000011</c:v>
                </c:pt>
              </c:numCache>
            </c:numRef>
          </c:val>
          <c:smooth val="0"/>
        </c:ser>
        <c:dLbls>
          <c:showLegendKey val="0"/>
          <c:showVal val="0"/>
          <c:showCatName val="0"/>
          <c:showSerName val="0"/>
          <c:showPercent val="0"/>
          <c:showBubbleSize val="0"/>
        </c:dLbls>
        <c:marker val="1"/>
        <c:smooth val="0"/>
        <c:axId val="129802624"/>
        <c:axId val="129804160"/>
      </c:lineChart>
      <c:catAx>
        <c:axId val="129802624"/>
        <c:scaling>
          <c:orientation val="minMax"/>
        </c:scaling>
        <c:delete val="0"/>
        <c:axPos val="b"/>
        <c:numFmt formatCode="General" sourceLinked="1"/>
        <c:majorTickMark val="out"/>
        <c:minorTickMark val="none"/>
        <c:tickLblPos val="nextTo"/>
        <c:crossAx val="129804160"/>
        <c:crosses val="autoZero"/>
        <c:auto val="1"/>
        <c:lblAlgn val="ctr"/>
        <c:lblOffset val="100"/>
        <c:noMultiLvlLbl val="0"/>
      </c:catAx>
      <c:valAx>
        <c:axId val="129804160"/>
        <c:scaling>
          <c:orientation val="minMax"/>
        </c:scaling>
        <c:delete val="0"/>
        <c:axPos val="l"/>
        <c:majorGridlines/>
        <c:numFmt formatCode="0.00" sourceLinked="1"/>
        <c:majorTickMark val="out"/>
        <c:minorTickMark val="none"/>
        <c:tickLblPos val="nextTo"/>
        <c:crossAx val="129802624"/>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24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'Growth Pattern'!$CE$1366</c:f>
              <c:strCache>
                <c:ptCount val="1"/>
                <c:pt idx="0">
                  <c:v>MAI</c:v>
                </c:pt>
              </c:strCache>
            </c:strRef>
          </c:tx>
          <c:cat>
            <c:numRef>
              <c:f>'Growth Pattern'!$CD$1367:$CD$1371</c:f>
              <c:numCache>
                <c:formatCode>General</c:formatCode>
                <c:ptCount val="5"/>
                <c:pt idx="0">
                  <c:v>1.1000000000000001</c:v>
                </c:pt>
                <c:pt idx="1">
                  <c:v>2</c:v>
                </c:pt>
                <c:pt idx="2">
                  <c:v>2.5</c:v>
                </c:pt>
                <c:pt idx="3">
                  <c:v>3.2</c:v>
                </c:pt>
                <c:pt idx="4">
                  <c:v>3.5</c:v>
                </c:pt>
              </c:numCache>
            </c:numRef>
          </c:cat>
          <c:val>
            <c:numRef>
              <c:f>'Growth Pattern'!$CE$1367:$CE$1371</c:f>
              <c:numCache>
                <c:formatCode>0.00</c:formatCode>
                <c:ptCount val="5"/>
                <c:pt idx="0">
                  <c:v>8.0363636363636353</c:v>
                </c:pt>
                <c:pt idx="1">
                  <c:v>16.489999999999998</c:v>
                </c:pt>
                <c:pt idx="2">
                  <c:v>16.728000000000002</c:v>
                </c:pt>
                <c:pt idx="3">
                  <c:v>15.246874999999999</c:v>
                </c:pt>
                <c:pt idx="4">
                  <c:v>14.474285714285713</c:v>
                </c:pt>
              </c:numCache>
            </c:numRef>
          </c:val>
          <c:smooth val="0"/>
        </c:ser>
        <c:ser>
          <c:idx val="1"/>
          <c:order val="1"/>
          <c:tx>
            <c:strRef>
              <c:f>'Growth Pattern'!$CF$1366</c:f>
              <c:strCache>
                <c:ptCount val="1"/>
                <c:pt idx="0">
                  <c:v>CAI</c:v>
                </c:pt>
              </c:strCache>
            </c:strRef>
          </c:tx>
          <c:cat>
            <c:numRef>
              <c:f>'Growth Pattern'!$CD$1367:$CD$1371</c:f>
              <c:numCache>
                <c:formatCode>General</c:formatCode>
                <c:ptCount val="5"/>
                <c:pt idx="0">
                  <c:v>1.1000000000000001</c:v>
                </c:pt>
                <c:pt idx="1">
                  <c:v>2</c:v>
                </c:pt>
                <c:pt idx="2">
                  <c:v>2.5</c:v>
                </c:pt>
                <c:pt idx="3">
                  <c:v>3.2</c:v>
                </c:pt>
                <c:pt idx="4">
                  <c:v>3.5</c:v>
                </c:pt>
              </c:numCache>
            </c:numRef>
          </c:cat>
          <c:val>
            <c:numRef>
              <c:f>'Growth Pattern'!$CF$1367:$CF$1371</c:f>
              <c:numCache>
                <c:formatCode>0.00</c:formatCode>
                <c:ptCount val="5"/>
                <c:pt idx="0">
                  <c:v>8.84</c:v>
                </c:pt>
                <c:pt idx="1">
                  <c:v>24.139999999999997</c:v>
                </c:pt>
                <c:pt idx="2">
                  <c:v>17.680000000000003</c:v>
                </c:pt>
                <c:pt idx="3">
                  <c:v>31.109999999999996</c:v>
                </c:pt>
                <c:pt idx="4">
                  <c:v>19.55</c:v>
                </c:pt>
              </c:numCache>
            </c:numRef>
          </c:val>
          <c:smooth val="0"/>
        </c:ser>
        <c:dLbls>
          <c:showLegendKey val="0"/>
          <c:showVal val="0"/>
          <c:showCatName val="0"/>
          <c:showSerName val="0"/>
          <c:showPercent val="0"/>
          <c:showBubbleSize val="0"/>
        </c:dLbls>
        <c:marker val="1"/>
        <c:smooth val="0"/>
        <c:axId val="129833216"/>
        <c:axId val="129835008"/>
      </c:lineChart>
      <c:catAx>
        <c:axId val="129833216"/>
        <c:scaling>
          <c:orientation val="minMax"/>
        </c:scaling>
        <c:delete val="0"/>
        <c:axPos val="b"/>
        <c:numFmt formatCode="General" sourceLinked="1"/>
        <c:majorTickMark val="out"/>
        <c:minorTickMark val="none"/>
        <c:tickLblPos val="nextTo"/>
        <c:crossAx val="129835008"/>
        <c:crosses val="autoZero"/>
        <c:auto val="1"/>
        <c:lblAlgn val="ctr"/>
        <c:lblOffset val="100"/>
        <c:noMultiLvlLbl val="0"/>
      </c:catAx>
      <c:valAx>
        <c:axId val="129835008"/>
        <c:scaling>
          <c:orientation val="minMax"/>
        </c:scaling>
        <c:delete val="0"/>
        <c:axPos val="l"/>
        <c:majorGridlines/>
        <c:numFmt formatCode="0.00" sourceLinked="1"/>
        <c:majorTickMark val="out"/>
        <c:minorTickMark val="none"/>
        <c:tickLblPos val="nextTo"/>
        <c:crossAx val="129833216"/>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24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'Growth Pattern'!$CE$1372</c:f>
              <c:strCache>
                <c:ptCount val="1"/>
                <c:pt idx="0">
                  <c:v>MAI</c:v>
                </c:pt>
              </c:strCache>
            </c:strRef>
          </c:tx>
          <c:cat>
            <c:numRef>
              <c:f>'Growth Pattern'!$CD$1373:$CD$1377</c:f>
              <c:numCache>
                <c:formatCode>General</c:formatCode>
                <c:ptCount val="5"/>
                <c:pt idx="0">
                  <c:v>1.1000000000000001</c:v>
                </c:pt>
                <c:pt idx="1">
                  <c:v>2</c:v>
                </c:pt>
                <c:pt idx="2">
                  <c:v>2.5</c:v>
                </c:pt>
                <c:pt idx="3">
                  <c:v>3.2</c:v>
                </c:pt>
                <c:pt idx="4">
                  <c:v>3.5</c:v>
                </c:pt>
              </c:numCache>
            </c:numRef>
          </c:cat>
          <c:val>
            <c:numRef>
              <c:f>'Growth Pattern'!$CE$1373:$CE$1377</c:f>
              <c:numCache>
                <c:formatCode>0.00</c:formatCode>
                <c:ptCount val="5"/>
                <c:pt idx="0">
                  <c:v>3.8636363636363633</c:v>
                </c:pt>
                <c:pt idx="1">
                  <c:v>12.24</c:v>
                </c:pt>
                <c:pt idx="2">
                  <c:v>13.395999999999997</c:v>
                </c:pt>
                <c:pt idx="3">
                  <c:v>12.909375000000001</c:v>
                </c:pt>
                <c:pt idx="4">
                  <c:v>12.628571428571428</c:v>
                </c:pt>
              </c:numCache>
            </c:numRef>
          </c:val>
          <c:smooth val="0"/>
        </c:ser>
        <c:ser>
          <c:idx val="1"/>
          <c:order val="1"/>
          <c:tx>
            <c:strRef>
              <c:f>'Growth Pattern'!$CF$1372</c:f>
              <c:strCache>
                <c:ptCount val="1"/>
                <c:pt idx="0">
                  <c:v>CAI</c:v>
                </c:pt>
              </c:strCache>
            </c:strRef>
          </c:tx>
          <c:cat>
            <c:numRef>
              <c:f>'Growth Pattern'!$CD$1373:$CD$1377</c:f>
              <c:numCache>
                <c:formatCode>General</c:formatCode>
                <c:ptCount val="5"/>
                <c:pt idx="0">
                  <c:v>1.1000000000000001</c:v>
                </c:pt>
                <c:pt idx="1">
                  <c:v>2</c:v>
                </c:pt>
                <c:pt idx="2">
                  <c:v>2.5</c:v>
                </c:pt>
                <c:pt idx="3">
                  <c:v>3.2</c:v>
                </c:pt>
                <c:pt idx="4">
                  <c:v>3.5</c:v>
                </c:pt>
              </c:numCache>
            </c:numRef>
          </c:cat>
          <c:val>
            <c:numRef>
              <c:f>'Growth Pattern'!$CF$1373:$CF$1377</c:f>
              <c:numCache>
                <c:formatCode>0.00</c:formatCode>
                <c:ptCount val="5"/>
                <c:pt idx="0">
                  <c:v>4.25</c:v>
                </c:pt>
                <c:pt idx="1">
                  <c:v>20.23</c:v>
                </c:pt>
                <c:pt idx="2">
                  <c:v>13.259999999999994</c:v>
                </c:pt>
                <c:pt idx="3">
                  <c:v>28.050000000000008</c:v>
                </c:pt>
                <c:pt idx="4">
                  <c:v>16.149999999999988</c:v>
                </c:pt>
              </c:numCache>
            </c:numRef>
          </c:val>
          <c:smooth val="0"/>
        </c:ser>
        <c:dLbls>
          <c:showLegendKey val="0"/>
          <c:showVal val="0"/>
          <c:showCatName val="0"/>
          <c:showSerName val="0"/>
          <c:showPercent val="0"/>
          <c:showBubbleSize val="0"/>
        </c:dLbls>
        <c:marker val="1"/>
        <c:smooth val="0"/>
        <c:axId val="129872256"/>
        <c:axId val="129873792"/>
      </c:lineChart>
      <c:catAx>
        <c:axId val="129872256"/>
        <c:scaling>
          <c:orientation val="minMax"/>
        </c:scaling>
        <c:delete val="0"/>
        <c:axPos val="b"/>
        <c:numFmt formatCode="General" sourceLinked="1"/>
        <c:majorTickMark val="out"/>
        <c:minorTickMark val="none"/>
        <c:tickLblPos val="nextTo"/>
        <c:crossAx val="129873792"/>
        <c:crosses val="autoZero"/>
        <c:auto val="1"/>
        <c:lblAlgn val="ctr"/>
        <c:lblOffset val="100"/>
        <c:noMultiLvlLbl val="0"/>
      </c:catAx>
      <c:valAx>
        <c:axId val="129873792"/>
        <c:scaling>
          <c:orientation val="minMax"/>
        </c:scaling>
        <c:delete val="0"/>
        <c:axPos val="l"/>
        <c:majorGridlines/>
        <c:numFmt formatCode="0.00" sourceLinked="1"/>
        <c:majorTickMark val="out"/>
        <c:minorTickMark val="none"/>
        <c:tickLblPos val="nextTo"/>
        <c:crossAx val="129872256"/>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24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'Growth Pattern'!$CE$1378</c:f>
              <c:strCache>
                <c:ptCount val="1"/>
                <c:pt idx="0">
                  <c:v>MAI</c:v>
                </c:pt>
              </c:strCache>
            </c:strRef>
          </c:tx>
          <c:cat>
            <c:numRef>
              <c:f>'Growth Pattern'!$CD$1379:$CD$1383</c:f>
              <c:numCache>
                <c:formatCode>General</c:formatCode>
                <c:ptCount val="5"/>
                <c:pt idx="0">
                  <c:v>1.1000000000000001</c:v>
                </c:pt>
                <c:pt idx="1">
                  <c:v>2</c:v>
                </c:pt>
                <c:pt idx="2">
                  <c:v>2.5</c:v>
                </c:pt>
                <c:pt idx="3">
                  <c:v>3.2</c:v>
                </c:pt>
                <c:pt idx="4">
                  <c:v>3.5</c:v>
                </c:pt>
              </c:numCache>
            </c:numRef>
          </c:cat>
          <c:val>
            <c:numRef>
              <c:f>'Growth Pattern'!$CE$1379:$CE$1383</c:f>
              <c:numCache>
                <c:formatCode>0.00</c:formatCode>
                <c:ptCount val="5"/>
                <c:pt idx="0">
                  <c:v>3.5545454545454538</c:v>
                </c:pt>
                <c:pt idx="1">
                  <c:v>5.0150000000000006</c:v>
                </c:pt>
                <c:pt idx="2">
                  <c:v>4.8959999999999999</c:v>
                </c:pt>
                <c:pt idx="3">
                  <c:v>4.6749999999999998</c:v>
                </c:pt>
                <c:pt idx="4">
                  <c:v>4.42</c:v>
                </c:pt>
              </c:numCache>
            </c:numRef>
          </c:val>
          <c:smooth val="0"/>
        </c:ser>
        <c:ser>
          <c:idx val="1"/>
          <c:order val="1"/>
          <c:tx>
            <c:strRef>
              <c:f>'Growth Pattern'!$CF$1378</c:f>
              <c:strCache>
                <c:ptCount val="1"/>
                <c:pt idx="0">
                  <c:v>CAI</c:v>
                </c:pt>
              </c:strCache>
            </c:strRef>
          </c:tx>
          <c:cat>
            <c:numRef>
              <c:f>'Growth Pattern'!$CD$1379:$CD$1383</c:f>
              <c:numCache>
                <c:formatCode>General</c:formatCode>
                <c:ptCount val="5"/>
                <c:pt idx="0">
                  <c:v>1.1000000000000001</c:v>
                </c:pt>
                <c:pt idx="1">
                  <c:v>2</c:v>
                </c:pt>
                <c:pt idx="2">
                  <c:v>2.5</c:v>
                </c:pt>
                <c:pt idx="3">
                  <c:v>3.2</c:v>
                </c:pt>
                <c:pt idx="4">
                  <c:v>3.5</c:v>
                </c:pt>
              </c:numCache>
            </c:numRef>
          </c:cat>
          <c:val>
            <c:numRef>
              <c:f>'Growth Pattern'!$CF$1379:$CF$1383</c:f>
              <c:numCache>
                <c:formatCode>0.00</c:formatCode>
                <c:ptCount val="5"/>
                <c:pt idx="0">
                  <c:v>3.9099999999999997</c:v>
                </c:pt>
                <c:pt idx="1">
                  <c:v>6.120000000000001</c:v>
                </c:pt>
                <c:pt idx="2">
                  <c:v>6.1199999999999992</c:v>
                </c:pt>
                <c:pt idx="3">
                  <c:v>8.8400000000000016</c:v>
                </c:pt>
                <c:pt idx="4">
                  <c:v>6.6299999999999972</c:v>
                </c:pt>
              </c:numCache>
            </c:numRef>
          </c:val>
          <c:smooth val="0"/>
        </c:ser>
        <c:dLbls>
          <c:showLegendKey val="0"/>
          <c:showVal val="0"/>
          <c:showCatName val="0"/>
          <c:showSerName val="0"/>
          <c:showPercent val="0"/>
          <c:showBubbleSize val="0"/>
        </c:dLbls>
        <c:marker val="1"/>
        <c:smooth val="0"/>
        <c:axId val="1448192"/>
        <c:axId val="1454080"/>
      </c:lineChart>
      <c:catAx>
        <c:axId val="1448192"/>
        <c:scaling>
          <c:orientation val="minMax"/>
        </c:scaling>
        <c:delete val="0"/>
        <c:axPos val="b"/>
        <c:numFmt formatCode="General" sourceLinked="1"/>
        <c:majorTickMark val="out"/>
        <c:minorTickMark val="none"/>
        <c:tickLblPos val="nextTo"/>
        <c:crossAx val="1454080"/>
        <c:crosses val="autoZero"/>
        <c:auto val="1"/>
        <c:lblAlgn val="ctr"/>
        <c:lblOffset val="100"/>
        <c:noMultiLvlLbl val="0"/>
      </c:catAx>
      <c:valAx>
        <c:axId val="1454080"/>
        <c:scaling>
          <c:orientation val="minMax"/>
        </c:scaling>
        <c:delete val="0"/>
        <c:axPos val="l"/>
        <c:majorGridlines/>
        <c:numFmt formatCode="0.00" sourceLinked="1"/>
        <c:majorTickMark val="out"/>
        <c:minorTickMark val="none"/>
        <c:tickLblPos val="nextTo"/>
        <c:crossAx val="1448192"/>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24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'Growth Pattern'!$CE$1384</c:f>
              <c:strCache>
                <c:ptCount val="1"/>
                <c:pt idx="0">
                  <c:v>MAI</c:v>
                </c:pt>
              </c:strCache>
            </c:strRef>
          </c:tx>
          <c:cat>
            <c:numRef>
              <c:f>'Growth Pattern'!$CD$1385:$CD$1389</c:f>
              <c:numCache>
                <c:formatCode>General</c:formatCode>
                <c:ptCount val="5"/>
                <c:pt idx="0">
                  <c:v>1.1000000000000001</c:v>
                </c:pt>
                <c:pt idx="1">
                  <c:v>2</c:v>
                </c:pt>
                <c:pt idx="2">
                  <c:v>2.5</c:v>
                </c:pt>
                <c:pt idx="3">
                  <c:v>3.2</c:v>
                </c:pt>
                <c:pt idx="4">
                  <c:v>3.5</c:v>
                </c:pt>
              </c:numCache>
            </c:numRef>
          </c:cat>
          <c:val>
            <c:numRef>
              <c:f>'Growth Pattern'!$CE$1385:$CE$1389</c:f>
              <c:numCache>
                <c:formatCode>0.00</c:formatCode>
                <c:ptCount val="5"/>
                <c:pt idx="0">
                  <c:v>3.8636363636363633</c:v>
                </c:pt>
                <c:pt idx="1">
                  <c:v>8.9249999999999989</c:v>
                </c:pt>
                <c:pt idx="2">
                  <c:v>8.9759999999999991</c:v>
                </c:pt>
                <c:pt idx="3">
                  <c:v>9.296875</c:v>
                </c:pt>
                <c:pt idx="4">
                  <c:v>8.7914285714285718</c:v>
                </c:pt>
              </c:numCache>
            </c:numRef>
          </c:val>
          <c:smooth val="0"/>
        </c:ser>
        <c:ser>
          <c:idx val="1"/>
          <c:order val="1"/>
          <c:tx>
            <c:strRef>
              <c:f>'Growth Pattern'!$CF$1384</c:f>
              <c:strCache>
                <c:ptCount val="1"/>
                <c:pt idx="0">
                  <c:v>CAI</c:v>
                </c:pt>
              </c:strCache>
            </c:strRef>
          </c:tx>
          <c:cat>
            <c:numRef>
              <c:f>'Growth Pattern'!$CD$1385:$CD$1389</c:f>
              <c:numCache>
                <c:formatCode>General</c:formatCode>
                <c:ptCount val="5"/>
                <c:pt idx="0">
                  <c:v>1.1000000000000001</c:v>
                </c:pt>
                <c:pt idx="1">
                  <c:v>2</c:v>
                </c:pt>
                <c:pt idx="2">
                  <c:v>2.5</c:v>
                </c:pt>
                <c:pt idx="3">
                  <c:v>3.2</c:v>
                </c:pt>
                <c:pt idx="4">
                  <c:v>3.5</c:v>
                </c:pt>
              </c:numCache>
            </c:numRef>
          </c:cat>
          <c:val>
            <c:numRef>
              <c:f>'Growth Pattern'!$CF$1385:$CF$1389</c:f>
              <c:numCache>
                <c:formatCode>0.00</c:formatCode>
                <c:ptCount val="5"/>
                <c:pt idx="0">
                  <c:v>4.25</c:v>
                </c:pt>
                <c:pt idx="1">
                  <c:v>13.599999999999998</c:v>
                </c:pt>
                <c:pt idx="2">
                  <c:v>8.84</c:v>
                </c:pt>
                <c:pt idx="3">
                  <c:v>20.91</c:v>
                </c:pt>
                <c:pt idx="4">
                  <c:v>9.860000000000003</c:v>
                </c:pt>
              </c:numCache>
            </c:numRef>
          </c:val>
          <c:smooth val="0"/>
        </c:ser>
        <c:dLbls>
          <c:showLegendKey val="0"/>
          <c:showVal val="0"/>
          <c:showCatName val="0"/>
          <c:showSerName val="0"/>
          <c:showPercent val="0"/>
          <c:showBubbleSize val="0"/>
        </c:dLbls>
        <c:marker val="1"/>
        <c:smooth val="0"/>
        <c:axId val="1491328"/>
        <c:axId val="1492864"/>
      </c:lineChart>
      <c:catAx>
        <c:axId val="1491328"/>
        <c:scaling>
          <c:orientation val="minMax"/>
        </c:scaling>
        <c:delete val="0"/>
        <c:axPos val="b"/>
        <c:numFmt formatCode="General" sourceLinked="1"/>
        <c:majorTickMark val="out"/>
        <c:minorTickMark val="none"/>
        <c:tickLblPos val="nextTo"/>
        <c:crossAx val="1492864"/>
        <c:crosses val="autoZero"/>
        <c:auto val="1"/>
        <c:lblAlgn val="ctr"/>
        <c:lblOffset val="100"/>
        <c:noMultiLvlLbl val="0"/>
      </c:catAx>
      <c:valAx>
        <c:axId val="1492864"/>
        <c:scaling>
          <c:orientation val="minMax"/>
        </c:scaling>
        <c:delete val="0"/>
        <c:axPos val="l"/>
        <c:majorGridlines/>
        <c:numFmt formatCode="0.00" sourceLinked="1"/>
        <c:majorTickMark val="out"/>
        <c:minorTickMark val="none"/>
        <c:tickLblPos val="nextTo"/>
        <c:crossAx val="1491328"/>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24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'Growth Pattern'!$CE$1390</c:f>
              <c:strCache>
                <c:ptCount val="1"/>
                <c:pt idx="0">
                  <c:v>MAI</c:v>
                </c:pt>
              </c:strCache>
            </c:strRef>
          </c:tx>
          <c:cat>
            <c:numRef>
              <c:f>'Growth Pattern'!$CD$1391:$CD$1395</c:f>
              <c:numCache>
                <c:formatCode>General</c:formatCode>
                <c:ptCount val="5"/>
                <c:pt idx="0">
                  <c:v>1.1000000000000001</c:v>
                </c:pt>
                <c:pt idx="1">
                  <c:v>2</c:v>
                </c:pt>
                <c:pt idx="2">
                  <c:v>2.5</c:v>
                </c:pt>
                <c:pt idx="3">
                  <c:v>3.2</c:v>
                </c:pt>
                <c:pt idx="4">
                  <c:v>3.5</c:v>
                </c:pt>
              </c:numCache>
            </c:numRef>
          </c:cat>
          <c:val>
            <c:numRef>
              <c:f>'Growth Pattern'!$CE$1391:$CE$1395</c:f>
              <c:numCache>
                <c:formatCode>0.00</c:formatCode>
                <c:ptCount val="5"/>
                <c:pt idx="0">
                  <c:v>2.1636363636363636</c:v>
                </c:pt>
                <c:pt idx="1">
                  <c:v>4.335</c:v>
                </c:pt>
                <c:pt idx="2">
                  <c:v>5.8479999999999999</c:v>
                </c:pt>
                <c:pt idx="3">
                  <c:v>5.4718749999999998</c:v>
                </c:pt>
                <c:pt idx="4">
                  <c:v>5.4399999999999995</c:v>
                </c:pt>
              </c:numCache>
            </c:numRef>
          </c:val>
          <c:smooth val="0"/>
        </c:ser>
        <c:ser>
          <c:idx val="1"/>
          <c:order val="1"/>
          <c:tx>
            <c:strRef>
              <c:f>'Growth Pattern'!$CF$1390</c:f>
              <c:strCache>
                <c:ptCount val="1"/>
                <c:pt idx="0">
                  <c:v>CAI</c:v>
                </c:pt>
              </c:strCache>
            </c:strRef>
          </c:tx>
          <c:cat>
            <c:numRef>
              <c:f>'Growth Pattern'!$CD$1391:$CD$1395</c:f>
              <c:numCache>
                <c:formatCode>General</c:formatCode>
                <c:ptCount val="5"/>
                <c:pt idx="0">
                  <c:v>1.1000000000000001</c:v>
                </c:pt>
                <c:pt idx="1">
                  <c:v>2</c:v>
                </c:pt>
                <c:pt idx="2">
                  <c:v>2.5</c:v>
                </c:pt>
                <c:pt idx="3">
                  <c:v>3.2</c:v>
                </c:pt>
                <c:pt idx="4">
                  <c:v>3.5</c:v>
                </c:pt>
              </c:numCache>
            </c:numRef>
          </c:cat>
          <c:val>
            <c:numRef>
              <c:f>'Growth Pattern'!$CF$1391:$CF$1395</c:f>
              <c:numCache>
                <c:formatCode>0.00</c:formatCode>
                <c:ptCount val="5"/>
                <c:pt idx="0">
                  <c:v>2.38</c:v>
                </c:pt>
                <c:pt idx="1">
                  <c:v>6.29</c:v>
                </c:pt>
                <c:pt idx="2">
                  <c:v>8.3299999999999983</c:v>
                </c:pt>
                <c:pt idx="3">
                  <c:v>9.1800000000000033</c:v>
                </c:pt>
                <c:pt idx="4">
                  <c:v>9.8599999999999959</c:v>
                </c:pt>
              </c:numCache>
            </c:numRef>
          </c:val>
          <c:smooth val="0"/>
        </c:ser>
        <c:dLbls>
          <c:showLegendKey val="0"/>
          <c:showVal val="0"/>
          <c:showCatName val="0"/>
          <c:showSerName val="0"/>
          <c:showPercent val="0"/>
          <c:showBubbleSize val="0"/>
        </c:dLbls>
        <c:marker val="1"/>
        <c:smooth val="0"/>
        <c:axId val="1513728"/>
        <c:axId val="1515520"/>
      </c:lineChart>
      <c:catAx>
        <c:axId val="1513728"/>
        <c:scaling>
          <c:orientation val="minMax"/>
        </c:scaling>
        <c:delete val="0"/>
        <c:axPos val="b"/>
        <c:numFmt formatCode="General" sourceLinked="1"/>
        <c:majorTickMark val="out"/>
        <c:minorTickMark val="none"/>
        <c:tickLblPos val="nextTo"/>
        <c:crossAx val="1515520"/>
        <c:crosses val="autoZero"/>
        <c:auto val="1"/>
        <c:lblAlgn val="ctr"/>
        <c:lblOffset val="100"/>
        <c:noMultiLvlLbl val="0"/>
      </c:catAx>
      <c:valAx>
        <c:axId val="1515520"/>
        <c:scaling>
          <c:orientation val="minMax"/>
        </c:scaling>
        <c:delete val="0"/>
        <c:axPos val="l"/>
        <c:majorGridlines/>
        <c:numFmt formatCode="0.00" sourceLinked="1"/>
        <c:majorTickMark val="out"/>
        <c:minorTickMark val="none"/>
        <c:tickLblPos val="nextTo"/>
        <c:crossAx val="1513728"/>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24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'Growth Pattern'!$CE$1396</c:f>
              <c:strCache>
                <c:ptCount val="1"/>
                <c:pt idx="0">
                  <c:v>MAI</c:v>
                </c:pt>
              </c:strCache>
            </c:strRef>
          </c:tx>
          <c:cat>
            <c:numRef>
              <c:f>'Growth Pattern'!$CD$1397:$CD$1401</c:f>
              <c:numCache>
                <c:formatCode>General</c:formatCode>
                <c:ptCount val="5"/>
                <c:pt idx="0">
                  <c:v>1.1000000000000001</c:v>
                </c:pt>
                <c:pt idx="1">
                  <c:v>2</c:v>
                </c:pt>
                <c:pt idx="2">
                  <c:v>2.5</c:v>
                </c:pt>
                <c:pt idx="3">
                  <c:v>3.2</c:v>
                </c:pt>
                <c:pt idx="4">
                  <c:v>3.5</c:v>
                </c:pt>
              </c:numCache>
            </c:numRef>
          </c:cat>
          <c:val>
            <c:numRef>
              <c:f>'Growth Pattern'!$CE$1397:$CE$1401</c:f>
              <c:numCache>
                <c:formatCode>0.00</c:formatCode>
                <c:ptCount val="5"/>
                <c:pt idx="0">
                  <c:v>2.0090909090909088</c:v>
                </c:pt>
                <c:pt idx="1">
                  <c:v>8.2449999999999992</c:v>
                </c:pt>
                <c:pt idx="2">
                  <c:v>11.423999999999999</c:v>
                </c:pt>
                <c:pt idx="3">
                  <c:v>12.537500000000001</c:v>
                </c:pt>
                <c:pt idx="4">
                  <c:v>12.094285714285714</c:v>
                </c:pt>
              </c:numCache>
            </c:numRef>
          </c:val>
          <c:smooth val="0"/>
        </c:ser>
        <c:ser>
          <c:idx val="1"/>
          <c:order val="1"/>
          <c:tx>
            <c:strRef>
              <c:f>'Growth Pattern'!$CF$1396</c:f>
              <c:strCache>
                <c:ptCount val="1"/>
                <c:pt idx="0">
                  <c:v>CAI</c:v>
                </c:pt>
              </c:strCache>
            </c:strRef>
          </c:tx>
          <c:cat>
            <c:numRef>
              <c:f>'Growth Pattern'!$CD$1397:$CD$1401</c:f>
              <c:numCache>
                <c:formatCode>General</c:formatCode>
                <c:ptCount val="5"/>
                <c:pt idx="0">
                  <c:v>1.1000000000000001</c:v>
                </c:pt>
                <c:pt idx="1">
                  <c:v>2</c:v>
                </c:pt>
                <c:pt idx="2">
                  <c:v>2.5</c:v>
                </c:pt>
                <c:pt idx="3">
                  <c:v>3.2</c:v>
                </c:pt>
                <c:pt idx="4">
                  <c:v>3.5</c:v>
                </c:pt>
              </c:numCache>
            </c:numRef>
          </c:cat>
          <c:val>
            <c:numRef>
              <c:f>'Growth Pattern'!$CF$1397:$CF$1401</c:f>
              <c:numCache>
                <c:formatCode>0.00</c:formatCode>
                <c:ptCount val="5"/>
                <c:pt idx="0">
                  <c:v>2.21</c:v>
                </c:pt>
                <c:pt idx="1">
                  <c:v>14.279999999999998</c:v>
                </c:pt>
                <c:pt idx="2">
                  <c:v>14.280000000000001</c:v>
                </c:pt>
                <c:pt idx="3">
                  <c:v>25.840000000000003</c:v>
                </c:pt>
                <c:pt idx="4">
                  <c:v>16.489999999999995</c:v>
                </c:pt>
              </c:numCache>
            </c:numRef>
          </c:val>
          <c:smooth val="0"/>
        </c:ser>
        <c:dLbls>
          <c:showLegendKey val="0"/>
          <c:showVal val="0"/>
          <c:showCatName val="0"/>
          <c:showSerName val="0"/>
          <c:showPercent val="0"/>
          <c:showBubbleSize val="0"/>
        </c:dLbls>
        <c:marker val="1"/>
        <c:smooth val="0"/>
        <c:axId val="1536384"/>
        <c:axId val="1537920"/>
      </c:lineChart>
      <c:catAx>
        <c:axId val="1536384"/>
        <c:scaling>
          <c:orientation val="minMax"/>
        </c:scaling>
        <c:delete val="0"/>
        <c:axPos val="b"/>
        <c:numFmt formatCode="General" sourceLinked="1"/>
        <c:majorTickMark val="out"/>
        <c:minorTickMark val="none"/>
        <c:tickLblPos val="nextTo"/>
        <c:crossAx val="1537920"/>
        <c:crosses val="autoZero"/>
        <c:auto val="1"/>
        <c:lblAlgn val="ctr"/>
        <c:lblOffset val="100"/>
        <c:noMultiLvlLbl val="0"/>
      </c:catAx>
      <c:valAx>
        <c:axId val="1537920"/>
        <c:scaling>
          <c:orientation val="minMax"/>
        </c:scaling>
        <c:delete val="0"/>
        <c:axPos val="l"/>
        <c:majorGridlines/>
        <c:numFmt formatCode="0.00" sourceLinked="1"/>
        <c:majorTickMark val="out"/>
        <c:minorTickMark val="none"/>
        <c:tickLblPos val="nextTo"/>
        <c:crossAx val="1536384"/>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24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'Growth Pattern'!$CE$1672</c:f>
              <c:strCache>
                <c:ptCount val="1"/>
                <c:pt idx="0">
                  <c:v>MAI</c:v>
                </c:pt>
              </c:strCache>
            </c:strRef>
          </c:tx>
          <c:cat>
            <c:numRef>
              <c:f>'Growth Pattern'!$CD$1673:$CD$1676</c:f>
              <c:numCache>
                <c:formatCode>General</c:formatCode>
                <c:ptCount val="4"/>
                <c:pt idx="0">
                  <c:v>1</c:v>
                </c:pt>
                <c:pt idx="1">
                  <c:v>2</c:v>
                </c:pt>
                <c:pt idx="2">
                  <c:v>3</c:v>
                </c:pt>
                <c:pt idx="3">
                  <c:v>4</c:v>
                </c:pt>
              </c:numCache>
            </c:numRef>
          </c:cat>
          <c:val>
            <c:numRef>
              <c:f>'Growth Pattern'!$CE$1673:$CE$1676</c:f>
              <c:numCache>
                <c:formatCode>0.00</c:formatCode>
                <c:ptCount val="4"/>
                <c:pt idx="0">
                  <c:v>1.17</c:v>
                </c:pt>
                <c:pt idx="1">
                  <c:v>4.93</c:v>
                </c:pt>
                <c:pt idx="2">
                  <c:v>5.72</c:v>
                </c:pt>
                <c:pt idx="3">
                  <c:v>9.1125000000000007</c:v>
                </c:pt>
              </c:numCache>
            </c:numRef>
          </c:val>
          <c:smooth val="0"/>
        </c:ser>
        <c:ser>
          <c:idx val="1"/>
          <c:order val="1"/>
          <c:tx>
            <c:strRef>
              <c:f>'Growth Pattern'!$CF$1672</c:f>
              <c:strCache>
                <c:ptCount val="1"/>
                <c:pt idx="0">
                  <c:v>CAI</c:v>
                </c:pt>
              </c:strCache>
            </c:strRef>
          </c:tx>
          <c:cat>
            <c:numRef>
              <c:f>'Growth Pattern'!$CD$1673:$CD$1676</c:f>
              <c:numCache>
                <c:formatCode>General</c:formatCode>
                <c:ptCount val="4"/>
                <c:pt idx="0">
                  <c:v>1</c:v>
                </c:pt>
                <c:pt idx="1">
                  <c:v>2</c:v>
                </c:pt>
                <c:pt idx="2">
                  <c:v>3</c:v>
                </c:pt>
                <c:pt idx="3">
                  <c:v>4</c:v>
                </c:pt>
              </c:numCache>
            </c:numRef>
          </c:cat>
          <c:val>
            <c:numRef>
              <c:f>'Growth Pattern'!$CF$1673:$CF$1676</c:f>
              <c:numCache>
                <c:formatCode>0.00</c:formatCode>
                <c:ptCount val="4"/>
                <c:pt idx="0">
                  <c:v>1.17</c:v>
                </c:pt>
                <c:pt idx="1">
                  <c:v>8.69</c:v>
                </c:pt>
                <c:pt idx="2">
                  <c:v>7.3000000000000007</c:v>
                </c:pt>
                <c:pt idx="3">
                  <c:v>19.290000000000003</c:v>
                </c:pt>
              </c:numCache>
            </c:numRef>
          </c:val>
          <c:smooth val="0"/>
        </c:ser>
        <c:dLbls>
          <c:showLegendKey val="0"/>
          <c:showVal val="0"/>
          <c:showCatName val="0"/>
          <c:showSerName val="0"/>
          <c:showPercent val="0"/>
          <c:showBubbleSize val="0"/>
        </c:dLbls>
        <c:marker val="1"/>
        <c:smooth val="0"/>
        <c:axId val="1566976"/>
        <c:axId val="129966080"/>
      </c:lineChart>
      <c:catAx>
        <c:axId val="1566976"/>
        <c:scaling>
          <c:orientation val="minMax"/>
        </c:scaling>
        <c:delete val="0"/>
        <c:axPos val="b"/>
        <c:numFmt formatCode="General" sourceLinked="1"/>
        <c:majorTickMark val="out"/>
        <c:minorTickMark val="none"/>
        <c:tickLblPos val="nextTo"/>
        <c:crossAx val="129966080"/>
        <c:crosses val="autoZero"/>
        <c:auto val="1"/>
        <c:lblAlgn val="ctr"/>
        <c:lblOffset val="100"/>
        <c:noMultiLvlLbl val="0"/>
      </c:catAx>
      <c:valAx>
        <c:axId val="129966080"/>
        <c:scaling>
          <c:orientation val="minMax"/>
        </c:scaling>
        <c:delete val="0"/>
        <c:axPos val="l"/>
        <c:majorGridlines/>
        <c:numFmt formatCode="0.00" sourceLinked="1"/>
        <c:majorTickMark val="out"/>
        <c:minorTickMark val="none"/>
        <c:tickLblPos val="nextTo"/>
        <c:crossAx val="1566976"/>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'Growth Pattern'!$CE$291</c:f>
              <c:strCache>
                <c:ptCount val="1"/>
                <c:pt idx="0">
                  <c:v>MAI</c:v>
                </c:pt>
              </c:strCache>
            </c:strRef>
          </c:tx>
          <c:val>
            <c:numRef>
              <c:f>'Growth Pattern'!$CE$292:$CE$295</c:f>
              <c:numCache>
                <c:formatCode>0.00</c:formatCode>
                <c:ptCount val="4"/>
                <c:pt idx="0">
                  <c:v>3.24</c:v>
                </c:pt>
                <c:pt idx="1">
                  <c:v>4.21</c:v>
                </c:pt>
                <c:pt idx="2">
                  <c:v>10.163333333333332</c:v>
                </c:pt>
                <c:pt idx="3">
                  <c:v>16.895</c:v>
                </c:pt>
              </c:numCache>
            </c:numRef>
          </c:val>
          <c:smooth val="0"/>
        </c:ser>
        <c:ser>
          <c:idx val="1"/>
          <c:order val="1"/>
          <c:tx>
            <c:strRef>
              <c:f>'Growth Pattern'!$CF$291</c:f>
              <c:strCache>
                <c:ptCount val="1"/>
                <c:pt idx="0">
                  <c:v>CAI</c:v>
                </c:pt>
              </c:strCache>
            </c:strRef>
          </c:tx>
          <c:val>
            <c:numRef>
              <c:f>'Growth Pattern'!$CF$292:$CF$295</c:f>
              <c:numCache>
                <c:formatCode>0.00</c:formatCode>
                <c:ptCount val="4"/>
                <c:pt idx="0">
                  <c:v>3.24</c:v>
                </c:pt>
                <c:pt idx="1">
                  <c:v>5.18</c:v>
                </c:pt>
                <c:pt idx="2">
                  <c:v>22.07</c:v>
                </c:pt>
                <c:pt idx="3">
                  <c:v>37.090000000000003</c:v>
                </c:pt>
              </c:numCache>
            </c:numRef>
          </c:val>
          <c:smooth val="0"/>
        </c:ser>
        <c:dLbls>
          <c:showLegendKey val="0"/>
          <c:showVal val="0"/>
          <c:showCatName val="0"/>
          <c:showSerName val="0"/>
          <c:showPercent val="0"/>
          <c:showBubbleSize val="0"/>
        </c:dLbls>
        <c:marker val="1"/>
        <c:smooth val="0"/>
        <c:axId val="94140288"/>
        <c:axId val="94141824"/>
      </c:lineChart>
      <c:catAx>
        <c:axId val="94140288"/>
        <c:scaling>
          <c:orientation val="minMax"/>
        </c:scaling>
        <c:delete val="0"/>
        <c:axPos val="b"/>
        <c:majorTickMark val="out"/>
        <c:minorTickMark val="none"/>
        <c:tickLblPos val="nextTo"/>
        <c:crossAx val="94141824"/>
        <c:crosses val="autoZero"/>
        <c:auto val="1"/>
        <c:lblAlgn val="ctr"/>
        <c:lblOffset val="100"/>
        <c:noMultiLvlLbl val="0"/>
      </c:catAx>
      <c:valAx>
        <c:axId val="94141824"/>
        <c:scaling>
          <c:orientation val="minMax"/>
        </c:scaling>
        <c:delete val="0"/>
        <c:axPos val="l"/>
        <c:majorGridlines/>
        <c:numFmt formatCode="0.00" sourceLinked="1"/>
        <c:majorTickMark val="out"/>
        <c:minorTickMark val="none"/>
        <c:tickLblPos val="nextTo"/>
        <c:crossAx val="94140288"/>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'Growth Pattern'!$CE$296</c:f>
              <c:strCache>
                <c:ptCount val="1"/>
                <c:pt idx="0">
                  <c:v>MAI</c:v>
                </c:pt>
              </c:strCache>
            </c:strRef>
          </c:tx>
          <c:val>
            <c:numRef>
              <c:f>'Growth Pattern'!$CE$297:$CE$300</c:f>
              <c:numCache>
                <c:formatCode>0.00</c:formatCode>
                <c:ptCount val="4"/>
                <c:pt idx="0">
                  <c:v>1.28</c:v>
                </c:pt>
                <c:pt idx="1">
                  <c:v>3.23</c:v>
                </c:pt>
                <c:pt idx="2">
                  <c:v>7.7966666666666669</c:v>
                </c:pt>
                <c:pt idx="3">
                  <c:v>9.4350000000000005</c:v>
                </c:pt>
              </c:numCache>
            </c:numRef>
          </c:val>
          <c:smooth val="0"/>
        </c:ser>
        <c:ser>
          <c:idx val="1"/>
          <c:order val="1"/>
          <c:tx>
            <c:strRef>
              <c:f>'Growth Pattern'!$CF$296</c:f>
              <c:strCache>
                <c:ptCount val="1"/>
                <c:pt idx="0">
                  <c:v>CAI</c:v>
                </c:pt>
              </c:strCache>
            </c:strRef>
          </c:tx>
          <c:val>
            <c:numRef>
              <c:f>'Growth Pattern'!$CF$297:$CF$300</c:f>
              <c:numCache>
                <c:formatCode>0.00</c:formatCode>
                <c:ptCount val="4"/>
                <c:pt idx="0">
                  <c:v>1.28</c:v>
                </c:pt>
                <c:pt idx="1">
                  <c:v>5.18</c:v>
                </c:pt>
                <c:pt idx="2">
                  <c:v>16.93</c:v>
                </c:pt>
                <c:pt idx="3">
                  <c:v>14.350000000000001</c:v>
                </c:pt>
              </c:numCache>
            </c:numRef>
          </c:val>
          <c:smooth val="0"/>
        </c:ser>
        <c:dLbls>
          <c:showLegendKey val="0"/>
          <c:showVal val="0"/>
          <c:showCatName val="0"/>
          <c:showSerName val="0"/>
          <c:showPercent val="0"/>
          <c:showBubbleSize val="0"/>
        </c:dLbls>
        <c:marker val="1"/>
        <c:smooth val="0"/>
        <c:axId val="94167040"/>
        <c:axId val="94168576"/>
      </c:lineChart>
      <c:catAx>
        <c:axId val="94167040"/>
        <c:scaling>
          <c:orientation val="minMax"/>
        </c:scaling>
        <c:delete val="0"/>
        <c:axPos val="b"/>
        <c:majorTickMark val="out"/>
        <c:minorTickMark val="none"/>
        <c:tickLblPos val="nextTo"/>
        <c:crossAx val="94168576"/>
        <c:crosses val="autoZero"/>
        <c:auto val="1"/>
        <c:lblAlgn val="ctr"/>
        <c:lblOffset val="100"/>
        <c:noMultiLvlLbl val="0"/>
      </c:catAx>
      <c:valAx>
        <c:axId val="94168576"/>
        <c:scaling>
          <c:orientation val="minMax"/>
        </c:scaling>
        <c:delete val="0"/>
        <c:axPos val="l"/>
        <c:majorGridlines/>
        <c:numFmt formatCode="0.00" sourceLinked="1"/>
        <c:majorTickMark val="out"/>
        <c:minorTickMark val="none"/>
        <c:tickLblPos val="nextTo"/>
        <c:crossAx val="94167040"/>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'Growth Pattern'!$CE$301</c:f>
              <c:strCache>
                <c:ptCount val="1"/>
                <c:pt idx="0">
                  <c:v>MAI</c:v>
                </c:pt>
              </c:strCache>
            </c:strRef>
          </c:tx>
          <c:val>
            <c:numRef>
              <c:f>'Growth Pattern'!$CE$302:$CE$305</c:f>
              <c:numCache>
                <c:formatCode>0.00</c:formatCode>
                <c:ptCount val="4"/>
                <c:pt idx="0">
                  <c:v>1.3</c:v>
                </c:pt>
                <c:pt idx="1">
                  <c:v>5.7</c:v>
                </c:pt>
                <c:pt idx="2">
                  <c:v>7.5333333333333341</c:v>
                </c:pt>
                <c:pt idx="3">
                  <c:v>6.15</c:v>
                </c:pt>
              </c:numCache>
            </c:numRef>
          </c:val>
          <c:smooth val="0"/>
        </c:ser>
        <c:ser>
          <c:idx val="1"/>
          <c:order val="1"/>
          <c:tx>
            <c:strRef>
              <c:f>'Growth Pattern'!$CF$301</c:f>
              <c:strCache>
                <c:ptCount val="1"/>
                <c:pt idx="0">
                  <c:v>CAI</c:v>
                </c:pt>
              </c:strCache>
            </c:strRef>
          </c:tx>
          <c:val>
            <c:numRef>
              <c:f>'Growth Pattern'!$CF$302:$CF$305</c:f>
              <c:numCache>
                <c:formatCode>0.00</c:formatCode>
                <c:ptCount val="4"/>
                <c:pt idx="0">
                  <c:v>1.3</c:v>
                </c:pt>
                <c:pt idx="1">
                  <c:v>10.1</c:v>
                </c:pt>
                <c:pt idx="2">
                  <c:v>11.200000000000001</c:v>
                </c:pt>
                <c:pt idx="3">
                  <c:v>2</c:v>
                </c:pt>
              </c:numCache>
            </c:numRef>
          </c:val>
          <c:smooth val="0"/>
        </c:ser>
        <c:dLbls>
          <c:showLegendKey val="0"/>
          <c:showVal val="0"/>
          <c:showCatName val="0"/>
          <c:showSerName val="0"/>
          <c:showPercent val="0"/>
          <c:showBubbleSize val="0"/>
        </c:dLbls>
        <c:marker val="1"/>
        <c:smooth val="0"/>
        <c:axId val="94263168"/>
        <c:axId val="94264704"/>
      </c:lineChart>
      <c:catAx>
        <c:axId val="94263168"/>
        <c:scaling>
          <c:orientation val="minMax"/>
        </c:scaling>
        <c:delete val="0"/>
        <c:axPos val="b"/>
        <c:majorTickMark val="out"/>
        <c:minorTickMark val="none"/>
        <c:tickLblPos val="nextTo"/>
        <c:crossAx val="94264704"/>
        <c:crosses val="autoZero"/>
        <c:auto val="1"/>
        <c:lblAlgn val="ctr"/>
        <c:lblOffset val="100"/>
        <c:noMultiLvlLbl val="0"/>
      </c:catAx>
      <c:valAx>
        <c:axId val="94264704"/>
        <c:scaling>
          <c:orientation val="minMax"/>
        </c:scaling>
        <c:delete val="0"/>
        <c:axPos val="l"/>
        <c:majorGridlines/>
        <c:numFmt formatCode="0.00" sourceLinked="1"/>
        <c:majorTickMark val="out"/>
        <c:minorTickMark val="none"/>
        <c:tickLblPos val="nextTo"/>
        <c:crossAx val="94263168"/>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'Growth Pattern'!$CE$306</c:f>
              <c:strCache>
                <c:ptCount val="1"/>
                <c:pt idx="0">
                  <c:v>MAI</c:v>
                </c:pt>
              </c:strCache>
            </c:strRef>
          </c:tx>
          <c:val>
            <c:numRef>
              <c:f>'Growth Pattern'!$CE$307:$CE$310</c:f>
              <c:numCache>
                <c:formatCode>0.00</c:formatCode>
                <c:ptCount val="4"/>
                <c:pt idx="0">
                  <c:v>0.6</c:v>
                </c:pt>
                <c:pt idx="1">
                  <c:v>3.8</c:v>
                </c:pt>
                <c:pt idx="2">
                  <c:v>5.7333333333333334</c:v>
                </c:pt>
                <c:pt idx="3">
                  <c:v>5.7750000000000004</c:v>
                </c:pt>
              </c:numCache>
            </c:numRef>
          </c:val>
          <c:smooth val="0"/>
        </c:ser>
        <c:ser>
          <c:idx val="1"/>
          <c:order val="1"/>
          <c:tx>
            <c:strRef>
              <c:f>'Growth Pattern'!$CF$306</c:f>
              <c:strCache>
                <c:ptCount val="1"/>
                <c:pt idx="0">
                  <c:v>CAI</c:v>
                </c:pt>
              </c:strCache>
            </c:strRef>
          </c:tx>
          <c:val>
            <c:numRef>
              <c:f>'Growth Pattern'!$CF$307:$CF$310</c:f>
              <c:numCache>
                <c:formatCode>0.00</c:formatCode>
                <c:ptCount val="4"/>
                <c:pt idx="0">
                  <c:v>0.6</c:v>
                </c:pt>
                <c:pt idx="1">
                  <c:v>7</c:v>
                </c:pt>
                <c:pt idx="2">
                  <c:v>9.6</c:v>
                </c:pt>
                <c:pt idx="3">
                  <c:v>5.9000000000000021</c:v>
                </c:pt>
              </c:numCache>
            </c:numRef>
          </c:val>
          <c:smooth val="0"/>
        </c:ser>
        <c:dLbls>
          <c:showLegendKey val="0"/>
          <c:showVal val="0"/>
          <c:showCatName val="0"/>
          <c:showSerName val="0"/>
          <c:showPercent val="0"/>
          <c:showBubbleSize val="0"/>
        </c:dLbls>
        <c:marker val="1"/>
        <c:smooth val="0"/>
        <c:axId val="94294400"/>
        <c:axId val="94295936"/>
      </c:lineChart>
      <c:catAx>
        <c:axId val="94294400"/>
        <c:scaling>
          <c:orientation val="minMax"/>
        </c:scaling>
        <c:delete val="0"/>
        <c:axPos val="b"/>
        <c:majorTickMark val="out"/>
        <c:minorTickMark val="none"/>
        <c:tickLblPos val="nextTo"/>
        <c:crossAx val="94295936"/>
        <c:crosses val="autoZero"/>
        <c:auto val="1"/>
        <c:lblAlgn val="ctr"/>
        <c:lblOffset val="100"/>
        <c:noMultiLvlLbl val="0"/>
      </c:catAx>
      <c:valAx>
        <c:axId val="94295936"/>
        <c:scaling>
          <c:orientation val="minMax"/>
        </c:scaling>
        <c:delete val="0"/>
        <c:axPos val="l"/>
        <c:majorGridlines/>
        <c:numFmt formatCode="0.00" sourceLinked="1"/>
        <c:majorTickMark val="out"/>
        <c:minorTickMark val="none"/>
        <c:tickLblPos val="nextTo"/>
        <c:crossAx val="94294400"/>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'Growth Pattern'!$CE$311</c:f>
              <c:strCache>
                <c:ptCount val="1"/>
                <c:pt idx="0">
                  <c:v>MAI</c:v>
                </c:pt>
              </c:strCache>
            </c:strRef>
          </c:tx>
          <c:val>
            <c:numRef>
              <c:f>'Growth Pattern'!$CE$312:$CE$315</c:f>
              <c:numCache>
                <c:formatCode>0.00</c:formatCode>
                <c:ptCount val="4"/>
                <c:pt idx="0">
                  <c:v>0.3</c:v>
                </c:pt>
                <c:pt idx="1">
                  <c:v>2.5</c:v>
                </c:pt>
                <c:pt idx="2">
                  <c:v>4.2666666666666666</c:v>
                </c:pt>
                <c:pt idx="3">
                  <c:v>4.4000000000000004</c:v>
                </c:pt>
              </c:numCache>
            </c:numRef>
          </c:val>
          <c:smooth val="0"/>
        </c:ser>
        <c:ser>
          <c:idx val="1"/>
          <c:order val="1"/>
          <c:tx>
            <c:strRef>
              <c:f>'Growth Pattern'!$CF$311</c:f>
              <c:strCache>
                <c:ptCount val="1"/>
                <c:pt idx="0">
                  <c:v>CAI</c:v>
                </c:pt>
              </c:strCache>
            </c:strRef>
          </c:tx>
          <c:val>
            <c:numRef>
              <c:f>'Growth Pattern'!$CF$312:$CF$315</c:f>
              <c:numCache>
                <c:formatCode>0.00</c:formatCode>
                <c:ptCount val="4"/>
                <c:pt idx="0">
                  <c:v>0.3</c:v>
                </c:pt>
                <c:pt idx="1">
                  <c:v>4.7</c:v>
                </c:pt>
                <c:pt idx="2">
                  <c:v>7.8000000000000007</c:v>
                </c:pt>
                <c:pt idx="3">
                  <c:v>4.8000000000000007</c:v>
                </c:pt>
              </c:numCache>
            </c:numRef>
          </c:val>
          <c:smooth val="0"/>
        </c:ser>
        <c:dLbls>
          <c:showLegendKey val="0"/>
          <c:showVal val="0"/>
          <c:showCatName val="0"/>
          <c:showSerName val="0"/>
          <c:showPercent val="0"/>
          <c:showBubbleSize val="0"/>
        </c:dLbls>
        <c:marker val="1"/>
        <c:smooth val="0"/>
        <c:axId val="98846976"/>
        <c:axId val="98852864"/>
      </c:lineChart>
      <c:catAx>
        <c:axId val="98846976"/>
        <c:scaling>
          <c:orientation val="minMax"/>
        </c:scaling>
        <c:delete val="0"/>
        <c:axPos val="b"/>
        <c:majorTickMark val="out"/>
        <c:minorTickMark val="none"/>
        <c:tickLblPos val="nextTo"/>
        <c:crossAx val="98852864"/>
        <c:crosses val="autoZero"/>
        <c:auto val="1"/>
        <c:lblAlgn val="ctr"/>
        <c:lblOffset val="100"/>
        <c:noMultiLvlLbl val="0"/>
      </c:catAx>
      <c:valAx>
        <c:axId val="98852864"/>
        <c:scaling>
          <c:orientation val="minMax"/>
        </c:scaling>
        <c:delete val="0"/>
        <c:axPos val="l"/>
        <c:majorGridlines/>
        <c:numFmt formatCode="0.00" sourceLinked="1"/>
        <c:majorTickMark val="out"/>
        <c:minorTickMark val="none"/>
        <c:tickLblPos val="nextTo"/>
        <c:crossAx val="98846976"/>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strRef>
              <c:f>'Growth Pattern'!$CF$99</c:f>
              <c:strCache>
                <c:ptCount val="1"/>
                <c:pt idx="0">
                  <c:v>CAI</c:v>
                </c:pt>
              </c:strCache>
            </c:strRef>
          </c:tx>
          <c:val>
            <c:numRef>
              <c:f>'Growth Pattern'!$CF$100:$CF$104</c:f>
              <c:numCache>
                <c:formatCode>0.00</c:formatCode>
                <c:ptCount val="5"/>
                <c:pt idx="0">
                  <c:v>1.2</c:v>
                </c:pt>
                <c:pt idx="1">
                  <c:v>5.5</c:v>
                </c:pt>
                <c:pt idx="2">
                  <c:v>12.2</c:v>
                </c:pt>
                <c:pt idx="3">
                  <c:v>11.6</c:v>
                </c:pt>
                <c:pt idx="4">
                  <c:v>12.7</c:v>
                </c:pt>
              </c:numCache>
            </c:numRef>
          </c:val>
          <c:smooth val="0"/>
        </c:ser>
        <c:ser>
          <c:idx val="0"/>
          <c:order val="1"/>
          <c:tx>
            <c:strRef>
              <c:f>'Growth Pattern'!$CE$99</c:f>
              <c:strCache>
                <c:ptCount val="1"/>
                <c:pt idx="0">
                  <c:v>MAI</c:v>
                </c:pt>
              </c:strCache>
            </c:strRef>
          </c:tx>
          <c:val>
            <c:numRef>
              <c:f>'Growth Pattern'!$CE$100:$CE$104</c:f>
              <c:numCache>
                <c:formatCode>0.00</c:formatCode>
                <c:ptCount val="5"/>
                <c:pt idx="0">
                  <c:v>1.2</c:v>
                </c:pt>
                <c:pt idx="1">
                  <c:v>3.35</c:v>
                </c:pt>
                <c:pt idx="2">
                  <c:v>6.3</c:v>
                </c:pt>
                <c:pt idx="3">
                  <c:v>7.625</c:v>
                </c:pt>
                <c:pt idx="4">
                  <c:v>8.64</c:v>
                </c:pt>
              </c:numCache>
            </c:numRef>
          </c:val>
          <c:smooth val="0"/>
        </c:ser>
        <c:dLbls>
          <c:showLegendKey val="0"/>
          <c:showVal val="0"/>
          <c:showCatName val="0"/>
          <c:showSerName val="0"/>
          <c:showPercent val="0"/>
          <c:showBubbleSize val="0"/>
        </c:dLbls>
        <c:marker val="1"/>
        <c:smooth val="0"/>
        <c:axId val="92477696"/>
        <c:axId val="92491776"/>
      </c:lineChart>
      <c:catAx>
        <c:axId val="92477696"/>
        <c:scaling>
          <c:orientation val="minMax"/>
        </c:scaling>
        <c:delete val="0"/>
        <c:axPos val="b"/>
        <c:majorTickMark val="out"/>
        <c:minorTickMark val="none"/>
        <c:tickLblPos val="nextTo"/>
        <c:crossAx val="92491776"/>
        <c:crosses val="autoZero"/>
        <c:auto val="1"/>
        <c:lblAlgn val="ctr"/>
        <c:lblOffset val="100"/>
        <c:noMultiLvlLbl val="0"/>
      </c:catAx>
      <c:valAx>
        <c:axId val="92491776"/>
        <c:scaling>
          <c:orientation val="minMax"/>
        </c:scaling>
        <c:delete val="0"/>
        <c:axPos val="l"/>
        <c:majorGridlines/>
        <c:numFmt formatCode="0.00" sourceLinked="1"/>
        <c:majorTickMark val="out"/>
        <c:minorTickMark val="none"/>
        <c:tickLblPos val="nextTo"/>
        <c:crossAx val="92477696"/>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'Growth Pattern'!$CE$316</c:f>
              <c:strCache>
                <c:ptCount val="1"/>
                <c:pt idx="0">
                  <c:v>MAI</c:v>
                </c:pt>
              </c:strCache>
            </c:strRef>
          </c:tx>
          <c:val>
            <c:numRef>
              <c:f>'Growth Pattern'!$CE$317:$CE$320</c:f>
              <c:numCache>
                <c:formatCode>0.00</c:formatCode>
                <c:ptCount val="4"/>
                <c:pt idx="0">
                  <c:v>0.3</c:v>
                </c:pt>
                <c:pt idx="1">
                  <c:v>2.35</c:v>
                </c:pt>
                <c:pt idx="2">
                  <c:v>4.333333333333333</c:v>
                </c:pt>
                <c:pt idx="3">
                  <c:v>4.1500000000000004</c:v>
                </c:pt>
              </c:numCache>
            </c:numRef>
          </c:val>
          <c:smooth val="0"/>
        </c:ser>
        <c:ser>
          <c:idx val="1"/>
          <c:order val="1"/>
          <c:tx>
            <c:strRef>
              <c:f>'Growth Pattern'!$CF$316</c:f>
              <c:strCache>
                <c:ptCount val="1"/>
                <c:pt idx="0">
                  <c:v>CAI</c:v>
                </c:pt>
              </c:strCache>
            </c:strRef>
          </c:tx>
          <c:val>
            <c:numRef>
              <c:f>'Growth Pattern'!$CF$317:$CF$320</c:f>
              <c:numCache>
                <c:formatCode>0.00</c:formatCode>
                <c:ptCount val="4"/>
                <c:pt idx="0">
                  <c:v>0.3</c:v>
                </c:pt>
                <c:pt idx="1">
                  <c:v>4.4000000000000004</c:v>
                </c:pt>
                <c:pt idx="2">
                  <c:v>8.3000000000000007</c:v>
                </c:pt>
                <c:pt idx="3">
                  <c:v>3.6000000000000014</c:v>
                </c:pt>
              </c:numCache>
            </c:numRef>
          </c:val>
          <c:smooth val="0"/>
        </c:ser>
        <c:dLbls>
          <c:showLegendKey val="0"/>
          <c:showVal val="0"/>
          <c:showCatName val="0"/>
          <c:showSerName val="0"/>
          <c:showPercent val="0"/>
          <c:showBubbleSize val="0"/>
        </c:dLbls>
        <c:marker val="1"/>
        <c:smooth val="0"/>
        <c:axId val="98869632"/>
        <c:axId val="98871168"/>
      </c:lineChart>
      <c:catAx>
        <c:axId val="98869632"/>
        <c:scaling>
          <c:orientation val="minMax"/>
        </c:scaling>
        <c:delete val="0"/>
        <c:axPos val="b"/>
        <c:majorTickMark val="out"/>
        <c:minorTickMark val="none"/>
        <c:tickLblPos val="nextTo"/>
        <c:crossAx val="98871168"/>
        <c:crosses val="autoZero"/>
        <c:auto val="1"/>
        <c:lblAlgn val="ctr"/>
        <c:lblOffset val="100"/>
        <c:noMultiLvlLbl val="0"/>
      </c:catAx>
      <c:valAx>
        <c:axId val="98871168"/>
        <c:scaling>
          <c:orientation val="minMax"/>
        </c:scaling>
        <c:delete val="0"/>
        <c:axPos val="l"/>
        <c:majorGridlines/>
        <c:numFmt formatCode="0.00" sourceLinked="1"/>
        <c:majorTickMark val="out"/>
        <c:minorTickMark val="none"/>
        <c:tickLblPos val="nextTo"/>
        <c:crossAx val="98869632"/>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'Growth Pattern'!$CE$321</c:f>
              <c:strCache>
                <c:ptCount val="1"/>
                <c:pt idx="0">
                  <c:v>MAI</c:v>
                </c:pt>
              </c:strCache>
            </c:strRef>
          </c:tx>
          <c:val>
            <c:numRef>
              <c:f>'Growth Pattern'!$CE$322:$CE$325</c:f>
              <c:numCache>
                <c:formatCode>0.00</c:formatCode>
                <c:ptCount val="4"/>
                <c:pt idx="0">
                  <c:v>0.2</c:v>
                </c:pt>
                <c:pt idx="1">
                  <c:v>1.7</c:v>
                </c:pt>
                <c:pt idx="2">
                  <c:v>3.1</c:v>
                </c:pt>
                <c:pt idx="3">
                  <c:v>3.5249999999999999</c:v>
                </c:pt>
              </c:numCache>
            </c:numRef>
          </c:val>
          <c:smooth val="0"/>
        </c:ser>
        <c:ser>
          <c:idx val="1"/>
          <c:order val="1"/>
          <c:tx>
            <c:strRef>
              <c:f>'Growth Pattern'!$CF$321</c:f>
              <c:strCache>
                <c:ptCount val="1"/>
                <c:pt idx="0">
                  <c:v>CAI</c:v>
                </c:pt>
              </c:strCache>
            </c:strRef>
          </c:tx>
          <c:val>
            <c:numRef>
              <c:f>'Growth Pattern'!$CF$322:$CF$325</c:f>
              <c:numCache>
                <c:formatCode>0.00</c:formatCode>
                <c:ptCount val="4"/>
                <c:pt idx="0">
                  <c:v>0.2</c:v>
                </c:pt>
                <c:pt idx="1">
                  <c:v>3.1999999999999997</c:v>
                </c:pt>
                <c:pt idx="2">
                  <c:v>5.9</c:v>
                </c:pt>
                <c:pt idx="3">
                  <c:v>4.7999999999999989</c:v>
                </c:pt>
              </c:numCache>
            </c:numRef>
          </c:val>
          <c:smooth val="0"/>
        </c:ser>
        <c:dLbls>
          <c:showLegendKey val="0"/>
          <c:showVal val="0"/>
          <c:showCatName val="0"/>
          <c:showSerName val="0"/>
          <c:showPercent val="0"/>
          <c:showBubbleSize val="0"/>
        </c:dLbls>
        <c:marker val="1"/>
        <c:smooth val="0"/>
        <c:axId val="98900224"/>
        <c:axId val="98906112"/>
      </c:lineChart>
      <c:catAx>
        <c:axId val="98900224"/>
        <c:scaling>
          <c:orientation val="minMax"/>
        </c:scaling>
        <c:delete val="0"/>
        <c:axPos val="b"/>
        <c:majorTickMark val="out"/>
        <c:minorTickMark val="none"/>
        <c:tickLblPos val="nextTo"/>
        <c:crossAx val="98906112"/>
        <c:crosses val="autoZero"/>
        <c:auto val="1"/>
        <c:lblAlgn val="ctr"/>
        <c:lblOffset val="100"/>
        <c:noMultiLvlLbl val="0"/>
      </c:catAx>
      <c:valAx>
        <c:axId val="98906112"/>
        <c:scaling>
          <c:orientation val="minMax"/>
        </c:scaling>
        <c:delete val="0"/>
        <c:axPos val="l"/>
        <c:majorGridlines/>
        <c:numFmt formatCode="0.00" sourceLinked="1"/>
        <c:majorTickMark val="out"/>
        <c:minorTickMark val="none"/>
        <c:tickLblPos val="nextTo"/>
        <c:crossAx val="98900224"/>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'Growth Pattern'!$CE$326</c:f>
              <c:strCache>
                <c:ptCount val="1"/>
                <c:pt idx="0">
                  <c:v>MAI</c:v>
                </c:pt>
              </c:strCache>
            </c:strRef>
          </c:tx>
          <c:val>
            <c:numRef>
              <c:f>'Growth Pattern'!$CE$327:$CE$330</c:f>
              <c:numCache>
                <c:formatCode>0.00</c:formatCode>
                <c:ptCount val="4"/>
                <c:pt idx="0">
                  <c:v>2.2999999999999998</c:v>
                </c:pt>
                <c:pt idx="1">
                  <c:v>5.8</c:v>
                </c:pt>
                <c:pt idx="2">
                  <c:v>7.333333333333333</c:v>
                </c:pt>
                <c:pt idx="3">
                  <c:v>4.875</c:v>
                </c:pt>
              </c:numCache>
            </c:numRef>
          </c:val>
          <c:smooth val="0"/>
        </c:ser>
        <c:ser>
          <c:idx val="1"/>
          <c:order val="1"/>
          <c:tx>
            <c:strRef>
              <c:f>'Growth Pattern'!$CF$326</c:f>
              <c:strCache>
                <c:ptCount val="1"/>
                <c:pt idx="0">
                  <c:v>CAI</c:v>
                </c:pt>
              </c:strCache>
            </c:strRef>
          </c:tx>
          <c:val>
            <c:numRef>
              <c:f>'Growth Pattern'!$CF$327:$CF$330</c:f>
              <c:numCache>
                <c:formatCode>0.00</c:formatCode>
                <c:ptCount val="4"/>
                <c:pt idx="0">
                  <c:v>2.2999999999999998</c:v>
                </c:pt>
                <c:pt idx="1">
                  <c:v>9.3000000000000007</c:v>
                </c:pt>
                <c:pt idx="2">
                  <c:v>10.4</c:v>
                </c:pt>
                <c:pt idx="3">
                  <c:v>-2.5</c:v>
                </c:pt>
              </c:numCache>
            </c:numRef>
          </c:val>
          <c:smooth val="0"/>
        </c:ser>
        <c:dLbls>
          <c:showLegendKey val="0"/>
          <c:showVal val="0"/>
          <c:showCatName val="0"/>
          <c:showSerName val="0"/>
          <c:showPercent val="0"/>
          <c:showBubbleSize val="0"/>
        </c:dLbls>
        <c:marker val="1"/>
        <c:smooth val="0"/>
        <c:axId val="98926976"/>
        <c:axId val="98928512"/>
      </c:lineChart>
      <c:catAx>
        <c:axId val="98926976"/>
        <c:scaling>
          <c:orientation val="minMax"/>
        </c:scaling>
        <c:delete val="0"/>
        <c:axPos val="b"/>
        <c:majorTickMark val="out"/>
        <c:minorTickMark val="none"/>
        <c:tickLblPos val="nextTo"/>
        <c:crossAx val="98928512"/>
        <c:crosses val="autoZero"/>
        <c:auto val="1"/>
        <c:lblAlgn val="ctr"/>
        <c:lblOffset val="100"/>
        <c:noMultiLvlLbl val="0"/>
      </c:catAx>
      <c:valAx>
        <c:axId val="98928512"/>
        <c:scaling>
          <c:orientation val="minMax"/>
        </c:scaling>
        <c:delete val="0"/>
        <c:axPos val="l"/>
        <c:majorGridlines/>
        <c:numFmt formatCode="0.00" sourceLinked="1"/>
        <c:majorTickMark val="out"/>
        <c:minorTickMark val="none"/>
        <c:tickLblPos val="nextTo"/>
        <c:crossAx val="98926976"/>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'Growth Pattern'!$CE$331</c:f>
              <c:strCache>
                <c:ptCount val="1"/>
                <c:pt idx="0">
                  <c:v>MAI</c:v>
                </c:pt>
              </c:strCache>
            </c:strRef>
          </c:tx>
          <c:val>
            <c:numRef>
              <c:f>'Growth Pattern'!$CE$332:$CE$335</c:f>
              <c:numCache>
                <c:formatCode>0.00</c:formatCode>
                <c:ptCount val="4"/>
                <c:pt idx="0">
                  <c:v>1.3</c:v>
                </c:pt>
                <c:pt idx="1">
                  <c:v>4.55</c:v>
                </c:pt>
                <c:pt idx="2">
                  <c:v>5.9333333333333336</c:v>
                </c:pt>
                <c:pt idx="3">
                  <c:v>5.875</c:v>
                </c:pt>
              </c:numCache>
            </c:numRef>
          </c:val>
          <c:smooth val="0"/>
        </c:ser>
        <c:ser>
          <c:idx val="1"/>
          <c:order val="1"/>
          <c:tx>
            <c:strRef>
              <c:f>'Growth Pattern'!$CF$331</c:f>
              <c:strCache>
                <c:ptCount val="1"/>
                <c:pt idx="0">
                  <c:v>CAI</c:v>
                </c:pt>
              </c:strCache>
            </c:strRef>
          </c:tx>
          <c:val>
            <c:numRef>
              <c:f>'Growth Pattern'!$CF$332:$CF$335</c:f>
              <c:numCache>
                <c:formatCode>0.00</c:formatCode>
                <c:ptCount val="4"/>
                <c:pt idx="0">
                  <c:v>1.3</c:v>
                </c:pt>
                <c:pt idx="1">
                  <c:v>7.8</c:v>
                </c:pt>
                <c:pt idx="2">
                  <c:v>8.7000000000000011</c:v>
                </c:pt>
                <c:pt idx="3">
                  <c:v>5.6999999999999993</c:v>
                </c:pt>
              </c:numCache>
            </c:numRef>
          </c:val>
          <c:smooth val="0"/>
        </c:ser>
        <c:dLbls>
          <c:showLegendKey val="0"/>
          <c:showVal val="0"/>
          <c:showCatName val="0"/>
          <c:showSerName val="0"/>
          <c:showPercent val="0"/>
          <c:showBubbleSize val="0"/>
        </c:dLbls>
        <c:marker val="1"/>
        <c:smooth val="0"/>
        <c:axId val="118884608"/>
        <c:axId val="118890496"/>
      </c:lineChart>
      <c:catAx>
        <c:axId val="118884608"/>
        <c:scaling>
          <c:orientation val="minMax"/>
        </c:scaling>
        <c:delete val="0"/>
        <c:axPos val="b"/>
        <c:majorTickMark val="out"/>
        <c:minorTickMark val="none"/>
        <c:tickLblPos val="nextTo"/>
        <c:crossAx val="118890496"/>
        <c:crosses val="autoZero"/>
        <c:auto val="1"/>
        <c:lblAlgn val="ctr"/>
        <c:lblOffset val="100"/>
        <c:noMultiLvlLbl val="0"/>
      </c:catAx>
      <c:valAx>
        <c:axId val="118890496"/>
        <c:scaling>
          <c:orientation val="minMax"/>
        </c:scaling>
        <c:delete val="0"/>
        <c:axPos val="l"/>
        <c:majorGridlines/>
        <c:numFmt formatCode="0.00" sourceLinked="1"/>
        <c:majorTickMark val="out"/>
        <c:minorTickMark val="none"/>
        <c:tickLblPos val="nextTo"/>
        <c:crossAx val="118884608"/>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'Growth Pattern'!$CE$336</c:f>
              <c:strCache>
                <c:ptCount val="1"/>
                <c:pt idx="0">
                  <c:v>MAI</c:v>
                </c:pt>
              </c:strCache>
            </c:strRef>
          </c:tx>
          <c:val>
            <c:numRef>
              <c:f>'Growth Pattern'!$CE$337:$CE$340</c:f>
              <c:numCache>
                <c:formatCode>0.00</c:formatCode>
                <c:ptCount val="4"/>
                <c:pt idx="0">
                  <c:v>1</c:v>
                </c:pt>
                <c:pt idx="1">
                  <c:v>4.45</c:v>
                </c:pt>
                <c:pt idx="2">
                  <c:v>6.3999999999999995</c:v>
                </c:pt>
                <c:pt idx="3">
                  <c:v>7.0750000000000002</c:v>
                </c:pt>
              </c:numCache>
            </c:numRef>
          </c:val>
          <c:smooth val="0"/>
        </c:ser>
        <c:ser>
          <c:idx val="1"/>
          <c:order val="1"/>
          <c:tx>
            <c:strRef>
              <c:f>'Growth Pattern'!$CF$336</c:f>
              <c:strCache>
                <c:ptCount val="1"/>
                <c:pt idx="0">
                  <c:v>CAI</c:v>
                </c:pt>
              </c:strCache>
            </c:strRef>
          </c:tx>
          <c:val>
            <c:numRef>
              <c:f>'Growth Pattern'!$CF$337:$CF$340</c:f>
              <c:numCache>
                <c:formatCode>0.00</c:formatCode>
                <c:ptCount val="4"/>
                <c:pt idx="0">
                  <c:v>1</c:v>
                </c:pt>
                <c:pt idx="1">
                  <c:v>7.9</c:v>
                </c:pt>
                <c:pt idx="2">
                  <c:v>10.299999999999999</c:v>
                </c:pt>
                <c:pt idx="3">
                  <c:v>9.1000000000000014</c:v>
                </c:pt>
              </c:numCache>
            </c:numRef>
          </c:val>
          <c:smooth val="0"/>
        </c:ser>
        <c:dLbls>
          <c:showLegendKey val="0"/>
          <c:showVal val="0"/>
          <c:showCatName val="0"/>
          <c:showSerName val="0"/>
          <c:showPercent val="0"/>
          <c:showBubbleSize val="0"/>
        </c:dLbls>
        <c:marker val="1"/>
        <c:smooth val="0"/>
        <c:axId val="118927744"/>
        <c:axId val="118929280"/>
      </c:lineChart>
      <c:catAx>
        <c:axId val="118927744"/>
        <c:scaling>
          <c:orientation val="minMax"/>
        </c:scaling>
        <c:delete val="0"/>
        <c:axPos val="b"/>
        <c:majorTickMark val="out"/>
        <c:minorTickMark val="none"/>
        <c:tickLblPos val="nextTo"/>
        <c:crossAx val="118929280"/>
        <c:crosses val="autoZero"/>
        <c:auto val="1"/>
        <c:lblAlgn val="ctr"/>
        <c:lblOffset val="100"/>
        <c:noMultiLvlLbl val="0"/>
      </c:catAx>
      <c:valAx>
        <c:axId val="118929280"/>
        <c:scaling>
          <c:orientation val="minMax"/>
        </c:scaling>
        <c:delete val="0"/>
        <c:axPos val="l"/>
        <c:majorGridlines/>
        <c:numFmt formatCode="0.00" sourceLinked="1"/>
        <c:majorTickMark val="out"/>
        <c:minorTickMark val="none"/>
        <c:tickLblPos val="nextTo"/>
        <c:crossAx val="118927744"/>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'Growth Pattern'!$CE$341</c:f>
              <c:strCache>
                <c:ptCount val="1"/>
                <c:pt idx="0">
                  <c:v>MAI</c:v>
                </c:pt>
              </c:strCache>
            </c:strRef>
          </c:tx>
          <c:val>
            <c:numRef>
              <c:f>'Growth Pattern'!$CE$342:$CE$345</c:f>
              <c:numCache>
                <c:formatCode>0.00</c:formatCode>
                <c:ptCount val="4"/>
                <c:pt idx="0">
                  <c:v>0.8</c:v>
                </c:pt>
                <c:pt idx="1">
                  <c:v>3.95</c:v>
                </c:pt>
                <c:pt idx="2">
                  <c:v>5.7666666666666666</c:v>
                </c:pt>
                <c:pt idx="3">
                  <c:v>6.375</c:v>
                </c:pt>
              </c:numCache>
            </c:numRef>
          </c:val>
          <c:smooth val="0"/>
        </c:ser>
        <c:ser>
          <c:idx val="1"/>
          <c:order val="1"/>
          <c:tx>
            <c:strRef>
              <c:f>'Growth Pattern'!$CF$341</c:f>
              <c:strCache>
                <c:ptCount val="1"/>
                <c:pt idx="0">
                  <c:v>CAI</c:v>
                </c:pt>
              </c:strCache>
            </c:strRef>
          </c:tx>
          <c:val>
            <c:numRef>
              <c:f>'Growth Pattern'!$CF$342:$CF$345</c:f>
              <c:numCache>
                <c:formatCode>0.00</c:formatCode>
                <c:ptCount val="4"/>
                <c:pt idx="0">
                  <c:v>0.8</c:v>
                </c:pt>
                <c:pt idx="1">
                  <c:v>7.1000000000000005</c:v>
                </c:pt>
                <c:pt idx="2">
                  <c:v>9.4</c:v>
                </c:pt>
                <c:pt idx="3">
                  <c:v>8.1999999999999993</c:v>
                </c:pt>
              </c:numCache>
            </c:numRef>
          </c:val>
          <c:smooth val="0"/>
        </c:ser>
        <c:dLbls>
          <c:showLegendKey val="0"/>
          <c:showVal val="0"/>
          <c:showCatName val="0"/>
          <c:showSerName val="0"/>
          <c:showPercent val="0"/>
          <c:showBubbleSize val="0"/>
        </c:dLbls>
        <c:marker val="1"/>
        <c:smooth val="0"/>
        <c:axId val="118941952"/>
        <c:axId val="119021568"/>
      </c:lineChart>
      <c:catAx>
        <c:axId val="118941952"/>
        <c:scaling>
          <c:orientation val="minMax"/>
        </c:scaling>
        <c:delete val="0"/>
        <c:axPos val="b"/>
        <c:majorTickMark val="out"/>
        <c:minorTickMark val="none"/>
        <c:tickLblPos val="nextTo"/>
        <c:crossAx val="119021568"/>
        <c:crosses val="autoZero"/>
        <c:auto val="1"/>
        <c:lblAlgn val="ctr"/>
        <c:lblOffset val="100"/>
        <c:noMultiLvlLbl val="0"/>
      </c:catAx>
      <c:valAx>
        <c:axId val="119021568"/>
        <c:scaling>
          <c:orientation val="minMax"/>
        </c:scaling>
        <c:delete val="0"/>
        <c:axPos val="l"/>
        <c:majorGridlines/>
        <c:numFmt formatCode="0.00" sourceLinked="1"/>
        <c:majorTickMark val="out"/>
        <c:minorTickMark val="none"/>
        <c:tickLblPos val="nextTo"/>
        <c:crossAx val="118941952"/>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'Growth Pattern'!$CE$346</c:f>
              <c:strCache>
                <c:ptCount val="1"/>
                <c:pt idx="0">
                  <c:v>MAI</c:v>
                </c:pt>
              </c:strCache>
            </c:strRef>
          </c:tx>
          <c:val>
            <c:numRef>
              <c:f>'Growth Pattern'!$CE$347:$CE$350</c:f>
              <c:numCache>
                <c:formatCode>0.00</c:formatCode>
                <c:ptCount val="4"/>
                <c:pt idx="0">
                  <c:v>0.5</c:v>
                </c:pt>
                <c:pt idx="1">
                  <c:v>3.5</c:v>
                </c:pt>
                <c:pt idx="2">
                  <c:v>5.7333333333333334</c:v>
                </c:pt>
                <c:pt idx="3">
                  <c:v>6</c:v>
                </c:pt>
              </c:numCache>
            </c:numRef>
          </c:val>
          <c:smooth val="0"/>
        </c:ser>
        <c:ser>
          <c:idx val="1"/>
          <c:order val="1"/>
          <c:tx>
            <c:strRef>
              <c:f>'Growth Pattern'!$CF$346</c:f>
              <c:strCache>
                <c:ptCount val="1"/>
                <c:pt idx="0">
                  <c:v>CAI</c:v>
                </c:pt>
              </c:strCache>
            </c:strRef>
          </c:tx>
          <c:val>
            <c:numRef>
              <c:f>'Growth Pattern'!$CF$347:$CF$350</c:f>
              <c:numCache>
                <c:formatCode>0.00</c:formatCode>
                <c:ptCount val="4"/>
                <c:pt idx="0">
                  <c:v>0.5</c:v>
                </c:pt>
                <c:pt idx="1">
                  <c:v>6.5</c:v>
                </c:pt>
                <c:pt idx="2">
                  <c:v>10.199999999999999</c:v>
                </c:pt>
                <c:pt idx="3">
                  <c:v>6.8000000000000007</c:v>
                </c:pt>
              </c:numCache>
            </c:numRef>
          </c:val>
          <c:smooth val="0"/>
        </c:ser>
        <c:dLbls>
          <c:showLegendKey val="0"/>
          <c:showVal val="0"/>
          <c:showCatName val="0"/>
          <c:showSerName val="0"/>
          <c:showPercent val="0"/>
          <c:showBubbleSize val="0"/>
        </c:dLbls>
        <c:marker val="1"/>
        <c:smooth val="0"/>
        <c:axId val="119046528"/>
        <c:axId val="119048064"/>
      </c:lineChart>
      <c:catAx>
        <c:axId val="119046528"/>
        <c:scaling>
          <c:orientation val="minMax"/>
        </c:scaling>
        <c:delete val="0"/>
        <c:axPos val="b"/>
        <c:majorTickMark val="out"/>
        <c:minorTickMark val="none"/>
        <c:tickLblPos val="nextTo"/>
        <c:crossAx val="119048064"/>
        <c:crosses val="autoZero"/>
        <c:auto val="1"/>
        <c:lblAlgn val="ctr"/>
        <c:lblOffset val="100"/>
        <c:noMultiLvlLbl val="0"/>
      </c:catAx>
      <c:valAx>
        <c:axId val="119048064"/>
        <c:scaling>
          <c:orientation val="minMax"/>
        </c:scaling>
        <c:delete val="0"/>
        <c:axPos val="l"/>
        <c:majorGridlines/>
        <c:numFmt formatCode="0.00" sourceLinked="1"/>
        <c:majorTickMark val="out"/>
        <c:minorTickMark val="none"/>
        <c:tickLblPos val="nextTo"/>
        <c:crossAx val="119046528"/>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'Growth Pattern'!$CE$351</c:f>
              <c:strCache>
                <c:ptCount val="1"/>
                <c:pt idx="0">
                  <c:v>MAI</c:v>
                </c:pt>
              </c:strCache>
            </c:strRef>
          </c:tx>
          <c:val>
            <c:numRef>
              <c:f>'Growth Pattern'!$CE$352:$CE$355</c:f>
              <c:numCache>
                <c:formatCode>0.00</c:formatCode>
                <c:ptCount val="4"/>
                <c:pt idx="0">
                  <c:v>1.6</c:v>
                </c:pt>
                <c:pt idx="1">
                  <c:v>7.15</c:v>
                </c:pt>
                <c:pt idx="2">
                  <c:v>9.1666666666666661</c:v>
                </c:pt>
                <c:pt idx="3">
                  <c:v>9.4250000000000007</c:v>
                </c:pt>
              </c:numCache>
            </c:numRef>
          </c:val>
          <c:smooth val="0"/>
        </c:ser>
        <c:ser>
          <c:idx val="1"/>
          <c:order val="1"/>
          <c:tx>
            <c:strRef>
              <c:f>'Growth Pattern'!$CF$351</c:f>
              <c:strCache>
                <c:ptCount val="1"/>
                <c:pt idx="0">
                  <c:v>CAI</c:v>
                </c:pt>
              </c:strCache>
            </c:strRef>
          </c:tx>
          <c:val>
            <c:numRef>
              <c:f>'Growth Pattern'!$CF$352:$CF$355</c:f>
              <c:numCache>
                <c:formatCode>0.00</c:formatCode>
                <c:ptCount val="4"/>
                <c:pt idx="0">
                  <c:v>1.6</c:v>
                </c:pt>
                <c:pt idx="1">
                  <c:v>12.700000000000001</c:v>
                </c:pt>
                <c:pt idx="2">
                  <c:v>13.2</c:v>
                </c:pt>
                <c:pt idx="3">
                  <c:v>10.200000000000003</c:v>
                </c:pt>
              </c:numCache>
            </c:numRef>
          </c:val>
          <c:smooth val="0"/>
        </c:ser>
        <c:dLbls>
          <c:showLegendKey val="0"/>
          <c:showVal val="0"/>
          <c:showCatName val="0"/>
          <c:showSerName val="0"/>
          <c:showPercent val="0"/>
          <c:showBubbleSize val="0"/>
        </c:dLbls>
        <c:marker val="1"/>
        <c:smooth val="0"/>
        <c:axId val="119081600"/>
        <c:axId val="119083392"/>
      </c:lineChart>
      <c:catAx>
        <c:axId val="119081600"/>
        <c:scaling>
          <c:orientation val="minMax"/>
        </c:scaling>
        <c:delete val="0"/>
        <c:axPos val="b"/>
        <c:majorTickMark val="out"/>
        <c:minorTickMark val="none"/>
        <c:tickLblPos val="nextTo"/>
        <c:crossAx val="119083392"/>
        <c:crosses val="autoZero"/>
        <c:auto val="1"/>
        <c:lblAlgn val="ctr"/>
        <c:lblOffset val="100"/>
        <c:noMultiLvlLbl val="0"/>
      </c:catAx>
      <c:valAx>
        <c:axId val="119083392"/>
        <c:scaling>
          <c:orientation val="minMax"/>
        </c:scaling>
        <c:delete val="0"/>
        <c:axPos val="l"/>
        <c:majorGridlines/>
        <c:numFmt formatCode="0.00" sourceLinked="1"/>
        <c:majorTickMark val="out"/>
        <c:minorTickMark val="none"/>
        <c:tickLblPos val="nextTo"/>
        <c:crossAx val="119081600"/>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'Growth Pattern'!$CE$356</c:f>
              <c:strCache>
                <c:ptCount val="1"/>
                <c:pt idx="0">
                  <c:v>MAI</c:v>
                </c:pt>
              </c:strCache>
            </c:strRef>
          </c:tx>
          <c:val>
            <c:numRef>
              <c:f>'Growth Pattern'!$CE$357:$CE$360</c:f>
              <c:numCache>
                <c:formatCode>0.00</c:formatCode>
                <c:ptCount val="4"/>
                <c:pt idx="0">
                  <c:v>0.8</c:v>
                </c:pt>
                <c:pt idx="1">
                  <c:v>4.5999999999999996</c:v>
                </c:pt>
                <c:pt idx="2">
                  <c:v>6.2666666666666666</c:v>
                </c:pt>
                <c:pt idx="3">
                  <c:v>6.45</c:v>
                </c:pt>
              </c:numCache>
            </c:numRef>
          </c:val>
          <c:smooth val="0"/>
        </c:ser>
        <c:ser>
          <c:idx val="1"/>
          <c:order val="1"/>
          <c:tx>
            <c:strRef>
              <c:f>'Growth Pattern'!$CF$356</c:f>
              <c:strCache>
                <c:ptCount val="1"/>
                <c:pt idx="0">
                  <c:v>CAI</c:v>
                </c:pt>
              </c:strCache>
            </c:strRef>
          </c:tx>
          <c:val>
            <c:numRef>
              <c:f>'Growth Pattern'!$CF$357:$CF$360</c:f>
              <c:numCache>
                <c:formatCode>0.00</c:formatCode>
                <c:ptCount val="4"/>
                <c:pt idx="0">
                  <c:v>0.8</c:v>
                </c:pt>
                <c:pt idx="1">
                  <c:v>8.3999999999999986</c:v>
                </c:pt>
                <c:pt idx="2">
                  <c:v>9.6000000000000014</c:v>
                </c:pt>
                <c:pt idx="3">
                  <c:v>7</c:v>
                </c:pt>
              </c:numCache>
            </c:numRef>
          </c:val>
          <c:smooth val="0"/>
        </c:ser>
        <c:dLbls>
          <c:showLegendKey val="0"/>
          <c:showVal val="0"/>
          <c:showCatName val="0"/>
          <c:showSerName val="0"/>
          <c:showPercent val="0"/>
          <c:showBubbleSize val="0"/>
        </c:dLbls>
        <c:marker val="1"/>
        <c:smooth val="0"/>
        <c:axId val="119108352"/>
        <c:axId val="119109888"/>
      </c:lineChart>
      <c:catAx>
        <c:axId val="119108352"/>
        <c:scaling>
          <c:orientation val="minMax"/>
        </c:scaling>
        <c:delete val="0"/>
        <c:axPos val="b"/>
        <c:majorTickMark val="out"/>
        <c:minorTickMark val="none"/>
        <c:tickLblPos val="nextTo"/>
        <c:crossAx val="119109888"/>
        <c:crosses val="autoZero"/>
        <c:auto val="1"/>
        <c:lblAlgn val="ctr"/>
        <c:lblOffset val="100"/>
        <c:noMultiLvlLbl val="0"/>
      </c:catAx>
      <c:valAx>
        <c:axId val="119109888"/>
        <c:scaling>
          <c:orientation val="minMax"/>
        </c:scaling>
        <c:delete val="0"/>
        <c:axPos val="l"/>
        <c:majorGridlines/>
        <c:numFmt formatCode="0.00" sourceLinked="1"/>
        <c:majorTickMark val="out"/>
        <c:minorTickMark val="none"/>
        <c:tickLblPos val="nextTo"/>
        <c:crossAx val="119108352"/>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'Growth Pattern'!$CE$361</c:f>
              <c:strCache>
                <c:ptCount val="1"/>
                <c:pt idx="0">
                  <c:v>MAI</c:v>
                </c:pt>
              </c:strCache>
            </c:strRef>
          </c:tx>
          <c:val>
            <c:numRef>
              <c:f>'Growth Pattern'!$CE$362:$CE$365</c:f>
              <c:numCache>
                <c:formatCode>0.00</c:formatCode>
                <c:ptCount val="4"/>
                <c:pt idx="0">
                  <c:v>0.7</c:v>
                </c:pt>
                <c:pt idx="1">
                  <c:v>4.8499999999999996</c:v>
                </c:pt>
                <c:pt idx="2">
                  <c:v>7.4666666666666659</c:v>
                </c:pt>
                <c:pt idx="3">
                  <c:v>7.9249999999999998</c:v>
                </c:pt>
              </c:numCache>
            </c:numRef>
          </c:val>
          <c:smooth val="0"/>
        </c:ser>
        <c:ser>
          <c:idx val="1"/>
          <c:order val="1"/>
          <c:tx>
            <c:strRef>
              <c:f>'Growth Pattern'!$CF$361</c:f>
              <c:strCache>
                <c:ptCount val="1"/>
                <c:pt idx="0">
                  <c:v>CAI</c:v>
                </c:pt>
              </c:strCache>
            </c:strRef>
          </c:tx>
          <c:val>
            <c:numRef>
              <c:f>'Growth Pattern'!$CF$362:$CF$365</c:f>
              <c:numCache>
                <c:formatCode>0.00</c:formatCode>
                <c:ptCount val="4"/>
                <c:pt idx="0">
                  <c:v>0.7</c:v>
                </c:pt>
                <c:pt idx="1">
                  <c:v>9</c:v>
                </c:pt>
                <c:pt idx="2">
                  <c:v>12.7</c:v>
                </c:pt>
                <c:pt idx="3">
                  <c:v>9.3000000000000007</c:v>
                </c:pt>
              </c:numCache>
            </c:numRef>
          </c:val>
          <c:smooth val="0"/>
        </c:ser>
        <c:dLbls>
          <c:showLegendKey val="0"/>
          <c:showVal val="0"/>
          <c:showCatName val="0"/>
          <c:showSerName val="0"/>
          <c:showPercent val="0"/>
          <c:showBubbleSize val="0"/>
        </c:dLbls>
        <c:marker val="1"/>
        <c:smooth val="0"/>
        <c:axId val="119216768"/>
        <c:axId val="119218560"/>
      </c:lineChart>
      <c:catAx>
        <c:axId val="119216768"/>
        <c:scaling>
          <c:orientation val="minMax"/>
        </c:scaling>
        <c:delete val="0"/>
        <c:axPos val="b"/>
        <c:majorTickMark val="out"/>
        <c:minorTickMark val="none"/>
        <c:tickLblPos val="nextTo"/>
        <c:crossAx val="119218560"/>
        <c:crosses val="autoZero"/>
        <c:auto val="1"/>
        <c:lblAlgn val="ctr"/>
        <c:lblOffset val="100"/>
        <c:noMultiLvlLbl val="0"/>
      </c:catAx>
      <c:valAx>
        <c:axId val="119218560"/>
        <c:scaling>
          <c:orientation val="minMax"/>
        </c:scaling>
        <c:delete val="0"/>
        <c:axPos val="l"/>
        <c:majorGridlines/>
        <c:numFmt formatCode="0.00" sourceLinked="1"/>
        <c:majorTickMark val="out"/>
        <c:minorTickMark val="none"/>
        <c:tickLblPos val="nextTo"/>
        <c:crossAx val="119216768"/>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'Growth Pattern'!$CE$105</c:f>
              <c:strCache>
                <c:ptCount val="1"/>
                <c:pt idx="0">
                  <c:v>MAI</c:v>
                </c:pt>
              </c:strCache>
            </c:strRef>
          </c:tx>
          <c:val>
            <c:numRef>
              <c:f>'Growth Pattern'!$CE$106:$CE$110</c:f>
              <c:numCache>
                <c:formatCode>0.00</c:formatCode>
                <c:ptCount val="5"/>
                <c:pt idx="0">
                  <c:v>0.8</c:v>
                </c:pt>
                <c:pt idx="1">
                  <c:v>2.65</c:v>
                </c:pt>
                <c:pt idx="2">
                  <c:v>4.5</c:v>
                </c:pt>
                <c:pt idx="3">
                  <c:v>6.3250000000000002</c:v>
                </c:pt>
                <c:pt idx="4">
                  <c:v>7.8400000000000007</c:v>
                </c:pt>
              </c:numCache>
            </c:numRef>
          </c:val>
          <c:smooth val="0"/>
        </c:ser>
        <c:ser>
          <c:idx val="1"/>
          <c:order val="1"/>
          <c:tx>
            <c:strRef>
              <c:f>'Growth Pattern'!$CF$105</c:f>
              <c:strCache>
                <c:ptCount val="1"/>
                <c:pt idx="0">
                  <c:v>CAI</c:v>
                </c:pt>
              </c:strCache>
            </c:strRef>
          </c:tx>
          <c:val>
            <c:numRef>
              <c:f>'Growth Pattern'!$CF$106:$CF$110</c:f>
              <c:numCache>
                <c:formatCode>0.00</c:formatCode>
                <c:ptCount val="5"/>
                <c:pt idx="0">
                  <c:v>0.8</c:v>
                </c:pt>
                <c:pt idx="1">
                  <c:v>4.5</c:v>
                </c:pt>
                <c:pt idx="2">
                  <c:v>8.1999999999999993</c:v>
                </c:pt>
                <c:pt idx="3">
                  <c:v>11.8</c:v>
                </c:pt>
                <c:pt idx="4">
                  <c:v>13.9</c:v>
                </c:pt>
              </c:numCache>
            </c:numRef>
          </c:val>
          <c:smooth val="0"/>
        </c:ser>
        <c:dLbls>
          <c:showLegendKey val="0"/>
          <c:showVal val="0"/>
          <c:showCatName val="0"/>
          <c:showSerName val="0"/>
          <c:showPercent val="0"/>
          <c:showBubbleSize val="0"/>
        </c:dLbls>
        <c:marker val="1"/>
        <c:smooth val="0"/>
        <c:axId val="92512640"/>
        <c:axId val="92514176"/>
      </c:lineChart>
      <c:catAx>
        <c:axId val="92512640"/>
        <c:scaling>
          <c:orientation val="minMax"/>
        </c:scaling>
        <c:delete val="0"/>
        <c:axPos val="b"/>
        <c:majorTickMark val="out"/>
        <c:minorTickMark val="none"/>
        <c:tickLblPos val="nextTo"/>
        <c:crossAx val="92514176"/>
        <c:crosses val="autoZero"/>
        <c:auto val="1"/>
        <c:lblAlgn val="ctr"/>
        <c:lblOffset val="100"/>
        <c:noMultiLvlLbl val="0"/>
      </c:catAx>
      <c:valAx>
        <c:axId val="92514176"/>
        <c:scaling>
          <c:orientation val="minMax"/>
        </c:scaling>
        <c:delete val="0"/>
        <c:axPos val="l"/>
        <c:majorGridlines/>
        <c:numFmt formatCode="0.00" sourceLinked="1"/>
        <c:majorTickMark val="out"/>
        <c:minorTickMark val="none"/>
        <c:tickLblPos val="nextTo"/>
        <c:crossAx val="92512640"/>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'Growth Pattern'!$CE$366</c:f>
              <c:strCache>
                <c:ptCount val="1"/>
                <c:pt idx="0">
                  <c:v>MAI</c:v>
                </c:pt>
              </c:strCache>
            </c:strRef>
          </c:tx>
          <c:val>
            <c:numRef>
              <c:f>'Growth Pattern'!$CE$367:$CE$370</c:f>
              <c:numCache>
                <c:formatCode>0.00</c:formatCode>
                <c:ptCount val="4"/>
                <c:pt idx="0">
                  <c:v>0.7</c:v>
                </c:pt>
                <c:pt idx="1">
                  <c:v>4.8499999999999996</c:v>
                </c:pt>
                <c:pt idx="2">
                  <c:v>7.7666666666666666</c:v>
                </c:pt>
                <c:pt idx="3">
                  <c:v>8.15</c:v>
                </c:pt>
              </c:numCache>
            </c:numRef>
          </c:val>
          <c:smooth val="0"/>
        </c:ser>
        <c:ser>
          <c:idx val="1"/>
          <c:order val="1"/>
          <c:tx>
            <c:strRef>
              <c:f>'Growth Pattern'!$CF$366</c:f>
              <c:strCache>
                <c:ptCount val="1"/>
                <c:pt idx="0">
                  <c:v>CAI</c:v>
                </c:pt>
              </c:strCache>
            </c:strRef>
          </c:tx>
          <c:val>
            <c:numRef>
              <c:f>'Growth Pattern'!$CF$367:$CF$370</c:f>
              <c:numCache>
                <c:formatCode>0.00</c:formatCode>
                <c:ptCount val="4"/>
                <c:pt idx="0">
                  <c:v>0.7</c:v>
                </c:pt>
                <c:pt idx="1">
                  <c:v>9</c:v>
                </c:pt>
                <c:pt idx="2">
                  <c:v>13.600000000000001</c:v>
                </c:pt>
                <c:pt idx="3">
                  <c:v>9.3000000000000007</c:v>
                </c:pt>
              </c:numCache>
            </c:numRef>
          </c:val>
          <c:smooth val="0"/>
        </c:ser>
        <c:dLbls>
          <c:showLegendKey val="0"/>
          <c:showVal val="0"/>
          <c:showCatName val="0"/>
          <c:showSerName val="0"/>
          <c:showPercent val="0"/>
          <c:showBubbleSize val="0"/>
        </c:dLbls>
        <c:marker val="1"/>
        <c:smooth val="0"/>
        <c:axId val="119251712"/>
        <c:axId val="119253248"/>
      </c:lineChart>
      <c:catAx>
        <c:axId val="119251712"/>
        <c:scaling>
          <c:orientation val="minMax"/>
        </c:scaling>
        <c:delete val="0"/>
        <c:axPos val="b"/>
        <c:majorTickMark val="out"/>
        <c:minorTickMark val="none"/>
        <c:tickLblPos val="nextTo"/>
        <c:crossAx val="119253248"/>
        <c:crosses val="autoZero"/>
        <c:auto val="1"/>
        <c:lblAlgn val="ctr"/>
        <c:lblOffset val="100"/>
        <c:noMultiLvlLbl val="0"/>
      </c:catAx>
      <c:valAx>
        <c:axId val="119253248"/>
        <c:scaling>
          <c:orientation val="minMax"/>
        </c:scaling>
        <c:delete val="0"/>
        <c:axPos val="l"/>
        <c:majorGridlines/>
        <c:numFmt formatCode="0.00" sourceLinked="1"/>
        <c:majorTickMark val="out"/>
        <c:minorTickMark val="none"/>
        <c:tickLblPos val="nextTo"/>
        <c:crossAx val="119251712"/>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'Growth Pattern'!$CE$371</c:f>
              <c:strCache>
                <c:ptCount val="1"/>
                <c:pt idx="0">
                  <c:v>MAI</c:v>
                </c:pt>
              </c:strCache>
            </c:strRef>
          </c:tx>
          <c:val>
            <c:numRef>
              <c:f>'Growth Pattern'!$CE$372:$CE$375</c:f>
              <c:numCache>
                <c:formatCode>0.00</c:formatCode>
                <c:ptCount val="4"/>
                <c:pt idx="0">
                  <c:v>0.5</c:v>
                </c:pt>
                <c:pt idx="1">
                  <c:v>3.55</c:v>
                </c:pt>
                <c:pt idx="2">
                  <c:v>5.8666666666666671</c:v>
                </c:pt>
                <c:pt idx="3">
                  <c:v>6.5250000000000004</c:v>
                </c:pt>
              </c:numCache>
            </c:numRef>
          </c:val>
          <c:smooth val="0"/>
        </c:ser>
        <c:ser>
          <c:idx val="1"/>
          <c:order val="1"/>
          <c:tx>
            <c:strRef>
              <c:f>'Growth Pattern'!$CF$371</c:f>
              <c:strCache>
                <c:ptCount val="1"/>
                <c:pt idx="0">
                  <c:v>CAI</c:v>
                </c:pt>
              </c:strCache>
            </c:strRef>
          </c:tx>
          <c:val>
            <c:numRef>
              <c:f>'Growth Pattern'!$CF$372:$CF$375</c:f>
              <c:numCache>
                <c:formatCode>0.00</c:formatCode>
                <c:ptCount val="4"/>
                <c:pt idx="0">
                  <c:v>0.5</c:v>
                </c:pt>
                <c:pt idx="1">
                  <c:v>6.6</c:v>
                </c:pt>
                <c:pt idx="2">
                  <c:v>10.500000000000002</c:v>
                </c:pt>
                <c:pt idx="3">
                  <c:v>8.5</c:v>
                </c:pt>
              </c:numCache>
            </c:numRef>
          </c:val>
          <c:smooth val="0"/>
        </c:ser>
        <c:dLbls>
          <c:showLegendKey val="0"/>
          <c:showVal val="0"/>
          <c:showCatName val="0"/>
          <c:showSerName val="0"/>
          <c:showPercent val="0"/>
          <c:showBubbleSize val="0"/>
        </c:dLbls>
        <c:marker val="1"/>
        <c:smooth val="0"/>
        <c:axId val="119270016"/>
        <c:axId val="119271808"/>
      </c:lineChart>
      <c:catAx>
        <c:axId val="119270016"/>
        <c:scaling>
          <c:orientation val="minMax"/>
        </c:scaling>
        <c:delete val="0"/>
        <c:axPos val="b"/>
        <c:majorTickMark val="out"/>
        <c:minorTickMark val="none"/>
        <c:tickLblPos val="nextTo"/>
        <c:crossAx val="119271808"/>
        <c:crosses val="autoZero"/>
        <c:auto val="1"/>
        <c:lblAlgn val="ctr"/>
        <c:lblOffset val="100"/>
        <c:noMultiLvlLbl val="0"/>
      </c:catAx>
      <c:valAx>
        <c:axId val="119271808"/>
        <c:scaling>
          <c:orientation val="minMax"/>
        </c:scaling>
        <c:delete val="0"/>
        <c:axPos val="l"/>
        <c:majorGridlines/>
        <c:numFmt formatCode="0.00" sourceLinked="1"/>
        <c:majorTickMark val="out"/>
        <c:minorTickMark val="none"/>
        <c:tickLblPos val="nextTo"/>
        <c:crossAx val="119270016"/>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'Growth Pattern'!$CE$376</c:f>
              <c:strCache>
                <c:ptCount val="1"/>
                <c:pt idx="0">
                  <c:v>MAI</c:v>
                </c:pt>
              </c:strCache>
            </c:strRef>
          </c:tx>
          <c:val>
            <c:numRef>
              <c:f>'Growth Pattern'!$CE$377:$CE$380</c:f>
              <c:numCache>
                <c:formatCode>0.00</c:formatCode>
                <c:ptCount val="4"/>
                <c:pt idx="0">
                  <c:v>1</c:v>
                </c:pt>
                <c:pt idx="1">
                  <c:v>5.15</c:v>
                </c:pt>
                <c:pt idx="2">
                  <c:v>6.7666666666666666</c:v>
                </c:pt>
                <c:pt idx="3">
                  <c:v>8.375</c:v>
                </c:pt>
              </c:numCache>
            </c:numRef>
          </c:val>
          <c:smooth val="0"/>
        </c:ser>
        <c:ser>
          <c:idx val="1"/>
          <c:order val="1"/>
          <c:tx>
            <c:strRef>
              <c:f>'Growth Pattern'!$CF$376</c:f>
              <c:strCache>
                <c:ptCount val="1"/>
                <c:pt idx="0">
                  <c:v>CAI</c:v>
                </c:pt>
              </c:strCache>
            </c:strRef>
          </c:tx>
          <c:val>
            <c:numRef>
              <c:f>'Growth Pattern'!$CF$377:$CF$380</c:f>
              <c:numCache>
                <c:formatCode>0.00</c:formatCode>
                <c:ptCount val="4"/>
                <c:pt idx="0">
                  <c:v>1</c:v>
                </c:pt>
                <c:pt idx="1">
                  <c:v>9.3000000000000007</c:v>
                </c:pt>
                <c:pt idx="2">
                  <c:v>10</c:v>
                </c:pt>
                <c:pt idx="3">
                  <c:v>13.2</c:v>
                </c:pt>
              </c:numCache>
            </c:numRef>
          </c:val>
          <c:smooth val="0"/>
        </c:ser>
        <c:dLbls>
          <c:showLegendKey val="0"/>
          <c:showVal val="0"/>
          <c:showCatName val="0"/>
          <c:showSerName val="0"/>
          <c:showPercent val="0"/>
          <c:showBubbleSize val="0"/>
        </c:dLbls>
        <c:marker val="1"/>
        <c:smooth val="0"/>
        <c:axId val="119345920"/>
        <c:axId val="119347456"/>
      </c:lineChart>
      <c:catAx>
        <c:axId val="119345920"/>
        <c:scaling>
          <c:orientation val="minMax"/>
        </c:scaling>
        <c:delete val="0"/>
        <c:axPos val="b"/>
        <c:majorTickMark val="out"/>
        <c:minorTickMark val="none"/>
        <c:tickLblPos val="nextTo"/>
        <c:crossAx val="119347456"/>
        <c:crosses val="autoZero"/>
        <c:auto val="1"/>
        <c:lblAlgn val="ctr"/>
        <c:lblOffset val="100"/>
        <c:noMultiLvlLbl val="0"/>
      </c:catAx>
      <c:valAx>
        <c:axId val="119347456"/>
        <c:scaling>
          <c:orientation val="minMax"/>
        </c:scaling>
        <c:delete val="0"/>
        <c:axPos val="l"/>
        <c:majorGridlines/>
        <c:numFmt formatCode="0.00" sourceLinked="1"/>
        <c:majorTickMark val="out"/>
        <c:minorTickMark val="none"/>
        <c:tickLblPos val="nextTo"/>
        <c:crossAx val="119345920"/>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'Growth Pattern'!$CE$381</c:f>
              <c:strCache>
                <c:ptCount val="1"/>
                <c:pt idx="0">
                  <c:v>MAI</c:v>
                </c:pt>
              </c:strCache>
            </c:strRef>
          </c:tx>
          <c:val>
            <c:numRef>
              <c:f>'Growth Pattern'!$CE$382:$CE$385</c:f>
              <c:numCache>
                <c:formatCode>0.00</c:formatCode>
                <c:ptCount val="4"/>
                <c:pt idx="0">
                  <c:v>0.9</c:v>
                </c:pt>
                <c:pt idx="1">
                  <c:v>4.5</c:v>
                </c:pt>
                <c:pt idx="2">
                  <c:v>7</c:v>
                </c:pt>
                <c:pt idx="3">
                  <c:v>8.3249999999999993</c:v>
                </c:pt>
              </c:numCache>
            </c:numRef>
          </c:val>
          <c:smooth val="0"/>
        </c:ser>
        <c:ser>
          <c:idx val="1"/>
          <c:order val="1"/>
          <c:tx>
            <c:strRef>
              <c:f>'Growth Pattern'!$CF$381</c:f>
              <c:strCache>
                <c:ptCount val="1"/>
                <c:pt idx="0">
                  <c:v>CAI</c:v>
                </c:pt>
              </c:strCache>
            </c:strRef>
          </c:tx>
          <c:val>
            <c:numRef>
              <c:f>'Growth Pattern'!$CF$382:$CF$385</c:f>
              <c:numCache>
                <c:formatCode>0.00</c:formatCode>
                <c:ptCount val="4"/>
                <c:pt idx="0">
                  <c:v>0.9</c:v>
                </c:pt>
                <c:pt idx="1">
                  <c:v>8.1</c:v>
                </c:pt>
                <c:pt idx="2">
                  <c:v>12</c:v>
                </c:pt>
                <c:pt idx="3">
                  <c:v>12.299999999999997</c:v>
                </c:pt>
              </c:numCache>
            </c:numRef>
          </c:val>
          <c:smooth val="0"/>
        </c:ser>
        <c:dLbls>
          <c:showLegendKey val="0"/>
          <c:showVal val="0"/>
          <c:showCatName val="0"/>
          <c:showSerName val="0"/>
          <c:showPercent val="0"/>
          <c:showBubbleSize val="0"/>
        </c:dLbls>
        <c:marker val="1"/>
        <c:smooth val="0"/>
        <c:axId val="119367936"/>
        <c:axId val="119398400"/>
      </c:lineChart>
      <c:catAx>
        <c:axId val="119367936"/>
        <c:scaling>
          <c:orientation val="minMax"/>
        </c:scaling>
        <c:delete val="0"/>
        <c:axPos val="b"/>
        <c:majorTickMark val="out"/>
        <c:minorTickMark val="none"/>
        <c:tickLblPos val="nextTo"/>
        <c:crossAx val="119398400"/>
        <c:crosses val="autoZero"/>
        <c:auto val="1"/>
        <c:lblAlgn val="ctr"/>
        <c:lblOffset val="100"/>
        <c:noMultiLvlLbl val="0"/>
      </c:catAx>
      <c:valAx>
        <c:axId val="119398400"/>
        <c:scaling>
          <c:orientation val="minMax"/>
        </c:scaling>
        <c:delete val="0"/>
        <c:axPos val="l"/>
        <c:majorGridlines/>
        <c:numFmt formatCode="0.00" sourceLinked="1"/>
        <c:majorTickMark val="out"/>
        <c:minorTickMark val="none"/>
        <c:tickLblPos val="nextTo"/>
        <c:crossAx val="119367936"/>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'Growth Pattern'!$CE$386</c:f>
              <c:strCache>
                <c:ptCount val="1"/>
                <c:pt idx="0">
                  <c:v>MAI</c:v>
                </c:pt>
              </c:strCache>
            </c:strRef>
          </c:tx>
          <c:val>
            <c:numRef>
              <c:f>'Growth Pattern'!$CE$387:$CE$390</c:f>
              <c:numCache>
                <c:formatCode>0.00</c:formatCode>
                <c:ptCount val="4"/>
                <c:pt idx="0">
                  <c:v>0.9</c:v>
                </c:pt>
                <c:pt idx="1">
                  <c:v>6.15</c:v>
                </c:pt>
                <c:pt idx="2">
                  <c:v>9.0333333333333332</c:v>
                </c:pt>
                <c:pt idx="3">
                  <c:v>10.1</c:v>
                </c:pt>
              </c:numCache>
            </c:numRef>
          </c:val>
          <c:smooth val="0"/>
        </c:ser>
        <c:ser>
          <c:idx val="1"/>
          <c:order val="1"/>
          <c:tx>
            <c:strRef>
              <c:f>'Growth Pattern'!$CF$386</c:f>
              <c:strCache>
                <c:ptCount val="1"/>
                <c:pt idx="0">
                  <c:v>CAI</c:v>
                </c:pt>
              </c:strCache>
            </c:strRef>
          </c:tx>
          <c:val>
            <c:numRef>
              <c:f>'Growth Pattern'!$CF$387:$CF$390</c:f>
              <c:numCache>
                <c:formatCode>0.00</c:formatCode>
                <c:ptCount val="4"/>
                <c:pt idx="0">
                  <c:v>0.9</c:v>
                </c:pt>
                <c:pt idx="1">
                  <c:v>11.4</c:v>
                </c:pt>
                <c:pt idx="2">
                  <c:v>14.8</c:v>
                </c:pt>
                <c:pt idx="3">
                  <c:v>13.299999999999997</c:v>
                </c:pt>
              </c:numCache>
            </c:numRef>
          </c:val>
          <c:smooth val="0"/>
        </c:ser>
        <c:dLbls>
          <c:showLegendKey val="0"/>
          <c:showVal val="0"/>
          <c:showCatName val="0"/>
          <c:showSerName val="0"/>
          <c:showPercent val="0"/>
          <c:showBubbleSize val="0"/>
        </c:dLbls>
        <c:marker val="1"/>
        <c:smooth val="0"/>
        <c:axId val="119816576"/>
        <c:axId val="119818112"/>
      </c:lineChart>
      <c:catAx>
        <c:axId val="119816576"/>
        <c:scaling>
          <c:orientation val="minMax"/>
        </c:scaling>
        <c:delete val="0"/>
        <c:axPos val="b"/>
        <c:majorTickMark val="out"/>
        <c:minorTickMark val="none"/>
        <c:tickLblPos val="nextTo"/>
        <c:crossAx val="119818112"/>
        <c:crosses val="autoZero"/>
        <c:auto val="1"/>
        <c:lblAlgn val="ctr"/>
        <c:lblOffset val="100"/>
        <c:noMultiLvlLbl val="0"/>
      </c:catAx>
      <c:valAx>
        <c:axId val="119818112"/>
        <c:scaling>
          <c:orientation val="minMax"/>
        </c:scaling>
        <c:delete val="0"/>
        <c:axPos val="l"/>
        <c:majorGridlines/>
        <c:numFmt formatCode="0.00" sourceLinked="1"/>
        <c:majorTickMark val="out"/>
        <c:minorTickMark val="none"/>
        <c:tickLblPos val="nextTo"/>
        <c:crossAx val="119816576"/>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'Growth Pattern'!$CE$391</c:f>
              <c:strCache>
                <c:ptCount val="1"/>
                <c:pt idx="0">
                  <c:v>MAI</c:v>
                </c:pt>
              </c:strCache>
            </c:strRef>
          </c:tx>
          <c:val>
            <c:numRef>
              <c:f>'Growth Pattern'!$CE$392:$CE$395</c:f>
              <c:numCache>
                <c:formatCode>0.00</c:formatCode>
                <c:ptCount val="4"/>
                <c:pt idx="0">
                  <c:v>1</c:v>
                </c:pt>
                <c:pt idx="1">
                  <c:v>6.35</c:v>
                </c:pt>
                <c:pt idx="2">
                  <c:v>9.0333333333333332</c:v>
                </c:pt>
                <c:pt idx="3">
                  <c:v>10.525</c:v>
                </c:pt>
              </c:numCache>
            </c:numRef>
          </c:val>
          <c:smooth val="0"/>
        </c:ser>
        <c:ser>
          <c:idx val="1"/>
          <c:order val="1"/>
          <c:tx>
            <c:strRef>
              <c:f>'Growth Pattern'!$CF$391</c:f>
              <c:strCache>
                <c:ptCount val="1"/>
                <c:pt idx="0">
                  <c:v>CAI</c:v>
                </c:pt>
              </c:strCache>
            </c:strRef>
          </c:tx>
          <c:val>
            <c:numRef>
              <c:f>'Growth Pattern'!$CF$392:$CF$395</c:f>
              <c:numCache>
                <c:formatCode>0.00</c:formatCode>
                <c:ptCount val="4"/>
                <c:pt idx="0">
                  <c:v>1</c:v>
                </c:pt>
                <c:pt idx="1">
                  <c:v>11.7</c:v>
                </c:pt>
                <c:pt idx="2">
                  <c:v>14.400000000000002</c:v>
                </c:pt>
                <c:pt idx="3">
                  <c:v>15</c:v>
                </c:pt>
              </c:numCache>
            </c:numRef>
          </c:val>
          <c:smooth val="0"/>
        </c:ser>
        <c:dLbls>
          <c:showLegendKey val="0"/>
          <c:showVal val="0"/>
          <c:showCatName val="0"/>
          <c:showSerName val="0"/>
          <c:showPercent val="0"/>
          <c:showBubbleSize val="0"/>
        </c:dLbls>
        <c:marker val="1"/>
        <c:smooth val="0"/>
        <c:axId val="119851264"/>
        <c:axId val="119861248"/>
      </c:lineChart>
      <c:catAx>
        <c:axId val="119851264"/>
        <c:scaling>
          <c:orientation val="minMax"/>
        </c:scaling>
        <c:delete val="0"/>
        <c:axPos val="b"/>
        <c:majorTickMark val="out"/>
        <c:minorTickMark val="none"/>
        <c:tickLblPos val="nextTo"/>
        <c:crossAx val="119861248"/>
        <c:crosses val="autoZero"/>
        <c:auto val="1"/>
        <c:lblAlgn val="ctr"/>
        <c:lblOffset val="100"/>
        <c:noMultiLvlLbl val="0"/>
      </c:catAx>
      <c:valAx>
        <c:axId val="119861248"/>
        <c:scaling>
          <c:orientation val="minMax"/>
        </c:scaling>
        <c:delete val="0"/>
        <c:axPos val="l"/>
        <c:majorGridlines/>
        <c:numFmt formatCode="0.00" sourceLinked="1"/>
        <c:majorTickMark val="out"/>
        <c:minorTickMark val="none"/>
        <c:tickLblPos val="nextTo"/>
        <c:crossAx val="119851264"/>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'Growth Pattern'!$CE$396</c:f>
              <c:strCache>
                <c:ptCount val="1"/>
                <c:pt idx="0">
                  <c:v>MAI</c:v>
                </c:pt>
              </c:strCache>
            </c:strRef>
          </c:tx>
          <c:val>
            <c:numRef>
              <c:f>'Growth Pattern'!$CE$397:$CE$400</c:f>
              <c:numCache>
                <c:formatCode>0.00</c:formatCode>
                <c:ptCount val="4"/>
                <c:pt idx="0">
                  <c:v>6.2</c:v>
                </c:pt>
                <c:pt idx="1">
                  <c:v>9.5</c:v>
                </c:pt>
                <c:pt idx="2">
                  <c:v>10.266666666666667</c:v>
                </c:pt>
                <c:pt idx="3">
                  <c:v>8.8249999999999993</c:v>
                </c:pt>
              </c:numCache>
            </c:numRef>
          </c:val>
          <c:smooth val="0"/>
        </c:ser>
        <c:ser>
          <c:idx val="1"/>
          <c:order val="1"/>
          <c:tx>
            <c:strRef>
              <c:f>'Growth Pattern'!$CF$396</c:f>
              <c:strCache>
                <c:ptCount val="1"/>
                <c:pt idx="0">
                  <c:v>CAI</c:v>
                </c:pt>
              </c:strCache>
            </c:strRef>
          </c:tx>
          <c:val>
            <c:numRef>
              <c:f>'Growth Pattern'!$CF$397:$CF$400</c:f>
              <c:numCache>
                <c:formatCode>0.00</c:formatCode>
                <c:ptCount val="4"/>
                <c:pt idx="0">
                  <c:v>6.2</c:v>
                </c:pt>
                <c:pt idx="1">
                  <c:v>12.8</c:v>
                </c:pt>
                <c:pt idx="2">
                  <c:v>11.8</c:v>
                </c:pt>
                <c:pt idx="3">
                  <c:v>4.4999999999999964</c:v>
                </c:pt>
              </c:numCache>
            </c:numRef>
          </c:val>
          <c:smooth val="0"/>
        </c:ser>
        <c:dLbls>
          <c:showLegendKey val="0"/>
          <c:showVal val="0"/>
          <c:showCatName val="0"/>
          <c:showSerName val="0"/>
          <c:showPercent val="0"/>
          <c:showBubbleSize val="0"/>
        </c:dLbls>
        <c:marker val="1"/>
        <c:smooth val="0"/>
        <c:axId val="119882112"/>
        <c:axId val="119883648"/>
      </c:lineChart>
      <c:catAx>
        <c:axId val="119882112"/>
        <c:scaling>
          <c:orientation val="minMax"/>
        </c:scaling>
        <c:delete val="0"/>
        <c:axPos val="b"/>
        <c:majorTickMark val="out"/>
        <c:minorTickMark val="none"/>
        <c:tickLblPos val="nextTo"/>
        <c:crossAx val="119883648"/>
        <c:crosses val="autoZero"/>
        <c:auto val="1"/>
        <c:lblAlgn val="ctr"/>
        <c:lblOffset val="100"/>
        <c:noMultiLvlLbl val="0"/>
      </c:catAx>
      <c:valAx>
        <c:axId val="119883648"/>
        <c:scaling>
          <c:orientation val="minMax"/>
        </c:scaling>
        <c:delete val="0"/>
        <c:axPos val="l"/>
        <c:majorGridlines/>
        <c:numFmt formatCode="0.00" sourceLinked="1"/>
        <c:majorTickMark val="out"/>
        <c:minorTickMark val="none"/>
        <c:tickLblPos val="nextTo"/>
        <c:crossAx val="119882112"/>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'Growth Pattern'!$CE$401</c:f>
              <c:strCache>
                <c:ptCount val="1"/>
                <c:pt idx="0">
                  <c:v>MAI</c:v>
                </c:pt>
              </c:strCache>
            </c:strRef>
          </c:tx>
          <c:val>
            <c:numRef>
              <c:f>'Growth Pattern'!$CE$402:$CE$405</c:f>
              <c:numCache>
                <c:formatCode>0.00</c:formatCode>
                <c:ptCount val="4"/>
                <c:pt idx="0">
                  <c:v>6.8</c:v>
                </c:pt>
                <c:pt idx="1">
                  <c:v>9.25</c:v>
                </c:pt>
                <c:pt idx="2">
                  <c:v>9.9666666666666668</c:v>
                </c:pt>
                <c:pt idx="3">
                  <c:v>9.2249999999999996</c:v>
                </c:pt>
              </c:numCache>
            </c:numRef>
          </c:val>
          <c:smooth val="0"/>
        </c:ser>
        <c:ser>
          <c:idx val="1"/>
          <c:order val="1"/>
          <c:tx>
            <c:strRef>
              <c:f>'Growth Pattern'!$CF$401</c:f>
              <c:strCache>
                <c:ptCount val="1"/>
                <c:pt idx="0">
                  <c:v>CAI</c:v>
                </c:pt>
              </c:strCache>
            </c:strRef>
          </c:tx>
          <c:val>
            <c:numRef>
              <c:f>'Growth Pattern'!$CF$402:$CF$405</c:f>
              <c:numCache>
                <c:formatCode>0.00</c:formatCode>
                <c:ptCount val="4"/>
                <c:pt idx="0">
                  <c:v>6.8</c:v>
                </c:pt>
                <c:pt idx="1">
                  <c:v>11.7</c:v>
                </c:pt>
                <c:pt idx="2">
                  <c:v>11.399999999999999</c:v>
                </c:pt>
                <c:pt idx="3">
                  <c:v>7</c:v>
                </c:pt>
              </c:numCache>
            </c:numRef>
          </c:val>
          <c:smooth val="0"/>
        </c:ser>
        <c:dLbls>
          <c:showLegendKey val="0"/>
          <c:showVal val="0"/>
          <c:showCatName val="0"/>
          <c:showSerName val="0"/>
          <c:showPercent val="0"/>
          <c:showBubbleSize val="0"/>
        </c:dLbls>
        <c:marker val="1"/>
        <c:smooth val="0"/>
        <c:axId val="119900032"/>
        <c:axId val="119901568"/>
      </c:lineChart>
      <c:catAx>
        <c:axId val="119900032"/>
        <c:scaling>
          <c:orientation val="minMax"/>
        </c:scaling>
        <c:delete val="0"/>
        <c:axPos val="b"/>
        <c:majorTickMark val="out"/>
        <c:minorTickMark val="none"/>
        <c:tickLblPos val="nextTo"/>
        <c:crossAx val="119901568"/>
        <c:crosses val="autoZero"/>
        <c:auto val="1"/>
        <c:lblAlgn val="ctr"/>
        <c:lblOffset val="100"/>
        <c:noMultiLvlLbl val="0"/>
      </c:catAx>
      <c:valAx>
        <c:axId val="119901568"/>
        <c:scaling>
          <c:orientation val="minMax"/>
        </c:scaling>
        <c:delete val="0"/>
        <c:axPos val="l"/>
        <c:majorGridlines/>
        <c:numFmt formatCode="0.00" sourceLinked="1"/>
        <c:majorTickMark val="out"/>
        <c:minorTickMark val="none"/>
        <c:tickLblPos val="nextTo"/>
        <c:crossAx val="119900032"/>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'Growth Pattern'!$CE$406</c:f>
              <c:strCache>
                <c:ptCount val="1"/>
                <c:pt idx="0">
                  <c:v>MAI</c:v>
                </c:pt>
              </c:strCache>
            </c:strRef>
          </c:tx>
          <c:val>
            <c:numRef>
              <c:f>'Growth Pattern'!$CE$407:$CE$410</c:f>
              <c:numCache>
                <c:formatCode>0.00</c:formatCode>
                <c:ptCount val="4"/>
                <c:pt idx="0">
                  <c:v>4.8</c:v>
                </c:pt>
                <c:pt idx="1">
                  <c:v>9.5</c:v>
                </c:pt>
                <c:pt idx="2">
                  <c:v>12.933333333333332</c:v>
                </c:pt>
                <c:pt idx="3">
                  <c:v>10.35</c:v>
                </c:pt>
              </c:numCache>
            </c:numRef>
          </c:val>
          <c:smooth val="0"/>
        </c:ser>
        <c:ser>
          <c:idx val="1"/>
          <c:order val="1"/>
          <c:tx>
            <c:strRef>
              <c:f>'Growth Pattern'!$CF$406</c:f>
              <c:strCache>
                <c:ptCount val="1"/>
                <c:pt idx="0">
                  <c:v>CAI</c:v>
                </c:pt>
              </c:strCache>
            </c:strRef>
          </c:tx>
          <c:val>
            <c:numRef>
              <c:f>'Growth Pattern'!$CF$407:$CF$410</c:f>
              <c:numCache>
                <c:formatCode>0.00</c:formatCode>
                <c:ptCount val="4"/>
                <c:pt idx="0">
                  <c:v>4.8</c:v>
                </c:pt>
                <c:pt idx="1">
                  <c:v>14.2</c:v>
                </c:pt>
                <c:pt idx="2">
                  <c:v>19.799999999999997</c:v>
                </c:pt>
                <c:pt idx="3">
                  <c:v>2.6000000000000014</c:v>
                </c:pt>
              </c:numCache>
            </c:numRef>
          </c:val>
          <c:smooth val="0"/>
        </c:ser>
        <c:dLbls>
          <c:showLegendKey val="0"/>
          <c:showVal val="0"/>
          <c:showCatName val="0"/>
          <c:showSerName val="0"/>
          <c:showPercent val="0"/>
          <c:showBubbleSize val="0"/>
        </c:dLbls>
        <c:marker val="1"/>
        <c:smooth val="0"/>
        <c:axId val="119943168"/>
        <c:axId val="119944704"/>
      </c:lineChart>
      <c:catAx>
        <c:axId val="119943168"/>
        <c:scaling>
          <c:orientation val="minMax"/>
        </c:scaling>
        <c:delete val="0"/>
        <c:axPos val="b"/>
        <c:majorTickMark val="out"/>
        <c:minorTickMark val="none"/>
        <c:tickLblPos val="nextTo"/>
        <c:crossAx val="119944704"/>
        <c:crosses val="autoZero"/>
        <c:auto val="1"/>
        <c:lblAlgn val="ctr"/>
        <c:lblOffset val="100"/>
        <c:noMultiLvlLbl val="0"/>
      </c:catAx>
      <c:valAx>
        <c:axId val="119944704"/>
        <c:scaling>
          <c:orientation val="minMax"/>
        </c:scaling>
        <c:delete val="0"/>
        <c:axPos val="l"/>
        <c:majorGridlines/>
        <c:numFmt formatCode="0.00" sourceLinked="1"/>
        <c:majorTickMark val="out"/>
        <c:minorTickMark val="none"/>
        <c:tickLblPos val="nextTo"/>
        <c:crossAx val="119943168"/>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'Growth Pattern'!$CE$411</c:f>
              <c:strCache>
                <c:ptCount val="1"/>
                <c:pt idx="0">
                  <c:v>MAI</c:v>
                </c:pt>
              </c:strCache>
            </c:strRef>
          </c:tx>
          <c:val>
            <c:numRef>
              <c:f>'Growth Pattern'!$CE$412:$CE$415</c:f>
              <c:numCache>
                <c:formatCode>0.00</c:formatCode>
                <c:ptCount val="4"/>
                <c:pt idx="0">
                  <c:v>5</c:v>
                </c:pt>
                <c:pt idx="1">
                  <c:v>10.8</c:v>
                </c:pt>
                <c:pt idx="2">
                  <c:v>11.4</c:v>
                </c:pt>
                <c:pt idx="3">
                  <c:v>10.875</c:v>
                </c:pt>
              </c:numCache>
            </c:numRef>
          </c:val>
          <c:smooth val="0"/>
        </c:ser>
        <c:ser>
          <c:idx val="1"/>
          <c:order val="1"/>
          <c:tx>
            <c:strRef>
              <c:f>'Growth Pattern'!$CF$411</c:f>
              <c:strCache>
                <c:ptCount val="1"/>
                <c:pt idx="0">
                  <c:v>CAI</c:v>
                </c:pt>
              </c:strCache>
            </c:strRef>
          </c:tx>
          <c:val>
            <c:numRef>
              <c:f>'Growth Pattern'!$CF$412:$CF$415</c:f>
              <c:numCache>
                <c:formatCode>0.00</c:formatCode>
                <c:ptCount val="4"/>
                <c:pt idx="0">
                  <c:v>5</c:v>
                </c:pt>
                <c:pt idx="1">
                  <c:v>16.600000000000001</c:v>
                </c:pt>
                <c:pt idx="2">
                  <c:v>12.600000000000001</c:v>
                </c:pt>
                <c:pt idx="3">
                  <c:v>9.2999999999999972</c:v>
                </c:pt>
              </c:numCache>
            </c:numRef>
          </c:val>
          <c:smooth val="0"/>
        </c:ser>
        <c:dLbls>
          <c:showLegendKey val="0"/>
          <c:showVal val="0"/>
          <c:showCatName val="0"/>
          <c:showSerName val="0"/>
          <c:showPercent val="0"/>
          <c:showBubbleSize val="0"/>
        </c:dLbls>
        <c:marker val="1"/>
        <c:smooth val="0"/>
        <c:axId val="119969664"/>
        <c:axId val="119971200"/>
      </c:lineChart>
      <c:catAx>
        <c:axId val="119969664"/>
        <c:scaling>
          <c:orientation val="minMax"/>
        </c:scaling>
        <c:delete val="0"/>
        <c:axPos val="b"/>
        <c:majorTickMark val="out"/>
        <c:minorTickMark val="none"/>
        <c:tickLblPos val="nextTo"/>
        <c:crossAx val="119971200"/>
        <c:crosses val="autoZero"/>
        <c:auto val="1"/>
        <c:lblAlgn val="ctr"/>
        <c:lblOffset val="100"/>
        <c:noMultiLvlLbl val="0"/>
      </c:catAx>
      <c:valAx>
        <c:axId val="119971200"/>
        <c:scaling>
          <c:orientation val="minMax"/>
        </c:scaling>
        <c:delete val="0"/>
        <c:axPos val="l"/>
        <c:majorGridlines/>
        <c:numFmt formatCode="0.00" sourceLinked="1"/>
        <c:majorTickMark val="out"/>
        <c:minorTickMark val="none"/>
        <c:tickLblPos val="nextTo"/>
        <c:crossAx val="119969664"/>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'Growth Pattern'!$CE$111</c:f>
              <c:strCache>
                <c:ptCount val="1"/>
                <c:pt idx="0">
                  <c:v>MAI</c:v>
                </c:pt>
              </c:strCache>
            </c:strRef>
          </c:tx>
          <c:val>
            <c:numRef>
              <c:f>'Growth Pattern'!$CE$112:$CE$116</c:f>
              <c:numCache>
                <c:formatCode>0.00</c:formatCode>
                <c:ptCount val="5"/>
                <c:pt idx="0">
                  <c:v>0.8</c:v>
                </c:pt>
                <c:pt idx="1">
                  <c:v>3.35</c:v>
                </c:pt>
                <c:pt idx="2">
                  <c:v>5.2666666666666666</c:v>
                </c:pt>
                <c:pt idx="3">
                  <c:v>7.0250000000000004</c:v>
                </c:pt>
                <c:pt idx="4">
                  <c:v>8.3000000000000007</c:v>
                </c:pt>
              </c:numCache>
            </c:numRef>
          </c:val>
          <c:smooth val="0"/>
        </c:ser>
        <c:ser>
          <c:idx val="1"/>
          <c:order val="1"/>
          <c:tx>
            <c:strRef>
              <c:f>'Growth Pattern'!$CF$111</c:f>
              <c:strCache>
                <c:ptCount val="1"/>
                <c:pt idx="0">
                  <c:v>CAI</c:v>
                </c:pt>
              </c:strCache>
            </c:strRef>
          </c:tx>
          <c:val>
            <c:numRef>
              <c:f>'Growth Pattern'!$CF$112:$CF$116</c:f>
              <c:numCache>
                <c:formatCode>0.00</c:formatCode>
                <c:ptCount val="5"/>
                <c:pt idx="0">
                  <c:v>0.8</c:v>
                </c:pt>
                <c:pt idx="1">
                  <c:v>5.9</c:v>
                </c:pt>
                <c:pt idx="2">
                  <c:v>9.1</c:v>
                </c:pt>
                <c:pt idx="3">
                  <c:v>12.3</c:v>
                </c:pt>
                <c:pt idx="4">
                  <c:v>13.4</c:v>
                </c:pt>
              </c:numCache>
            </c:numRef>
          </c:val>
          <c:smooth val="0"/>
        </c:ser>
        <c:dLbls>
          <c:showLegendKey val="0"/>
          <c:showVal val="0"/>
          <c:showCatName val="0"/>
          <c:showSerName val="0"/>
          <c:showPercent val="0"/>
          <c:showBubbleSize val="0"/>
        </c:dLbls>
        <c:marker val="1"/>
        <c:smooth val="0"/>
        <c:axId val="90972160"/>
        <c:axId val="90973696"/>
      </c:lineChart>
      <c:catAx>
        <c:axId val="90972160"/>
        <c:scaling>
          <c:orientation val="minMax"/>
        </c:scaling>
        <c:delete val="0"/>
        <c:axPos val="b"/>
        <c:majorTickMark val="out"/>
        <c:minorTickMark val="none"/>
        <c:tickLblPos val="nextTo"/>
        <c:crossAx val="90973696"/>
        <c:crosses val="autoZero"/>
        <c:auto val="1"/>
        <c:lblAlgn val="ctr"/>
        <c:lblOffset val="100"/>
        <c:noMultiLvlLbl val="0"/>
      </c:catAx>
      <c:valAx>
        <c:axId val="90973696"/>
        <c:scaling>
          <c:orientation val="minMax"/>
        </c:scaling>
        <c:delete val="0"/>
        <c:axPos val="l"/>
        <c:majorGridlines/>
        <c:numFmt formatCode="0.00" sourceLinked="1"/>
        <c:majorTickMark val="out"/>
        <c:minorTickMark val="none"/>
        <c:tickLblPos val="nextTo"/>
        <c:crossAx val="90972160"/>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'Growth Pattern'!$CE$418</c:f>
              <c:strCache>
                <c:ptCount val="1"/>
                <c:pt idx="0">
                  <c:v>MAI</c:v>
                </c:pt>
              </c:strCache>
            </c:strRef>
          </c:tx>
          <c:val>
            <c:numRef>
              <c:f>'Growth Pattern'!$CE$419:$CE$422</c:f>
              <c:numCache>
                <c:formatCode>0.00</c:formatCode>
                <c:ptCount val="4"/>
                <c:pt idx="1">
                  <c:v>10.5</c:v>
                </c:pt>
                <c:pt idx="2">
                  <c:v>12.5</c:v>
                </c:pt>
                <c:pt idx="3">
                  <c:v>13.6</c:v>
                </c:pt>
              </c:numCache>
            </c:numRef>
          </c:val>
          <c:smooth val="0"/>
        </c:ser>
        <c:ser>
          <c:idx val="1"/>
          <c:order val="1"/>
          <c:tx>
            <c:strRef>
              <c:f>'Growth Pattern'!$CF$418</c:f>
              <c:strCache>
                <c:ptCount val="1"/>
                <c:pt idx="0">
                  <c:v>CAI</c:v>
                </c:pt>
              </c:strCache>
            </c:strRef>
          </c:tx>
          <c:val>
            <c:numRef>
              <c:f>'Growth Pattern'!$CF$419:$CF$422</c:f>
              <c:numCache>
                <c:formatCode>0.00</c:formatCode>
                <c:ptCount val="4"/>
                <c:pt idx="2">
                  <c:v>16.399999999999999</c:v>
                </c:pt>
                <c:pt idx="3">
                  <c:v>17</c:v>
                </c:pt>
              </c:numCache>
            </c:numRef>
          </c:val>
          <c:smooth val="0"/>
        </c:ser>
        <c:dLbls>
          <c:showLegendKey val="0"/>
          <c:showVal val="0"/>
          <c:showCatName val="0"/>
          <c:showSerName val="0"/>
          <c:showPercent val="0"/>
          <c:showBubbleSize val="0"/>
        </c:dLbls>
        <c:marker val="1"/>
        <c:smooth val="0"/>
        <c:axId val="119545856"/>
        <c:axId val="119547392"/>
      </c:lineChart>
      <c:catAx>
        <c:axId val="119545856"/>
        <c:scaling>
          <c:orientation val="minMax"/>
        </c:scaling>
        <c:delete val="0"/>
        <c:axPos val="b"/>
        <c:majorTickMark val="out"/>
        <c:minorTickMark val="none"/>
        <c:tickLblPos val="nextTo"/>
        <c:crossAx val="119547392"/>
        <c:crosses val="autoZero"/>
        <c:auto val="1"/>
        <c:lblAlgn val="ctr"/>
        <c:lblOffset val="100"/>
        <c:noMultiLvlLbl val="0"/>
      </c:catAx>
      <c:valAx>
        <c:axId val="119547392"/>
        <c:scaling>
          <c:orientation val="minMax"/>
        </c:scaling>
        <c:delete val="0"/>
        <c:axPos val="l"/>
        <c:majorGridlines/>
        <c:numFmt formatCode="0.00" sourceLinked="1"/>
        <c:majorTickMark val="out"/>
        <c:minorTickMark val="none"/>
        <c:tickLblPos val="nextTo"/>
        <c:crossAx val="119545856"/>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'Growth Pattern'!$CE$423</c:f>
              <c:strCache>
                <c:ptCount val="1"/>
                <c:pt idx="0">
                  <c:v>MAI</c:v>
                </c:pt>
              </c:strCache>
            </c:strRef>
          </c:tx>
          <c:val>
            <c:numRef>
              <c:f>'Growth Pattern'!$CE$424:$CE$427</c:f>
              <c:numCache>
                <c:formatCode>0.00</c:formatCode>
                <c:ptCount val="4"/>
                <c:pt idx="1">
                  <c:v>7.4</c:v>
                </c:pt>
                <c:pt idx="2">
                  <c:v>11.1</c:v>
                </c:pt>
                <c:pt idx="3">
                  <c:v>15.2</c:v>
                </c:pt>
              </c:numCache>
            </c:numRef>
          </c:val>
          <c:smooth val="0"/>
        </c:ser>
        <c:ser>
          <c:idx val="1"/>
          <c:order val="1"/>
          <c:tx>
            <c:strRef>
              <c:f>'Growth Pattern'!$CF$423</c:f>
              <c:strCache>
                <c:ptCount val="1"/>
                <c:pt idx="0">
                  <c:v>CAI</c:v>
                </c:pt>
              </c:strCache>
            </c:strRef>
          </c:tx>
          <c:val>
            <c:numRef>
              <c:f>'Growth Pattern'!$CF$419:$CF$422</c:f>
              <c:numCache>
                <c:formatCode>0.00</c:formatCode>
                <c:ptCount val="4"/>
                <c:pt idx="2">
                  <c:v>16.399999999999999</c:v>
                </c:pt>
                <c:pt idx="3">
                  <c:v>17</c:v>
                </c:pt>
              </c:numCache>
            </c:numRef>
          </c:val>
          <c:smooth val="0"/>
        </c:ser>
        <c:dLbls>
          <c:showLegendKey val="0"/>
          <c:showVal val="0"/>
          <c:showCatName val="0"/>
          <c:showSerName val="0"/>
          <c:showPercent val="0"/>
          <c:showBubbleSize val="0"/>
        </c:dLbls>
        <c:marker val="1"/>
        <c:smooth val="0"/>
        <c:axId val="119564544"/>
        <c:axId val="119586816"/>
      </c:lineChart>
      <c:catAx>
        <c:axId val="119564544"/>
        <c:scaling>
          <c:orientation val="minMax"/>
        </c:scaling>
        <c:delete val="0"/>
        <c:axPos val="b"/>
        <c:majorTickMark val="out"/>
        <c:minorTickMark val="none"/>
        <c:tickLblPos val="nextTo"/>
        <c:crossAx val="119586816"/>
        <c:crosses val="autoZero"/>
        <c:auto val="1"/>
        <c:lblAlgn val="ctr"/>
        <c:lblOffset val="100"/>
        <c:noMultiLvlLbl val="0"/>
      </c:catAx>
      <c:valAx>
        <c:axId val="119586816"/>
        <c:scaling>
          <c:orientation val="minMax"/>
        </c:scaling>
        <c:delete val="0"/>
        <c:axPos val="l"/>
        <c:majorGridlines/>
        <c:numFmt formatCode="0.00" sourceLinked="1"/>
        <c:majorTickMark val="out"/>
        <c:minorTickMark val="none"/>
        <c:tickLblPos val="nextTo"/>
        <c:crossAx val="119564544"/>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'Growth Pattern'!$CE$428</c:f>
              <c:strCache>
                <c:ptCount val="1"/>
                <c:pt idx="0">
                  <c:v>MAI</c:v>
                </c:pt>
              </c:strCache>
            </c:strRef>
          </c:tx>
          <c:val>
            <c:numRef>
              <c:f>'Growth Pattern'!$CE$429:$CE$432</c:f>
              <c:numCache>
                <c:formatCode>0.00</c:formatCode>
                <c:ptCount val="4"/>
                <c:pt idx="1">
                  <c:v>2.9</c:v>
                </c:pt>
                <c:pt idx="2">
                  <c:v>5.9</c:v>
                </c:pt>
                <c:pt idx="3">
                  <c:v>9</c:v>
                </c:pt>
              </c:numCache>
            </c:numRef>
          </c:val>
          <c:smooth val="0"/>
        </c:ser>
        <c:ser>
          <c:idx val="1"/>
          <c:order val="1"/>
          <c:tx>
            <c:strRef>
              <c:f>'Growth Pattern'!$CF$428</c:f>
              <c:strCache>
                <c:ptCount val="1"/>
                <c:pt idx="0">
                  <c:v>CAI</c:v>
                </c:pt>
              </c:strCache>
            </c:strRef>
          </c:tx>
          <c:val>
            <c:numRef>
              <c:f>'Growth Pattern'!$CF$429:$CF$432</c:f>
              <c:numCache>
                <c:formatCode>0.00</c:formatCode>
                <c:ptCount val="4"/>
                <c:pt idx="2">
                  <c:v>12</c:v>
                </c:pt>
                <c:pt idx="3">
                  <c:v>18.2</c:v>
                </c:pt>
              </c:numCache>
            </c:numRef>
          </c:val>
          <c:smooth val="0"/>
        </c:ser>
        <c:dLbls>
          <c:showLegendKey val="0"/>
          <c:showVal val="0"/>
          <c:showCatName val="0"/>
          <c:showSerName val="0"/>
          <c:showPercent val="0"/>
          <c:showBubbleSize val="0"/>
        </c:dLbls>
        <c:marker val="1"/>
        <c:smooth val="0"/>
        <c:axId val="119607680"/>
        <c:axId val="119609216"/>
      </c:lineChart>
      <c:catAx>
        <c:axId val="119607680"/>
        <c:scaling>
          <c:orientation val="minMax"/>
        </c:scaling>
        <c:delete val="0"/>
        <c:axPos val="b"/>
        <c:majorTickMark val="out"/>
        <c:minorTickMark val="none"/>
        <c:tickLblPos val="nextTo"/>
        <c:crossAx val="119609216"/>
        <c:crosses val="autoZero"/>
        <c:auto val="1"/>
        <c:lblAlgn val="ctr"/>
        <c:lblOffset val="100"/>
        <c:noMultiLvlLbl val="0"/>
      </c:catAx>
      <c:valAx>
        <c:axId val="119609216"/>
        <c:scaling>
          <c:orientation val="minMax"/>
        </c:scaling>
        <c:delete val="0"/>
        <c:axPos val="l"/>
        <c:majorGridlines/>
        <c:numFmt formatCode="0.00" sourceLinked="1"/>
        <c:majorTickMark val="out"/>
        <c:minorTickMark val="none"/>
        <c:tickLblPos val="nextTo"/>
        <c:crossAx val="119607680"/>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First Rotation 1981-1987</a:t>
            </a:r>
          </a:p>
        </c:rich>
      </c:tx>
      <c:overlay val="1"/>
    </c:title>
    <c:autoTitleDeleted val="0"/>
    <c:plotArea>
      <c:layout/>
      <c:lineChart>
        <c:grouping val="standard"/>
        <c:varyColors val="0"/>
        <c:ser>
          <c:idx val="0"/>
          <c:order val="0"/>
          <c:tx>
            <c:strRef>
              <c:f>'Growth Pattern'!$CE$434</c:f>
              <c:strCache>
                <c:ptCount val="1"/>
                <c:pt idx="0">
                  <c:v>MAI</c:v>
                </c:pt>
              </c:strCache>
            </c:strRef>
          </c:tx>
          <c:val>
            <c:numRef>
              <c:f>'Growth Pattern'!$CE$435:$CE$441</c:f>
              <c:numCache>
                <c:formatCode>0.00</c:formatCode>
                <c:ptCount val="7"/>
                <c:pt idx="1">
                  <c:v>2.2000000000000002</c:v>
                </c:pt>
                <c:pt idx="2">
                  <c:v>5.833333333333333</c:v>
                </c:pt>
                <c:pt idx="3">
                  <c:v>8.9499999999999993</c:v>
                </c:pt>
                <c:pt idx="4">
                  <c:v>10.120000000000001</c:v>
                </c:pt>
                <c:pt idx="5">
                  <c:v>10.700000000000001</c:v>
                </c:pt>
                <c:pt idx="6">
                  <c:v>10.114285714285714</c:v>
                </c:pt>
              </c:numCache>
            </c:numRef>
          </c:val>
          <c:smooth val="0"/>
        </c:ser>
        <c:ser>
          <c:idx val="1"/>
          <c:order val="1"/>
          <c:tx>
            <c:strRef>
              <c:f>'Growth Pattern'!$CF$434</c:f>
              <c:strCache>
                <c:ptCount val="1"/>
                <c:pt idx="0">
                  <c:v>CAI</c:v>
                </c:pt>
              </c:strCache>
            </c:strRef>
          </c:tx>
          <c:val>
            <c:numRef>
              <c:f>'Growth Pattern'!$CF$435:$CF$441</c:f>
              <c:numCache>
                <c:formatCode>0.00</c:formatCode>
                <c:ptCount val="7"/>
                <c:pt idx="2">
                  <c:v>13.1</c:v>
                </c:pt>
                <c:pt idx="3">
                  <c:v>18.299999999999997</c:v>
                </c:pt>
                <c:pt idx="4">
                  <c:v>14.800000000000004</c:v>
                </c:pt>
                <c:pt idx="5">
                  <c:v>13.600000000000001</c:v>
                </c:pt>
                <c:pt idx="6">
                  <c:v>6.5999999999999943</c:v>
                </c:pt>
              </c:numCache>
            </c:numRef>
          </c:val>
          <c:smooth val="0"/>
        </c:ser>
        <c:dLbls>
          <c:showLegendKey val="0"/>
          <c:showVal val="0"/>
          <c:showCatName val="0"/>
          <c:showSerName val="0"/>
          <c:showPercent val="0"/>
          <c:showBubbleSize val="0"/>
        </c:dLbls>
        <c:marker val="1"/>
        <c:smooth val="0"/>
        <c:axId val="119630080"/>
        <c:axId val="119644160"/>
      </c:lineChart>
      <c:catAx>
        <c:axId val="119630080"/>
        <c:scaling>
          <c:orientation val="minMax"/>
        </c:scaling>
        <c:delete val="0"/>
        <c:axPos val="b"/>
        <c:majorTickMark val="out"/>
        <c:minorTickMark val="none"/>
        <c:tickLblPos val="nextTo"/>
        <c:crossAx val="119644160"/>
        <c:crosses val="autoZero"/>
        <c:auto val="1"/>
        <c:lblAlgn val="ctr"/>
        <c:lblOffset val="100"/>
        <c:noMultiLvlLbl val="0"/>
      </c:catAx>
      <c:valAx>
        <c:axId val="119644160"/>
        <c:scaling>
          <c:orientation val="minMax"/>
        </c:scaling>
        <c:delete val="0"/>
        <c:axPos val="l"/>
        <c:majorGridlines/>
        <c:numFmt formatCode="0.00" sourceLinked="1"/>
        <c:majorTickMark val="out"/>
        <c:minorTickMark val="none"/>
        <c:tickLblPos val="nextTo"/>
        <c:crossAx val="119630080"/>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Second Rotation</a:t>
            </a:r>
            <a:r>
              <a:rPr lang="en-US" baseline="0"/>
              <a:t> on age 4 stumps 1981-1987</a:t>
            </a:r>
            <a:endParaRPr lang="en-US"/>
          </a:p>
        </c:rich>
      </c:tx>
      <c:overlay val="1"/>
    </c:title>
    <c:autoTitleDeleted val="0"/>
    <c:plotArea>
      <c:layout/>
      <c:lineChart>
        <c:grouping val="standard"/>
        <c:varyColors val="0"/>
        <c:ser>
          <c:idx val="0"/>
          <c:order val="0"/>
          <c:tx>
            <c:strRef>
              <c:f>'Growth Pattern'!$CE$442</c:f>
              <c:strCache>
                <c:ptCount val="1"/>
                <c:pt idx="0">
                  <c:v>MAI</c:v>
                </c:pt>
              </c:strCache>
            </c:strRef>
          </c:tx>
          <c:val>
            <c:numRef>
              <c:f>'Growth Pattern'!$CE$443:$CE$448</c:f>
              <c:numCache>
                <c:formatCode>0.00</c:formatCode>
                <c:ptCount val="6"/>
                <c:pt idx="0">
                  <c:v>5.4</c:v>
                </c:pt>
                <c:pt idx="1">
                  <c:v>7.45</c:v>
                </c:pt>
                <c:pt idx="2">
                  <c:v>7.8999999999999995</c:v>
                </c:pt>
                <c:pt idx="3">
                  <c:v>8.4250000000000007</c:v>
                </c:pt>
                <c:pt idx="4">
                  <c:v>11.58</c:v>
                </c:pt>
                <c:pt idx="5">
                  <c:v>8.3714285714285719</c:v>
                </c:pt>
              </c:numCache>
            </c:numRef>
          </c:val>
          <c:smooth val="0"/>
        </c:ser>
        <c:ser>
          <c:idx val="1"/>
          <c:order val="1"/>
          <c:tx>
            <c:strRef>
              <c:f>'Growth Pattern'!$CF$442</c:f>
              <c:strCache>
                <c:ptCount val="1"/>
                <c:pt idx="0">
                  <c:v>CAI</c:v>
                </c:pt>
              </c:strCache>
            </c:strRef>
          </c:tx>
          <c:val>
            <c:numRef>
              <c:f>'Growth Pattern'!$CF$443:$CF$448</c:f>
              <c:numCache>
                <c:formatCode>0.00</c:formatCode>
                <c:ptCount val="6"/>
                <c:pt idx="1">
                  <c:v>9.5</c:v>
                </c:pt>
                <c:pt idx="2">
                  <c:v>8.7999999999999989</c:v>
                </c:pt>
                <c:pt idx="3">
                  <c:v>10.000000000000004</c:v>
                </c:pt>
                <c:pt idx="4">
                  <c:v>24.199999999999996</c:v>
                </c:pt>
                <c:pt idx="5">
                  <c:v>0.70000000000000284</c:v>
                </c:pt>
              </c:numCache>
            </c:numRef>
          </c:val>
          <c:smooth val="0"/>
        </c:ser>
        <c:dLbls>
          <c:showLegendKey val="0"/>
          <c:showVal val="0"/>
          <c:showCatName val="0"/>
          <c:showSerName val="0"/>
          <c:showPercent val="0"/>
          <c:showBubbleSize val="0"/>
        </c:dLbls>
        <c:marker val="1"/>
        <c:smooth val="0"/>
        <c:axId val="119657216"/>
        <c:axId val="119658752"/>
      </c:lineChart>
      <c:catAx>
        <c:axId val="119657216"/>
        <c:scaling>
          <c:orientation val="minMax"/>
        </c:scaling>
        <c:delete val="0"/>
        <c:axPos val="b"/>
        <c:majorTickMark val="out"/>
        <c:minorTickMark val="none"/>
        <c:tickLblPos val="nextTo"/>
        <c:crossAx val="119658752"/>
        <c:crosses val="autoZero"/>
        <c:auto val="1"/>
        <c:lblAlgn val="ctr"/>
        <c:lblOffset val="100"/>
        <c:noMultiLvlLbl val="0"/>
      </c:catAx>
      <c:valAx>
        <c:axId val="119658752"/>
        <c:scaling>
          <c:orientation val="minMax"/>
        </c:scaling>
        <c:delete val="0"/>
        <c:axPos val="l"/>
        <c:majorGridlines/>
        <c:numFmt formatCode="0.00" sourceLinked="1"/>
        <c:majorTickMark val="out"/>
        <c:minorTickMark val="none"/>
        <c:tickLblPos val="nextTo"/>
        <c:crossAx val="119657216"/>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'Growth Pattern'!$CE$449</c:f>
              <c:strCache>
                <c:ptCount val="1"/>
                <c:pt idx="0">
                  <c:v>MAI</c:v>
                </c:pt>
              </c:strCache>
            </c:strRef>
          </c:tx>
          <c:cat>
            <c:numLit>
              <c:formatCode>General</c:formatCode>
              <c:ptCount val="4"/>
              <c:pt idx="0">
                <c:v>2</c:v>
              </c:pt>
              <c:pt idx="1">
                <c:v>3</c:v>
              </c:pt>
              <c:pt idx="2">
                <c:v>4</c:v>
              </c:pt>
              <c:pt idx="3">
                <c:v>5</c:v>
              </c:pt>
            </c:numLit>
          </c:cat>
          <c:val>
            <c:numRef>
              <c:f>'Growth Pattern'!$CE$450:$CE$453</c:f>
              <c:numCache>
                <c:formatCode>0.00</c:formatCode>
                <c:ptCount val="4"/>
                <c:pt idx="0">
                  <c:v>3.8</c:v>
                </c:pt>
                <c:pt idx="1">
                  <c:v>6.9</c:v>
                </c:pt>
                <c:pt idx="2">
                  <c:v>9</c:v>
                </c:pt>
                <c:pt idx="3">
                  <c:v>9.9</c:v>
                </c:pt>
              </c:numCache>
            </c:numRef>
          </c:val>
          <c:smooth val="0"/>
        </c:ser>
        <c:ser>
          <c:idx val="1"/>
          <c:order val="1"/>
          <c:tx>
            <c:strRef>
              <c:f>'Growth Pattern'!$CF$449</c:f>
              <c:strCache>
                <c:ptCount val="1"/>
                <c:pt idx="0">
                  <c:v>CAI</c:v>
                </c:pt>
              </c:strCache>
            </c:strRef>
          </c:tx>
          <c:cat>
            <c:numLit>
              <c:formatCode>General</c:formatCode>
              <c:ptCount val="4"/>
              <c:pt idx="0">
                <c:v>2</c:v>
              </c:pt>
              <c:pt idx="1">
                <c:v>3</c:v>
              </c:pt>
              <c:pt idx="2">
                <c:v>4</c:v>
              </c:pt>
              <c:pt idx="3">
                <c:v>5</c:v>
              </c:pt>
            </c:numLit>
          </c:cat>
          <c:val>
            <c:numRef>
              <c:f>'Growth Pattern'!$CF$450:$CF$453</c:f>
              <c:numCache>
                <c:formatCode>0.00</c:formatCode>
                <c:ptCount val="4"/>
                <c:pt idx="0">
                  <c:v>7.6</c:v>
                </c:pt>
                <c:pt idx="1">
                  <c:v>13.100000000000003</c:v>
                </c:pt>
                <c:pt idx="2">
                  <c:v>15.299999999999997</c:v>
                </c:pt>
                <c:pt idx="3">
                  <c:v>13.5</c:v>
                </c:pt>
              </c:numCache>
            </c:numRef>
          </c:val>
          <c:smooth val="0"/>
        </c:ser>
        <c:dLbls>
          <c:showLegendKey val="0"/>
          <c:showVal val="0"/>
          <c:showCatName val="0"/>
          <c:showSerName val="0"/>
          <c:showPercent val="0"/>
          <c:showBubbleSize val="0"/>
        </c:dLbls>
        <c:marker val="1"/>
        <c:smooth val="0"/>
        <c:axId val="120089600"/>
        <c:axId val="120099584"/>
      </c:lineChart>
      <c:catAx>
        <c:axId val="120089600"/>
        <c:scaling>
          <c:orientation val="minMax"/>
        </c:scaling>
        <c:delete val="0"/>
        <c:axPos val="b"/>
        <c:numFmt formatCode="General" sourceLinked="1"/>
        <c:majorTickMark val="out"/>
        <c:minorTickMark val="none"/>
        <c:tickLblPos val="nextTo"/>
        <c:crossAx val="120099584"/>
        <c:crosses val="autoZero"/>
        <c:auto val="1"/>
        <c:lblAlgn val="ctr"/>
        <c:lblOffset val="100"/>
        <c:noMultiLvlLbl val="0"/>
      </c:catAx>
      <c:valAx>
        <c:axId val="120099584"/>
        <c:scaling>
          <c:orientation val="minMax"/>
        </c:scaling>
        <c:delete val="0"/>
        <c:axPos val="l"/>
        <c:majorGridlines/>
        <c:numFmt formatCode="0.00" sourceLinked="1"/>
        <c:majorTickMark val="out"/>
        <c:minorTickMark val="none"/>
        <c:tickLblPos val="nextTo"/>
        <c:crossAx val="120089600"/>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'Growth Pattern'!$CE$454</c:f>
              <c:strCache>
                <c:ptCount val="1"/>
                <c:pt idx="0">
                  <c:v>MAI</c:v>
                </c:pt>
              </c:strCache>
            </c:strRef>
          </c:tx>
          <c:cat>
            <c:numLit>
              <c:formatCode>General</c:formatCode>
              <c:ptCount val="4"/>
              <c:pt idx="0">
                <c:v>2</c:v>
              </c:pt>
              <c:pt idx="1">
                <c:v>3</c:v>
              </c:pt>
              <c:pt idx="2">
                <c:v>4</c:v>
              </c:pt>
              <c:pt idx="3">
                <c:v>5</c:v>
              </c:pt>
            </c:numLit>
          </c:cat>
          <c:val>
            <c:numRef>
              <c:f>'Growth Pattern'!$CE$455:$CE$458</c:f>
              <c:numCache>
                <c:formatCode>0.00</c:formatCode>
                <c:ptCount val="4"/>
                <c:pt idx="0">
                  <c:v>1.8</c:v>
                </c:pt>
                <c:pt idx="1">
                  <c:v>4.9000000000000004</c:v>
                </c:pt>
                <c:pt idx="2">
                  <c:v>7.8</c:v>
                </c:pt>
                <c:pt idx="3">
                  <c:v>9</c:v>
                </c:pt>
              </c:numCache>
            </c:numRef>
          </c:val>
          <c:smooth val="0"/>
        </c:ser>
        <c:ser>
          <c:idx val="1"/>
          <c:order val="1"/>
          <c:tx>
            <c:strRef>
              <c:f>'Growth Pattern'!$CF$454</c:f>
              <c:strCache>
                <c:ptCount val="1"/>
                <c:pt idx="0">
                  <c:v>CAI</c:v>
                </c:pt>
              </c:strCache>
            </c:strRef>
          </c:tx>
          <c:cat>
            <c:numLit>
              <c:formatCode>General</c:formatCode>
              <c:ptCount val="4"/>
              <c:pt idx="0">
                <c:v>2</c:v>
              </c:pt>
              <c:pt idx="1">
                <c:v>3</c:v>
              </c:pt>
              <c:pt idx="2">
                <c:v>4</c:v>
              </c:pt>
              <c:pt idx="3">
                <c:v>5</c:v>
              </c:pt>
            </c:numLit>
          </c:cat>
          <c:val>
            <c:numRef>
              <c:f>'Growth Pattern'!$CF$455:$CF$458</c:f>
              <c:numCache>
                <c:formatCode>0.00</c:formatCode>
                <c:ptCount val="4"/>
                <c:pt idx="0">
                  <c:v>3.6</c:v>
                </c:pt>
                <c:pt idx="1">
                  <c:v>11.100000000000001</c:v>
                </c:pt>
                <c:pt idx="2">
                  <c:v>16.5</c:v>
                </c:pt>
                <c:pt idx="3">
                  <c:v>13.8</c:v>
                </c:pt>
              </c:numCache>
            </c:numRef>
          </c:val>
          <c:smooth val="0"/>
        </c:ser>
        <c:dLbls>
          <c:showLegendKey val="0"/>
          <c:showVal val="0"/>
          <c:showCatName val="0"/>
          <c:showSerName val="0"/>
          <c:showPercent val="0"/>
          <c:showBubbleSize val="0"/>
        </c:dLbls>
        <c:marker val="1"/>
        <c:smooth val="0"/>
        <c:axId val="120128640"/>
        <c:axId val="120130176"/>
      </c:lineChart>
      <c:catAx>
        <c:axId val="120128640"/>
        <c:scaling>
          <c:orientation val="minMax"/>
        </c:scaling>
        <c:delete val="0"/>
        <c:axPos val="b"/>
        <c:numFmt formatCode="General" sourceLinked="1"/>
        <c:majorTickMark val="out"/>
        <c:minorTickMark val="none"/>
        <c:tickLblPos val="nextTo"/>
        <c:crossAx val="120130176"/>
        <c:crosses val="autoZero"/>
        <c:auto val="1"/>
        <c:lblAlgn val="ctr"/>
        <c:lblOffset val="100"/>
        <c:noMultiLvlLbl val="0"/>
      </c:catAx>
      <c:valAx>
        <c:axId val="120130176"/>
        <c:scaling>
          <c:orientation val="minMax"/>
        </c:scaling>
        <c:delete val="0"/>
        <c:axPos val="l"/>
        <c:majorGridlines/>
        <c:numFmt formatCode="0.00" sourceLinked="1"/>
        <c:majorTickMark val="out"/>
        <c:minorTickMark val="none"/>
        <c:tickLblPos val="nextTo"/>
        <c:crossAx val="120128640"/>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'Growth Pattern'!$CE$459</c:f>
              <c:strCache>
                <c:ptCount val="1"/>
                <c:pt idx="0">
                  <c:v>MAI</c:v>
                </c:pt>
              </c:strCache>
            </c:strRef>
          </c:tx>
          <c:cat>
            <c:numLit>
              <c:formatCode>General</c:formatCode>
              <c:ptCount val="4"/>
              <c:pt idx="0">
                <c:v>2</c:v>
              </c:pt>
              <c:pt idx="1">
                <c:v>3</c:v>
              </c:pt>
              <c:pt idx="2">
                <c:v>4</c:v>
              </c:pt>
              <c:pt idx="3">
                <c:v>5</c:v>
              </c:pt>
            </c:numLit>
          </c:cat>
          <c:val>
            <c:numRef>
              <c:f>'Growth Pattern'!$CE$460:$CE$463</c:f>
              <c:numCache>
                <c:formatCode>0.00</c:formatCode>
                <c:ptCount val="4"/>
                <c:pt idx="0">
                  <c:v>1.1000000000000001</c:v>
                </c:pt>
                <c:pt idx="1">
                  <c:v>2.2000000000000002</c:v>
                </c:pt>
                <c:pt idx="2">
                  <c:v>5.2</c:v>
                </c:pt>
                <c:pt idx="3">
                  <c:v>6.7</c:v>
                </c:pt>
              </c:numCache>
            </c:numRef>
          </c:val>
          <c:smooth val="0"/>
        </c:ser>
        <c:ser>
          <c:idx val="1"/>
          <c:order val="1"/>
          <c:tx>
            <c:strRef>
              <c:f>'Growth Pattern'!$CF$459</c:f>
              <c:strCache>
                <c:ptCount val="1"/>
                <c:pt idx="0">
                  <c:v>CAI</c:v>
                </c:pt>
              </c:strCache>
            </c:strRef>
          </c:tx>
          <c:cat>
            <c:numLit>
              <c:formatCode>General</c:formatCode>
              <c:ptCount val="4"/>
              <c:pt idx="0">
                <c:v>2</c:v>
              </c:pt>
              <c:pt idx="1">
                <c:v>3</c:v>
              </c:pt>
              <c:pt idx="2">
                <c:v>4</c:v>
              </c:pt>
              <c:pt idx="3">
                <c:v>5</c:v>
              </c:pt>
            </c:numLit>
          </c:cat>
          <c:val>
            <c:numRef>
              <c:f>'Growth Pattern'!$CF$460:$CF$463</c:f>
              <c:numCache>
                <c:formatCode>0.00</c:formatCode>
                <c:ptCount val="4"/>
                <c:pt idx="0">
                  <c:v>2.2000000000000002</c:v>
                </c:pt>
                <c:pt idx="1">
                  <c:v>4.4000000000000004</c:v>
                </c:pt>
                <c:pt idx="2">
                  <c:v>14.2</c:v>
                </c:pt>
                <c:pt idx="3">
                  <c:v>12.7</c:v>
                </c:pt>
              </c:numCache>
            </c:numRef>
          </c:val>
          <c:smooth val="0"/>
        </c:ser>
        <c:dLbls>
          <c:showLegendKey val="0"/>
          <c:showVal val="0"/>
          <c:showCatName val="0"/>
          <c:showSerName val="0"/>
          <c:showPercent val="0"/>
          <c:showBubbleSize val="0"/>
        </c:dLbls>
        <c:marker val="1"/>
        <c:smooth val="0"/>
        <c:axId val="120142848"/>
        <c:axId val="120152832"/>
      </c:lineChart>
      <c:catAx>
        <c:axId val="120142848"/>
        <c:scaling>
          <c:orientation val="minMax"/>
        </c:scaling>
        <c:delete val="0"/>
        <c:axPos val="b"/>
        <c:numFmt formatCode="General" sourceLinked="1"/>
        <c:majorTickMark val="out"/>
        <c:minorTickMark val="none"/>
        <c:tickLblPos val="nextTo"/>
        <c:crossAx val="120152832"/>
        <c:crosses val="autoZero"/>
        <c:auto val="1"/>
        <c:lblAlgn val="ctr"/>
        <c:lblOffset val="100"/>
        <c:noMultiLvlLbl val="0"/>
      </c:catAx>
      <c:valAx>
        <c:axId val="120152832"/>
        <c:scaling>
          <c:orientation val="minMax"/>
        </c:scaling>
        <c:delete val="0"/>
        <c:axPos val="l"/>
        <c:majorGridlines/>
        <c:numFmt formatCode="0.00" sourceLinked="1"/>
        <c:majorTickMark val="out"/>
        <c:minorTickMark val="none"/>
        <c:tickLblPos val="nextTo"/>
        <c:crossAx val="120142848"/>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'Growth Pattern'!$CE$464</c:f>
              <c:strCache>
                <c:ptCount val="1"/>
                <c:pt idx="0">
                  <c:v>MAI</c:v>
                </c:pt>
              </c:strCache>
            </c:strRef>
          </c:tx>
          <c:cat>
            <c:numLit>
              <c:formatCode>General</c:formatCode>
              <c:ptCount val="6"/>
              <c:pt idx="0">
                <c:v>3</c:v>
              </c:pt>
              <c:pt idx="1">
                <c:v>4</c:v>
              </c:pt>
              <c:pt idx="2">
                <c:v>5</c:v>
              </c:pt>
              <c:pt idx="3">
                <c:v>6</c:v>
              </c:pt>
              <c:pt idx="4">
                <c:v>7</c:v>
              </c:pt>
              <c:pt idx="5">
                <c:v>8</c:v>
              </c:pt>
            </c:numLit>
          </c:cat>
          <c:val>
            <c:numRef>
              <c:f>'Growth Pattern'!$CE$465:$CE$470</c:f>
              <c:numCache>
                <c:formatCode>0.00</c:formatCode>
                <c:ptCount val="6"/>
                <c:pt idx="0">
                  <c:v>5.8</c:v>
                </c:pt>
                <c:pt idx="1">
                  <c:v>9</c:v>
                </c:pt>
                <c:pt idx="2">
                  <c:v>10.1</c:v>
                </c:pt>
                <c:pt idx="3">
                  <c:v>10.8</c:v>
                </c:pt>
                <c:pt idx="4">
                  <c:v>10.1</c:v>
                </c:pt>
                <c:pt idx="5">
                  <c:v>9</c:v>
                </c:pt>
              </c:numCache>
            </c:numRef>
          </c:val>
          <c:smooth val="0"/>
        </c:ser>
        <c:ser>
          <c:idx val="1"/>
          <c:order val="1"/>
          <c:tx>
            <c:strRef>
              <c:f>'Growth Pattern'!$CF$464</c:f>
              <c:strCache>
                <c:ptCount val="1"/>
                <c:pt idx="0">
                  <c:v>CAI</c:v>
                </c:pt>
              </c:strCache>
            </c:strRef>
          </c:tx>
          <c:cat>
            <c:numLit>
              <c:formatCode>General</c:formatCode>
              <c:ptCount val="6"/>
              <c:pt idx="0">
                <c:v>3</c:v>
              </c:pt>
              <c:pt idx="1">
                <c:v>4</c:v>
              </c:pt>
              <c:pt idx="2">
                <c:v>5</c:v>
              </c:pt>
              <c:pt idx="3">
                <c:v>6</c:v>
              </c:pt>
              <c:pt idx="4">
                <c:v>7</c:v>
              </c:pt>
              <c:pt idx="5">
                <c:v>8</c:v>
              </c:pt>
            </c:numLit>
          </c:cat>
          <c:val>
            <c:numRef>
              <c:f>'Growth Pattern'!$CF$465:$CF$470</c:f>
              <c:numCache>
                <c:formatCode>0.00</c:formatCode>
                <c:ptCount val="6"/>
                <c:pt idx="0">
                  <c:v>17.399999999999999</c:v>
                </c:pt>
                <c:pt idx="1">
                  <c:v>18.600000000000001</c:v>
                </c:pt>
                <c:pt idx="2">
                  <c:v>14.5</c:v>
                </c:pt>
                <c:pt idx="3">
                  <c:v>14.300000000000011</c:v>
                </c:pt>
                <c:pt idx="4">
                  <c:v>5.8999999999999915</c:v>
                </c:pt>
                <c:pt idx="5">
                  <c:v>1.2999999999999972</c:v>
                </c:pt>
              </c:numCache>
            </c:numRef>
          </c:val>
          <c:smooth val="0"/>
        </c:ser>
        <c:dLbls>
          <c:showLegendKey val="0"/>
          <c:showVal val="0"/>
          <c:showCatName val="0"/>
          <c:showSerName val="0"/>
          <c:showPercent val="0"/>
          <c:showBubbleSize val="0"/>
        </c:dLbls>
        <c:marker val="1"/>
        <c:smooth val="0"/>
        <c:axId val="120185984"/>
        <c:axId val="120187520"/>
      </c:lineChart>
      <c:catAx>
        <c:axId val="120185984"/>
        <c:scaling>
          <c:orientation val="minMax"/>
        </c:scaling>
        <c:delete val="0"/>
        <c:axPos val="b"/>
        <c:numFmt formatCode="General" sourceLinked="1"/>
        <c:majorTickMark val="out"/>
        <c:minorTickMark val="none"/>
        <c:tickLblPos val="nextTo"/>
        <c:crossAx val="120187520"/>
        <c:crosses val="autoZero"/>
        <c:auto val="1"/>
        <c:lblAlgn val="ctr"/>
        <c:lblOffset val="100"/>
        <c:noMultiLvlLbl val="0"/>
      </c:catAx>
      <c:valAx>
        <c:axId val="120187520"/>
        <c:scaling>
          <c:orientation val="minMax"/>
        </c:scaling>
        <c:delete val="0"/>
        <c:axPos val="l"/>
        <c:majorGridlines/>
        <c:numFmt formatCode="0.00" sourceLinked="1"/>
        <c:majorTickMark val="out"/>
        <c:minorTickMark val="none"/>
        <c:tickLblPos val="nextTo"/>
        <c:crossAx val="120185984"/>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'Growth Pattern'!$CE$474</c:f>
              <c:strCache>
                <c:ptCount val="1"/>
                <c:pt idx="0">
                  <c:v>MAI</c:v>
                </c:pt>
              </c:strCache>
            </c:strRef>
          </c:tx>
          <c:cat>
            <c:numLit>
              <c:formatCode>General</c:formatCode>
              <c:ptCount val="6"/>
              <c:pt idx="0">
                <c:v>3</c:v>
              </c:pt>
              <c:pt idx="1">
                <c:v>4</c:v>
              </c:pt>
              <c:pt idx="2">
                <c:v>5</c:v>
              </c:pt>
              <c:pt idx="3">
                <c:v>6</c:v>
              </c:pt>
              <c:pt idx="4">
                <c:v>7</c:v>
              </c:pt>
              <c:pt idx="5">
                <c:v>8</c:v>
              </c:pt>
            </c:numLit>
          </c:cat>
          <c:val>
            <c:numRef>
              <c:f>'Growth Pattern'!$CE$475:$CE$480</c:f>
              <c:numCache>
                <c:formatCode>0.00</c:formatCode>
                <c:ptCount val="6"/>
                <c:pt idx="0">
                  <c:v>2.7</c:v>
                </c:pt>
                <c:pt idx="1">
                  <c:v>5.4</c:v>
                </c:pt>
                <c:pt idx="2">
                  <c:v>4.7</c:v>
                </c:pt>
                <c:pt idx="3">
                  <c:v>5.8</c:v>
                </c:pt>
                <c:pt idx="4">
                  <c:v>6.1</c:v>
                </c:pt>
                <c:pt idx="5">
                  <c:v>6.1</c:v>
                </c:pt>
              </c:numCache>
            </c:numRef>
          </c:val>
          <c:smooth val="0"/>
        </c:ser>
        <c:ser>
          <c:idx val="1"/>
          <c:order val="1"/>
          <c:tx>
            <c:strRef>
              <c:f>'Growth Pattern'!$CF$474</c:f>
              <c:strCache>
                <c:ptCount val="1"/>
                <c:pt idx="0">
                  <c:v>CAI</c:v>
                </c:pt>
              </c:strCache>
            </c:strRef>
          </c:tx>
          <c:cat>
            <c:numLit>
              <c:formatCode>General</c:formatCode>
              <c:ptCount val="6"/>
              <c:pt idx="0">
                <c:v>3</c:v>
              </c:pt>
              <c:pt idx="1">
                <c:v>4</c:v>
              </c:pt>
              <c:pt idx="2">
                <c:v>5</c:v>
              </c:pt>
              <c:pt idx="3">
                <c:v>6</c:v>
              </c:pt>
              <c:pt idx="4">
                <c:v>7</c:v>
              </c:pt>
              <c:pt idx="5">
                <c:v>8</c:v>
              </c:pt>
            </c:numLit>
          </c:cat>
          <c:val>
            <c:numRef>
              <c:f>'Growth Pattern'!$CF$475:$CF$480</c:f>
              <c:numCache>
                <c:formatCode>0.00</c:formatCode>
                <c:ptCount val="6"/>
                <c:pt idx="0">
                  <c:v>8.1000000000000014</c:v>
                </c:pt>
                <c:pt idx="1">
                  <c:v>13.5</c:v>
                </c:pt>
                <c:pt idx="2">
                  <c:v>1.8999999999999986</c:v>
                </c:pt>
                <c:pt idx="3">
                  <c:v>11.299999999999997</c:v>
                </c:pt>
                <c:pt idx="4">
                  <c:v>7.8999999999999986</c:v>
                </c:pt>
                <c:pt idx="5">
                  <c:v>6.1000000000000014</c:v>
                </c:pt>
              </c:numCache>
            </c:numRef>
          </c:val>
          <c:smooth val="0"/>
        </c:ser>
        <c:dLbls>
          <c:showLegendKey val="0"/>
          <c:showVal val="0"/>
          <c:showCatName val="0"/>
          <c:showSerName val="0"/>
          <c:showPercent val="0"/>
          <c:showBubbleSize val="0"/>
        </c:dLbls>
        <c:marker val="1"/>
        <c:smooth val="0"/>
        <c:axId val="120523776"/>
        <c:axId val="120550144"/>
      </c:lineChart>
      <c:catAx>
        <c:axId val="120523776"/>
        <c:scaling>
          <c:orientation val="minMax"/>
        </c:scaling>
        <c:delete val="0"/>
        <c:axPos val="b"/>
        <c:numFmt formatCode="General" sourceLinked="1"/>
        <c:majorTickMark val="out"/>
        <c:minorTickMark val="none"/>
        <c:tickLblPos val="nextTo"/>
        <c:crossAx val="120550144"/>
        <c:crosses val="autoZero"/>
        <c:auto val="1"/>
        <c:lblAlgn val="ctr"/>
        <c:lblOffset val="100"/>
        <c:noMultiLvlLbl val="0"/>
      </c:catAx>
      <c:valAx>
        <c:axId val="120550144"/>
        <c:scaling>
          <c:orientation val="minMax"/>
        </c:scaling>
        <c:delete val="0"/>
        <c:axPos val="l"/>
        <c:majorGridlines/>
        <c:numFmt formatCode="0.00" sourceLinked="1"/>
        <c:majorTickMark val="out"/>
        <c:minorTickMark val="none"/>
        <c:tickLblPos val="nextTo"/>
        <c:crossAx val="120523776"/>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'Growth Pattern'!$CE$117</c:f>
              <c:strCache>
                <c:ptCount val="1"/>
                <c:pt idx="0">
                  <c:v>MAI</c:v>
                </c:pt>
              </c:strCache>
            </c:strRef>
          </c:tx>
          <c:val>
            <c:numRef>
              <c:f>'Growth Pattern'!$CE$118:$CE$122</c:f>
              <c:numCache>
                <c:formatCode>0.00</c:formatCode>
                <c:ptCount val="5"/>
                <c:pt idx="0">
                  <c:v>0.7</c:v>
                </c:pt>
                <c:pt idx="1">
                  <c:v>2.6</c:v>
                </c:pt>
                <c:pt idx="2">
                  <c:v>3.7000000000000006</c:v>
                </c:pt>
                <c:pt idx="3">
                  <c:v>5.7250000000000005</c:v>
                </c:pt>
                <c:pt idx="4">
                  <c:v>7.3800000000000008</c:v>
                </c:pt>
              </c:numCache>
            </c:numRef>
          </c:val>
          <c:smooth val="0"/>
        </c:ser>
        <c:ser>
          <c:idx val="1"/>
          <c:order val="1"/>
          <c:tx>
            <c:strRef>
              <c:f>'Growth Pattern'!$CF$117</c:f>
              <c:strCache>
                <c:ptCount val="1"/>
                <c:pt idx="0">
                  <c:v>CAI</c:v>
                </c:pt>
              </c:strCache>
            </c:strRef>
          </c:tx>
          <c:val>
            <c:numRef>
              <c:f>'Growth Pattern'!$CF$118:$CF$122</c:f>
              <c:numCache>
                <c:formatCode>0.00</c:formatCode>
                <c:ptCount val="5"/>
                <c:pt idx="0">
                  <c:v>0.7</c:v>
                </c:pt>
                <c:pt idx="1">
                  <c:v>4.5</c:v>
                </c:pt>
                <c:pt idx="2">
                  <c:v>5.9</c:v>
                </c:pt>
                <c:pt idx="3">
                  <c:v>11.8</c:v>
                </c:pt>
                <c:pt idx="4">
                  <c:v>14</c:v>
                </c:pt>
              </c:numCache>
            </c:numRef>
          </c:val>
          <c:smooth val="0"/>
        </c:ser>
        <c:dLbls>
          <c:showLegendKey val="0"/>
          <c:showVal val="0"/>
          <c:showCatName val="0"/>
          <c:showSerName val="0"/>
          <c:showPercent val="0"/>
          <c:showBubbleSize val="0"/>
        </c:dLbls>
        <c:marker val="1"/>
        <c:smooth val="0"/>
        <c:axId val="90986752"/>
        <c:axId val="91009024"/>
      </c:lineChart>
      <c:catAx>
        <c:axId val="90986752"/>
        <c:scaling>
          <c:orientation val="minMax"/>
        </c:scaling>
        <c:delete val="0"/>
        <c:axPos val="b"/>
        <c:majorTickMark val="out"/>
        <c:minorTickMark val="none"/>
        <c:tickLblPos val="nextTo"/>
        <c:crossAx val="91009024"/>
        <c:crosses val="autoZero"/>
        <c:auto val="1"/>
        <c:lblAlgn val="ctr"/>
        <c:lblOffset val="100"/>
        <c:noMultiLvlLbl val="0"/>
      </c:catAx>
      <c:valAx>
        <c:axId val="91009024"/>
        <c:scaling>
          <c:orientation val="minMax"/>
        </c:scaling>
        <c:delete val="0"/>
        <c:axPos val="l"/>
        <c:majorGridlines/>
        <c:numFmt formatCode="0.00" sourceLinked="1"/>
        <c:majorTickMark val="out"/>
        <c:minorTickMark val="none"/>
        <c:tickLblPos val="nextTo"/>
        <c:crossAx val="90986752"/>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'Growth Pattern'!$CE$481</c:f>
              <c:strCache>
                <c:ptCount val="1"/>
                <c:pt idx="0">
                  <c:v>MAI</c:v>
                </c:pt>
              </c:strCache>
            </c:strRef>
          </c:tx>
          <c:cat>
            <c:numLit>
              <c:formatCode>General</c:formatCode>
              <c:ptCount val="10"/>
              <c:pt idx="0">
                <c:v>3</c:v>
              </c:pt>
              <c:pt idx="1">
                <c:v>4</c:v>
              </c:pt>
              <c:pt idx="2">
                <c:v>5</c:v>
              </c:pt>
              <c:pt idx="3">
                <c:v>6</c:v>
              </c:pt>
              <c:pt idx="4">
                <c:v>7</c:v>
              </c:pt>
              <c:pt idx="5">
                <c:v>8</c:v>
              </c:pt>
              <c:pt idx="6">
                <c:v>9</c:v>
              </c:pt>
              <c:pt idx="7">
                <c:v>10</c:v>
              </c:pt>
              <c:pt idx="8">
                <c:v>11</c:v>
              </c:pt>
              <c:pt idx="9">
                <c:v>12</c:v>
              </c:pt>
            </c:numLit>
          </c:cat>
          <c:val>
            <c:numRef>
              <c:f>'Growth Pattern'!$CE$482:$CE$491</c:f>
              <c:numCache>
                <c:formatCode>0.00</c:formatCode>
                <c:ptCount val="10"/>
                <c:pt idx="0">
                  <c:v>3.1</c:v>
                </c:pt>
                <c:pt idx="1">
                  <c:v>6.1</c:v>
                </c:pt>
                <c:pt idx="2">
                  <c:v>7.2</c:v>
                </c:pt>
                <c:pt idx="3">
                  <c:v>8.1</c:v>
                </c:pt>
                <c:pt idx="4">
                  <c:v>8.1</c:v>
                </c:pt>
                <c:pt idx="5">
                  <c:v>7.8</c:v>
                </c:pt>
                <c:pt idx="6">
                  <c:v>8.3000000000000007</c:v>
                </c:pt>
                <c:pt idx="7">
                  <c:v>8.1</c:v>
                </c:pt>
                <c:pt idx="8">
                  <c:v>6.9</c:v>
                </c:pt>
                <c:pt idx="9">
                  <c:v>6.5</c:v>
                </c:pt>
              </c:numCache>
            </c:numRef>
          </c:val>
          <c:smooth val="0"/>
        </c:ser>
        <c:ser>
          <c:idx val="1"/>
          <c:order val="1"/>
          <c:tx>
            <c:strRef>
              <c:f>'Growth Pattern'!$CF$481</c:f>
              <c:strCache>
                <c:ptCount val="1"/>
                <c:pt idx="0">
                  <c:v>CAI</c:v>
                </c:pt>
              </c:strCache>
            </c:strRef>
          </c:tx>
          <c:cat>
            <c:numLit>
              <c:formatCode>General</c:formatCode>
              <c:ptCount val="10"/>
              <c:pt idx="0">
                <c:v>3</c:v>
              </c:pt>
              <c:pt idx="1">
                <c:v>4</c:v>
              </c:pt>
              <c:pt idx="2">
                <c:v>5</c:v>
              </c:pt>
              <c:pt idx="3">
                <c:v>6</c:v>
              </c:pt>
              <c:pt idx="4">
                <c:v>7</c:v>
              </c:pt>
              <c:pt idx="5">
                <c:v>8</c:v>
              </c:pt>
              <c:pt idx="6">
                <c:v>9</c:v>
              </c:pt>
              <c:pt idx="7">
                <c:v>10</c:v>
              </c:pt>
              <c:pt idx="8">
                <c:v>11</c:v>
              </c:pt>
              <c:pt idx="9">
                <c:v>12</c:v>
              </c:pt>
            </c:numLit>
          </c:cat>
          <c:val>
            <c:numRef>
              <c:f>'Growth Pattern'!$CF$482:$CF$491</c:f>
              <c:numCache>
                <c:formatCode>0.00</c:formatCode>
                <c:ptCount val="10"/>
                <c:pt idx="0">
                  <c:v>9.3000000000000007</c:v>
                </c:pt>
                <c:pt idx="1">
                  <c:v>15.099999999999998</c:v>
                </c:pt>
                <c:pt idx="2">
                  <c:v>11.600000000000001</c:v>
                </c:pt>
                <c:pt idx="3">
                  <c:v>12.599999999999994</c:v>
                </c:pt>
                <c:pt idx="4">
                  <c:v>8.1000000000000014</c:v>
                </c:pt>
                <c:pt idx="5">
                  <c:v>5.7000000000000028</c:v>
                </c:pt>
                <c:pt idx="6">
                  <c:v>12.300000000000004</c:v>
                </c:pt>
                <c:pt idx="7">
                  <c:v>6.2999999999999972</c:v>
                </c:pt>
                <c:pt idx="8">
                  <c:v>-5.0999999999999943</c:v>
                </c:pt>
                <c:pt idx="9">
                  <c:v>2.0999999999999943</c:v>
                </c:pt>
              </c:numCache>
            </c:numRef>
          </c:val>
          <c:smooth val="0"/>
        </c:ser>
        <c:dLbls>
          <c:showLegendKey val="0"/>
          <c:showVal val="0"/>
          <c:showCatName val="0"/>
          <c:showSerName val="0"/>
          <c:showPercent val="0"/>
          <c:showBubbleSize val="0"/>
        </c:dLbls>
        <c:marker val="1"/>
        <c:smooth val="0"/>
        <c:axId val="120575104"/>
        <c:axId val="120576640"/>
      </c:lineChart>
      <c:catAx>
        <c:axId val="120575104"/>
        <c:scaling>
          <c:orientation val="minMax"/>
        </c:scaling>
        <c:delete val="0"/>
        <c:axPos val="b"/>
        <c:numFmt formatCode="General" sourceLinked="1"/>
        <c:majorTickMark val="out"/>
        <c:minorTickMark val="none"/>
        <c:tickLblPos val="nextTo"/>
        <c:crossAx val="120576640"/>
        <c:crosses val="autoZero"/>
        <c:auto val="1"/>
        <c:lblAlgn val="ctr"/>
        <c:lblOffset val="100"/>
        <c:noMultiLvlLbl val="0"/>
      </c:catAx>
      <c:valAx>
        <c:axId val="120576640"/>
        <c:scaling>
          <c:orientation val="minMax"/>
        </c:scaling>
        <c:delete val="0"/>
        <c:axPos val="l"/>
        <c:majorGridlines/>
        <c:numFmt formatCode="0.00" sourceLinked="1"/>
        <c:majorTickMark val="out"/>
        <c:minorTickMark val="none"/>
        <c:tickLblPos val="nextTo"/>
        <c:crossAx val="120575104"/>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'Growth Pattern'!$CE$492</c:f>
              <c:strCache>
                <c:ptCount val="1"/>
                <c:pt idx="0">
                  <c:v>MAI</c:v>
                </c:pt>
              </c:strCache>
            </c:strRef>
          </c:tx>
          <c:cat>
            <c:numLit>
              <c:formatCode>General</c:formatCode>
              <c:ptCount val="10"/>
              <c:pt idx="0">
                <c:v>3</c:v>
              </c:pt>
              <c:pt idx="1">
                <c:v>4</c:v>
              </c:pt>
              <c:pt idx="2">
                <c:v>5</c:v>
              </c:pt>
              <c:pt idx="3">
                <c:v>6</c:v>
              </c:pt>
              <c:pt idx="4">
                <c:v>7</c:v>
              </c:pt>
              <c:pt idx="5">
                <c:v>8</c:v>
              </c:pt>
              <c:pt idx="6">
                <c:v>9</c:v>
              </c:pt>
              <c:pt idx="7">
                <c:v>10</c:v>
              </c:pt>
              <c:pt idx="8">
                <c:v>11</c:v>
              </c:pt>
              <c:pt idx="9">
                <c:v>12</c:v>
              </c:pt>
            </c:numLit>
          </c:cat>
          <c:val>
            <c:numRef>
              <c:f>'Growth Pattern'!$CE$493:$CE$502</c:f>
              <c:numCache>
                <c:formatCode>0.00</c:formatCode>
                <c:ptCount val="10"/>
                <c:pt idx="0">
                  <c:v>0.9</c:v>
                </c:pt>
                <c:pt idx="1">
                  <c:v>3.6</c:v>
                </c:pt>
                <c:pt idx="2">
                  <c:v>6.1</c:v>
                </c:pt>
                <c:pt idx="3">
                  <c:v>6.5</c:v>
                </c:pt>
                <c:pt idx="4">
                  <c:v>7.4</c:v>
                </c:pt>
                <c:pt idx="5">
                  <c:v>7.6</c:v>
                </c:pt>
                <c:pt idx="6">
                  <c:v>8.6999999999999993</c:v>
                </c:pt>
                <c:pt idx="7">
                  <c:v>8.5</c:v>
                </c:pt>
                <c:pt idx="8">
                  <c:v>8.3000000000000007</c:v>
                </c:pt>
                <c:pt idx="9">
                  <c:v>8.3000000000000007</c:v>
                </c:pt>
              </c:numCache>
            </c:numRef>
          </c:val>
          <c:smooth val="0"/>
        </c:ser>
        <c:ser>
          <c:idx val="1"/>
          <c:order val="1"/>
          <c:tx>
            <c:strRef>
              <c:f>'Growth Pattern'!$CF$492</c:f>
              <c:strCache>
                <c:ptCount val="1"/>
                <c:pt idx="0">
                  <c:v>CAI</c:v>
                </c:pt>
              </c:strCache>
            </c:strRef>
          </c:tx>
          <c:cat>
            <c:numLit>
              <c:formatCode>General</c:formatCode>
              <c:ptCount val="10"/>
              <c:pt idx="0">
                <c:v>3</c:v>
              </c:pt>
              <c:pt idx="1">
                <c:v>4</c:v>
              </c:pt>
              <c:pt idx="2">
                <c:v>5</c:v>
              </c:pt>
              <c:pt idx="3">
                <c:v>6</c:v>
              </c:pt>
              <c:pt idx="4">
                <c:v>7</c:v>
              </c:pt>
              <c:pt idx="5">
                <c:v>8</c:v>
              </c:pt>
              <c:pt idx="6">
                <c:v>9</c:v>
              </c:pt>
              <c:pt idx="7">
                <c:v>10</c:v>
              </c:pt>
              <c:pt idx="8">
                <c:v>11</c:v>
              </c:pt>
              <c:pt idx="9">
                <c:v>12</c:v>
              </c:pt>
            </c:numLit>
          </c:cat>
          <c:val>
            <c:numRef>
              <c:f>'Growth Pattern'!$CF$493:$CF$502</c:f>
              <c:numCache>
                <c:formatCode>0.00</c:formatCode>
                <c:ptCount val="10"/>
                <c:pt idx="0">
                  <c:v>2.7</c:v>
                </c:pt>
                <c:pt idx="1">
                  <c:v>11.7</c:v>
                </c:pt>
                <c:pt idx="2">
                  <c:v>16.100000000000001</c:v>
                </c:pt>
                <c:pt idx="3">
                  <c:v>8.5</c:v>
                </c:pt>
                <c:pt idx="4">
                  <c:v>12.800000000000004</c:v>
                </c:pt>
                <c:pt idx="5">
                  <c:v>8.9999999999999929</c:v>
                </c:pt>
                <c:pt idx="6">
                  <c:v>17.5</c:v>
                </c:pt>
                <c:pt idx="7">
                  <c:v>6.7000000000000028</c:v>
                </c:pt>
                <c:pt idx="8">
                  <c:v>6.3000000000000114</c:v>
                </c:pt>
                <c:pt idx="9">
                  <c:v>8.2999999999999972</c:v>
                </c:pt>
              </c:numCache>
            </c:numRef>
          </c:val>
          <c:smooth val="0"/>
        </c:ser>
        <c:dLbls>
          <c:showLegendKey val="0"/>
          <c:showVal val="0"/>
          <c:showCatName val="0"/>
          <c:showSerName val="0"/>
          <c:showPercent val="0"/>
          <c:showBubbleSize val="0"/>
        </c:dLbls>
        <c:marker val="1"/>
        <c:smooth val="0"/>
        <c:axId val="120613888"/>
        <c:axId val="120619776"/>
      </c:lineChart>
      <c:catAx>
        <c:axId val="120613888"/>
        <c:scaling>
          <c:orientation val="minMax"/>
        </c:scaling>
        <c:delete val="0"/>
        <c:axPos val="b"/>
        <c:numFmt formatCode="General" sourceLinked="1"/>
        <c:majorTickMark val="out"/>
        <c:minorTickMark val="none"/>
        <c:tickLblPos val="nextTo"/>
        <c:crossAx val="120619776"/>
        <c:crosses val="autoZero"/>
        <c:auto val="1"/>
        <c:lblAlgn val="ctr"/>
        <c:lblOffset val="100"/>
        <c:noMultiLvlLbl val="0"/>
      </c:catAx>
      <c:valAx>
        <c:axId val="120619776"/>
        <c:scaling>
          <c:orientation val="minMax"/>
        </c:scaling>
        <c:delete val="0"/>
        <c:axPos val="l"/>
        <c:majorGridlines/>
        <c:numFmt formatCode="0.00" sourceLinked="1"/>
        <c:majorTickMark val="out"/>
        <c:minorTickMark val="none"/>
        <c:tickLblPos val="nextTo"/>
        <c:crossAx val="120613888"/>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'Growth Pattern'!$CE$503</c:f>
              <c:strCache>
                <c:ptCount val="1"/>
                <c:pt idx="0">
                  <c:v>MAI</c:v>
                </c:pt>
              </c:strCache>
            </c:strRef>
          </c:tx>
          <c:cat>
            <c:numLit>
              <c:formatCode>General</c:formatCode>
              <c:ptCount val="6"/>
              <c:pt idx="0">
                <c:v>3</c:v>
              </c:pt>
              <c:pt idx="1">
                <c:v>4</c:v>
              </c:pt>
              <c:pt idx="2">
                <c:v>5</c:v>
              </c:pt>
              <c:pt idx="3">
                <c:v>6</c:v>
              </c:pt>
              <c:pt idx="4">
                <c:v>7</c:v>
              </c:pt>
              <c:pt idx="5">
                <c:v>8</c:v>
              </c:pt>
            </c:numLit>
          </c:cat>
          <c:val>
            <c:numRef>
              <c:f>'Growth Pattern'!$CE$504:$CE$509</c:f>
              <c:numCache>
                <c:formatCode>0.00</c:formatCode>
                <c:ptCount val="6"/>
                <c:pt idx="0">
                  <c:v>2</c:v>
                </c:pt>
                <c:pt idx="1">
                  <c:v>4</c:v>
                </c:pt>
                <c:pt idx="2">
                  <c:v>4.4000000000000004</c:v>
                </c:pt>
                <c:pt idx="3">
                  <c:v>5.6</c:v>
                </c:pt>
                <c:pt idx="4">
                  <c:v>5.8</c:v>
                </c:pt>
                <c:pt idx="5">
                  <c:v>6.3</c:v>
                </c:pt>
              </c:numCache>
            </c:numRef>
          </c:val>
          <c:smooth val="0"/>
        </c:ser>
        <c:ser>
          <c:idx val="1"/>
          <c:order val="1"/>
          <c:tx>
            <c:strRef>
              <c:f>'Growth Pattern'!$CF$503</c:f>
              <c:strCache>
                <c:ptCount val="1"/>
                <c:pt idx="0">
                  <c:v>CAI</c:v>
                </c:pt>
              </c:strCache>
            </c:strRef>
          </c:tx>
          <c:cat>
            <c:numLit>
              <c:formatCode>General</c:formatCode>
              <c:ptCount val="6"/>
              <c:pt idx="0">
                <c:v>3</c:v>
              </c:pt>
              <c:pt idx="1">
                <c:v>4</c:v>
              </c:pt>
              <c:pt idx="2">
                <c:v>5</c:v>
              </c:pt>
              <c:pt idx="3">
                <c:v>6</c:v>
              </c:pt>
              <c:pt idx="4">
                <c:v>7</c:v>
              </c:pt>
              <c:pt idx="5">
                <c:v>8</c:v>
              </c:pt>
            </c:numLit>
          </c:cat>
          <c:val>
            <c:numRef>
              <c:f>'Growth Pattern'!$CF$504:$CF$509</c:f>
              <c:numCache>
                <c:formatCode>0.00</c:formatCode>
                <c:ptCount val="6"/>
                <c:pt idx="0">
                  <c:v>6</c:v>
                </c:pt>
                <c:pt idx="1">
                  <c:v>10</c:v>
                </c:pt>
                <c:pt idx="2">
                  <c:v>6</c:v>
                </c:pt>
                <c:pt idx="3">
                  <c:v>11.599999999999994</c:v>
                </c:pt>
                <c:pt idx="4">
                  <c:v>7.0000000000000071</c:v>
                </c:pt>
                <c:pt idx="5">
                  <c:v>9.7999999999999972</c:v>
                </c:pt>
              </c:numCache>
            </c:numRef>
          </c:val>
          <c:smooth val="0"/>
        </c:ser>
        <c:dLbls>
          <c:showLegendKey val="0"/>
          <c:showVal val="0"/>
          <c:showCatName val="0"/>
          <c:showSerName val="0"/>
          <c:showPercent val="0"/>
          <c:showBubbleSize val="0"/>
        </c:dLbls>
        <c:marker val="1"/>
        <c:smooth val="0"/>
        <c:axId val="120640640"/>
        <c:axId val="120642176"/>
      </c:lineChart>
      <c:catAx>
        <c:axId val="120640640"/>
        <c:scaling>
          <c:orientation val="minMax"/>
        </c:scaling>
        <c:delete val="0"/>
        <c:axPos val="b"/>
        <c:numFmt formatCode="General" sourceLinked="1"/>
        <c:majorTickMark val="out"/>
        <c:minorTickMark val="none"/>
        <c:tickLblPos val="nextTo"/>
        <c:crossAx val="120642176"/>
        <c:crosses val="autoZero"/>
        <c:auto val="1"/>
        <c:lblAlgn val="ctr"/>
        <c:lblOffset val="100"/>
        <c:noMultiLvlLbl val="0"/>
      </c:catAx>
      <c:valAx>
        <c:axId val="120642176"/>
        <c:scaling>
          <c:orientation val="minMax"/>
        </c:scaling>
        <c:delete val="0"/>
        <c:axPos val="l"/>
        <c:majorGridlines/>
        <c:numFmt formatCode="0.00" sourceLinked="1"/>
        <c:majorTickMark val="out"/>
        <c:minorTickMark val="none"/>
        <c:tickLblPos val="nextTo"/>
        <c:crossAx val="120640640"/>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'Growth Pattern'!$CE$510</c:f>
              <c:strCache>
                <c:ptCount val="1"/>
                <c:pt idx="0">
                  <c:v>MAI</c:v>
                </c:pt>
              </c:strCache>
            </c:strRef>
          </c:tx>
          <c:cat>
            <c:numLit>
              <c:formatCode>General</c:formatCode>
              <c:ptCount val="6"/>
              <c:pt idx="0">
                <c:v>3</c:v>
              </c:pt>
              <c:pt idx="1">
                <c:v>4</c:v>
              </c:pt>
              <c:pt idx="2">
                <c:v>5</c:v>
              </c:pt>
              <c:pt idx="3">
                <c:v>6</c:v>
              </c:pt>
              <c:pt idx="4">
                <c:v>7</c:v>
              </c:pt>
              <c:pt idx="5">
                <c:v>8</c:v>
              </c:pt>
            </c:numLit>
          </c:cat>
          <c:val>
            <c:numRef>
              <c:f>'Growth Pattern'!$CE$511:$CE$516</c:f>
              <c:numCache>
                <c:formatCode>0.00</c:formatCode>
                <c:ptCount val="6"/>
                <c:pt idx="0">
                  <c:v>0.5</c:v>
                </c:pt>
                <c:pt idx="1">
                  <c:v>1.5</c:v>
                </c:pt>
                <c:pt idx="2">
                  <c:v>2.4</c:v>
                </c:pt>
                <c:pt idx="3">
                  <c:v>4</c:v>
                </c:pt>
                <c:pt idx="4">
                  <c:v>4.7</c:v>
                </c:pt>
                <c:pt idx="5">
                  <c:v>5.6</c:v>
                </c:pt>
              </c:numCache>
            </c:numRef>
          </c:val>
          <c:smooth val="0"/>
        </c:ser>
        <c:ser>
          <c:idx val="1"/>
          <c:order val="1"/>
          <c:tx>
            <c:strRef>
              <c:f>'Growth Pattern'!$CF$510</c:f>
              <c:strCache>
                <c:ptCount val="1"/>
                <c:pt idx="0">
                  <c:v>CAI</c:v>
                </c:pt>
              </c:strCache>
            </c:strRef>
          </c:tx>
          <c:cat>
            <c:numLit>
              <c:formatCode>General</c:formatCode>
              <c:ptCount val="6"/>
              <c:pt idx="0">
                <c:v>3</c:v>
              </c:pt>
              <c:pt idx="1">
                <c:v>4</c:v>
              </c:pt>
              <c:pt idx="2">
                <c:v>5</c:v>
              </c:pt>
              <c:pt idx="3">
                <c:v>6</c:v>
              </c:pt>
              <c:pt idx="4">
                <c:v>7</c:v>
              </c:pt>
              <c:pt idx="5">
                <c:v>8</c:v>
              </c:pt>
            </c:numLit>
          </c:cat>
          <c:val>
            <c:numRef>
              <c:f>'Growth Pattern'!$CF$511:$CF$516</c:f>
              <c:numCache>
                <c:formatCode>0.00</c:formatCode>
                <c:ptCount val="6"/>
                <c:pt idx="0">
                  <c:v>1.5</c:v>
                </c:pt>
                <c:pt idx="1">
                  <c:v>4.5</c:v>
                </c:pt>
                <c:pt idx="2">
                  <c:v>6</c:v>
                </c:pt>
                <c:pt idx="3">
                  <c:v>12</c:v>
                </c:pt>
                <c:pt idx="4">
                  <c:v>8.8999999999999986</c:v>
                </c:pt>
                <c:pt idx="5">
                  <c:v>11.899999999999999</c:v>
                </c:pt>
              </c:numCache>
            </c:numRef>
          </c:val>
          <c:smooth val="0"/>
        </c:ser>
        <c:dLbls>
          <c:showLegendKey val="0"/>
          <c:showVal val="0"/>
          <c:showCatName val="0"/>
          <c:showSerName val="0"/>
          <c:showPercent val="0"/>
          <c:showBubbleSize val="0"/>
        </c:dLbls>
        <c:marker val="1"/>
        <c:smooth val="0"/>
        <c:axId val="120286208"/>
        <c:axId val="120288000"/>
      </c:lineChart>
      <c:catAx>
        <c:axId val="120286208"/>
        <c:scaling>
          <c:orientation val="minMax"/>
        </c:scaling>
        <c:delete val="0"/>
        <c:axPos val="b"/>
        <c:numFmt formatCode="General" sourceLinked="1"/>
        <c:majorTickMark val="out"/>
        <c:minorTickMark val="none"/>
        <c:tickLblPos val="nextTo"/>
        <c:crossAx val="120288000"/>
        <c:crosses val="autoZero"/>
        <c:auto val="1"/>
        <c:lblAlgn val="ctr"/>
        <c:lblOffset val="100"/>
        <c:noMultiLvlLbl val="0"/>
      </c:catAx>
      <c:valAx>
        <c:axId val="120288000"/>
        <c:scaling>
          <c:orientation val="minMax"/>
        </c:scaling>
        <c:delete val="0"/>
        <c:axPos val="l"/>
        <c:majorGridlines/>
        <c:numFmt formatCode="0.00" sourceLinked="1"/>
        <c:majorTickMark val="out"/>
        <c:minorTickMark val="none"/>
        <c:tickLblPos val="nextTo"/>
        <c:crossAx val="120286208"/>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'Growth Pattern'!$CE$517</c:f>
              <c:strCache>
                <c:ptCount val="1"/>
                <c:pt idx="0">
                  <c:v>MAI</c:v>
                </c:pt>
              </c:strCache>
            </c:strRef>
          </c:tx>
          <c:cat>
            <c:numLit>
              <c:formatCode>General</c:formatCode>
              <c:ptCount val="6"/>
              <c:pt idx="0">
                <c:v>3</c:v>
              </c:pt>
              <c:pt idx="1">
                <c:v>4</c:v>
              </c:pt>
              <c:pt idx="2">
                <c:v>5</c:v>
              </c:pt>
              <c:pt idx="3">
                <c:v>6</c:v>
              </c:pt>
              <c:pt idx="4">
                <c:v>7</c:v>
              </c:pt>
              <c:pt idx="5">
                <c:v>8</c:v>
              </c:pt>
            </c:numLit>
          </c:cat>
          <c:val>
            <c:numRef>
              <c:f>'Growth Pattern'!$CE$518:$CE$523</c:f>
              <c:numCache>
                <c:formatCode>0.00</c:formatCode>
                <c:ptCount val="6"/>
                <c:pt idx="0">
                  <c:v>0.5</c:v>
                </c:pt>
                <c:pt idx="1">
                  <c:v>1.4</c:v>
                </c:pt>
                <c:pt idx="2">
                  <c:v>2</c:v>
                </c:pt>
                <c:pt idx="3">
                  <c:v>3.4</c:v>
                </c:pt>
                <c:pt idx="4">
                  <c:v>4</c:v>
                </c:pt>
                <c:pt idx="5">
                  <c:v>4.9000000000000004</c:v>
                </c:pt>
              </c:numCache>
            </c:numRef>
          </c:val>
          <c:smooth val="0"/>
        </c:ser>
        <c:ser>
          <c:idx val="1"/>
          <c:order val="1"/>
          <c:tx>
            <c:strRef>
              <c:f>'Growth Pattern'!$CF$517</c:f>
              <c:strCache>
                <c:ptCount val="1"/>
                <c:pt idx="0">
                  <c:v>CAI</c:v>
                </c:pt>
              </c:strCache>
            </c:strRef>
          </c:tx>
          <c:cat>
            <c:numLit>
              <c:formatCode>General</c:formatCode>
              <c:ptCount val="6"/>
              <c:pt idx="0">
                <c:v>3</c:v>
              </c:pt>
              <c:pt idx="1">
                <c:v>4</c:v>
              </c:pt>
              <c:pt idx="2">
                <c:v>5</c:v>
              </c:pt>
              <c:pt idx="3">
                <c:v>6</c:v>
              </c:pt>
              <c:pt idx="4">
                <c:v>7</c:v>
              </c:pt>
              <c:pt idx="5">
                <c:v>8</c:v>
              </c:pt>
            </c:numLit>
          </c:cat>
          <c:val>
            <c:numRef>
              <c:f>'Growth Pattern'!$CF$518:$CF$523</c:f>
              <c:numCache>
                <c:formatCode>0.00</c:formatCode>
                <c:ptCount val="6"/>
                <c:pt idx="1">
                  <c:v>4.0999999999999996</c:v>
                </c:pt>
                <c:pt idx="2">
                  <c:v>4.4000000000000004</c:v>
                </c:pt>
                <c:pt idx="3">
                  <c:v>10.399999999999999</c:v>
                </c:pt>
                <c:pt idx="4">
                  <c:v>7.6000000000000014</c:v>
                </c:pt>
                <c:pt idx="5">
                  <c:v>11.200000000000003</c:v>
                </c:pt>
              </c:numCache>
            </c:numRef>
          </c:val>
          <c:smooth val="0"/>
        </c:ser>
        <c:dLbls>
          <c:showLegendKey val="0"/>
          <c:showVal val="0"/>
          <c:showCatName val="0"/>
          <c:showSerName val="0"/>
          <c:showPercent val="0"/>
          <c:showBubbleSize val="0"/>
        </c:dLbls>
        <c:marker val="1"/>
        <c:smooth val="0"/>
        <c:axId val="120308480"/>
        <c:axId val="120310016"/>
      </c:lineChart>
      <c:catAx>
        <c:axId val="120308480"/>
        <c:scaling>
          <c:orientation val="minMax"/>
        </c:scaling>
        <c:delete val="0"/>
        <c:axPos val="b"/>
        <c:numFmt formatCode="General" sourceLinked="1"/>
        <c:majorTickMark val="out"/>
        <c:minorTickMark val="none"/>
        <c:tickLblPos val="nextTo"/>
        <c:crossAx val="120310016"/>
        <c:crosses val="autoZero"/>
        <c:auto val="1"/>
        <c:lblAlgn val="ctr"/>
        <c:lblOffset val="100"/>
        <c:noMultiLvlLbl val="0"/>
      </c:catAx>
      <c:valAx>
        <c:axId val="120310016"/>
        <c:scaling>
          <c:orientation val="minMax"/>
        </c:scaling>
        <c:delete val="0"/>
        <c:axPos val="l"/>
        <c:majorGridlines/>
        <c:numFmt formatCode="0.00" sourceLinked="1"/>
        <c:majorTickMark val="out"/>
        <c:minorTickMark val="none"/>
        <c:tickLblPos val="nextTo"/>
        <c:crossAx val="120308480"/>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'Growth Pattern'!$CE$524</c:f>
              <c:strCache>
                <c:ptCount val="1"/>
                <c:pt idx="0">
                  <c:v>MAI</c:v>
                </c:pt>
              </c:strCache>
            </c:strRef>
          </c:tx>
          <c:cat>
            <c:numLit>
              <c:formatCode>General</c:formatCode>
              <c:ptCount val="6"/>
              <c:pt idx="0">
                <c:v>3</c:v>
              </c:pt>
              <c:pt idx="1">
                <c:v>4</c:v>
              </c:pt>
              <c:pt idx="2">
                <c:v>5</c:v>
              </c:pt>
              <c:pt idx="3">
                <c:v>6</c:v>
              </c:pt>
              <c:pt idx="4">
                <c:v>7</c:v>
              </c:pt>
              <c:pt idx="5">
                <c:v>8</c:v>
              </c:pt>
            </c:numLit>
          </c:cat>
          <c:val>
            <c:numRef>
              <c:f>'Growth Pattern'!$CE$525:$CE$530</c:f>
              <c:numCache>
                <c:formatCode>0.00</c:formatCode>
                <c:ptCount val="6"/>
                <c:pt idx="0">
                  <c:v>6.7</c:v>
                </c:pt>
                <c:pt idx="1">
                  <c:v>9</c:v>
                </c:pt>
                <c:pt idx="2">
                  <c:v>9.6</c:v>
                </c:pt>
                <c:pt idx="3">
                  <c:v>10.1</c:v>
                </c:pt>
                <c:pt idx="4">
                  <c:v>9.6</c:v>
                </c:pt>
                <c:pt idx="5">
                  <c:v>8.1</c:v>
                </c:pt>
              </c:numCache>
            </c:numRef>
          </c:val>
          <c:smooth val="0"/>
        </c:ser>
        <c:ser>
          <c:idx val="1"/>
          <c:order val="1"/>
          <c:tx>
            <c:strRef>
              <c:f>'Growth Pattern'!$CF$524</c:f>
              <c:strCache>
                <c:ptCount val="1"/>
                <c:pt idx="0">
                  <c:v>CAI</c:v>
                </c:pt>
              </c:strCache>
            </c:strRef>
          </c:tx>
          <c:cat>
            <c:numLit>
              <c:formatCode>General</c:formatCode>
              <c:ptCount val="6"/>
              <c:pt idx="0">
                <c:v>3</c:v>
              </c:pt>
              <c:pt idx="1">
                <c:v>4</c:v>
              </c:pt>
              <c:pt idx="2">
                <c:v>5</c:v>
              </c:pt>
              <c:pt idx="3">
                <c:v>6</c:v>
              </c:pt>
              <c:pt idx="4">
                <c:v>7</c:v>
              </c:pt>
              <c:pt idx="5">
                <c:v>8</c:v>
              </c:pt>
            </c:numLit>
          </c:cat>
          <c:val>
            <c:numRef>
              <c:f>'Growth Pattern'!$CF$525:$CF$530</c:f>
              <c:numCache>
                <c:formatCode>0.00</c:formatCode>
                <c:ptCount val="6"/>
                <c:pt idx="1">
                  <c:v>15.899999999999999</c:v>
                </c:pt>
                <c:pt idx="2">
                  <c:v>12</c:v>
                </c:pt>
                <c:pt idx="3">
                  <c:v>12.599999999999994</c:v>
                </c:pt>
                <c:pt idx="4">
                  <c:v>6.6000000000000085</c:v>
                </c:pt>
                <c:pt idx="5">
                  <c:v>-2.4000000000000057</c:v>
                </c:pt>
              </c:numCache>
            </c:numRef>
          </c:val>
          <c:smooth val="0"/>
        </c:ser>
        <c:dLbls>
          <c:showLegendKey val="0"/>
          <c:showVal val="0"/>
          <c:showCatName val="0"/>
          <c:showSerName val="0"/>
          <c:showPercent val="0"/>
          <c:showBubbleSize val="0"/>
        </c:dLbls>
        <c:marker val="1"/>
        <c:smooth val="0"/>
        <c:axId val="120392320"/>
        <c:axId val="120402304"/>
      </c:lineChart>
      <c:catAx>
        <c:axId val="120392320"/>
        <c:scaling>
          <c:orientation val="minMax"/>
        </c:scaling>
        <c:delete val="0"/>
        <c:axPos val="b"/>
        <c:numFmt formatCode="General" sourceLinked="1"/>
        <c:majorTickMark val="out"/>
        <c:minorTickMark val="none"/>
        <c:tickLblPos val="nextTo"/>
        <c:crossAx val="120402304"/>
        <c:crosses val="autoZero"/>
        <c:auto val="1"/>
        <c:lblAlgn val="ctr"/>
        <c:lblOffset val="100"/>
        <c:noMultiLvlLbl val="0"/>
      </c:catAx>
      <c:valAx>
        <c:axId val="120402304"/>
        <c:scaling>
          <c:orientation val="minMax"/>
        </c:scaling>
        <c:delete val="0"/>
        <c:axPos val="l"/>
        <c:majorGridlines/>
        <c:numFmt formatCode="0.00" sourceLinked="1"/>
        <c:majorTickMark val="out"/>
        <c:minorTickMark val="none"/>
        <c:tickLblPos val="nextTo"/>
        <c:crossAx val="120392320"/>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'Growth Pattern'!$CE$531</c:f>
              <c:strCache>
                <c:ptCount val="1"/>
                <c:pt idx="0">
                  <c:v>MAI</c:v>
                </c:pt>
              </c:strCache>
            </c:strRef>
          </c:tx>
          <c:cat>
            <c:numLit>
              <c:formatCode>General</c:formatCode>
              <c:ptCount val="6"/>
              <c:pt idx="0">
                <c:v>3</c:v>
              </c:pt>
              <c:pt idx="1">
                <c:v>4</c:v>
              </c:pt>
              <c:pt idx="2">
                <c:v>5</c:v>
              </c:pt>
              <c:pt idx="3">
                <c:v>6</c:v>
              </c:pt>
              <c:pt idx="4">
                <c:v>7</c:v>
              </c:pt>
              <c:pt idx="5">
                <c:v>8</c:v>
              </c:pt>
            </c:numLit>
          </c:cat>
          <c:val>
            <c:numRef>
              <c:f>'Growth Pattern'!$CE$532:$CE$537</c:f>
              <c:numCache>
                <c:formatCode>0.00</c:formatCode>
                <c:ptCount val="6"/>
                <c:pt idx="0">
                  <c:v>6.5</c:v>
                </c:pt>
                <c:pt idx="1">
                  <c:v>9.9</c:v>
                </c:pt>
                <c:pt idx="2">
                  <c:v>10.9</c:v>
                </c:pt>
                <c:pt idx="3">
                  <c:v>12.8</c:v>
                </c:pt>
                <c:pt idx="4">
                  <c:v>11</c:v>
                </c:pt>
                <c:pt idx="5">
                  <c:v>9</c:v>
                </c:pt>
              </c:numCache>
            </c:numRef>
          </c:val>
          <c:smooth val="0"/>
        </c:ser>
        <c:ser>
          <c:idx val="1"/>
          <c:order val="1"/>
          <c:tx>
            <c:strRef>
              <c:f>'Growth Pattern'!$CF$531</c:f>
              <c:strCache>
                <c:ptCount val="1"/>
                <c:pt idx="0">
                  <c:v>CAI</c:v>
                </c:pt>
              </c:strCache>
            </c:strRef>
          </c:tx>
          <c:cat>
            <c:numLit>
              <c:formatCode>General</c:formatCode>
              <c:ptCount val="6"/>
              <c:pt idx="0">
                <c:v>3</c:v>
              </c:pt>
              <c:pt idx="1">
                <c:v>4</c:v>
              </c:pt>
              <c:pt idx="2">
                <c:v>5</c:v>
              </c:pt>
              <c:pt idx="3">
                <c:v>6</c:v>
              </c:pt>
              <c:pt idx="4">
                <c:v>7</c:v>
              </c:pt>
              <c:pt idx="5">
                <c:v>8</c:v>
              </c:pt>
            </c:numLit>
          </c:cat>
          <c:val>
            <c:numRef>
              <c:f>'Growth Pattern'!$CF$532:$CF$537</c:f>
              <c:numCache>
                <c:formatCode>0.00</c:formatCode>
                <c:ptCount val="6"/>
                <c:pt idx="1">
                  <c:v>20.100000000000001</c:v>
                </c:pt>
                <c:pt idx="2">
                  <c:v>14.899999999999999</c:v>
                </c:pt>
                <c:pt idx="3">
                  <c:v>22.300000000000011</c:v>
                </c:pt>
                <c:pt idx="4">
                  <c:v>0.19999999999998863</c:v>
                </c:pt>
                <c:pt idx="5">
                  <c:v>-5</c:v>
                </c:pt>
              </c:numCache>
            </c:numRef>
          </c:val>
          <c:smooth val="0"/>
        </c:ser>
        <c:dLbls>
          <c:showLegendKey val="0"/>
          <c:showVal val="0"/>
          <c:showCatName val="0"/>
          <c:showSerName val="0"/>
          <c:showPercent val="0"/>
          <c:showBubbleSize val="0"/>
        </c:dLbls>
        <c:marker val="1"/>
        <c:smooth val="0"/>
        <c:axId val="120427648"/>
        <c:axId val="120429184"/>
      </c:lineChart>
      <c:catAx>
        <c:axId val="120427648"/>
        <c:scaling>
          <c:orientation val="minMax"/>
        </c:scaling>
        <c:delete val="0"/>
        <c:axPos val="b"/>
        <c:numFmt formatCode="General" sourceLinked="1"/>
        <c:majorTickMark val="out"/>
        <c:minorTickMark val="none"/>
        <c:tickLblPos val="nextTo"/>
        <c:crossAx val="120429184"/>
        <c:crosses val="autoZero"/>
        <c:auto val="1"/>
        <c:lblAlgn val="ctr"/>
        <c:lblOffset val="100"/>
        <c:noMultiLvlLbl val="0"/>
      </c:catAx>
      <c:valAx>
        <c:axId val="120429184"/>
        <c:scaling>
          <c:orientation val="minMax"/>
        </c:scaling>
        <c:delete val="0"/>
        <c:axPos val="l"/>
        <c:majorGridlines/>
        <c:numFmt formatCode="0.00" sourceLinked="1"/>
        <c:majorTickMark val="out"/>
        <c:minorTickMark val="none"/>
        <c:tickLblPos val="nextTo"/>
        <c:crossAx val="120427648"/>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'Growth Pattern'!$CE$538</c:f>
              <c:strCache>
                <c:ptCount val="1"/>
                <c:pt idx="0">
                  <c:v>MAI</c:v>
                </c:pt>
              </c:strCache>
            </c:strRef>
          </c:tx>
          <c:cat>
            <c:numLit>
              <c:formatCode>General</c:formatCode>
              <c:ptCount val="6"/>
              <c:pt idx="0">
                <c:v>3</c:v>
              </c:pt>
              <c:pt idx="1">
                <c:v>4</c:v>
              </c:pt>
              <c:pt idx="2">
                <c:v>5</c:v>
              </c:pt>
              <c:pt idx="3">
                <c:v>6</c:v>
              </c:pt>
              <c:pt idx="4">
                <c:v>7</c:v>
              </c:pt>
              <c:pt idx="5">
                <c:v>8</c:v>
              </c:pt>
            </c:numLit>
          </c:cat>
          <c:val>
            <c:numRef>
              <c:f>'Growth Pattern'!$CE$539:$CE$544</c:f>
              <c:numCache>
                <c:formatCode>0.00</c:formatCode>
                <c:ptCount val="6"/>
                <c:pt idx="0">
                  <c:v>4.7</c:v>
                </c:pt>
                <c:pt idx="1">
                  <c:v>8.6999999999999993</c:v>
                </c:pt>
                <c:pt idx="2">
                  <c:v>10.1</c:v>
                </c:pt>
                <c:pt idx="3">
                  <c:v>11.2</c:v>
                </c:pt>
                <c:pt idx="4">
                  <c:v>11.4</c:v>
                </c:pt>
                <c:pt idx="5">
                  <c:v>9.4</c:v>
                </c:pt>
              </c:numCache>
            </c:numRef>
          </c:val>
          <c:smooth val="0"/>
        </c:ser>
        <c:ser>
          <c:idx val="1"/>
          <c:order val="1"/>
          <c:tx>
            <c:strRef>
              <c:f>'Growth Pattern'!$CF$538</c:f>
              <c:strCache>
                <c:ptCount val="1"/>
                <c:pt idx="0">
                  <c:v>CAI</c:v>
                </c:pt>
              </c:strCache>
            </c:strRef>
          </c:tx>
          <c:cat>
            <c:numLit>
              <c:formatCode>General</c:formatCode>
              <c:ptCount val="6"/>
              <c:pt idx="0">
                <c:v>3</c:v>
              </c:pt>
              <c:pt idx="1">
                <c:v>4</c:v>
              </c:pt>
              <c:pt idx="2">
                <c:v>5</c:v>
              </c:pt>
              <c:pt idx="3">
                <c:v>6</c:v>
              </c:pt>
              <c:pt idx="4">
                <c:v>7</c:v>
              </c:pt>
              <c:pt idx="5">
                <c:v>8</c:v>
              </c:pt>
            </c:numLit>
          </c:cat>
          <c:val>
            <c:numRef>
              <c:f>'Growth Pattern'!$CF$539:$CF$544</c:f>
              <c:numCache>
                <c:formatCode>0.00</c:formatCode>
                <c:ptCount val="6"/>
                <c:pt idx="1">
                  <c:v>20.699999999999996</c:v>
                </c:pt>
                <c:pt idx="2">
                  <c:v>15.700000000000003</c:v>
                </c:pt>
                <c:pt idx="3">
                  <c:v>16.699999999999989</c:v>
                </c:pt>
                <c:pt idx="4">
                  <c:v>12.600000000000009</c:v>
                </c:pt>
                <c:pt idx="5">
                  <c:v>-4.5999999999999943</c:v>
                </c:pt>
              </c:numCache>
            </c:numRef>
          </c:val>
          <c:smooth val="0"/>
        </c:ser>
        <c:dLbls>
          <c:showLegendKey val="0"/>
          <c:showVal val="0"/>
          <c:showCatName val="0"/>
          <c:showSerName val="0"/>
          <c:showPercent val="0"/>
          <c:showBubbleSize val="0"/>
        </c:dLbls>
        <c:marker val="1"/>
        <c:smooth val="0"/>
        <c:axId val="120450432"/>
        <c:axId val="120472704"/>
      </c:lineChart>
      <c:catAx>
        <c:axId val="120450432"/>
        <c:scaling>
          <c:orientation val="minMax"/>
        </c:scaling>
        <c:delete val="0"/>
        <c:axPos val="b"/>
        <c:numFmt formatCode="General" sourceLinked="1"/>
        <c:majorTickMark val="out"/>
        <c:minorTickMark val="none"/>
        <c:tickLblPos val="nextTo"/>
        <c:crossAx val="120472704"/>
        <c:crosses val="autoZero"/>
        <c:auto val="1"/>
        <c:lblAlgn val="ctr"/>
        <c:lblOffset val="100"/>
        <c:noMultiLvlLbl val="0"/>
      </c:catAx>
      <c:valAx>
        <c:axId val="120472704"/>
        <c:scaling>
          <c:orientation val="minMax"/>
        </c:scaling>
        <c:delete val="0"/>
        <c:axPos val="l"/>
        <c:majorGridlines/>
        <c:numFmt formatCode="0.00" sourceLinked="1"/>
        <c:majorTickMark val="out"/>
        <c:minorTickMark val="none"/>
        <c:tickLblPos val="nextTo"/>
        <c:crossAx val="120450432"/>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'Growth Pattern'!$CE$545</c:f>
              <c:strCache>
                <c:ptCount val="1"/>
                <c:pt idx="0">
                  <c:v>MAI</c:v>
                </c:pt>
              </c:strCache>
            </c:strRef>
          </c:tx>
          <c:cat>
            <c:numLit>
              <c:formatCode>General</c:formatCode>
              <c:ptCount val="6"/>
              <c:pt idx="0">
                <c:v>3</c:v>
              </c:pt>
              <c:pt idx="1">
                <c:v>4</c:v>
              </c:pt>
              <c:pt idx="2">
                <c:v>5</c:v>
              </c:pt>
              <c:pt idx="3">
                <c:v>6</c:v>
              </c:pt>
              <c:pt idx="4">
                <c:v>7</c:v>
              </c:pt>
              <c:pt idx="5">
                <c:v>8</c:v>
              </c:pt>
            </c:numLit>
          </c:cat>
          <c:val>
            <c:numRef>
              <c:f>'Growth Pattern'!$CE$546:$CE$551</c:f>
              <c:numCache>
                <c:formatCode>0.00</c:formatCode>
                <c:ptCount val="6"/>
                <c:pt idx="0">
                  <c:v>5.8</c:v>
                </c:pt>
                <c:pt idx="1">
                  <c:v>8.1</c:v>
                </c:pt>
                <c:pt idx="2">
                  <c:v>9.4</c:v>
                </c:pt>
                <c:pt idx="3">
                  <c:v>10.1</c:v>
                </c:pt>
                <c:pt idx="4">
                  <c:v>11.2</c:v>
                </c:pt>
                <c:pt idx="5">
                  <c:v>10.3</c:v>
                </c:pt>
              </c:numCache>
            </c:numRef>
          </c:val>
          <c:smooth val="0"/>
        </c:ser>
        <c:ser>
          <c:idx val="1"/>
          <c:order val="1"/>
          <c:tx>
            <c:strRef>
              <c:f>'Growth Pattern'!$CF$545</c:f>
              <c:strCache>
                <c:ptCount val="1"/>
                <c:pt idx="0">
                  <c:v>CAI</c:v>
                </c:pt>
              </c:strCache>
            </c:strRef>
          </c:tx>
          <c:cat>
            <c:numLit>
              <c:formatCode>General</c:formatCode>
              <c:ptCount val="6"/>
              <c:pt idx="0">
                <c:v>3</c:v>
              </c:pt>
              <c:pt idx="1">
                <c:v>4</c:v>
              </c:pt>
              <c:pt idx="2">
                <c:v>5</c:v>
              </c:pt>
              <c:pt idx="3">
                <c:v>6</c:v>
              </c:pt>
              <c:pt idx="4">
                <c:v>7</c:v>
              </c:pt>
              <c:pt idx="5">
                <c:v>8</c:v>
              </c:pt>
            </c:numLit>
          </c:cat>
          <c:val>
            <c:numRef>
              <c:f>'Growth Pattern'!$CF$546:$CF$551</c:f>
              <c:numCache>
                <c:formatCode>0.00</c:formatCode>
                <c:ptCount val="6"/>
                <c:pt idx="1">
                  <c:v>15</c:v>
                </c:pt>
                <c:pt idx="2">
                  <c:v>14.600000000000001</c:v>
                </c:pt>
                <c:pt idx="3">
                  <c:v>13.599999999999994</c:v>
                </c:pt>
                <c:pt idx="4">
                  <c:v>17.799999999999997</c:v>
                </c:pt>
                <c:pt idx="5">
                  <c:v>4.0000000000000142</c:v>
                </c:pt>
              </c:numCache>
            </c:numRef>
          </c:val>
          <c:smooth val="0"/>
        </c:ser>
        <c:dLbls>
          <c:showLegendKey val="0"/>
          <c:showVal val="0"/>
          <c:showCatName val="0"/>
          <c:showSerName val="0"/>
          <c:showPercent val="0"/>
          <c:showBubbleSize val="0"/>
        </c:dLbls>
        <c:marker val="1"/>
        <c:smooth val="0"/>
        <c:axId val="120731136"/>
        <c:axId val="120732672"/>
      </c:lineChart>
      <c:catAx>
        <c:axId val="120731136"/>
        <c:scaling>
          <c:orientation val="minMax"/>
        </c:scaling>
        <c:delete val="0"/>
        <c:axPos val="b"/>
        <c:numFmt formatCode="General" sourceLinked="1"/>
        <c:majorTickMark val="out"/>
        <c:minorTickMark val="none"/>
        <c:tickLblPos val="nextTo"/>
        <c:crossAx val="120732672"/>
        <c:crosses val="autoZero"/>
        <c:auto val="1"/>
        <c:lblAlgn val="ctr"/>
        <c:lblOffset val="100"/>
        <c:noMultiLvlLbl val="0"/>
      </c:catAx>
      <c:valAx>
        <c:axId val="120732672"/>
        <c:scaling>
          <c:orientation val="minMax"/>
        </c:scaling>
        <c:delete val="0"/>
        <c:axPos val="l"/>
        <c:majorGridlines/>
        <c:numFmt formatCode="0.00" sourceLinked="1"/>
        <c:majorTickMark val="out"/>
        <c:minorTickMark val="none"/>
        <c:tickLblPos val="nextTo"/>
        <c:crossAx val="120731136"/>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'Growth Pattern'!$CE$552</c:f>
              <c:strCache>
                <c:ptCount val="1"/>
                <c:pt idx="0">
                  <c:v>MAI</c:v>
                </c:pt>
              </c:strCache>
            </c:strRef>
          </c:tx>
          <c:cat>
            <c:numLit>
              <c:formatCode>General</c:formatCode>
              <c:ptCount val="6"/>
              <c:pt idx="0">
                <c:v>3</c:v>
              </c:pt>
              <c:pt idx="1">
                <c:v>4</c:v>
              </c:pt>
              <c:pt idx="2">
                <c:v>5</c:v>
              </c:pt>
              <c:pt idx="3">
                <c:v>6</c:v>
              </c:pt>
              <c:pt idx="4">
                <c:v>7</c:v>
              </c:pt>
              <c:pt idx="5">
                <c:v>8</c:v>
              </c:pt>
            </c:numLit>
          </c:cat>
          <c:val>
            <c:numRef>
              <c:f>'Growth Pattern'!$CE$553:$CE$558</c:f>
              <c:numCache>
                <c:formatCode>0.00</c:formatCode>
                <c:ptCount val="6"/>
                <c:pt idx="0">
                  <c:v>3.6</c:v>
                </c:pt>
                <c:pt idx="1">
                  <c:v>6.3</c:v>
                </c:pt>
                <c:pt idx="2">
                  <c:v>9</c:v>
                </c:pt>
                <c:pt idx="3">
                  <c:v>9.4</c:v>
                </c:pt>
                <c:pt idx="4">
                  <c:v>9.6</c:v>
                </c:pt>
                <c:pt idx="5">
                  <c:v>8.5</c:v>
                </c:pt>
              </c:numCache>
            </c:numRef>
          </c:val>
          <c:smooth val="0"/>
        </c:ser>
        <c:ser>
          <c:idx val="1"/>
          <c:order val="1"/>
          <c:tx>
            <c:strRef>
              <c:f>'Growth Pattern'!$CF$552</c:f>
              <c:strCache>
                <c:ptCount val="1"/>
                <c:pt idx="0">
                  <c:v>CAI</c:v>
                </c:pt>
              </c:strCache>
            </c:strRef>
          </c:tx>
          <c:cat>
            <c:numLit>
              <c:formatCode>General</c:formatCode>
              <c:ptCount val="6"/>
              <c:pt idx="0">
                <c:v>3</c:v>
              </c:pt>
              <c:pt idx="1">
                <c:v>4</c:v>
              </c:pt>
              <c:pt idx="2">
                <c:v>5</c:v>
              </c:pt>
              <c:pt idx="3">
                <c:v>6</c:v>
              </c:pt>
              <c:pt idx="4">
                <c:v>7</c:v>
              </c:pt>
              <c:pt idx="5">
                <c:v>8</c:v>
              </c:pt>
            </c:numLit>
          </c:cat>
          <c:val>
            <c:numRef>
              <c:f>'Growth Pattern'!$CF$553:$CF$558</c:f>
              <c:numCache>
                <c:formatCode>0.00</c:formatCode>
                <c:ptCount val="6"/>
                <c:pt idx="1">
                  <c:v>14.399999999999999</c:v>
                </c:pt>
                <c:pt idx="2">
                  <c:v>19.8</c:v>
                </c:pt>
                <c:pt idx="3">
                  <c:v>11.400000000000006</c:v>
                </c:pt>
                <c:pt idx="4">
                  <c:v>10.799999999999997</c:v>
                </c:pt>
                <c:pt idx="5">
                  <c:v>0.79999999999999716</c:v>
                </c:pt>
              </c:numCache>
            </c:numRef>
          </c:val>
          <c:smooth val="0"/>
        </c:ser>
        <c:dLbls>
          <c:showLegendKey val="0"/>
          <c:showVal val="0"/>
          <c:showCatName val="0"/>
          <c:showSerName val="0"/>
          <c:showPercent val="0"/>
          <c:showBubbleSize val="0"/>
        </c:dLbls>
        <c:marker val="1"/>
        <c:smooth val="0"/>
        <c:axId val="120745344"/>
        <c:axId val="120763520"/>
      </c:lineChart>
      <c:catAx>
        <c:axId val="120745344"/>
        <c:scaling>
          <c:orientation val="minMax"/>
        </c:scaling>
        <c:delete val="0"/>
        <c:axPos val="b"/>
        <c:numFmt formatCode="General" sourceLinked="1"/>
        <c:majorTickMark val="out"/>
        <c:minorTickMark val="none"/>
        <c:tickLblPos val="nextTo"/>
        <c:crossAx val="120763520"/>
        <c:crosses val="autoZero"/>
        <c:auto val="1"/>
        <c:lblAlgn val="ctr"/>
        <c:lblOffset val="100"/>
        <c:noMultiLvlLbl val="0"/>
      </c:catAx>
      <c:valAx>
        <c:axId val="120763520"/>
        <c:scaling>
          <c:orientation val="minMax"/>
        </c:scaling>
        <c:delete val="0"/>
        <c:axPos val="l"/>
        <c:majorGridlines/>
        <c:numFmt formatCode="0.00" sourceLinked="1"/>
        <c:majorTickMark val="out"/>
        <c:minorTickMark val="none"/>
        <c:tickLblPos val="nextTo"/>
        <c:crossAx val="120745344"/>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'Growth Pattern'!$CE$153</c:f>
              <c:strCache>
                <c:ptCount val="1"/>
                <c:pt idx="0">
                  <c:v>MAI</c:v>
                </c:pt>
              </c:strCache>
            </c:strRef>
          </c:tx>
          <c:val>
            <c:numRef>
              <c:f>'Growth Pattern'!$CE$154:$CE$163</c:f>
              <c:numCache>
                <c:formatCode>0.00</c:formatCode>
                <c:ptCount val="10"/>
                <c:pt idx="0">
                  <c:v>1.1000000000000001</c:v>
                </c:pt>
                <c:pt idx="1">
                  <c:v>4.7050000000000001</c:v>
                </c:pt>
                <c:pt idx="2">
                  <c:v>7.836666666666666</c:v>
                </c:pt>
                <c:pt idx="3">
                  <c:v>9.5775000000000006</c:v>
                </c:pt>
                <c:pt idx="4">
                  <c:v>10.922000000000001</c:v>
                </c:pt>
                <c:pt idx="5">
                  <c:v>10.654999999999999</c:v>
                </c:pt>
                <c:pt idx="6">
                  <c:v>10.804285714285713</c:v>
                </c:pt>
                <c:pt idx="7">
                  <c:v>11.116249999999999</c:v>
                </c:pt>
                <c:pt idx="8">
                  <c:v>11.647777777777778</c:v>
                </c:pt>
                <c:pt idx="9">
                  <c:v>11.562999999999999</c:v>
                </c:pt>
              </c:numCache>
            </c:numRef>
          </c:val>
          <c:smooth val="0"/>
        </c:ser>
        <c:ser>
          <c:idx val="1"/>
          <c:order val="1"/>
          <c:tx>
            <c:strRef>
              <c:f>'Growth Pattern'!$CF$153</c:f>
              <c:strCache>
                <c:ptCount val="1"/>
                <c:pt idx="0">
                  <c:v>CAI</c:v>
                </c:pt>
              </c:strCache>
            </c:strRef>
          </c:tx>
          <c:val>
            <c:numRef>
              <c:f>'Growth Pattern'!$CF$154:$CF$163</c:f>
              <c:numCache>
                <c:formatCode>0.00</c:formatCode>
                <c:ptCount val="10"/>
                <c:pt idx="0">
                  <c:v>1.1000000000000001</c:v>
                </c:pt>
                <c:pt idx="1">
                  <c:v>8.31</c:v>
                </c:pt>
                <c:pt idx="2">
                  <c:v>14.1</c:v>
                </c:pt>
                <c:pt idx="3">
                  <c:v>14.8</c:v>
                </c:pt>
                <c:pt idx="4">
                  <c:v>16.3</c:v>
                </c:pt>
                <c:pt idx="5">
                  <c:v>9.32</c:v>
                </c:pt>
                <c:pt idx="6">
                  <c:v>11.7</c:v>
                </c:pt>
                <c:pt idx="7">
                  <c:v>13.3</c:v>
                </c:pt>
                <c:pt idx="8">
                  <c:v>15.9</c:v>
                </c:pt>
                <c:pt idx="9">
                  <c:v>10.8</c:v>
                </c:pt>
              </c:numCache>
            </c:numRef>
          </c:val>
          <c:smooth val="0"/>
        </c:ser>
        <c:dLbls>
          <c:showLegendKey val="0"/>
          <c:showVal val="0"/>
          <c:showCatName val="0"/>
          <c:showSerName val="0"/>
          <c:showPercent val="0"/>
          <c:showBubbleSize val="0"/>
        </c:dLbls>
        <c:marker val="1"/>
        <c:smooth val="0"/>
        <c:axId val="91015808"/>
        <c:axId val="93135232"/>
      </c:lineChart>
      <c:catAx>
        <c:axId val="91015808"/>
        <c:scaling>
          <c:orientation val="minMax"/>
        </c:scaling>
        <c:delete val="0"/>
        <c:axPos val="b"/>
        <c:majorTickMark val="out"/>
        <c:minorTickMark val="none"/>
        <c:tickLblPos val="nextTo"/>
        <c:crossAx val="93135232"/>
        <c:crosses val="autoZero"/>
        <c:auto val="1"/>
        <c:lblAlgn val="ctr"/>
        <c:lblOffset val="100"/>
        <c:noMultiLvlLbl val="0"/>
      </c:catAx>
      <c:valAx>
        <c:axId val="93135232"/>
        <c:scaling>
          <c:orientation val="minMax"/>
        </c:scaling>
        <c:delete val="0"/>
        <c:axPos val="l"/>
        <c:majorGridlines/>
        <c:numFmt formatCode="0.00" sourceLinked="1"/>
        <c:majorTickMark val="out"/>
        <c:minorTickMark val="none"/>
        <c:tickLblPos val="nextTo"/>
        <c:crossAx val="91015808"/>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'Growth Pattern'!$CE$559</c:f>
              <c:strCache>
                <c:ptCount val="1"/>
                <c:pt idx="0">
                  <c:v>MAI</c:v>
                </c:pt>
              </c:strCache>
            </c:strRef>
          </c:tx>
          <c:cat>
            <c:numLit>
              <c:formatCode>General</c:formatCode>
              <c:ptCount val="6"/>
              <c:pt idx="0">
                <c:v>3</c:v>
              </c:pt>
              <c:pt idx="1">
                <c:v>4</c:v>
              </c:pt>
              <c:pt idx="2">
                <c:v>5</c:v>
              </c:pt>
              <c:pt idx="3">
                <c:v>6</c:v>
              </c:pt>
              <c:pt idx="4">
                <c:v>7</c:v>
              </c:pt>
              <c:pt idx="5">
                <c:v>8</c:v>
              </c:pt>
            </c:numLit>
          </c:cat>
          <c:val>
            <c:numRef>
              <c:f>'Growth Pattern'!$CE$560:$CE$565</c:f>
              <c:numCache>
                <c:formatCode>0.00</c:formatCode>
                <c:ptCount val="6"/>
                <c:pt idx="0">
                  <c:v>1.8</c:v>
                </c:pt>
                <c:pt idx="1">
                  <c:v>4.7</c:v>
                </c:pt>
                <c:pt idx="2">
                  <c:v>7.2</c:v>
                </c:pt>
                <c:pt idx="3">
                  <c:v>8.5</c:v>
                </c:pt>
                <c:pt idx="4">
                  <c:v>8.3000000000000007</c:v>
                </c:pt>
                <c:pt idx="5">
                  <c:v>7.8</c:v>
                </c:pt>
              </c:numCache>
            </c:numRef>
          </c:val>
          <c:smooth val="0"/>
        </c:ser>
        <c:ser>
          <c:idx val="1"/>
          <c:order val="1"/>
          <c:tx>
            <c:strRef>
              <c:f>'Growth Pattern'!$CF$559</c:f>
              <c:strCache>
                <c:ptCount val="1"/>
                <c:pt idx="0">
                  <c:v>CAI</c:v>
                </c:pt>
              </c:strCache>
            </c:strRef>
          </c:tx>
          <c:cat>
            <c:numLit>
              <c:formatCode>General</c:formatCode>
              <c:ptCount val="6"/>
              <c:pt idx="0">
                <c:v>3</c:v>
              </c:pt>
              <c:pt idx="1">
                <c:v>4</c:v>
              </c:pt>
              <c:pt idx="2">
                <c:v>5</c:v>
              </c:pt>
              <c:pt idx="3">
                <c:v>6</c:v>
              </c:pt>
              <c:pt idx="4">
                <c:v>7</c:v>
              </c:pt>
              <c:pt idx="5">
                <c:v>8</c:v>
              </c:pt>
            </c:numLit>
          </c:cat>
          <c:val>
            <c:numRef>
              <c:f>'Growth Pattern'!$CF$560:$CF$564</c:f>
              <c:numCache>
                <c:formatCode>0.00</c:formatCode>
                <c:ptCount val="5"/>
                <c:pt idx="1">
                  <c:v>13.4</c:v>
                </c:pt>
                <c:pt idx="2">
                  <c:v>17.2</c:v>
                </c:pt>
                <c:pt idx="3">
                  <c:v>15</c:v>
                </c:pt>
                <c:pt idx="4">
                  <c:v>7.1000000000000085</c:v>
                </c:pt>
              </c:numCache>
            </c:numRef>
          </c:val>
          <c:smooth val="0"/>
        </c:ser>
        <c:dLbls>
          <c:showLegendKey val="0"/>
          <c:showVal val="0"/>
          <c:showCatName val="0"/>
          <c:showSerName val="0"/>
          <c:showPercent val="0"/>
          <c:showBubbleSize val="0"/>
        </c:dLbls>
        <c:marker val="1"/>
        <c:smooth val="0"/>
        <c:axId val="120780288"/>
        <c:axId val="120781824"/>
      </c:lineChart>
      <c:catAx>
        <c:axId val="120780288"/>
        <c:scaling>
          <c:orientation val="minMax"/>
        </c:scaling>
        <c:delete val="0"/>
        <c:axPos val="b"/>
        <c:numFmt formatCode="General" sourceLinked="1"/>
        <c:majorTickMark val="out"/>
        <c:minorTickMark val="none"/>
        <c:tickLblPos val="nextTo"/>
        <c:crossAx val="120781824"/>
        <c:crosses val="autoZero"/>
        <c:auto val="1"/>
        <c:lblAlgn val="ctr"/>
        <c:lblOffset val="100"/>
        <c:noMultiLvlLbl val="0"/>
      </c:catAx>
      <c:valAx>
        <c:axId val="120781824"/>
        <c:scaling>
          <c:orientation val="minMax"/>
        </c:scaling>
        <c:delete val="0"/>
        <c:axPos val="l"/>
        <c:majorGridlines/>
        <c:numFmt formatCode="0.00" sourceLinked="1"/>
        <c:majorTickMark val="out"/>
        <c:minorTickMark val="none"/>
        <c:tickLblPos val="nextTo"/>
        <c:crossAx val="120780288"/>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'Growth Pattern'!$CE$566</c:f>
              <c:strCache>
                <c:ptCount val="1"/>
                <c:pt idx="0">
                  <c:v>MAI</c:v>
                </c:pt>
              </c:strCache>
            </c:strRef>
          </c:tx>
          <c:cat>
            <c:numLit>
              <c:formatCode>General</c:formatCode>
              <c:ptCount val="6"/>
              <c:pt idx="0">
                <c:v>3</c:v>
              </c:pt>
              <c:pt idx="1">
                <c:v>4</c:v>
              </c:pt>
              <c:pt idx="2">
                <c:v>5</c:v>
              </c:pt>
              <c:pt idx="3">
                <c:v>6</c:v>
              </c:pt>
              <c:pt idx="4">
                <c:v>7</c:v>
              </c:pt>
              <c:pt idx="5">
                <c:v>8</c:v>
              </c:pt>
            </c:numLit>
          </c:cat>
          <c:val>
            <c:numRef>
              <c:f>'Growth Pattern'!$CE$567:$CE$572</c:f>
              <c:numCache>
                <c:formatCode>0.00</c:formatCode>
                <c:ptCount val="6"/>
                <c:pt idx="0">
                  <c:v>4.9000000000000004</c:v>
                </c:pt>
                <c:pt idx="1">
                  <c:v>7.2</c:v>
                </c:pt>
                <c:pt idx="2">
                  <c:v>8.6999999999999993</c:v>
                </c:pt>
                <c:pt idx="3">
                  <c:v>8.5</c:v>
                </c:pt>
                <c:pt idx="4">
                  <c:v>8.6999999999999993</c:v>
                </c:pt>
                <c:pt idx="5">
                  <c:v>6.3</c:v>
                </c:pt>
              </c:numCache>
            </c:numRef>
          </c:val>
          <c:smooth val="0"/>
        </c:ser>
        <c:ser>
          <c:idx val="1"/>
          <c:order val="1"/>
          <c:tx>
            <c:strRef>
              <c:f>'Growth Pattern'!$CF$566</c:f>
              <c:strCache>
                <c:ptCount val="1"/>
                <c:pt idx="0">
                  <c:v>CAI</c:v>
                </c:pt>
              </c:strCache>
            </c:strRef>
          </c:tx>
          <c:cat>
            <c:numLit>
              <c:formatCode>General</c:formatCode>
              <c:ptCount val="6"/>
              <c:pt idx="0">
                <c:v>3</c:v>
              </c:pt>
              <c:pt idx="1">
                <c:v>4</c:v>
              </c:pt>
              <c:pt idx="2">
                <c:v>5</c:v>
              </c:pt>
              <c:pt idx="3">
                <c:v>6</c:v>
              </c:pt>
              <c:pt idx="4">
                <c:v>7</c:v>
              </c:pt>
              <c:pt idx="5">
                <c:v>8</c:v>
              </c:pt>
            </c:numLit>
          </c:cat>
          <c:val>
            <c:numRef>
              <c:f>'Growth Pattern'!$CF$567:$CF$572</c:f>
              <c:numCache>
                <c:formatCode>0.00</c:formatCode>
                <c:ptCount val="6"/>
                <c:pt idx="1">
                  <c:v>14.1</c:v>
                </c:pt>
                <c:pt idx="2">
                  <c:v>14.7</c:v>
                </c:pt>
                <c:pt idx="3">
                  <c:v>7.5</c:v>
                </c:pt>
                <c:pt idx="4">
                  <c:v>9.8999999999999915</c:v>
                </c:pt>
                <c:pt idx="5">
                  <c:v>-10.499999999999993</c:v>
                </c:pt>
              </c:numCache>
            </c:numRef>
          </c:val>
          <c:smooth val="0"/>
        </c:ser>
        <c:dLbls>
          <c:showLegendKey val="0"/>
          <c:showVal val="0"/>
          <c:showCatName val="0"/>
          <c:showSerName val="0"/>
          <c:showPercent val="0"/>
          <c:showBubbleSize val="0"/>
        </c:dLbls>
        <c:marker val="1"/>
        <c:smooth val="0"/>
        <c:axId val="120806784"/>
        <c:axId val="120816768"/>
      </c:lineChart>
      <c:catAx>
        <c:axId val="120806784"/>
        <c:scaling>
          <c:orientation val="minMax"/>
        </c:scaling>
        <c:delete val="0"/>
        <c:axPos val="b"/>
        <c:numFmt formatCode="General" sourceLinked="1"/>
        <c:majorTickMark val="out"/>
        <c:minorTickMark val="none"/>
        <c:tickLblPos val="nextTo"/>
        <c:crossAx val="120816768"/>
        <c:crosses val="autoZero"/>
        <c:auto val="1"/>
        <c:lblAlgn val="ctr"/>
        <c:lblOffset val="100"/>
        <c:noMultiLvlLbl val="0"/>
      </c:catAx>
      <c:valAx>
        <c:axId val="120816768"/>
        <c:scaling>
          <c:orientation val="minMax"/>
        </c:scaling>
        <c:delete val="0"/>
        <c:axPos val="l"/>
        <c:majorGridlines/>
        <c:numFmt formatCode="0.00" sourceLinked="1"/>
        <c:majorTickMark val="out"/>
        <c:minorTickMark val="none"/>
        <c:tickLblPos val="nextTo"/>
        <c:crossAx val="120806784"/>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'Growth Pattern'!$CE$573</c:f>
              <c:strCache>
                <c:ptCount val="1"/>
                <c:pt idx="0">
                  <c:v>MAI</c:v>
                </c:pt>
              </c:strCache>
            </c:strRef>
          </c:tx>
          <c:cat>
            <c:numLit>
              <c:formatCode>General</c:formatCode>
              <c:ptCount val="6"/>
              <c:pt idx="0">
                <c:v>3</c:v>
              </c:pt>
              <c:pt idx="1">
                <c:v>4</c:v>
              </c:pt>
              <c:pt idx="2">
                <c:v>5</c:v>
              </c:pt>
              <c:pt idx="3">
                <c:v>6</c:v>
              </c:pt>
              <c:pt idx="4">
                <c:v>7</c:v>
              </c:pt>
              <c:pt idx="5">
                <c:v>8</c:v>
              </c:pt>
            </c:numLit>
          </c:cat>
          <c:val>
            <c:numRef>
              <c:f>'Growth Pattern'!$CE$574:$CE$579</c:f>
              <c:numCache>
                <c:formatCode>0.00</c:formatCode>
                <c:ptCount val="6"/>
                <c:pt idx="0">
                  <c:v>4.7</c:v>
                </c:pt>
                <c:pt idx="1">
                  <c:v>8.3000000000000007</c:v>
                </c:pt>
                <c:pt idx="2">
                  <c:v>9.9</c:v>
                </c:pt>
                <c:pt idx="3">
                  <c:v>11.2</c:v>
                </c:pt>
                <c:pt idx="4">
                  <c:v>11.4</c:v>
                </c:pt>
                <c:pt idx="5">
                  <c:v>8.6999999999999993</c:v>
                </c:pt>
              </c:numCache>
            </c:numRef>
          </c:val>
          <c:smooth val="0"/>
        </c:ser>
        <c:ser>
          <c:idx val="1"/>
          <c:order val="1"/>
          <c:tx>
            <c:strRef>
              <c:f>'Growth Pattern'!$CF$573</c:f>
              <c:strCache>
                <c:ptCount val="1"/>
                <c:pt idx="0">
                  <c:v>CAI</c:v>
                </c:pt>
              </c:strCache>
            </c:strRef>
          </c:tx>
          <c:cat>
            <c:numLit>
              <c:formatCode>General</c:formatCode>
              <c:ptCount val="6"/>
              <c:pt idx="0">
                <c:v>3</c:v>
              </c:pt>
              <c:pt idx="1">
                <c:v>4</c:v>
              </c:pt>
              <c:pt idx="2">
                <c:v>5</c:v>
              </c:pt>
              <c:pt idx="3">
                <c:v>6</c:v>
              </c:pt>
              <c:pt idx="4">
                <c:v>7</c:v>
              </c:pt>
              <c:pt idx="5">
                <c:v>8</c:v>
              </c:pt>
            </c:numLit>
          </c:cat>
          <c:val>
            <c:numRef>
              <c:f>'Growth Pattern'!$CF$574:$CF$579</c:f>
              <c:numCache>
                <c:formatCode>0.00</c:formatCode>
                <c:ptCount val="6"/>
                <c:pt idx="1">
                  <c:v>19.100000000000001</c:v>
                </c:pt>
                <c:pt idx="2">
                  <c:v>16.299999999999997</c:v>
                </c:pt>
                <c:pt idx="3">
                  <c:v>17.699999999999989</c:v>
                </c:pt>
                <c:pt idx="4">
                  <c:v>12.600000000000009</c:v>
                </c:pt>
                <c:pt idx="5">
                  <c:v>-10.200000000000003</c:v>
                </c:pt>
              </c:numCache>
            </c:numRef>
          </c:val>
          <c:smooth val="0"/>
        </c:ser>
        <c:dLbls>
          <c:showLegendKey val="0"/>
          <c:showVal val="0"/>
          <c:showCatName val="0"/>
          <c:showSerName val="0"/>
          <c:showPercent val="0"/>
          <c:showBubbleSize val="0"/>
        </c:dLbls>
        <c:marker val="1"/>
        <c:smooth val="0"/>
        <c:axId val="120845824"/>
        <c:axId val="120847360"/>
      </c:lineChart>
      <c:catAx>
        <c:axId val="120845824"/>
        <c:scaling>
          <c:orientation val="minMax"/>
        </c:scaling>
        <c:delete val="0"/>
        <c:axPos val="b"/>
        <c:numFmt formatCode="General" sourceLinked="1"/>
        <c:majorTickMark val="out"/>
        <c:minorTickMark val="none"/>
        <c:tickLblPos val="nextTo"/>
        <c:crossAx val="120847360"/>
        <c:crosses val="autoZero"/>
        <c:auto val="1"/>
        <c:lblAlgn val="ctr"/>
        <c:lblOffset val="100"/>
        <c:noMultiLvlLbl val="0"/>
      </c:catAx>
      <c:valAx>
        <c:axId val="120847360"/>
        <c:scaling>
          <c:orientation val="minMax"/>
        </c:scaling>
        <c:delete val="0"/>
        <c:axPos val="l"/>
        <c:majorGridlines/>
        <c:numFmt formatCode="0.00" sourceLinked="1"/>
        <c:majorTickMark val="out"/>
        <c:minorTickMark val="none"/>
        <c:tickLblPos val="nextTo"/>
        <c:crossAx val="120845824"/>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'Growth Pattern'!$CE$580</c:f>
              <c:strCache>
                <c:ptCount val="1"/>
                <c:pt idx="0">
                  <c:v>MAI</c:v>
                </c:pt>
              </c:strCache>
            </c:strRef>
          </c:tx>
          <c:cat>
            <c:numLit>
              <c:formatCode>General</c:formatCode>
              <c:ptCount val="6"/>
              <c:pt idx="0">
                <c:v>3</c:v>
              </c:pt>
              <c:pt idx="1">
                <c:v>4</c:v>
              </c:pt>
              <c:pt idx="2">
                <c:v>5</c:v>
              </c:pt>
              <c:pt idx="3">
                <c:v>6</c:v>
              </c:pt>
              <c:pt idx="4">
                <c:v>7</c:v>
              </c:pt>
              <c:pt idx="5">
                <c:v>8</c:v>
              </c:pt>
            </c:numLit>
          </c:cat>
          <c:val>
            <c:numRef>
              <c:f>'Growth Pattern'!$CE$581:$CE$586</c:f>
              <c:numCache>
                <c:formatCode>0.00</c:formatCode>
                <c:ptCount val="6"/>
                <c:pt idx="0">
                  <c:v>4.3</c:v>
                </c:pt>
                <c:pt idx="1">
                  <c:v>6.7</c:v>
                </c:pt>
                <c:pt idx="2">
                  <c:v>7.6</c:v>
                </c:pt>
                <c:pt idx="3">
                  <c:v>9</c:v>
                </c:pt>
                <c:pt idx="4">
                  <c:v>9.1999999999999993</c:v>
                </c:pt>
                <c:pt idx="5">
                  <c:v>6.7</c:v>
                </c:pt>
              </c:numCache>
            </c:numRef>
          </c:val>
          <c:smooth val="0"/>
        </c:ser>
        <c:ser>
          <c:idx val="1"/>
          <c:order val="1"/>
          <c:tx>
            <c:strRef>
              <c:f>'Growth Pattern'!$CF$580</c:f>
              <c:strCache>
                <c:ptCount val="1"/>
                <c:pt idx="0">
                  <c:v>CAI</c:v>
                </c:pt>
              </c:strCache>
            </c:strRef>
          </c:tx>
          <c:cat>
            <c:numLit>
              <c:formatCode>General</c:formatCode>
              <c:ptCount val="6"/>
              <c:pt idx="0">
                <c:v>3</c:v>
              </c:pt>
              <c:pt idx="1">
                <c:v>4</c:v>
              </c:pt>
              <c:pt idx="2">
                <c:v>5</c:v>
              </c:pt>
              <c:pt idx="3">
                <c:v>6</c:v>
              </c:pt>
              <c:pt idx="4">
                <c:v>7</c:v>
              </c:pt>
              <c:pt idx="5">
                <c:v>8</c:v>
              </c:pt>
            </c:numLit>
          </c:cat>
          <c:val>
            <c:numRef>
              <c:f>'Growth Pattern'!$CF$581:$CF$586</c:f>
              <c:numCache>
                <c:formatCode>0.00</c:formatCode>
                <c:ptCount val="6"/>
                <c:pt idx="1">
                  <c:v>13.900000000000002</c:v>
                </c:pt>
                <c:pt idx="2">
                  <c:v>11.2</c:v>
                </c:pt>
                <c:pt idx="3">
                  <c:v>16</c:v>
                </c:pt>
                <c:pt idx="4">
                  <c:v>10.399999999999991</c:v>
                </c:pt>
                <c:pt idx="5">
                  <c:v>-10.79999999999999</c:v>
                </c:pt>
              </c:numCache>
            </c:numRef>
          </c:val>
          <c:smooth val="0"/>
        </c:ser>
        <c:dLbls>
          <c:showLegendKey val="0"/>
          <c:showVal val="0"/>
          <c:showCatName val="0"/>
          <c:showSerName val="0"/>
          <c:showPercent val="0"/>
          <c:showBubbleSize val="0"/>
        </c:dLbls>
        <c:marker val="1"/>
        <c:smooth val="0"/>
        <c:axId val="121912704"/>
        <c:axId val="121926784"/>
      </c:lineChart>
      <c:catAx>
        <c:axId val="121912704"/>
        <c:scaling>
          <c:orientation val="minMax"/>
        </c:scaling>
        <c:delete val="0"/>
        <c:axPos val="b"/>
        <c:numFmt formatCode="General" sourceLinked="1"/>
        <c:majorTickMark val="out"/>
        <c:minorTickMark val="none"/>
        <c:tickLblPos val="nextTo"/>
        <c:crossAx val="121926784"/>
        <c:crosses val="autoZero"/>
        <c:auto val="1"/>
        <c:lblAlgn val="ctr"/>
        <c:lblOffset val="100"/>
        <c:noMultiLvlLbl val="0"/>
      </c:catAx>
      <c:valAx>
        <c:axId val="121926784"/>
        <c:scaling>
          <c:orientation val="minMax"/>
        </c:scaling>
        <c:delete val="0"/>
        <c:axPos val="l"/>
        <c:majorGridlines/>
        <c:numFmt formatCode="0.00" sourceLinked="1"/>
        <c:majorTickMark val="out"/>
        <c:minorTickMark val="none"/>
        <c:tickLblPos val="nextTo"/>
        <c:crossAx val="121912704"/>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'Growth Pattern'!$CE$587</c:f>
              <c:strCache>
                <c:ptCount val="1"/>
                <c:pt idx="0">
                  <c:v>MAI</c:v>
                </c:pt>
              </c:strCache>
            </c:strRef>
          </c:tx>
          <c:cat>
            <c:numLit>
              <c:formatCode>General</c:formatCode>
              <c:ptCount val="6"/>
              <c:pt idx="0">
                <c:v>3</c:v>
              </c:pt>
              <c:pt idx="1">
                <c:v>4</c:v>
              </c:pt>
              <c:pt idx="2">
                <c:v>5</c:v>
              </c:pt>
              <c:pt idx="3">
                <c:v>6</c:v>
              </c:pt>
              <c:pt idx="4">
                <c:v>7</c:v>
              </c:pt>
              <c:pt idx="5">
                <c:v>8</c:v>
              </c:pt>
            </c:numLit>
          </c:cat>
          <c:val>
            <c:numRef>
              <c:f>'Growth Pattern'!$CE$588:$CE$593</c:f>
              <c:numCache>
                <c:formatCode>0.00</c:formatCode>
                <c:ptCount val="6"/>
                <c:pt idx="0">
                  <c:v>4</c:v>
                </c:pt>
                <c:pt idx="1">
                  <c:v>6.1</c:v>
                </c:pt>
                <c:pt idx="2">
                  <c:v>7.6</c:v>
                </c:pt>
                <c:pt idx="3">
                  <c:v>8.3000000000000007</c:v>
                </c:pt>
                <c:pt idx="4">
                  <c:v>8.3000000000000007</c:v>
                </c:pt>
                <c:pt idx="5">
                  <c:v>7.2</c:v>
                </c:pt>
              </c:numCache>
            </c:numRef>
          </c:val>
          <c:smooth val="0"/>
        </c:ser>
        <c:ser>
          <c:idx val="1"/>
          <c:order val="1"/>
          <c:tx>
            <c:strRef>
              <c:f>'Growth Pattern'!$CF$587</c:f>
              <c:strCache>
                <c:ptCount val="1"/>
                <c:pt idx="0">
                  <c:v>CAI</c:v>
                </c:pt>
              </c:strCache>
            </c:strRef>
          </c:tx>
          <c:cat>
            <c:numLit>
              <c:formatCode>General</c:formatCode>
              <c:ptCount val="6"/>
              <c:pt idx="0">
                <c:v>3</c:v>
              </c:pt>
              <c:pt idx="1">
                <c:v>4</c:v>
              </c:pt>
              <c:pt idx="2">
                <c:v>5</c:v>
              </c:pt>
              <c:pt idx="3">
                <c:v>6</c:v>
              </c:pt>
              <c:pt idx="4">
                <c:v>7</c:v>
              </c:pt>
              <c:pt idx="5">
                <c:v>8</c:v>
              </c:pt>
            </c:numLit>
          </c:cat>
          <c:val>
            <c:numRef>
              <c:f>'Growth Pattern'!$CF$588:$CF$593</c:f>
              <c:numCache>
                <c:formatCode>0.00</c:formatCode>
                <c:ptCount val="6"/>
                <c:pt idx="1">
                  <c:v>12.399999999999999</c:v>
                </c:pt>
                <c:pt idx="2">
                  <c:v>13.600000000000001</c:v>
                </c:pt>
                <c:pt idx="3">
                  <c:v>11.800000000000004</c:v>
                </c:pt>
                <c:pt idx="4">
                  <c:v>8.3000000000000043</c:v>
                </c:pt>
                <c:pt idx="5">
                  <c:v>-0.50000000000000711</c:v>
                </c:pt>
              </c:numCache>
            </c:numRef>
          </c:val>
          <c:smooth val="0"/>
        </c:ser>
        <c:dLbls>
          <c:showLegendKey val="0"/>
          <c:showVal val="0"/>
          <c:showCatName val="0"/>
          <c:showSerName val="0"/>
          <c:showPercent val="0"/>
          <c:showBubbleSize val="0"/>
        </c:dLbls>
        <c:marker val="1"/>
        <c:smooth val="0"/>
        <c:axId val="122033664"/>
        <c:axId val="122035200"/>
      </c:lineChart>
      <c:catAx>
        <c:axId val="122033664"/>
        <c:scaling>
          <c:orientation val="minMax"/>
        </c:scaling>
        <c:delete val="0"/>
        <c:axPos val="b"/>
        <c:numFmt formatCode="General" sourceLinked="1"/>
        <c:majorTickMark val="out"/>
        <c:minorTickMark val="none"/>
        <c:tickLblPos val="nextTo"/>
        <c:crossAx val="122035200"/>
        <c:crosses val="autoZero"/>
        <c:auto val="1"/>
        <c:lblAlgn val="ctr"/>
        <c:lblOffset val="100"/>
        <c:noMultiLvlLbl val="0"/>
      </c:catAx>
      <c:valAx>
        <c:axId val="122035200"/>
        <c:scaling>
          <c:orientation val="minMax"/>
        </c:scaling>
        <c:delete val="0"/>
        <c:axPos val="l"/>
        <c:majorGridlines/>
        <c:numFmt formatCode="0.00" sourceLinked="1"/>
        <c:majorTickMark val="out"/>
        <c:minorTickMark val="none"/>
        <c:tickLblPos val="nextTo"/>
        <c:crossAx val="122033664"/>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'Growth Pattern'!$CE$594</c:f>
              <c:strCache>
                <c:ptCount val="1"/>
                <c:pt idx="0">
                  <c:v>MAI</c:v>
                </c:pt>
              </c:strCache>
            </c:strRef>
          </c:tx>
          <c:cat>
            <c:numLit>
              <c:formatCode>General</c:formatCode>
              <c:ptCount val="6"/>
              <c:pt idx="0">
                <c:v>3</c:v>
              </c:pt>
              <c:pt idx="1">
                <c:v>4</c:v>
              </c:pt>
              <c:pt idx="2">
                <c:v>5</c:v>
              </c:pt>
              <c:pt idx="3">
                <c:v>6</c:v>
              </c:pt>
              <c:pt idx="4">
                <c:v>7</c:v>
              </c:pt>
              <c:pt idx="5">
                <c:v>8</c:v>
              </c:pt>
            </c:numLit>
          </c:cat>
          <c:val>
            <c:numRef>
              <c:f>'Growth Pattern'!$CE$595:$CE$600</c:f>
              <c:numCache>
                <c:formatCode>0.00</c:formatCode>
                <c:ptCount val="6"/>
                <c:pt idx="0">
                  <c:v>2.2000000000000002</c:v>
                </c:pt>
                <c:pt idx="1">
                  <c:v>4.7</c:v>
                </c:pt>
                <c:pt idx="2">
                  <c:v>7.2</c:v>
                </c:pt>
                <c:pt idx="3">
                  <c:v>8.6999999999999993</c:v>
                </c:pt>
                <c:pt idx="4">
                  <c:v>8.5</c:v>
                </c:pt>
                <c:pt idx="5">
                  <c:v>7.6</c:v>
                </c:pt>
              </c:numCache>
            </c:numRef>
          </c:val>
          <c:smooth val="0"/>
        </c:ser>
        <c:ser>
          <c:idx val="1"/>
          <c:order val="1"/>
          <c:tx>
            <c:strRef>
              <c:f>'Growth Pattern'!$CF$594</c:f>
              <c:strCache>
                <c:ptCount val="1"/>
                <c:pt idx="0">
                  <c:v>CAI</c:v>
                </c:pt>
              </c:strCache>
            </c:strRef>
          </c:tx>
          <c:cat>
            <c:numLit>
              <c:formatCode>General</c:formatCode>
              <c:ptCount val="6"/>
              <c:pt idx="0">
                <c:v>3</c:v>
              </c:pt>
              <c:pt idx="1">
                <c:v>4</c:v>
              </c:pt>
              <c:pt idx="2">
                <c:v>5</c:v>
              </c:pt>
              <c:pt idx="3">
                <c:v>6</c:v>
              </c:pt>
              <c:pt idx="4">
                <c:v>7</c:v>
              </c:pt>
              <c:pt idx="5">
                <c:v>8</c:v>
              </c:pt>
            </c:numLit>
          </c:cat>
          <c:val>
            <c:numRef>
              <c:f>'Growth Pattern'!$CF$595:$CF$600</c:f>
              <c:numCache>
                <c:formatCode>0.00</c:formatCode>
                <c:ptCount val="6"/>
                <c:pt idx="1">
                  <c:v>12.2</c:v>
                </c:pt>
                <c:pt idx="2">
                  <c:v>17.2</c:v>
                </c:pt>
                <c:pt idx="3">
                  <c:v>16.199999999999996</c:v>
                </c:pt>
                <c:pt idx="4">
                  <c:v>7.3000000000000043</c:v>
                </c:pt>
                <c:pt idx="5">
                  <c:v>1.2999999999999972</c:v>
                </c:pt>
              </c:numCache>
            </c:numRef>
          </c:val>
          <c:smooth val="0"/>
        </c:ser>
        <c:dLbls>
          <c:showLegendKey val="0"/>
          <c:showVal val="0"/>
          <c:showCatName val="0"/>
          <c:showSerName val="0"/>
          <c:showPercent val="0"/>
          <c:showBubbleSize val="0"/>
        </c:dLbls>
        <c:marker val="1"/>
        <c:smooth val="0"/>
        <c:axId val="122056064"/>
        <c:axId val="122070144"/>
      </c:lineChart>
      <c:catAx>
        <c:axId val="122056064"/>
        <c:scaling>
          <c:orientation val="minMax"/>
        </c:scaling>
        <c:delete val="0"/>
        <c:axPos val="b"/>
        <c:numFmt formatCode="General" sourceLinked="1"/>
        <c:majorTickMark val="out"/>
        <c:minorTickMark val="none"/>
        <c:tickLblPos val="nextTo"/>
        <c:crossAx val="122070144"/>
        <c:crosses val="autoZero"/>
        <c:auto val="1"/>
        <c:lblAlgn val="ctr"/>
        <c:lblOffset val="100"/>
        <c:noMultiLvlLbl val="0"/>
      </c:catAx>
      <c:valAx>
        <c:axId val="122070144"/>
        <c:scaling>
          <c:orientation val="minMax"/>
        </c:scaling>
        <c:delete val="0"/>
        <c:axPos val="l"/>
        <c:majorGridlines/>
        <c:numFmt formatCode="0.00" sourceLinked="1"/>
        <c:majorTickMark val="out"/>
        <c:minorTickMark val="none"/>
        <c:tickLblPos val="nextTo"/>
        <c:crossAx val="122056064"/>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'Growth Pattern'!$CE$601</c:f>
              <c:strCache>
                <c:ptCount val="1"/>
                <c:pt idx="0">
                  <c:v>MAI</c:v>
                </c:pt>
              </c:strCache>
            </c:strRef>
          </c:tx>
          <c:cat>
            <c:numLit>
              <c:formatCode>General</c:formatCode>
              <c:ptCount val="6"/>
              <c:pt idx="0">
                <c:v>3</c:v>
              </c:pt>
              <c:pt idx="1">
                <c:v>4</c:v>
              </c:pt>
              <c:pt idx="2">
                <c:v>5</c:v>
              </c:pt>
              <c:pt idx="3">
                <c:v>6</c:v>
              </c:pt>
              <c:pt idx="4">
                <c:v>7</c:v>
              </c:pt>
              <c:pt idx="5">
                <c:v>8</c:v>
              </c:pt>
            </c:numLit>
          </c:cat>
          <c:val>
            <c:numRef>
              <c:f>'Growth Pattern'!$CE$602:$CE$607</c:f>
              <c:numCache>
                <c:formatCode>0.00</c:formatCode>
                <c:ptCount val="6"/>
                <c:pt idx="0">
                  <c:v>0.9</c:v>
                </c:pt>
                <c:pt idx="1">
                  <c:v>3.6</c:v>
                </c:pt>
                <c:pt idx="2">
                  <c:v>6.3</c:v>
                </c:pt>
                <c:pt idx="3">
                  <c:v>8.1</c:v>
                </c:pt>
                <c:pt idx="4">
                  <c:v>7.6</c:v>
                </c:pt>
                <c:pt idx="5">
                  <c:v>6.9</c:v>
                </c:pt>
              </c:numCache>
            </c:numRef>
          </c:val>
          <c:smooth val="0"/>
        </c:ser>
        <c:ser>
          <c:idx val="1"/>
          <c:order val="1"/>
          <c:tx>
            <c:strRef>
              <c:f>'Growth Pattern'!$CF$601</c:f>
              <c:strCache>
                <c:ptCount val="1"/>
                <c:pt idx="0">
                  <c:v>CAI</c:v>
                </c:pt>
              </c:strCache>
            </c:strRef>
          </c:tx>
          <c:cat>
            <c:numLit>
              <c:formatCode>General</c:formatCode>
              <c:ptCount val="6"/>
              <c:pt idx="0">
                <c:v>3</c:v>
              </c:pt>
              <c:pt idx="1">
                <c:v>4</c:v>
              </c:pt>
              <c:pt idx="2">
                <c:v>5</c:v>
              </c:pt>
              <c:pt idx="3">
                <c:v>6</c:v>
              </c:pt>
              <c:pt idx="4">
                <c:v>7</c:v>
              </c:pt>
              <c:pt idx="5">
                <c:v>8</c:v>
              </c:pt>
            </c:numLit>
          </c:cat>
          <c:val>
            <c:numRef>
              <c:f>'Growth Pattern'!$CF$602:$CF$607</c:f>
              <c:numCache>
                <c:formatCode>0.00</c:formatCode>
                <c:ptCount val="6"/>
                <c:pt idx="1">
                  <c:v>11.7</c:v>
                </c:pt>
                <c:pt idx="2">
                  <c:v>17.100000000000001</c:v>
                </c:pt>
                <c:pt idx="3">
                  <c:v>17.099999999999994</c:v>
                </c:pt>
                <c:pt idx="4">
                  <c:v>4.6000000000000014</c:v>
                </c:pt>
                <c:pt idx="5">
                  <c:v>2.0000000000000071</c:v>
                </c:pt>
              </c:numCache>
            </c:numRef>
          </c:val>
          <c:smooth val="0"/>
        </c:ser>
        <c:dLbls>
          <c:showLegendKey val="0"/>
          <c:showVal val="0"/>
          <c:showCatName val="0"/>
          <c:showSerName val="0"/>
          <c:showPercent val="0"/>
          <c:showBubbleSize val="0"/>
        </c:dLbls>
        <c:marker val="1"/>
        <c:smooth val="0"/>
        <c:axId val="122082816"/>
        <c:axId val="122084352"/>
      </c:lineChart>
      <c:catAx>
        <c:axId val="122082816"/>
        <c:scaling>
          <c:orientation val="minMax"/>
        </c:scaling>
        <c:delete val="0"/>
        <c:axPos val="b"/>
        <c:numFmt formatCode="General" sourceLinked="1"/>
        <c:majorTickMark val="out"/>
        <c:minorTickMark val="none"/>
        <c:tickLblPos val="nextTo"/>
        <c:crossAx val="122084352"/>
        <c:crosses val="autoZero"/>
        <c:auto val="1"/>
        <c:lblAlgn val="ctr"/>
        <c:lblOffset val="100"/>
        <c:noMultiLvlLbl val="0"/>
      </c:catAx>
      <c:valAx>
        <c:axId val="122084352"/>
        <c:scaling>
          <c:orientation val="minMax"/>
        </c:scaling>
        <c:delete val="0"/>
        <c:axPos val="l"/>
        <c:majorGridlines/>
        <c:numFmt formatCode="0.00" sourceLinked="1"/>
        <c:majorTickMark val="out"/>
        <c:minorTickMark val="none"/>
        <c:tickLblPos val="nextTo"/>
        <c:crossAx val="122082816"/>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'Growth Pattern'!$CE$618</c:f>
              <c:strCache>
                <c:ptCount val="1"/>
                <c:pt idx="0">
                  <c:v>MAI</c:v>
                </c:pt>
              </c:strCache>
            </c:strRef>
          </c:tx>
          <c:cat>
            <c:numLit>
              <c:formatCode>General</c:formatCode>
              <c:ptCount val="9"/>
              <c:pt idx="0">
                <c:v>3</c:v>
              </c:pt>
              <c:pt idx="1">
                <c:v>4</c:v>
              </c:pt>
              <c:pt idx="2">
                <c:v>5</c:v>
              </c:pt>
              <c:pt idx="3">
                <c:v>6</c:v>
              </c:pt>
              <c:pt idx="4">
                <c:v>7</c:v>
              </c:pt>
              <c:pt idx="5">
                <c:v>8</c:v>
              </c:pt>
              <c:pt idx="6">
                <c:v>9</c:v>
              </c:pt>
              <c:pt idx="7">
                <c:v>10</c:v>
              </c:pt>
              <c:pt idx="8">
                <c:v>11</c:v>
              </c:pt>
            </c:numLit>
          </c:cat>
          <c:val>
            <c:numRef>
              <c:f>'Growth Pattern'!$CE$619:$CE$627</c:f>
              <c:numCache>
                <c:formatCode>0.00</c:formatCode>
                <c:ptCount val="9"/>
                <c:pt idx="0">
                  <c:v>1.23</c:v>
                </c:pt>
                <c:pt idx="1">
                  <c:v>4.08</c:v>
                </c:pt>
                <c:pt idx="2">
                  <c:v>5.67</c:v>
                </c:pt>
                <c:pt idx="3">
                  <c:v>7.24</c:v>
                </c:pt>
                <c:pt idx="4">
                  <c:v>8.59</c:v>
                </c:pt>
                <c:pt idx="5">
                  <c:v>8.23</c:v>
                </c:pt>
                <c:pt idx="6">
                  <c:v>8.11</c:v>
                </c:pt>
                <c:pt idx="7">
                  <c:v>7.8</c:v>
                </c:pt>
                <c:pt idx="8">
                  <c:v>7.55</c:v>
                </c:pt>
              </c:numCache>
            </c:numRef>
          </c:val>
          <c:smooth val="0"/>
        </c:ser>
        <c:ser>
          <c:idx val="1"/>
          <c:order val="1"/>
          <c:tx>
            <c:strRef>
              <c:f>'Growth Pattern'!$CF$618</c:f>
              <c:strCache>
                <c:ptCount val="1"/>
                <c:pt idx="0">
                  <c:v>CAI</c:v>
                </c:pt>
              </c:strCache>
            </c:strRef>
          </c:tx>
          <c:cat>
            <c:numLit>
              <c:formatCode>General</c:formatCode>
              <c:ptCount val="9"/>
              <c:pt idx="0">
                <c:v>3</c:v>
              </c:pt>
              <c:pt idx="1">
                <c:v>4</c:v>
              </c:pt>
              <c:pt idx="2">
                <c:v>5</c:v>
              </c:pt>
              <c:pt idx="3">
                <c:v>6</c:v>
              </c:pt>
              <c:pt idx="4">
                <c:v>7</c:v>
              </c:pt>
              <c:pt idx="5">
                <c:v>8</c:v>
              </c:pt>
              <c:pt idx="6">
                <c:v>9</c:v>
              </c:pt>
              <c:pt idx="7">
                <c:v>10</c:v>
              </c:pt>
              <c:pt idx="8">
                <c:v>11</c:v>
              </c:pt>
            </c:numLit>
          </c:cat>
          <c:val>
            <c:numRef>
              <c:f>'Growth Pattern'!$CF$619:$CF$627</c:f>
              <c:numCache>
                <c:formatCode>0.00</c:formatCode>
                <c:ptCount val="9"/>
                <c:pt idx="1">
                  <c:v>12.63</c:v>
                </c:pt>
                <c:pt idx="2">
                  <c:v>12.030000000000001</c:v>
                </c:pt>
                <c:pt idx="3">
                  <c:v>15.089999999999996</c:v>
                </c:pt>
                <c:pt idx="4">
                  <c:v>16.689999999999998</c:v>
                </c:pt>
                <c:pt idx="5">
                  <c:v>5.710000000000008</c:v>
                </c:pt>
                <c:pt idx="6">
                  <c:v>7.1499999999999915</c:v>
                </c:pt>
                <c:pt idx="7">
                  <c:v>5.0100000000000051</c:v>
                </c:pt>
                <c:pt idx="8">
                  <c:v>5.0499999999999972</c:v>
                </c:pt>
              </c:numCache>
            </c:numRef>
          </c:val>
          <c:smooth val="0"/>
        </c:ser>
        <c:dLbls>
          <c:showLegendKey val="0"/>
          <c:showVal val="0"/>
          <c:showCatName val="0"/>
          <c:showSerName val="0"/>
          <c:showPercent val="0"/>
          <c:showBubbleSize val="0"/>
        </c:dLbls>
        <c:marker val="1"/>
        <c:smooth val="0"/>
        <c:axId val="122109312"/>
        <c:axId val="122123392"/>
      </c:lineChart>
      <c:catAx>
        <c:axId val="122109312"/>
        <c:scaling>
          <c:orientation val="minMax"/>
        </c:scaling>
        <c:delete val="0"/>
        <c:axPos val="b"/>
        <c:numFmt formatCode="General" sourceLinked="1"/>
        <c:majorTickMark val="out"/>
        <c:minorTickMark val="none"/>
        <c:tickLblPos val="nextTo"/>
        <c:crossAx val="122123392"/>
        <c:crosses val="autoZero"/>
        <c:auto val="1"/>
        <c:lblAlgn val="ctr"/>
        <c:lblOffset val="100"/>
        <c:noMultiLvlLbl val="0"/>
      </c:catAx>
      <c:valAx>
        <c:axId val="122123392"/>
        <c:scaling>
          <c:orientation val="minMax"/>
        </c:scaling>
        <c:delete val="0"/>
        <c:axPos val="l"/>
        <c:majorGridlines/>
        <c:numFmt formatCode="0.00" sourceLinked="1"/>
        <c:majorTickMark val="out"/>
        <c:minorTickMark val="none"/>
        <c:tickLblPos val="nextTo"/>
        <c:crossAx val="122109312"/>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'Growth Pattern'!$CE$638</c:f>
              <c:strCache>
                <c:ptCount val="1"/>
                <c:pt idx="0">
                  <c:v>MAI</c:v>
                </c:pt>
              </c:strCache>
            </c:strRef>
          </c:tx>
          <c:cat>
            <c:numLit>
              <c:formatCode>General</c:formatCode>
              <c:ptCount val="10"/>
              <c:pt idx="0">
                <c:v>3</c:v>
              </c:pt>
              <c:pt idx="1">
                <c:v>4</c:v>
              </c:pt>
              <c:pt idx="2">
                <c:v>5</c:v>
              </c:pt>
              <c:pt idx="3">
                <c:v>6</c:v>
              </c:pt>
              <c:pt idx="4">
                <c:v>7</c:v>
              </c:pt>
              <c:pt idx="5">
                <c:v>8</c:v>
              </c:pt>
              <c:pt idx="6">
                <c:v>9</c:v>
              </c:pt>
              <c:pt idx="7">
                <c:v>10</c:v>
              </c:pt>
              <c:pt idx="8">
                <c:v>11</c:v>
              </c:pt>
              <c:pt idx="9">
                <c:v>12</c:v>
              </c:pt>
            </c:numLit>
          </c:cat>
          <c:val>
            <c:numRef>
              <c:f>'Growth Pattern'!$CE$639:$CE$647</c:f>
              <c:numCache>
                <c:formatCode>0.00</c:formatCode>
                <c:ptCount val="9"/>
                <c:pt idx="0">
                  <c:v>1.68</c:v>
                </c:pt>
                <c:pt idx="1">
                  <c:v>3.47</c:v>
                </c:pt>
                <c:pt idx="2">
                  <c:v>4.71</c:v>
                </c:pt>
                <c:pt idx="3">
                  <c:v>5.67</c:v>
                </c:pt>
                <c:pt idx="4">
                  <c:v>6.73</c:v>
                </c:pt>
                <c:pt idx="5">
                  <c:v>7.4</c:v>
                </c:pt>
                <c:pt idx="6">
                  <c:v>7.49</c:v>
                </c:pt>
                <c:pt idx="7">
                  <c:v>7.89</c:v>
                </c:pt>
                <c:pt idx="8">
                  <c:v>7.71</c:v>
                </c:pt>
              </c:numCache>
            </c:numRef>
          </c:val>
          <c:smooth val="0"/>
        </c:ser>
        <c:ser>
          <c:idx val="1"/>
          <c:order val="1"/>
          <c:tx>
            <c:strRef>
              <c:f>'Growth Pattern'!$CF$638</c:f>
              <c:strCache>
                <c:ptCount val="1"/>
                <c:pt idx="0">
                  <c:v>CAI</c:v>
                </c:pt>
              </c:strCache>
            </c:strRef>
          </c:tx>
          <c:cat>
            <c:numLit>
              <c:formatCode>General</c:formatCode>
              <c:ptCount val="10"/>
              <c:pt idx="0">
                <c:v>3</c:v>
              </c:pt>
              <c:pt idx="1">
                <c:v>4</c:v>
              </c:pt>
              <c:pt idx="2">
                <c:v>5</c:v>
              </c:pt>
              <c:pt idx="3">
                <c:v>6</c:v>
              </c:pt>
              <c:pt idx="4">
                <c:v>7</c:v>
              </c:pt>
              <c:pt idx="5">
                <c:v>8</c:v>
              </c:pt>
              <c:pt idx="6">
                <c:v>9</c:v>
              </c:pt>
              <c:pt idx="7">
                <c:v>10</c:v>
              </c:pt>
              <c:pt idx="8">
                <c:v>11</c:v>
              </c:pt>
              <c:pt idx="9">
                <c:v>12</c:v>
              </c:pt>
            </c:numLit>
          </c:cat>
          <c:val>
            <c:numRef>
              <c:f>'Growth Pattern'!$CF$639:$CF$647</c:f>
              <c:numCache>
                <c:formatCode>0.00</c:formatCode>
                <c:ptCount val="9"/>
                <c:pt idx="1">
                  <c:v>8.84</c:v>
                </c:pt>
                <c:pt idx="2">
                  <c:v>9.67</c:v>
                </c:pt>
                <c:pt idx="3">
                  <c:v>10.469999999999995</c:v>
                </c:pt>
                <c:pt idx="4">
                  <c:v>13.090000000000003</c:v>
                </c:pt>
                <c:pt idx="5">
                  <c:v>12.090000000000003</c:v>
                </c:pt>
                <c:pt idx="6">
                  <c:v>8.2099999999999937</c:v>
                </c:pt>
                <c:pt idx="7">
                  <c:v>11.489999999999995</c:v>
                </c:pt>
                <c:pt idx="8">
                  <c:v>5.9100000000000108</c:v>
                </c:pt>
              </c:numCache>
            </c:numRef>
          </c:val>
          <c:smooth val="0"/>
        </c:ser>
        <c:dLbls>
          <c:showLegendKey val="0"/>
          <c:showVal val="0"/>
          <c:showCatName val="0"/>
          <c:showSerName val="0"/>
          <c:showPercent val="0"/>
          <c:showBubbleSize val="0"/>
        </c:dLbls>
        <c:marker val="1"/>
        <c:smooth val="0"/>
        <c:axId val="122148352"/>
        <c:axId val="122149888"/>
      </c:lineChart>
      <c:catAx>
        <c:axId val="122148352"/>
        <c:scaling>
          <c:orientation val="minMax"/>
        </c:scaling>
        <c:delete val="0"/>
        <c:axPos val="b"/>
        <c:numFmt formatCode="General" sourceLinked="1"/>
        <c:majorTickMark val="out"/>
        <c:minorTickMark val="none"/>
        <c:tickLblPos val="nextTo"/>
        <c:crossAx val="122149888"/>
        <c:crosses val="autoZero"/>
        <c:auto val="1"/>
        <c:lblAlgn val="ctr"/>
        <c:lblOffset val="100"/>
        <c:noMultiLvlLbl val="0"/>
      </c:catAx>
      <c:valAx>
        <c:axId val="122149888"/>
        <c:scaling>
          <c:orientation val="minMax"/>
        </c:scaling>
        <c:delete val="0"/>
        <c:axPos val="l"/>
        <c:majorGridlines/>
        <c:numFmt formatCode="0.00" sourceLinked="1"/>
        <c:majorTickMark val="out"/>
        <c:minorTickMark val="none"/>
        <c:tickLblPos val="nextTo"/>
        <c:crossAx val="122148352"/>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'Growth Pattern'!$CE$677</c:f>
              <c:strCache>
                <c:ptCount val="1"/>
                <c:pt idx="0">
                  <c:v>MAI</c:v>
                </c:pt>
              </c:strCache>
            </c:strRef>
          </c:tx>
          <c:cat>
            <c:numLit>
              <c:formatCode>General</c:formatCode>
              <c:ptCount val="10"/>
              <c:pt idx="0">
                <c:v>3</c:v>
              </c:pt>
              <c:pt idx="1">
                <c:v>4</c:v>
              </c:pt>
              <c:pt idx="2">
                <c:v>5</c:v>
              </c:pt>
              <c:pt idx="3">
                <c:v>6</c:v>
              </c:pt>
              <c:pt idx="4">
                <c:v>7</c:v>
              </c:pt>
              <c:pt idx="5">
                <c:v>8</c:v>
              </c:pt>
              <c:pt idx="6">
                <c:v>9</c:v>
              </c:pt>
              <c:pt idx="7">
                <c:v>10</c:v>
              </c:pt>
              <c:pt idx="8">
                <c:v>11</c:v>
              </c:pt>
              <c:pt idx="9">
                <c:v>12</c:v>
              </c:pt>
            </c:numLit>
          </c:cat>
          <c:val>
            <c:numRef>
              <c:f>'Growth Pattern'!$CE$678:$CE$685</c:f>
              <c:numCache>
                <c:formatCode>0.00</c:formatCode>
                <c:ptCount val="8"/>
                <c:pt idx="0">
                  <c:v>4.5999999999999996</c:v>
                </c:pt>
                <c:pt idx="1">
                  <c:v>6.12</c:v>
                </c:pt>
                <c:pt idx="2">
                  <c:v>7.85</c:v>
                </c:pt>
                <c:pt idx="3">
                  <c:v>8.9700000000000006</c:v>
                </c:pt>
                <c:pt idx="4">
                  <c:v>8.9</c:v>
                </c:pt>
                <c:pt idx="5">
                  <c:v>8.83</c:v>
                </c:pt>
                <c:pt idx="6">
                  <c:v>7.71</c:v>
                </c:pt>
                <c:pt idx="7">
                  <c:v>7.2</c:v>
                </c:pt>
              </c:numCache>
            </c:numRef>
          </c:val>
          <c:smooth val="0"/>
        </c:ser>
        <c:ser>
          <c:idx val="1"/>
          <c:order val="1"/>
          <c:tx>
            <c:strRef>
              <c:f>'Growth Pattern'!$CF$677</c:f>
              <c:strCache>
                <c:ptCount val="1"/>
                <c:pt idx="0">
                  <c:v>CAI</c:v>
                </c:pt>
              </c:strCache>
            </c:strRef>
          </c:tx>
          <c:cat>
            <c:numLit>
              <c:formatCode>General</c:formatCode>
              <c:ptCount val="10"/>
              <c:pt idx="0">
                <c:v>3</c:v>
              </c:pt>
              <c:pt idx="1">
                <c:v>4</c:v>
              </c:pt>
              <c:pt idx="2">
                <c:v>5</c:v>
              </c:pt>
              <c:pt idx="3">
                <c:v>6</c:v>
              </c:pt>
              <c:pt idx="4">
                <c:v>7</c:v>
              </c:pt>
              <c:pt idx="5">
                <c:v>8</c:v>
              </c:pt>
              <c:pt idx="6">
                <c:v>9</c:v>
              </c:pt>
              <c:pt idx="7">
                <c:v>10</c:v>
              </c:pt>
              <c:pt idx="8">
                <c:v>11</c:v>
              </c:pt>
              <c:pt idx="9">
                <c:v>12</c:v>
              </c:pt>
            </c:numLit>
          </c:cat>
          <c:val>
            <c:numRef>
              <c:f>'Growth Pattern'!$CF$678:$CF$685</c:f>
              <c:numCache>
                <c:formatCode>0.00</c:formatCode>
                <c:ptCount val="8"/>
                <c:pt idx="1">
                  <c:v>10.680000000000001</c:v>
                </c:pt>
                <c:pt idx="2">
                  <c:v>14.77</c:v>
                </c:pt>
                <c:pt idx="3">
                  <c:v>14.570000000000007</c:v>
                </c:pt>
                <c:pt idx="4">
                  <c:v>8.4799999999999969</c:v>
                </c:pt>
                <c:pt idx="5">
                  <c:v>8.3399999999999963</c:v>
                </c:pt>
                <c:pt idx="6">
                  <c:v>-1.25</c:v>
                </c:pt>
                <c:pt idx="7">
                  <c:v>2.6099999999999994</c:v>
                </c:pt>
              </c:numCache>
            </c:numRef>
          </c:val>
          <c:smooth val="0"/>
        </c:ser>
        <c:dLbls>
          <c:showLegendKey val="0"/>
          <c:showVal val="0"/>
          <c:showCatName val="0"/>
          <c:showSerName val="0"/>
          <c:showPercent val="0"/>
          <c:showBubbleSize val="0"/>
        </c:dLbls>
        <c:marker val="1"/>
        <c:smooth val="0"/>
        <c:axId val="122252672"/>
        <c:axId val="122262656"/>
      </c:lineChart>
      <c:catAx>
        <c:axId val="122252672"/>
        <c:scaling>
          <c:orientation val="minMax"/>
        </c:scaling>
        <c:delete val="0"/>
        <c:axPos val="b"/>
        <c:numFmt formatCode="General" sourceLinked="1"/>
        <c:majorTickMark val="out"/>
        <c:minorTickMark val="none"/>
        <c:tickLblPos val="nextTo"/>
        <c:crossAx val="122262656"/>
        <c:crosses val="autoZero"/>
        <c:auto val="1"/>
        <c:lblAlgn val="ctr"/>
        <c:lblOffset val="100"/>
        <c:noMultiLvlLbl val="0"/>
      </c:catAx>
      <c:valAx>
        <c:axId val="122262656"/>
        <c:scaling>
          <c:orientation val="minMax"/>
        </c:scaling>
        <c:delete val="0"/>
        <c:axPos val="l"/>
        <c:majorGridlines/>
        <c:numFmt formatCode="0.00" sourceLinked="1"/>
        <c:majorTickMark val="out"/>
        <c:minorTickMark val="none"/>
        <c:tickLblPos val="nextTo"/>
        <c:crossAx val="122252672"/>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'Growth Pattern'!$CE$164</c:f>
              <c:strCache>
                <c:ptCount val="1"/>
                <c:pt idx="0">
                  <c:v>MAI</c:v>
                </c:pt>
              </c:strCache>
            </c:strRef>
          </c:tx>
          <c:val>
            <c:numRef>
              <c:f>'Growth Pattern'!$CE$165:$CE$174</c:f>
              <c:numCache>
                <c:formatCode>0.00</c:formatCode>
                <c:ptCount val="10"/>
                <c:pt idx="0">
                  <c:v>1.04</c:v>
                </c:pt>
                <c:pt idx="1">
                  <c:v>3.5049999999999999</c:v>
                </c:pt>
                <c:pt idx="2">
                  <c:v>5.9666666666666659</c:v>
                </c:pt>
                <c:pt idx="3">
                  <c:v>7.9450000000000003</c:v>
                </c:pt>
                <c:pt idx="4">
                  <c:v>9.4039999999999999</c:v>
                </c:pt>
                <c:pt idx="5">
                  <c:v>9.3116666666666674</c:v>
                </c:pt>
                <c:pt idx="6">
                  <c:v>9.5028571428571436</c:v>
                </c:pt>
                <c:pt idx="7">
                  <c:v>9.9087500000000013</c:v>
                </c:pt>
                <c:pt idx="8">
                  <c:v>10.044444444444444</c:v>
                </c:pt>
                <c:pt idx="9">
                  <c:v>9.902000000000001</c:v>
                </c:pt>
              </c:numCache>
            </c:numRef>
          </c:val>
          <c:smooth val="0"/>
        </c:ser>
        <c:ser>
          <c:idx val="1"/>
          <c:order val="1"/>
          <c:tx>
            <c:strRef>
              <c:f>'Growth Pattern'!$CF$164</c:f>
              <c:strCache>
                <c:ptCount val="1"/>
                <c:pt idx="0">
                  <c:v>CAI</c:v>
                </c:pt>
              </c:strCache>
            </c:strRef>
          </c:tx>
          <c:val>
            <c:numRef>
              <c:f>'Growth Pattern'!$CF$165:$CF$174</c:f>
              <c:numCache>
                <c:formatCode>0.00</c:formatCode>
                <c:ptCount val="10"/>
                <c:pt idx="0">
                  <c:v>1.04</c:v>
                </c:pt>
                <c:pt idx="1">
                  <c:v>5.97</c:v>
                </c:pt>
                <c:pt idx="2">
                  <c:v>10.89</c:v>
                </c:pt>
                <c:pt idx="3">
                  <c:v>13.88</c:v>
                </c:pt>
                <c:pt idx="4">
                  <c:v>15.24</c:v>
                </c:pt>
                <c:pt idx="5">
                  <c:v>8.85</c:v>
                </c:pt>
                <c:pt idx="6">
                  <c:v>10.65</c:v>
                </c:pt>
                <c:pt idx="7">
                  <c:v>12.75</c:v>
                </c:pt>
                <c:pt idx="8">
                  <c:v>11.13</c:v>
                </c:pt>
                <c:pt idx="9">
                  <c:v>8.6199999999999992</c:v>
                </c:pt>
              </c:numCache>
            </c:numRef>
          </c:val>
          <c:smooth val="0"/>
        </c:ser>
        <c:dLbls>
          <c:showLegendKey val="0"/>
          <c:showVal val="0"/>
          <c:showCatName val="0"/>
          <c:showSerName val="0"/>
          <c:showPercent val="0"/>
          <c:showBubbleSize val="0"/>
        </c:dLbls>
        <c:marker val="1"/>
        <c:smooth val="0"/>
        <c:axId val="93164288"/>
        <c:axId val="93165824"/>
      </c:lineChart>
      <c:catAx>
        <c:axId val="93164288"/>
        <c:scaling>
          <c:orientation val="minMax"/>
        </c:scaling>
        <c:delete val="0"/>
        <c:axPos val="b"/>
        <c:majorTickMark val="out"/>
        <c:minorTickMark val="none"/>
        <c:tickLblPos val="nextTo"/>
        <c:crossAx val="93165824"/>
        <c:crosses val="autoZero"/>
        <c:auto val="1"/>
        <c:lblAlgn val="ctr"/>
        <c:lblOffset val="100"/>
        <c:noMultiLvlLbl val="0"/>
      </c:catAx>
      <c:valAx>
        <c:axId val="93165824"/>
        <c:scaling>
          <c:orientation val="minMax"/>
        </c:scaling>
        <c:delete val="0"/>
        <c:axPos val="l"/>
        <c:majorGridlines/>
        <c:numFmt formatCode="0.00" sourceLinked="1"/>
        <c:majorTickMark val="out"/>
        <c:minorTickMark val="none"/>
        <c:tickLblPos val="nextTo"/>
        <c:crossAx val="93164288"/>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'Growth Pattern'!$CE$668</c:f>
              <c:strCache>
                <c:ptCount val="1"/>
                <c:pt idx="0">
                  <c:v>MAI</c:v>
                </c:pt>
              </c:strCache>
            </c:strRef>
          </c:tx>
          <c:cat>
            <c:numLit>
              <c:formatCode>General</c:formatCode>
              <c:ptCount val="8"/>
              <c:pt idx="0">
                <c:v>3</c:v>
              </c:pt>
              <c:pt idx="1">
                <c:v>4</c:v>
              </c:pt>
              <c:pt idx="2">
                <c:v>5</c:v>
              </c:pt>
              <c:pt idx="3">
                <c:v>6</c:v>
              </c:pt>
              <c:pt idx="4">
                <c:v>7</c:v>
              </c:pt>
              <c:pt idx="5">
                <c:v>8</c:v>
              </c:pt>
              <c:pt idx="6">
                <c:v>9</c:v>
              </c:pt>
              <c:pt idx="7">
                <c:v>10</c:v>
              </c:pt>
            </c:numLit>
          </c:cat>
          <c:val>
            <c:numRef>
              <c:f>'Growth Pattern'!$CE$669:$CE$676</c:f>
              <c:numCache>
                <c:formatCode>0.00</c:formatCode>
                <c:ptCount val="8"/>
                <c:pt idx="1">
                  <c:v>3.74</c:v>
                </c:pt>
                <c:pt idx="2">
                  <c:v>4.33</c:v>
                </c:pt>
                <c:pt idx="3">
                  <c:v>4.7699999999999996</c:v>
                </c:pt>
                <c:pt idx="4">
                  <c:v>4.7699999999999996</c:v>
                </c:pt>
                <c:pt idx="5">
                  <c:v>4.6900000000000004</c:v>
                </c:pt>
              </c:numCache>
            </c:numRef>
          </c:val>
          <c:smooth val="0"/>
        </c:ser>
        <c:ser>
          <c:idx val="1"/>
          <c:order val="1"/>
          <c:tx>
            <c:strRef>
              <c:f>'Growth Pattern'!$CF$668</c:f>
              <c:strCache>
                <c:ptCount val="1"/>
                <c:pt idx="0">
                  <c:v>CAI</c:v>
                </c:pt>
              </c:strCache>
            </c:strRef>
          </c:tx>
          <c:cat>
            <c:numLit>
              <c:formatCode>General</c:formatCode>
              <c:ptCount val="8"/>
              <c:pt idx="0">
                <c:v>3</c:v>
              </c:pt>
              <c:pt idx="1">
                <c:v>4</c:v>
              </c:pt>
              <c:pt idx="2">
                <c:v>5</c:v>
              </c:pt>
              <c:pt idx="3">
                <c:v>6</c:v>
              </c:pt>
              <c:pt idx="4">
                <c:v>7</c:v>
              </c:pt>
              <c:pt idx="5">
                <c:v>8</c:v>
              </c:pt>
              <c:pt idx="6">
                <c:v>9</c:v>
              </c:pt>
              <c:pt idx="7">
                <c:v>10</c:v>
              </c:pt>
            </c:numLit>
          </c:cat>
          <c:val>
            <c:numRef>
              <c:f>'Growth Pattern'!$CF$669:$CF$676</c:f>
              <c:numCache>
                <c:formatCode>0.00</c:formatCode>
                <c:ptCount val="8"/>
                <c:pt idx="2">
                  <c:v>6.6899999999999977</c:v>
                </c:pt>
                <c:pt idx="3">
                  <c:v>6.9699999999999989</c:v>
                </c:pt>
                <c:pt idx="4">
                  <c:v>4.7700000000000031</c:v>
                </c:pt>
                <c:pt idx="5">
                  <c:v>4.1300000000000026</c:v>
                </c:pt>
              </c:numCache>
            </c:numRef>
          </c:val>
          <c:smooth val="0"/>
        </c:ser>
        <c:dLbls>
          <c:showLegendKey val="0"/>
          <c:showVal val="0"/>
          <c:showCatName val="0"/>
          <c:showSerName val="0"/>
          <c:showPercent val="0"/>
          <c:showBubbleSize val="0"/>
        </c:dLbls>
        <c:marker val="1"/>
        <c:smooth val="0"/>
        <c:axId val="122283520"/>
        <c:axId val="122285056"/>
      </c:lineChart>
      <c:catAx>
        <c:axId val="122283520"/>
        <c:scaling>
          <c:orientation val="minMax"/>
        </c:scaling>
        <c:delete val="0"/>
        <c:axPos val="b"/>
        <c:numFmt formatCode="General" sourceLinked="1"/>
        <c:majorTickMark val="out"/>
        <c:minorTickMark val="none"/>
        <c:tickLblPos val="nextTo"/>
        <c:crossAx val="122285056"/>
        <c:crosses val="autoZero"/>
        <c:auto val="1"/>
        <c:lblAlgn val="ctr"/>
        <c:lblOffset val="100"/>
        <c:noMultiLvlLbl val="0"/>
      </c:catAx>
      <c:valAx>
        <c:axId val="122285056"/>
        <c:scaling>
          <c:orientation val="minMax"/>
        </c:scaling>
        <c:delete val="0"/>
        <c:axPos val="l"/>
        <c:majorGridlines/>
        <c:numFmt formatCode="0.00" sourceLinked="1"/>
        <c:majorTickMark val="out"/>
        <c:minorTickMark val="none"/>
        <c:tickLblPos val="nextTo"/>
        <c:crossAx val="122283520"/>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'Growth Pattern'!$CE$658</c:f>
              <c:strCache>
                <c:ptCount val="1"/>
                <c:pt idx="0">
                  <c:v>MAI</c:v>
                </c:pt>
              </c:strCache>
            </c:strRef>
          </c:tx>
          <c:cat>
            <c:numLit>
              <c:formatCode>General</c:formatCode>
              <c:ptCount val="10"/>
              <c:pt idx="0">
                <c:v>3</c:v>
              </c:pt>
              <c:pt idx="1">
                <c:v>4</c:v>
              </c:pt>
              <c:pt idx="2">
                <c:v>5</c:v>
              </c:pt>
              <c:pt idx="3">
                <c:v>6</c:v>
              </c:pt>
              <c:pt idx="4">
                <c:v>7</c:v>
              </c:pt>
              <c:pt idx="5">
                <c:v>8</c:v>
              </c:pt>
              <c:pt idx="6">
                <c:v>9</c:v>
              </c:pt>
              <c:pt idx="7">
                <c:v>10</c:v>
              </c:pt>
              <c:pt idx="8">
                <c:v>11</c:v>
              </c:pt>
              <c:pt idx="9">
                <c:v>12</c:v>
              </c:pt>
            </c:numLit>
          </c:cat>
          <c:val>
            <c:numRef>
              <c:f>'Growth Pattern'!$CE$659:$CE$667</c:f>
              <c:numCache>
                <c:formatCode>0.00</c:formatCode>
                <c:ptCount val="9"/>
                <c:pt idx="2">
                  <c:v>2.46</c:v>
                </c:pt>
                <c:pt idx="3">
                  <c:v>3.88</c:v>
                </c:pt>
                <c:pt idx="4">
                  <c:v>4.4800000000000004</c:v>
                </c:pt>
                <c:pt idx="5">
                  <c:v>5.09</c:v>
                </c:pt>
                <c:pt idx="6">
                  <c:v>5.13</c:v>
                </c:pt>
                <c:pt idx="7">
                  <c:v>4.7699999999999996</c:v>
                </c:pt>
              </c:numCache>
            </c:numRef>
          </c:val>
          <c:smooth val="0"/>
        </c:ser>
        <c:ser>
          <c:idx val="1"/>
          <c:order val="1"/>
          <c:tx>
            <c:strRef>
              <c:f>'Growth Pattern'!$CF$658</c:f>
              <c:strCache>
                <c:ptCount val="1"/>
                <c:pt idx="0">
                  <c:v>CAI</c:v>
                </c:pt>
              </c:strCache>
            </c:strRef>
          </c:tx>
          <c:cat>
            <c:numLit>
              <c:formatCode>General</c:formatCode>
              <c:ptCount val="10"/>
              <c:pt idx="0">
                <c:v>3</c:v>
              </c:pt>
              <c:pt idx="1">
                <c:v>4</c:v>
              </c:pt>
              <c:pt idx="2">
                <c:v>5</c:v>
              </c:pt>
              <c:pt idx="3">
                <c:v>6</c:v>
              </c:pt>
              <c:pt idx="4">
                <c:v>7</c:v>
              </c:pt>
              <c:pt idx="5">
                <c:v>8</c:v>
              </c:pt>
              <c:pt idx="6">
                <c:v>9</c:v>
              </c:pt>
              <c:pt idx="7">
                <c:v>10</c:v>
              </c:pt>
              <c:pt idx="8">
                <c:v>11</c:v>
              </c:pt>
              <c:pt idx="9">
                <c:v>12</c:v>
              </c:pt>
            </c:numLit>
          </c:cat>
          <c:val>
            <c:numRef>
              <c:f>'Growth Pattern'!$CF$659:$CF$667</c:f>
              <c:numCache>
                <c:formatCode>0.00</c:formatCode>
                <c:ptCount val="9"/>
                <c:pt idx="3">
                  <c:v>10.98</c:v>
                </c:pt>
                <c:pt idx="4">
                  <c:v>8.0800000000000018</c:v>
                </c:pt>
                <c:pt idx="5">
                  <c:v>9.3599999999999959</c:v>
                </c:pt>
                <c:pt idx="6">
                  <c:v>5.4500000000000028</c:v>
                </c:pt>
                <c:pt idx="7">
                  <c:v>1.529999999999994</c:v>
                </c:pt>
              </c:numCache>
            </c:numRef>
          </c:val>
          <c:smooth val="0"/>
        </c:ser>
        <c:dLbls>
          <c:showLegendKey val="0"/>
          <c:showVal val="0"/>
          <c:showCatName val="0"/>
          <c:showSerName val="0"/>
          <c:showPercent val="0"/>
          <c:showBubbleSize val="0"/>
        </c:dLbls>
        <c:marker val="1"/>
        <c:smooth val="0"/>
        <c:axId val="122305920"/>
        <c:axId val="122320000"/>
      </c:lineChart>
      <c:catAx>
        <c:axId val="122305920"/>
        <c:scaling>
          <c:orientation val="minMax"/>
        </c:scaling>
        <c:delete val="0"/>
        <c:axPos val="b"/>
        <c:numFmt formatCode="General" sourceLinked="1"/>
        <c:majorTickMark val="out"/>
        <c:minorTickMark val="none"/>
        <c:tickLblPos val="nextTo"/>
        <c:crossAx val="122320000"/>
        <c:crosses val="autoZero"/>
        <c:auto val="1"/>
        <c:lblAlgn val="ctr"/>
        <c:lblOffset val="100"/>
        <c:noMultiLvlLbl val="0"/>
      </c:catAx>
      <c:valAx>
        <c:axId val="122320000"/>
        <c:scaling>
          <c:orientation val="minMax"/>
        </c:scaling>
        <c:delete val="0"/>
        <c:axPos val="l"/>
        <c:majorGridlines/>
        <c:numFmt formatCode="0.00" sourceLinked="1"/>
        <c:majorTickMark val="out"/>
        <c:minorTickMark val="none"/>
        <c:tickLblPos val="nextTo"/>
        <c:crossAx val="122305920"/>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168397784936075"/>
          <c:y val="7.31314061960152E-2"/>
          <c:w val="0.69819461573900865"/>
          <c:h val="0.74193193596683171"/>
        </c:manualLayout>
      </c:layout>
      <c:lineChart>
        <c:grouping val="standard"/>
        <c:varyColors val="0"/>
        <c:ser>
          <c:idx val="0"/>
          <c:order val="0"/>
          <c:tx>
            <c:strRef>
              <c:f>'Growth Pattern'!$CE$648</c:f>
              <c:strCache>
                <c:ptCount val="1"/>
                <c:pt idx="0">
                  <c:v>MAI</c:v>
                </c:pt>
              </c:strCache>
            </c:strRef>
          </c:tx>
          <c:cat>
            <c:numLit>
              <c:formatCode>General</c:formatCode>
              <c:ptCount val="10"/>
              <c:pt idx="0">
                <c:v>3</c:v>
              </c:pt>
              <c:pt idx="1">
                <c:v>4</c:v>
              </c:pt>
              <c:pt idx="2">
                <c:v>5</c:v>
              </c:pt>
              <c:pt idx="3">
                <c:v>6</c:v>
              </c:pt>
              <c:pt idx="4">
                <c:v>7</c:v>
              </c:pt>
              <c:pt idx="5">
                <c:v>8</c:v>
              </c:pt>
              <c:pt idx="6">
                <c:v>9</c:v>
              </c:pt>
              <c:pt idx="7">
                <c:v>10</c:v>
              </c:pt>
              <c:pt idx="8">
                <c:v>11</c:v>
              </c:pt>
              <c:pt idx="9">
                <c:v>12</c:v>
              </c:pt>
            </c:numLit>
          </c:cat>
          <c:val>
            <c:numRef>
              <c:f>'Growth Pattern'!$CE$649:$CE$657</c:f>
              <c:numCache>
                <c:formatCode>0.00</c:formatCode>
                <c:ptCount val="9"/>
                <c:pt idx="2">
                  <c:v>4.1500000000000004</c:v>
                </c:pt>
                <c:pt idx="3">
                  <c:v>3.93</c:v>
                </c:pt>
                <c:pt idx="4">
                  <c:v>6.39</c:v>
                </c:pt>
                <c:pt idx="5">
                  <c:v>7.17</c:v>
                </c:pt>
                <c:pt idx="6">
                  <c:v>7.17</c:v>
                </c:pt>
                <c:pt idx="7">
                  <c:v>7.94</c:v>
                </c:pt>
              </c:numCache>
            </c:numRef>
          </c:val>
          <c:smooth val="0"/>
        </c:ser>
        <c:ser>
          <c:idx val="1"/>
          <c:order val="1"/>
          <c:tx>
            <c:strRef>
              <c:f>'Growth Pattern'!$CF$648</c:f>
              <c:strCache>
                <c:ptCount val="1"/>
                <c:pt idx="0">
                  <c:v>CAI</c:v>
                </c:pt>
              </c:strCache>
            </c:strRef>
          </c:tx>
          <c:cat>
            <c:numLit>
              <c:formatCode>General</c:formatCode>
              <c:ptCount val="10"/>
              <c:pt idx="0">
                <c:v>3</c:v>
              </c:pt>
              <c:pt idx="1">
                <c:v>4</c:v>
              </c:pt>
              <c:pt idx="2">
                <c:v>5</c:v>
              </c:pt>
              <c:pt idx="3">
                <c:v>6</c:v>
              </c:pt>
              <c:pt idx="4">
                <c:v>7</c:v>
              </c:pt>
              <c:pt idx="5">
                <c:v>8</c:v>
              </c:pt>
              <c:pt idx="6">
                <c:v>9</c:v>
              </c:pt>
              <c:pt idx="7">
                <c:v>10</c:v>
              </c:pt>
              <c:pt idx="8">
                <c:v>11</c:v>
              </c:pt>
              <c:pt idx="9">
                <c:v>12</c:v>
              </c:pt>
            </c:numLit>
          </c:cat>
          <c:val>
            <c:numRef>
              <c:f>'Growth Pattern'!$CF$649:$CF$657</c:f>
              <c:numCache>
                <c:formatCode>0.00</c:formatCode>
                <c:ptCount val="9"/>
                <c:pt idx="3">
                  <c:v>2.8300000000000018</c:v>
                </c:pt>
                <c:pt idx="4">
                  <c:v>21.149999999999995</c:v>
                </c:pt>
                <c:pt idx="5">
                  <c:v>12.630000000000003</c:v>
                </c:pt>
                <c:pt idx="6">
                  <c:v>7.1700000000000017</c:v>
                </c:pt>
                <c:pt idx="7">
                  <c:v>14.870000000000005</c:v>
                </c:pt>
              </c:numCache>
            </c:numRef>
          </c:val>
          <c:smooth val="0"/>
        </c:ser>
        <c:dLbls>
          <c:showLegendKey val="0"/>
          <c:showVal val="0"/>
          <c:showCatName val="0"/>
          <c:showSerName val="0"/>
          <c:showPercent val="0"/>
          <c:showBubbleSize val="0"/>
        </c:dLbls>
        <c:marker val="1"/>
        <c:smooth val="0"/>
        <c:axId val="122332672"/>
        <c:axId val="122334208"/>
      </c:lineChart>
      <c:catAx>
        <c:axId val="122332672"/>
        <c:scaling>
          <c:orientation val="minMax"/>
        </c:scaling>
        <c:delete val="0"/>
        <c:axPos val="b"/>
        <c:numFmt formatCode="General" sourceLinked="1"/>
        <c:majorTickMark val="out"/>
        <c:minorTickMark val="none"/>
        <c:tickLblPos val="nextTo"/>
        <c:crossAx val="122334208"/>
        <c:crosses val="autoZero"/>
        <c:auto val="1"/>
        <c:lblAlgn val="ctr"/>
        <c:lblOffset val="100"/>
        <c:noMultiLvlLbl val="0"/>
      </c:catAx>
      <c:valAx>
        <c:axId val="122334208"/>
        <c:scaling>
          <c:orientation val="minMax"/>
        </c:scaling>
        <c:delete val="0"/>
        <c:axPos val="l"/>
        <c:majorGridlines/>
        <c:numFmt formatCode="0.00" sourceLinked="1"/>
        <c:majorTickMark val="out"/>
        <c:minorTickMark val="none"/>
        <c:tickLblPos val="nextTo"/>
        <c:crossAx val="122332672"/>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'Growth Pattern'!$CE$628</c:f>
              <c:strCache>
                <c:ptCount val="1"/>
                <c:pt idx="0">
                  <c:v>MAI</c:v>
                </c:pt>
              </c:strCache>
            </c:strRef>
          </c:tx>
          <c:cat>
            <c:numLit>
              <c:formatCode>General</c:formatCode>
              <c:ptCount val="10"/>
              <c:pt idx="0">
                <c:v>3</c:v>
              </c:pt>
              <c:pt idx="1">
                <c:v>4</c:v>
              </c:pt>
              <c:pt idx="2">
                <c:v>5</c:v>
              </c:pt>
              <c:pt idx="3">
                <c:v>6</c:v>
              </c:pt>
              <c:pt idx="4">
                <c:v>7</c:v>
              </c:pt>
              <c:pt idx="5">
                <c:v>8</c:v>
              </c:pt>
              <c:pt idx="6">
                <c:v>9</c:v>
              </c:pt>
              <c:pt idx="7">
                <c:v>10</c:v>
              </c:pt>
              <c:pt idx="8">
                <c:v>11</c:v>
              </c:pt>
              <c:pt idx="9">
                <c:v>12</c:v>
              </c:pt>
            </c:numLit>
          </c:cat>
          <c:val>
            <c:numRef>
              <c:f>'Growth Pattern'!$CE$629:$CE$637</c:f>
              <c:numCache>
                <c:formatCode>0.00</c:formatCode>
                <c:ptCount val="9"/>
                <c:pt idx="2">
                  <c:v>3.65</c:v>
                </c:pt>
                <c:pt idx="3">
                  <c:v>4.26</c:v>
                </c:pt>
                <c:pt idx="4">
                  <c:v>7.62</c:v>
                </c:pt>
                <c:pt idx="5">
                  <c:v>8.18</c:v>
                </c:pt>
                <c:pt idx="6">
                  <c:v>8.52</c:v>
                </c:pt>
                <c:pt idx="7">
                  <c:v>8.65</c:v>
                </c:pt>
                <c:pt idx="8">
                  <c:v>8.43</c:v>
                </c:pt>
              </c:numCache>
            </c:numRef>
          </c:val>
          <c:smooth val="0"/>
        </c:ser>
        <c:ser>
          <c:idx val="1"/>
          <c:order val="1"/>
          <c:tx>
            <c:strRef>
              <c:f>'Growth Pattern'!$CF$628</c:f>
              <c:strCache>
                <c:ptCount val="1"/>
                <c:pt idx="0">
                  <c:v>CAI</c:v>
                </c:pt>
              </c:strCache>
            </c:strRef>
          </c:tx>
          <c:cat>
            <c:numLit>
              <c:formatCode>General</c:formatCode>
              <c:ptCount val="10"/>
              <c:pt idx="0">
                <c:v>3</c:v>
              </c:pt>
              <c:pt idx="1">
                <c:v>4</c:v>
              </c:pt>
              <c:pt idx="2">
                <c:v>5</c:v>
              </c:pt>
              <c:pt idx="3">
                <c:v>6</c:v>
              </c:pt>
              <c:pt idx="4">
                <c:v>7</c:v>
              </c:pt>
              <c:pt idx="5">
                <c:v>8</c:v>
              </c:pt>
              <c:pt idx="6">
                <c:v>9</c:v>
              </c:pt>
              <c:pt idx="7">
                <c:v>10</c:v>
              </c:pt>
              <c:pt idx="8">
                <c:v>11</c:v>
              </c:pt>
              <c:pt idx="9">
                <c:v>12</c:v>
              </c:pt>
            </c:numLit>
          </c:cat>
          <c:val>
            <c:numRef>
              <c:f>'Growth Pattern'!$CF$629:$CF$637</c:f>
              <c:numCache>
                <c:formatCode>0.00</c:formatCode>
                <c:ptCount val="9"/>
                <c:pt idx="3">
                  <c:v>7.3099999999999987</c:v>
                </c:pt>
                <c:pt idx="4">
                  <c:v>27.780000000000005</c:v>
                </c:pt>
                <c:pt idx="5">
                  <c:v>12.099999999999994</c:v>
                </c:pt>
                <c:pt idx="6">
                  <c:v>11.239999999999995</c:v>
                </c:pt>
                <c:pt idx="7">
                  <c:v>9.8200000000000074</c:v>
                </c:pt>
                <c:pt idx="8">
                  <c:v>6.2299999999999898</c:v>
                </c:pt>
              </c:numCache>
            </c:numRef>
          </c:val>
          <c:smooth val="0"/>
        </c:ser>
        <c:dLbls>
          <c:showLegendKey val="0"/>
          <c:showVal val="0"/>
          <c:showCatName val="0"/>
          <c:showSerName val="0"/>
          <c:showPercent val="0"/>
          <c:showBubbleSize val="0"/>
        </c:dLbls>
        <c:marker val="1"/>
        <c:smooth val="0"/>
        <c:axId val="122350976"/>
        <c:axId val="122438784"/>
      </c:lineChart>
      <c:catAx>
        <c:axId val="122350976"/>
        <c:scaling>
          <c:orientation val="minMax"/>
        </c:scaling>
        <c:delete val="0"/>
        <c:axPos val="b"/>
        <c:numFmt formatCode="General" sourceLinked="1"/>
        <c:majorTickMark val="out"/>
        <c:minorTickMark val="none"/>
        <c:tickLblPos val="nextTo"/>
        <c:crossAx val="122438784"/>
        <c:crosses val="autoZero"/>
        <c:auto val="1"/>
        <c:lblAlgn val="ctr"/>
        <c:lblOffset val="100"/>
        <c:noMultiLvlLbl val="0"/>
      </c:catAx>
      <c:valAx>
        <c:axId val="122438784"/>
        <c:scaling>
          <c:orientation val="minMax"/>
        </c:scaling>
        <c:delete val="0"/>
        <c:axPos val="l"/>
        <c:majorGridlines/>
        <c:numFmt formatCode="0.00" sourceLinked="1"/>
        <c:majorTickMark val="out"/>
        <c:minorTickMark val="none"/>
        <c:tickLblPos val="nextTo"/>
        <c:crossAx val="122350976"/>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'Growth Pattern'!$CE$608</c:f>
              <c:strCache>
                <c:ptCount val="1"/>
                <c:pt idx="0">
                  <c:v>MAI</c:v>
                </c:pt>
              </c:strCache>
            </c:strRef>
          </c:tx>
          <c:cat>
            <c:numLit>
              <c:formatCode>General</c:formatCode>
              <c:ptCount val="9"/>
              <c:pt idx="0">
                <c:v>3</c:v>
              </c:pt>
              <c:pt idx="1">
                <c:v>4</c:v>
              </c:pt>
              <c:pt idx="2">
                <c:v>5</c:v>
              </c:pt>
              <c:pt idx="3">
                <c:v>6</c:v>
              </c:pt>
              <c:pt idx="4">
                <c:v>7</c:v>
              </c:pt>
              <c:pt idx="5">
                <c:v>8</c:v>
              </c:pt>
              <c:pt idx="6">
                <c:v>9</c:v>
              </c:pt>
              <c:pt idx="7">
                <c:v>10</c:v>
              </c:pt>
              <c:pt idx="8">
                <c:v>11</c:v>
              </c:pt>
            </c:numLit>
          </c:cat>
          <c:val>
            <c:numRef>
              <c:f>'Growth Pattern'!$CE$609:$CE$617</c:f>
              <c:numCache>
                <c:formatCode>0.00</c:formatCode>
                <c:ptCount val="9"/>
                <c:pt idx="2">
                  <c:v>2.17</c:v>
                </c:pt>
                <c:pt idx="3">
                  <c:v>2.85</c:v>
                </c:pt>
                <c:pt idx="4">
                  <c:v>3.36</c:v>
                </c:pt>
                <c:pt idx="5">
                  <c:v>3.52</c:v>
                </c:pt>
                <c:pt idx="6">
                  <c:v>3.5</c:v>
                </c:pt>
                <c:pt idx="8">
                  <c:v>4.04</c:v>
                </c:pt>
              </c:numCache>
            </c:numRef>
          </c:val>
          <c:smooth val="0"/>
        </c:ser>
        <c:ser>
          <c:idx val="1"/>
          <c:order val="1"/>
          <c:tx>
            <c:strRef>
              <c:f>'Growth Pattern'!$CF$608</c:f>
              <c:strCache>
                <c:ptCount val="1"/>
                <c:pt idx="0">
                  <c:v>CAI</c:v>
                </c:pt>
              </c:strCache>
            </c:strRef>
          </c:tx>
          <c:cat>
            <c:numLit>
              <c:formatCode>General</c:formatCode>
              <c:ptCount val="9"/>
              <c:pt idx="0">
                <c:v>3</c:v>
              </c:pt>
              <c:pt idx="1">
                <c:v>4</c:v>
              </c:pt>
              <c:pt idx="2">
                <c:v>5</c:v>
              </c:pt>
              <c:pt idx="3">
                <c:v>6</c:v>
              </c:pt>
              <c:pt idx="4">
                <c:v>7</c:v>
              </c:pt>
              <c:pt idx="5">
                <c:v>8</c:v>
              </c:pt>
              <c:pt idx="6">
                <c:v>9</c:v>
              </c:pt>
              <c:pt idx="7">
                <c:v>10</c:v>
              </c:pt>
              <c:pt idx="8">
                <c:v>11</c:v>
              </c:pt>
            </c:numLit>
          </c:cat>
          <c:val>
            <c:numRef>
              <c:f>'Growth Pattern'!$CF$609:$CF$617</c:f>
              <c:numCache>
                <c:formatCode>0.00</c:formatCode>
                <c:ptCount val="9"/>
                <c:pt idx="3">
                  <c:v>6.2500000000000018</c:v>
                </c:pt>
                <c:pt idx="4">
                  <c:v>6.4199999999999982</c:v>
                </c:pt>
                <c:pt idx="5">
                  <c:v>4.6400000000000006</c:v>
                </c:pt>
                <c:pt idx="6">
                  <c:v>3.34</c:v>
                </c:pt>
              </c:numCache>
            </c:numRef>
          </c:val>
          <c:smooth val="0"/>
        </c:ser>
        <c:dLbls>
          <c:showLegendKey val="0"/>
          <c:showVal val="0"/>
          <c:showCatName val="0"/>
          <c:showSerName val="0"/>
          <c:showPercent val="0"/>
          <c:showBubbleSize val="0"/>
        </c:dLbls>
        <c:marker val="1"/>
        <c:smooth val="0"/>
        <c:axId val="122463744"/>
        <c:axId val="122465280"/>
      </c:lineChart>
      <c:catAx>
        <c:axId val="122463744"/>
        <c:scaling>
          <c:orientation val="minMax"/>
        </c:scaling>
        <c:delete val="0"/>
        <c:axPos val="b"/>
        <c:numFmt formatCode="General" sourceLinked="1"/>
        <c:majorTickMark val="out"/>
        <c:minorTickMark val="none"/>
        <c:tickLblPos val="nextTo"/>
        <c:crossAx val="122465280"/>
        <c:crosses val="autoZero"/>
        <c:auto val="1"/>
        <c:lblAlgn val="ctr"/>
        <c:lblOffset val="100"/>
        <c:noMultiLvlLbl val="0"/>
      </c:catAx>
      <c:valAx>
        <c:axId val="122465280"/>
        <c:scaling>
          <c:orientation val="minMax"/>
        </c:scaling>
        <c:delete val="0"/>
        <c:axPos val="l"/>
        <c:majorGridlines/>
        <c:numFmt formatCode="0.00" sourceLinked="1"/>
        <c:majorTickMark val="out"/>
        <c:minorTickMark val="none"/>
        <c:tickLblPos val="nextTo"/>
        <c:crossAx val="122463744"/>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'Growth Pattern'!$CE$686</c:f>
              <c:strCache>
                <c:ptCount val="1"/>
                <c:pt idx="0">
                  <c:v>MAI</c:v>
                </c:pt>
              </c:strCache>
            </c:strRef>
          </c:tx>
          <c:cat>
            <c:numLit>
              <c:formatCode>General</c:formatCode>
              <c:ptCount val="10"/>
              <c:pt idx="0">
                <c:v>3</c:v>
              </c:pt>
              <c:pt idx="1">
                <c:v>4</c:v>
              </c:pt>
              <c:pt idx="2">
                <c:v>5</c:v>
              </c:pt>
              <c:pt idx="3">
                <c:v>6</c:v>
              </c:pt>
              <c:pt idx="4">
                <c:v>7</c:v>
              </c:pt>
              <c:pt idx="5">
                <c:v>8</c:v>
              </c:pt>
              <c:pt idx="6">
                <c:v>9</c:v>
              </c:pt>
              <c:pt idx="7">
                <c:v>10</c:v>
              </c:pt>
              <c:pt idx="8">
                <c:v>11</c:v>
              </c:pt>
              <c:pt idx="9">
                <c:v>12</c:v>
              </c:pt>
            </c:numLit>
          </c:cat>
          <c:val>
            <c:numRef>
              <c:f>'Growth Pattern'!$CE$687:$CE$694</c:f>
              <c:numCache>
                <c:formatCode>0.00</c:formatCode>
                <c:ptCount val="8"/>
                <c:pt idx="1">
                  <c:v>4.33</c:v>
                </c:pt>
                <c:pt idx="2">
                  <c:v>5.22</c:v>
                </c:pt>
                <c:pt idx="3">
                  <c:v>9.1199999999999992</c:v>
                </c:pt>
                <c:pt idx="4">
                  <c:v>9.48</c:v>
                </c:pt>
                <c:pt idx="5">
                  <c:v>9.4600000000000009</c:v>
                </c:pt>
                <c:pt idx="6">
                  <c:v>9.26</c:v>
                </c:pt>
              </c:numCache>
            </c:numRef>
          </c:val>
          <c:smooth val="0"/>
        </c:ser>
        <c:ser>
          <c:idx val="1"/>
          <c:order val="1"/>
          <c:tx>
            <c:strRef>
              <c:f>'Growth Pattern'!$CF$686</c:f>
              <c:strCache>
                <c:ptCount val="1"/>
                <c:pt idx="0">
                  <c:v>CAI</c:v>
                </c:pt>
              </c:strCache>
            </c:strRef>
          </c:tx>
          <c:cat>
            <c:numLit>
              <c:formatCode>General</c:formatCode>
              <c:ptCount val="10"/>
              <c:pt idx="0">
                <c:v>3</c:v>
              </c:pt>
              <c:pt idx="1">
                <c:v>4</c:v>
              </c:pt>
              <c:pt idx="2">
                <c:v>5</c:v>
              </c:pt>
              <c:pt idx="3">
                <c:v>6</c:v>
              </c:pt>
              <c:pt idx="4">
                <c:v>7</c:v>
              </c:pt>
              <c:pt idx="5">
                <c:v>8</c:v>
              </c:pt>
              <c:pt idx="6">
                <c:v>9</c:v>
              </c:pt>
              <c:pt idx="7">
                <c:v>10</c:v>
              </c:pt>
              <c:pt idx="8">
                <c:v>11</c:v>
              </c:pt>
              <c:pt idx="9">
                <c:v>12</c:v>
              </c:pt>
            </c:numLit>
          </c:cat>
          <c:val>
            <c:numRef>
              <c:f>'Growth Pattern'!$CF$687:$CF$694</c:f>
              <c:numCache>
                <c:formatCode>0.00</c:formatCode>
                <c:ptCount val="8"/>
                <c:pt idx="2">
                  <c:v>8.7799999999999976</c:v>
                </c:pt>
                <c:pt idx="3">
                  <c:v>28.62</c:v>
                </c:pt>
                <c:pt idx="4">
                  <c:v>11.64</c:v>
                </c:pt>
                <c:pt idx="5">
                  <c:v>9.3200000000000074</c:v>
                </c:pt>
                <c:pt idx="6">
                  <c:v>7.6599999999999966</c:v>
                </c:pt>
              </c:numCache>
            </c:numRef>
          </c:val>
          <c:smooth val="0"/>
        </c:ser>
        <c:dLbls>
          <c:showLegendKey val="0"/>
          <c:showVal val="0"/>
          <c:showCatName val="0"/>
          <c:showSerName val="0"/>
          <c:showPercent val="0"/>
          <c:showBubbleSize val="0"/>
        </c:dLbls>
        <c:marker val="1"/>
        <c:smooth val="0"/>
        <c:axId val="122756480"/>
        <c:axId val="122770560"/>
      </c:lineChart>
      <c:catAx>
        <c:axId val="122756480"/>
        <c:scaling>
          <c:orientation val="minMax"/>
        </c:scaling>
        <c:delete val="0"/>
        <c:axPos val="b"/>
        <c:numFmt formatCode="General" sourceLinked="1"/>
        <c:majorTickMark val="out"/>
        <c:minorTickMark val="none"/>
        <c:tickLblPos val="nextTo"/>
        <c:crossAx val="122770560"/>
        <c:crosses val="autoZero"/>
        <c:auto val="1"/>
        <c:lblAlgn val="ctr"/>
        <c:lblOffset val="100"/>
        <c:noMultiLvlLbl val="0"/>
      </c:catAx>
      <c:valAx>
        <c:axId val="122770560"/>
        <c:scaling>
          <c:orientation val="minMax"/>
        </c:scaling>
        <c:delete val="0"/>
        <c:axPos val="l"/>
        <c:majorGridlines/>
        <c:numFmt formatCode="0.00" sourceLinked="1"/>
        <c:majorTickMark val="out"/>
        <c:minorTickMark val="none"/>
        <c:tickLblPos val="nextTo"/>
        <c:crossAx val="122756480"/>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'Growth Pattern'!$CE$695</c:f>
              <c:strCache>
                <c:ptCount val="1"/>
                <c:pt idx="0">
                  <c:v>MAI</c:v>
                </c:pt>
              </c:strCache>
            </c:strRef>
          </c:tx>
          <c:cat>
            <c:numLit>
              <c:formatCode>General</c:formatCode>
              <c:ptCount val="10"/>
              <c:pt idx="0">
                <c:v>3</c:v>
              </c:pt>
              <c:pt idx="1">
                <c:v>4</c:v>
              </c:pt>
              <c:pt idx="2">
                <c:v>5</c:v>
              </c:pt>
              <c:pt idx="3">
                <c:v>6</c:v>
              </c:pt>
              <c:pt idx="4">
                <c:v>7</c:v>
              </c:pt>
              <c:pt idx="5">
                <c:v>8</c:v>
              </c:pt>
              <c:pt idx="6">
                <c:v>9</c:v>
              </c:pt>
              <c:pt idx="7">
                <c:v>10</c:v>
              </c:pt>
              <c:pt idx="8">
                <c:v>11</c:v>
              </c:pt>
              <c:pt idx="9">
                <c:v>12</c:v>
              </c:pt>
            </c:numLit>
          </c:cat>
          <c:val>
            <c:numRef>
              <c:f>'Growth Pattern'!$CE$696:$CE$703</c:f>
              <c:numCache>
                <c:formatCode>0.00</c:formatCode>
                <c:ptCount val="8"/>
                <c:pt idx="1">
                  <c:v>4.33</c:v>
                </c:pt>
                <c:pt idx="2">
                  <c:v>5.09</c:v>
                </c:pt>
                <c:pt idx="3">
                  <c:v>7.02</c:v>
                </c:pt>
                <c:pt idx="4">
                  <c:v>7.24</c:v>
                </c:pt>
                <c:pt idx="5">
                  <c:v>7.17</c:v>
                </c:pt>
                <c:pt idx="6">
                  <c:v>7.17</c:v>
                </c:pt>
              </c:numCache>
            </c:numRef>
          </c:val>
          <c:smooth val="0"/>
        </c:ser>
        <c:ser>
          <c:idx val="1"/>
          <c:order val="1"/>
          <c:tx>
            <c:strRef>
              <c:f>'Growth Pattern'!$CF$695</c:f>
              <c:strCache>
                <c:ptCount val="1"/>
                <c:pt idx="0">
                  <c:v>CAI</c:v>
                </c:pt>
              </c:strCache>
            </c:strRef>
          </c:tx>
          <c:cat>
            <c:numLit>
              <c:formatCode>General</c:formatCode>
              <c:ptCount val="10"/>
              <c:pt idx="0">
                <c:v>3</c:v>
              </c:pt>
              <c:pt idx="1">
                <c:v>4</c:v>
              </c:pt>
              <c:pt idx="2">
                <c:v>5</c:v>
              </c:pt>
              <c:pt idx="3">
                <c:v>6</c:v>
              </c:pt>
              <c:pt idx="4">
                <c:v>7</c:v>
              </c:pt>
              <c:pt idx="5">
                <c:v>8</c:v>
              </c:pt>
              <c:pt idx="6">
                <c:v>9</c:v>
              </c:pt>
              <c:pt idx="7">
                <c:v>10</c:v>
              </c:pt>
              <c:pt idx="8">
                <c:v>11</c:v>
              </c:pt>
              <c:pt idx="9">
                <c:v>12</c:v>
              </c:pt>
            </c:numLit>
          </c:cat>
          <c:val>
            <c:numRef>
              <c:f>'Growth Pattern'!$CF$696:$CF$703</c:f>
              <c:numCache>
                <c:formatCode>0.00</c:formatCode>
                <c:ptCount val="8"/>
                <c:pt idx="2">
                  <c:v>8.129999999999999</c:v>
                </c:pt>
                <c:pt idx="3">
                  <c:v>16.669999999999998</c:v>
                </c:pt>
                <c:pt idx="4">
                  <c:v>8.5600000000000023</c:v>
                </c:pt>
                <c:pt idx="5">
                  <c:v>6.68</c:v>
                </c:pt>
                <c:pt idx="6">
                  <c:v>7.1700000000000017</c:v>
                </c:pt>
              </c:numCache>
            </c:numRef>
          </c:val>
          <c:smooth val="0"/>
        </c:ser>
        <c:dLbls>
          <c:showLegendKey val="0"/>
          <c:showVal val="0"/>
          <c:showCatName val="0"/>
          <c:showSerName val="0"/>
          <c:showPercent val="0"/>
          <c:showBubbleSize val="0"/>
        </c:dLbls>
        <c:marker val="1"/>
        <c:smooth val="0"/>
        <c:axId val="122787328"/>
        <c:axId val="122788864"/>
      </c:lineChart>
      <c:catAx>
        <c:axId val="122787328"/>
        <c:scaling>
          <c:orientation val="minMax"/>
        </c:scaling>
        <c:delete val="0"/>
        <c:axPos val="b"/>
        <c:numFmt formatCode="General" sourceLinked="1"/>
        <c:majorTickMark val="out"/>
        <c:minorTickMark val="none"/>
        <c:tickLblPos val="nextTo"/>
        <c:crossAx val="122788864"/>
        <c:crosses val="autoZero"/>
        <c:auto val="1"/>
        <c:lblAlgn val="ctr"/>
        <c:lblOffset val="100"/>
        <c:noMultiLvlLbl val="0"/>
      </c:catAx>
      <c:valAx>
        <c:axId val="122788864"/>
        <c:scaling>
          <c:orientation val="minMax"/>
        </c:scaling>
        <c:delete val="0"/>
        <c:axPos val="l"/>
        <c:majorGridlines/>
        <c:numFmt formatCode="0.00" sourceLinked="1"/>
        <c:majorTickMark val="out"/>
        <c:minorTickMark val="none"/>
        <c:tickLblPos val="nextTo"/>
        <c:crossAx val="122787328"/>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'Growth Pattern'!$CE$704</c:f>
              <c:strCache>
                <c:ptCount val="1"/>
                <c:pt idx="0">
                  <c:v>MAI</c:v>
                </c:pt>
              </c:strCache>
            </c:strRef>
          </c:tx>
          <c:cat>
            <c:numLit>
              <c:formatCode>General</c:formatCode>
              <c:ptCount val="10"/>
              <c:pt idx="0">
                <c:v>3</c:v>
              </c:pt>
              <c:pt idx="1">
                <c:v>4</c:v>
              </c:pt>
              <c:pt idx="2">
                <c:v>5</c:v>
              </c:pt>
              <c:pt idx="3">
                <c:v>6</c:v>
              </c:pt>
              <c:pt idx="4">
                <c:v>7</c:v>
              </c:pt>
              <c:pt idx="5">
                <c:v>8</c:v>
              </c:pt>
              <c:pt idx="6">
                <c:v>9</c:v>
              </c:pt>
              <c:pt idx="7">
                <c:v>10</c:v>
              </c:pt>
              <c:pt idx="8">
                <c:v>11</c:v>
              </c:pt>
              <c:pt idx="9">
                <c:v>12</c:v>
              </c:pt>
            </c:numLit>
          </c:cat>
          <c:val>
            <c:numRef>
              <c:f>'Growth Pattern'!$CE$705:$CE$712</c:f>
              <c:numCache>
                <c:formatCode>0.00</c:formatCode>
                <c:ptCount val="8"/>
                <c:pt idx="1">
                  <c:v>2.8</c:v>
                </c:pt>
                <c:pt idx="2">
                  <c:v>3.92</c:v>
                </c:pt>
                <c:pt idx="3">
                  <c:v>4.1500000000000004</c:v>
                </c:pt>
                <c:pt idx="4">
                  <c:v>4.93</c:v>
                </c:pt>
                <c:pt idx="5">
                  <c:v>5.38</c:v>
                </c:pt>
                <c:pt idx="6">
                  <c:v>6.05</c:v>
                </c:pt>
                <c:pt idx="7">
                  <c:v>5.6</c:v>
                </c:pt>
              </c:numCache>
            </c:numRef>
          </c:val>
          <c:smooth val="0"/>
        </c:ser>
        <c:ser>
          <c:idx val="1"/>
          <c:order val="1"/>
          <c:tx>
            <c:strRef>
              <c:f>'Growth Pattern'!$CF$704</c:f>
              <c:strCache>
                <c:ptCount val="1"/>
                <c:pt idx="0">
                  <c:v>CAI</c:v>
                </c:pt>
              </c:strCache>
            </c:strRef>
          </c:tx>
          <c:cat>
            <c:numLit>
              <c:formatCode>General</c:formatCode>
              <c:ptCount val="10"/>
              <c:pt idx="0">
                <c:v>3</c:v>
              </c:pt>
              <c:pt idx="1">
                <c:v>4</c:v>
              </c:pt>
              <c:pt idx="2">
                <c:v>5</c:v>
              </c:pt>
              <c:pt idx="3">
                <c:v>6</c:v>
              </c:pt>
              <c:pt idx="4">
                <c:v>7</c:v>
              </c:pt>
              <c:pt idx="5">
                <c:v>8</c:v>
              </c:pt>
              <c:pt idx="6">
                <c:v>9</c:v>
              </c:pt>
              <c:pt idx="7">
                <c:v>10</c:v>
              </c:pt>
              <c:pt idx="8">
                <c:v>11</c:v>
              </c:pt>
              <c:pt idx="9">
                <c:v>12</c:v>
              </c:pt>
            </c:numLit>
          </c:cat>
          <c:val>
            <c:numRef>
              <c:f>'Growth Pattern'!$CF$705:$CF$712</c:f>
              <c:numCache>
                <c:formatCode>0.00</c:formatCode>
                <c:ptCount val="8"/>
                <c:pt idx="2">
                  <c:v>8.4000000000000021</c:v>
                </c:pt>
                <c:pt idx="3">
                  <c:v>5.3000000000000007</c:v>
                </c:pt>
                <c:pt idx="4">
                  <c:v>9.6099999999999959</c:v>
                </c:pt>
                <c:pt idx="5">
                  <c:v>8.5300000000000011</c:v>
                </c:pt>
                <c:pt idx="6">
                  <c:v>11.409999999999997</c:v>
                </c:pt>
                <c:pt idx="7">
                  <c:v>1.5500000000000043</c:v>
                </c:pt>
              </c:numCache>
            </c:numRef>
          </c:val>
          <c:smooth val="0"/>
        </c:ser>
        <c:dLbls>
          <c:showLegendKey val="0"/>
          <c:showVal val="0"/>
          <c:showCatName val="0"/>
          <c:showSerName val="0"/>
          <c:showPercent val="0"/>
          <c:showBubbleSize val="0"/>
        </c:dLbls>
        <c:marker val="1"/>
        <c:smooth val="0"/>
        <c:axId val="122809728"/>
        <c:axId val="122553856"/>
      </c:lineChart>
      <c:catAx>
        <c:axId val="122809728"/>
        <c:scaling>
          <c:orientation val="minMax"/>
        </c:scaling>
        <c:delete val="0"/>
        <c:axPos val="b"/>
        <c:title>
          <c:tx>
            <c:rich>
              <a:bodyPr/>
              <a:lstStyle/>
              <a:p>
                <a:pPr>
                  <a:defRPr/>
                </a:pPr>
                <a:r>
                  <a:rPr lang="en-US"/>
                  <a:t>Stand Age</a:t>
                </a:r>
              </a:p>
            </c:rich>
          </c:tx>
          <c:overlay val="0"/>
        </c:title>
        <c:numFmt formatCode="General" sourceLinked="1"/>
        <c:majorTickMark val="out"/>
        <c:minorTickMark val="none"/>
        <c:tickLblPos val="nextTo"/>
        <c:crossAx val="122553856"/>
        <c:crosses val="autoZero"/>
        <c:auto val="1"/>
        <c:lblAlgn val="ctr"/>
        <c:lblOffset val="100"/>
        <c:noMultiLvlLbl val="0"/>
      </c:catAx>
      <c:valAx>
        <c:axId val="122553856"/>
        <c:scaling>
          <c:orientation val="minMax"/>
        </c:scaling>
        <c:delete val="0"/>
        <c:axPos val="l"/>
        <c:majorGridlines/>
        <c:title>
          <c:tx>
            <c:rich>
              <a:bodyPr rot="-5400000" vert="horz"/>
              <a:lstStyle/>
              <a:p>
                <a:pPr>
                  <a:defRPr/>
                </a:pPr>
                <a:r>
                  <a:rPr lang="en-US"/>
                  <a:t>dry Mg ha-1 yr-1</a:t>
                </a:r>
              </a:p>
            </c:rich>
          </c:tx>
          <c:overlay val="0"/>
        </c:title>
        <c:numFmt formatCode="0.00" sourceLinked="1"/>
        <c:majorTickMark val="out"/>
        <c:minorTickMark val="none"/>
        <c:tickLblPos val="nextTo"/>
        <c:crossAx val="122809728"/>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'Growth Pattern'!$CE$736</c:f>
              <c:strCache>
                <c:ptCount val="1"/>
                <c:pt idx="0">
                  <c:v>MAI</c:v>
                </c:pt>
              </c:strCache>
            </c:strRef>
          </c:tx>
          <c:cat>
            <c:numLit>
              <c:formatCode>General</c:formatCode>
              <c:ptCount val="7"/>
              <c:pt idx="0">
                <c:v>2</c:v>
              </c:pt>
              <c:pt idx="1">
                <c:v>3</c:v>
              </c:pt>
              <c:pt idx="2">
                <c:v>4</c:v>
              </c:pt>
              <c:pt idx="3">
                <c:v>5</c:v>
              </c:pt>
              <c:pt idx="4">
                <c:v>6</c:v>
              </c:pt>
              <c:pt idx="5">
                <c:v>7</c:v>
              </c:pt>
              <c:pt idx="6">
                <c:v>8</c:v>
              </c:pt>
            </c:numLit>
          </c:cat>
          <c:val>
            <c:numRef>
              <c:f>'Growth Pattern'!$CE$737:$CE$743</c:f>
              <c:numCache>
                <c:formatCode>0.00</c:formatCode>
                <c:ptCount val="7"/>
                <c:pt idx="0">
                  <c:v>1.7</c:v>
                </c:pt>
                <c:pt idx="1">
                  <c:v>3.5</c:v>
                </c:pt>
                <c:pt idx="2">
                  <c:v>10.9</c:v>
                </c:pt>
                <c:pt idx="3">
                  <c:v>14.9</c:v>
                </c:pt>
                <c:pt idx="4">
                  <c:v>17.16</c:v>
                </c:pt>
                <c:pt idx="6">
                  <c:v>21.09</c:v>
                </c:pt>
              </c:numCache>
            </c:numRef>
          </c:val>
          <c:smooth val="0"/>
        </c:ser>
        <c:ser>
          <c:idx val="1"/>
          <c:order val="1"/>
          <c:tx>
            <c:strRef>
              <c:f>'Growth Pattern'!$CF$736</c:f>
              <c:strCache>
                <c:ptCount val="1"/>
                <c:pt idx="0">
                  <c:v>CAI</c:v>
                </c:pt>
              </c:strCache>
            </c:strRef>
          </c:tx>
          <c:cat>
            <c:numLit>
              <c:formatCode>General</c:formatCode>
              <c:ptCount val="7"/>
              <c:pt idx="0">
                <c:v>2</c:v>
              </c:pt>
              <c:pt idx="1">
                <c:v>3</c:v>
              </c:pt>
              <c:pt idx="2">
                <c:v>4</c:v>
              </c:pt>
              <c:pt idx="3">
                <c:v>5</c:v>
              </c:pt>
              <c:pt idx="4">
                <c:v>6</c:v>
              </c:pt>
              <c:pt idx="5">
                <c:v>7</c:v>
              </c:pt>
              <c:pt idx="6">
                <c:v>8</c:v>
              </c:pt>
            </c:numLit>
          </c:cat>
          <c:val>
            <c:numRef>
              <c:f>'Growth Pattern'!$CF$737:$CF$743</c:f>
              <c:numCache>
                <c:formatCode>0.00</c:formatCode>
                <c:ptCount val="7"/>
                <c:pt idx="1">
                  <c:v>7.1</c:v>
                </c:pt>
                <c:pt idx="2">
                  <c:v>33.1</c:v>
                </c:pt>
                <c:pt idx="3">
                  <c:v>30.9</c:v>
                </c:pt>
                <c:pt idx="4">
                  <c:v>28.460000000000008</c:v>
                </c:pt>
              </c:numCache>
            </c:numRef>
          </c:val>
          <c:smooth val="0"/>
        </c:ser>
        <c:dLbls>
          <c:showLegendKey val="0"/>
          <c:showVal val="0"/>
          <c:showCatName val="0"/>
          <c:showSerName val="0"/>
          <c:showPercent val="0"/>
          <c:showBubbleSize val="0"/>
        </c:dLbls>
        <c:marker val="1"/>
        <c:smooth val="0"/>
        <c:axId val="122595584"/>
        <c:axId val="122605952"/>
      </c:lineChart>
      <c:catAx>
        <c:axId val="122595584"/>
        <c:scaling>
          <c:orientation val="minMax"/>
        </c:scaling>
        <c:delete val="0"/>
        <c:axPos val="b"/>
        <c:title>
          <c:tx>
            <c:rich>
              <a:bodyPr/>
              <a:lstStyle/>
              <a:p>
                <a:pPr>
                  <a:defRPr/>
                </a:pPr>
                <a:r>
                  <a:rPr lang="en-US"/>
                  <a:t>Stand Age</a:t>
                </a:r>
              </a:p>
            </c:rich>
          </c:tx>
          <c:overlay val="0"/>
        </c:title>
        <c:numFmt formatCode="General" sourceLinked="1"/>
        <c:majorTickMark val="out"/>
        <c:minorTickMark val="none"/>
        <c:tickLblPos val="nextTo"/>
        <c:crossAx val="122605952"/>
        <c:crosses val="autoZero"/>
        <c:auto val="1"/>
        <c:lblAlgn val="ctr"/>
        <c:lblOffset val="100"/>
        <c:noMultiLvlLbl val="0"/>
      </c:catAx>
      <c:valAx>
        <c:axId val="122605952"/>
        <c:scaling>
          <c:orientation val="minMax"/>
        </c:scaling>
        <c:delete val="0"/>
        <c:axPos val="l"/>
        <c:majorGridlines/>
        <c:title>
          <c:tx>
            <c:rich>
              <a:bodyPr rot="-5400000" vert="horz"/>
              <a:lstStyle/>
              <a:p>
                <a:pPr>
                  <a:defRPr/>
                </a:pPr>
                <a:r>
                  <a:rPr lang="en-US"/>
                  <a:t>dry Mg ha-1 yr-1</a:t>
                </a:r>
              </a:p>
            </c:rich>
          </c:tx>
          <c:overlay val="0"/>
        </c:title>
        <c:numFmt formatCode="0.00" sourceLinked="1"/>
        <c:majorTickMark val="out"/>
        <c:minorTickMark val="none"/>
        <c:tickLblPos val="nextTo"/>
        <c:crossAx val="122595584"/>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Age 2, 5 rot,</a:t>
            </a:r>
            <a:r>
              <a:rPr lang="en-US" baseline="0"/>
              <a:t> 1 x 4 ft</a:t>
            </a:r>
            <a:r>
              <a:rPr lang="en-US"/>
              <a:t> </a:t>
            </a:r>
          </a:p>
        </c:rich>
      </c:tx>
      <c:layout>
        <c:manualLayout>
          <c:xMode val="edge"/>
          <c:yMode val="edge"/>
          <c:x val="0.23921932977319185"/>
          <c:y val="4.8450536580155121E-2"/>
        </c:manualLayout>
      </c:layout>
      <c:overlay val="0"/>
    </c:title>
    <c:autoTitleDeleted val="0"/>
    <c:plotArea>
      <c:layout/>
      <c:scatterChart>
        <c:scatterStyle val="lineMarker"/>
        <c:varyColors val="0"/>
        <c:ser>
          <c:idx val="0"/>
          <c:order val="0"/>
          <c:tx>
            <c:strRef>
              <c:f>'Growth Pattern'!$CE$793</c:f>
              <c:strCache>
                <c:ptCount val="1"/>
                <c:pt idx="0">
                  <c:v>MAI</c:v>
                </c:pt>
              </c:strCache>
            </c:strRef>
          </c:tx>
          <c:spPr>
            <a:ln w="28575">
              <a:noFill/>
            </a:ln>
          </c:spPr>
          <c:yVal>
            <c:numRef>
              <c:f>'Growth Pattern'!$CE$794:$CE$798</c:f>
              <c:numCache>
                <c:formatCode>0.00</c:formatCode>
                <c:ptCount val="5"/>
                <c:pt idx="0">
                  <c:v>4.5</c:v>
                </c:pt>
                <c:pt idx="1">
                  <c:v>7.75</c:v>
                </c:pt>
                <c:pt idx="2">
                  <c:v>7.6</c:v>
                </c:pt>
                <c:pt idx="3">
                  <c:v>6.9</c:v>
                </c:pt>
                <c:pt idx="4">
                  <c:v>5.4</c:v>
                </c:pt>
              </c:numCache>
            </c:numRef>
          </c:yVal>
          <c:smooth val="0"/>
        </c:ser>
        <c:dLbls>
          <c:showLegendKey val="0"/>
          <c:showVal val="0"/>
          <c:showCatName val="0"/>
          <c:showSerName val="0"/>
          <c:showPercent val="0"/>
          <c:showBubbleSize val="0"/>
        </c:dLbls>
        <c:axId val="122622336"/>
        <c:axId val="122623872"/>
      </c:scatterChart>
      <c:valAx>
        <c:axId val="122622336"/>
        <c:scaling>
          <c:orientation val="minMax"/>
        </c:scaling>
        <c:delete val="0"/>
        <c:axPos val="b"/>
        <c:majorTickMark val="out"/>
        <c:minorTickMark val="none"/>
        <c:tickLblPos val="nextTo"/>
        <c:crossAx val="122623872"/>
        <c:crosses val="autoZero"/>
        <c:crossBetween val="midCat"/>
      </c:valAx>
      <c:valAx>
        <c:axId val="122623872"/>
        <c:scaling>
          <c:orientation val="minMax"/>
        </c:scaling>
        <c:delete val="0"/>
        <c:axPos val="l"/>
        <c:majorGridlines/>
        <c:numFmt formatCode="0.00" sourceLinked="1"/>
        <c:majorTickMark val="out"/>
        <c:minorTickMark val="none"/>
        <c:tickLblPos val="nextTo"/>
        <c:crossAx val="122622336"/>
        <c:crosses val="autoZero"/>
        <c:crossBetween val="midCat"/>
      </c:valAx>
    </c:plotArea>
    <c:legend>
      <c:legendPos val="r"/>
      <c:overlay val="0"/>
    </c:legend>
    <c:plotVisOnly val="1"/>
    <c:dispBlanksAs val="gap"/>
    <c:showDLblsOverMax val="0"/>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'Growth Pattern'!$CE$175</c:f>
              <c:strCache>
                <c:ptCount val="1"/>
                <c:pt idx="0">
                  <c:v>MAI</c:v>
                </c:pt>
              </c:strCache>
            </c:strRef>
          </c:tx>
          <c:val>
            <c:numRef>
              <c:f>'Growth Pattern'!$CE$176:$CE$185</c:f>
              <c:numCache>
                <c:formatCode>0.00</c:formatCode>
                <c:ptCount val="10"/>
                <c:pt idx="0">
                  <c:v>1.26</c:v>
                </c:pt>
                <c:pt idx="1">
                  <c:v>2.9899999999999998</c:v>
                </c:pt>
                <c:pt idx="2">
                  <c:v>5.9266666666666667</c:v>
                </c:pt>
                <c:pt idx="3">
                  <c:v>7.42</c:v>
                </c:pt>
                <c:pt idx="4">
                  <c:v>8.4559999999999995</c:v>
                </c:pt>
                <c:pt idx="5">
                  <c:v>8.3916666666666675</c:v>
                </c:pt>
                <c:pt idx="6">
                  <c:v>8.5714285714285712</c:v>
                </c:pt>
                <c:pt idx="7">
                  <c:v>8.8249999999999993</c:v>
                </c:pt>
                <c:pt idx="8">
                  <c:v>8.9888888888888872</c:v>
                </c:pt>
                <c:pt idx="9">
                  <c:v>9.11</c:v>
                </c:pt>
              </c:numCache>
            </c:numRef>
          </c:val>
          <c:smooth val="0"/>
        </c:ser>
        <c:ser>
          <c:idx val="1"/>
          <c:order val="1"/>
          <c:tx>
            <c:strRef>
              <c:f>'Growth Pattern'!$CF$175</c:f>
              <c:strCache>
                <c:ptCount val="1"/>
                <c:pt idx="0">
                  <c:v>CAI</c:v>
                </c:pt>
              </c:strCache>
            </c:strRef>
          </c:tx>
          <c:val>
            <c:numRef>
              <c:f>'Growth Pattern'!$CF$176:$CF$185</c:f>
              <c:numCache>
                <c:formatCode>0.00</c:formatCode>
                <c:ptCount val="10"/>
                <c:pt idx="0">
                  <c:v>1.26</c:v>
                </c:pt>
                <c:pt idx="1">
                  <c:v>4.72</c:v>
                </c:pt>
                <c:pt idx="2">
                  <c:v>11.8</c:v>
                </c:pt>
                <c:pt idx="3">
                  <c:v>11.9</c:v>
                </c:pt>
                <c:pt idx="4">
                  <c:v>12.6</c:v>
                </c:pt>
                <c:pt idx="5">
                  <c:v>8.07</c:v>
                </c:pt>
                <c:pt idx="6">
                  <c:v>9.65</c:v>
                </c:pt>
                <c:pt idx="7">
                  <c:v>10.6</c:v>
                </c:pt>
                <c:pt idx="8">
                  <c:v>10.3</c:v>
                </c:pt>
                <c:pt idx="9">
                  <c:v>10.199999999999999</c:v>
                </c:pt>
              </c:numCache>
            </c:numRef>
          </c:val>
          <c:smooth val="0"/>
        </c:ser>
        <c:dLbls>
          <c:showLegendKey val="0"/>
          <c:showVal val="0"/>
          <c:showCatName val="0"/>
          <c:showSerName val="0"/>
          <c:showPercent val="0"/>
          <c:showBubbleSize val="0"/>
        </c:dLbls>
        <c:marker val="1"/>
        <c:smooth val="0"/>
        <c:axId val="93194496"/>
        <c:axId val="93200384"/>
      </c:lineChart>
      <c:catAx>
        <c:axId val="93194496"/>
        <c:scaling>
          <c:orientation val="minMax"/>
        </c:scaling>
        <c:delete val="0"/>
        <c:axPos val="b"/>
        <c:majorTickMark val="out"/>
        <c:minorTickMark val="none"/>
        <c:tickLblPos val="nextTo"/>
        <c:crossAx val="93200384"/>
        <c:crosses val="autoZero"/>
        <c:auto val="1"/>
        <c:lblAlgn val="ctr"/>
        <c:lblOffset val="100"/>
        <c:noMultiLvlLbl val="0"/>
      </c:catAx>
      <c:valAx>
        <c:axId val="93200384"/>
        <c:scaling>
          <c:orientation val="minMax"/>
        </c:scaling>
        <c:delete val="0"/>
        <c:axPos val="l"/>
        <c:majorGridlines/>
        <c:numFmt formatCode="0.00" sourceLinked="1"/>
        <c:majorTickMark val="out"/>
        <c:minorTickMark val="none"/>
        <c:tickLblPos val="nextTo"/>
        <c:crossAx val="93194496"/>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Age 2, 5 rot,</a:t>
            </a:r>
            <a:r>
              <a:rPr lang="en-US" baseline="0"/>
              <a:t> 2 x 4 ft</a:t>
            </a:r>
            <a:r>
              <a:rPr lang="en-US"/>
              <a:t> </a:t>
            </a:r>
          </a:p>
        </c:rich>
      </c:tx>
      <c:overlay val="0"/>
    </c:title>
    <c:autoTitleDeleted val="0"/>
    <c:plotArea>
      <c:layout/>
      <c:scatterChart>
        <c:scatterStyle val="lineMarker"/>
        <c:varyColors val="0"/>
        <c:ser>
          <c:idx val="0"/>
          <c:order val="0"/>
          <c:tx>
            <c:strRef>
              <c:f>'Growth Pattern'!$CE$799</c:f>
              <c:strCache>
                <c:ptCount val="1"/>
                <c:pt idx="0">
                  <c:v>MAI</c:v>
                </c:pt>
              </c:strCache>
            </c:strRef>
          </c:tx>
          <c:spPr>
            <a:ln w="28575">
              <a:noFill/>
            </a:ln>
          </c:spPr>
          <c:xVal>
            <c:numRef>
              <c:f>'Growth Pattern'!$CC$800:$CC$804</c:f>
              <c:numCache>
                <c:formatCode>General</c:formatCode>
                <c:ptCount val="5"/>
                <c:pt idx="0">
                  <c:v>1</c:v>
                </c:pt>
                <c:pt idx="1">
                  <c:v>2</c:v>
                </c:pt>
                <c:pt idx="2">
                  <c:v>3</c:v>
                </c:pt>
                <c:pt idx="3">
                  <c:v>4</c:v>
                </c:pt>
                <c:pt idx="4">
                  <c:v>5</c:v>
                </c:pt>
              </c:numCache>
            </c:numRef>
          </c:xVal>
          <c:yVal>
            <c:numRef>
              <c:f>'Growth Pattern'!$CE$800:$CE$804</c:f>
              <c:numCache>
                <c:formatCode>0.00</c:formatCode>
                <c:ptCount val="5"/>
                <c:pt idx="0">
                  <c:v>6.05</c:v>
                </c:pt>
                <c:pt idx="1">
                  <c:v>8.65</c:v>
                </c:pt>
                <c:pt idx="2">
                  <c:v>8.1</c:v>
                </c:pt>
                <c:pt idx="3">
                  <c:v>8.1</c:v>
                </c:pt>
                <c:pt idx="4">
                  <c:v>4.9000000000000004</c:v>
                </c:pt>
              </c:numCache>
            </c:numRef>
          </c:yVal>
          <c:smooth val="0"/>
        </c:ser>
        <c:dLbls>
          <c:showLegendKey val="0"/>
          <c:showVal val="0"/>
          <c:showCatName val="0"/>
          <c:showSerName val="0"/>
          <c:showPercent val="0"/>
          <c:showBubbleSize val="0"/>
        </c:dLbls>
        <c:axId val="122652928"/>
        <c:axId val="122658816"/>
      </c:scatterChart>
      <c:valAx>
        <c:axId val="122652928"/>
        <c:scaling>
          <c:orientation val="minMax"/>
        </c:scaling>
        <c:delete val="0"/>
        <c:axPos val="b"/>
        <c:numFmt formatCode="General" sourceLinked="1"/>
        <c:majorTickMark val="out"/>
        <c:minorTickMark val="none"/>
        <c:tickLblPos val="nextTo"/>
        <c:crossAx val="122658816"/>
        <c:crosses val="autoZero"/>
        <c:crossBetween val="midCat"/>
      </c:valAx>
      <c:valAx>
        <c:axId val="122658816"/>
        <c:scaling>
          <c:orientation val="minMax"/>
        </c:scaling>
        <c:delete val="0"/>
        <c:axPos val="l"/>
        <c:majorGridlines/>
        <c:numFmt formatCode="0.00" sourceLinked="1"/>
        <c:majorTickMark val="out"/>
        <c:minorTickMark val="none"/>
        <c:tickLblPos val="nextTo"/>
        <c:crossAx val="122652928"/>
        <c:crosses val="autoZero"/>
        <c:crossBetween val="midCat"/>
      </c:valAx>
    </c:plotArea>
    <c:legend>
      <c:legendPos val="r"/>
      <c:overlay val="0"/>
    </c:legend>
    <c:plotVisOnly val="1"/>
    <c:dispBlanksAs val="gap"/>
    <c:showDLblsOverMax val="0"/>
  </c:chart>
  <c:printSettings>
    <c:headerFooter/>
    <c:pageMargins b="0.75" l="0.7" r="0.7" t="0.75" header="0.3" footer="0.3"/>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Age 2, 5</a:t>
            </a:r>
            <a:r>
              <a:rPr lang="en-US" baseline="0"/>
              <a:t> rot, 4 x 4 ft </a:t>
            </a:r>
            <a:endParaRPr lang="en-US"/>
          </a:p>
        </c:rich>
      </c:tx>
      <c:layout>
        <c:manualLayout>
          <c:xMode val="edge"/>
          <c:yMode val="edge"/>
          <c:x val="0.21369398306914805"/>
          <c:y val="4.5384211297452411E-2"/>
        </c:manualLayout>
      </c:layout>
      <c:overlay val="0"/>
    </c:title>
    <c:autoTitleDeleted val="0"/>
    <c:plotArea>
      <c:layout/>
      <c:scatterChart>
        <c:scatterStyle val="lineMarker"/>
        <c:varyColors val="0"/>
        <c:ser>
          <c:idx val="0"/>
          <c:order val="0"/>
          <c:tx>
            <c:strRef>
              <c:f>'Growth Pattern'!$CE$805</c:f>
              <c:strCache>
                <c:ptCount val="1"/>
                <c:pt idx="0">
                  <c:v>MAI</c:v>
                </c:pt>
              </c:strCache>
            </c:strRef>
          </c:tx>
          <c:spPr>
            <a:ln w="28575">
              <a:noFill/>
            </a:ln>
          </c:spPr>
          <c:xVal>
            <c:numRef>
              <c:f>'Growth Pattern'!$CC$806:$CC$810</c:f>
              <c:numCache>
                <c:formatCode>General</c:formatCode>
                <c:ptCount val="5"/>
                <c:pt idx="0">
                  <c:v>1</c:v>
                </c:pt>
                <c:pt idx="1">
                  <c:v>2</c:v>
                </c:pt>
                <c:pt idx="2">
                  <c:v>3</c:v>
                </c:pt>
                <c:pt idx="3">
                  <c:v>4</c:v>
                </c:pt>
                <c:pt idx="4">
                  <c:v>5</c:v>
                </c:pt>
              </c:numCache>
            </c:numRef>
          </c:xVal>
          <c:yVal>
            <c:numRef>
              <c:f>'Growth Pattern'!$CE$806:$CE$810</c:f>
              <c:numCache>
                <c:formatCode>0.00</c:formatCode>
                <c:ptCount val="5"/>
                <c:pt idx="0">
                  <c:v>4.7</c:v>
                </c:pt>
                <c:pt idx="1">
                  <c:v>8.85</c:v>
                </c:pt>
                <c:pt idx="2">
                  <c:v>8.5</c:v>
                </c:pt>
                <c:pt idx="3">
                  <c:v>7.8</c:v>
                </c:pt>
                <c:pt idx="4">
                  <c:v>6.3</c:v>
                </c:pt>
              </c:numCache>
            </c:numRef>
          </c:yVal>
          <c:smooth val="0"/>
        </c:ser>
        <c:dLbls>
          <c:showLegendKey val="0"/>
          <c:showVal val="0"/>
          <c:showCatName val="0"/>
          <c:showSerName val="0"/>
          <c:showPercent val="0"/>
          <c:showBubbleSize val="0"/>
        </c:dLbls>
        <c:axId val="122687488"/>
        <c:axId val="122689024"/>
      </c:scatterChart>
      <c:valAx>
        <c:axId val="122687488"/>
        <c:scaling>
          <c:orientation val="minMax"/>
        </c:scaling>
        <c:delete val="0"/>
        <c:axPos val="b"/>
        <c:numFmt formatCode="General" sourceLinked="1"/>
        <c:majorTickMark val="out"/>
        <c:minorTickMark val="none"/>
        <c:tickLblPos val="nextTo"/>
        <c:crossAx val="122689024"/>
        <c:crosses val="autoZero"/>
        <c:crossBetween val="midCat"/>
      </c:valAx>
      <c:valAx>
        <c:axId val="122689024"/>
        <c:scaling>
          <c:orientation val="minMax"/>
        </c:scaling>
        <c:delete val="0"/>
        <c:axPos val="l"/>
        <c:majorGridlines/>
        <c:numFmt formatCode="0.00" sourceLinked="1"/>
        <c:majorTickMark val="out"/>
        <c:minorTickMark val="none"/>
        <c:tickLblPos val="nextTo"/>
        <c:crossAx val="122687488"/>
        <c:crosses val="autoZero"/>
        <c:crossBetween val="midCat"/>
      </c:valAx>
    </c:plotArea>
    <c:legend>
      <c:legendPos val="r"/>
      <c:overlay val="0"/>
    </c:legend>
    <c:plotVisOnly val="1"/>
    <c:dispBlanksAs val="gap"/>
    <c:showDLblsOverMax val="0"/>
  </c:chart>
  <c:printSettings>
    <c:headerFooter/>
    <c:pageMargins b="0.75" l="0.7" r="0.7" t="0.75" header="0.3" footer="0.3"/>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PAI</a:t>
            </a:r>
          </a:p>
        </c:rich>
      </c:tx>
      <c:overlay val="0"/>
    </c:title>
    <c:autoTitleDeleted val="0"/>
    <c:plotArea>
      <c:layout/>
      <c:scatterChart>
        <c:scatterStyle val="lineMarker"/>
        <c:varyColors val="0"/>
        <c:ser>
          <c:idx val="0"/>
          <c:order val="0"/>
          <c:tx>
            <c:strRef>
              <c:f>'Growth Pattern'!$CE$823</c:f>
              <c:strCache>
                <c:ptCount val="1"/>
                <c:pt idx="0">
                  <c:v>PAI</c:v>
                </c:pt>
              </c:strCache>
            </c:strRef>
          </c:tx>
          <c:spPr>
            <a:ln w="28575">
              <a:noFill/>
            </a:ln>
          </c:spPr>
          <c:xVal>
            <c:numRef>
              <c:f>'Growth Pattern'!$CC$824:$CC$830</c:f>
              <c:numCache>
                <c:formatCode>General</c:formatCode>
                <c:ptCount val="7"/>
                <c:pt idx="0">
                  <c:v>1</c:v>
                </c:pt>
                <c:pt idx="1">
                  <c:v>2</c:v>
                </c:pt>
                <c:pt idx="2">
                  <c:v>3</c:v>
                </c:pt>
                <c:pt idx="3">
                  <c:v>4</c:v>
                </c:pt>
                <c:pt idx="4">
                  <c:v>5</c:v>
                </c:pt>
                <c:pt idx="5">
                  <c:v>6</c:v>
                </c:pt>
                <c:pt idx="6">
                  <c:v>7</c:v>
                </c:pt>
              </c:numCache>
            </c:numRef>
          </c:xVal>
          <c:yVal>
            <c:numRef>
              <c:f>'Growth Pattern'!$CE$824:$CE$830</c:f>
              <c:numCache>
                <c:formatCode>0.00</c:formatCode>
                <c:ptCount val="7"/>
                <c:pt idx="0">
                  <c:v>6.3</c:v>
                </c:pt>
                <c:pt idx="1">
                  <c:v>9.4</c:v>
                </c:pt>
                <c:pt idx="2">
                  <c:v>9.1999999999999993</c:v>
                </c:pt>
                <c:pt idx="3">
                  <c:v>7.6</c:v>
                </c:pt>
                <c:pt idx="4">
                  <c:v>5.4</c:v>
                </c:pt>
                <c:pt idx="5">
                  <c:v>6.6</c:v>
                </c:pt>
                <c:pt idx="6">
                  <c:v>7.7</c:v>
                </c:pt>
              </c:numCache>
            </c:numRef>
          </c:yVal>
          <c:smooth val="0"/>
        </c:ser>
        <c:dLbls>
          <c:showLegendKey val="0"/>
          <c:showVal val="0"/>
          <c:showCatName val="0"/>
          <c:showSerName val="0"/>
          <c:showPercent val="0"/>
          <c:showBubbleSize val="0"/>
        </c:dLbls>
        <c:axId val="89314816"/>
        <c:axId val="89316352"/>
      </c:scatterChart>
      <c:valAx>
        <c:axId val="89314816"/>
        <c:scaling>
          <c:orientation val="minMax"/>
        </c:scaling>
        <c:delete val="0"/>
        <c:axPos val="b"/>
        <c:numFmt formatCode="General" sourceLinked="1"/>
        <c:majorTickMark val="out"/>
        <c:minorTickMark val="none"/>
        <c:tickLblPos val="nextTo"/>
        <c:crossAx val="89316352"/>
        <c:crosses val="autoZero"/>
        <c:crossBetween val="midCat"/>
      </c:valAx>
      <c:valAx>
        <c:axId val="89316352"/>
        <c:scaling>
          <c:orientation val="minMax"/>
        </c:scaling>
        <c:delete val="0"/>
        <c:axPos val="l"/>
        <c:majorGridlines/>
        <c:numFmt formatCode="0.00" sourceLinked="1"/>
        <c:majorTickMark val="out"/>
        <c:minorTickMark val="none"/>
        <c:tickLblPos val="nextTo"/>
        <c:crossAx val="89314816"/>
        <c:crosses val="autoZero"/>
        <c:crossBetween val="midCat"/>
      </c:valAx>
    </c:plotArea>
    <c:legend>
      <c:legendPos val="r"/>
      <c:overlay val="0"/>
    </c:legend>
    <c:plotVisOnly val="1"/>
    <c:dispBlanksAs val="gap"/>
    <c:showDLblsOverMax val="0"/>
  </c:chart>
  <c:printSettings>
    <c:headerFooter/>
    <c:pageMargins b="0.75" l="0.7" r="0.7" t="0.75" header="0.3" footer="0.3"/>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PAI</a:t>
            </a:r>
          </a:p>
        </c:rich>
      </c:tx>
      <c:overlay val="0"/>
    </c:title>
    <c:autoTitleDeleted val="0"/>
    <c:plotArea>
      <c:layout/>
      <c:scatterChart>
        <c:scatterStyle val="lineMarker"/>
        <c:varyColors val="0"/>
        <c:ser>
          <c:idx val="0"/>
          <c:order val="0"/>
          <c:tx>
            <c:strRef>
              <c:f>'Growth Pattern'!$CE$831</c:f>
              <c:strCache>
                <c:ptCount val="1"/>
                <c:pt idx="0">
                  <c:v>PAI</c:v>
                </c:pt>
              </c:strCache>
            </c:strRef>
          </c:tx>
          <c:spPr>
            <a:ln w="28575">
              <a:noFill/>
            </a:ln>
          </c:spPr>
          <c:xVal>
            <c:numRef>
              <c:f>'Growth Pattern'!$CC$832:$CC$838</c:f>
              <c:numCache>
                <c:formatCode>General</c:formatCode>
                <c:ptCount val="7"/>
                <c:pt idx="0">
                  <c:v>1</c:v>
                </c:pt>
                <c:pt idx="1">
                  <c:v>2</c:v>
                </c:pt>
                <c:pt idx="2">
                  <c:v>3</c:v>
                </c:pt>
                <c:pt idx="3">
                  <c:v>4</c:v>
                </c:pt>
                <c:pt idx="4">
                  <c:v>5</c:v>
                </c:pt>
                <c:pt idx="5">
                  <c:v>6</c:v>
                </c:pt>
                <c:pt idx="6">
                  <c:v>7</c:v>
                </c:pt>
              </c:numCache>
            </c:numRef>
          </c:xVal>
          <c:yVal>
            <c:numRef>
              <c:f>'Growth Pattern'!$CE$832:$CE$838</c:f>
              <c:numCache>
                <c:formatCode>0.00</c:formatCode>
                <c:ptCount val="7"/>
                <c:pt idx="0">
                  <c:v>5.5</c:v>
                </c:pt>
                <c:pt idx="1">
                  <c:v>10.55</c:v>
                </c:pt>
                <c:pt idx="2">
                  <c:v>9.9</c:v>
                </c:pt>
                <c:pt idx="3">
                  <c:v>7.6</c:v>
                </c:pt>
                <c:pt idx="4">
                  <c:v>4.9000000000000004</c:v>
                </c:pt>
                <c:pt idx="5">
                  <c:v>6.1</c:v>
                </c:pt>
                <c:pt idx="6">
                  <c:v>7.8</c:v>
                </c:pt>
              </c:numCache>
            </c:numRef>
          </c:yVal>
          <c:smooth val="0"/>
        </c:ser>
        <c:dLbls>
          <c:showLegendKey val="0"/>
          <c:showVal val="0"/>
          <c:showCatName val="0"/>
          <c:showSerName val="0"/>
          <c:showPercent val="0"/>
          <c:showBubbleSize val="0"/>
        </c:dLbls>
        <c:axId val="122706944"/>
        <c:axId val="122708736"/>
      </c:scatterChart>
      <c:valAx>
        <c:axId val="122706944"/>
        <c:scaling>
          <c:orientation val="minMax"/>
        </c:scaling>
        <c:delete val="0"/>
        <c:axPos val="b"/>
        <c:numFmt formatCode="General" sourceLinked="1"/>
        <c:majorTickMark val="out"/>
        <c:minorTickMark val="none"/>
        <c:tickLblPos val="nextTo"/>
        <c:crossAx val="122708736"/>
        <c:crosses val="autoZero"/>
        <c:crossBetween val="midCat"/>
      </c:valAx>
      <c:valAx>
        <c:axId val="122708736"/>
        <c:scaling>
          <c:orientation val="minMax"/>
        </c:scaling>
        <c:delete val="0"/>
        <c:axPos val="l"/>
        <c:majorGridlines/>
        <c:numFmt formatCode="0.00" sourceLinked="1"/>
        <c:majorTickMark val="out"/>
        <c:minorTickMark val="none"/>
        <c:tickLblPos val="nextTo"/>
        <c:crossAx val="122706944"/>
        <c:crosses val="autoZero"/>
        <c:crossBetween val="midCat"/>
      </c:valAx>
    </c:plotArea>
    <c:legend>
      <c:legendPos val="r"/>
      <c:overlay val="0"/>
    </c:legend>
    <c:plotVisOnly val="1"/>
    <c:dispBlanksAs val="gap"/>
    <c:showDLblsOverMax val="0"/>
  </c:chart>
  <c:printSettings>
    <c:headerFooter/>
    <c:pageMargins b="0.75" l="0.7" r="0.7" t="0.75" header="0.3" footer="0.3"/>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lotArea>
      <c:layout/>
      <c:scatterChart>
        <c:scatterStyle val="lineMarker"/>
        <c:varyColors val="0"/>
        <c:ser>
          <c:idx val="0"/>
          <c:order val="0"/>
          <c:tx>
            <c:strRef>
              <c:f>'Growth Pattern'!$CE$839</c:f>
              <c:strCache>
                <c:ptCount val="1"/>
                <c:pt idx="0">
                  <c:v>PAI</c:v>
                </c:pt>
              </c:strCache>
            </c:strRef>
          </c:tx>
          <c:spPr>
            <a:ln w="28575">
              <a:noFill/>
            </a:ln>
          </c:spPr>
          <c:xVal>
            <c:numRef>
              <c:f>'Growth Pattern'!$CC$840:$CC$846</c:f>
              <c:numCache>
                <c:formatCode>General</c:formatCode>
                <c:ptCount val="7"/>
                <c:pt idx="0">
                  <c:v>1</c:v>
                </c:pt>
                <c:pt idx="1">
                  <c:v>2</c:v>
                </c:pt>
                <c:pt idx="2">
                  <c:v>3</c:v>
                </c:pt>
                <c:pt idx="3">
                  <c:v>4</c:v>
                </c:pt>
                <c:pt idx="4">
                  <c:v>5</c:v>
                </c:pt>
                <c:pt idx="5">
                  <c:v>6</c:v>
                </c:pt>
                <c:pt idx="6">
                  <c:v>7</c:v>
                </c:pt>
              </c:numCache>
            </c:numRef>
          </c:xVal>
          <c:yVal>
            <c:numRef>
              <c:f>'Growth Pattern'!$CE$840:$CE$846</c:f>
              <c:numCache>
                <c:formatCode>0.00</c:formatCode>
                <c:ptCount val="7"/>
                <c:pt idx="0">
                  <c:v>3.25</c:v>
                </c:pt>
                <c:pt idx="1">
                  <c:v>9.65</c:v>
                </c:pt>
                <c:pt idx="2">
                  <c:v>9.1999999999999993</c:v>
                </c:pt>
                <c:pt idx="3">
                  <c:v>6.7</c:v>
                </c:pt>
                <c:pt idx="4">
                  <c:v>5.8</c:v>
                </c:pt>
                <c:pt idx="5">
                  <c:v>4.4000000000000004</c:v>
                </c:pt>
                <c:pt idx="6">
                  <c:v>7.1</c:v>
                </c:pt>
              </c:numCache>
            </c:numRef>
          </c:yVal>
          <c:smooth val="0"/>
        </c:ser>
        <c:dLbls>
          <c:showLegendKey val="0"/>
          <c:showVal val="0"/>
          <c:showCatName val="0"/>
          <c:showSerName val="0"/>
          <c:showPercent val="0"/>
          <c:showBubbleSize val="0"/>
        </c:dLbls>
        <c:axId val="122737408"/>
        <c:axId val="122738944"/>
      </c:scatterChart>
      <c:valAx>
        <c:axId val="122737408"/>
        <c:scaling>
          <c:orientation val="minMax"/>
        </c:scaling>
        <c:delete val="0"/>
        <c:axPos val="b"/>
        <c:numFmt formatCode="General" sourceLinked="1"/>
        <c:majorTickMark val="out"/>
        <c:minorTickMark val="none"/>
        <c:tickLblPos val="nextTo"/>
        <c:crossAx val="122738944"/>
        <c:crosses val="autoZero"/>
        <c:crossBetween val="midCat"/>
      </c:valAx>
      <c:valAx>
        <c:axId val="122738944"/>
        <c:scaling>
          <c:orientation val="minMax"/>
        </c:scaling>
        <c:delete val="0"/>
        <c:axPos val="l"/>
        <c:majorGridlines/>
        <c:numFmt formatCode="0.00" sourceLinked="1"/>
        <c:majorTickMark val="out"/>
        <c:minorTickMark val="none"/>
        <c:tickLblPos val="nextTo"/>
        <c:crossAx val="122737408"/>
        <c:crosses val="autoZero"/>
        <c:crossBetween val="midCat"/>
      </c:valAx>
    </c:plotArea>
    <c:legend>
      <c:legendPos val="r"/>
      <c:overlay val="0"/>
    </c:legend>
    <c:plotVisOnly val="1"/>
    <c:dispBlanksAs val="gap"/>
    <c:showDLblsOverMax val="0"/>
  </c:chart>
  <c:printSettings>
    <c:headerFooter/>
    <c:pageMargins b="0.75" l="0.7" r="0.7" t="0.75" header="0.3" footer="0.3"/>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lotArea>
      <c:layout/>
      <c:scatterChart>
        <c:scatterStyle val="lineMarker"/>
        <c:varyColors val="0"/>
        <c:ser>
          <c:idx val="0"/>
          <c:order val="0"/>
          <c:tx>
            <c:strRef>
              <c:f>'Growth Pattern'!$CE$847</c:f>
              <c:strCache>
                <c:ptCount val="1"/>
                <c:pt idx="0">
                  <c:v>PAI</c:v>
                </c:pt>
              </c:strCache>
            </c:strRef>
          </c:tx>
          <c:spPr>
            <a:ln w="28575">
              <a:noFill/>
            </a:ln>
          </c:spPr>
          <c:xVal>
            <c:numRef>
              <c:f>'Growth Pattern'!$CC$848:$CC$854</c:f>
              <c:numCache>
                <c:formatCode>General</c:formatCode>
                <c:ptCount val="7"/>
                <c:pt idx="0">
                  <c:v>1</c:v>
                </c:pt>
                <c:pt idx="1">
                  <c:v>2</c:v>
                </c:pt>
                <c:pt idx="2">
                  <c:v>3</c:v>
                </c:pt>
                <c:pt idx="3">
                  <c:v>4</c:v>
                </c:pt>
                <c:pt idx="4">
                  <c:v>5</c:v>
                </c:pt>
                <c:pt idx="5">
                  <c:v>6</c:v>
                </c:pt>
                <c:pt idx="6">
                  <c:v>7</c:v>
                </c:pt>
              </c:numCache>
            </c:numRef>
          </c:xVal>
          <c:yVal>
            <c:numRef>
              <c:f>'Growth Pattern'!$CE$848:$CE$854</c:f>
              <c:numCache>
                <c:formatCode>0.00</c:formatCode>
                <c:ptCount val="7"/>
                <c:pt idx="0">
                  <c:v>5.15</c:v>
                </c:pt>
                <c:pt idx="1">
                  <c:v>11.3</c:v>
                </c:pt>
                <c:pt idx="2">
                  <c:v>7.4</c:v>
                </c:pt>
                <c:pt idx="3">
                  <c:v>3.4</c:v>
                </c:pt>
                <c:pt idx="4">
                  <c:v>3.3</c:v>
                </c:pt>
                <c:pt idx="5">
                  <c:v>8.1</c:v>
                </c:pt>
                <c:pt idx="6">
                  <c:v>6.7</c:v>
                </c:pt>
              </c:numCache>
            </c:numRef>
          </c:yVal>
          <c:smooth val="0"/>
        </c:ser>
        <c:dLbls>
          <c:showLegendKey val="0"/>
          <c:showVal val="0"/>
          <c:showCatName val="0"/>
          <c:showSerName val="0"/>
          <c:showPercent val="0"/>
          <c:showBubbleSize val="0"/>
        </c:dLbls>
        <c:axId val="123361536"/>
        <c:axId val="123375616"/>
      </c:scatterChart>
      <c:valAx>
        <c:axId val="123361536"/>
        <c:scaling>
          <c:orientation val="minMax"/>
        </c:scaling>
        <c:delete val="0"/>
        <c:axPos val="b"/>
        <c:numFmt formatCode="General" sourceLinked="1"/>
        <c:majorTickMark val="out"/>
        <c:minorTickMark val="none"/>
        <c:tickLblPos val="nextTo"/>
        <c:crossAx val="123375616"/>
        <c:crosses val="autoZero"/>
        <c:crossBetween val="midCat"/>
      </c:valAx>
      <c:valAx>
        <c:axId val="123375616"/>
        <c:scaling>
          <c:orientation val="minMax"/>
        </c:scaling>
        <c:delete val="0"/>
        <c:axPos val="l"/>
        <c:majorGridlines/>
        <c:numFmt formatCode="0.00" sourceLinked="1"/>
        <c:majorTickMark val="out"/>
        <c:minorTickMark val="none"/>
        <c:tickLblPos val="nextTo"/>
        <c:crossAx val="123361536"/>
        <c:crosses val="autoZero"/>
        <c:crossBetween val="midCat"/>
      </c:valAx>
    </c:plotArea>
    <c:legend>
      <c:legendPos val="r"/>
      <c:overlay val="0"/>
    </c:legend>
    <c:plotVisOnly val="1"/>
    <c:dispBlanksAs val="gap"/>
    <c:showDLblsOverMax val="0"/>
  </c:chart>
  <c:printSettings>
    <c:headerFooter/>
    <c:pageMargins b="0.75" l="0.7" r="0.7" t="0.75" header="0.3" footer="0.3"/>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lotArea>
      <c:layout/>
      <c:scatterChart>
        <c:scatterStyle val="lineMarker"/>
        <c:varyColors val="0"/>
        <c:ser>
          <c:idx val="0"/>
          <c:order val="0"/>
          <c:tx>
            <c:strRef>
              <c:f>'Growth Pattern'!$CE$855</c:f>
              <c:strCache>
                <c:ptCount val="1"/>
                <c:pt idx="0">
                  <c:v>PAI</c:v>
                </c:pt>
              </c:strCache>
            </c:strRef>
          </c:tx>
          <c:spPr>
            <a:ln w="28575">
              <a:noFill/>
            </a:ln>
          </c:spPr>
          <c:xVal>
            <c:numRef>
              <c:f>'Growth Pattern'!$CC$856:$CC$862</c:f>
              <c:numCache>
                <c:formatCode>General</c:formatCode>
                <c:ptCount val="7"/>
                <c:pt idx="0">
                  <c:v>1</c:v>
                </c:pt>
                <c:pt idx="1">
                  <c:v>2</c:v>
                </c:pt>
                <c:pt idx="2">
                  <c:v>3</c:v>
                </c:pt>
                <c:pt idx="3">
                  <c:v>4</c:v>
                </c:pt>
                <c:pt idx="4">
                  <c:v>5</c:v>
                </c:pt>
                <c:pt idx="5">
                  <c:v>6</c:v>
                </c:pt>
                <c:pt idx="6">
                  <c:v>7</c:v>
                </c:pt>
              </c:numCache>
            </c:numRef>
          </c:xVal>
          <c:yVal>
            <c:numRef>
              <c:f>'Growth Pattern'!$CE$856:$CE$863</c:f>
              <c:numCache>
                <c:formatCode>0.00</c:formatCode>
                <c:ptCount val="8"/>
                <c:pt idx="0">
                  <c:v>5.95</c:v>
                </c:pt>
                <c:pt idx="1">
                  <c:v>9.4</c:v>
                </c:pt>
                <c:pt idx="2">
                  <c:v>8.1</c:v>
                </c:pt>
                <c:pt idx="3">
                  <c:v>4.3</c:v>
                </c:pt>
                <c:pt idx="4">
                  <c:v>4.9000000000000004</c:v>
                </c:pt>
                <c:pt idx="5">
                  <c:v>7.2</c:v>
                </c:pt>
                <c:pt idx="6">
                  <c:v>7.4</c:v>
                </c:pt>
                <c:pt idx="7">
                  <c:v>0</c:v>
                </c:pt>
              </c:numCache>
            </c:numRef>
          </c:yVal>
          <c:smooth val="0"/>
        </c:ser>
        <c:dLbls>
          <c:showLegendKey val="0"/>
          <c:showVal val="0"/>
          <c:showCatName val="0"/>
          <c:showSerName val="0"/>
          <c:showPercent val="0"/>
          <c:showBubbleSize val="0"/>
        </c:dLbls>
        <c:axId val="123400192"/>
        <c:axId val="123401728"/>
      </c:scatterChart>
      <c:valAx>
        <c:axId val="123400192"/>
        <c:scaling>
          <c:orientation val="minMax"/>
        </c:scaling>
        <c:delete val="0"/>
        <c:axPos val="b"/>
        <c:numFmt formatCode="General" sourceLinked="1"/>
        <c:majorTickMark val="out"/>
        <c:minorTickMark val="none"/>
        <c:tickLblPos val="nextTo"/>
        <c:crossAx val="123401728"/>
        <c:crosses val="autoZero"/>
        <c:crossBetween val="midCat"/>
      </c:valAx>
      <c:valAx>
        <c:axId val="123401728"/>
        <c:scaling>
          <c:orientation val="minMax"/>
        </c:scaling>
        <c:delete val="0"/>
        <c:axPos val="l"/>
        <c:majorGridlines/>
        <c:numFmt formatCode="0.00" sourceLinked="1"/>
        <c:majorTickMark val="out"/>
        <c:minorTickMark val="none"/>
        <c:tickLblPos val="nextTo"/>
        <c:crossAx val="123400192"/>
        <c:crosses val="autoZero"/>
        <c:crossBetween val="midCat"/>
      </c:valAx>
    </c:plotArea>
    <c:legend>
      <c:legendPos val="r"/>
      <c:overlay val="0"/>
    </c:legend>
    <c:plotVisOnly val="1"/>
    <c:dispBlanksAs val="gap"/>
    <c:showDLblsOverMax val="0"/>
  </c:chart>
  <c:printSettings>
    <c:headerFooter/>
    <c:pageMargins b="0.75" l="0.7" r="0.7" t="0.75" header="0.3" footer="0.3"/>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lotArea>
      <c:layout/>
      <c:scatterChart>
        <c:scatterStyle val="lineMarker"/>
        <c:varyColors val="0"/>
        <c:ser>
          <c:idx val="0"/>
          <c:order val="0"/>
          <c:tx>
            <c:strRef>
              <c:f>'Growth Pattern'!$CE$863</c:f>
              <c:strCache>
                <c:ptCount val="1"/>
                <c:pt idx="0">
                  <c:v>PAI</c:v>
                </c:pt>
              </c:strCache>
            </c:strRef>
          </c:tx>
          <c:spPr>
            <a:ln w="28575">
              <a:noFill/>
            </a:ln>
          </c:spPr>
          <c:xVal>
            <c:numRef>
              <c:f>'Growth Pattern'!$CC$864:$CC$870</c:f>
              <c:numCache>
                <c:formatCode>General</c:formatCode>
                <c:ptCount val="7"/>
                <c:pt idx="0">
                  <c:v>1</c:v>
                </c:pt>
                <c:pt idx="1">
                  <c:v>2</c:v>
                </c:pt>
                <c:pt idx="2">
                  <c:v>3</c:v>
                </c:pt>
                <c:pt idx="3">
                  <c:v>4</c:v>
                </c:pt>
                <c:pt idx="4">
                  <c:v>5</c:v>
                </c:pt>
                <c:pt idx="5">
                  <c:v>6</c:v>
                </c:pt>
                <c:pt idx="6">
                  <c:v>7</c:v>
                </c:pt>
              </c:numCache>
            </c:numRef>
          </c:xVal>
          <c:yVal>
            <c:numRef>
              <c:f>'Growth Pattern'!$CE$864:$CE$870</c:f>
              <c:numCache>
                <c:formatCode>0.00</c:formatCode>
                <c:ptCount val="7"/>
                <c:pt idx="0">
                  <c:v>4.25</c:v>
                </c:pt>
                <c:pt idx="1">
                  <c:v>7.3</c:v>
                </c:pt>
                <c:pt idx="2">
                  <c:v>6.5</c:v>
                </c:pt>
                <c:pt idx="3">
                  <c:v>2.5</c:v>
                </c:pt>
                <c:pt idx="4">
                  <c:v>3.5</c:v>
                </c:pt>
                <c:pt idx="5">
                  <c:v>7.5</c:v>
                </c:pt>
                <c:pt idx="6">
                  <c:v>5.4</c:v>
                </c:pt>
              </c:numCache>
            </c:numRef>
          </c:yVal>
          <c:smooth val="0"/>
        </c:ser>
        <c:dLbls>
          <c:showLegendKey val="0"/>
          <c:showVal val="0"/>
          <c:showCatName val="0"/>
          <c:showSerName val="0"/>
          <c:showPercent val="0"/>
          <c:showBubbleSize val="0"/>
        </c:dLbls>
        <c:axId val="122902016"/>
        <c:axId val="122903552"/>
      </c:scatterChart>
      <c:valAx>
        <c:axId val="122902016"/>
        <c:scaling>
          <c:orientation val="minMax"/>
        </c:scaling>
        <c:delete val="0"/>
        <c:axPos val="b"/>
        <c:numFmt formatCode="General" sourceLinked="1"/>
        <c:majorTickMark val="out"/>
        <c:minorTickMark val="none"/>
        <c:tickLblPos val="nextTo"/>
        <c:crossAx val="122903552"/>
        <c:crosses val="autoZero"/>
        <c:crossBetween val="midCat"/>
      </c:valAx>
      <c:valAx>
        <c:axId val="122903552"/>
        <c:scaling>
          <c:orientation val="minMax"/>
        </c:scaling>
        <c:delete val="0"/>
        <c:axPos val="l"/>
        <c:majorGridlines/>
        <c:numFmt formatCode="0.00" sourceLinked="1"/>
        <c:majorTickMark val="out"/>
        <c:minorTickMark val="none"/>
        <c:tickLblPos val="nextTo"/>
        <c:crossAx val="122902016"/>
        <c:crosses val="autoZero"/>
        <c:crossBetween val="midCat"/>
      </c:valAx>
    </c:plotArea>
    <c:legend>
      <c:legendPos val="r"/>
      <c:overlay val="0"/>
    </c:legend>
    <c:plotVisOnly val="1"/>
    <c:dispBlanksAs val="gap"/>
    <c:showDLblsOverMax val="0"/>
  </c:chart>
  <c:printSettings>
    <c:headerFooter/>
    <c:pageMargins b="0.75" l="0.7" r="0.7" t="0.75" header="0.3" footer="0.3"/>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lotArea>
      <c:layout/>
      <c:scatterChart>
        <c:scatterStyle val="lineMarker"/>
        <c:varyColors val="0"/>
        <c:ser>
          <c:idx val="0"/>
          <c:order val="0"/>
          <c:tx>
            <c:strRef>
              <c:f>'Growth Pattern'!$CE$898</c:f>
              <c:strCache>
                <c:ptCount val="1"/>
                <c:pt idx="0">
                  <c:v>MAI</c:v>
                </c:pt>
              </c:strCache>
            </c:strRef>
          </c:tx>
          <c:spPr>
            <a:ln w="28575">
              <a:noFill/>
            </a:ln>
          </c:spPr>
          <c:xVal>
            <c:numRef>
              <c:f>'Growth Pattern'!$CC$899:$CC$902</c:f>
              <c:numCache>
                <c:formatCode>General</c:formatCode>
                <c:ptCount val="4"/>
                <c:pt idx="0">
                  <c:v>1</c:v>
                </c:pt>
                <c:pt idx="1">
                  <c:v>2</c:v>
                </c:pt>
                <c:pt idx="2">
                  <c:v>3</c:v>
                </c:pt>
                <c:pt idx="3">
                  <c:v>4</c:v>
                </c:pt>
              </c:numCache>
            </c:numRef>
          </c:xVal>
          <c:yVal>
            <c:numRef>
              <c:f>'Growth Pattern'!$CE$899:$CE$902</c:f>
              <c:numCache>
                <c:formatCode>0.00</c:formatCode>
                <c:ptCount val="4"/>
                <c:pt idx="0">
                  <c:v>6.5</c:v>
                </c:pt>
                <c:pt idx="1">
                  <c:v>9.1</c:v>
                </c:pt>
                <c:pt idx="2">
                  <c:v>6.7666666666666657</c:v>
                </c:pt>
                <c:pt idx="3">
                  <c:v>2.2916666666666665</c:v>
                </c:pt>
              </c:numCache>
            </c:numRef>
          </c:yVal>
          <c:smooth val="0"/>
        </c:ser>
        <c:dLbls>
          <c:showLegendKey val="0"/>
          <c:showVal val="0"/>
          <c:showCatName val="0"/>
          <c:showSerName val="0"/>
          <c:showPercent val="0"/>
          <c:showBubbleSize val="0"/>
        </c:dLbls>
        <c:axId val="122923648"/>
        <c:axId val="122925440"/>
      </c:scatterChart>
      <c:valAx>
        <c:axId val="122923648"/>
        <c:scaling>
          <c:orientation val="minMax"/>
        </c:scaling>
        <c:delete val="0"/>
        <c:axPos val="b"/>
        <c:numFmt formatCode="General" sourceLinked="1"/>
        <c:majorTickMark val="out"/>
        <c:minorTickMark val="none"/>
        <c:tickLblPos val="nextTo"/>
        <c:crossAx val="122925440"/>
        <c:crosses val="autoZero"/>
        <c:crossBetween val="midCat"/>
      </c:valAx>
      <c:valAx>
        <c:axId val="122925440"/>
        <c:scaling>
          <c:orientation val="minMax"/>
        </c:scaling>
        <c:delete val="0"/>
        <c:axPos val="l"/>
        <c:majorGridlines/>
        <c:numFmt formatCode="0.00" sourceLinked="1"/>
        <c:majorTickMark val="out"/>
        <c:minorTickMark val="none"/>
        <c:tickLblPos val="nextTo"/>
        <c:crossAx val="122923648"/>
        <c:crosses val="autoZero"/>
        <c:crossBetween val="midCat"/>
      </c:valAx>
    </c:plotArea>
    <c:legend>
      <c:legendPos val="r"/>
      <c:overlay val="0"/>
    </c:legend>
    <c:plotVisOnly val="1"/>
    <c:dispBlanksAs val="gap"/>
    <c:showDLblsOverMax val="0"/>
  </c:chart>
  <c:printSettings>
    <c:headerFooter/>
    <c:pageMargins b="0.75" l="0.7" r="0.7" t="0.75" header="0.3" footer="0.3"/>
    <c:pageSetup/>
  </c:printSettings>
</c:chartSpace>
</file>

<file path=xl/charts/chart9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lotArea>
      <c:layout/>
      <c:scatterChart>
        <c:scatterStyle val="lineMarker"/>
        <c:varyColors val="0"/>
        <c:ser>
          <c:idx val="0"/>
          <c:order val="0"/>
          <c:tx>
            <c:strRef>
              <c:f>'Growth Pattern'!$CE$903</c:f>
              <c:strCache>
                <c:ptCount val="1"/>
                <c:pt idx="0">
                  <c:v>MAI</c:v>
                </c:pt>
              </c:strCache>
            </c:strRef>
          </c:tx>
          <c:spPr>
            <a:ln w="28575">
              <a:noFill/>
            </a:ln>
          </c:spPr>
          <c:xVal>
            <c:numRef>
              <c:f>'Growth Pattern'!$CC$904:$CC$907</c:f>
              <c:numCache>
                <c:formatCode>General</c:formatCode>
                <c:ptCount val="4"/>
                <c:pt idx="0">
                  <c:v>1</c:v>
                </c:pt>
                <c:pt idx="1">
                  <c:v>2</c:v>
                </c:pt>
                <c:pt idx="2">
                  <c:v>3</c:v>
                </c:pt>
                <c:pt idx="3">
                  <c:v>4</c:v>
                </c:pt>
              </c:numCache>
            </c:numRef>
          </c:xVal>
          <c:yVal>
            <c:numRef>
              <c:f>'Growth Pattern'!$CE$904:$CE$907</c:f>
              <c:numCache>
                <c:formatCode>0.00</c:formatCode>
                <c:ptCount val="4"/>
                <c:pt idx="0">
                  <c:v>4.3</c:v>
                </c:pt>
                <c:pt idx="1">
                  <c:v>6.3000000000000007</c:v>
                </c:pt>
                <c:pt idx="2">
                  <c:v>5.4333333333333336</c:v>
                </c:pt>
                <c:pt idx="3">
                  <c:v>1.7833333333333334</c:v>
                </c:pt>
              </c:numCache>
            </c:numRef>
          </c:yVal>
          <c:smooth val="0"/>
        </c:ser>
        <c:dLbls>
          <c:showLegendKey val="0"/>
          <c:showVal val="0"/>
          <c:showCatName val="0"/>
          <c:showSerName val="0"/>
          <c:showPercent val="0"/>
          <c:showBubbleSize val="0"/>
        </c:dLbls>
        <c:axId val="123220352"/>
        <c:axId val="123221888"/>
      </c:scatterChart>
      <c:valAx>
        <c:axId val="123220352"/>
        <c:scaling>
          <c:orientation val="minMax"/>
        </c:scaling>
        <c:delete val="0"/>
        <c:axPos val="b"/>
        <c:numFmt formatCode="General" sourceLinked="1"/>
        <c:majorTickMark val="out"/>
        <c:minorTickMark val="none"/>
        <c:tickLblPos val="nextTo"/>
        <c:crossAx val="123221888"/>
        <c:crosses val="autoZero"/>
        <c:crossBetween val="midCat"/>
      </c:valAx>
      <c:valAx>
        <c:axId val="123221888"/>
        <c:scaling>
          <c:orientation val="minMax"/>
        </c:scaling>
        <c:delete val="0"/>
        <c:axPos val="l"/>
        <c:majorGridlines/>
        <c:numFmt formatCode="0.00" sourceLinked="1"/>
        <c:majorTickMark val="out"/>
        <c:minorTickMark val="none"/>
        <c:tickLblPos val="nextTo"/>
        <c:crossAx val="123220352"/>
        <c:crosses val="autoZero"/>
        <c:crossBetween val="midCat"/>
      </c:valAx>
    </c:plotArea>
    <c:legend>
      <c:legendPos val="r"/>
      <c:overlay val="0"/>
    </c:legend>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17" Type="http://schemas.openxmlformats.org/officeDocument/2006/relationships/chart" Target="../charts/chart117.xml"/><Relationship Id="rId21" Type="http://schemas.openxmlformats.org/officeDocument/2006/relationships/chart" Target="../charts/chart21.xml"/><Relationship Id="rId42" Type="http://schemas.openxmlformats.org/officeDocument/2006/relationships/chart" Target="../charts/chart42.xml"/><Relationship Id="rId63" Type="http://schemas.openxmlformats.org/officeDocument/2006/relationships/chart" Target="../charts/chart63.xml"/><Relationship Id="rId84" Type="http://schemas.openxmlformats.org/officeDocument/2006/relationships/chart" Target="../charts/chart84.xml"/><Relationship Id="rId138" Type="http://schemas.openxmlformats.org/officeDocument/2006/relationships/chart" Target="../charts/chart138.xml"/><Relationship Id="rId159" Type="http://schemas.openxmlformats.org/officeDocument/2006/relationships/chart" Target="../charts/chart159.xml"/><Relationship Id="rId170" Type="http://schemas.openxmlformats.org/officeDocument/2006/relationships/chart" Target="../charts/chart170.xml"/><Relationship Id="rId191" Type="http://schemas.openxmlformats.org/officeDocument/2006/relationships/chart" Target="../charts/chart191.xml"/><Relationship Id="rId205" Type="http://schemas.openxmlformats.org/officeDocument/2006/relationships/chart" Target="../charts/chart205.xml"/><Relationship Id="rId226" Type="http://schemas.openxmlformats.org/officeDocument/2006/relationships/chart" Target="../charts/chart226.xml"/><Relationship Id="rId247" Type="http://schemas.openxmlformats.org/officeDocument/2006/relationships/chart" Target="../charts/chart247.xml"/><Relationship Id="rId107" Type="http://schemas.openxmlformats.org/officeDocument/2006/relationships/chart" Target="../charts/chart107.xml"/><Relationship Id="rId11" Type="http://schemas.openxmlformats.org/officeDocument/2006/relationships/chart" Target="../charts/chart11.xml"/><Relationship Id="rId32" Type="http://schemas.openxmlformats.org/officeDocument/2006/relationships/chart" Target="../charts/chart32.xml"/><Relationship Id="rId53" Type="http://schemas.openxmlformats.org/officeDocument/2006/relationships/chart" Target="../charts/chart53.xml"/><Relationship Id="rId74" Type="http://schemas.openxmlformats.org/officeDocument/2006/relationships/chart" Target="../charts/chart74.xml"/><Relationship Id="rId128" Type="http://schemas.openxmlformats.org/officeDocument/2006/relationships/chart" Target="../charts/chart128.xml"/><Relationship Id="rId149" Type="http://schemas.openxmlformats.org/officeDocument/2006/relationships/chart" Target="../charts/chart149.xml"/><Relationship Id="rId5" Type="http://schemas.openxmlformats.org/officeDocument/2006/relationships/chart" Target="../charts/chart5.xml"/><Relationship Id="rId95" Type="http://schemas.openxmlformats.org/officeDocument/2006/relationships/chart" Target="../charts/chart95.xml"/><Relationship Id="rId160" Type="http://schemas.openxmlformats.org/officeDocument/2006/relationships/chart" Target="../charts/chart160.xml"/><Relationship Id="rId181" Type="http://schemas.openxmlformats.org/officeDocument/2006/relationships/chart" Target="../charts/chart181.xml"/><Relationship Id="rId216" Type="http://schemas.openxmlformats.org/officeDocument/2006/relationships/chart" Target="../charts/chart216.xml"/><Relationship Id="rId237" Type="http://schemas.openxmlformats.org/officeDocument/2006/relationships/chart" Target="../charts/chart237.xml"/><Relationship Id="rId22" Type="http://schemas.openxmlformats.org/officeDocument/2006/relationships/chart" Target="../charts/chart22.xml"/><Relationship Id="rId43" Type="http://schemas.openxmlformats.org/officeDocument/2006/relationships/chart" Target="../charts/chart43.xml"/><Relationship Id="rId64" Type="http://schemas.openxmlformats.org/officeDocument/2006/relationships/chart" Target="../charts/chart64.xml"/><Relationship Id="rId118" Type="http://schemas.openxmlformats.org/officeDocument/2006/relationships/chart" Target="../charts/chart118.xml"/><Relationship Id="rId139" Type="http://schemas.openxmlformats.org/officeDocument/2006/relationships/chart" Target="../charts/chart139.xml"/><Relationship Id="rId85" Type="http://schemas.openxmlformats.org/officeDocument/2006/relationships/chart" Target="../charts/chart85.xml"/><Relationship Id="rId150" Type="http://schemas.openxmlformats.org/officeDocument/2006/relationships/chart" Target="../charts/chart150.xml"/><Relationship Id="rId171" Type="http://schemas.openxmlformats.org/officeDocument/2006/relationships/chart" Target="../charts/chart171.xml"/><Relationship Id="rId192" Type="http://schemas.openxmlformats.org/officeDocument/2006/relationships/chart" Target="../charts/chart192.xml"/><Relationship Id="rId206" Type="http://schemas.openxmlformats.org/officeDocument/2006/relationships/chart" Target="../charts/chart206.xml"/><Relationship Id="rId227" Type="http://schemas.openxmlformats.org/officeDocument/2006/relationships/chart" Target="../charts/chart227.xml"/><Relationship Id="rId248" Type="http://schemas.openxmlformats.org/officeDocument/2006/relationships/chart" Target="../charts/chart248.xml"/><Relationship Id="rId12" Type="http://schemas.openxmlformats.org/officeDocument/2006/relationships/chart" Target="../charts/chart12.xml"/><Relationship Id="rId17" Type="http://schemas.openxmlformats.org/officeDocument/2006/relationships/chart" Target="../charts/chart17.xml"/><Relationship Id="rId33" Type="http://schemas.openxmlformats.org/officeDocument/2006/relationships/chart" Target="../charts/chart33.xml"/><Relationship Id="rId38" Type="http://schemas.openxmlformats.org/officeDocument/2006/relationships/chart" Target="../charts/chart38.xml"/><Relationship Id="rId59" Type="http://schemas.openxmlformats.org/officeDocument/2006/relationships/chart" Target="../charts/chart59.xml"/><Relationship Id="rId103" Type="http://schemas.openxmlformats.org/officeDocument/2006/relationships/chart" Target="../charts/chart103.xml"/><Relationship Id="rId108" Type="http://schemas.openxmlformats.org/officeDocument/2006/relationships/chart" Target="../charts/chart108.xml"/><Relationship Id="rId124" Type="http://schemas.openxmlformats.org/officeDocument/2006/relationships/chart" Target="../charts/chart124.xml"/><Relationship Id="rId129" Type="http://schemas.openxmlformats.org/officeDocument/2006/relationships/chart" Target="../charts/chart129.xml"/><Relationship Id="rId54" Type="http://schemas.openxmlformats.org/officeDocument/2006/relationships/chart" Target="../charts/chart54.xml"/><Relationship Id="rId70" Type="http://schemas.openxmlformats.org/officeDocument/2006/relationships/chart" Target="../charts/chart70.xml"/><Relationship Id="rId75" Type="http://schemas.openxmlformats.org/officeDocument/2006/relationships/chart" Target="../charts/chart75.xml"/><Relationship Id="rId91" Type="http://schemas.openxmlformats.org/officeDocument/2006/relationships/chart" Target="../charts/chart91.xml"/><Relationship Id="rId96" Type="http://schemas.openxmlformats.org/officeDocument/2006/relationships/chart" Target="../charts/chart96.xml"/><Relationship Id="rId140" Type="http://schemas.openxmlformats.org/officeDocument/2006/relationships/chart" Target="../charts/chart140.xml"/><Relationship Id="rId145" Type="http://schemas.openxmlformats.org/officeDocument/2006/relationships/chart" Target="../charts/chart145.xml"/><Relationship Id="rId161" Type="http://schemas.openxmlformats.org/officeDocument/2006/relationships/chart" Target="../charts/chart161.xml"/><Relationship Id="rId166" Type="http://schemas.openxmlformats.org/officeDocument/2006/relationships/chart" Target="../charts/chart166.xml"/><Relationship Id="rId182" Type="http://schemas.openxmlformats.org/officeDocument/2006/relationships/chart" Target="../charts/chart182.xml"/><Relationship Id="rId187" Type="http://schemas.openxmlformats.org/officeDocument/2006/relationships/chart" Target="../charts/chart187.xml"/><Relationship Id="rId217" Type="http://schemas.openxmlformats.org/officeDocument/2006/relationships/chart" Target="../charts/chart217.xml"/><Relationship Id="rId1" Type="http://schemas.openxmlformats.org/officeDocument/2006/relationships/chart" Target="../charts/chart1.xml"/><Relationship Id="rId6" Type="http://schemas.openxmlformats.org/officeDocument/2006/relationships/chart" Target="../charts/chart6.xml"/><Relationship Id="rId212" Type="http://schemas.openxmlformats.org/officeDocument/2006/relationships/chart" Target="../charts/chart212.xml"/><Relationship Id="rId233" Type="http://schemas.openxmlformats.org/officeDocument/2006/relationships/chart" Target="../charts/chart233.xml"/><Relationship Id="rId238" Type="http://schemas.openxmlformats.org/officeDocument/2006/relationships/chart" Target="../charts/chart238.xml"/><Relationship Id="rId23" Type="http://schemas.openxmlformats.org/officeDocument/2006/relationships/chart" Target="../charts/chart23.xml"/><Relationship Id="rId28" Type="http://schemas.openxmlformats.org/officeDocument/2006/relationships/chart" Target="../charts/chart28.xml"/><Relationship Id="rId49" Type="http://schemas.openxmlformats.org/officeDocument/2006/relationships/chart" Target="../charts/chart49.xml"/><Relationship Id="rId114" Type="http://schemas.openxmlformats.org/officeDocument/2006/relationships/chart" Target="../charts/chart114.xml"/><Relationship Id="rId119" Type="http://schemas.openxmlformats.org/officeDocument/2006/relationships/chart" Target="../charts/chart119.xml"/><Relationship Id="rId44" Type="http://schemas.openxmlformats.org/officeDocument/2006/relationships/chart" Target="../charts/chart44.xml"/><Relationship Id="rId60" Type="http://schemas.openxmlformats.org/officeDocument/2006/relationships/chart" Target="../charts/chart60.xml"/><Relationship Id="rId65" Type="http://schemas.openxmlformats.org/officeDocument/2006/relationships/chart" Target="../charts/chart65.xml"/><Relationship Id="rId81" Type="http://schemas.openxmlformats.org/officeDocument/2006/relationships/chart" Target="../charts/chart81.xml"/><Relationship Id="rId86" Type="http://schemas.openxmlformats.org/officeDocument/2006/relationships/chart" Target="../charts/chart86.xml"/><Relationship Id="rId130" Type="http://schemas.openxmlformats.org/officeDocument/2006/relationships/chart" Target="../charts/chart130.xml"/><Relationship Id="rId135" Type="http://schemas.openxmlformats.org/officeDocument/2006/relationships/chart" Target="../charts/chart135.xml"/><Relationship Id="rId151" Type="http://schemas.openxmlformats.org/officeDocument/2006/relationships/chart" Target="../charts/chart151.xml"/><Relationship Id="rId156" Type="http://schemas.openxmlformats.org/officeDocument/2006/relationships/chart" Target="../charts/chart156.xml"/><Relationship Id="rId177" Type="http://schemas.openxmlformats.org/officeDocument/2006/relationships/chart" Target="../charts/chart177.xml"/><Relationship Id="rId198" Type="http://schemas.openxmlformats.org/officeDocument/2006/relationships/chart" Target="../charts/chart198.xml"/><Relationship Id="rId172" Type="http://schemas.openxmlformats.org/officeDocument/2006/relationships/chart" Target="../charts/chart172.xml"/><Relationship Id="rId193" Type="http://schemas.openxmlformats.org/officeDocument/2006/relationships/chart" Target="../charts/chart193.xml"/><Relationship Id="rId202" Type="http://schemas.openxmlformats.org/officeDocument/2006/relationships/chart" Target="../charts/chart202.xml"/><Relationship Id="rId207" Type="http://schemas.openxmlformats.org/officeDocument/2006/relationships/chart" Target="../charts/chart207.xml"/><Relationship Id="rId223" Type="http://schemas.openxmlformats.org/officeDocument/2006/relationships/chart" Target="../charts/chart223.xml"/><Relationship Id="rId228" Type="http://schemas.openxmlformats.org/officeDocument/2006/relationships/chart" Target="../charts/chart228.xml"/><Relationship Id="rId244" Type="http://schemas.openxmlformats.org/officeDocument/2006/relationships/chart" Target="../charts/chart244.xml"/><Relationship Id="rId249" Type="http://schemas.openxmlformats.org/officeDocument/2006/relationships/chart" Target="../charts/chart249.xml"/><Relationship Id="rId13" Type="http://schemas.openxmlformats.org/officeDocument/2006/relationships/chart" Target="../charts/chart13.xml"/><Relationship Id="rId18" Type="http://schemas.openxmlformats.org/officeDocument/2006/relationships/chart" Target="../charts/chart18.xml"/><Relationship Id="rId39" Type="http://schemas.openxmlformats.org/officeDocument/2006/relationships/chart" Target="../charts/chart39.xml"/><Relationship Id="rId109" Type="http://schemas.openxmlformats.org/officeDocument/2006/relationships/chart" Target="../charts/chart109.xml"/><Relationship Id="rId34" Type="http://schemas.openxmlformats.org/officeDocument/2006/relationships/chart" Target="../charts/chart34.xml"/><Relationship Id="rId50" Type="http://schemas.openxmlformats.org/officeDocument/2006/relationships/chart" Target="../charts/chart50.xml"/><Relationship Id="rId55" Type="http://schemas.openxmlformats.org/officeDocument/2006/relationships/chart" Target="../charts/chart55.xml"/><Relationship Id="rId76" Type="http://schemas.openxmlformats.org/officeDocument/2006/relationships/chart" Target="../charts/chart76.xml"/><Relationship Id="rId97" Type="http://schemas.openxmlformats.org/officeDocument/2006/relationships/chart" Target="../charts/chart97.xml"/><Relationship Id="rId104" Type="http://schemas.openxmlformats.org/officeDocument/2006/relationships/chart" Target="../charts/chart104.xml"/><Relationship Id="rId120" Type="http://schemas.openxmlformats.org/officeDocument/2006/relationships/chart" Target="../charts/chart120.xml"/><Relationship Id="rId125" Type="http://schemas.openxmlformats.org/officeDocument/2006/relationships/chart" Target="../charts/chart125.xml"/><Relationship Id="rId141" Type="http://schemas.openxmlformats.org/officeDocument/2006/relationships/chart" Target="../charts/chart141.xml"/><Relationship Id="rId146" Type="http://schemas.openxmlformats.org/officeDocument/2006/relationships/chart" Target="../charts/chart146.xml"/><Relationship Id="rId167" Type="http://schemas.openxmlformats.org/officeDocument/2006/relationships/chart" Target="../charts/chart167.xml"/><Relationship Id="rId188" Type="http://schemas.openxmlformats.org/officeDocument/2006/relationships/chart" Target="../charts/chart188.xml"/><Relationship Id="rId7" Type="http://schemas.openxmlformats.org/officeDocument/2006/relationships/chart" Target="../charts/chart7.xml"/><Relationship Id="rId71" Type="http://schemas.openxmlformats.org/officeDocument/2006/relationships/chart" Target="../charts/chart71.xml"/><Relationship Id="rId92" Type="http://schemas.openxmlformats.org/officeDocument/2006/relationships/chart" Target="../charts/chart92.xml"/><Relationship Id="rId162" Type="http://schemas.openxmlformats.org/officeDocument/2006/relationships/chart" Target="../charts/chart162.xml"/><Relationship Id="rId183" Type="http://schemas.openxmlformats.org/officeDocument/2006/relationships/chart" Target="../charts/chart183.xml"/><Relationship Id="rId213" Type="http://schemas.openxmlformats.org/officeDocument/2006/relationships/chart" Target="../charts/chart213.xml"/><Relationship Id="rId218" Type="http://schemas.openxmlformats.org/officeDocument/2006/relationships/chart" Target="../charts/chart218.xml"/><Relationship Id="rId234" Type="http://schemas.openxmlformats.org/officeDocument/2006/relationships/chart" Target="../charts/chart234.xml"/><Relationship Id="rId239" Type="http://schemas.openxmlformats.org/officeDocument/2006/relationships/chart" Target="../charts/chart239.xml"/><Relationship Id="rId2" Type="http://schemas.openxmlformats.org/officeDocument/2006/relationships/chart" Target="../charts/chart2.xml"/><Relationship Id="rId29" Type="http://schemas.openxmlformats.org/officeDocument/2006/relationships/chart" Target="../charts/chart29.xml"/><Relationship Id="rId24" Type="http://schemas.openxmlformats.org/officeDocument/2006/relationships/chart" Target="../charts/chart24.xml"/><Relationship Id="rId40" Type="http://schemas.openxmlformats.org/officeDocument/2006/relationships/chart" Target="../charts/chart40.xml"/><Relationship Id="rId45" Type="http://schemas.openxmlformats.org/officeDocument/2006/relationships/chart" Target="../charts/chart45.xml"/><Relationship Id="rId66" Type="http://schemas.openxmlformats.org/officeDocument/2006/relationships/chart" Target="../charts/chart66.xml"/><Relationship Id="rId87" Type="http://schemas.openxmlformats.org/officeDocument/2006/relationships/chart" Target="../charts/chart87.xml"/><Relationship Id="rId110" Type="http://schemas.openxmlformats.org/officeDocument/2006/relationships/chart" Target="../charts/chart110.xml"/><Relationship Id="rId115" Type="http://schemas.openxmlformats.org/officeDocument/2006/relationships/chart" Target="../charts/chart115.xml"/><Relationship Id="rId131" Type="http://schemas.openxmlformats.org/officeDocument/2006/relationships/chart" Target="../charts/chart131.xml"/><Relationship Id="rId136" Type="http://schemas.openxmlformats.org/officeDocument/2006/relationships/chart" Target="../charts/chart136.xml"/><Relationship Id="rId157" Type="http://schemas.openxmlformats.org/officeDocument/2006/relationships/chart" Target="../charts/chart157.xml"/><Relationship Id="rId178" Type="http://schemas.openxmlformats.org/officeDocument/2006/relationships/chart" Target="../charts/chart178.xml"/><Relationship Id="rId61" Type="http://schemas.openxmlformats.org/officeDocument/2006/relationships/chart" Target="../charts/chart61.xml"/><Relationship Id="rId82" Type="http://schemas.openxmlformats.org/officeDocument/2006/relationships/chart" Target="../charts/chart82.xml"/><Relationship Id="rId152" Type="http://schemas.openxmlformats.org/officeDocument/2006/relationships/chart" Target="../charts/chart152.xml"/><Relationship Id="rId173" Type="http://schemas.openxmlformats.org/officeDocument/2006/relationships/chart" Target="../charts/chart173.xml"/><Relationship Id="rId194" Type="http://schemas.openxmlformats.org/officeDocument/2006/relationships/chart" Target="../charts/chart194.xml"/><Relationship Id="rId199" Type="http://schemas.openxmlformats.org/officeDocument/2006/relationships/chart" Target="../charts/chart199.xml"/><Relationship Id="rId203" Type="http://schemas.openxmlformats.org/officeDocument/2006/relationships/chart" Target="../charts/chart203.xml"/><Relationship Id="rId208" Type="http://schemas.openxmlformats.org/officeDocument/2006/relationships/chart" Target="../charts/chart208.xml"/><Relationship Id="rId229" Type="http://schemas.openxmlformats.org/officeDocument/2006/relationships/chart" Target="../charts/chart229.xml"/><Relationship Id="rId19" Type="http://schemas.openxmlformats.org/officeDocument/2006/relationships/chart" Target="../charts/chart19.xml"/><Relationship Id="rId224" Type="http://schemas.openxmlformats.org/officeDocument/2006/relationships/chart" Target="../charts/chart224.xml"/><Relationship Id="rId240" Type="http://schemas.openxmlformats.org/officeDocument/2006/relationships/chart" Target="../charts/chart240.xml"/><Relationship Id="rId245" Type="http://schemas.openxmlformats.org/officeDocument/2006/relationships/chart" Target="../charts/chart245.xml"/><Relationship Id="rId14" Type="http://schemas.openxmlformats.org/officeDocument/2006/relationships/chart" Target="../charts/chart14.xml"/><Relationship Id="rId30" Type="http://schemas.openxmlformats.org/officeDocument/2006/relationships/chart" Target="../charts/chart30.xml"/><Relationship Id="rId35" Type="http://schemas.openxmlformats.org/officeDocument/2006/relationships/chart" Target="../charts/chart35.xml"/><Relationship Id="rId56" Type="http://schemas.openxmlformats.org/officeDocument/2006/relationships/chart" Target="../charts/chart56.xml"/><Relationship Id="rId77" Type="http://schemas.openxmlformats.org/officeDocument/2006/relationships/chart" Target="../charts/chart77.xml"/><Relationship Id="rId100" Type="http://schemas.openxmlformats.org/officeDocument/2006/relationships/chart" Target="../charts/chart100.xml"/><Relationship Id="rId105" Type="http://schemas.openxmlformats.org/officeDocument/2006/relationships/chart" Target="../charts/chart105.xml"/><Relationship Id="rId126" Type="http://schemas.openxmlformats.org/officeDocument/2006/relationships/chart" Target="../charts/chart126.xml"/><Relationship Id="rId147" Type="http://schemas.openxmlformats.org/officeDocument/2006/relationships/chart" Target="../charts/chart147.xml"/><Relationship Id="rId168" Type="http://schemas.openxmlformats.org/officeDocument/2006/relationships/chart" Target="../charts/chart168.xml"/><Relationship Id="rId8" Type="http://schemas.openxmlformats.org/officeDocument/2006/relationships/chart" Target="../charts/chart8.xml"/><Relationship Id="rId51" Type="http://schemas.openxmlformats.org/officeDocument/2006/relationships/chart" Target="../charts/chart51.xml"/><Relationship Id="rId72" Type="http://schemas.openxmlformats.org/officeDocument/2006/relationships/chart" Target="../charts/chart72.xml"/><Relationship Id="rId93" Type="http://schemas.openxmlformats.org/officeDocument/2006/relationships/chart" Target="../charts/chart93.xml"/><Relationship Id="rId98" Type="http://schemas.openxmlformats.org/officeDocument/2006/relationships/chart" Target="../charts/chart98.xml"/><Relationship Id="rId121" Type="http://schemas.openxmlformats.org/officeDocument/2006/relationships/chart" Target="../charts/chart121.xml"/><Relationship Id="rId142" Type="http://schemas.openxmlformats.org/officeDocument/2006/relationships/chart" Target="../charts/chart142.xml"/><Relationship Id="rId163" Type="http://schemas.openxmlformats.org/officeDocument/2006/relationships/chart" Target="../charts/chart163.xml"/><Relationship Id="rId184" Type="http://schemas.openxmlformats.org/officeDocument/2006/relationships/chart" Target="../charts/chart184.xml"/><Relationship Id="rId189" Type="http://schemas.openxmlformats.org/officeDocument/2006/relationships/chart" Target="../charts/chart189.xml"/><Relationship Id="rId219" Type="http://schemas.openxmlformats.org/officeDocument/2006/relationships/chart" Target="../charts/chart219.xml"/><Relationship Id="rId3" Type="http://schemas.openxmlformats.org/officeDocument/2006/relationships/chart" Target="../charts/chart3.xml"/><Relationship Id="rId214" Type="http://schemas.openxmlformats.org/officeDocument/2006/relationships/chart" Target="../charts/chart214.xml"/><Relationship Id="rId230" Type="http://schemas.openxmlformats.org/officeDocument/2006/relationships/chart" Target="../charts/chart230.xml"/><Relationship Id="rId235" Type="http://schemas.openxmlformats.org/officeDocument/2006/relationships/chart" Target="../charts/chart235.xml"/><Relationship Id="rId25" Type="http://schemas.openxmlformats.org/officeDocument/2006/relationships/chart" Target="../charts/chart25.xml"/><Relationship Id="rId46" Type="http://schemas.openxmlformats.org/officeDocument/2006/relationships/chart" Target="../charts/chart46.xml"/><Relationship Id="rId67" Type="http://schemas.openxmlformats.org/officeDocument/2006/relationships/chart" Target="../charts/chart67.xml"/><Relationship Id="rId116" Type="http://schemas.openxmlformats.org/officeDocument/2006/relationships/chart" Target="../charts/chart116.xml"/><Relationship Id="rId137" Type="http://schemas.openxmlformats.org/officeDocument/2006/relationships/chart" Target="../charts/chart137.xml"/><Relationship Id="rId158" Type="http://schemas.openxmlformats.org/officeDocument/2006/relationships/chart" Target="../charts/chart158.xml"/><Relationship Id="rId20" Type="http://schemas.openxmlformats.org/officeDocument/2006/relationships/chart" Target="../charts/chart20.xml"/><Relationship Id="rId41" Type="http://schemas.openxmlformats.org/officeDocument/2006/relationships/chart" Target="../charts/chart41.xml"/><Relationship Id="rId62" Type="http://schemas.openxmlformats.org/officeDocument/2006/relationships/chart" Target="../charts/chart62.xml"/><Relationship Id="rId83" Type="http://schemas.openxmlformats.org/officeDocument/2006/relationships/chart" Target="../charts/chart83.xml"/><Relationship Id="rId88" Type="http://schemas.openxmlformats.org/officeDocument/2006/relationships/chart" Target="../charts/chart88.xml"/><Relationship Id="rId111" Type="http://schemas.openxmlformats.org/officeDocument/2006/relationships/chart" Target="../charts/chart111.xml"/><Relationship Id="rId132" Type="http://schemas.openxmlformats.org/officeDocument/2006/relationships/chart" Target="../charts/chart132.xml"/><Relationship Id="rId153" Type="http://schemas.openxmlformats.org/officeDocument/2006/relationships/chart" Target="../charts/chart153.xml"/><Relationship Id="rId174" Type="http://schemas.openxmlformats.org/officeDocument/2006/relationships/chart" Target="../charts/chart174.xml"/><Relationship Id="rId179" Type="http://schemas.openxmlformats.org/officeDocument/2006/relationships/chart" Target="../charts/chart179.xml"/><Relationship Id="rId195" Type="http://schemas.openxmlformats.org/officeDocument/2006/relationships/chart" Target="../charts/chart195.xml"/><Relationship Id="rId209" Type="http://schemas.openxmlformats.org/officeDocument/2006/relationships/chart" Target="../charts/chart209.xml"/><Relationship Id="rId190" Type="http://schemas.openxmlformats.org/officeDocument/2006/relationships/chart" Target="../charts/chart190.xml"/><Relationship Id="rId204" Type="http://schemas.openxmlformats.org/officeDocument/2006/relationships/chart" Target="../charts/chart204.xml"/><Relationship Id="rId220" Type="http://schemas.openxmlformats.org/officeDocument/2006/relationships/chart" Target="../charts/chart220.xml"/><Relationship Id="rId225" Type="http://schemas.openxmlformats.org/officeDocument/2006/relationships/chart" Target="../charts/chart225.xml"/><Relationship Id="rId241" Type="http://schemas.openxmlformats.org/officeDocument/2006/relationships/chart" Target="../charts/chart241.xml"/><Relationship Id="rId246" Type="http://schemas.openxmlformats.org/officeDocument/2006/relationships/chart" Target="../charts/chart246.xml"/><Relationship Id="rId15" Type="http://schemas.openxmlformats.org/officeDocument/2006/relationships/chart" Target="../charts/chart15.xml"/><Relationship Id="rId36" Type="http://schemas.openxmlformats.org/officeDocument/2006/relationships/chart" Target="../charts/chart36.xml"/><Relationship Id="rId57" Type="http://schemas.openxmlformats.org/officeDocument/2006/relationships/chart" Target="../charts/chart57.xml"/><Relationship Id="rId106" Type="http://schemas.openxmlformats.org/officeDocument/2006/relationships/chart" Target="../charts/chart106.xml"/><Relationship Id="rId127" Type="http://schemas.openxmlformats.org/officeDocument/2006/relationships/chart" Target="../charts/chart127.xml"/><Relationship Id="rId10" Type="http://schemas.openxmlformats.org/officeDocument/2006/relationships/chart" Target="../charts/chart10.xml"/><Relationship Id="rId31" Type="http://schemas.openxmlformats.org/officeDocument/2006/relationships/chart" Target="../charts/chart31.xml"/><Relationship Id="rId52" Type="http://schemas.openxmlformats.org/officeDocument/2006/relationships/chart" Target="../charts/chart52.xml"/><Relationship Id="rId73" Type="http://schemas.openxmlformats.org/officeDocument/2006/relationships/chart" Target="../charts/chart73.xml"/><Relationship Id="rId78" Type="http://schemas.openxmlformats.org/officeDocument/2006/relationships/chart" Target="../charts/chart78.xml"/><Relationship Id="rId94" Type="http://schemas.openxmlformats.org/officeDocument/2006/relationships/chart" Target="../charts/chart94.xml"/><Relationship Id="rId99" Type="http://schemas.openxmlformats.org/officeDocument/2006/relationships/chart" Target="../charts/chart99.xml"/><Relationship Id="rId101" Type="http://schemas.openxmlformats.org/officeDocument/2006/relationships/chart" Target="../charts/chart101.xml"/><Relationship Id="rId122" Type="http://schemas.openxmlformats.org/officeDocument/2006/relationships/chart" Target="../charts/chart122.xml"/><Relationship Id="rId143" Type="http://schemas.openxmlformats.org/officeDocument/2006/relationships/chart" Target="../charts/chart143.xml"/><Relationship Id="rId148" Type="http://schemas.openxmlformats.org/officeDocument/2006/relationships/chart" Target="../charts/chart148.xml"/><Relationship Id="rId164" Type="http://schemas.openxmlformats.org/officeDocument/2006/relationships/chart" Target="../charts/chart164.xml"/><Relationship Id="rId169" Type="http://schemas.openxmlformats.org/officeDocument/2006/relationships/chart" Target="../charts/chart169.xml"/><Relationship Id="rId185" Type="http://schemas.openxmlformats.org/officeDocument/2006/relationships/chart" Target="../charts/chart185.xml"/><Relationship Id="rId4" Type="http://schemas.openxmlformats.org/officeDocument/2006/relationships/chart" Target="../charts/chart4.xml"/><Relationship Id="rId9" Type="http://schemas.openxmlformats.org/officeDocument/2006/relationships/chart" Target="../charts/chart9.xml"/><Relationship Id="rId180" Type="http://schemas.openxmlformats.org/officeDocument/2006/relationships/chart" Target="../charts/chart180.xml"/><Relationship Id="rId210" Type="http://schemas.openxmlformats.org/officeDocument/2006/relationships/chart" Target="../charts/chart210.xml"/><Relationship Id="rId215" Type="http://schemas.openxmlformats.org/officeDocument/2006/relationships/chart" Target="../charts/chart215.xml"/><Relationship Id="rId236" Type="http://schemas.openxmlformats.org/officeDocument/2006/relationships/chart" Target="../charts/chart236.xml"/><Relationship Id="rId26" Type="http://schemas.openxmlformats.org/officeDocument/2006/relationships/chart" Target="../charts/chart26.xml"/><Relationship Id="rId231" Type="http://schemas.openxmlformats.org/officeDocument/2006/relationships/chart" Target="../charts/chart231.xml"/><Relationship Id="rId47" Type="http://schemas.openxmlformats.org/officeDocument/2006/relationships/chart" Target="../charts/chart47.xml"/><Relationship Id="rId68" Type="http://schemas.openxmlformats.org/officeDocument/2006/relationships/chart" Target="../charts/chart68.xml"/><Relationship Id="rId89" Type="http://schemas.openxmlformats.org/officeDocument/2006/relationships/chart" Target="../charts/chart89.xml"/><Relationship Id="rId112" Type="http://schemas.openxmlformats.org/officeDocument/2006/relationships/chart" Target="../charts/chart112.xml"/><Relationship Id="rId133" Type="http://schemas.openxmlformats.org/officeDocument/2006/relationships/chart" Target="../charts/chart133.xml"/><Relationship Id="rId154" Type="http://schemas.openxmlformats.org/officeDocument/2006/relationships/chart" Target="../charts/chart154.xml"/><Relationship Id="rId175" Type="http://schemas.openxmlformats.org/officeDocument/2006/relationships/chart" Target="../charts/chart175.xml"/><Relationship Id="rId196" Type="http://schemas.openxmlformats.org/officeDocument/2006/relationships/chart" Target="../charts/chart196.xml"/><Relationship Id="rId200" Type="http://schemas.openxmlformats.org/officeDocument/2006/relationships/chart" Target="../charts/chart200.xml"/><Relationship Id="rId16" Type="http://schemas.openxmlformats.org/officeDocument/2006/relationships/chart" Target="../charts/chart16.xml"/><Relationship Id="rId221" Type="http://schemas.openxmlformats.org/officeDocument/2006/relationships/chart" Target="../charts/chart221.xml"/><Relationship Id="rId242" Type="http://schemas.openxmlformats.org/officeDocument/2006/relationships/chart" Target="../charts/chart242.xml"/><Relationship Id="rId37" Type="http://schemas.openxmlformats.org/officeDocument/2006/relationships/chart" Target="../charts/chart37.xml"/><Relationship Id="rId58" Type="http://schemas.openxmlformats.org/officeDocument/2006/relationships/chart" Target="../charts/chart58.xml"/><Relationship Id="rId79" Type="http://schemas.openxmlformats.org/officeDocument/2006/relationships/chart" Target="../charts/chart79.xml"/><Relationship Id="rId102" Type="http://schemas.openxmlformats.org/officeDocument/2006/relationships/chart" Target="../charts/chart102.xml"/><Relationship Id="rId123" Type="http://schemas.openxmlformats.org/officeDocument/2006/relationships/chart" Target="../charts/chart123.xml"/><Relationship Id="rId144" Type="http://schemas.openxmlformats.org/officeDocument/2006/relationships/chart" Target="../charts/chart144.xml"/><Relationship Id="rId90" Type="http://schemas.openxmlformats.org/officeDocument/2006/relationships/chart" Target="../charts/chart90.xml"/><Relationship Id="rId165" Type="http://schemas.openxmlformats.org/officeDocument/2006/relationships/chart" Target="../charts/chart165.xml"/><Relationship Id="rId186" Type="http://schemas.openxmlformats.org/officeDocument/2006/relationships/chart" Target="../charts/chart186.xml"/><Relationship Id="rId211" Type="http://schemas.openxmlformats.org/officeDocument/2006/relationships/chart" Target="../charts/chart211.xml"/><Relationship Id="rId232" Type="http://schemas.openxmlformats.org/officeDocument/2006/relationships/chart" Target="../charts/chart232.xml"/><Relationship Id="rId27" Type="http://schemas.openxmlformats.org/officeDocument/2006/relationships/chart" Target="../charts/chart27.xml"/><Relationship Id="rId48" Type="http://schemas.openxmlformats.org/officeDocument/2006/relationships/chart" Target="../charts/chart48.xml"/><Relationship Id="rId69" Type="http://schemas.openxmlformats.org/officeDocument/2006/relationships/chart" Target="../charts/chart69.xml"/><Relationship Id="rId113" Type="http://schemas.openxmlformats.org/officeDocument/2006/relationships/chart" Target="../charts/chart113.xml"/><Relationship Id="rId134" Type="http://schemas.openxmlformats.org/officeDocument/2006/relationships/chart" Target="../charts/chart134.xml"/><Relationship Id="rId80" Type="http://schemas.openxmlformats.org/officeDocument/2006/relationships/chart" Target="../charts/chart80.xml"/><Relationship Id="rId155" Type="http://schemas.openxmlformats.org/officeDocument/2006/relationships/chart" Target="../charts/chart155.xml"/><Relationship Id="rId176" Type="http://schemas.openxmlformats.org/officeDocument/2006/relationships/chart" Target="../charts/chart176.xml"/><Relationship Id="rId197" Type="http://schemas.openxmlformats.org/officeDocument/2006/relationships/chart" Target="../charts/chart197.xml"/><Relationship Id="rId201" Type="http://schemas.openxmlformats.org/officeDocument/2006/relationships/chart" Target="../charts/chart201.xml"/><Relationship Id="rId222" Type="http://schemas.openxmlformats.org/officeDocument/2006/relationships/chart" Target="../charts/chart222.xml"/><Relationship Id="rId243" Type="http://schemas.openxmlformats.org/officeDocument/2006/relationships/chart" Target="../charts/chart243.xml"/></Relationships>
</file>

<file path=xl/drawings/drawing1.xml><?xml version="1.0" encoding="utf-8"?>
<xdr:wsDr xmlns:xdr="http://schemas.openxmlformats.org/drawingml/2006/spreadsheetDrawing" xmlns:a="http://schemas.openxmlformats.org/drawingml/2006/main">
  <xdr:twoCellAnchor>
    <xdr:from>
      <xdr:col>85</xdr:col>
      <xdr:colOff>289138</xdr:colOff>
      <xdr:row>86</xdr:row>
      <xdr:rowOff>153604</xdr:rowOff>
    </xdr:from>
    <xdr:to>
      <xdr:col>90</xdr:col>
      <xdr:colOff>185229</xdr:colOff>
      <xdr:row>96</xdr:row>
      <xdr:rowOff>66147</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90</xdr:col>
      <xdr:colOff>426372</xdr:colOff>
      <xdr:row>86</xdr:row>
      <xdr:rowOff>137160</xdr:rowOff>
    </xdr:from>
    <xdr:to>
      <xdr:col>95</xdr:col>
      <xdr:colOff>365759</xdr:colOff>
      <xdr:row>96</xdr:row>
      <xdr:rowOff>31173</xdr:rowOff>
    </xdr:to>
    <xdr:graphicFrame macro="">
      <xdr:nvGraphicFramePr>
        <xdr:cNvPr id="11"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85</xdr:col>
      <xdr:colOff>103909</xdr:colOff>
      <xdr:row>97</xdr:row>
      <xdr:rowOff>60612</xdr:rowOff>
    </xdr:from>
    <xdr:to>
      <xdr:col>90</xdr:col>
      <xdr:colOff>268432</xdr:colOff>
      <xdr:row>107</xdr:row>
      <xdr:rowOff>33768</xdr:rowOff>
    </xdr:to>
    <xdr:graphicFrame macro="">
      <xdr:nvGraphicFramePr>
        <xdr:cNvPr id="1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91</xdr:col>
      <xdr:colOff>25977</xdr:colOff>
      <xdr:row>97</xdr:row>
      <xdr:rowOff>95249</xdr:rowOff>
    </xdr:from>
    <xdr:to>
      <xdr:col>95</xdr:col>
      <xdr:colOff>415636</xdr:colOff>
      <xdr:row>106</xdr:row>
      <xdr:rowOff>138546</xdr:rowOff>
    </xdr:to>
    <xdr:graphicFrame macro="">
      <xdr:nvGraphicFramePr>
        <xdr:cNvPr id="13"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85</xdr:col>
      <xdr:colOff>164522</xdr:colOff>
      <xdr:row>110</xdr:row>
      <xdr:rowOff>122092</xdr:rowOff>
    </xdr:from>
    <xdr:to>
      <xdr:col>90</xdr:col>
      <xdr:colOff>294408</xdr:colOff>
      <xdr:row>121</xdr:row>
      <xdr:rowOff>121227</xdr:rowOff>
    </xdr:to>
    <xdr:graphicFrame macro="">
      <xdr:nvGraphicFramePr>
        <xdr:cNvPr id="14"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90</xdr:col>
      <xdr:colOff>519546</xdr:colOff>
      <xdr:row>111</xdr:row>
      <xdr:rowOff>61479</xdr:rowOff>
    </xdr:from>
    <xdr:to>
      <xdr:col>95</xdr:col>
      <xdr:colOff>545523</xdr:colOff>
      <xdr:row>121</xdr:row>
      <xdr:rowOff>69273</xdr:rowOff>
    </xdr:to>
    <xdr:graphicFrame macro="">
      <xdr:nvGraphicFramePr>
        <xdr:cNvPr id="15" name="Chart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85</xdr:col>
      <xdr:colOff>173183</xdr:colOff>
      <xdr:row>152</xdr:row>
      <xdr:rowOff>104774</xdr:rowOff>
    </xdr:from>
    <xdr:to>
      <xdr:col>91</xdr:col>
      <xdr:colOff>320386</xdr:colOff>
      <xdr:row>163</xdr:row>
      <xdr:rowOff>8659</xdr:rowOff>
    </xdr:to>
    <xdr:graphicFrame macro="">
      <xdr:nvGraphicFramePr>
        <xdr:cNvPr id="16"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85</xdr:col>
      <xdr:colOff>155864</xdr:colOff>
      <xdr:row>164</xdr:row>
      <xdr:rowOff>8659</xdr:rowOff>
    </xdr:from>
    <xdr:to>
      <xdr:col>91</xdr:col>
      <xdr:colOff>268432</xdr:colOff>
      <xdr:row>173</xdr:row>
      <xdr:rowOff>112569</xdr:rowOff>
    </xdr:to>
    <xdr:graphicFrame macro="">
      <xdr:nvGraphicFramePr>
        <xdr:cNvPr id="17"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85</xdr:col>
      <xdr:colOff>138546</xdr:colOff>
      <xdr:row>174</xdr:row>
      <xdr:rowOff>148069</xdr:rowOff>
    </xdr:from>
    <xdr:to>
      <xdr:col>91</xdr:col>
      <xdr:colOff>329045</xdr:colOff>
      <xdr:row>184</xdr:row>
      <xdr:rowOff>138546</xdr:rowOff>
    </xdr:to>
    <xdr:graphicFrame macro="">
      <xdr:nvGraphicFramePr>
        <xdr:cNvPr id="18" name="Chart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85</xdr:col>
      <xdr:colOff>95250</xdr:colOff>
      <xdr:row>185</xdr:row>
      <xdr:rowOff>139410</xdr:rowOff>
    </xdr:from>
    <xdr:to>
      <xdr:col>91</xdr:col>
      <xdr:colOff>406977</xdr:colOff>
      <xdr:row>195</xdr:row>
      <xdr:rowOff>138546</xdr:rowOff>
    </xdr:to>
    <xdr:graphicFrame macro="">
      <xdr:nvGraphicFramePr>
        <xdr:cNvPr id="19"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85</xdr:col>
      <xdr:colOff>103909</xdr:colOff>
      <xdr:row>197</xdr:row>
      <xdr:rowOff>9525</xdr:rowOff>
    </xdr:from>
    <xdr:to>
      <xdr:col>91</xdr:col>
      <xdr:colOff>424295</xdr:colOff>
      <xdr:row>206</xdr:row>
      <xdr:rowOff>121228</xdr:rowOff>
    </xdr:to>
    <xdr:graphicFrame macro="">
      <xdr:nvGraphicFramePr>
        <xdr:cNvPr id="20" name="Chart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85</xdr:col>
      <xdr:colOff>147205</xdr:colOff>
      <xdr:row>208</xdr:row>
      <xdr:rowOff>9525</xdr:rowOff>
    </xdr:from>
    <xdr:to>
      <xdr:col>91</xdr:col>
      <xdr:colOff>484909</xdr:colOff>
      <xdr:row>217</xdr:row>
      <xdr:rowOff>147205</xdr:rowOff>
    </xdr:to>
    <xdr:graphicFrame macro="">
      <xdr:nvGraphicFramePr>
        <xdr:cNvPr id="21"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85</xdr:col>
      <xdr:colOff>121227</xdr:colOff>
      <xdr:row>219</xdr:row>
      <xdr:rowOff>26842</xdr:rowOff>
    </xdr:from>
    <xdr:to>
      <xdr:col>91</xdr:col>
      <xdr:colOff>467591</xdr:colOff>
      <xdr:row>228</xdr:row>
      <xdr:rowOff>147205</xdr:rowOff>
    </xdr:to>
    <xdr:graphicFrame macro="">
      <xdr:nvGraphicFramePr>
        <xdr:cNvPr id="22" name="Chart 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85</xdr:col>
      <xdr:colOff>129886</xdr:colOff>
      <xdr:row>230</xdr:row>
      <xdr:rowOff>26843</xdr:rowOff>
    </xdr:from>
    <xdr:to>
      <xdr:col>91</xdr:col>
      <xdr:colOff>493568</xdr:colOff>
      <xdr:row>240</xdr:row>
      <xdr:rowOff>34637</xdr:rowOff>
    </xdr:to>
    <xdr:graphicFrame macro="">
      <xdr:nvGraphicFramePr>
        <xdr:cNvPr id="23" name="Chart 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85</xdr:col>
      <xdr:colOff>96380</xdr:colOff>
      <xdr:row>240</xdr:row>
      <xdr:rowOff>147204</xdr:rowOff>
    </xdr:from>
    <xdr:to>
      <xdr:col>90</xdr:col>
      <xdr:colOff>486038</xdr:colOff>
      <xdr:row>250</xdr:row>
      <xdr:rowOff>17319</xdr:rowOff>
    </xdr:to>
    <xdr:graphicFrame macro="">
      <xdr:nvGraphicFramePr>
        <xdr:cNvPr id="24" name="Chart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91</xdr:col>
      <xdr:colOff>121227</xdr:colOff>
      <xdr:row>240</xdr:row>
      <xdr:rowOff>155865</xdr:rowOff>
    </xdr:from>
    <xdr:to>
      <xdr:col>96</xdr:col>
      <xdr:colOff>432954</xdr:colOff>
      <xdr:row>249</xdr:row>
      <xdr:rowOff>138546</xdr:rowOff>
    </xdr:to>
    <xdr:graphicFrame macro="">
      <xdr:nvGraphicFramePr>
        <xdr:cNvPr id="25"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85</xdr:col>
      <xdr:colOff>138545</xdr:colOff>
      <xdr:row>250</xdr:row>
      <xdr:rowOff>156729</xdr:rowOff>
    </xdr:from>
    <xdr:to>
      <xdr:col>90</xdr:col>
      <xdr:colOff>545523</xdr:colOff>
      <xdr:row>259</xdr:row>
      <xdr:rowOff>129886</xdr:rowOff>
    </xdr:to>
    <xdr:graphicFrame macro="">
      <xdr:nvGraphicFramePr>
        <xdr:cNvPr id="26" name="Chart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91</xdr:col>
      <xdr:colOff>164523</xdr:colOff>
      <xdr:row>251</xdr:row>
      <xdr:rowOff>9525</xdr:rowOff>
    </xdr:from>
    <xdr:to>
      <xdr:col>96</xdr:col>
      <xdr:colOff>450273</xdr:colOff>
      <xdr:row>259</xdr:row>
      <xdr:rowOff>112568</xdr:rowOff>
    </xdr:to>
    <xdr:graphicFrame macro="">
      <xdr:nvGraphicFramePr>
        <xdr:cNvPr id="27" name="Chart 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91</xdr:col>
      <xdr:colOff>174048</xdr:colOff>
      <xdr:row>260</xdr:row>
      <xdr:rowOff>111701</xdr:rowOff>
    </xdr:from>
    <xdr:to>
      <xdr:col>96</xdr:col>
      <xdr:colOff>563707</xdr:colOff>
      <xdr:row>269</xdr:row>
      <xdr:rowOff>136814</xdr:rowOff>
    </xdr:to>
    <xdr:graphicFrame macro="">
      <xdr:nvGraphicFramePr>
        <xdr:cNvPr id="28" name="Chart 2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85</xdr:col>
      <xdr:colOff>361950</xdr:colOff>
      <xdr:row>270</xdr:row>
      <xdr:rowOff>110835</xdr:rowOff>
    </xdr:from>
    <xdr:to>
      <xdr:col>91</xdr:col>
      <xdr:colOff>107373</xdr:colOff>
      <xdr:row>279</xdr:row>
      <xdr:rowOff>127289</xdr:rowOff>
    </xdr:to>
    <xdr:graphicFrame macro="">
      <xdr:nvGraphicFramePr>
        <xdr:cNvPr id="29" name="Chart 2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85</xdr:col>
      <xdr:colOff>269297</xdr:colOff>
      <xdr:row>260</xdr:row>
      <xdr:rowOff>142008</xdr:rowOff>
    </xdr:from>
    <xdr:to>
      <xdr:col>91</xdr:col>
      <xdr:colOff>49357</xdr:colOff>
      <xdr:row>269</xdr:row>
      <xdr:rowOff>117764</xdr:rowOff>
    </xdr:to>
    <xdr:graphicFrame macro="">
      <xdr:nvGraphicFramePr>
        <xdr:cNvPr id="30" name="Chart 2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91</xdr:col>
      <xdr:colOff>147205</xdr:colOff>
      <xdr:row>271</xdr:row>
      <xdr:rowOff>18183</xdr:rowOff>
    </xdr:from>
    <xdr:to>
      <xdr:col>96</xdr:col>
      <xdr:colOff>484909</xdr:colOff>
      <xdr:row>279</xdr:row>
      <xdr:rowOff>147205</xdr:rowOff>
    </xdr:to>
    <xdr:graphicFrame macro="">
      <xdr:nvGraphicFramePr>
        <xdr:cNvPr id="31" name="Chart 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85</xdr:col>
      <xdr:colOff>173181</xdr:colOff>
      <xdr:row>280</xdr:row>
      <xdr:rowOff>156729</xdr:rowOff>
    </xdr:from>
    <xdr:to>
      <xdr:col>91</xdr:col>
      <xdr:colOff>0</xdr:colOff>
      <xdr:row>290</xdr:row>
      <xdr:rowOff>8659</xdr:rowOff>
    </xdr:to>
    <xdr:graphicFrame macro="">
      <xdr:nvGraphicFramePr>
        <xdr:cNvPr id="32" name="Chart 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91</xdr:col>
      <xdr:colOff>173182</xdr:colOff>
      <xdr:row>280</xdr:row>
      <xdr:rowOff>148069</xdr:rowOff>
    </xdr:from>
    <xdr:to>
      <xdr:col>96</xdr:col>
      <xdr:colOff>502227</xdr:colOff>
      <xdr:row>289</xdr:row>
      <xdr:rowOff>129886</xdr:rowOff>
    </xdr:to>
    <xdr:graphicFrame macro="">
      <xdr:nvGraphicFramePr>
        <xdr:cNvPr id="33" name="Chart 3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85</xdr:col>
      <xdr:colOff>181841</xdr:colOff>
      <xdr:row>290</xdr:row>
      <xdr:rowOff>156730</xdr:rowOff>
    </xdr:from>
    <xdr:to>
      <xdr:col>90</xdr:col>
      <xdr:colOff>580159</xdr:colOff>
      <xdr:row>299</xdr:row>
      <xdr:rowOff>129886</xdr:rowOff>
    </xdr:to>
    <xdr:graphicFrame macro="">
      <xdr:nvGraphicFramePr>
        <xdr:cNvPr id="34" name="Chart 3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91</xdr:col>
      <xdr:colOff>233796</xdr:colOff>
      <xdr:row>290</xdr:row>
      <xdr:rowOff>130753</xdr:rowOff>
    </xdr:from>
    <xdr:to>
      <xdr:col>96</xdr:col>
      <xdr:colOff>580159</xdr:colOff>
      <xdr:row>299</xdr:row>
      <xdr:rowOff>155864</xdr:rowOff>
    </xdr:to>
    <xdr:graphicFrame macro="">
      <xdr:nvGraphicFramePr>
        <xdr:cNvPr id="35" name="Chart 3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85</xdr:col>
      <xdr:colOff>233795</xdr:colOff>
      <xdr:row>301</xdr:row>
      <xdr:rowOff>9524</xdr:rowOff>
    </xdr:from>
    <xdr:to>
      <xdr:col>91</xdr:col>
      <xdr:colOff>25977</xdr:colOff>
      <xdr:row>310</xdr:row>
      <xdr:rowOff>17318</xdr:rowOff>
    </xdr:to>
    <xdr:graphicFrame macro="">
      <xdr:nvGraphicFramePr>
        <xdr:cNvPr id="36" name="Chart 3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91</xdr:col>
      <xdr:colOff>303069</xdr:colOff>
      <xdr:row>300</xdr:row>
      <xdr:rowOff>156729</xdr:rowOff>
    </xdr:from>
    <xdr:to>
      <xdr:col>97</xdr:col>
      <xdr:colOff>0</xdr:colOff>
      <xdr:row>309</xdr:row>
      <xdr:rowOff>121227</xdr:rowOff>
    </xdr:to>
    <xdr:graphicFrame macro="">
      <xdr:nvGraphicFramePr>
        <xdr:cNvPr id="37" name="Chart 3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85</xdr:col>
      <xdr:colOff>233795</xdr:colOff>
      <xdr:row>311</xdr:row>
      <xdr:rowOff>865</xdr:rowOff>
    </xdr:from>
    <xdr:to>
      <xdr:col>91</xdr:col>
      <xdr:colOff>17318</xdr:colOff>
      <xdr:row>319</xdr:row>
      <xdr:rowOff>138546</xdr:rowOff>
    </xdr:to>
    <xdr:graphicFrame macro="">
      <xdr:nvGraphicFramePr>
        <xdr:cNvPr id="38" name="Chart 3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91</xdr:col>
      <xdr:colOff>346363</xdr:colOff>
      <xdr:row>311</xdr:row>
      <xdr:rowOff>18184</xdr:rowOff>
    </xdr:from>
    <xdr:to>
      <xdr:col>97</xdr:col>
      <xdr:colOff>8659</xdr:colOff>
      <xdr:row>319</xdr:row>
      <xdr:rowOff>43296</xdr:rowOff>
    </xdr:to>
    <xdr:graphicFrame macro="">
      <xdr:nvGraphicFramePr>
        <xdr:cNvPr id="39" name="Chart 3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85</xdr:col>
      <xdr:colOff>233795</xdr:colOff>
      <xdr:row>320</xdr:row>
      <xdr:rowOff>148069</xdr:rowOff>
    </xdr:from>
    <xdr:to>
      <xdr:col>91</xdr:col>
      <xdr:colOff>69273</xdr:colOff>
      <xdr:row>329</xdr:row>
      <xdr:rowOff>138544</xdr:rowOff>
    </xdr:to>
    <xdr:graphicFrame macro="">
      <xdr:nvGraphicFramePr>
        <xdr:cNvPr id="40" name="Chart 3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91</xdr:col>
      <xdr:colOff>329046</xdr:colOff>
      <xdr:row>320</xdr:row>
      <xdr:rowOff>139412</xdr:rowOff>
    </xdr:from>
    <xdr:to>
      <xdr:col>97</xdr:col>
      <xdr:colOff>51955</xdr:colOff>
      <xdr:row>329</xdr:row>
      <xdr:rowOff>129886</xdr:rowOff>
    </xdr:to>
    <xdr:graphicFrame macro="">
      <xdr:nvGraphicFramePr>
        <xdr:cNvPr id="41" name="Chart 4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85</xdr:col>
      <xdr:colOff>233796</xdr:colOff>
      <xdr:row>330</xdr:row>
      <xdr:rowOff>122094</xdr:rowOff>
    </xdr:from>
    <xdr:to>
      <xdr:col>91</xdr:col>
      <xdr:colOff>95250</xdr:colOff>
      <xdr:row>339</xdr:row>
      <xdr:rowOff>103909</xdr:rowOff>
    </xdr:to>
    <xdr:graphicFrame macro="">
      <xdr:nvGraphicFramePr>
        <xdr:cNvPr id="42" name="Chart 4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91</xdr:col>
      <xdr:colOff>432954</xdr:colOff>
      <xdr:row>330</xdr:row>
      <xdr:rowOff>96116</xdr:rowOff>
    </xdr:from>
    <xdr:to>
      <xdr:col>96</xdr:col>
      <xdr:colOff>571500</xdr:colOff>
      <xdr:row>339</xdr:row>
      <xdr:rowOff>60614</xdr:rowOff>
    </xdr:to>
    <xdr:graphicFrame macro="">
      <xdr:nvGraphicFramePr>
        <xdr:cNvPr id="43" name="Chart 4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85</xdr:col>
      <xdr:colOff>242455</xdr:colOff>
      <xdr:row>340</xdr:row>
      <xdr:rowOff>139411</xdr:rowOff>
    </xdr:from>
    <xdr:to>
      <xdr:col>91</xdr:col>
      <xdr:colOff>103909</xdr:colOff>
      <xdr:row>349</xdr:row>
      <xdr:rowOff>155864</xdr:rowOff>
    </xdr:to>
    <xdr:graphicFrame macro="">
      <xdr:nvGraphicFramePr>
        <xdr:cNvPr id="44" name="Chart 4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91</xdr:col>
      <xdr:colOff>467590</xdr:colOff>
      <xdr:row>340</xdr:row>
      <xdr:rowOff>87456</xdr:rowOff>
    </xdr:from>
    <xdr:to>
      <xdr:col>96</xdr:col>
      <xdr:colOff>571500</xdr:colOff>
      <xdr:row>349</xdr:row>
      <xdr:rowOff>60614</xdr:rowOff>
    </xdr:to>
    <xdr:graphicFrame macro="">
      <xdr:nvGraphicFramePr>
        <xdr:cNvPr id="45" name="Chart 4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85</xdr:col>
      <xdr:colOff>277091</xdr:colOff>
      <xdr:row>350</xdr:row>
      <xdr:rowOff>156729</xdr:rowOff>
    </xdr:from>
    <xdr:to>
      <xdr:col>91</xdr:col>
      <xdr:colOff>164523</xdr:colOff>
      <xdr:row>359</xdr:row>
      <xdr:rowOff>112568</xdr:rowOff>
    </xdr:to>
    <xdr:graphicFrame macro="">
      <xdr:nvGraphicFramePr>
        <xdr:cNvPr id="46" name="Chart 4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91</xdr:col>
      <xdr:colOff>519544</xdr:colOff>
      <xdr:row>350</xdr:row>
      <xdr:rowOff>104774</xdr:rowOff>
    </xdr:from>
    <xdr:to>
      <xdr:col>97</xdr:col>
      <xdr:colOff>69272</xdr:colOff>
      <xdr:row>359</xdr:row>
      <xdr:rowOff>147204</xdr:rowOff>
    </xdr:to>
    <xdr:graphicFrame macro="">
      <xdr:nvGraphicFramePr>
        <xdr:cNvPr id="47" name="Chart 4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85</xdr:col>
      <xdr:colOff>285750</xdr:colOff>
      <xdr:row>360</xdr:row>
      <xdr:rowOff>148071</xdr:rowOff>
    </xdr:from>
    <xdr:to>
      <xdr:col>90</xdr:col>
      <xdr:colOff>320386</xdr:colOff>
      <xdr:row>370</xdr:row>
      <xdr:rowOff>17318</xdr:rowOff>
    </xdr:to>
    <xdr:graphicFrame macro="">
      <xdr:nvGraphicFramePr>
        <xdr:cNvPr id="48" name="Chart 4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90</xdr:col>
      <xdr:colOff>571500</xdr:colOff>
      <xdr:row>360</xdr:row>
      <xdr:rowOff>122093</xdr:rowOff>
    </xdr:from>
    <xdr:to>
      <xdr:col>96</xdr:col>
      <xdr:colOff>95250</xdr:colOff>
      <xdr:row>369</xdr:row>
      <xdr:rowOff>164522</xdr:rowOff>
    </xdr:to>
    <xdr:graphicFrame macro="">
      <xdr:nvGraphicFramePr>
        <xdr:cNvPr id="49" name="Chart 4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89</xdr:col>
      <xdr:colOff>83994</xdr:colOff>
      <xdr:row>368</xdr:row>
      <xdr:rowOff>33771</xdr:rowOff>
    </xdr:from>
    <xdr:to>
      <xdr:col>95</xdr:col>
      <xdr:colOff>49358</xdr:colOff>
      <xdr:row>376</xdr:row>
      <xdr:rowOff>142875</xdr:rowOff>
    </xdr:to>
    <xdr:graphicFrame macro="">
      <xdr:nvGraphicFramePr>
        <xdr:cNvPr id="50" name="Chart 4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85</xdr:col>
      <xdr:colOff>141556</xdr:colOff>
      <xdr:row>375</xdr:row>
      <xdr:rowOff>148446</xdr:rowOff>
    </xdr:from>
    <xdr:to>
      <xdr:col>91</xdr:col>
      <xdr:colOff>167535</xdr:colOff>
      <xdr:row>385</xdr:row>
      <xdr:rowOff>9036</xdr:rowOff>
    </xdr:to>
    <xdr:graphicFrame macro="">
      <xdr:nvGraphicFramePr>
        <xdr:cNvPr id="51" name="Chart 5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xdr:from>
      <xdr:col>91</xdr:col>
      <xdr:colOff>323775</xdr:colOff>
      <xdr:row>375</xdr:row>
      <xdr:rowOff>148070</xdr:rowOff>
    </xdr:from>
    <xdr:to>
      <xdr:col>97</xdr:col>
      <xdr:colOff>375729</xdr:colOff>
      <xdr:row>385</xdr:row>
      <xdr:rowOff>8660</xdr:rowOff>
    </xdr:to>
    <xdr:graphicFrame macro="">
      <xdr:nvGraphicFramePr>
        <xdr:cNvPr id="52" name="Chart 5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xdr:from>
      <xdr:col>85</xdr:col>
      <xdr:colOff>149463</xdr:colOff>
      <xdr:row>385</xdr:row>
      <xdr:rowOff>142047</xdr:rowOff>
    </xdr:from>
    <xdr:to>
      <xdr:col>91</xdr:col>
      <xdr:colOff>166782</xdr:colOff>
      <xdr:row>394</xdr:row>
      <xdr:rowOff>114075</xdr:rowOff>
    </xdr:to>
    <xdr:graphicFrame macro="">
      <xdr:nvGraphicFramePr>
        <xdr:cNvPr id="53" name="Chart 5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xdr:from>
      <xdr:col>91</xdr:col>
      <xdr:colOff>356154</xdr:colOff>
      <xdr:row>386</xdr:row>
      <xdr:rowOff>1242</xdr:rowOff>
    </xdr:from>
    <xdr:to>
      <xdr:col>97</xdr:col>
      <xdr:colOff>373471</xdr:colOff>
      <xdr:row>394</xdr:row>
      <xdr:rowOff>157370</xdr:rowOff>
    </xdr:to>
    <xdr:graphicFrame macro="">
      <xdr:nvGraphicFramePr>
        <xdr:cNvPr id="54" name="Chart 5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xdr:from>
      <xdr:col>85</xdr:col>
      <xdr:colOff>192005</xdr:colOff>
      <xdr:row>395</xdr:row>
      <xdr:rowOff>100634</xdr:rowOff>
    </xdr:from>
    <xdr:to>
      <xdr:col>91</xdr:col>
      <xdr:colOff>192007</xdr:colOff>
      <xdr:row>404</xdr:row>
      <xdr:rowOff>81321</xdr:rowOff>
    </xdr:to>
    <xdr:graphicFrame macro="">
      <xdr:nvGraphicFramePr>
        <xdr:cNvPr id="55" name="Chart 5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xdr:from>
      <xdr:col>91</xdr:col>
      <xdr:colOff>357658</xdr:colOff>
      <xdr:row>395</xdr:row>
      <xdr:rowOff>113811</xdr:rowOff>
    </xdr:from>
    <xdr:to>
      <xdr:col>97</xdr:col>
      <xdr:colOff>366317</xdr:colOff>
      <xdr:row>404</xdr:row>
      <xdr:rowOff>147582</xdr:rowOff>
    </xdr:to>
    <xdr:graphicFrame macro="">
      <xdr:nvGraphicFramePr>
        <xdr:cNvPr id="56" name="Chart 5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xdr:from>
      <xdr:col>85</xdr:col>
      <xdr:colOff>191630</xdr:colOff>
      <xdr:row>405</xdr:row>
      <xdr:rowOff>134141</xdr:rowOff>
    </xdr:from>
    <xdr:to>
      <xdr:col>91</xdr:col>
      <xdr:colOff>200290</xdr:colOff>
      <xdr:row>414</xdr:row>
      <xdr:rowOff>124239</xdr:rowOff>
    </xdr:to>
    <xdr:graphicFrame macro="">
      <xdr:nvGraphicFramePr>
        <xdr:cNvPr id="57" name="Chart 5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xdr:from>
      <xdr:col>91</xdr:col>
      <xdr:colOff>233420</xdr:colOff>
      <xdr:row>405</xdr:row>
      <xdr:rowOff>115692</xdr:rowOff>
    </xdr:from>
    <xdr:to>
      <xdr:col>97</xdr:col>
      <xdr:colOff>268055</xdr:colOff>
      <xdr:row>414</xdr:row>
      <xdr:rowOff>114827</xdr:rowOff>
    </xdr:to>
    <xdr:graphicFrame macro="">
      <xdr:nvGraphicFramePr>
        <xdr:cNvPr id="58" name="Chart 5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xdr:from>
      <xdr:col>85</xdr:col>
      <xdr:colOff>249231</xdr:colOff>
      <xdr:row>416</xdr:row>
      <xdr:rowOff>106280</xdr:rowOff>
    </xdr:from>
    <xdr:to>
      <xdr:col>90</xdr:col>
      <xdr:colOff>215348</xdr:colOff>
      <xdr:row>423</xdr:row>
      <xdr:rowOff>149839</xdr:rowOff>
    </xdr:to>
    <xdr:graphicFrame macro="">
      <xdr:nvGraphicFramePr>
        <xdr:cNvPr id="59" name="Chart 5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twoCellAnchor>
    <xdr:from>
      <xdr:col>91</xdr:col>
      <xdr:colOff>84333</xdr:colOff>
      <xdr:row>416</xdr:row>
      <xdr:rowOff>72660</xdr:rowOff>
    </xdr:from>
    <xdr:to>
      <xdr:col>96</xdr:col>
      <xdr:colOff>118969</xdr:colOff>
      <xdr:row>424</xdr:row>
      <xdr:rowOff>117085</xdr:rowOff>
    </xdr:to>
    <xdr:graphicFrame macro="">
      <xdr:nvGraphicFramePr>
        <xdr:cNvPr id="60" name="Chart 5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1"/>
        </a:graphicData>
      </a:graphic>
    </xdr:graphicFrame>
    <xdr:clientData/>
  </xdr:twoCellAnchor>
  <xdr:twoCellAnchor>
    <xdr:from>
      <xdr:col>85</xdr:col>
      <xdr:colOff>468721</xdr:colOff>
      <xdr:row>424</xdr:row>
      <xdr:rowOff>71268</xdr:rowOff>
    </xdr:from>
    <xdr:to>
      <xdr:col>90</xdr:col>
      <xdr:colOff>520675</xdr:colOff>
      <xdr:row>432</xdr:row>
      <xdr:rowOff>105038</xdr:rowOff>
    </xdr:to>
    <xdr:graphicFrame macro="">
      <xdr:nvGraphicFramePr>
        <xdr:cNvPr id="61" name="Chart 6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2"/>
        </a:graphicData>
      </a:graphic>
    </xdr:graphicFrame>
    <xdr:clientData/>
  </xdr:twoCellAnchor>
  <xdr:twoCellAnchor>
    <xdr:from>
      <xdr:col>85</xdr:col>
      <xdr:colOff>103909</xdr:colOff>
      <xdr:row>433</xdr:row>
      <xdr:rowOff>18184</xdr:rowOff>
    </xdr:from>
    <xdr:to>
      <xdr:col>92</xdr:col>
      <xdr:colOff>91109</xdr:colOff>
      <xdr:row>444</xdr:row>
      <xdr:rowOff>74544</xdr:rowOff>
    </xdr:to>
    <xdr:graphicFrame macro="">
      <xdr:nvGraphicFramePr>
        <xdr:cNvPr id="62" name="Chart 6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3"/>
        </a:graphicData>
      </a:graphic>
    </xdr:graphicFrame>
    <xdr:clientData/>
  </xdr:twoCellAnchor>
  <xdr:twoCellAnchor>
    <xdr:from>
      <xdr:col>90</xdr:col>
      <xdr:colOff>569993</xdr:colOff>
      <xdr:row>435</xdr:row>
      <xdr:rowOff>24848</xdr:rowOff>
    </xdr:from>
    <xdr:to>
      <xdr:col>98</xdr:col>
      <xdr:colOff>323021</xdr:colOff>
      <xdr:row>446</xdr:row>
      <xdr:rowOff>72660</xdr:rowOff>
    </xdr:to>
    <xdr:graphicFrame macro="">
      <xdr:nvGraphicFramePr>
        <xdr:cNvPr id="63" name="Chart 6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4"/>
        </a:graphicData>
      </a:graphic>
    </xdr:graphicFrame>
    <xdr:clientData/>
  </xdr:twoCellAnchor>
  <xdr:twoCellAnchor>
    <xdr:from>
      <xdr:col>86</xdr:col>
      <xdr:colOff>25977</xdr:colOff>
      <xdr:row>449</xdr:row>
      <xdr:rowOff>5195</xdr:rowOff>
    </xdr:from>
    <xdr:to>
      <xdr:col>90</xdr:col>
      <xdr:colOff>580159</xdr:colOff>
      <xdr:row>455</xdr:row>
      <xdr:rowOff>129886</xdr:rowOff>
    </xdr:to>
    <xdr:graphicFrame macro="">
      <xdr:nvGraphicFramePr>
        <xdr:cNvPr id="64" name="Chart 6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5"/>
        </a:graphicData>
      </a:graphic>
    </xdr:graphicFrame>
    <xdr:clientData/>
  </xdr:twoCellAnchor>
  <xdr:twoCellAnchor>
    <xdr:from>
      <xdr:col>91</xdr:col>
      <xdr:colOff>580159</xdr:colOff>
      <xdr:row>448</xdr:row>
      <xdr:rowOff>152400</xdr:rowOff>
    </xdr:from>
    <xdr:to>
      <xdr:col>97</xdr:col>
      <xdr:colOff>34636</xdr:colOff>
      <xdr:row>455</xdr:row>
      <xdr:rowOff>77931</xdr:rowOff>
    </xdr:to>
    <xdr:graphicFrame macro="">
      <xdr:nvGraphicFramePr>
        <xdr:cNvPr id="65" name="Chart 6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6"/>
        </a:graphicData>
      </a:graphic>
    </xdr:graphicFrame>
    <xdr:clientData/>
  </xdr:twoCellAnchor>
  <xdr:twoCellAnchor>
    <xdr:from>
      <xdr:col>88</xdr:col>
      <xdr:colOff>562841</xdr:colOff>
      <xdr:row>456</xdr:row>
      <xdr:rowOff>13854</xdr:rowOff>
    </xdr:from>
    <xdr:to>
      <xdr:col>93</xdr:col>
      <xdr:colOff>510887</xdr:colOff>
      <xdr:row>462</xdr:row>
      <xdr:rowOff>95249</xdr:rowOff>
    </xdr:to>
    <xdr:graphicFrame macro="">
      <xdr:nvGraphicFramePr>
        <xdr:cNvPr id="66" name="Chart 6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7"/>
        </a:graphicData>
      </a:graphic>
    </xdr:graphicFrame>
    <xdr:clientData/>
  </xdr:twoCellAnchor>
  <xdr:twoCellAnchor>
    <xdr:from>
      <xdr:col>85</xdr:col>
      <xdr:colOff>215724</xdr:colOff>
      <xdr:row>463</xdr:row>
      <xdr:rowOff>145999</xdr:rowOff>
    </xdr:from>
    <xdr:to>
      <xdr:col>90</xdr:col>
      <xdr:colOff>241701</xdr:colOff>
      <xdr:row>472</xdr:row>
      <xdr:rowOff>131016</xdr:rowOff>
    </xdr:to>
    <xdr:graphicFrame macro="">
      <xdr:nvGraphicFramePr>
        <xdr:cNvPr id="67" name="Chart 6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8"/>
        </a:graphicData>
      </a:graphic>
    </xdr:graphicFrame>
    <xdr:clientData/>
  </xdr:twoCellAnchor>
  <xdr:twoCellAnchor>
    <xdr:from>
      <xdr:col>89</xdr:col>
      <xdr:colOff>141182</xdr:colOff>
      <xdr:row>469</xdr:row>
      <xdr:rowOff>124993</xdr:rowOff>
    </xdr:from>
    <xdr:to>
      <xdr:col>94</xdr:col>
      <xdr:colOff>192385</xdr:colOff>
      <xdr:row>478</xdr:row>
      <xdr:rowOff>107675</xdr:rowOff>
    </xdr:to>
    <xdr:graphicFrame macro="">
      <xdr:nvGraphicFramePr>
        <xdr:cNvPr id="68" name="Chart 6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9"/>
        </a:graphicData>
      </a:graphic>
    </xdr:graphicFrame>
    <xdr:clientData/>
  </xdr:twoCellAnchor>
  <xdr:twoCellAnchor>
    <xdr:from>
      <xdr:col>86</xdr:col>
      <xdr:colOff>17319</xdr:colOff>
      <xdr:row>481</xdr:row>
      <xdr:rowOff>18183</xdr:rowOff>
    </xdr:from>
    <xdr:to>
      <xdr:col>93</xdr:col>
      <xdr:colOff>346364</xdr:colOff>
      <xdr:row>491</xdr:row>
      <xdr:rowOff>8659</xdr:rowOff>
    </xdr:to>
    <xdr:graphicFrame macro="">
      <xdr:nvGraphicFramePr>
        <xdr:cNvPr id="69" name="Chart 6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0"/>
        </a:graphicData>
      </a:graphic>
    </xdr:graphicFrame>
    <xdr:clientData/>
  </xdr:twoCellAnchor>
  <xdr:twoCellAnchor>
    <xdr:from>
      <xdr:col>86</xdr:col>
      <xdr:colOff>8659</xdr:colOff>
      <xdr:row>491</xdr:row>
      <xdr:rowOff>156729</xdr:rowOff>
    </xdr:from>
    <xdr:to>
      <xdr:col>93</xdr:col>
      <xdr:colOff>415637</xdr:colOff>
      <xdr:row>502</xdr:row>
      <xdr:rowOff>17318</xdr:rowOff>
    </xdr:to>
    <xdr:graphicFrame macro="">
      <xdr:nvGraphicFramePr>
        <xdr:cNvPr id="70" name="Chart 6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1"/>
        </a:graphicData>
      </a:graphic>
    </xdr:graphicFrame>
    <xdr:clientData/>
  </xdr:twoCellAnchor>
  <xdr:twoCellAnchor>
    <xdr:from>
      <xdr:col>85</xdr:col>
      <xdr:colOff>149842</xdr:colOff>
      <xdr:row>502</xdr:row>
      <xdr:rowOff>124239</xdr:rowOff>
    </xdr:from>
    <xdr:to>
      <xdr:col>90</xdr:col>
      <xdr:colOff>46684</xdr:colOff>
      <xdr:row>511</xdr:row>
      <xdr:rowOff>105792</xdr:rowOff>
    </xdr:to>
    <xdr:graphicFrame macro="">
      <xdr:nvGraphicFramePr>
        <xdr:cNvPr id="71" name="Chart 7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2"/>
        </a:graphicData>
      </a:graphic>
    </xdr:graphicFrame>
    <xdr:clientData/>
  </xdr:twoCellAnchor>
  <xdr:twoCellAnchor>
    <xdr:from>
      <xdr:col>90</xdr:col>
      <xdr:colOff>108427</xdr:colOff>
      <xdr:row>502</xdr:row>
      <xdr:rowOff>100257</xdr:rowOff>
    </xdr:from>
    <xdr:to>
      <xdr:col>95</xdr:col>
      <xdr:colOff>212335</xdr:colOff>
      <xdr:row>511</xdr:row>
      <xdr:rowOff>89603</xdr:rowOff>
    </xdr:to>
    <xdr:graphicFrame macro="">
      <xdr:nvGraphicFramePr>
        <xdr:cNvPr id="72" name="Chart 7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3"/>
        </a:graphicData>
      </a:graphic>
    </xdr:graphicFrame>
    <xdr:clientData/>
  </xdr:twoCellAnchor>
  <xdr:twoCellAnchor>
    <xdr:from>
      <xdr:col>85</xdr:col>
      <xdr:colOff>191252</xdr:colOff>
      <xdr:row>512</xdr:row>
      <xdr:rowOff>48302</xdr:rowOff>
    </xdr:from>
    <xdr:to>
      <xdr:col>90</xdr:col>
      <xdr:colOff>217229</xdr:colOff>
      <xdr:row>522</xdr:row>
      <xdr:rowOff>12800</xdr:rowOff>
    </xdr:to>
    <xdr:graphicFrame macro="">
      <xdr:nvGraphicFramePr>
        <xdr:cNvPr id="73" name="Chart 7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4"/>
        </a:graphicData>
      </a:graphic>
    </xdr:graphicFrame>
    <xdr:clientData/>
  </xdr:twoCellAnchor>
  <xdr:twoCellAnchor>
    <xdr:from>
      <xdr:col>85</xdr:col>
      <xdr:colOff>116334</xdr:colOff>
      <xdr:row>523</xdr:row>
      <xdr:rowOff>57979</xdr:rowOff>
    </xdr:from>
    <xdr:to>
      <xdr:col>90</xdr:col>
      <xdr:colOff>339587</xdr:colOff>
      <xdr:row>531</xdr:row>
      <xdr:rowOff>95250</xdr:rowOff>
    </xdr:to>
    <xdr:graphicFrame macro="">
      <xdr:nvGraphicFramePr>
        <xdr:cNvPr id="74" name="Chart 7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5"/>
        </a:graphicData>
      </a:graphic>
    </xdr:graphicFrame>
    <xdr:clientData/>
  </xdr:twoCellAnchor>
  <xdr:twoCellAnchor>
    <xdr:from>
      <xdr:col>89</xdr:col>
      <xdr:colOff>530464</xdr:colOff>
      <xdr:row>528</xdr:row>
      <xdr:rowOff>91108</xdr:rowOff>
    </xdr:from>
    <xdr:to>
      <xdr:col>94</xdr:col>
      <xdr:colOff>554935</xdr:colOff>
      <xdr:row>536</xdr:row>
      <xdr:rowOff>97130</xdr:rowOff>
    </xdr:to>
    <xdr:graphicFrame macro="">
      <xdr:nvGraphicFramePr>
        <xdr:cNvPr id="75" name="Chart 7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6"/>
        </a:graphicData>
      </a:graphic>
    </xdr:graphicFrame>
    <xdr:clientData/>
  </xdr:twoCellAnchor>
  <xdr:twoCellAnchor>
    <xdr:from>
      <xdr:col>85</xdr:col>
      <xdr:colOff>190502</xdr:colOff>
      <xdr:row>532</xdr:row>
      <xdr:rowOff>99391</xdr:rowOff>
    </xdr:from>
    <xdr:to>
      <xdr:col>90</xdr:col>
      <xdr:colOff>364435</xdr:colOff>
      <xdr:row>540</xdr:row>
      <xdr:rowOff>56473</xdr:rowOff>
    </xdr:to>
    <xdr:graphicFrame macro="">
      <xdr:nvGraphicFramePr>
        <xdr:cNvPr id="76" name="Chart 7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7"/>
        </a:graphicData>
      </a:graphic>
    </xdr:graphicFrame>
    <xdr:clientData/>
  </xdr:twoCellAnchor>
  <xdr:twoCellAnchor>
    <xdr:from>
      <xdr:col>85</xdr:col>
      <xdr:colOff>115955</xdr:colOff>
      <xdr:row>540</xdr:row>
      <xdr:rowOff>149087</xdr:rowOff>
    </xdr:from>
    <xdr:to>
      <xdr:col>89</xdr:col>
      <xdr:colOff>546653</xdr:colOff>
      <xdr:row>548</xdr:row>
      <xdr:rowOff>50073</xdr:rowOff>
    </xdr:to>
    <xdr:graphicFrame macro="">
      <xdr:nvGraphicFramePr>
        <xdr:cNvPr id="77" name="Chart 7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8"/>
        </a:graphicData>
      </a:graphic>
    </xdr:graphicFrame>
    <xdr:clientData/>
  </xdr:twoCellAnchor>
  <xdr:twoCellAnchor>
    <xdr:from>
      <xdr:col>90</xdr:col>
      <xdr:colOff>26729</xdr:colOff>
      <xdr:row>539</xdr:row>
      <xdr:rowOff>149087</xdr:rowOff>
    </xdr:from>
    <xdr:to>
      <xdr:col>95</xdr:col>
      <xdr:colOff>182215</xdr:colOff>
      <xdr:row>548</xdr:row>
      <xdr:rowOff>108426</xdr:rowOff>
    </xdr:to>
    <xdr:graphicFrame macro="">
      <xdr:nvGraphicFramePr>
        <xdr:cNvPr id="78" name="Chart 7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9"/>
        </a:graphicData>
      </a:graphic>
    </xdr:graphicFrame>
    <xdr:clientData/>
  </xdr:twoCellAnchor>
  <xdr:twoCellAnchor>
    <xdr:from>
      <xdr:col>85</xdr:col>
      <xdr:colOff>448391</xdr:colOff>
      <xdr:row>548</xdr:row>
      <xdr:rowOff>1241</xdr:rowOff>
    </xdr:from>
    <xdr:to>
      <xdr:col>91</xdr:col>
      <xdr:colOff>94121</xdr:colOff>
      <xdr:row>556</xdr:row>
      <xdr:rowOff>138922</xdr:rowOff>
    </xdr:to>
    <xdr:graphicFrame macro="">
      <xdr:nvGraphicFramePr>
        <xdr:cNvPr id="79" name="Chart 7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0"/>
        </a:graphicData>
      </a:graphic>
    </xdr:graphicFrame>
    <xdr:clientData/>
  </xdr:twoCellAnchor>
  <xdr:twoCellAnchor>
    <xdr:from>
      <xdr:col>85</xdr:col>
      <xdr:colOff>228902</xdr:colOff>
      <xdr:row>559</xdr:row>
      <xdr:rowOff>113808</xdr:rowOff>
    </xdr:from>
    <xdr:to>
      <xdr:col>91</xdr:col>
      <xdr:colOff>4518</xdr:colOff>
      <xdr:row>568</xdr:row>
      <xdr:rowOff>147581</xdr:rowOff>
    </xdr:to>
    <xdr:graphicFrame macro="">
      <xdr:nvGraphicFramePr>
        <xdr:cNvPr id="80" name="Chart 7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1"/>
        </a:graphicData>
      </a:graphic>
    </xdr:graphicFrame>
    <xdr:clientData/>
  </xdr:twoCellAnchor>
  <xdr:twoCellAnchor>
    <xdr:from>
      <xdr:col>89</xdr:col>
      <xdr:colOff>347871</xdr:colOff>
      <xdr:row>565</xdr:row>
      <xdr:rowOff>140804</xdr:rowOff>
    </xdr:from>
    <xdr:to>
      <xdr:col>95</xdr:col>
      <xdr:colOff>62873</xdr:colOff>
      <xdr:row>574</xdr:row>
      <xdr:rowOff>83202</xdr:rowOff>
    </xdr:to>
    <xdr:graphicFrame macro="">
      <xdr:nvGraphicFramePr>
        <xdr:cNvPr id="81" name="Chart 8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2"/>
        </a:graphicData>
      </a:graphic>
    </xdr:graphicFrame>
    <xdr:clientData/>
  </xdr:twoCellAnchor>
  <xdr:twoCellAnchor>
    <xdr:from>
      <xdr:col>85</xdr:col>
      <xdr:colOff>98264</xdr:colOff>
      <xdr:row>572</xdr:row>
      <xdr:rowOff>24848</xdr:rowOff>
    </xdr:from>
    <xdr:to>
      <xdr:col>90</xdr:col>
      <xdr:colOff>414131</xdr:colOff>
      <xdr:row>581</xdr:row>
      <xdr:rowOff>158499</xdr:rowOff>
    </xdr:to>
    <xdr:graphicFrame macro="">
      <xdr:nvGraphicFramePr>
        <xdr:cNvPr id="82" name="Chart 8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3"/>
        </a:graphicData>
      </a:graphic>
    </xdr:graphicFrame>
    <xdr:clientData/>
  </xdr:twoCellAnchor>
  <xdr:twoCellAnchor>
    <xdr:from>
      <xdr:col>85</xdr:col>
      <xdr:colOff>224383</xdr:colOff>
      <xdr:row>582</xdr:row>
      <xdr:rowOff>57338</xdr:rowOff>
    </xdr:from>
    <xdr:to>
      <xdr:col>90</xdr:col>
      <xdr:colOff>563218</xdr:colOff>
      <xdr:row>590</xdr:row>
      <xdr:rowOff>49696</xdr:rowOff>
    </xdr:to>
    <xdr:graphicFrame macro="">
      <xdr:nvGraphicFramePr>
        <xdr:cNvPr id="83" name="Chart 8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4"/>
        </a:graphicData>
      </a:graphic>
    </xdr:graphicFrame>
    <xdr:clientData/>
  </xdr:twoCellAnchor>
  <xdr:twoCellAnchor>
    <xdr:from>
      <xdr:col>90</xdr:col>
      <xdr:colOff>19578</xdr:colOff>
      <xdr:row>587</xdr:row>
      <xdr:rowOff>41413</xdr:rowOff>
    </xdr:from>
    <xdr:to>
      <xdr:col>95</xdr:col>
      <xdr:colOff>364435</xdr:colOff>
      <xdr:row>595</xdr:row>
      <xdr:rowOff>83956</xdr:rowOff>
    </xdr:to>
    <xdr:graphicFrame macro="">
      <xdr:nvGraphicFramePr>
        <xdr:cNvPr id="84" name="Chart 8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5"/>
        </a:graphicData>
      </a:graphic>
    </xdr:graphicFrame>
    <xdr:clientData/>
  </xdr:twoCellAnchor>
  <xdr:twoCellAnchor>
    <xdr:from>
      <xdr:col>85</xdr:col>
      <xdr:colOff>185606</xdr:colOff>
      <xdr:row>594</xdr:row>
      <xdr:rowOff>74544</xdr:rowOff>
    </xdr:from>
    <xdr:to>
      <xdr:col>91</xdr:col>
      <xdr:colOff>1</xdr:colOff>
      <xdr:row>602</xdr:row>
      <xdr:rowOff>101275</xdr:rowOff>
    </xdr:to>
    <xdr:graphicFrame macro="">
      <xdr:nvGraphicFramePr>
        <xdr:cNvPr id="85" name="Chart 8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6"/>
        </a:graphicData>
      </a:graphic>
    </xdr:graphicFrame>
    <xdr:clientData/>
  </xdr:twoCellAnchor>
  <xdr:twoCellAnchor>
    <xdr:from>
      <xdr:col>85</xdr:col>
      <xdr:colOff>179958</xdr:colOff>
      <xdr:row>617</xdr:row>
      <xdr:rowOff>70137</xdr:rowOff>
    </xdr:from>
    <xdr:to>
      <xdr:col>92</xdr:col>
      <xdr:colOff>480391</xdr:colOff>
      <xdr:row>627</xdr:row>
      <xdr:rowOff>8281</xdr:rowOff>
    </xdr:to>
    <xdr:graphicFrame macro="">
      <xdr:nvGraphicFramePr>
        <xdr:cNvPr id="86" name="Chart 8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7"/>
        </a:graphicData>
      </a:graphic>
    </xdr:graphicFrame>
    <xdr:clientData/>
  </xdr:twoCellAnchor>
  <xdr:twoCellAnchor>
    <xdr:from>
      <xdr:col>85</xdr:col>
      <xdr:colOff>234548</xdr:colOff>
      <xdr:row>637</xdr:row>
      <xdr:rowOff>149951</xdr:rowOff>
    </xdr:from>
    <xdr:to>
      <xdr:col>92</xdr:col>
      <xdr:colOff>488674</xdr:colOff>
      <xdr:row>646</xdr:row>
      <xdr:rowOff>149087</xdr:rowOff>
    </xdr:to>
    <xdr:graphicFrame macro="">
      <xdr:nvGraphicFramePr>
        <xdr:cNvPr id="87" name="Chart 8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8"/>
        </a:graphicData>
      </a:graphic>
    </xdr:graphicFrame>
    <xdr:clientData/>
  </xdr:twoCellAnchor>
  <xdr:twoCellAnchor>
    <xdr:from>
      <xdr:col>85</xdr:col>
      <xdr:colOff>337704</xdr:colOff>
      <xdr:row>676</xdr:row>
      <xdr:rowOff>156729</xdr:rowOff>
    </xdr:from>
    <xdr:to>
      <xdr:col>92</xdr:col>
      <xdr:colOff>536864</xdr:colOff>
      <xdr:row>684</xdr:row>
      <xdr:rowOff>233796</xdr:rowOff>
    </xdr:to>
    <xdr:graphicFrame macro="">
      <xdr:nvGraphicFramePr>
        <xdr:cNvPr id="88" name="Chart 8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9"/>
        </a:graphicData>
      </a:graphic>
    </xdr:graphicFrame>
    <xdr:clientData/>
  </xdr:twoCellAnchor>
  <xdr:twoCellAnchor>
    <xdr:from>
      <xdr:col>85</xdr:col>
      <xdr:colOff>330174</xdr:colOff>
      <xdr:row>667</xdr:row>
      <xdr:rowOff>116822</xdr:rowOff>
    </xdr:from>
    <xdr:to>
      <xdr:col>92</xdr:col>
      <xdr:colOff>472109</xdr:colOff>
      <xdr:row>676</xdr:row>
      <xdr:rowOff>140803</xdr:rowOff>
    </xdr:to>
    <xdr:graphicFrame macro="">
      <xdr:nvGraphicFramePr>
        <xdr:cNvPr id="89" name="Chart 8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0"/>
        </a:graphicData>
      </a:graphic>
    </xdr:graphicFrame>
    <xdr:clientData/>
  </xdr:twoCellAnchor>
  <xdr:twoCellAnchor>
    <xdr:from>
      <xdr:col>85</xdr:col>
      <xdr:colOff>265419</xdr:colOff>
      <xdr:row>658</xdr:row>
      <xdr:rowOff>0</xdr:rowOff>
    </xdr:from>
    <xdr:to>
      <xdr:col>92</xdr:col>
      <xdr:colOff>472109</xdr:colOff>
      <xdr:row>667</xdr:row>
      <xdr:rowOff>1091</xdr:rowOff>
    </xdr:to>
    <xdr:graphicFrame macro="">
      <xdr:nvGraphicFramePr>
        <xdr:cNvPr id="90" name="Chart 8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1"/>
        </a:graphicData>
      </a:graphic>
    </xdr:graphicFrame>
    <xdr:clientData/>
  </xdr:twoCellAnchor>
  <xdr:twoCellAnchor>
    <xdr:from>
      <xdr:col>85</xdr:col>
      <xdr:colOff>256760</xdr:colOff>
      <xdr:row>647</xdr:row>
      <xdr:rowOff>77291</xdr:rowOff>
    </xdr:from>
    <xdr:to>
      <xdr:col>92</xdr:col>
      <xdr:colOff>414131</xdr:colOff>
      <xdr:row>657</xdr:row>
      <xdr:rowOff>157370</xdr:rowOff>
    </xdr:to>
    <xdr:graphicFrame macro="">
      <xdr:nvGraphicFramePr>
        <xdr:cNvPr id="91" name="Chart 9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2"/>
        </a:graphicData>
      </a:graphic>
    </xdr:graphicFrame>
    <xdr:clientData/>
  </xdr:twoCellAnchor>
  <xdr:twoCellAnchor>
    <xdr:from>
      <xdr:col>85</xdr:col>
      <xdr:colOff>198783</xdr:colOff>
      <xdr:row>627</xdr:row>
      <xdr:rowOff>49695</xdr:rowOff>
    </xdr:from>
    <xdr:to>
      <xdr:col>92</xdr:col>
      <xdr:colOff>455545</xdr:colOff>
      <xdr:row>637</xdr:row>
      <xdr:rowOff>49696</xdr:rowOff>
    </xdr:to>
    <xdr:graphicFrame macro="">
      <xdr:nvGraphicFramePr>
        <xdr:cNvPr id="92" name="Chart 9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3"/>
        </a:graphicData>
      </a:graphic>
    </xdr:graphicFrame>
    <xdr:clientData/>
  </xdr:twoCellAnchor>
  <xdr:twoCellAnchor>
    <xdr:from>
      <xdr:col>85</xdr:col>
      <xdr:colOff>155863</xdr:colOff>
      <xdr:row>608</xdr:row>
      <xdr:rowOff>7643</xdr:rowOff>
    </xdr:from>
    <xdr:to>
      <xdr:col>92</xdr:col>
      <xdr:colOff>472109</xdr:colOff>
      <xdr:row>616</xdr:row>
      <xdr:rowOff>157369</xdr:rowOff>
    </xdr:to>
    <xdr:graphicFrame macro="">
      <xdr:nvGraphicFramePr>
        <xdr:cNvPr id="93" name="Chart 9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4"/>
        </a:graphicData>
      </a:graphic>
    </xdr:graphicFrame>
    <xdr:clientData/>
  </xdr:twoCellAnchor>
  <xdr:twoCellAnchor>
    <xdr:from>
      <xdr:col>85</xdr:col>
      <xdr:colOff>303068</xdr:colOff>
      <xdr:row>686</xdr:row>
      <xdr:rowOff>35501</xdr:rowOff>
    </xdr:from>
    <xdr:to>
      <xdr:col>92</xdr:col>
      <xdr:colOff>432955</xdr:colOff>
      <xdr:row>693</xdr:row>
      <xdr:rowOff>225137</xdr:rowOff>
    </xdr:to>
    <xdr:graphicFrame macro="">
      <xdr:nvGraphicFramePr>
        <xdr:cNvPr id="94" name="Chart 9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5"/>
        </a:graphicData>
      </a:graphic>
    </xdr:graphicFrame>
    <xdr:clientData/>
  </xdr:twoCellAnchor>
  <xdr:twoCellAnchor>
    <xdr:from>
      <xdr:col>85</xdr:col>
      <xdr:colOff>337704</xdr:colOff>
      <xdr:row>695</xdr:row>
      <xdr:rowOff>26843</xdr:rowOff>
    </xdr:from>
    <xdr:to>
      <xdr:col>92</xdr:col>
      <xdr:colOff>571500</xdr:colOff>
      <xdr:row>702</xdr:row>
      <xdr:rowOff>233795</xdr:rowOff>
    </xdr:to>
    <xdr:graphicFrame macro="">
      <xdr:nvGraphicFramePr>
        <xdr:cNvPr id="95" name="Chart 9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6"/>
        </a:graphicData>
      </a:graphic>
    </xdr:graphicFrame>
    <xdr:clientData/>
  </xdr:twoCellAnchor>
  <xdr:twoCellAnchor>
    <xdr:from>
      <xdr:col>85</xdr:col>
      <xdr:colOff>406977</xdr:colOff>
      <xdr:row>704</xdr:row>
      <xdr:rowOff>866</xdr:rowOff>
    </xdr:from>
    <xdr:to>
      <xdr:col>92</xdr:col>
      <xdr:colOff>580159</xdr:colOff>
      <xdr:row>711</xdr:row>
      <xdr:rowOff>164522</xdr:rowOff>
    </xdr:to>
    <xdr:graphicFrame macro="">
      <xdr:nvGraphicFramePr>
        <xdr:cNvPr id="96" name="Chart 9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7"/>
        </a:graphicData>
      </a:graphic>
    </xdr:graphicFrame>
    <xdr:clientData/>
  </xdr:twoCellAnchor>
  <xdr:twoCellAnchor>
    <xdr:from>
      <xdr:col>86</xdr:col>
      <xdr:colOff>227773</xdr:colOff>
      <xdr:row>733</xdr:row>
      <xdr:rowOff>83820</xdr:rowOff>
    </xdr:from>
    <xdr:to>
      <xdr:col>93</xdr:col>
      <xdr:colOff>289560</xdr:colOff>
      <xdr:row>746</xdr:row>
      <xdr:rowOff>68579</xdr:rowOff>
    </xdr:to>
    <xdr:graphicFrame macro="">
      <xdr:nvGraphicFramePr>
        <xdr:cNvPr id="99" name="Chart 9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8"/>
        </a:graphicData>
      </a:graphic>
    </xdr:graphicFrame>
    <xdr:clientData/>
  </xdr:twoCellAnchor>
  <xdr:twoCellAnchor>
    <xdr:from>
      <xdr:col>85</xdr:col>
      <xdr:colOff>294409</xdr:colOff>
      <xdr:row>792</xdr:row>
      <xdr:rowOff>0</xdr:rowOff>
    </xdr:from>
    <xdr:to>
      <xdr:col>90</xdr:col>
      <xdr:colOff>580159</xdr:colOff>
      <xdr:row>801</xdr:row>
      <xdr:rowOff>1</xdr:rowOff>
    </xdr:to>
    <xdr:graphicFrame macro="">
      <xdr:nvGraphicFramePr>
        <xdr:cNvPr id="101" name="Chart 10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9"/>
        </a:graphicData>
      </a:graphic>
    </xdr:graphicFrame>
    <xdr:clientData/>
  </xdr:twoCellAnchor>
  <xdr:twoCellAnchor>
    <xdr:from>
      <xdr:col>91</xdr:col>
      <xdr:colOff>112568</xdr:colOff>
      <xdr:row>792</xdr:row>
      <xdr:rowOff>0</xdr:rowOff>
    </xdr:from>
    <xdr:to>
      <xdr:col>97</xdr:col>
      <xdr:colOff>17318</xdr:colOff>
      <xdr:row>801</xdr:row>
      <xdr:rowOff>8659</xdr:rowOff>
    </xdr:to>
    <xdr:graphicFrame macro="">
      <xdr:nvGraphicFramePr>
        <xdr:cNvPr id="102" name="Chart 10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0"/>
        </a:graphicData>
      </a:graphic>
    </xdr:graphicFrame>
    <xdr:clientData/>
  </xdr:twoCellAnchor>
  <xdr:twoCellAnchor>
    <xdr:from>
      <xdr:col>87</xdr:col>
      <xdr:colOff>121981</xdr:colOff>
      <xdr:row>801</xdr:row>
      <xdr:rowOff>103269</xdr:rowOff>
    </xdr:from>
    <xdr:to>
      <xdr:col>94</xdr:col>
      <xdr:colOff>459686</xdr:colOff>
      <xdr:row>811</xdr:row>
      <xdr:rowOff>137039</xdr:rowOff>
    </xdr:to>
    <xdr:graphicFrame macro="">
      <xdr:nvGraphicFramePr>
        <xdr:cNvPr id="103" name="Chart 10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1"/>
        </a:graphicData>
      </a:graphic>
    </xdr:graphicFrame>
    <xdr:clientData/>
  </xdr:twoCellAnchor>
  <xdr:twoCellAnchor>
    <xdr:from>
      <xdr:col>85</xdr:col>
      <xdr:colOff>157370</xdr:colOff>
      <xdr:row>821</xdr:row>
      <xdr:rowOff>19878</xdr:rowOff>
    </xdr:from>
    <xdr:to>
      <xdr:col>90</xdr:col>
      <xdr:colOff>333375</xdr:colOff>
      <xdr:row>833</xdr:row>
      <xdr:rowOff>114300</xdr:rowOff>
    </xdr:to>
    <xdr:graphicFrame macro="">
      <xdr:nvGraphicFramePr>
        <xdr:cNvPr id="107" name="Chart 10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2"/>
        </a:graphicData>
      </a:graphic>
    </xdr:graphicFrame>
    <xdr:clientData/>
  </xdr:twoCellAnchor>
  <xdr:twoCellAnchor>
    <xdr:from>
      <xdr:col>90</xdr:col>
      <xdr:colOff>472110</xdr:colOff>
      <xdr:row>821</xdr:row>
      <xdr:rowOff>82827</xdr:rowOff>
    </xdr:from>
    <xdr:to>
      <xdr:col>96</xdr:col>
      <xdr:colOff>240196</xdr:colOff>
      <xdr:row>833</xdr:row>
      <xdr:rowOff>157370</xdr:rowOff>
    </xdr:to>
    <xdr:graphicFrame macro="">
      <xdr:nvGraphicFramePr>
        <xdr:cNvPr id="108" name="Chart 10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3"/>
        </a:graphicData>
      </a:graphic>
    </xdr:graphicFrame>
    <xdr:clientData/>
  </xdr:twoCellAnchor>
  <xdr:twoCellAnchor>
    <xdr:from>
      <xdr:col>85</xdr:col>
      <xdr:colOff>140804</xdr:colOff>
      <xdr:row>835</xdr:row>
      <xdr:rowOff>57977</xdr:rowOff>
    </xdr:from>
    <xdr:to>
      <xdr:col>91</xdr:col>
      <xdr:colOff>165652</xdr:colOff>
      <xdr:row>846</xdr:row>
      <xdr:rowOff>112642</xdr:rowOff>
    </xdr:to>
    <xdr:graphicFrame macro="">
      <xdr:nvGraphicFramePr>
        <xdr:cNvPr id="109" name="Chart 10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4"/>
        </a:graphicData>
      </a:graphic>
    </xdr:graphicFrame>
    <xdr:clientData/>
  </xdr:twoCellAnchor>
  <xdr:twoCellAnchor>
    <xdr:from>
      <xdr:col>90</xdr:col>
      <xdr:colOff>389283</xdr:colOff>
      <xdr:row>844</xdr:row>
      <xdr:rowOff>61292</xdr:rowOff>
    </xdr:from>
    <xdr:to>
      <xdr:col>97</xdr:col>
      <xdr:colOff>140804</xdr:colOff>
      <xdr:row>855</xdr:row>
      <xdr:rowOff>24848</xdr:rowOff>
    </xdr:to>
    <xdr:graphicFrame macro="">
      <xdr:nvGraphicFramePr>
        <xdr:cNvPr id="110" name="Chart 10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5"/>
        </a:graphicData>
      </a:graphic>
    </xdr:graphicFrame>
    <xdr:clientData/>
  </xdr:twoCellAnchor>
  <xdr:twoCellAnchor>
    <xdr:from>
      <xdr:col>85</xdr:col>
      <xdr:colOff>91109</xdr:colOff>
      <xdr:row>856</xdr:row>
      <xdr:rowOff>1</xdr:rowOff>
    </xdr:from>
    <xdr:to>
      <xdr:col>91</xdr:col>
      <xdr:colOff>397566</xdr:colOff>
      <xdr:row>866</xdr:row>
      <xdr:rowOff>132523</xdr:rowOff>
    </xdr:to>
    <xdr:graphicFrame macro="">
      <xdr:nvGraphicFramePr>
        <xdr:cNvPr id="111" name="Chart 1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6"/>
        </a:graphicData>
      </a:graphic>
    </xdr:graphicFrame>
    <xdr:clientData/>
  </xdr:twoCellAnchor>
  <xdr:twoCellAnchor>
    <xdr:from>
      <xdr:col>91</xdr:col>
      <xdr:colOff>455544</xdr:colOff>
      <xdr:row>856</xdr:row>
      <xdr:rowOff>36442</xdr:rowOff>
    </xdr:from>
    <xdr:to>
      <xdr:col>98</xdr:col>
      <xdr:colOff>571500</xdr:colOff>
      <xdr:row>866</xdr:row>
      <xdr:rowOff>140803</xdr:rowOff>
    </xdr:to>
    <xdr:graphicFrame macro="">
      <xdr:nvGraphicFramePr>
        <xdr:cNvPr id="112" name="Chart 1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7"/>
        </a:graphicData>
      </a:graphic>
    </xdr:graphicFrame>
    <xdr:clientData/>
  </xdr:twoCellAnchor>
  <xdr:twoCellAnchor>
    <xdr:from>
      <xdr:col>85</xdr:col>
      <xdr:colOff>165652</xdr:colOff>
      <xdr:row>891</xdr:row>
      <xdr:rowOff>61292</xdr:rowOff>
    </xdr:from>
    <xdr:to>
      <xdr:col>91</xdr:col>
      <xdr:colOff>198783</xdr:colOff>
      <xdr:row>901</xdr:row>
      <xdr:rowOff>33132</xdr:rowOff>
    </xdr:to>
    <xdr:graphicFrame macro="">
      <xdr:nvGraphicFramePr>
        <xdr:cNvPr id="113" name="Chart 1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8"/>
        </a:graphicData>
      </a:graphic>
    </xdr:graphicFrame>
    <xdr:clientData/>
  </xdr:twoCellAnchor>
  <xdr:twoCellAnchor>
    <xdr:from>
      <xdr:col>91</xdr:col>
      <xdr:colOff>314740</xdr:colOff>
      <xdr:row>894</xdr:row>
      <xdr:rowOff>86139</xdr:rowOff>
    </xdr:from>
    <xdr:to>
      <xdr:col>97</xdr:col>
      <xdr:colOff>530087</xdr:colOff>
      <xdr:row>905</xdr:row>
      <xdr:rowOff>140803</xdr:rowOff>
    </xdr:to>
    <xdr:graphicFrame macro="">
      <xdr:nvGraphicFramePr>
        <xdr:cNvPr id="114" name="Chart 1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9"/>
        </a:graphicData>
      </a:graphic>
    </xdr:graphicFrame>
    <xdr:clientData/>
  </xdr:twoCellAnchor>
  <xdr:twoCellAnchor>
    <xdr:from>
      <xdr:col>85</xdr:col>
      <xdr:colOff>91108</xdr:colOff>
      <xdr:row>902</xdr:row>
      <xdr:rowOff>53009</xdr:rowOff>
    </xdr:from>
    <xdr:to>
      <xdr:col>91</xdr:col>
      <xdr:colOff>273326</xdr:colOff>
      <xdr:row>915</xdr:row>
      <xdr:rowOff>107673</xdr:rowOff>
    </xdr:to>
    <xdr:graphicFrame macro="">
      <xdr:nvGraphicFramePr>
        <xdr:cNvPr id="115" name="Chart 1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0"/>
        </a:graphicData>
      </a:graphic>
    </xdr:graphicFrame>
    <xdr:clientData/>
  </xdr:twoCellAnchor>
  <xdr:twoCellAnchor>
    <xdr:from>
      <xdr:col>85</xdr:col>
      <xdr:colOff>70402</xdr:colOff>
      <xdr:row>773</xdr:row>
      <xdr:rowOff>137160</xdr:rowOff>
    </xdr:from>
    <xdr:to>
      <xdr:col>91</xdr:col>
      <xdr:colOff>381000</xdr:colOff>
      <xdr:row>787</xdr:row>
      <xdr:rowOff>8283</xdr:rowOff>
    </xdr:to>
    <xdr:graphicFrame macro="">
      <xdr:nvGraphicFramePr>
        <xdr:cNvPr id="118" name="Chart 1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1"/>
        </a:graphicData>
      </a:graphic>
    </xdr:graphicFrame>
    <xdr:clientData/>
  </xdr:twoCellAnchor>
  <xdr:twoCellAnchor>
    <xdr:from>
      <xdr:col>89</xdr:col>
      <xdr:colOff>302315</xdr:colOff>
      <xdr:row>784</xdr:row>
      <xdr:rowOff>16565</xdr:rowOff>
    </xdr:from>
    <xdr:to>
      <xdr:col>95</xdr:col>
      <xdr:colOff>588065</xdr:colOff>
      <xdr:row>792</xdr:row>
      <xdr:rowOff>38100</xdr:rowOff>
    </xdr:to>
    <xdr:graphicFrame macro="">
      <xdr:nvGraphicFramePr>
        <xdr:cNvPr id="119" name="Chart 1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2"/>
        </a:graphicData>
      </a:graphic>
    </xdr:graphicFrame>
    <xdr:clientData/>
  </xdr:twoCellAnchor>
  <xdr:twoCellAnchor>
    <xdr:from>
      <xdr:col>85</xdr:col>
      <xdr:colOff>562842</xdr:colOff>
      <xdr:row>924</xdr:row>
      <xdr:rowOff>9524</xdr:rowOff>
    </xdr:from>
    <xdr:to>
      <xdr:col>91</xdr:col>
      <xdr:colOff>77933</xdr:colOff>
      <xdr:row>934</xdr:row>
      <xdr:rowOff>138546</xdr:rowOff>
    </xdr:to>
    <xdr:graphicFrame macro="">
      <xdr:nvGraphicFramePr>
        <xdr:cNvPr id="120" name="Chart 1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3"/>
        </a:graphicData>
      </a:graphic>
    </xdr:graphicFrame>
    <xdr:clientData/>
  </xdr:twoCellAnchor>
  <xdr:twoCellAnchor>
    <xdr:from>
      <xdr:col>92</xdr:col>
      <xdr:colOff>17319</xdr:colOff>
      <xdr:row>924</xdr:row>
      <xdr:rowOff>18183</xdr:rowOff>
    </xdr:from>
    <xdr:to>
      <xdr:col>96</xdr:col>
      <xdr:colOff>571500</xdr:colOff>
      <xdr:row>935</xdr:row>
      <xdr:rowOff>0</xdr:rowOff>
    </xdr:to>
    <xdr:graphicFrame macro="">
      <xdr:nvGraphicFramePr>
        <xdr:cNvPr id="121" name="Chart 1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4"/>
        </a:graphicData>
      </a:graphic>
    </xdr:graphicFrame>
    <xdr:clientData/>
  </xdr:twoCellAnchor>
  <xdr:twoCellAnchor>
    <xdr:from>
      <xdr:col>85</xdr:col>
      <xdr:colOff>571500</xdr:colOff>
      <xdr:row>936</xdr:row>
      <xdr:rowOff>864</xdr:rowOff>
    </xdr:from>
    <xdr:to>
      <xdr:col>91</xdr:col>
      <xdr:colOff>86591</xdr:colOff>
      <xdr:row>947</xdr:row>
      <xdr:rowOff>17318</xdr:rowOff>
    </xdr:to>
    <xdr:graphicFrame macro="">
      <xdr:nvGraphicFramePr>
        <xdr:cNvPr id="122" name="Chart 1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5"/>
        </a:graphicData>
      </a:graphic>
    </xdr:graphicFrame>
    <xdr:clientData/>
  </xdr:twoCellAnchor>
  <xdr:twoCellAnchor>
    <xdr:from>
      <xdr:col>92</xdr:col>
      <xdr:colOff>25979</xdr:colOff>
      <xdr:row>935</xdr:row>
      <xdr:rowOff>148069</xdr:rowOff>
    </xdr:from>
    <xdr:to>
      <xdr:col>97</xdr:col>
      <xdr:colOff>8659</xdr:colOff>
      <xdr:row>946</xdr:row>
      <xdr:rowOff>138545</xdr:rowOff>
    </xdr:to>
    <xdr:graphicFrame macro="">
      <xdr:nvGraphicFramePr>
        <xdr:cNvPr id="123" name="Chart 1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6"/>
        </a:graphicData>
      </a:graphic>
    </xdr:graphicFrame>
    <xdr:clientData/>
  </xdr:twoCellAnchor>
  <xdr:twoCellAnchor>
    <xdr:from>
      <xdr:col>85</xdr:col>
      <xdr:colOff>295918</xdr:colOff>
      <xdr:row>948</xdr:row>
      <xdr:rowOff>15241</xdr:rowOff>
    </xdr:from>
    <xdr:to>
      <xdr:col>91</xdr:col>
      <xdr:colOff>480060</xdr:colOff>
      <xdr:row>960</xdr:row>
      <xdr:rowOff>82827</xdr:rowOff>
    </xdr:to>
    <xdr:graphicFrame macro="">
      <xdr:nvGraphicFramePr>
        <xdr:cNvPr id="124" name="Chart 1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7"/>
        </a:graphicData>
      </a:graphic>
    </xdr:graphicFrame>
    <xdr:clientData/>
  </xdr:twoCellAnchor>
  <xdr:twoCellAnchor>
    <xdr:from>
      <xdr:col>91</xdr:col>
      <xdr:colOff>571500</xdr:colOff>
      <xdr:row>948</xdr:row>
      <xdr:rowOff>9525</xdr:rowOff>
    </xdr:from>
    <xdr:to>
      <xdr:col>97</xdr:col>
      <xdr:colOff>430695</xdr:colOff>
      <xdr:row>960</xdr:row>
      <xdr:rowOff>49695</xdr:rowOff>
    </xdr:to>
    <xdr:graphicFrame macro="">
      <xdr:nvGraphicFramePr>
        <xdr:cNvPr id="125" name="Chart 1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8"/>
        </a:graphicData>
      </a:graphic>
    </xdr:graphicFrame>
    <xdr:clientData/>
  </xdr:twoCellAnchor>
  <xdr:twoCellAnchor>
    <xdr:from>
      <xdr:col>85</xdr:col>
      <xdr:colOff>387626</xdr:colOff>
      <xdr:row>961</xdr:row>
      <xdr:rowOff>18107</xdr:rowOff>
    </xdr:from>
    <xdr:to>
      <xdr:col>91</xdr:col>
      <xdr:colOff>104775</xdr:colOff>
      <xdr:row>972</xdr:row>
      <xdr:rowOff>152399</xdr:rowOff>
    </xdr:to>
    <xdr:graphicFrame macro="">
      <xdr:nvGraphicFramePr>
        <xdr:cNvPr id="126" name="Chart 1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9"/>
        </a:graphicData>
      </a:graphic>
    </xdr:graphicFrame>
    <xdr:clientData/>
  </xdr:twoCellAnchor>
  <xdr:twoCellAnchor>
    <xdr:from>
      <xdr:col>91</xdr:col>
      <xdr:colOff>273628</xdr:colOff>
      <xdr:row>960</xdr:row>
      <xdr:rowOff>142875</xdr:rowOff>
    </xdr:from>
    <xdr:to>
      <xdr:col>97</xdr:col>
      <xdr:colOff>57150</xdr:colOff>
      <xdr:row>972</xdr:row>
      <xdr:rowOff>38100</xdr:rowOff>
    </xdr:to>
    <xdr:graphicFrame macro="">
      <xdr:nvGraphicFramePr>
        <xdr:cNvPr id="127" name="Chart 1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0"/>
        </a:graphicData>
      </a:graphic>
    </xdr:graphicFrame>
    <xdr:clientData/>
  </xdr:twoCellAnchor>
  <xdr:twoCellAnchor>
    <xdr:from>
      <xdr:col>85</xdr:col>
      <xdr:colOff>577561</xdr:colOff>
      <xdr:row>974</xdr:row>
      <xdr:rowOff>106680</xdr:rowOff>
    </xdr:from>
    <xdr:to>
      <xdr:col>93</xdr:col>
      <xdr:colOff>167640</xdr:colOff>
      <xdr:row>989</xdr:row>
      <xdr:rowOff>58016</xdr:rowOff>
    </xdr:to>
    <xdr:graphicFrame macro="">
      <xdr:nvGraphicFramePr>
        <xdr:cNvPr id="128" name="Chart 12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1"/>
        </a:graphicData>
      </a:graphic>
    </xdr:graphicFrame>
    <xdr:clientData/>
  </xdr:twoCellAnchor>
  <xdr:twoCellAnchor>
    <xdr:from>
      <xdr:col>92</xdr:col>
      <xdr:colOff>180110</xdr:colOff>
      <xdr:row>980</xdr:row>
      <xdr:rowOff>60840</xdr:rowOff>
    </xdr:from>
    <xdr:to>
      <xdr:col>98</xdr:col>
      <xdr:colOff>361951</xdr:colOff>
      <xdr:row>995</xdr:row>
      <xdr:rowOff>146566</xdr:rowOff>
    </xdr:to>
    <xdr:graphicFrame macro="">
      <xdr:nvGraphicFramePr>
        <xdr:cNvPr id="129" name="Chart 12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2"/>
        </a:graphicData>
      </a:graphic>
    </xdr:graphicFrame>
    <xdr:clientData/>
  </xdr:twoCellAnchor>
  <xdr:twoCellAnchor>
    <xdr:from>
      <xdr:col>90</xdr:col>
      <xdr:colOff>571500</xdr:colOff>
      <xdr:row>1028</xdr:row>
      <xdr:rowOff>5196</xdr:rowOff>
    </xdr:from>
    <xdr:to>
      <xdr:col>96</xdr:col>
      <xdr:colOff>77933</xdr:colOff>
      <xdr:row>1037</xdr:row>
      <xdr:rowOff>25978</xdr:rowOff>
    </xdr:to>
    <xdr:graphicFrame macro="">
      <xdr:nvGraphicFramePr>
        <xdr:cNvPr id="131" name="Chart 1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3"/>
        </a:graphicData>
      </a:graphic>
    </xdr:graphicFrame>
    <xdr:clientData/>
  </xdr:twoCellAnchor>
  <xdr:twoCellAnchor>
    <xdr:from>
      <xdr:col>86</xdr:col>
      <xdr:colOff>523875</xdr:colOff>
      <xdr:row>1072</xdr:row>
      <xdr:rowOff>5196</xdr:rowOff>
    </xdr:from>
    <xdr:to>
      <xdr:col>94</xdr:col>
      <xdr:colOff>385329</xdr:colOff>
      <xdr:row>1090</xdr:row>
      <xdr:rowOff>90055</xdr:rowOff>
    </xdr:to>
    <xdr:graphicFrame macro="">
      <xdr:nvGraphicFramePr>
        <xdr:cNvPr id="135" name="Chart 13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4"/>
        </a:graphicData>
      </a:graphic>
    </xdr:graphicFrame>
    <xdr:clientData/>
  </xdr:twoCellAnchor>
  <xdr:twoCellAnchor>
    <xdr:from>
      <xdr:col>85</xdr:col>
      <xdr:colOff>298737</xdr:colOff>
      <xdr:row>1106</xdr:row>
      <xdr:rowOff>57150</xdr:rowOff>
    </xdr:from>
    <xdr:to>
      <xdr:col>92</xdr:col>
      <xdr:colOff>95250</xdr:colOff>
      <xdr:row>1117</xdr:row>
      <xdr:rowOff>121227</xdr:rowOff>
    </xdr:to>
    <xdr:graphicFrame macro="">
      <xdr:nvGraphicFramePr>
        <xdr:cNvPr id="136" name="Chart 13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5"/>
        </a:graphicData>
      </a:graphic>
    </xdr:graphicFrame>
    <xdr:clientData/>
  </xdr:twoCellAnchor>
  <xdr:twoCellAnchor>
    <xdr:from>
      <xdr:col>85</xdr:col>
      <xdr:colOff>314551</xdr:colOff>
      <xdr:row>1117</xdr:row>
      <xdr:rowOff>142987</xdr:rowOff>
    </xdr:from>
    <xdr:to>
      <xdr:col>92</xdr:col>
      <xdr:colOff>77178</xdr:colOff>
      <xdr:row>1128</xdr:row>
      <xdr:rowOff>25224</xdr:rowOff>
    </xdr:to>
    <xdr:graphicFrame macro="">
      <xdr:nvGraphicFramePr>
        <xdr:cNvPr id="137" name="Chart 13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6"/>
        </a:graphicData>
      </a:graphic>
    </xdr:graphicFrame>
    <xdr:clientData/>
  </xdr:twoCellAnchor>
  <xdr:twoCellAnchor>
    <xdr:from>
      <xdr:col>85</xdr:col>
      <xdr:colOff>177509</xdr:colOff>
      <xdr:row>1145</xdr:row>
      <xdr:rowOff>161060</xdr:rowOff>
    </xdr:from>
    <xdr:to>
      <xdr:col>91</xdr:col>
      <xdr:colOff>225135</xdr:colOff>
      <xdr:row>1156</xdr:row>
      <xdr:rowOff>60613</xdr:rowOff>
    </xdr:to>
    <xdr:graphicFrame macro="">
      <xdr:nvGraphicFramePr>
        <xdr:cNvPr id="143" name="Chart 14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7"/>
        </a:graphicData>
      </a:graphic>
    </xdr:graphicFrame>
    <xdr:clientData/>
  </xdr:twoCellAnchor>
  <xdr:twoCellAnchor>
    <xdr:from>
      <xdr:col>91</xdr:col>
      <xdr:colOff>385329</xdr:colOff>
      <xdr:row>1145</xdr:row>
      <xdr:rowOff>143742</xdr:rowOff>
    </xdr:from>
    <xdr:to>
      <xdr:col>98</xdr:col>
      <xdr:colOff>86591</xdr:colOff>
      <xdr:row>1156</xdr:row>
      <xdr:rowOff>86591</xdr:rowOff>
    </xdr:to>
    <xdr:graphicFrame macro="">
      <xdr:nvGraphicFramePr>
        <xdr:cNvPr id="144" name="Chart 14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8"/>
        </a:graphicData>
      </a:graphic>
    </xdr:graphicFrame>
    <xdr:clientData/>
  </xdr:twoCellAnchor>
  <xdr:twoCellAnchor>
    <xdr:from>
      <xdr:col>88</xdr:col>
      <xdr:colOff>385330</xdr:colOff>
      <xdr:row>1157</xdr:row>
      <xdr:rowOff>143742</xdr:rowOff>
    </xdr:from>
    <xdr:to>
      <xdr:col>94</xdr:col>
      <xdr:colOff>441613</xdr:colOff>
      <xdr:row>1169</xdr:row>
      <xdr:rowOff>0</xdr:rowOff>
    </xdr:to>
    <xdr:graphicFrame macro="">
      <xdr:nvGraphicFramePr>
        <xdr:cNvPr id="145" name="Chart 14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9"/>
        </a:graphicData>
      </a:graphic>
    </xdr:graphicFrame>
    <xdr:clientData/>
  </xdr:twoCellAnchor>
  <xdr:twoCellAnchor>
    <xdr:from>
      <xdr:col>85</xdr:col>
      <xdr:colOff>90920</xdr:colOff>
      <xdr:row>1170</xdr:row>
      <xdr:rowOff>161058</xdr:rowOff>
    </xdr:from>
    <xdr:to>
      <xdr:col>91</xdr:col>
      <xdr:colOff>216477</xdr:colOff>
      <xdr:row>1183</xdr:row>
      <xdr:rowOff>0</xdr:rowOff>
    </xdr:to>
    <xdr:graphicFrame macro="">
      <xdr:nvGraphicFramePr>
        <xdr:cNvPr id="146" name="Chart 14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0"/>
        </a:graphicData>
      </a:graphic>
    </xdr:graphicFrame>
    <xdr:clientData/>
  </xdr:twoCellAnchor>
  <xdr:twoCellAnchor>
    <xdr:from>
      <xdr:col>85</xdr:col>
      <xdr:colOff>108238</xdr:colOff>
      <xdr:row>1183</xdr:row>
      <xdr:rowOff>117763</xdr:rowOff>
    </xdr:from>
    <xdr:to>
      <xdr:col>91</xdr:col>
      <xdr:colOff>251114</xdr:colOff>
      <xdr:row>1195</xdr:row>
      <xdr:rowOff>155864</xdr:rowOff>
    </xdr:to>
    <xdr:graphicFrame macro="">
      <xdr:nvGraphicFramePr>
        <xdr:cNvPr id="147" name="Chart 14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1"/>
        </a:graphicData>
      </a:graphic>
    </xdr:graphicFrame>
    <xdr:clientData/>
  </xdr:twoCellAnchor>
  <xdr:twoCellAnchor>
    <xdr:from>
      <xdr:col>85</xdr:col>
      <xdr:colOff>177510</xdr:colOff>
      <xdr:row>1196</xdr:row>
      <xdr:rowOff>129886</xdr:rowOff>
    </xdr:from>
    <xdr:to>
      <xdr:col>91</xdr:col>
      <xdr:colOff>303068</xdr:colOff>
      <xdr:row>1209</xdr:row>
      <xdr:rowOff>0</xdr:rowOff>
    </xdr:to>
    <xdr:graphicFrame macro="">
      <xdr:nvGraphicFramePr>
        <xdr:cNvPr id="148" name="Chart 14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2"/>
        </a:graphicData>
      </a:graphic>
    </xdr:graphicFrame>
    <xdr:clientData/>
  </xdr:twoCellAnchor>
  <xdr:twoCellAnchor>
    <xdr:from>
      <xdr:col>85</xdr:col>
      <xdr:colOff>168851</xdr:colOff>
      <xdr:row>1210</xdr:row>
      <xdr:rowOff>41412</xdr:rowOff>
    </xdr:from>
    <xdr:to>
      <xdr:col>91</xdr:col>
      <xdr:colOff>265043</xdr:colOff>
      <xdr:row>1221</xdr:row>
      <xdr:rowOff>51953</xdr:rowOff>
    </xdr:to>
    <xdr:graphicFrame macro="">
      <xdr:nvGraphicFramePr>
        <xdr:cNvPr id="149" name="Chart 14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3"/>
        </a:graphicData>
      </a:graphic>
    </xdr:graphicFrame>
    <xdr:clientData/>
  </xdr:twoCellAnchor>
  <xdr:twoCellAnchor>
    <xdr:from>
      <xdr:col>85</xdr:col>
      <xdr:colOff>168852</xdr:colOff>
      <xdr:row>1221</xdr:row>
      <xdr:rowOff>143740</xdr:rowOff>
    </xdr:from>
    <xdr:to>
      <xdr:col>91</xdr:col>
      <xdr:colOff>519545</xdr:colOff>
      <xdr:row>1234</xdr:row>
      <xdr:rowOff>60614</xdr:rowOff>
    </xdr:to>
    <xdr:graphicFrame macro="">
      <xdr:nvGraphicFramePr>
        <xdr:cNvPr id="150" name="Chart 14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4"/>
        </a:graphicData>
      </a:graphic>
    </xdr:graphicFrame>
    <xdr:clientData/>
  </xdr:twoCellAnchor>
  <xdr:twoCellAnchor>
    <xdr:from>
      <xdr:col>85</xdr:col>
      <xdr:colOff>142875</xdr:colOff>
      <xdr:row>1234</xdr:row>
      <xdr:rowOff>126425</xdr:rowOff>
    </xdr:from>
    <xdr:to>
      <xdr:col>91</xdr:col>
      <xdr:colOff>467591</xdr:colOff>
      <xdr:row>1247</xdr:row>
      <xdr:rowOff>112569</xdr:rowOff>
    </xdr:to>
    <xdr:graphicFrame macro="">
      <xdr:nvGraphicFramePr>
        <xdr:cNvPr id="151" name="Chart 15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5"/>
        </a:graphicData>
      </a:graphic>
    </xdr:graphicFrame>
    <xdr:clientData/>
  </xdr:twoCellAnchor>
  <xdr:twoCellAnchor>
    <xdr:from>
      <xdr:col>85</xdr:col>
      <xdr:colOff>160192</xdr:colOff>
      <xdr:row>1248</xdr:row>
      <xdr:rowOff>57150</xdr:rowOff>
    </xdr:from>
    <xdr:to>
      <xdr:col>91</xdr:col>
      <xdr:colOff>355023</xdr:colOff>
      <xdr:row>1260</xdr:row>
      <xdr:rowOff>129887</xdr:rowOff>
    </xdr:to>
    <xdr:graphicFrame macro="">
      <xdr:nvGraphicFramePr>
        <xdr:cNvPr id="152" name="Chart 15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6"/>
        </a:graphicData>
      </a:graphic>
    </xdr:graphicFrame>
    <xdr:clientData/>
  </xdr:twoCellAnchor>
  <xdr:twoCellAnchor>
    <xdr:from>
      <xdr:col>85</xdr:col>
      <xdr:colOff>125555</xdr:colOff>
      <xdr:row>1261</xdr:row>
      <xdr:rowOff>57151</xdr:rowOff>
    </xdr:from>
    <xdr:to>
      <xdr:col>91</xdr:col>
      <xdr:colOff>294409</xdr:colOff>
      <xdr:row>1273</xdr:row>
      <xdr:rowOff>138545</xdr:rowOff>
    </xdr:to>
    <xdr:graphicFrame macro="">
      <xdr:nvGraphicFramePr>
        <xdr:cNvPr id="153" name="Chart 15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7"/>
        </a:graphicData>
      </a:graphic>
    </xdr:graphicFrame>
    <xdr:clientData/>
  </xdr:twoCellAnchor>
  <xdr:twoCellAnchor>
    <xdr:from>
      <xdr:col>85</xdr:col>
      <xdr:colOff>134215</xdr:colOff>
      <xdr:row>1274</xdr:row>
      <xdr:rowOff>126424</xdr:rowOff>
    </xdr:from>
    <xdr:to>
      <xdr:col>91</xdr:col>
      <xdr:colOff>337704</xdr:colOff>
      <xdr:row>1286</xdr:row>
      <xdr:rowOff>103909</xdr:rowOff>
    </xdr:to>
    <xdr:graphicFrame macro="">
      <xdr:nvGraphicFramePr>
        <xdr:cNvPr id="154" name="Chart 15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8"/>
        </a:graphicData>
      </a:graphic>
    </xdr:graphicFrame>
    <xdr:clientData/>
  </xdr:twoCellAnchor>
  <xdr:twoCellAnchor>
    <xdr:from>
      <xdr:col>85</xdr:col>
      <xdr:colOff>151535</xdr:colOff>
      <xdr:row>1287</xdr:row>
      <xdr:rowOff>74468</xdr:rowOff>
    </xdr:from>
    <xdr:to>
      <xdr:col>89</xdr:col>
      <xdr:colOff>545522</xdr:colOff>
      <xdr:row>1296</xdr:row>
      <xdr:rowOff>0</xdr:rowOff>
    </xdr:to>
    <xdr:graphicFrame macro="">
      <xdr:nvGraphicFramePr>
        <xdr:cNvPr id="155" name="Chart 15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9"/>
        </a:graphicData>
      </a:graphic>
    </xdr:graphicFrame>
    <xdr:clientData/>
  </xdr:twoCellAnchor>
  <xdr:twoCellAnchor>
    <xdr:from>
      <xdr:col>90</xdr:col>
      <xdr:colOff>220805</xdr:colOff>
      <xdr:row>1287</xdr:row>
      <xdr:rowOff>83126</xdr:rowOff>
    </xdr:from>
    <xdr:to>
      <xdr:col>94</xdr:col>
      <xdr:colOff>476249</xdr:colOff>
      <xdr:row>1295</xdr:row>
      <xdr:rowOff>147204</xdr:rowOff>
    </xdr:to>
    <xdr:graphicFrame macro="">
      <xdr:nvGraphicFramePr>
        <xdr:cNvPr id="156" name="Chart 15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0"/>
        </a:graphicData>
      </a:graphic>
    </xdr:graphicFrame>
    <xdr:clientData/>
  </xdr:twoCellAnchor>
  <xdr:twoCellAnchor>
    <xdr:from>
      <xdr:col>95</xdr:col>
      <xdr:colOff>99579</xdr:colOff>
      <xdr:row>1287</xdr:row>
      <xdr:rowOff>65809</xdr:rowOff>
    </xdr:from>
    <xdr:to>
      <xdr:col>100</xdr:col>
      <xdr:colOff>181841</xdr:colOff>
      <xdr:row>1296</xdr:row>
      <xdr:rowOff>17318</xdr:rowOff>
    </xdr:to>
    <xdr:graphicFrame macro="">
      <xdr:nvGraphicFramePr>
        <xdr:cNvPr id="157" name="Chart 15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1"/>
        </a:graphicData>
      </a:graphic>
    </xdr:graphicFrame>
    <xdr:clientData/>
  </xdr:twoCellAnchor>
  <xdr:twoCellAnchor>
    <xdr:from>
      <xdr:col>85</xdr:col>
      <xdr:colOff>99579</xdr:colOff>
      <xdr:row>1297</xdr:row>
      <xdr:rowOff>39832</xdr:rowOff>
    </xdr:from>
    <xdr:to>
      <xdr:col>89</xdr:col>
      <xdr:colOff>502227</xdr:colOff>
      <xdr:row>1306</xdr:row>
      <xdr:rowOff>0</xdr:rowOff>
    </xdr:to>
    <xdr:graphicFrame macro="">
      <xdr:nvGraphicFramePr>
        <xdr:cNvPr id="158" name="Chart 15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2"/>
        </a:graphicData>
      </a:graphic>
    </xdr:graphicFrame>
    <xdr:clientData/>
  </xdr:twoCellAnchor>
  <xdr:twoCellAnchor>
    <xdr:from>
      <xdr:col>90</xdr:col>
      <xdr:colOff>177510</xdr:colOff>
      <xdr:row>1297</xdr:row>
      <xdr:rowOff>48491</xdr:rowOff>
    </xdr:from>
    <xdr:to>
      <xdr:col>95</xdr:col>
      <xdr:colOff>77931</xdr:colOff>
      <xdr:row>1306</xdr:row>
      <xdr:rowOff>43295</xdr:rowOff>
    </xdr:to>
    <xdr:graphicFrame macro="">
      <xdr:nvGraphicFramePr>
        <xdr:cNvPr id="159" name="Chart 15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3"/>
        </a:graphicData>
      </a:graphic>
    </xdr:graphicFrame>
    <xdr:clientData/>
  </xdr:twoCellAnchor>
  <xdr:twoCellAnchor>
    <xdr:from>
      <xdr:col>85</xdr:col>
      <xdr:colOff>47625</xdr:colOff>
      <xdr:row>1308</xdr:row>
      <xdr:rowOff>5197</xdr:rowOff>
    </xdr:from>
    <xdr:to>
      <xdr:col>89</xdr:col>
      <xdr:colOff>398318</xdr:colOff>
      <xdr:row>1319</xdr:row>
      <xdr:rowOff>25978</xdr:rowOff>
    </xdr:to>
    <xdr:graphicFrame macro="">
      <xdr:nvGraphicFramePr>
        <xdr:cNvPr id="160" name="Chart 15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4"/>
        </a:graphicData>
      </a:graphic>
    </xdr:graphicFrame>
    <xdr:clientData/>
  </xdr:twoCellAnchor>
  <xdr:twoCellAnchor>
    <xdr:from>
      <xdr:col>89</xdr:col>
      <xdr:colOff>584490</xdr:colOff>
      <xdr:row>1308</xdr:row>
      <xdr:rowOff>13854</xdr:rowOff>
    </xdr:from>
    <xdr:to>
      <xdr:col>94</xdr:col>
      <xdr:colOff>51954</xdr:colOff>
      <xdr:row>1319</xdr:row>
      <xdr:rowOff>43296</xdr:rowOff>
    </xdr:to>
    <xdr:graphicFrame macro="">
      <xdr:nvGraphicFramePr>
        <xdr:cNvPr id="161" name="Chart 16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5"/>
        </a:graphicData>
      </a:graphic>
    </xdr:graphicFrame>
    <xdr:clientData/>
  </xdr:twoCellAnchor>
  <xdr:twoCellAnchor>
    <xdr:from>
      <xdr:col>94</xdr:col>
      <xdr:colOff>290079</xdr:colOff>
      <xdr:row>1308</xdr:row>
      <xdr:rowOff>65807</xdr:rowOff>
    </xdr:from>
    <xdr:to>
      <xdr:col>98</xdr:col>
      <xdr:colOff>528205</xdr:colOff>
      <xdr:row>1321</xdr:row>
      <xdr:rowOff>43294</xdr:rowOff>
    </xdr:to>
    <xdr:graphicFrame macro="">
      <xdr:nvGraphicFramePr>
        <xdr:cNvPr id="162" name="Chart 16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6"/>
        </a:graphicData>
      </a:graphic>
    </xdr:graphicFrame>
    <xdr:clientData/>
  </xdr:twoCellAnchor>
  <xdr:twoCellAnchor>
    <xdr:from>
      <xdr:col>106</xdr:col>
      <xdr:colOff>21648</xdr:colOff>
      <xdr:row>1323</xdr:row>
      <xdr:rowOff>63927</xdr:rowOff>
    </xdr:from>
    <xdr:to>
      <xdr:col>113</xdr:col>
      <xdr:colOff>17318</xdr:colOff>
      <xdr:row>1338</xdr:row>
      <xdr:rowOff>145322</xdr:rowOff>
    </xdr:to>
    <xdr:graphicFrame macro="">
      <xdr:nvGraphicFramePr>
        <xdr:cNvPr id="163" name="Chart 16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7"/>
        </a:graphicData>
      </a:graphic>
    </xdr:graphicFrame>
    <xdr:clientData/>
  </xdr:twoCellAnchor>
  <xdr:twoCellAnchor>
    <xdr:from>
      <xdr:col>118</xdr:col>
      <xdr:colOff>182218</xdr:colOff>
      <xdr:row>1322</xdr:row>
      <xdr:rowOff>79737</xdr:rowOff>
    </xdr:from>
    <xdr:to>
      <xdr:col>125</xdr:col>
      <xdr:colOff>216856</xdr:colOff>
      <xdr:row>1338</xdr:row>
      <xdr:rowOff>16563</xdr:rowOff>
    </xdr:to>
    <xdr:graphicFrame macro="">
      <xdr:nvGraphicFramePr>
        <xdr:cNvPr id="164" name="Chart 16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8"/>
        </a:graphicData>
      </a:graphic>
    </xdr:graphicFrame>
    <xdr:clientData/>
  </xdr:twoCellAnchor>
  <xdr:twoCellAnchor>
    <xdr:from>
      <xdr:col>85</xdr:col>
      <xdr:colOff>302314</xdr:colOff>
      <xdr:row>1323</xdr:row>
      <xdr:rowOff>156540</xdr:rowOff>
    </xdr:from>
    <xdr:to>
      <xdr:col>91</xdr:col>
      <xdr:colOff>518160</xdr:colOff>
      <xdr:row>1339</xdr:row>
      <xdr:rowOff>15240</xdr:rowOff>
    </xdr:to>
    <xdr:graphicFrame macro="">
      <xdr:nvGraphicFramePr>
        <xdr:cNvPr id="175" name="Chart 17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9"/>
        </a:graphicData>
      </a:graphic>
    </xdr:graphicFrame>
    <xdr:clientData/>
  </xdr:twoCellAnchor>
  <xdr:twoCellAnchor>
    <xdr:from>
      <xdr:col>92</xdr:col>
      <xdr:colOff>418271</xdr:colOff>
      <xdr:row>1323</xdr:row>
      <xdr:rowOff>148258</xdr:rowOff>
    </xdr:from>
    <xdr:to>
      <xdr:col>99</xdr:col>
      <xdr:colOff>66261</xdr:colOff>
      <xdr:row>1338</xdr:row>
      <xdr:rowOff>124239</xdr:rowOff>
    </xdr:to>
    <xdr:graphicFrame macro="">
      <xdr:nvGraphicFramePr>
        <xdr:cNvPr id="176" name="Chart 17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0"/>
        </a:graphicData>
      </a:graphic>
    </xdr:graphicFrame>
    <xdr:clientData/>
  </xdr:twoCellAnchor>
  <xdr:twoCellAnchor>
    <xdr:from>
      <xdr:col>86</xdr:col>
      <xdr:colOff>171285</xdr:colOff>
      <xdr:row>1129</xdr:row>
      <xdr:rowOff>61292</xdr:rowOff>
    </xdr:from>
    <xdr:to>
      <xdr:col>92</xdr:col>
      <xdr:colOff>171285</xdr:colOff>
      <xdr:row>1140</xdr:row>
      <xdr:rowOff>41413</xdr:rowOff>
    </xdr:to>
    <xdr:graphicFrame macro="">
      <xdr:nvGraphicFramePr>
        <xdr:cNvPr id="177" name="Chart 17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1"/>
        </a:graphicData>
      </a:graphic>
    </xdr:graphicFrame>
    <xdr:clientData/>
  </xdr:twoCellAnchor>
  <xdr:twoCellAnchor>
    <xdr:from>
      <xdr:col>90</xdr:col>
      <xdr:colOff>589390</xdr:colOff>
      <xdr:row>1135</xdr:row>
      <xdr:rowOff>143124</xdr:rowOff>
    </xdr:from>
    <xdr:to>
      <xdr:col>97</xdr:col>
      <xdr:colOff>60960</xdr:colOff>
      <xdr:row>1146</xdr:row>
      <xdr:rowOff>137160</xdr:rowOff>
    </xdr:to>
    <xdr:graphicFrame macro="">
      <xdr:nvGraphicFramePr>
        <xdr:cNvPr id="178" name="Chart 17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2"/>
        </a:graphicData>
      </a:graphic>
    </xdr:graphicFrame>
    <xdr:clientData/>
  </xdr:twoCellAnchor>
  <xdr:twoCellAnchor>
    <xdr:from>
      <xdr:col>85</xdr:col>
      <xdr:colOff>335445</xdr:colOff>
      <xdr:row>1402</xdr:row>
      <xdr:rowOff>115127</xdr:rowOff>
    </xdr:from>
    <xdr:to>
      <xdr:col>90</xdr:col>
      <xdr:colOff>256761</xdr:colOff>
      <xdr:row>1411</xdr:row>
      <xdr:rowOff>173933</xdr:rowOff>
    </xdr:to>
    <xdr:graphicFrame macro="">
      <xdr:nvGraphicFramePr>
        <xdr:cNvPr id="179" name="Chart 17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3"/>
        </a:graphicData>
      </a:graphic>
    </xdr:graphicFrame>
    <xdr:clientData/>
  </xdr:twoCellAnchor>
  <xdr:twoCellAnchor>
    <xdr:from>
      <xdr:col>91</xdr:col>
      <xdr:colOff>467966</xdr:colOff>
      <xdr:row>1402</xdr:row>
      <xdr:rowOff>90281</xdr:rowOff>
    </xdr:from>
    <xdr:to>
      <xdr:col>96</xdr:col>
      <xdr:colOff>323021</xdr:colOff>
      <xdr:row>1412</xdr:row>
      <xdr:rowOff>49696</xdr:rowOff>
    </xdr:to>
    <xdr:graphicFrame macro="">
      <xdr:nvGraphicFramePr>
        <xdr:cNvPr id="180" name="Chart 17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4"/>
        </a:graphicData>
      </a:graphic>
    </xdr:graphicFrame>
    <xdr:clientData/>
  </xdr:twoCellAnchor>
  <xdr:twoCellAnchor>
    <xdr:from>
      <xdr:col>85</xdr:col>
      <xdr:colOff>393422</xdr:colOff>
      <xdr:row>1415</xdr:row>
      <xdr:rowOff>40585</xdr:rowOff>
    </xdr:from>
    <xdr:to>
      <xdr:col>90</xdr:col>
      <xdr:colOff>430696</xdr:colOff>
      <xdr:row>1425</xdr:row>
      <xdr:rowOff>16565</xdr:rowOff>
    </xdr:to>
    <xdr:graphicFrame macro="">
      <xdr:nvGraphicFramePr>
        <xdr:cNvPr id="181" name="Chart 18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5"/>
        </a:graphicData>
      </a:graphic>
    </xdr:graphicFrame>
    <xdr:clientData/>
  </xdr:twoCellAnchor>
  <xdr:twoCellAnchor>
    <xdr:from>
      <xdr:col>91</xdr:col>
      <xdr:colOff>476249</xdr:colOff>
      <xdr:row>1415</xdr:row>
      <xdr:rowOff>32301</xdr:rowOff>
    </xdr:from>
    <xdr:to>
      <xdr:col>96</xdr:col>
      <xdr:colOff>447261</xdr:colOff>
      <xdr:row>1424</xdr:row>
      <xdr:rowOff>24848</xdr:rowOff>
    </xdr:to>
    <xdr:graphicFrame macro="">
      <xdr:nvGraphicFramePr>
        <xdr:cNvPr id="182" name="Chart 18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6"/>
        </a:graphicData>
      </a:graphic>
    </xdr:graphicFrame>
    <xdr:clientData/>
  </xdr:twoCellAnchor>
  <xdr:twoCellAnchor>
    <xdr:from>
      <xdr:col>85</xdr:col>
      <xdr:colOff>294032</xdr:colOff>
      <xdr:row>1427</xdr:row>
      <xdr:rowOff>24020</xdr:rowOff>
    </xdr:from>
    <xdr:to>
      <xdr:col>90</xdr:col>
      <xdr:colOff>430696</xdr:colOff>
      <xdr:row>1437</xdr:row>
      <xdr:rowOff>66261</xdr:rowOff>
    </xdr:to>
    <xdr:graphicFrame macro="">
      <xdr:nvGraphicFramePr>
        <xdr:cNvPr id="183" name="Chart 18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7"/>
        </a:graphicData>
      </a:graphic>
    </xdr:graphicFrame>
    <xdr:clientData/>
  </xdr:twoCellAnchor>
  <xdr:twoCellAnchor>
    <xdr:from>
      <xdr:col>91</xdr:col>
      <xdr:colOff>459684</xdr:colOff>
      <xdr:row>1427</xdr:row>
      <xdr:rowOff>57150</xdr:rowOff>
    </xdr:from>
    <xdr:to>
      <xdr:col>97</xdr:col>
      <xdr:colOff>24847</xdr:colOff>
      <xdr:row>1437</xdr:row>
      <xdr:rowOff>91109</xdr:rowOff>
    </xdr:to>
    <xdr:graphicFrame macro="">
      <xdr:nvGraphicFramePr>
        <xdr:cNvPr id="184" name="Chart 18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8"/>
        </a:graphicData>
      </a:graphic>
    </xdr:graphicFrame>
    <xdr:clientData/>
  </xdr:twoCellAnchor>
  <xdr:twoCellAnchor>
    <xdr:from>
      <xdr:col>85</xdr:col>
      <xdr:colOff>277466</xdr:colOff>
      <xdr:row>1438</xdr:row>
      <xdr:rowOff>164823</xdr:rowOff>
    </xdr:from>
    <xdr:to>
      <xdr:col>90</xdr:col>
      <xdr:colOff>472109</xdr:colOff>
      <xdr:row>1449</xdr:row>
      <xdr:rowOff>132522</xdr:rowOff>
    </xdr:to>
    <xdr:graphicFrame macro="">
      <xdr:nvGraphicFramePr>
        <xdr:cNvPr id="185" name="Chart 18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9"/>
        </a:graphicData>
      </a:graphic>
    </xdr:graphicFrame>
    <xdr:clientData/>
  </xdr:twoCellAnchor>
  <xdr:twoCellAnchor>
    <xdr:from>
      <xdr:col>91</xdr:col>
      <xdr:colOff>393424</xdr:colOff>
      <xdr:row>1438</xdr:row>
      <xdr:rowOff>156540</xdr:rowOff>
    </xdr:from>
    <xdr:to>
      <xdr:col>97</xdr:col>
      <xdr:colOff>82826</xdr:colOff>
      <xdr:row>1449</xdr:row>
      <xdr:rowOff>57978</xdr:rowOff>
    </xdr:to>
    <xdr:graphicFrame macro="">
      <xdr:nvGraphicFramePr>
        <xdr:cNvPr id="186" name="Chart 18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0"/>
        </a:graphicData>
      </a:graphic>
    </xdr:graphicFrame>
    <xdr:clientData/>
  </xdr:twoCellAnchor>
  <xdr:twoCellAnchor>
    <xdr:from>
      <xdr:col>85</xdr:col>
      <xdr:colOff>244336</xdr:colOff>
      <xdr:row>1450</xdr:row>
      <xdr:rowOff>148259</xdr:rowOff>
    </xdr:from>
    <xdr:to>
      <xdr:col>91</xdr:col>
      <xdr:colOff>306456</xdr:colOff>
      <xdr:row>1462</xdr:row>
      <xdr:rowOff>107674</xdr:rowOff>
    </xdr:to>
    <xdr:graphicFrame macro="">
      <xdr:nvGraphicFramePr>
        <xdr:cNvPr id="187" name="Chart 18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1"/>
        </a:graphicData>
      </a:graphic>
    </xdr:graphicFrame>
    <xdr:clientData/>
  </xdr:twoCellAnchor>
  <xdr:twoCellAnchor>
    <xdr:from>
      <xdr:col>85</xdr:col>
      <xdr:colOff>269184</xdr:colOff>
      <xdr:row>1462</xdr:row>
      <xdr:rowOff>139976</xdr:rowOff>
    </xdr:from>
    <xdr:to>
      <xdr:col>91</xdr:col>
      <xdr:colOff>356152</xdr:colOff>
      <xdr:row>1473</xdr:row>
      <xdr:rowOff>157370</xdr:rowOff>
    </xdr:to>
    <xdr:graphicFrame macro="">
      <xdr:nvGraphicFramePr>
        <xdr:cNvPr id="188" name="Chart 18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2"/>
        </a:graphicData>
      </a:graphic>
    </xdr:graphicFrame>
    <xdr:clientData/>
  </xdr:twoCellAnchor>
  <xdr:twoCellAnchor>
    <xdr:from>
      <xdr:col>85</xdr:col>
      <xdr:colOff>277467</xdr:colOff>
      <xdr:row>1474</xdr:row>
      <xdr:rowOff>24020</xdr:rowOff>
    </xdr:from>
    <xdr:to>
      <xdr:col>91</xdr:col>
      <xdr:colOff>364435</xdr:colOff>
      <xdr:row>1485</xdr:row>
      <xdr:rowOff>16565</xdr:rowOff>
    </xdr:to>
    <xdr:graphicFrame macro="">
      <xdr:nvGraphicFramePr>
        <xdr:cNvPr id="189" name="Chart 18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3"/>
        </a:graphicData>
      </a:graphic>
    </xdr:graphicFrame>
    <xdr:clientData/>
  </xdr:twoCellAnchor>
  <xdr:twoCellAnchor>
    <xdr:from>
      <xdr:col>85</xdr:col>
      <xdr:colOff>285749</xdr:colOff>
      <xdr:row>1485</xdr:row>
      <xdr:rowOff>65432</xdr:rowOff>
    </xdr:from>
    <xdr:to>
      <xdr:col>91</xdr:col>
      <xdr:colOff>389283</xdr:colOff>
      <xdr:row>1495</xdr:row>
      <xdr:rowOff>149086</xdr:rowOff>
    </xdr:to>
    <xdr:graphicFrame macro="">
      <xdr:nvGraphicFramePr>
        <xdr:cNvPr id="190" name="Chart 18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4"/>
        </a:graphicData>
      </a:graphic>
    </xdr:graphicFrame>
    <xdr:clientData/>
  </xdr:twoCellAnchor>
  <xdr:twoCellAnchor>
    <xdr:from>
      <xdr:col>91</xdr:col>
      <xdr:colOff>559076</xdr:colOff>
      <xdr:row>1490</xdr:row>
      <xdr:rowOff>106844</xdr:rowOff>
    </xdr:from>
    <xdr:to>
      <xdr:col>96</xdr:col>
      <xdr:colOff>447261</xdr:colOff>
      <xdr:row>1501</xdr:row>
      <xdr:rowOff>33131</xdr:rowOff>
    </xdr:to>
    <xdr:graphicFrame macro="">
      <xdr:nvGraphicFramePr>
        <xdr:cNvPr id="191" name="Chart 19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5"/>
        </a:graphicData>
      </a:graphic>
    </xdr:graphicFrame>
    <xdr:clientData/>
  </xdr:twoCellAnchor>
  <xdr:twoCellAnchor>
    <xdr:from>
      <xdr:col>85</xdr:col>
      <xdr:colOff>95250</xdr:colOff>
      <xdr:row>1502</xdr:row>
      <xdr:rowOff>81997</xdr:rowOff>
    </xdr:from>
    <xdr:to>
      <xdr:col>91</xdr:col>
      <xdr:colOff>157371</xdr:colOff>
      <xdr:row>1514</xdr:row>
      <xdr:rowOff>99391</xdr:rowOff>
    </xdr:to>
    <xdr:graphicFrame macro="">
      <xdr:nvGraphicFramePr>
        <xdr:cNvPr id="192" name="Chart 19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6"/>
        </a:graphicData>
      </a:graphic>
    </xdr:graphicFrame>
    <xdr:clientData/>
  </xdr:twoCellAnchor>
  <xdr:twoCellAnchor>
    <xdr:from>
      <xdr:col>91</xdr:col>
      <xdr:colOff>418271</xdr:colOff>
      <xdr:row>1502</xdr:row>
      <xdr:rowOff>81997</xdr:rowOff>
    </xdr:from>
    <xdr:to>
      <xdr:col>97</xdr:col>
      <xdr:colOff>447260</xdr:colOff>
      <xdr:row>1514</xdr:row>
      <xdr:rowOff>124239</xdr:rowOff>
    </xdr:to>
    <xdr:graphicFrame macro="">
      <xdr:nvGraphicFramePr>
        <xdr:cNvPr id="193" name="Chart 19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7"/>
        </a:graphicData>
      </a:graphic>
    </xdr:graphicFrame>
    <xdr:clientData/>
  </xdr:twoCellAnchor>
  <xdr:twoCellAnchor>
    <xdr:from>
      <xdr:col>85</xdr:col>
      <xdr:colOff>579784</xdr:colOff>
      <xdr:row>1580</xdr:row>
      <xdr:rowOff>53008</xdr:rowOff>
    </xdr:from>
    <xdr:to>
      <xdr:col>93</xdr:col>
      <xdr:colOff>331305</xdr:colOff>
      <xdr:row>1594</xdr:row>
      <xdr:rowOff>149086</xdr:rowOff>
    </xdr:to>
    <xdr:graphicFrame macro="">
      <xdr:nvGraphicFramePr>
        <xdr:cNvPr id="194" name="Chart 19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8"/>
        </a:graphicData>
      </a:graphic>
    </xdr:graphicFrame>
    <xdr:clientData/>
  </xdr:twoCellAnchor>
  <xdr:twoCellAnchor>
    <xdr:from>
      <xdr:col>86</xdr:col>
      <xdr:colOff>488674</xdr:colOff>
      <xdr:row>1595</xdr:row>
      <xdr:rowOff>28160</xdr:rowOff>
    </xdr:from>
    <xdr:to>
      <xdr:col>94</xdr:col>
      <xdr:colOff>223631</xdr:colOff>
      <xdr:row>1610</xdr:row>
      <xdr:rowOff>82826</xdr:rowOff>
    </xdr:to>
    <xdr:graphicFrame macro="">
      <xdr:nvGraphicFramePr>
        <xdr:cNvPr id="195" name="Chart 19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9"/>
        </a:graphicData>
      </a:graphic>
    </xdr:graphicFrame>
    <xdr:clientData/>
  </xdr:twoCellAnchor>
  <xdr:twoCellAnchor>
    <xdr:from>
      <xdr:col>86</xdr:col>
      <xdr:colOff>455543</xdr:colOff>
      <xdr:row>1611</xdr:row>
      <xdr:rowOff>135835</xdr:rowOff>
    </xdr:from>
    <xdr:to>
      <xdr:col>94</xdr:col>
      <xdr:colOff>107674</xdr:colOff>
      <xdr:row>1626</xdr:row>
      <xdr:rowOff>91109</xdr:rowOff>
    </xdr:to>
    <xdr:graphicFrame macro="">
      <xdr:nvGraphicFramePr>
        <xdr:cNvPr id="196" name="Chart 19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0"/>
        </a:graphicData>
      </a:graphic>
    </xdr:graphicFrame>
    <xdr:clientData/>
  </xdr:twoCellAnchor>
  <xdr:twoCellAnchor>
    <xdr:from>
      <xdr:col>86</xdr:col>
      <xdr:colOff>447262</xdr:colOff>
      <xdr:row>1627</xdr:row>
      <xdr:rowOff>127553</xdr:rowOff>
    </xdr:from>
    <xdr:to>
      <xdr:col>93</xdr:col>
      <xdr:colOff>579782</xdr:colOff>
      <xdr:row>1642</xdr:row>
      <xdr:rowOff>16565</xdr:rowOff>
    </xdr:to>
    <xdr:graphicFrame macro="">
      <xdr:nvGraphicFramePr>
        <xdr:cNvPr id="197" name="Chart 19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1"/>
        </a:graphicData>
      </a:graphic>
    </xdr:graphicFrame>
    <xdr:clientData/>
  </xdr:twoCellAnchor>
  <xdr:twoCellAnchor>
    <xdr:from>
      <xdr:col>85</xdr:col>
      <xdr:colOff>281609</xdr:colOff>
      <xdr:row>1643</xdr:row>
      <xdr:rowOff>36444</xdr:rowOff>
    </xdr:from>
    <xdr:to>
      <xdr:col>91</xdr:col>
      <xdr:colOff>0</xdr:colOff>
      <xdr:row>1655</xdr:row>
      <xdr:rowOff>149087</xdr:rowOff>
    </xdr:to>
    <xdr:graphicFrame macro="">
      <xdr:nvGraphicFramePr>
        <xdr:cNvPr id="198" name="Chart 19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2"/>
        </a:graphicData>
      </a:graphic>
    </xdr:graphicFrame>
    <xdr:clientData/>
  </xdr:twoCellAnchor>
  <xdr:twoCellAnchor>
    <xdr:from>
      <xdr:col>91</xdr:col>
      <xdr:colOff>132522</xdr:colOff>
      <xdr:row>1642</xdr:row>
      <xdr:rowOff>152399</xdr:rowOff>
    </xdr:from>
    <xdr:to>
      <xdr:col>97</xdr:col>
      <xdr:colOff>356152</xdr:colOff>
      <xdr:row>1655</xdr:row>
      <xdr:rowOff>149087</xdr:rowOff>
    </xdr:to>
    <xdr:graphicFrame macro="">
      <xdr:nvGraphicFramePr>
        <xdr:cNvPr id="199" name="Chart 19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3"/>
        </a:graphicData>
      </a:graphic>
    </xdr:graphicFrame>
    <xdr:clientData/>
  </xdr:twoCellAnchor>
  <xdr:twoCellAnchor>
    <xdr:from>
      <xdr:col>85</xdr:col>
      <xdr:colOff>314740</xdr:colOff>
      <xdr:row>1656</xdr:row>
      <xdr:rowOff>102705</xdr:rowOff>
    </xdr:from>
    <xdr:to>
      <xdr:col>91</xdr:col>
      <xdr:colOff>231913</xdr:colOff>
      <xdr:row>1670</xdr:row>
      <xdr:rowOff>91108</xdr:rowOff>
    </xdr:to>
    <xdr:graphicFrame macro="">
      <xdr:nvGraphicFramePr>
        <xdr:cNvPr id="200" name="Chart 19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4"/>
        </a:graphicData>
      </a:graphic>
    </xdr:graphicFrame>
    <xdr:clientData/>
  </xdr:twoCellAnchor>
  <xdr:twoCellAnchor>
    <xdr:from>
      <xdr:col>91</xdr:col>
      <xdr:colOff>538370</xdr:colOff>
      <xdr:row>1656</xdr:row>
      <xdr:rowOff>86140</xdr:rowOff>
    </xdr:from>
    <xdr:to>
      <xdr:col>98</xdr:col>
      <xdr:colOff>24848</xdr:colOff>
      <xdr:row>1670</xdr:row>
      <xdr:rowOff>66261</xdr:rowOff>
    </xdr:to>
    <xdr:graphicFrame macro="">
      <xdr:nvGraphicFramePr>
        <xdr:cNvPr id="201" name="Chart 20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5"/>
        </a:graphicData>
      </a:graphic>
    </xdr:graphicFrame>
    <xdr:clientData/>
  </xdr:twoCellAnchor>
  <xdr:twoCellAnchor>
    <xdr:from>
      <xdr:col>85</xdr:col>
      <xdr:colOff>335444</xdr:colOff>
      <xdr:row>1402</xdr:row>
      <xdr:rowOff>115126</xdr:rowOff>
    </xdr:from>
    <xdr:to>
      <xdr:col>90</xdr:col>
      <xdr:colOff>556259</xdr:colOff>
      <xdr:row>1413</xdr:row>
      <xdr:rowOff>152399</xdr:rowOff>
    </xdr:to>
    <xdr:graphicFrame macro="">
      <xdr:nvGraphicFramePr>
        <xdr:cNvPr id="202" name="Chart 20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6"/>
        </a:graphicData>
      </a:graphic>
    </xdr:graphicFrame>
    <xdr:clientData/>
  </xdr:twoCellAnchor>
  <xdr:twoCellAnchor>
    <xdr:from>
      <xdr:col>91</xdr:col>
      <xdr:colOff>467966</xdr:colOff>
      <xdr:row>1402</xdr:row>
      <xdr:rowOff>90281</xdr:rowOff>
    </xdr:from>
    <xdr:to>
      <xdr:col>96</xdr:col>
      <xdr:colOff>323021</xdr:colOff>
      <xdr:row>1412</xdr:row>
      <xdr:rowOff>49696</xdr:rowOff>
    </xdr:to>
    <xdr:graphicFrame macro="">
      <xdr:nvGraphicFramePr>
        <xdr:cNvPr id="203" name="Chart 20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7"/>
        </a:graphicData>
      </a:graphic>
    </xdr:graphicFrame>
    <xdr:clientData/>
  </xdr:twoCellAnchor>
  <xdr:twoCellAnchor>
    <xdr:from>
      <xdr:col>85</xdr:col>
      <xdr:colOff>393422</xdr:colOff>
      <xdr:row>1415</xdr:row>
      <xdr:rowOff>40585</xdr:rowOff>
    </xdr:from>
    <xdr:to>
      <xdr:col>90</xdr:col>
      <xdr:colOff>554935</xdr:colOff>
      <xdr:row>1425</xdr:row>
      <xdr:rowOff>41413</xdr:rowOff>
    </xdr:to>
    <xdr:graphicFrame macro="">
      <xdr:nvGraphicFramePr>
        <xdr:cNvPr id="204" name="Chart 20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8"/>
        </a:graphicData>
      </a:graphic>
    </xdr:graphicFrame>
    <xdr:clientData/>
  </xdr:twoCellAnchor>
  <xdr:twoCellAnchor>
    <xdr:from>
      <xdr:col>91</xdr:col>
      <xdr:colOff>476249</xdr:colOff>
      <xdr:row>1415</xdr:row>
      <xdr:rowOff>32301</xdr:rowOff>
    </xdr:from>
    <xdr:to>
      <xdr:col>96</xdr:col>
      <xdr:colOff>447261</xdr:colOff>
      <xdr:row>1424</xdr:row>
      <xdr:rowOff>24848</xdr:rowOff>
    </xdr:to>
    <xdr:graphicFrame macro="">
      <xdr:nvGraphicFramePr>
        <xdr:cNvPr id="205" name="Chart 20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9"/>
        </a:graphicData>
      </a:graphic>
    </xdr:graphicFrame>
    <xdr:clientData/>
  </xdr:twoCellAnchor>
  <xdr:twoCellAnchor>
    <xdr:from>
      <xdr:col>85</xdr:col>
      <xdr:colOff>294032</xdr:colOff>
      <xdr:row>1427</xdr:row>
      <xdr:rowOff>24020</xdr:rowOff>
    </xdr:from>
    <xdr:to>
      <xdr:col>90</xdr:col>
      <xdr:colOff>430696</xdr:colOff>
      <xdr:row>1437</xdr:row>
      <xdr:rowOff>66261</xdr:rowOff>
    </xdr:to>
    <xdr:graphicFrame macro="">
      <xdr:nvGraphicFramePr>
        <xdr:cNvPr id="206" name="Chart 20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0"/>
        </a:graphicData>
      </a:graphic>
    </xdr:graphicFrame>
    <xdr:clientData/>
  </xdr:twoCellAnchor>
  <xdr:twoCellAnchor>
    <xdr:from>
      <xdr:col>91</xdr:col>
      <xdr:colOff>459684</xdr:colOff>
      <xdr:row>1427</xdr:row>
      <xdr:rowOff>57150</xdr:rowOff>
    </xdr:from>
    <xdr:to>
      <xdr:col>97</xdr:col>
      <xdr:colOff>24847</xdr:colOff>
      <xdr:row>1437</xdr:row>
      <xdr:rowOff>91109</xdr:rowOff>
    </xdr:to>
    <xdr:graphicFrame macro="">
      <xdr:nvGraphicFramePr>
        <xdr:cNvPr id="207" name="Chart 20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1"/>
        </a:graphicData>
      </a:graphic>
    </xdr:graphicFrame>
    <xdr:clientData/>
  </xdr:twoCellAnchor>
  <xdr:twoCellAnchor>
    <xdr:from>
      <xdr:col>85</xdr:col>
      <xdr:colOff>277466</xdr:colOff>
      <xdr:row>1438</xdr:row>
      <xdr:rowOff>164823</xdr:rowOff>
    </xdr:from>
    <xdr:to>
      <xdr:col>90</xdr:col>
      <xdr:colOff>472109</xdr:colOff>
      <xdr:row>1449</xdr:row>
      <xdr:rowOff>132522</xdr:rowOff>
    </xdr:to>
    <xdr:graphicFrame macro="">
      <xdr:nvGraphicFramePr>
        <xdr:cNvPr id="208" name="Chart 20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2"/>
        </a:graphicData>
      </a:graphic>
    </xdr:graphicFrame>
    <xdr:clientData/>
  </xdr:twoCellAnchor>
  <xdr:twoCellAnchor>
    <xdr:from>
      <xdr:col>91</xdr:col>
      <xdr:colOff>393424</xdr:colOff>
      <xdr:row>1438</xdr:row>
      <xdr:rowOff>156540</xdr:rowOff>
    </xdr:from>
    <xdr:to>
      <xdr:col>97</xdr:col>
      <xdr:colOff>82826</xdr:colOff>
      <xdr:row>1449</xdr:row>
      <xdr:rowOff>57978</xdr:rowOff>
    </xdr:to>
    <xdr:graphicFrame macro="">
      <xdr:nvGraphicFramePr>
        <xdr:cNvPr id="209" name="Chart 20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3"/>
        </a:graphicData>
      </a:graphic>
    </xdr:graphicFrame>
    <xdr:clientData/>
  </xdr:twoCellAnchor>
  <xdr:twoCellAnchor>
    <xdr:from>
      <xdr:col>85</xdr:col>
      <xdr:colOff>244336</xdr:colOff>
      <xdr:row>1450</xdr:row>
      <xdr:rowOff>148259</xdr:rowOff>
    </xdr:from>
    <xdr:to>
      <xdr:col>91</xdr:col>
      <xdr:colOff>306456</xdr:colOff>
      <xdr:row>1462</xdr:row>
      <xdr:rowOff>107674</xdr:rowOff>
    </xdr:to>
    <xdr:graphicFrame macro="">
      <xdr:nvGraphicFramePr>
        <xdr:cNvPr id="210" name="Chart 20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4"/>
        </a:graphicData>
      </a:graphic>
    </xdr:graphicFrame>
    <xdr:clientData/>
  </xdr:twoCellAnchor>
  <xdr:twoCellAnchor>
    <xdr:from>
      <xdr:col>85</xdr:col>
      <xdr:colOff>269184</xdr:colOff>
      <xdr:row>1462</xdr:row>
      <xdr:rowOff>139976</xdr:rowOff>
    </xdr:from>
    <xdr:to>
      <xdr:col>91</xdr:col>
      <xdr:colOff>356152</xdr:colOff>
      <xdr:row>1473</xdr:row>
      <xdr:rowOff>157370</xdr:rowOff>
    </xdr:to>
    <xdr:graphicFrame macro="">
      <xdr:nvGraphicFramePr>
        <xdr:cNvPr id="211" name="Chart 2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5"/>
        </a:graphicData>
      </a:graphic>
    </xdr:graphicFrame>
    <xdr:clientData/>
  </xdr:twoCellAnchor>
  <xdr:twoCellAnchor>
    <xdr:from>
      <xdr:col>85</xdr:col>
      <xdr:colOff>277467</xdr:colOff>
      <xdr:row>1474</xdr:row>
      <xdr:rowOff>24020</xdr:rowOff>
    </xdr:from>
    <xdr:to>
      <xdr:col>91</xdr:col>
      <xdr:colOff>364435</xdr:colOff>
      <xdr:row>1485</xdr:row>
      <xdr:rowOff>16565</xdr:rowOff>
    </xdr:to>
    <xdr:graphicFrame macro="">
      <xdr:nvGraphicFramePr>
        <xdr:cNvPr id="212" name="Chart 2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6"/>
        </a:graphicData>
      </a:graphic>
    </xdr:graphicFrame>
    <xdr:clientData/>
  </xdr:twoCellAnchor>
  <xdr:twoCellAnchor>
    <xdr:from>
      <xdr:col>85</xdr:col>
      <xdr:colOff>285749</xdr:colOff>
      <xdr:row>1485</xdr:row>
      <xdr:rowOff>65432</xdr:rowOff>
    </xdr:from>
    <xdr:to>
      <xdr:col>91</xdr:col>
      <xdr:colOff>389283</xdr:colOff>
      <xdr:row>1495</xdr:row>
      <xdr:rowOff>149086</xdr:rowOff>
    </xdr:to>
    <xdr:graphicFrame macro="">
      <xdr:nvGraphicFramePr>
        <xdr:cNvPr id="213" name="Chart 2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7"/>
        </a:graphicData>
      </a:graphic>
    </xdr:graphicFrame>
    <xdr:clientData/>
  </xdr:twoCellAnchor>
  <xdr:twoCellAnchor>
    <xdr:from>
      <xdr:col>91</xdr:col>
      <xdr:colOff>559076</xdr:colOff>
      <xdr:row>1490</xdr:row>
      <xdr:rowOff>106844</xdr:rowOff>
    </xdr:from>
    <xdr:to>
      <xdr:col>96</xdr:col>
      <xdr:colOff>447261</xdr:colOff>
      <xdr:row>1501</xdr:row>
      <xdr:rowOff>33131</xdr:rowOff>
    </xdr:to>
    <xdr:graphicFrame macro="">
      <xdr:nvGraphicFramePr>
        <xdr:cNvPr id="214" name="Chart 2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8"/>
        </a:graphicData>
      </a:graphic>
    </xdr:graphicFrame>
    <xdr:clientData/>
  </xdr:twoCellAnchor>
  <xdr:twoCellAnchor>
    <xdr:from>
      <xdr:col>85</xdr:col>
      <xdr:colOff>95250</xdr:colOff>
      <xdr:row>1502</xdr:row>
      <xdr:rowOff>81997</xdr:rowOff>
    </xdr:from>
    <xdr:to>
      <xdr:col>91</xdr:col>
      <xdr:colOff>157371</xdr:colOff>
      <xdr:row>1514</xdr:row>
      <xdr:rowOff>99391</xdr:rowOff>
    </xdr:to>
    <xdr:graphicFrame macro="">
      <xdr:nvGraphicFramePr>
        <xdr:cNvPr id="215" name="Chart 2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9"/>
        </a:graphicData>
      </a:graphic>
    </xdr:graphicFrame>
    <xdr:clientData/>
  </xdr:twoCellAnchor>
  <xdr:twoCellAnchor>
    <xdr:from>
      <xdr:col>91</xdr:col>
      <xdr:colOff>418271</xdr:colOff>
      <xdr:row>1502</xdr:row>
      <xdr:rowOff>81997</xdr:rowOff>
    </xdr:from>
    <xdr:to>
      <xdr:col>97</xdr:col>
      <xdr:colOff>447260</xdr:colOff>
      <xdr:row>1514</xdr:row>
      <xdr:rowOff>124239</xdr:rowOff>
    </xdr:to>
    <xdr:graphicFrame macro="">
      <xdr:nvGraphicFramePr>
        <xdr:cNvPr id="216" name="Chart 2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0"/>
        </a:graphicData>
      </a:graphic>
    </xdr:graphicFrame>
    <xdr:clientData/>
  </xdr:twoCellAnchor>
  <xdr:twoCellAnchor>
    <xdr:from>
      <xdr:col>86</xdr:col>
      <xdr:colOff>455543</xdr:colOff>
      <xdr:row>1611</xdr:row>
      <xdr:rowOff>135835</xdr:rowOff>
    </xdr:from>
    <xdr:to>
      <xdr:col>94</xdr:col>
      <xdr:colOff>107674</xdr:colOff>
      <xdr:row>1626</xdr:row>
      <xdr:rowOff>91109</xdr:rowOff>
    </xdr:to>
    <xdr:graphicFrame macro="">
      <xdr:nvGraphicFramePr>
        <xdr:cNvPr id="217" name="Chart 2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1"/>
        </a:graphicData>
      </a:graphic>
    </xdr:graphicFrame>
    <xdr:clientData/>
  </xdr:twoCellAnchor>
  <xdr:twoCellAnchor>
    <xdr:from>
      <xdr:col>86</xdr:col>
      <xdr:colOff>447262</xdr:colOff>
      <xdr:row>1627</xdr:row>
      <xdr:rowOff>127553</xdr:rowOff>
    </xdr:from>
    <xdr:to>
      <xdr:col>93</xdr:col>
      <xdr:colOff>579782</xdr:colOff>
      <xdr:row>1642</xdr:row>
      <xdr:rowOff>16565</xdr:rowOff>
    </xdr:to>
    <xdr:graphicFrame macro="">
      <xdr:nvGraphicFramePr>
        <xdr:cNvPr id="218" name="Chart 2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2"/>
        </a:graphicData>
      </a:graphic>
    </xdr:graphicFrame>
    <xdr:clientData/>
  </xdr:twoCellAnchor>
  <xdr:twoCellAnchor>
    <xdr:from>
      <xdr:col>85</xdr:col>
      <xdr:colOff>281609</xdr:colOff>
      <xdr:row>1643</xdr:row>
      <xdr:rowOff>36444</xdr:rowOff>
    </xdr:from>
    <xdr:to>
      <xdr:col>91</xdr:col>
      <xdr:colOff>0</xdr:colOff>
      <xdr:row>1655</xdr:row>
      <xdr:rowOff>149087</xdr:rowOff>
    </xdr:to>
    <xdr:graphicFrame macro="">
      <xdr:nvGraphicFramePr>
        <xdr:cNvPr id="219" name="Chart 2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3"/>
        </a:graphicData>
      </a:graphic>
    </xdr:graphicFrame>
    <xdr:clientData/>
  </xdr:twoCellAnchor>
  <xdr:twoCellAnchor>
    <xdr:from>
      <xdr:col>91</xdr:col>
      <xdr:colOff>132522</xdr:colOff>
      <xdr:row>1642</xdr:row>
      <xdr:rowOff>152399</xdr:rowOff>
    </xdr:from>
    <xdr:to>
      <xdr:col>97</xdr:col>
      <xdr:colOff>356152</xdr:colOff>
      <xdr:row>1655</xdr:row>
      <xdr:rowOff>149087</xdr:rowOff>
    </xdr:to>
    <xdr:graphicFrame macro="">
      <xdr:nvGraphicFramePr>
        <xdr:cNvPr id="220" name="Chart 2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4"/>
        </a:graphicData>
      </a:graphic>
    </xdr:graphicFrame>
    <xdr:clientData/>
  </xdr:twoCellAnchor>
  <xdr:twoCellAnchor>
    <xdr:from>
      <xdr:col>85</xdr:col>
      <xdr:colOff>314740</xdr:colOff>
      <xdr:row>1656</xdr:row>
      <xdr:rowOff>102705</xdr:rowOff>
    </xdr:from>
    <xdr:to>
      <xdr:col>91</xdr:col>
      <xdr:colOff>231913</xdr:colOff>
      <xdr:row>1670</xdr:row>
      <xdr:rowOff>91108</xdr:rowOff>
    </xdr:to>
    <xdr:graphicFrame macro="">
      <xdr:nvGraphicFramePr>
        <xdr:cNvPr id="221" name="Chart 2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5"/>
        </a:graphicData>
      </a:graphic>
    </xdr:graphicFrame>
    <xdr:clientData/>
  </xdr:twoCellAnchor>
  <xdr:twoCellAnchor>
    <xdr:from>
      <xdr:col>91</xdr:col>
      <xdr:colOff>538370</xdr:colOff>
      <xdr:row>1656</xdr:row>
      <xdr:rowOff>86140</xdr:rowOff>
    </xdr:from>
    <xdr:to>
      <xdr:col>98</xdr:col>
      <xdr:colOff>24848</xdr:colOff>
      <xdr:row>1670</xdr:row>
      <xdr:rowOff>66261</xdr:rowOff>
    </xdr:to>
    <xdr:graphicFrame macro="">
      <xdr:nvGraphicFramePr>
        <xdr:cNvPr id="222" name="Chart 2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6"/>
        </a:graphicData>
      </a:graphic>
    </xdr:graphicFrame>
    <xdr:clientData/>
  </xdr:twoCellAnchor>
  <xdr:twoCellAnchor>
    <xdr:from>
      <xdr:col>91</xdr:col>
      <xdr:colOff>467966</xdr:colOff>
      <xdr:row>1402</xdr:row>
      <xdr:rowOff>90281</xdr:rowOff>
    </xdr:from>
    <xdr:to>
      <xdr:col>96</xdr:col>
      <xdr:colOff>323021</xdr:colOff>
      <xdr:row>1412</xdr:row>
      <xdr:rowOff>49696</xdr:rowOff>
    </xdr:to>
    <xdr:graphicFrame macro="">
      <xdr:nvGraphicFramePr>
        <xdr:cNvPr id="224" name="Chart 2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7"/>
        </a:graphicData>
      </a:graphic>
    </xdr:graphicFrame>
    <xdr:clientData/>
  </xdr:twoCellAnchor>
  <xdr:twoCellAnchor>
    <xdr:from>
      <xdr:col>85</xdr:col>
      <xdr:colOff>393422</xdr:colOff>
      <xdr:row>1415</xdr:row>
      <xdr:rowOff>40585</xdr:rowOff>
    </xdr:from>
    <xdr:to>
      <xdr:col>90</xdr:col>
      <xdr:colOff>554935</xdr:colOff>
      <xdr:row>1425</xdr:row>
      <xdr:rowOff>41413</xdr:rowOff>
    </xdr:to>
    <xdr:graphicFrame macro="">
      <xdr:nvGraphicFramePr>
        <xdr:cNvPr id="225" name="Chart 2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8"/>
        </a:graphicData>
      </a:graphic>
    </xdr:graphicFrame>
    <xdr:clientData/>
  </xdr:twoCellAnchor>
  <xdr:twoCellAnchor>
    <xdr:from>
      <xdr:col>91</xdr:col>
      <xdr:colOff>476249</xdr:colOff>
      <xdr:row>1415</xdr:row>
      <xdr:rowOff>32301</xdr:rowOff>
    </xdr:from>
    <xdr:to>
      <xdr:col>96</xdr:col>
      <xdr:colOff>447261</xdr:colOff>
      <xdr:row>1424</xdr:row>
      <xdr:rowOff>24848</xdr:rowOff>
    </xdr:to>
    <xdr:graphicFrame macro="">
      <xdr:nvGraphicFramePr>
        <xdr:cNvPr id="226" name="Chart 2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9"/>
        </a:graphicData>
      </a:graphic>
    </xdr:graphicFrame>
    <xdr:clientData/>
  </xdr:twoCellAnchor>
  <xdr:twoCellAnchor>
    <xdr:from>
      <xdr:col>85</xdr:col>
      <xdr:colOff>294032</xdr:colOff>
      <xdr:row>1427</xdr:row>
      <xdr:rowOff>24020</xdr:rowOff>
    </xdr:from>
    <xdr:to>
      <xdr:col>90</xdr:col>
      <xdr:colOff>430696</xdr:colOff>
      <xdr:row>1437</xdr:row>
      <xdr:rowOff>66261</xdr:rowOff>
    </xdr:to>
    <xdr:graphicFrame macro="">
      <xdr:nvGraphicFramePr>
        <xdr:cNvPr id="227" name="Chart 2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0"/>
        </a:graphicData>
      </a:graphic>
    </xdr:graphicFrame>
    <xdr:clientData/>
  </xdr:twoCellAnchor>
  <xdr:twoCellAnchor>
    <xdr:from>
      <xdr:col>91</xdr:col>
      <xdr:colOff>459684</xdr:colOff>
      <xdr:row>1427</xdr:row>
      <xdr:rowOff>57150</xdr:rowOff>
    </xdr:from>
    <xdr:to>
      <xdr:col>97</xdr:col>
      <xdr:colOff>24847</xdr:colOff>
      <xdr:row>1437</xdr:row>
      <xdr:rowOff>91109</xdr:rowOff>
    </xdr:to>
    <xdr:graphicFrame macro="">
      <xdr:nvGraphicFramePr>
        <xdr:cNvPr id="228" name="Chart 22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1"/>
        </a:graphicData>
      </a:graphic>
    </xdr:graphicFrame>
    <xdr:clientData/>
  </xdr:twoCellAnchor>
  <xdr:twoCellAnchor>
    <xdr:from>
      <xdr:col>85</xdr:col>
      <xdr:colOff>277466</xdr:colOff>
      <xdr:row>1438</xdr:row>
      <xdr:rowOff>164823</xdr:rowOff>
    </xdr:from>
    <xdr:to>
      <xdr:col>90</xdr:col>
      <xdr:colOff>472109</xdr:colOff>
      <xdr:row>1449</xdr:row>
      <xdr:rowOff>132522</xdr:rowOff>
    </xdr:to>
    <xdr:graphicFrame macro="">
      <xdr:nvGraphicFramePr>
        <xdr:cNvPr id="229" name="Chart 22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2"/>
        </a:graphicData>
      </a:graphic>
    </xdr:graphicFrame>
    <xdr:clientData/>
  </xdr:twoCellAnchor>
  <xdr:twoCellAnchor>
    <xdr:from>
      <xdr:col>91</xdr:col>
      <xdr:colOff>393424</xdr:colOff>
      <xdr:row>1438</xdr:row>
      <xdr:rowOff>156540</xdr:rowOff>
    </xdr:from>
    <xdr:to>
      <xdr:col>97</xdr:col>
      <xdr:colOff>82826</xdr:colOff>
      <xdr:row>1449</xdr:row>
      <xdr:rowOff>57978</xdr:rowOff>
    </xdr:to>
    <xdr:graphicFrame macro="">
      <xdr:nvGraphicFramePr>
        <xdr:cNvPr id="230" name="Chart 22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3"/>
        </a:graphicData>
      </a:graphic>
    </xdr:graphicFrame>
    <xdr:clientData/>
  </xdr:twoCellAnchor>
  <xdr:twoCellAnchor>
    <xdr:from>
      <xdr:col>85</xdr:col>
      <xdr:colOff>244336</xdr:colOff>
      <xdr:row>1450</xdr:row>
      <xdr:rowOff>152399</xdr:rowOff>
    </xdr:from>
    <xdr:to>
      <xdr:col>91</xdr:col>
      <xdr:colOff>289560</xdr:colOff>
      <xdr:row>1462</xdr:row>
      <xdr:rowOff>107674</xdr:rowOff>
    </xdr:to>
    <xdr:graphicFrame macro="">
      <xdr:nvGraphicFramePr>
        <xdr:cNvPr id="231" name="Chart 2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4"/>
        </a:graphicData>
      </a:graphic>
    </xdr:graphicFrame>
    <xdr:clientData/>
  </xdr:twoCellAnchor>
  <xdr:twoCellAnchor>
    <xdr:from>
      <xdr:col>85</xdr:col>
      <xdr:colOff>277467</xdr:colOff>
      <xdr:row>1474</xdr:row>
      <xdr:rowOff>24020</xdr:rowOff>
    </xdr:from>
    <xdr:to>
      <xdr:col>91</xdr:col>
      <xdr:colOff>364435</xdr:colOff>
      <xdr:row>1485</xdr:row>
      <xdr:rowOff>16565</xdr:rowOff>
    </xdr:to>
    <xdr:graphicFrame macro="">
      <xdr:nvGraphicFramePr>
        <xdr:cNvPr id="233" name="Chart 23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5"/>
        </a:graphicData>
      </a:graphic>
    </xdr:graphicFrame>
    <xdr:clientData/>
  </xdr:twoCellAnchor>
  <xdr:twoCellAnchor>
    <xdr:from>
      <xdr:col>85</xdr:col>
      <xdr:colOff>285749</xdr:colOff>
      <xdr:row>1485</xdr:row>
      <xdr:rowOff>65432</xdr:rowOff>
    </xdr:from>
    <xdr:to>
      <xdr:col>91</xdr:col>
      <xdr:colOff>389283</xdr:colOff>
      <xdr:row>1495</xdr:row>
      <xdr:rowOff>149086</xdr:rowOff>
    </xdr:to>
    <xdr:graphicFrame macro="">
      <xdr:nvGraphicFramePr>
        <xdr:cNvPr id="234" name="Chart 23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6"/>
        </a:graphicData>
      </a:graphic>
    </xdr:graphicFrame>
    <xdr:clientData/>
  </xdr:twoCellAnchor>
  <xdr:twoCellAnchor>
    <xdr:from>
      <xdr:col>91</xdr:col>
      <xdr:colOff>559076</xdr:colOff>
      <xdr:row>1490</xdr:row>
      <xdr:rowOff>106844</xdr:rowOff>
    </xdr:from>
    <xdr:to>
      <xdr:col>96</xdr:col>
      <xdr:colOff>447261</xdr:colOff>
      <xdr:row>1501</xdr:row>
      <xdr:rowOff>33131</xdr:rowOff>
    </xdr:to>
    <xdr:graphicFrame macro="">
      <xdr:nvGraphicFramePr>
        <xdr:cNvPr id="235" name="Chart 23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7"/>
        </a:graphicData>
      </a:graphic>
    </xdr:graphicFrame>
    <xdr:clientData/>
  </xdr:twoCellAnchor>
  <xdr:twoCellAnchor>
    <xdr:from>
      <xdr:col>85</xdr:col>
      <xdr:colOff>95250</xdr:colOff>
      <xdr:row>1502</xdr:row>
      <xdr:rowOff>81997</xdr:rowOff>
    </xdr:from>
    <xdr:to>
      <xdr:col>91</xdr:col>
      <xdr:colOff>157371</xdr:colOff>
      <xdr:row>1514</xdr:row>
      <xdr:rowOff>99391</xdr:rowOff>
    </xdr:to>
    <xdr:graphicFrame macro="">
      <xdr:nvGraphicFramePr>
        <xdr:cNvPr id="236" name="Chart 23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8"/>
        </a:graphicData>
      </a:graphic>
    </xdr:graphicFrame>
    <xdr:clientData/>
  </xdr:twoCellAnchor>
  <xdr:twoCellAnchor>
    <xdr:from>
      <xdr:col>91</xdr:col>
      <xdr:colOff>418271</xdr:colOff>
      <xdr:row>1502</xdr:row>
      <xdr:rowOff>81997</xdr:rowOff>
    </xdr:from>
    <xdr:to>
      <xdr:col>97</xdr:col>
      <xdr:colOff>447260</xdr:colOff>
      <xdr:row>1514</xdr:row>
      <xdr:rowOff>124239</xdr:rowOff>
    </xdr:to>
    <xdr:graphicFrame macro="">
      <xdr:nvGraphicFramePr>
        <xdr:cNvPr id="237" name="Chart 23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9"/>
        </a:graphicData>
      </a:graphic>
    </xdr:graphicFrame>
    <xdr:clientData/>
  </xdr:twoCellAnchor>
  <xdr:twoCellAnchor>
    <xdr:from>
      <xdr:col>86</xdr:col>
      <xdr:colOff>455543</xdr:colOff>
      <xdr:row>1611</xdr:row>
      <xdr:rowOff>135835</xdr:rowOff>
    </xdr:from>
    <xdr:to>
      <xdr:col>94</xdr:col>
      <xdr:colOff>107674</xdr:colOff>
      <xdr:row>1626</xdr:row>
      <xdr:rowOff>91109</xdr:rowOff>
    </xdr:to>
    <xdr:graphicFrame macro="">
      <xdr:nvGraphicFramePr>
        <xdr:cNvPr id="238" name="Chart 23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0"/>
        </a:graphicData>
      </a:graphic>
    </xdr:graphicFrame>
    <xdr:clientData/>
  </xdr:twoCellAnchor>
  <xdr:twoCellAnchor>
    <xdr:from>
      <xdr:col>86</xdr:col>
      <xdr:colOff>447262</xdr:colOff>
      <xdr:row>1627</xdr:row>
      <xdr:rowOff>127553</xdr:rowOff>
    </xdr:from>
    <xdr:to>
      <xdr:col>93</xdr:col>
      <xdr:colOff>579782</xdr:colOff>
      <xdr:row>1642</xdr:row>
      <xdr:rowOff>16565</xdr:rowOff>
    </xdr:to>
    <xdr:graphicFrame macro="">
      <xdr:nvGraphicFramePr>
        <xdr:cNvPr id="239" name="Chart 23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1"/>
        </a:graphicData>
      </a:graphic>
    </xdr:graphicFrame>
    <xdr:clientData/>
  </xdr:twoCellAnchor>
  <xdr:twoCellAnchor>
    <xdr:from>
      <xdr:col>85</xdr:col>
      <xdr:colOff>281609</xdr:colOff>
      <xdr:row>1643</xdr:row>
      <xdr:rowOff>36444</xdr:rowOff>
    </xdr:from>
    <xdr:to>
      <xdr:col>91</xdr:col>
      <xdr:colOff>0</xdr:colOff>
      <xdr:row>1655</xdr:row>
      <xdr:rowOff>149087</xdr:rowOff>
    </xdr:to>
    <xdr:graphicFrame macro="">
      <xdr:nvGraphicFramePr>
        <xdr:cNvPr id="240" name="Chart 23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2"/>
        </a:graphicData>
      </a:graphic>
    </xdr:graphicFrame>
    <xdr:clientData/>
  </xdr:twoCellAnchor>
  <xdr:twoCellAnchor>
    <xdr:from>
      <xdr:col>91</xdr:col>
      <xdr:colOff>132522</xdr:colOff>
      <xdr:row>1642</xdr:row>
      <xdr:rowOff>152399</xdr:rowOff>
    </xdr:from>
    <xdr:to>
      <xdr:col>97</xdr:col>
      <xdr:colOff>356152</xdr:colOff>
      <xdr:row>1655</xdr:row>
      <xdr:rowOff>149087</xdr:rowOff>
    </xdr:to>
    <xdr:graphicFrame macro="">
      <xdr:nvGraphicFramePr>
        <xdr:cNvPr id="241" name="Chart 24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3"/>
        </a:graphicData>
      </a:graphic>
    </xdr:graphicFrame>
    <xdr:clientData/>
  </xdr:twoCellAnchor>
  <xdr:twoCellAnchor>
    <xdr:from>
      <xdr:col>85</xdr:col>
      <xdr:colOff>314740</xdr:colOff>
      <xdr:row>1656</xdr:row>
      <xdr:rowOff>102705</xdr:rowOff>
    </xdr:from>
    <xdr:to>
      <xdr:col>91</xdr:col>
      <xdr:colOff>231913</xdr:colOff>
      <xdr:row>1670</xdr:row>
      <xdr:rowOff>91108</xdr:rowOff>
    </xdr:to>
    <xdr:graphicFrame macro="">
      <xdr:nvGraphicFramePr>
        <xdr:cNvPr id="242" name="Chart 24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4"/>
        </a:graphicData>
      </a:graphic>
    </xdr:graphicFrame>
    <xdr:clientData/>
  </xdr:twoCellAnchor>
  <xdr:twoCellAnchor>
    <xdr:from>
      <xdr:col>91</xdr:col>
      <xdr:colOff>538370</xdr:colOff>
      <xdr:row>1656</xdr:row>
      <xdr:rowOff>86140</xdr:rowOff>
    </xdr:from>
    <xdr:to>
      <xdr:col>98</xdr:col>
      <xdr:colOff>24848</xdr:colOff>
      <xdr:row>1670</xdr:row>
      <xdr:rowOff>66261</xdr:rowOff>
    </xdr:to>
    <xdr:graphicFrame macro="">
      <xdr:nvGraphicFramePr>
        <xdr:cNvPr id="243" name="Chart 24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5"/>
        </a:graphicData>
      </a:graphic>
    </xdr:graphicFrame>
    <xdr:clientData/>
  </xdr:twoCellAnchor>
  <xdr:twoCellAnchor>
    <xdr:from>
      <xdr:col>85</xdr:col>
      <xdr:colOff>492816</xdr:colOff>
      <xdr:row>1516</xdr:row>
      <xdr:rowOff>82826</xdr:rowOff>
    </xdr:from>
    <xdr:to>
      <xdr:col>93</xdr:col>
      <xdr:colOff>157369</xdr:colOff>
      <xdr:row>1531</xdr:row>
      <xdr:rowOff>112644</xdr:rowOff>
    </xdr:to>
    <xdr:graphicFrame macro="">
      <xdr:nvGraphicFramePr>
        <xdr:cNvPr id="244" name="Chart 24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6"/>
        </a:graphicData>
      </a:graphic>
    </xdr:graphicFrame>
    <xdr:clientData/>
  </xdr:twoCellAnchor>
  <xdr:twoCellAnchor>
    <xdr:from>
      <xdr:col>86</xdr:col>
      <xdr:colOff>418272</xdr:colOff>
      <xdr:row>1532</xdr:row>
      <xdr:rowOff>16566</xdr:rowOff>
    </xdr:from>
    <xdr:to>
      <xdr:col>94</xdr:col>
      <xdr:colOff>49696</xdr:colOff>
      <xdr:row>1547</xdr:row>
      <xdr:rowOff>71231</xdr:rowOff>
    </xdr:to>
    <xdr:graphicFrame macro="">
      <xdr:nvGraphicFramePr>
        <xdr:cNvPr id="245" name="Chart 24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7"/>
        </a:graphicData>
      </a:graphic>
    </xdr:graphicFrame>
    <xdr:clientData/>
  </xdr:twoCellAnchor>
  <xdr:twoCellAnchor>
    <xdr:from>
      <xdr:col>85</xdr:col>
      <xdr:colOff>227771</xdr:colOff>
      <xdr:row>1549</xdr:row>
      <xdr:rowOff>77858</xdr:rowOff>
    </xdr:from>
    <xdr:to>
      <xdr:col>92</xdr:col>
      <xdr:colOff>207065</xdr:colOff>
      <xdr:row>1562</xdr:row>
      <xdr:rowOff>140804</xdr:rowOff>
    </xdr:to>
    <xdr:graphicFrame macro="">
      <xdr:nvGraphicFramePr>
        <xdr:cNvPr id="246" name="Chart 24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8"/>
        </a:graphicData>
      </a:graphic>
    </xdr:graphicFrame>
    <xdr:clientData/>
  </xdr:twoCellAnchor>
  <xdr:twoCellAnchor>
    <xdr:from>
      <xdr:col>85</xdr:col>
      <xdr:colOff>534228</xdr:colOff>
      <xdr:row>1566</xdr:row>
      <xdr:rowOff>94422</xdr:rowOff>
    </xdr:from>
    <xdr:to>
      <xdr:col>92</xdr:col>
      <xdr:colOff>571500</xdr:colOff>
      <xdr:row>1579</xdr:row>
      <xdr:rowOff>157370</xdr:rowOff>
    </xdr:to>
    <xdr:graphicFrame macro="">
      <xdr:nvGraphicFramePr>
        <xdr:cNvPr id="247" name="Chart 24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9"/>
        </a:graphicData>
      </a:graphic>
    </xdr:graphicFrame>
    <xdr:clientData/>
  </xdr:twoCellAnchor>
  <xdr:twoCellAnchor>
    <xdr:from>
      <xdr:col>86</xdr:col>
      <xdr:colOff>19050</xdr:colOff>
      <xdr:row>54</xdr:row>
      <xdr:rowOff>114300</xdr:rowOff>
    </xdr:from>
    <xdr:to>
      <xdr:col>89</xdr:col>
      <xdr:colOff>447675</xdr:colOff>
      <xdr:row>62</xdr:row>
      <xdr:rowOff>28575</xdr:rowOff>
    </xdr:to>
    <xdr:graphicFrame macro="">
      <xdr:nvGraphicFramePr>
        <xdr:cNvPr id="248" name="Chart 24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0"/>
        </a:graphicData>
      </a:graphic>
    </xdr:graphicFrame>
    <xdr:clientData/>
  </xdr:twoCellAnchor>
  <xdr:twoCellAnchor>
    <xdr:from>
      <xdr:col>89</xdr:col>
      <xdr:colOff>600075</xdr:colOff>
      <xdr:row>54</xdr:row>
      <xdr:rowOff>95250</xdr:rowOff>
    </xdr:from>
    <xdr:to>
      <xdr:col>93</xdr:col>
      <xdr:colOff>495300</xdr:colOff>
      <xdr:row>62</xdr:row>
      <xdr:rowOff>66675</xdr:rowOff>
    </xdr:to>
    <xdr:graphicFrame macro="">
      <xdr:nvGraphicFramePr>
        <xdr:cNvPr id="249" name="Chart 24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1"/>
        </a:graphicData>
      </a:graphic>
    </xdr:graphicFrame>
    <xdr:clientData/>
  </xdr:twoCellAnchor>
  <xdr:twoCellAnchor>
    <xdr:from>
      <xdr:col>85</xdr:col>
      <xdr:colOff>219075</xdr:colOff>
      <xdr:row>62</xdr:row>
      <xdr:rowOff>133350</xdr:rowOff>
    </xdr:from>
    <xdr:to>
      <xdr:col>89</xdr:col>
      <xdr:colOff>161925</xdr:colOff>
      <xdr:row>70</xdr:row>
      <xdr:rowOff>9525</xdr:rowOff>
    </xdr:to>
    <xdr:graphicFrame macro="">
      <xdr:nvGraphicFramePr>
        <xdr:cNvPr id="250" name="Chart 24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2"/>
        </a:graphicData>
      </a:graphic>
    </xdr:graphicFrame>
    <xdr:clientData/>
  </xdr:twoCellAnchor>
  <xdr:twoCellAnchor>
    <xdr:from>
      <xdr:col>89</xdr:col>
      <xdr:colOff>352424</xdr:colOff>
      <xdr:row>62</xdr:row>
      <xdr:rowOff>95250</xdr:rowOff>
    </xdr:from>
    <xdr:to>
      <xdr:col>93</xdr:col>
      <xdr:colOff>200025</xdr:colOff>
      <xdr:row>70</xdr:row>
      <xdr:rowOff>9525</xdr:rowOff>
    </xdr:to>
    <xdr:graphicFrame macro="">
      <xdr:nvGraphicFramePr>
        <xdr:cNvPr id="251" name="Chart 25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3"/>
        </a:graphicData>
      </a:graphic>
    </xdr:graphicFrame>
    <xdr:clientData/>
  </xdr:twoCellAnchor>
  <xdr:twoCellAnchor>
    <xdr:from>
      <xdr:col>85</xdr:col>
      <xdr:colOff>428625</xdr:colOff>
      <xdr:row>69</xdr:row>
      <xdr:rowOff>114299</xdr:rowOff>
    </xdr:from>
    <xdr:to>
      <xdr:col>89</xdr:col>
      <xdr:colOff>285750</xdr:colOff>
      <xdr:row>77</xdr:row>
      <xdr:rowOff>57150</xdr:rowOff>
    </xdr:to>
    <xdr:graphicFrame macro="">
      <xdr:nvGraphicFramePr>
        <xdr:cNvPr id="252" name="Chart 25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4"/>
        </a:graphicData>
      </a:graphic>
    </xdr:graphicFrame>
    <xdr:clientData/>
  </xdr:twoCellAnchor>
  <xdr:twoCellAnchor>
    <xdr:from>
      <xdr:col>89</xdr:col>
      <xdr:colOff>447675</xdr:colOff>
      <xdr:row>70</xdr:row>
      <xdr:rowOff>123825</xdr:rowOff>
    </xdr:from>
    <xdr:to>
      <xdr:col>93</xdr:col>
      <xdr:colOff>295275</xdr:colOff>
      <xdr:row>78</xdr:row>
      <xdr:rowOff>38100</xdr:rowOff>
    </xdr:to>
    <xdr:graphicFrame macro="">
      <xdr:nvGraphicFramePr>
        <xdr:cNvPr id="253" name="Chart 25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5"/>
        </a:graphicData>
      </a:graphic>
    </xdr:graphicFrame>
    <xdr:clientData/>
  </xdr:twoCellAnchor>
  <xdr:twoCellAnchor>
    <xdr:from>
      <xdr:col>85</xdr:col>
      <xdr:colOff>228600</xdr:colOff>
      <xdr:row>77</xdr:row>
      <xdr:rowOff>114299</xdr:rowOff>
    </xdr:from>
    <xdr:to>
      <xdr:col>89</xdr:col>
      <xdr:colOff>276225</xdr:colOff>
      <xdr:row>86</xdr:row>
      <xdr:rowOff>57149</xdr:rowOff>
    </xdr:to>
    <xdr:graphicFrame macro="">
      <xdr:nvGraphicFramePr>
        <xdr:cNvPr id="254" name="Chart 25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6"/>
        </a:graphicData>
      </a:graphic>
    </xdr:graphicFrame>
    <xdr:clientData/>
  </xdr:twoCellAnchor>
  <xdr:twoCellAnchor>
    <xdr:from>
      <xdr:col>89</xdr:col>
      <xdr:colOff>571500</xdr:colOff>
      <xdr:row>78</xdr:row>
      <xdr:rowOff>104775</xdr:rowOff>
    </xdr:from>
    <xdr:to>
      <xdr:col>93</xdr:col>
      <xdr:colOff>523875</xdr:colOff>
      <xdr:row>86</xdr:row>
      <xdr:rowOff>95250</xdr:rowOff>
    </xdr:to>
    <xdr:graphicFrame macro="">
      <xdr:nvGraphicFramePr>
        <xdr:cNvPr id="255" name="Chart 25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7"/>
        </a:graphicData>
      </a:graphic>
    </xdr:graphicFrame>
    <xdr:clientData/>
  </xdr:twoCellAnchor>
  <xdr:twoCellAnchor>
    <xdr:from>
      <xdr:col>85</xdr:col>
      <xdr:colOff>247650</xdr:colOff>
      <xdr:row>711</xdr:row>
      <xdr:rowOff>261937</xdr:rowOff>
    </xdr:from>
    <xdr:to>
      <xdr:col>92</xdr:col>
      <xdr:colOff>552450</xdr:colOff>
      <xdr:row>720</xdr:row>
      <xdr:rowOff>252412</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8"/>
        </a:graphicData>
      </a:graphic>
    </xdr:graphicFrame>
    <xdr:clientData/>
  </xdr:twoCellAnchor>
  <xdr:twoCellAnchor>
    <xdr:from>
      <xdr:col>85</xdr:col>
      <xdr:colOff>571500</xdr:colOff>
      <xdr:row>721</xdr:row>
      <xdr:rowOff>80962</xdr:rowOff>
    </xdr:from>
    <xdr:to>
      <xdr:col>92</xdr:col>
      <xdr:colOff>85725</xdr:colOff>
      <xdr:row>733</xdr:row>
      <xdr:rowOff>85725</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9"/>
        </a:graphicData>
      </a:graphic>
    </xdr:graphicFrame>
    <xdr:clientData/>
  </xdr:twoCellAnchor>
  <xdr:twoCellAnchor>
    <xdr:from>
      <xdr:col>86</xdr:col>
      <xdr:colOff>266700</xdr:colOff>
      <xdr:row>746</xdr:row>
      <xdr:rowOff>114299</xdr:rowOff>
    </xdr:from>
    <xdr:to>
      <xdr:col>92</xdr:col>
      <xdr:colOff>561975</xdr:colOff>
      <xdr:row>757</xdr:row>
      <xdr:rowOff>47625</xdr:rowOff>
    </xdr:to>
    <xdr:graphicFrame macro="">
      <xdr:nvGraphicFramePr>
        <xdr:cNvPr id="6" name="Chart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0"/>
        </a:graphicData>
      </a:graphic>
    </xdr:graphicFrame>
    <xdr:clientData/>
  </xdr:twoCellAnchor>
  <xdr:twoCellAnchor>
    <xdr:from>
      <xdr:col>85</xdr:col>
      <xdr:colOff>371475</xdr:colOff>
      <xdr:row>759</xdr:row>
      <xdr:rowOff>4762</xdr:rowOff>
    </xdr:from>
    <xdr:to>
      <xdr:col>92</xdr:col>
      <xdr:colOff>285750</xdr:colOff>
      <xdr:row>769</xdr:row>
      <xdr:rowOff>38100</xdr:rowOff>
    </xdr:to>
    <xdr:graphicFrame macro="">
      <xdr:nvGraphicFramePr>
        <xdr:cNvPr id="7" name="Chart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1"/>
        </a:graphicData>
      </a:graphic>
    </xdr:graphicFrame>
    <xdr:clientData/>
  </xdr:twoCellAnchor>
  <xdr:twoCellAnchor>
    <xdr:from>
      <xdr:col>88</xdr:col>
      <xdr:colOff>485774</xdr:colOff>
      <xdr:row>768</xdr:row>
      <xdr:rowOff>157162</xdr:rowOff>
    </xdr:from>
    <xdr:to>
      <xdr:col>96</xdr:col>
      <xdr:colOff>85725</xdr:colOff>
      <xdr:row>779</xdr:row>
      <xdr:rowOff>38100</xdr:rowOff>
    </xdr:to>
    <xdr:graphicFrame macro="">
      <xdr:nvGraphicFramePr>
        <xdr:cNvPr id="8" name="Chart 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2"/>
        </a:graphicData>
      </a:graphic>
    </xdr:graphicFrame>
    <xdr:clientData/>
  </xdr:twoCellAnchor>
  <xdr:twoCellAnchor>
    <xdr:from>
      <xdr:col>85</xdr:col>
      <xdr:colOff>219075</xdr:colOff>
      <xdr:row>812</xdr:row>
      <xdr:rowOff>119062</xdr:rowOff>
    </xdr:from>
    <xdr:to>
      <xdr:col>90</xdr:col>
      <xdr:colOff>0</xdr:colOff>
      <xdr:row>820</xdr:row>
      <xdr:rowOff>47625</xdr:rowOff>
    </xdr:to>
    <xdr:graphicFrame macro="">
      <xdr:nvGraphicFramePr>
        <xdr:cNvPr id="9" name="Chart 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3"/>
        </a:graphicData>
      </a:graphic>
    </xdr:graphicFrame>
    <xdr:clientData/>
  </xdr:twoCellAnchor>
  <xdr:twoCellAnchor>
    <xdr:from>
      <xdr:col>90</xdr:col>
      <xdr:colOff>152400</xdr:colOff>
      <xdr:row>812</xdr:row>
      <xdr:rowOff>42862</xdr:rowOff>
    </xdr:from>
    <xdr:to>
      <xdr:col>95</xdr:col>
      <xdr:colOff>66675</xdr:colOff>
      <xdr:row>820</xdr:row>
      <xdr:rowOff>66675</xdr:rowOff>
    </xdr:to>
    <xdr:graphicFrame macro="">
      <xdr:nvGraphicFramePr>
        <xdr:cNvPr id="256" name="Chart 25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4"/>
        </a:graphicData>
      </a:graphic>
    </xdr:graphicFrame>
    <xdr:clientData/>
  </xdr:twoCellAnchor>
  <xdr:twoCellAnchor>
    <xdr:from>
      <xdr:col>95</xdr:col>
      <xdr:colOff>209551</xdr:colOff>
      <xdr:row>811</xdr:row>
      <xdr:rowOff>71438</xdr:rowOff>
    </xdr:from>
    <xdr:to>
      <xdr:col>99</xdr:col>
      <xdr:colOff>400051</xdr:colOff>
      <xdr:row>820</xdr:row>
      <xdr:rowOff>76201</xdr:rowOff>
    </xdr:to>
    <xdr:graphicFrame macro="">
      <xdr:nvGraphicFramePr>
        <xdr:cNvPr id="257" name="Chart 25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5"/>
        </a:graphicData>
      </a:graphic>
    </xdr:graphicFrame>
    <xdr:clientData/>
  </xdr:twoCellAnchor>
  <xdr:twoCellAnchor>
    <xdr:from>
      <xdr:col>85</xdr:col>
      <xdr:colOff>152401</xdr:colOff>
      <xdr:row>993</xdr:row>
      <xdr:rowOff>95250</xdr:rowOff>
    </xdr:from>
    <xdr:to>
      <xdr:col>90</xdr:col>
      <xdr:colOff>342901</xdr:colOff>
      <xdr:row>1004</xdr:row>
      <xdr:rowOff>95250</xdr:rowOff>
    </xdr:to>
    <xdr:graphicFrame macro="">
      <xdr:nvGraphicFramePr>
        <xdr:cNvPr id="258" name="Chart 25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6"/>
        </a:graphicData>
      </a:graphic>
    </xdr:graphicFrame>
    <xdr:clientData/>
  </xdr:twoCellAnchor>
  <xdr:twoCellAnchor>
    <xdr:from>
      <xdr:col>90</xdr:col>
      <xdr:colOff>476250</xdr:colOff>
      <xdr:row>995</xdr:row>
      <xdr:rowOff>114300</xdr:rowOff>
    </xdr:from>
    <xdr:to>
      <xdr:col>96</xdr:col>
      <xdr:colOff>209550</xdr:colOff>
      <xdr:row>1005</xdr:row>
      <xdr:rowOff>119062</xdr:rowOff>
    </xdr:to>
    <xdr:graphicFrame macro="">
      <xdr:nvGraphicFramePr>
        <xdr:cNvPr id="260" name="Chart 25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7"/>
        </a:graphicData>
      </a:graphic>
    </xdr:graphicFrame>
    <xdr:clientData/>
  </xdr:twoCellAnchor>
  <xdr:twoCellAnchor>
    <xdr:from>
      <xdr:col>96</xdr:col>
      <xdr:colOff>476250</xdr:colOff>
      <xdr:row>996</xdr:row>
      <xdr:rowOff>0</xdr:rowOff>
    </xdr:from>
    <xdr:to>
      <xdr:col>103</xdr:col>
      <xdr:colOff>114300</xdr:colOff>
      <xdr:row>1006</xdr:row>
      <xdr:rowOff>138112</xdr:rowOff>
    </xdr:to>
    <xdr:graphicFrame macro="">
      <xdr:nvGraphicFramePr>
        <xdr:cNvPr id="262" name="Chart 26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8"/>
        </a:graphicData>
      </a:graphic>
    </xdr:graphicFrame>
    <xdr:clientData/>
  </xdr:twoCellAnchor>
  <xdr:twoCellAnchor>
    <xdr:from>
      <xdr:col>85</xdr:col>
      <xdr:colOff>200025</xdr:colOff>
      <xdr:row>1004</xdr:row>
      <xdr:rowOff>104775</xdr:rowOff>
    </xdr:from>
    <xdr:to>
      <xdr:col>90</xdr:col>
      <xdr:colOff>304800</xdr:colOff>
      <xdr:row>1016</xdr:row>
      <xdr:rowOff>128587</xdr:rowOff>
    </xdr:to>
    <xdr:graphicFrame macro="">
      <xdr:nvGraphicFramePr>
        <xdr:cNvPr id="263" name="Chart 26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9"/>
        </a:graphicData>
      </a:graphic>
    </xdr:graphicFrame>
    <xdr:clientData/>
  </xdr:twoCellAnchor>
  <xdr:twoCellAnchor>
    <xdr:from>
      <xdr:col>91</xdr:col>
      <xdr:colOff>47625</xdr:colOff>
      <xdr:row>1005</xdr:row>
      <xdr:rowOff>133350</xdr:rowOff>
    </xdr:from>
    <xdr:to>
      <xdr:col>96</xdr:col>
      <xdr:colOff>247650</xdr:colOff>
      <xdr:row>1017</xdr:row>
      <xdr:rowOff>33337</xdr:rowOff>
    </xdr:to>
    <xdr:graphicFrame macro="">
      <xdr:nvGraphicFramePr>
        <xdr:cNvPr id="264" name="Chart 26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0"/>
        </a:graphicData>
      </a:graphic>
    </xdr:graphicFrame>
    <xdr:clientData/>
  </xdr:twoCellAnchor>
  <xdr:twoCellAnchor>
    <xdr:from>
      <xdr:col>85</xdr:col>
      <xdr:colOff>209550</xdr:colOff>
      <xdr:row>1017</xdr:row>
      <xdr:rowOff>28575</xdr:rowOff>
    </xdr:from>
    <xdr:to>
      <xdr:col>90</xdr:col>
      <xdr:colOff>180975</xdr:colOff>
      <xdr:row>1027</xdr:row>
      <xdr:rowOff>14287</xdr:rowOff>
    </xdr:to>
    <xdr:graphicFrame macro="">
      <xdr:nvGraphicFramePr>
        <xdr:cNvPr id="265" name="Chart 26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1"/>
        </a:graphicData>
      </a:graphic>
    </xdr:graphicFrame>
    <xdr:clientData/>
  </xdr:twoCellAnchor>
  <xdr:twoCellAnchor>
    <xdr:from>
      <xdr:col>90</xdr:col>
      <xdr:colOff>285750</xdr:colOff>
      <xdr:row>1017</xdr:row>
      <xdr:rowOff>9524</xdr:rowOff>
    </xdr:from>
    <xdr:to>
      <xdr:col>95</xdr:col>
      <xdr:colOff>266700</xdr:colOff>
      <xdr:row>1028</xdr:row>
      <xdr:rowOff>19050</xdr:rowOff>
    </xdr:to>
    <xdr:graphicFrame macro="">
      <xdr:nvGraphicFramePr>
        <xdr:cNvPr id="266" name="Chart 26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2"/>
        </a:graphicData>
      </a:graphic>
    </xdr:graphicFrame>
    <xdr:clientData/>
  </xdr:twoCellAnchor>
  <xdr:twoCellAnchor>
    <xdr:from>
      <xdr:col>95</xdr:col>
      <xdr:colOff>438150</xdr:colOff>
      <xdr:row>1017</xdr:row>
      <xdr:rowOff>123825</xdr:rowOff>
    </xdr:from>
    <xdr:to>
      <xdr:col>100</xdr:col>
      <xdr:colOff>466725</xdr:colOff>
      <xdr:row>1028</xdr:row>
      <xdr:rowOff>4762</xdr:rowOff>
    </xdr:to>
    <xdr:graphicFrame macro="">
      <xdr:nvGraphicFramePr>
        <xdr:cNvPr id="267" name="Chart 26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3"/>
        </a:graphicData>
      </a:graphic>
    </xdr:graphicFrame>
    <xdr:clientData/>
  </xdr:twoCellAnchor>
  <xdr:twoCellAnchor>
    <xdr:from>
      <xdr:col>85</xdr:col>
      <xdr:colOff>342900</xdr:colOff>
      <xdr:row>1028</xdr:row>
      <xdr:rowOff>85724</xdr:rowOff>
    </xdr:from>
    <xdr:to>
      <xdr:col>90</xdr:col>
      <xdr:colOff>514350</xdr:colOff>
      <xdr:row>1037</xdr:row>
      <xdr:rowOff>128586</xdr:rowOff>
    </xdr:to>
    <xdr:graphicFrame macro="">
      <xdr:nvGraphicFramePr>
        <xdr:cNvPr id="268" name="Chart 26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4"/>
        </a:graphicData>
      </a:graphic>
    </xdr:graphicFrame>
    <xdr:clientData/>
  </xdr:twoCellAnchor>
  <xdr:twoCellAnchor>
    <xdr:from>
      <xdr:col>85</xdr:col>
      <xdr:colOff>390525</xdr:colOff>
      <xdr:row>1038</xdr:row>
      <xdr:rowOff>95250</xdr:rowOff>
    </xdr:from>
    <xdr:to>
      <xdr:col>91</xdr:col>
      <xdr:colOff>38100</xdr:colOff>
      <xdr:row>1048</xdr:row>
      <xdr:rowOff>133350</xdr:rowOff>
    </xdr:to>
    <xdr:graphicFrame macro="">
      <xdr:nvGraphicFramePr>
        <xdr:cNvPr id="270" name="Chart 26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5"/>
        </a:graphicData>
      </a:graphic>
    </xdr:graphicFrame>
    <xdr:clientData/>
  </xdr:twoCellAnchor>
  <xdr:twoCellAnchor>
    <xdr:from>
      <xdr:col>91</xdr:col>
      <xdr:colOff>209550</xdr:colOff>
      <xdr:row>1038</xdr:row>
      <xdr:rowOff>114299</xdr:rowOff>
    </xdr:from>
    <xdr:to>
      <xdr:col>96</xdr:col>
      <xdr:colOff>476250</xdr:colOff>
      <xdr:row>1048</xdr:row>
      <xdr:rowOff>47624</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6"/>
        </a:graphicData>
      </a:graphic>
    </xdr:graphicFrame>
    <xdr:clientData/>
  </xdr:twoCellAnchor>
  <xdr:twoCellAnchor>
    <xdr:from>
      <xdr:col>85</xdr:col>
      <xdr:colOff>552450</xdr:colOff>
      <xdr:row>1050</xdr:row>
      <xdr:rowOff>38100</xdr:rowOff>
    </xdr:from>
    <xdr:to>
      <xdr:col>91</xdr:col>
      <xdr:colOff>85725</xdr:colOff>
      <xdr:row>1059</xdr:row>
      <xdr:rowOff>142875</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7"/>
        </a:graphicData>
      </a:graphic>
    </xdr:graphicFrame>
    <xdr:clientData/>
  </xdr:twoCellAnchor>
  <xdr:twoCellAnchor>
    <xdr:from>
      <xdr:col>93</xdr:col>
      <xdr:colOff>30480</xdr:colOff>
      <xdr:row>1122</xdr:row>
      <xdr:rowOff>22860</xdr:rowOff>
    </xdr:from>
    <xdr:to>
      <xdr:col>100</xdr:col>
      <xdr:colOff>121920</xdr:colOff>
      <xdr:row>1136</xdr:row>
      <xdr:rowOff>64770</xdr:rowOff>
    </xdr:to>
    <xdr:graphicFrame macro="">
      <xdr:nvGraphicFramePr>
        <xdr:cNvPr id="259" name="Chart 25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8"/>
        </a:graphicData>
      </a:graphic>
    </xdr:graphicFrame>
    <xdr:clientData/>
  </xdr:twoCellAnchor>
  <xdr:twoCellAnchor>
    <xdr:from>
      <xdr:col>85</xdr:col>
      <xdr:colOff>285750</xdr:colOff>
      <xdr:row>1340</xdr:row>
      <xdr:rowOff>99060</xdr:rowOff>
    </xdr:from>
    <xdr:to>
      <xdr:col>91</xdr:col>
      <xdr:colOff>106680</xdr:colOff>
      <xdr:row>1352</xdr:row>
      <xdr:rowOff>110490</xdr:rowOff>
    </xdr:to>
    <xdr:graphicFrame macro="">
      <xdr:nvGraphicFramePr>
        <xdr:cNvPr id="269" name="Chart 26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9"/>
        </a:graphicData>
      </a:graphic>
    </xdr:graphicFrame>
    <xdr:clientData/>
  </xdr:twoCellAnchor>
  <xdr:twoCellAnchor>
    <xdr:from>
      <xdr:col>91</xdr:col>
      <xdr:colOff>544830</xdr:colOff>
      <xdr:row>1340</xdr:row>
      <xdr:rowOff>45720</xdr:rowOff>
    </xdr:from>
    <xdr:to>
      <xdr:col>98</xdr:col>
      <xdr:colOff>45720</xdr:colOff>
      <xdr:row>1352</xdr:row>
      <xdr:rowOff>34290</xdr:rowOff>
    </xdr:to>
    <xdr:graphicFrame macro="">
      <xdr:nvGraphicFramePr>
        <xdr:cNvPr id="271" name="Chart 27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0"/>
        </a:graphicData>
      </a:graphic>
    </xdr:graphicFrame>
    <xdr:clientData/>
  </xdr:twoCellAnchor>
  <xdr:twoCellAnchor>
    <xdr:from>
      <xdr:col>85</xdr:col>
      <xdr:colOff>262890</xdr:colOff>
      <xdr:row>1352</xdr:row>
      <xdr:rowOff>152400</xdr:rowOff>
    </xdr:from>
    <xdr:to>
      <xdr:col>91</xdr:col>
      <xdr:colOff>449580</xdr:colOff>
      <xdr:row>1365</xdr:row>
      <xdr:rowOff>95250</xdr:rowOff>
    </xdr:to>
    <xdr:graphicFrame macro="">
      <xdr:nvGraphicFramePr>
        <xdr:cNvPr id="272" name="Chart 27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1"/>
        </a:graphicData>
      </a:graphic>
    </xdr:graphicFrame>
    <xdr:clientData/>
  </xdr:twoCellAnchor>
  <xdr:twoCellAnchor>
    <xdr:from>
      <xdr:col>92</xdr:col>
      <xdr:colOff>26670</xdr:colOff>
      <xdr:row>1352</xdr:row>
      <xdr:rowOff>137160</xdr:rowOff>
    </xdr:from>
    <xdr:to>
      <xdr:col>98</xdr:col>
      <xdr:colOff>0</xdr:colOff>
      <xdr:row>1366</xdr:row>
      <xdr:rowOff>34290</xdr:rowOff>
    </xdr:to>
    <xdr:graphicFrame macro="">
      <xdr:nvGraphicFramePr>
        <xdr:cNvPr id="273" name="Chart 27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2"/>
        </a:graphicData>
      </a:graphic>
    </xdr:graphicFrame>
    <xdr:clientData/>
  </xdr:twoCellAnchor>
  <xdr:twoCellAnchor>
    <xdr:from>
      <xdr:col>86</xdr:col>
      <xdr:colOff>19050</xdr:colOff>
      <xdr:row>1366</xdr:row>
      <xdr:rowOff>144780</xdr:rowOff>
    </xdr:from>
    <xdr:to>
      <xdr:col>92</xdr:col>
      <xdr:colOff>137160</xdr:colOff>
      <xdr:row>1380</xdr:row>
      <xdr:rowOff>11430</xdr:rowOff>
    </xdr:to>
    <xdr:graphicFrame macro="">
      <xdr:nvGraphicFramePr>
        <xdr:cNvPr id="274" name="Chart 27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3"/>
        </a:graphicData>
      </a:graphic>
    </xdr:graphicFrame>
    <xdr:clientData/>
  </xdr:twoCellAnchor>
  <xdr:twoCellAnchor>
    <xdr:from>
      <xdr:col>92</xdr:col>
      <xdr:colOff>384810</xdr:colOff>
      <xdr:row>1366</xdr:row>
      <xdr:rowOff>160020</xdr:rowOff>
    </xdr:from>
    <xdr:to>
      <xdr:col>98</xdr:col>
      <xdr:colOff>350520</xdr:colOff>
      <xdr:row>1380</xdr:row>
      <xdr:rowOff>49530</xdr:rowOff>
    </xdr:to>
    <xdr:graphicFrame macro="">
      <xdr:nvGraphicFramePr>
        <xdr:cNvPr id="275" name="Chart 27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4"/>
        </a:graphicData>
      </a:graphic>
    </xdr:graphicFrame>
    <xdr:clientData/>
  </xdr:twoCellAnchor>
  <xdr:twoCellAnchor>
    <xdr:from>
      <xdr:col>86</xdr:col>
      <xdr:colOff>49530</xdr:colOff>
      <xdr:row>1380</xdr:row>
      <xdr:rowOff>137160</xdr:rowOff>
    </xdr:from>
    <xdr:to>
      <xdr:col>92</xdr:col>
      <xdr:colOff>205740</xdr:colOff>
      <xdr:row>1393</xdr:row>
      <xdr:rowOff>64770</xdr:rowOff>
    </xdr:to>
    <xdr:graphicFrame macro="">
      <xdr:nvGraphicFramePr>
        <xdr:cNvPr id="276" name="Chart 27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5"/>
        </a:graphicData>
      </a:graphic>
    </xdr:graphicFrame>
    <xdr:clientData/>
  </xdr:twoCellAnchor>
  <xdr:twoCellAnchor>
    <xdr:from>
      <xdr:col>92</xdr:col>
      <xdr:colOff>529590</xdr:colOff>
      <xdr:row>1381</xdr:row>
      <xdr:rowOff>53340</xdr:rowOff>
    </xdr:from>
    <xdr:to>
      <xdr:col>98</xdr:col>
      <xdr:colOff>518160</xdr:colOff>
      <xdr:row>1393</xdr:row>
      <xdr:rowOff>102870</xdr:rowOff>
    </xdr:to>
    <xdr:graphicFrame macro="">
      <xdr:nvGraphicFramePr>
        <xdr:cNvPr id="277" name="Chart 27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6"/>
        </a:graphicData>
      </a:graphic>
    </xdr:graphicFrame>
    <xdr:clientData/>
  </xdr:twoCellAnchor>
  <xdr:twoCellAnchor>
    <xdr:from>
      <xdr:col>86</xdr:col>
      <xdr:colOff>270510</xdr:colOff>
      <xdr:row>1388</xdr:row>
      <xdr:rowOff>87630</xdr:rowOff>
    </xdr:from>
    <xdr:to>
      <xdr:col>92</xdr:col>
      <xdr:colOff>259080</xdr:colOff>
      <xdr:row>1401</xdr:row>
      <xdr:rowOff>68580</xdr:rowOff>
    </xdr:to>
    <xdr:graphicFrame macro="">
      <xdr:nvGraphicFramePr>
        <xdr:cNvPr id="278" name="Chart 27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7"/>
        </a:graphicData>
      </a:graphic>
    </xdr:graphicFrame>
    <xdr:clientData/>
  </xdr:twoCellAnchor>
  <xdr:twoCellAnchor>
    <xdr:from>
      <xdr:col>92</xdr:col>
      <xdr:colOff>491490</xdr:colOff>
      <xdr:row>1390</xdr:row>
      <xdr:rowOff>121920</xdr:rowOff>
    </xdr:from>
    <xdr:to>
      <xdr:col>98</xdr:col>
      <xdr:colOff>388620</xdr:colOff>
      <xdr:row>1402</xdr:row>
      <xdr:rowOff>64770</xdr:rowOff>
    </xdr:to>
    <xdr:graphicFrame macro="">
      <xdr:nvGraphicFramePr>
        <xdr:cNvPr id="279" name="Chart 27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8"/>
        </a:graphicData>
      </a:graphic>
    </xdr:graphicFrame>
    <xdr:clientData/>
  </xdr:twoCellAnchor>
  <xdr:twoCellAnchor>
    <xdr:from>
      <xdr:col>85</xdr:col>
      <xdr:colOff>255270</xdr:colOff>
      <xdr:row>1672</xdr:row>
      <xdr:rowOff>30480</xdr:rowOff>
    </xdr:from>
    <xdr:to>
      <xdr:col>91</xdr:col>
      <xdr:colOff>518160</xdr:colOff>
      <xdr:row>1683</xdr:row>
      <xdr:rowOff>152400</xdr:rowOff>
    </xdr:to>
    <xdr:graphicFrame macro="">
      <xdr:nvGraphicFramePr>
        <xdr:cNvPr id="280" name="Chart 27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9"/>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0.18338</cdr:x>
      <cdr:y>0.3758</cdr:y>
    </cdr:from>
    <cdr:to>
      <cdr:x>0.30659</cdr:x>
      <cdr:y>0.52866</cdr:y>
    </cdr:to>
    <cdr:sp macro="" textlink="">
      <cdr:nvSpPr>
        <cdr:cNvPr id="2" name="TextBox 1"/>
        <cdr:cNvSpPr txBox="1"/>
      </cdr:nvSpPr>
      <cdr:spPr>
        <a:xfrm xmlns:a="http://schemas.openxmlformats.org/drawingml/2006/main">
          <a:off x="609600" y="561975"/>
          <a:ext cx="409575" cy="2286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0.42693</cdr:x>
      <cdr:y>0.38854</cdr:y>
    </cdr:from>
    <cdr:to>
      <cdr:x>0.54441</cdr:x>
      <cdr:y>0.55414</cdr:y>
    </cdr:to>
    <cdr:sp macro="" textlink="">
      <cdr:nvSpPr>
        <cdr:cNvPr id="3" name="TextBox 2"/>
        <cdr:cNvSpPr txBox="1"/>
      </cdr:nvSpPr>
      <cdr:spPr>
        <a:xfrm xmlns:a="http://schemas.openxmlformats.org/drawingml/2006/main">
          <a:off x="1419225" y="581025"/>
          <a:ext cx="390525" cy="24765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0.62751</cdr:x>
      <cdr:y>0.32484</cdr:y>
    </cdr:from>
    <cdr:to>
      <cdr:x>0.73639</cdr:x>
      <cdr:y>0.49682</cdr:y>
    </cdr:to>
    <cdr:sp macro="" textlink="">
      <cdr:nvSpPr>
        <cdr:cNvPr id="4" name="TextBox 3"/>
        <cdr:cNvSpPr txBox="1"/>
      </cdr:nvSpPr>
      <cdr:spPr>
        <a:xfrm xmlns:a="http://schemas.openxmlformats.org/drawingml/2006/main">
          <a:off x="2085975" y="485775"/>
          <a:ext cx="361950" cy="25717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US" sz="1100"/>
        </a:p>
      </cdr:txBody>
    </cdr:sp>
  </cdr:relSizeAnchor>
</c:userShapes>
</file>

<file path=xl/theme/_rels/theme1.x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Solstice">
  <a:themeElements>
    <a:clrScheme name="Solstice">
      <a:dk1>
        <a:sysClr val="windowText" lastClr="000000"/>
      </a:dk1>
      <a:lt1>
        <a:sysClr val="window" lastClr="FFFFFF"/>
      </a:lt1>
      <a:dk2>
        <a:srgbClr val="4F271C"/>
      </a:dk2>
      <a:lt2>
        <a:srgbClr val="E7DEC9"/>
      </a:lt2>
      <a:accent1>
        <a:srgbClr val="3891A7"/>
      </a:accent1>
      <a:accent2>
        <a:srgbClr val="FEB80A"/>
      </a:accent2>
      <a:accent3>
        <a:srgbClr val="C32D2E"/>
      </a:accent3>
      <a:accent4>
        <a:srgbClr val="84AA33"/>
      </a:accent4>
      <a:accent5>
        <a:srgbClr val="964305"/>
      </a:accent5>
      <a:accent6>
        <a:srgbClr val="475A8D"/>
      </a:accent6>
      <a:hlink>
        <a:srgbClr val="8DC765"/>
      </a:hlink>
      <a:folHlink>
        <a:srgbClr val="AA8A14"/>
      </a:folHlink>
    </a:clrScheme>
    <a:fontScheme name="Solstice">
      <a:majorFont>
        <a:latin typeface="Gill Sans MT"/>
        <a:ea typeface=""/>
        <a:cs typeface=""/>
        <a:font script="Grek" typeface="Corbel"/>
        <a:font script="Cyrl" typeface="Corbel"/>
        <a:font script="Jpan" typeface="HGｺﾞｼｯｸE"/>
        <a:font script="Hang" typeface="휴먼매직체"/>
        <a:font script="Hans" typeface="华文中宋"/>
        <a:font script="Hant" typeface="微軟正黑體"/>
        <a:font script="Arab" typeface="Majalla UI"/>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majorFont>
      <a:minorFont>
        <a:latin typeface="Gill Sans MT"/>
        <a:ea typeface=""/>
        <a:cs typeface=""/>
        <a:font script="Grek" typeface="Corbel"/>
        <a:font script="Cyrl" typeface="Corbel"/>
        <a:font script="Jpan" typeface="HGｺﾞｼｯｸE"/>
        <a:font script="Hang" typeface="HY엽서L"/>
        <a:font script="Hans" typeface="华文中宋"/>
        <a:font script="Hant" typeface="微軟正黑體"/>
        <a:font script="Arab" typeface="Majalla UI"/>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minorFont>
    </a:fontScheme>
    <a:fmtScheme name="Solstice">
      <a:fillStyleLst>
        <a:solidFill>
          <a:schemeClr val="phClr"/>
        </a:solidFill>
        <a:gradFill rotWithShape="1">
          <a:gsLst>
            <a:gs pos="0">
              <a:schemeClr val="phClr">
                <a:tint val="35000"/>
                <a:satMod val="253000"/>
              </a:schemeClr>
            </a:gs>
            <a:gs pos="50000">
              <a:schemeClr val="phClr">
                <a:tint val="42000"/>
                <a:satMod val="255000"/>
              </a:schemeClr>
            </a:gs>
            <a:gs pos="97000">
              <a:schemeClr val="phClr">
                <a:tint val="53000"/>
                <a:satMod val="260000"/>
              </a:schemeClr>
            </a:gs>
            <a:gs pos="100000">
              <a:schemeClr val="phClr">
                <a:tint val="56000"/>
                <a:satMod val="275000"/>
              </a:schemeClr>
            </a:gs>
          </a:gsLst>
          <a:path path="circle">
            <a:fillToRect l="50000" t="50000" r="50000" b="50000"/>
          </a:path>
        </a:gradFill>
        <a:gradFill rotWithShape="1">
          <a:gsLst>
            <a:gs pos="0">
              <a:schemeClr val="phClr">
                <a:tint val="92000"/>
                <a:satMod val="170000"/>
              </a:schemeClr>
            </a:gs>
            <a:gs pos="15000">
              <a:schemeClr val="phClr">
                <a:tint val="92000"/>
                <a:shade val="99000"/>
                <a:satMod val="170000"/>
              </a:schemeClr>
            </a:gs>
            <a:gs pos="62000">
              <a:schemeClr val="phClr">
                <a:tint val="96000"/>
                <a:shade val="80000"/>
                <a:satMod val="170000"/>
              </a:schemeClr>
            </a:gs>
            <a:gs pos="97000">
              <a:schemeClr val="phClr">
                <a:tint val="98000"/>
                <a:shade val="63000"/>
                <a:satMod val="170000"/>
              </a:schemeClr>
            </a:gs>
            <a:gs pos="100000">
              <a:schemeClr val="phClr">
                <a:shade val="62000"/>
                <a:satMod val="170000"/>
              </a:schemeClr>
            </a:gs>
          </a:gsLst>
          <a:path path="circle">
            <a:fillToRect l="50000" t="50000" r="50000" b="50000"/>
          </a:path>
        </a:gradFill>
      </a:fillStyleLst>
      <a:lnStyleLst>
        <a:ln w="9525" cap="flat" cmpd="sng" algn="ctr">
          <a:solidFill>
            <a:schemeClr val="phClr"/>
          </a:solidFill>
          <a:prstDash val="solid"/>
        </a:ln>
        <a:ln w="25400" cap="flat" cmpd="sng" algn="ctr">
          <a:solidFill>
            <a:schemeClr val="phClr"/>
          </a:solidFill>
          <a:prstDash val="solid"/>
        </a:ln>
        <a:ln w="25400" cap="flat" cmpd="sng" algn="ctr">
          <a:solidFill>
            <a:schemeClr val="phClr"/>
          </a:solidFill>
          <a:prstDash val="solid"/>
        </a:ln>
      </a:lnStyleLst>
      <a:effectStyleLst>
        <a:effectStyle>
          <a:effectLst>
            <a:outerShdw blurRad="63500" dist="25400" dir="5400000" rotWithShape="0">
              <a:srgbClr val="000000">
                <a:alpha val="43137"/>
              </a:srgbClr>
            </a:outerShdw>
          </a:effectLst>
        </a:effectStyle>
        <a:effectStyle>
          <a:effectLst>
            <a:outerShdw blurRad="63500" dist="25400" dir="5400000" rotWithShape="0">
              <a:srgbClr val="000000">
                <a:alpha val="43137"/>
              </a:srgbClr>
            </a:outerShdw>
          </a:effectLst>
          <a:scene3d>
            <a:camera prst="orthographicFront" fov="0">
              <a:rot lat="0" lon="0" rev="0"/>
            </a:camera>
            <a:lightRig rig="brightRoom" dir="tl">
              <a:rot lat="0" lon="0" rev="8700000"/>
            </a:lightRig>
          </a:scene3d>
          <a:sp3d contourW="12700">
            <a:bevelT w="0" h="0"/>
            <a:contourClr>
              <a:schemeClr val="phClr">
                <a:shade val="80000"/>
              </a:schemeClr>
            </a:contourClr>
          </a:sp3d>
        </a:effectStyle>
        <a:effectStyle>
          <a:effectLst>
            <a:outerShdw blurRad="63500" dist="25400" dir="5400000" rotWithShape="0">
              <a:srgbClr val="000000">
                <a:alpha val="43137"/>
              </a:srgbClr>
            </a:outerShdw>
          </a:effectLst>
          <a:scene3d>
            <a:camera prst="orthographicFront" fov="0">
              <a:rot lat="0" lon="0" rev="0"/>
            </a:camera>
            <a:lightRig rig="brightRoom" dir="tl">
              <a:rot lat="0" lon="0" rev="5400000"/>
            </a:lightRig>
          </a:scene3d>
          <a:sp3d contourW="12700">
            <a:bevelT w="25400" h="50800" prst="angle"/>
            <a:contourClr>
              <a:schemeClr val="phClr"/>
            </a:contourClr>
          </a:sp3d>
        </a:effectStyle>
      </a:effectStyleLst>
      <a:bgFillStyleLst>
        <a:solidFill>
          <a:schemeClr val="phClr"/>
        </a:solidFill>
        <a:gradFill rotWithShape="1">
          <a:gsLst>
            <a:gs pos="0">
              <a:schemeClr val="phClr">
                <a:tint val="60000"/>
                <a:satMod val="355000"/>
              </a:schemeClr>
            </a:gs>
            <a:gs pos="40000">
              <a:schemeClr val="phClr">
                <a:tint val="85000"/>
                <a:satMod val="320000"/>
              </a:schemeClr>
            </a:gs>
            <a:gs pos="100000">
              <a:schemeClr val="phClr">
                <a:shade val="55000"/>
                <a:satMod val="300000"/>
              </a:schemeClr>
            </a:gs>
          </a:gsLst>
          <a:path path="circle">
            <a:fillToRect l="-24500" t="-20000" r="124500" b="120000"/>
          </a:path>
        </a:gradFill>
        <a:blipFill>
          <a:blip xmlns:r="http://schemas.openxmlformats.org/officeDocument/2006/relationships" r:embed="rId1">
            <a:duotone>
              <a:schemeClr val="phClr">
                <a:shade val="9000"/>
                <a:satMod val="300000"/>
              </a:schemeClr>
              <a:schemeClr val="phClr">
                <a:tint val="90000"/>
                <a:satMod val="225000"/>
              </a:schemeClr>
            </a:duotone>
          </a:blip>
          <a:tile tx="0" ty="0" sx="90000" sy="90000" flip="xy" algn="tl"/>
        </a:blip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xml"/><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hyperlink" Target="http://ts.nist.gov/ts/htdocs/230/235/owmhome.htm" TargetMode="External"/><Relationship Id="rId2" Type="http://schemas.openxmlformats.org/officeDocument/2006/relationships/hyperlink" Target="http://sfp.ucdavis.edu/pubs/Family_Farm_Series/Veg/Fertilizing/appendix.html" TargetMode="External"/><Relationship Id="rId1" Type="http://schemas.openxmlformats.org/officeDocument/2006/relationships/hyperlink" Target="http://www.gordonengland.co.uk/conversion" TargetMode="External"/><Relationship Id="rId5" Type="http://schemas.openxmlformats.org/officeDocument/2006/relationships/printerSettings" Target="../printerSettings/printerSettings5.bin"/><Relationship Id="rId4" Type="http://schemas.openxmlformats.org/officeDocument/2006/relationships/hyperlink" Target="http://www.convert-me.com/en/convert/weight"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AJ98"/>
  <sheetViews>
    <sheetView zoomScale="80" zoomScaleNormal="80" workbookViewId="0">
      <pane ySplit="1470" topLeftCell="A44" activePane="bottomLeft"/>
      <selection activeCell="A2" sqref="A2"/>
      <selection pane="bottomLeft" activeCell="I76" sqref="I76:L76"/>
    </sheetView>
  </sheetViews>
  <sheetFormatPr defaultColWidth="8.85546875" defaultRowHeight="12.75" x14ac:dyDescent="0.2"/>
  <cols>
    <col min="1" max="1" width="31" customWidth="1"/>
    <col min="2" max="2" width="6.5703125" customWidth="1"/>
    <col min="3" max="3" width="4.28515625" customWidth="1"/>
    <col min="4" max="4" width="5.85546875" customWidth="1"/>
    <col min="5" max="5" width="5.42578125" customWidth="1"/>
    <col min="6" max="6" width="6.140625" customWidth="1"/>
    <col min="7" max="7" width="9" customWidth="1"/>
    <col min="8" max="8" width="8.42578125" customWidth="1"/>
    <col min="9" max="15" width="9.140625" customWidth="1"/>
    <col min="16" max="16" width="9.42578125" customWidth="1"/>
    <col min="17" max="22" width="9.140625" customWidth="1"/>
    <col min="23" max="36" width="8.85546875" style="61"/>
    <col min="37" max="16384" width="8.85546875" style="104"/>
  </cols>
  <sheetData>
    <row r="1" spans="1:36" x14ac:dyDescent="0.2">
      <c r="A1" s="320" t="s">
        <v>1755</v>
      </c>
    </row>
    <row r="2" spans="1:36" x14ac:dyDescent="0.2">
      <c r="A2" s="42" t="s">
        <v>1401</v>
      </c>
    </row>
    <row r="3" spans="1:36" s="47" customFormat="1" ht="51" x14ac:dyDescent="0.2">
      <c r="A3" s="5" t="s">
        <v>579</v>
      </c>
      <c r="B3" s="5" t="s">
        <v>349</v>
      </c>
      <c r="C3" s="5" t="s">
        <v>1264</v>
      </c>
      <c r="D3" s="5" t="s">
        <v>350</v>
      </c>
      <c r="E3" s="5" t="s">
        <v>174</v>
      </c>
      <c r="F3" s="5" t="s">
        <v>175</v>
      </c>
      <c r="G3" s="5" t="s">
        <v>454</v>
      </c>
      <c r="H3" s="5" t="s">
        <v>1017</v>
      </c>
      <c r="I3" s="5" t="s">
        <v>351</v>
      </c>
      <c r="J3" s="5" t="s">
        <v>352</v>
      </c>
      <c r="K3" s="5" t="s">
        <v>1377</v>
      </c>
      <c r="L3" s="5" t="s">
        <v>1378</v>
      </c>
      <c r="M3" s="5" t="s">
        <v>353</v>
      </c>
      <c r="N3" s="5" t="s">
        <v>354</v>
      </c>
      <c r="O3" s="5" t="s">
        <v>355</v>
      </c>
      <c r="P3" s="5" t="s">
        <v>371</v>
      </c>
      <c r="Q3" s="5" t="s">
        <v>372</v>
      </c>
      <c r="R3" s="5" t="s">
        <v>373</v>
      </c>
      <c r="S3" s="5" t="s">
        <v>1354</v>
      </c>
      <c r="T3" s="5" t="s">
        <v>374</v>
      </c>
      <c r="U3" s="5" t="s">
        <v>375</v>
      </c>
      <c r="V3" s="272" t="s">
        <v>605</v>
      </c>
      <c r="W3" s="7"/>
      <c r="X3" s="7"/>
      <c r="Y3" s="7"/>
      <c r="Z3" s="7"/>
      <c r="AA3" s="7"/>
      <c r="AB3" s="7"/>
      <c r="AC3" s="7"/>
      <c r="AD3" s="7"/>
      <c r="AE3" s="7"/>
      <c r="AF3" s="7"/>
      <c r="AG3" s="7"/>
      <c r="AH3" s="7"/>
      <c r="AI3" s="7"/>
      <c r="AJ3" s="7"/>
    </row>
    <row r="4" spans="1:36" s="47" customFormat="1" x14ac:dyDescent="0.2">
      <c r="A4" s="890" t="s">
        <v>1266</v>
      </c>
      <c r="B4" s="891"/>
      <c r="C4" s="891"/>
      <c r="D4" s="892"/>
      <c r="E4" s="5"/>
      <c r="F4" s="5"/>
      <c r="G4" s="5"/>
      <c r="H4" s="5"/>
      <c r="I4" s="5"/>
      <c r="J4" s="5"/>
      <c r="K4" s="5"/>
      <c r="L4" s="5"/>
      <c r="M4" s="5"/>
      <c r="N4" s="5"/>
      <c r="O4" s="5"/>
      <c r="P4" s="5"/>
      <c r="Q4" s="5"/>
      <c r="R4" s="5"/>
      <c r="S4" s="5"/>
      <c r="T4" s="5"/>
      <c r="U4" s="5"/>
      <c r="V4" s="272"/>
      <c r="W4" s="7"/>
      <c r="X4" s="7"/>
      <c r="Y4" s="7"/>
      <c r="Z4" s="7"/>
      <c r="AA4" s="7"/>
      <c r="AB4" s="7"/>
      <c r="AC4" s="7"/>
      <c r="AD4" s="7"/>
      <c r="AE4" s="7"/>
      <c r="AF4" s="7"/>
      <c r="AG4" s="7"/>
      <c r="AH4" s="7"/>
      <c r="AI4" s="7"/>
      <c r="AJ4" s="7"/>
    </row>
    <row r="5" spans="1:36" s="47" customFormat="1" x14ac:dyDescent="0.2">
      <c r="A5" s="5" t="s">
        <v>616</v>
      </c>
      <c r="B5" s="5"/>
      <c r="C5" s="5"/>
      <c r="D5" s="5"/>
      <c r="E5" s="5"/>
      <c r="F5" s="5"/>
      <c r="G5" s="5"/>
      <c r="H5" s="5"/>
      <c r="I5" s="5"/>
      <c r="J5" s="5"/>
      <c r="K5" s="5"/>
      <c r="L5" s="5"/>
      <c r="M5" s="5"/>
      <c r="N5" s="5"/>
      <c r="O5" s="5"/>
      <c r="P5" s="5"/>
      <c r="Q5" s="5"/>
      <c r="R5" s="5"/>
      <c r="S5" s="5"/>
      <c r="T5" s="5"/>
      <c r="U5" s="5"/>
      <c r="V5" s="272"/>
      <c r="W5" s="7"/>
      <c r="X5" s="7"/>
      <c r="Y5" s="7"/>
      <c r="Z5" s="7"/>
      <c r="AA5" s="7"/>
      <c r="AB5" s="7"/>
      <c r="AC5" s="7"/>
      <c r="AD5" s="7"/>
      <c r="AE5" s="7"/>
      <c r="AF5" s="7"/>
      <c r="AG5" s="7"/>
      <c r="AH5" s="7"/>
      <c r="AI5" s="7"/>
      <c r="AJ5" s="7"/>
    </row>
    <row r="6" spans="1:36" ht="25.5" x14ac:dyDescent="0.2">
      <c r="A6" s="224" t="s">
        <v>135</v>
      </c>
      <c r="B6" s="56">
        <v>2001</v>
      </c>
      <c r="C6" s="57" t="s">
        <v>619</v>
      </c>
      <c r="D6" s="56" t="s">
        <v>376</v>
      </c>
      <c r="E6" s="56" t="s">
        <v>200</v>
      </c>
      <c r="F6" s="56" t="s">
        <v>527</v>
      </c>
      <c r="G6" s="57" t="s">
        <v>1303</v>
      </c>
      <c r="H6" s="56" t="s">
        <v>201</v>
      </c>
      <c r="I6" s="56" t="s">
        <v>165</v>
      </c>
      <c r="J6" s="56" t="s">
        <v>164</v>
      </c>
      <c r="K6" s="268">
        <v>42.792000000000002</v>
      </c>
      <c r="L6" s="268">
        <v>76.125</v>
      </c>
      <c r="M6" s="56" t="s">
        <v>377</v>
      </c>
      <c r="N6" s="56">
        <v>-9999</v>
      </c>
      <c r="O6" s="56">
        <v>-9999</v>
      </c>
      <c r="P6" s="56">
        <v>-9999</v>
      </c>
      <c r="Q6" s="56">
        <v>-9999</v>
      </c>
      <c r="R6" s="56">
        <v>-9999</v>
      </c>
      <c r="S6" s="56">
        <v>-9999</v>
      </c>
      <c r="T6" s="56">
        <v>-9999</v>
      </c>
      <c r="U6" s="56" t="s">
        <v>378</v>
      </c>
      <c r="V6" s="277">
        <v>-9999</v>
      </c>
    </row>
    <row r="7" spans="1:36" ht="25.5" x14ac:dyDescent="0.2">
      <c r="A7" s="224" t="s">
        <v>135</v>
      </c>
      <c r="B7" s="56">
        <v>2001</v>
      </c>
      <c r="C7" s="57" t="s">
        <v>633</v>
      </c>
      <c r="D7" s="56" t="s">
        <v>376</v>
      </c>
      <c r="E7" s="56" t="s">
        <v>200</v>
      </c>
      <c r="F7" s="56" t="s">
        <v>527</v>
      </c>
      <c r="G7" s="56" t="s">
        <v>1303</v>
      </c>
      <c r="H7" s="56" t="s">
        <v>201</v>
      </c>
      <c r="I7" s="56" t="s">
        <v>165</v>
      </c>
      <c r="J7" s="56" t="s">
        <v>164</v>
      </c>
      <c r="K7" s="268">
        <v>42.792000000000002</v>
      </c>
      <c r="L7" s="268">
        <v>76.125</v>
      </c>
      <c r="M7" s="56" t="s">
        <v>377</v>
      </c>
      <c r="N7" s="56">
        <v>-9999</v>
      </c>
      <c r="O7" s="56">
        <v>-9999</v>
      </c>
      <c r="P7" s="56">
        <v>-9999</v>
      </c>
      <c r="Q7" s="56">
        <v>-9999</v>
      </c>
      <c r="R7" s="56">
        <v>-9999</v>
      </c>
      <c r="S7" s="56">
        <v>-9999</v>
      </c>
      <c r="T7" s="56">
        <v>-9999</v>
      </c>
      <c r="U7" s="56" t="s">
        <v>378</v>
      </c>
      <c r="V7" s="277">
        <v>-9999</v>
      </c>
    </row>
    <row r="8" spans="1:36" ht="25.5" x14ac:dyDescent="0.2">
      <c r="A8" s="224" t="s">
        <v>650</v>
      </c>
      <c r="B8" s="56">
        <v>2003</v>
      </c>
      <c r="C8" s="56" t="s">
        <v>633</v>
      </c>
      <c r="D8" s="56" t="s">
        <v>376</v>
      </c>
      <c r="E8" s="56" t="s">
        <v>200</v>
      </c>
      <c r="F8" s="56" t="s">
        <v>527</v>
      </c>
      <c r="G8" s="56" t="s">
        <v>1303</v>
      </c>
      <c r="H8" s="56" t="s">
        <v>201</v>
      </c>
      <c r="I8" s="56" t="s">
        <v>165</v>
      </c>
      <c r="J8" s="56" t="s">
        <v>164</v>
      </c>
      <c r="K8" s="268">
        <v>42.792000000000002</v>
      </c>
      <c r="L8" s="268">
        <v>76.125</v>
      </c>
      <c r="M8" s="56" t="s">
        <v>377</v>
      </c>
      <c r="N8" s="56">
        <v>-9999</v>
      </c>
      <c r="O8" s="56">
        <v>-9999</v>
      </c>
      <c r="P8" s="56">
        <v>-9999</v>
      </c>
      <c r="Q8" s="56">
        <v>65</v>
      </c>
      <c r="R8" s="57" t="s">
        <v>1369</v>
      </c>
      <c r="S8" s="56">
        <v>-9999</v>
      </c>
      <c r="T8" s="56">
        <v>-9999</v>
      </c>
      <c r="U8" s="56">
        <v>-9999</v>
      </c>
      <c r="V8" s="277">
        <v>-9999</v>
      </c>
    </row>
    <row r="9" spans="1:36" ht="25.5" x14ac:dyDescent="0.2">
      <c r="A9" s="224" t="s">
        <v>1265</v>
      </c>
      <c r="B9" s="56">
        <v>1996</v>
      </c>
      <c r="C9" s="56" t="s">
        <v>633</v>
      </c>
      <c r="D9" s="56" t="s">
        <v>376</v>
      </c>
      <c r="E9" s="56" t="s">
        <v>200</v>
      </c>
      <c r="F9" s="56" t="s">
        <v>527</v>
      </c>
      <c r="G9" s="56" t="s">
        <v>1303</v>
      </c>
      <c r="H9" s="56" t="s">
        <v>201</v>
      </c>
      <c r="I9" s="56" t="s">
        <v>165</v>
      </c>
      <c r="J9" s="56" t="s">
        <v>164</v>
      </c>
      <c r="K9" s="268">
        <v>42.792000000000002</v>
      </c>
      <c r="L9" s="268">
        <v>76.125</v>
      </c>
      <c r="M9" s="56" t="s">
        <v>379</v>
      </c>
      <c r="N9" s="56">
        <v>-9999</v>
      </c>
      <c r="O9" s="56">
        <v>-9999</v>
      </c>
      <c r="P9" s="56">
        <v>-9999</v>
      </c>
      <c r="Q9" s="56">
        <v>-9999</v>
      </c>
      <c r="R9" s="56">
        <v>-9999</v>
      </c>
      <c r="S9" s="56">
        <v>-9999</v>
      </c>
      <c r="T9" s="56">
        <v>-9999</v>
      </c>
      <c r="U9" s="56">
        <v>-9999</v>
      </c>
      <c r="V9" s="277">
        <v>-9999</v>
      </c>
    </row>
    <row r="10" spans="1:36" ht="25.5" x14ac:dyDescent="0.2">
      <c r="A10" s="224" t="s">
        <v>676</v>
      </c>
      <c r="B10" s="56">
        <v>1997</v>
      </c>
      <c r="C10" s="56" t="s">
        <v>633</v>
      </c>
      <c r="D10" s="56" t="s">
        <v>376</v>
      </c>
      <c r="E10" s="56" t="s">
        <v>200</v>
      </c>
      <c r="F10" s="56" t="s">
        <v>527</v>
      </c>
      <c r="G10" s="56" t="s">
        <v>1303</v>
      </c>
      <c r="H10" s="56" t="s">
        <v>201</v>
      </c>
      <c r="I10" s="56" t="s">
        <v>165</v>
      </c>
      <c r="J10" s="56" t="s">
        <v>164</v>
      </c>
      <c r="K10" s="268">
        <v>42.792000000000002</v>
      </c>
      <c r="L10" s="268">
        <v>76.125</v>
      </c>
      <c r="M10" s="56" t="s">
        <v>379</v>
      </c>
      <c r="N10" s="56">
        <v>-9999</v>
      </c>
      <c r="O10" s="56">
        <v>-9999</v>
      </c>
      <c r="P10" s="56">
        <v>-9999</v>
      </c>
      <c r="Q10" s="56">
        <v>-9999</v>
      </c>
      <c r="R10" s="56">
        <v>-9999</v>
      </c>
      <c r="S10" s="56">
        <v>-9999</v>
      </c>
      <c r="T10" s="56">
        <v>-9999</v>
      </c>
      <c r="U10" s="56">
        <v>-9999</v>
      </c>
      <c r="V10" s="277">
        <v>-9999</v>
      </c>
    </row>
    <row r="11" spans="1:36" ht="25.5" x14ac:dyDescent="0.2">
      <c r="A11" s="224" t="s">
        <v>679</v>
      </c>
      <c r="B11" s="56">
        <v>2001</v>
      </c>
      <c r="C11" s="57" t="s">
        <v>619</v>
      </c>
      <c r="D11" s="56" t="s">
        <v>376</v>
      </c>
      <c r="E11" s="56" t="s">
        <v>200</v>
      </c>
      <c r="F11" s="56" t="s">
        <v>527</v>
      </c>
      <c r="G11" s="56" t="s">
        <v>1303</v>
      </c>
      <c r="H11" s="56" t="s">
        <v>201</v>
      </c>
      <c r="I11" s="56" t="s">
        <v>165</v>
      </c>
      <c r="J11" s="56" t="s">
        <v>164</v>
      </c>
      <c r="K11" s="268">
        <v>42.792000000000002</v>
      </c>
      <c r="L11" s="268">
        <v>76.125</v>
      </c>
      <c r="M11" s="56" t="s">
        <v>380</v>
      </c>
      <c r="N11" s="56">
        <v>-9999</v>
      </c>
      <c r="O11" s="56">
        <v>-9999</v>
      </c>
      <c r="P11" s="56">
        <v>-9999</v>
      </c>
      <c r="Q11" s="56">
        <v>36</v>
      </c>
      <c r="R11" s="56">
        <v>-9999</v>
      </c>
      <c r="S11" s="56">
        <v>-9999</v>
      </c>
      <c r="T11" s="56">
        <v>-9999</v>
      </c>
      <c r="U11" s="56">
        <v>-9999</v>
      </c>
      <c r="V11" s="277">
        <v>-9999</v>
      </c>
    </row>
    <row r="12" spans="1:36" ht="25.5" x14ac:dyDescent="0.2">
      <c r="A12" s="224" t="s">
        <v>679</v>
      </c>
      <c r="B12" s="56">
        <v>2001</v>
      </c>
      <c r="C12" s="57" t="s">
        <v>633</v>
      </c>
      <c r="D12" s="56" t="s">
        <v>376</v>
      </c>
      <c r="E12" s="56" t="s">
        <v>200</v>
      </c>
      <c r="F12" s="57" t="s">
        <v>527</v>
      </c>
      <c r="G12" s="56" t="s">
        <v>1303</v>
      </c>
      <c r="H12" s="56" t="s">
        <v>201</v>
      </c>
      <c r="I12" s="56" t="s">
        <v>165</v>
      </c>
      <c r="J12" s="56" t="s">
        <v>164</v>
      </c>
      <c r="K12" s="268">
        <v>42.792000000000002</v>
      </c>
      <c r="L12" s="268">
        <v>76.125</v>
      </c>
      <c r="M12" s="56" t="s">
        <v>380</v>
      </c>
      <c r="N12" s="56">
        <v>-9999</v>
      </c>
      <c r="O12" s="56">
        <v>-9999</v>
      </c>
      <c r="P12" s="56">
        <v>-9999</v>
      </c>
      <c r="Q12" s="56">
        <v>36</v>
      </c>
      <c r="R12" s="56">
        <v>-9999</v>
      </c>
      <c r="S12" s="56">
        <v>-9999</v>
      </c>
      <c r="T12" s="56">
        <v>-9999</v>
      </c>
      <c r="U12" s="56">
        <v>-9999</v>
      </c>
      <c r="V12" s="277">
        <v>-9999</v>
      </c>
    </row>
    <row r="13" spans="1:36" ht="25.5" x14ac:dyDescent="0.2">
      <c r="A13" s="224" t="s">
        <v>685</v>
      </c>
      <c r="B13" s="56">
        <v>2005</v>
      </c>
      <c r="C13" s="57" t="s">
        <v>619</v>
      </c>
      <c r="D13" s="57" t="s">
        <v>1404</v>
      </c>
      <c r="E13" s="56" t="s">
        <v>200</v>
      </c>
      <c r="F13" s="56" t="s">
        <v>236</v>
      </c>
      <c r="G13" s="56">
        <v>-9999</v>
      </c>
      <c r="H13" s="56">
        <v>-9999</v>
      </c>
      <c r="I13" s="56" t="s">
        <v>166</v>
      </c>
      <c r="J13" s="56" t="s">
        <v>167</v>
      </c>
      <c r="K13" s="268">
        <v>45.133000000000003</v>
      </c>
      <c r="L13" s="268">
        <v>74.132999999999996</v>
      </c>
      <c r="M13" s="56">
        <v>-9999</v>
      </c>
      <c r="N13" s="56">
        <v>-9999</v>
      </c>
      <c r="O13" s="56" t="s">
        <v>381</v>
      </c>
      <c r="P13" s="56" t="s">
        <v>382</v>
      </c>
      <c r="Q13" s="56">
        <v>-9999</v>
      </c>
      <c r="R13" s="56">
        <v>954</v>
      </c>
      <c r="S13" s="56" t="s">
        <v>1353</v>
      </c>
      <c r="T13" s="56">
        <v>-9999</v>
      </c>
      <c r="U13" s="56">
        <v>-9999</v>
      </c>
      <c r="V13" s="277">
        <v>-9999</v>
      </c>
    </row>
    <row r="14" spans="1:36" ht="25.5" x14ac:dyDescent="0.2">
      <c r="A14" s="224" t="s">
        <v>685</v>
      </c>
      <c r="B14" s="56">
        <v>2005</v>
      </c>
      <c r="C14" s="57" t="s">
        <v>633</v>
      </c>
      <c r="D14" s="57" t="s">
        <v>1404</v>
      </c>
      <c r="E14" s="56" t="s">
        <v>200</v>
      </c>
      <c r="F14" s="56" t="s">
        <v>236</v>
      </c>
      <c r="G14" s="56">
        <v>-9999</v>
      </c>
      <c r="H14" s="56">
        <v>-9999</v>
      </c>
      <c r="I14" s="56" t="s">
        <v>166</v>
      </c>
      <c r="J14" s="56" t="s">
        <v>167</v>
      </c>
      <c r="K14" s="268">
        <v>45.133000000000003</v>
      </c>
      <c r="L14" s="268">
        <v>74.132999999999996</v>
      </c>
      <c r="M14" s="56">
        <v>-9999</v>
      </c>
      <c r="N14" s="56">
        <v>-9999</v>
      </c>
      <c r="O14" s="56" t="s">
        <v>381</v>
      </c>
      <c r="P14" s="56" t="s">
        <v>382</v>
      </c>
      <c r="Q14" s="56">
        <v>-9999</v>
      </c>
      <c r="R14" s="56">
        <v>954</v>
      </c>
      <c r="S14" s="56" t="s">
        <v>1353</v>
      </c>
      <c r="T14" s="56">
        <v>-9999</v>
      </c>
      <c r="U14" s="56">
        <v>-9999</v>
      </c>
      <c r="V14" s="277">
        <v>-9999</v>
      </c>
    </row>
    <row r="15" spans="1:36" ht="25.5" x14ac:dyDescent="0.2">
      <c r="A15" s="224" t="s">
        <v>771</v>
      </c>
      <c r="B15" s="56">
        <v>1976</v>
      </c>
      <c r="C15" s="56" t="s">
        <v>619</v>
      </c>
      <c r="D15" s="56" t="s">
        <v>376</v>
      </c>
      <c r="E15" s="56" t="s">
        <v>200</v>
      </c>
      <c r="F15" s="57" t="s">
        <v>1331</v>
      </c>
      <c r="G15" s="56" t="s">
        <v>1259</v>
      </c>
      <c r="H15" s="56"/>
      <c r="I15" s="57" t="s">
        <v>1299</v>
      </c>
      <c r="J15" s="57" t="s">
        <v>383</v>
      </c>
      <c r="K15" s="268">
        <v>40.049999999999997</v>
      </c>
      <c r="L15" s="268">
        <v>78.016999999999996</v>
      </c>
      <c r="M15" s="56">
        <v>-9999</v>
      </c>
      <c r="N15" s="56">
        <v>-9999</v>
      </c>
      <c r="O15" s="56" t="s">
        <v>381</v>
      </c>
      <c r="P15" s="56">
        <v>-9999</v>
      </c>
      <c r="Q15" s="56">
        <v>-9999</v>
      </c>
      <c r="R15" s="56">
        <v>-9999</v>
      </c>
      <c r="S15" s="56">
        <v>-9999</v>
      </c>
      <c r="T15" s="56">
        <v>-9999</v>
      </c>
      <c r="U15" s="56">
        <v>-9999</v>
      </c>
      <c r="V15" s="277">
        <v>-9999</v>
      </c>
    </row>
    <row r="16" spans="1:36" x14ac:dyDescent="0.2">
      <c r="A16" s="10" t="s">
        <v>1424</v>
      </c>
      <c r="B16" s="56">
        <v>1990</v>
      </c>
      <c r="C16" s="56" t="s">
        <v>619</v>
      </c>
      <c r="D16" s="56" t="s">
        <v>376</v>
      </c>
      <c r="E16" s="56" t="s">
        <v>200</v>
      </c>
      <c r="F16" s="57" t="s">
        <v>1331</v>
      </c>
      <c r="G16" s="56" t="s">
        <v>1259</v>
      </c>
      <c r="H16" s="56"/>
      <c r="I16" s="57" t="s">
        <v>1299</v>
      </c>
      <c r="J16" s="57" t="s">
        <v>383</v>
      </c>
      <c r="K16" s="268">
        <v>40.049999999999997</v>
      </c>
      <c r="L16" s="268">
        <v>78.016999999999996</v>
      </c>
      <c r="M16" s="56" t="s">
        <v>1420</v>
      </c>
      <c r="N16" s="56">
        <v>-9999</v>
      </c>
      <c r="O16" s="56" t="s">
        <v>381</v>
      </c>
      <c r="P16" s="56">
        <v>1.2</v>
      </c>
      <c r="Q16" s="56">
        <v>-9999</v>
      </c>
      <c r="R16" s="56">
        <v>-9999</v>
      </c>
      <c r="S16" s="56">
        <v>-9999</v>
      </c>
      <c r="T16" s="56">
        <v>-9999</v>
      </c>
      <c r="U16" s="56" t="s">
        <v>1422</v>
      </c>
      <c r="V16" s="277">
        <v>-9999</v>
      </c>
    </row>
    <row r="17" spans="1:22" x14ac:dyDescent="0.2">
      <c r="A17" s="10" t="s">
        <v>1424</v>
      </c>
      <c r="B17" s="56">
        <v>1990</v>
      </c>
      <c r="C17" s="56" t="s">
        <v>619</v>
      </c>
      <c r="D17" s="56" t="s">
        <v>376</v>
      </c>
      <c r="E17" s="56" t="s">
        <v>200</v>
      </c>
      <c r="F17" s="57" t="s">
        <v>1331</v>
      </c>
      <c r="G17" s="56" t="s">
        <v>1259</v>
      </c>
      <c r="H17" s="56"/>
      <c r="I17" s="57" t="s">
        <v>1299</v>
      </c>
      <c r="J17" s="57" t="s">
        <v>383</v>
      </c>
      <c r="K17" s="268">
        <v>40.049999999999997</v>
      </c>
      <c r="L17" s="268">
        <v>78.016999999999996</v>
      </c>
      <c r="M17" s="56" t="s">
        <v>1421</v>
      </c>
      <c r="N17" s="56">
        <v>-9999</v>
      </c>
      <c r="O17" s="56" t="s">
        <v>381</v>
      </c>
      <c r="P17" s="56">
        <v>1.2</v>
      </c>
      <c r="Q17" s="56">
        <v>-9999</v>
      </c>
      <c r="R17" s="56">
        <v>-9999</v>
      </c>
      <c r="S17" s="56">
        <v>-9999</v>
      </c>
      <c r="T17" s="56">
        <v>-9999</v>
      </c>
      <c r="U17" s="56" t="s">
        <v>1423</v>
      </c>
      <c r="V17" s="277">
        <v>-9999</v>
      </c>
    </row>
    <row r="18" spans="1:22" x14ac:dyDescent="0.2">
      <c r="A18" s="5" t="s">
        <v>1431</v>
      </c>
      <c r="B18" s="65"/>
      <c r="C18" s="65"/>
      <c r="D18" s="65"/>
      <c r="E18" s="65"/>
      <c r="F18" s="65"/>
      <c r="G18" s="65"/>
      <c r="H18" s="65"/>
      <c r="I18" s="65"/>
      <c r="J18" s="65"/>
      <c r="K18" s="65"/>
      <c r="L18" s="65"/>
      <c r="M18" s="65"/>
      <c r="N18" s="65"/>
      <c r="O18" s="65"/>
      <c r="P18" s="65"/>
      <c r="Q18" s="65"/>
      <c r="R18" s="65"/>
      <c r="S18" s="65"/>
      <c r="T18" s="65"/>
      <c r="U18" s="65"/>
      <c r="V18" s="69"/>
    </row>
    <row r="19" spans="1:22" ht="39" customHeight="1" x14ac:dyDescent="0.2">
      <c r="A19" s="77" t="s">
        <v>780</v>
      </c>
      <c r="B19" s="80">
        <v>1976</v>
      </c>
      <c r="C19" s="80" t="s">
        <v>619</v>
      </c>
      <c r="D19" s="80" t="s">
        <v>376</v>
      </c>
      <c r="E19" s="80" t="s">
        <v>243</v>
      </c>
      <c r="F19" s="25" t="s">
        <v>978</v>
      </c>
      <c r="G19" s="25" t="s">
        <v>1304</v>
      </c>
      <c r="H19" s="25" t="s">
        <v>1365</v>
      </c>
      <c r="I19" s="25" t="s">
        <v>384</v>
      </c>
      <c r="J19" s="25" t="s">
        <v>385</v>
      </c>
      <c r="K19" s="267">
        <v>45.633000000000003</v>
      </c>
      <c r="L19" s="267">
        <v>89.617000000000004</v>
      </c>
      <c r="M19" s="80" t="s">
        <v>386</v>
      </c>
      <c r="N19" s="79">
        <v>-9999</v>
      </c>
      <c r="O19" s="79">
        <v>-9999</v>
      </c>
      <c r="P19" s="79">
        <v>-9999</v>
      </c>
      <c r="Q19" s="25" t="s">
        <v>1368</v>
      </c>
      <c r="R19" s="79">
        <v>-9999</v>
      </c>
      <c r="S19" s="79">
        <v>-9999</v>
      </c>
      <c r="T19" s="79">
        <v>-9999</v>
      </c>
      <c r="U19" s="79">
        <v>-9999</v>
      </c>
      <c r="V19" s="278">
        <v>-9999</v>
      </c>
    </row>
    <row r="20" spans="1:22" ht="25.5" x14ac:dyDescent="0.2">
      <c r="A20" s="76" t="s">
        <v>1332</v>
      </c>
      <c r="B20" s="132">
        <v>1988</v>
      </c>
      <c r="C20" s="79" t="s">
        <v>619</v>
      </c>
      <c r="D20" s="79" t="s">
        <v>376</v>
      </c>
      <c r="E20" s="79" t="s">
        <v>243</v>
      </c>
      <c r="F20" s="32" t="s">
        <v>978</v>
      </c>
      <c r="G20" s="79" t="s">
        <v>1304</v>
      </c>
      <c r="H20" s="25" t="s">
        <v>1365</v>
      </c>
      <c r="I20" s="32" t="s">
        <v>384</v>
      </c>
      <c r="J20" s="32" t="s">
        <v>385</v>
      </c>
      <c r="K20" s="267">
        <v>45.633000000000003</v>
      </c>
      <c r="L20" s="267">
        <v>89.617000000000004</v>
      </c>
      <c r="M20" s="79" t="s">
        <v>781</v>
      </c>
      <c r="N20" s="79">
        <v>-9999</v>
      </c>
      <c r="O20" s="79">
        <v>-9999</v>
      </c>
      <c r="P20" s="79">
        <v>-9999</v>
      </c>
      <c r="Q20" s="79">
        <v>-9999</v>
      </c>
      <c r="R20" s="79">
        <v>-9999</v>
      </c>
      <c r="S20" s="79">
        <v>-9999</v>
      </c>
      <c r="T20" s="79">
        <v>-9999</v>
      </c>
      <c r="U20" s="79">
        <v>-9999</v>
      </c>
      <c r="V20" s="278">
        <v>-9999</v>
      </c>
    </row>
    <row r="21" spans="1:22" ht="25.5" x14ac:dyDescent="0.2">
      <c r="A21" s="77" t="s">
        <v>785</v>
      </c>
      <c r="B21" s="79">
        <v>1993</v>
      </c>
      <c r="C21" s="79" t="s">
        <v>619</v>
      </c>
      <c r="D21" s="79" t="s">
        <v>376</v>
      </c>
      <c r="E21" s="79" t="s">
        <v>243</v>
      </c>
      <c r="F21" s="32" t="s">
        <v>978</v>
      </c>
      <c r="G21" s="79" t="s">
        <v>1304</v>
      </c>
      <c r="H21" s="25" t="s">
        <v>1365</v>
      </c>
      <c r="I21" s="32" t="s">
        <v>384</v>
      </c>
      <c r="J21" s="32" t="s">
        <v>385</v>
      </c>
      <c r="K21" s="267">
        <v>45.633000000000003</v>
      </c>
      <c r="L21" s="267">
        <v>89.617000000000004</v>
      </c>
      <c r="M21" s="79" t="s">
        <v>387</v>
      </c>
      <c r="N21" s="79">
        <v>-9999</v>
      </c>
      <c r="O21" s="79">
        <v>-9999</v>
      </c>
      <c r="P21" s="79">
        <v>-9999</v>
      </c>
      <c r="Q21" s="79">
        <v>-9999</v>
      </c>
      <c r="R21" s="79">
        <v>1300</v>
      </c>
      <c r="S21" s="79">
        <v>-9999</v>
      </c>
      <c r="T21" s="79">
        <v>-9999</v>
      </c>
      <c r="U21" s="79">
        <v>-9999</v>
      </c>
      <c r="V21" s="278">
        <v>-9999</v>
      </c>
    </row>
    <row r="22" spans="1:22" ht="25.5" x14ac:dyDescent="0.2">
      <c r="A22" s="77" t="s">
        <v>785</v>
      </c>
      <c r="B22" s="79">
        <v>1993</v>
      </c>
      <c r="C22" s="32" t="s">
        <v>619</v>
      </c>
      <c r="D22" s="79" t="s">
        <v>376</v>
      </c>
      <c r="E22" s="79" t="s">
        <v>243</v>
      </c>
      <c r="F22" s="32" t="s">
        <v>978</v>
      </c>
      <c r="G22" s="79" t="s">
        <v>1304</v>
      </c>
      <c r="H22" s="25" t="s">
        <v>1365</v>
      </c>
      <c r="I22" s="32" t="s">
        <v>384</v>
      </c>
      <c r="J22" s="32" t="s">
        <v>385</v>
      </c>
      <c r="K22" s="267">
        <v>45.633000000000003</v>
      </c>
      <c r="L22" s="267">
        <v>89.617000000000004</v>
      </c>
      <c r="M22" s="79" t="s">
        <v>781</v>
      </c>
      <c r="N22" s="79">
        <v>-9999</v>
      </c>
      <c r="O22" s="79">
        <v>-9999</v>
      </c>
      <c r="P22" s="79">
        <v>-9999</v>
      </c>
      <c r="Q22" s="79">
        <v>-9999</v>
      </c>
      <c r="R22" s="79">
        <v>-9999</v>
      </c>
      <c r="S22" s="79">
        <v>-9999</v>
      </c>
      <c r="T22" s="79">
        <v>-9999</v>
      </c>
      <c r="U22" s="79">
        <v>-9999</v>
      </c>
      <c r="V22" s="278">
        <v>-9999</v>
      </c>
    </row>
    <row r="23" spans="1:22" x14ac:dyDescent="0.2">
      <c r="A23" s="304" t="s">
        <v>2090</v>
      </c>
      <c r="B23" s="79">
        <v>2002</v>
      </c>
      <c r="C23" s="79" t="s">
        <v>619</v>
      </c>
      <c r="D23" s="79" t="s">
        <v>376</v>
      </c>
      <c r="E23" s="79" t="s">
        <v>243</v>
      </c>
      <c r="F23" s="32" t="s">
        <v>978</v>
      </c>
      <c r="G23" s="32" t="s">
        <v>76</v>
      </c>
      <c r="H23" s="79" t="s">
        <v>76</v>
      </c>
      <c r="I23" s="32" t="s">
        <v>388</v>
      </c>
      <c r="J23" s="32" t="s">
        <v>389</v>
      </c>
      <c r="K23" s="267">
        <v>46.582999999999998</v>
      </c>
      <c r="L23" s="267">
        <v>90.882999999999996</v>
      </c>
      <c r="M23" s="79">
        <v>-9999</v>
      </c>
      <c r="N23" s="79">
        <v>-9999</v>
      </c>
      <c r="O23" s="79">
        <v>-9999</v>
      </c>
      <c r="P23" s="79">
        <v>-9999</v>
      </c>
      <c r="Q23" s="79">
        <v>-9999</v>
      </c>
      <c r="R23" s="79">
        <v>-9999</v>
      </c>
      <c r="S23" s="79">
        <v>-9999</v>
      </c>
      <c r="T23" s="79">
        <v>-9999</v>
      </c>
      <c r="U23" s="79">
        <v>-9999</v>
      </c>
      <c r="V23" s="278">
        <v>-9999</v>
      </c>
    </row>
    <row r="24" spans="1:22" x14ac:dyDescent="0.2">
      <c r="A24" s="304" t="s">
        <v>2090</v>
      </c>
      <c r="B24" s="79">
        <v>2002</v>
      </c>
      <c r="C24" s="79" t="s">
        <v>619</v>
      </c>
      <c r="D24" s="79" t="s">
        <v>376</v>
      </c>
      <c r="E24" s="79" t="s">
        <v>243</v>
      </c>
      <c r="F24" s="32" t="s">
        <v>978</v>
      </c>
      <c r="G24" s="32" t="s">
        <v>1312</v>
      </c>
      <c r="H24" s="79" t="s">
        <v>77</v>
      </c>
      <c r="I24" s="32" t="s">
        <v>396</v>
      </c>
      <c r="J24" s="32" t="s">
        <v>397</v>
      </c>
      <c r="K24" s="267">
        <v>44.55</v>
      </c>
      <c r="L24" s="267">
        <v>91.7</v>
      </c>
      <c r="M24" s="79">
        <v>-9999</v>
      </c>
      <c r="N24" s="79">
        <v>-9999</v>
      </c>
      <c r="O24" s="79">
        <v>-9999</v>
      </c>
      <c r="P24" s="79">
        <v>-9999</v>
      </c>
      <c r="Q24" s="79">
        <v>-9999</v>
      </c>
      <c r="R24" s="79">
        <v>-9999</v>
      </c>
      <c r="S24" s="79">
        <v>-9999</v>
      </c>
      <c r="T24" s="79">
        <v>-9999</v>
      </c>
      <c r="U24" s="79">
        <v>-9999</v>
      </c>
      <c r="V24" s="278">
        <v>-9999</v>
      </c>
    </row>
    <row r="25" spans="1:22" x14ac:dyDescent="0.2">
      <c r="A25" s="304" t="s">
        <v>2090</v>
      </c>
      <c r="B25" s="79">
        <v>2002</v>
      </c>
      <c r="C25" s="79" t="s">
        <v>619</v>
      </c>
      <c r="D25" s="79" t="s">
        <v>376</v>
      </c>
      <c r="E25" s="79" t="s">
        <v>243</v>
      </c>
      <c r="F25" s="32" t="s">
        <v>528</v>
      </c>
      <c r="G25" s="32" t="s">
        <v>1307</v>
      </c>
      <c r="H25" s="79" t="s">
        <v>78</v>
      </c>
      <c r="I25" s="32" t="s">
        <v>392</v>
      </c>
      <c r="J25" s="32" t="s">
        <v>393</v>
      </c>
      <c r="K25" s="267">
        <v>44.816000000000003</v>
      </c>
      <c r="L25" s="267">
        <v>95.55</v>
      </c>
      <c r="M25" s="79">
        <v>-9999</v>
      </c>
      <c r="N25" s="79">
        <v>-9999</v>
      </c>
      <c r="O25" s="79">
        <v>-9999</v>
      </c>
      <c r="P25" s="79">
        <v>-9999</v>
      </c>
      <c r="Q25" s="79">
        <v>-9999</v>
      </c>
      <c r="R25" s="79">
        <v>-9999</v>
      </c>
      <c r="S25" s="79">
        <v>-9999</v>
      </c>
      <c r="T25" s="79">
        <v>-9999</v>
      </c>
      <c r="U25" s="79">
        <v>-9999</v>
      </c>
      <c r="V25" s="278">
        <v>-9999</v>
      </c>
    </row>
    <row r="26" spans="1:22" x14ac:dyDescent="0.2">
      <c r="A26" s="304" t="s">
        <v>2090</v>
      </c>
      <c r="B26" s="79">
        <v>2002</v>
      </c>
      <c r="C26" s="79" t="s">
        <v>619</v>
      </c>
      <c r="D26" s="79" t="s">
        <v>376</v>
      </c>
      <c r="E26" s="79" t="s">
        <v>243</v>
      </c>
      <c r="F26" s="32" t="s">
        <v>528</v>
      </c>
      <c r="G26" s="32" t="s">
        <v>1306</v>
      </c>
      <c r="H26" s="79" t="s">
        <v>79</v>
      </c>
      <c r="I26" s="32" t="s">
        <v>394</v>
      </c>
      <c r="J26" s="32" t="s">
        <v>395</v>
      </c>
      <c r="K26" s="267">
        <v>45.75</v>
      </c>
      <c r="L26" s="267">
        <v>93.65</v>
      </c>
      <c r="M26" s="79">
        <v>-9999</v>
      </c>
      <c r="N26" s="79">
        <v>-9999</v>
      </c>
      <c r="O26" s="79">
        <v>-9999</v>
      </c>
      <c r="P26" s="79">
        <v>-9999</v>
      </c>
      <c r="Q26" s="79">
        <v>-9999</v>
      </c>
      <c r="R26" s="79">
        <v>-9999</v>
      </c>
      <c r="S26" s="79">
        <v>-9999</v>
      </c>
      <c r="T26" s="79">
        <v>-9999</v>
      </c>
      <c r="U26" s="79">
        <v>-9999</v>
      </c>
      <c r="V26" s="278">
        <v>-9999</v>
      </c>
    </row>
    <row r="27" spans="1:22" x14ac:dyDescent="0.2">
      <c r="A27" s="304" t="s">
        <v>2090</v>
      </c>
      <c r="B27" s="79">
        <v>2002</v>
      </c>
      <c r="C27" s="79" t="s">
        <v>619</v>
      </c>
      <c r="D27" s="79" t="s">
        <v>376</v>
      </c>
      <c r="E27" s="79" t="s">
        <v>243</v>
      </c>
      <c r="F27" s="32" t="s">
        <v>1330</v>
      </c>
      <c r="G27" s="32" t="s">
        <v>257</v>
      </c>
      <c r="H27" s="79" t="s">
        <v>80</v>
      </c>
      <c r="I27" s="32" t="s">
        <v>390</v>
      </c>
      <c r="J27" s="32" t="s">
        <v>391</v>
      </c>
      <c r="K27" s="267">
        <v>46.883000000000003</v>
      </c>
      <c r="L27" s="267">
        <v>96.8</v>
      </c>
      <c r="M27" s="79">
        <v>-9999</v>
      </c>
      <c r="N27" s="79">
        <v>-9999</v>
      </c>
      <c r="O27" s="79">
        <v>-9999</v>
      </c>
      <c r="P27" s="79">
        <v>-9999</v>
      </c>
      <c r="Q27" s="79">
        <v>-9999</v>
      </c>
      <c r="R27" s="79">
        <v>-9999</v>
      </c>
      <c r="S27" s="79">
        <v>-9999</v>
      </c>
      <c r="T27" s="79">
        <v>-9999</v>
      </c>
      <c r="U27" s="79">
        <v>-9999</v>
      </c>
      <c r="V27" s="278">
        <v>-9999</v>
      </c>
    </row>
    <row r="28" spans="1:22" x14ac:dyDescent="0.2">
      <c r="A28" s="304" t="s">
        <v>2090</v>
      </c>
      <c r="B28" s="79">
        <v>2002</v>
      </c>
      <c r="C28" s="79" t="s">
        <v>619</v>
      </c>
      <c r="D28" s="79" t="s">
        <v>376</v>
      </c>
      <c r="E28" s="79" t="s">
        <v>243</v>
      </c>
      <c r="F28" s="32" t="s">
        <v>528</v>
      </c>
      <c r="G28" s="32" t="s">
        <v>1305</v>
      </c>
      <c r="H28" s="79" t="s">
        <v>81</v>
      </c>
      <c r="I28" s="32" t="s">
        <v>398</v>
      </c>
      <c r="J28" s="32" t="s">
        <v>399</v>
      </c>
      <c r="K28" s="267">
        <v>44.55</v>
      </c>
      <c r="L28" s="267">
        <v>96.733000000000004</v>
      </c>
      <c r="M28" s="79">
        <v>-9999</v>
      </c>
      <c r="N28" s="79">
        <v>-9999</v>
      </c>
      <c r="O28" s="79">
        <v>-9999</v>
      </c>
      <c r="P28" s="79">
        <v>-9999</v>
      </c>
      <c r="Q28" s="79">
        <v>-9999</v>
      </c>
      <c r="R28" s="79">
        <v>-9999</v>
      </c>
      <c r="S28" s="79">
        <v>-9999</v>
      </c>
      <c r="T28" s="79">
        <v>-9999</v>
      </c>
      <c r="U28" s="79">
        <v>-9999</v>
      </c>
      <c r="V28" s="278">
        <v>-9999</v>
      </c>
    </row>
    <row r="29" spans="1:22" x14ac:dyDescent="0.2">
      <c r="A29" s="304" t="s">
        <v>2090</v>
      </c>
      <c r="B29" s="79">
        <v>2002</v>
      </c>
      <c r="C29" s="79" t="s">
        <v>619</v>
      </c>
      <c r="D29" s="79" t="s">
        <v>376</v>
      </c>
      <c r="E29" s="79" t="s">
        <v>243</v>
      </c>
      <c r="F29" s="76" t="s">
        <v>528</v>
      </c>
      <c r="G29" s="32" t="s">
        <v>1308</v>
      </c>
      <c r="H29" s="79" t="s">
        <v>1045</v>
      </c>
      <c r="I29" s="32" t="s">
        <v>1260</v>
      </c>
      <c r="J29" s="32" t="s">
        <v>1261</v>
      </c>
      <c r="K29" s="267">
        <v>43.55</v>
      </c>
      <c r="L29" s="267">
        <v>94.382999999999996</v>
      </c>
      <c r="M29" s="79">
        <v>-9999</v>
      </c>
      <c r="N29" s="79">
        <v>-9999</v>
      </c>
      <c r="O29" s="79">
        <v>-9999</v>
      </c>
      <c r="P29" s="79">
        <v>-9999</v>
      </c>
      <c r="Q29" s="79">
        <v>-9999</v>
      </c>
      <c r="R29" s="79">
        <v>-9999</v>
      </c>
      <c r="S29" s="79">
        <v>-9999</v>
      </c>
      <c r="T29" s="79">
        <v>-9999</v>
      </c>
      <c r="U29" s="79">
        <v>-9999</v>
      </c>
      <c r="V29" s="278">
        <v>-9999</v>
      </c>
    </row>
    <row r="30" spans="1:22" x14ac:dyDescent="0.2">
      <c r="A30" s="304" t="s">
        <v>2090</v>
      </c>
      <c r="B30" s="79">
        <v>2002</v>
      </c>
      <c r="C30" s="79" t="s">
        <v>619</v>
      </c>
      <c r="D30" s="79" t="s">
        <v>376</v>
      </c>
      <c r="E30" s="79" t="s">
        <v>243</v>
      </c>
      <c r="F30" s="76" t="s">
        <v>528</v>
      </c>
      <c r="G30" s="32" t="s">
        <v>1309</v>
      </c>
      <c r="H30" s="32" t="s">
        <v>1044</v>
      </c>
      <c r="I30" s="32" t="s">
        <v>1262</v>
      </c>
      <c r="J30" s="32" t="s">
        <v>1263</v>
      </c>
      <c r="K30" s="267">
        <v>46.75</v>
      </c>
      <c r="L30" s="267">
        <v>92.45</v>
      </c>
      <c r="M30" s="79">
        <v>-9999</v>
      </c>
      <c r="N30" s="79">
        <v>-9999</v>
      </c>
      <c r="O30" s="79">
        <v>-9999</v>
      </c>
      <c r="P30" s="79">
        <v>-9999</v>
      </c>
      <c r="Q30" s="79">
        <v>-9999</v>
      </c>
      <c r="R30" s="79">
        <v>-9999</v>
      </c>
      <c r="S30" s="79">
        <v>-9999</v>
      </c>
      <c r="T30" s="79">
        <v>-9999</v>
      </c>
      <c r="U30" s="79" t="s">
        <v>1379</v>
      </c>
      <c r="V30" s="278">
        <v>-9999</v>
      </c>
    </row>
    <row r="31" spans="1:22" ht="25.5" x14ac:dyDescent="0.2">
      <c r="A31" s="76" t="s">
        <v>1388</v>
      </c>
      <c r="B31" s="79">
        <v>2001</v>
      </c>
      <c r="C31" s="77" t="s">
        <v>619</v>
      </c>
      <c r="D31" s="77" t="s">
        <v>376</v>
      </c>
      <c r="E31" s="77" t="s">
        <v>243</v>
      </c>
      <c r="F31" s="76" t="s">
        <v>528</v>
      </c>
      <c r="G31" s="76" t="s">
        <v>1310</v>
      </c>
      <c r="H31" s="77" t="s">
        <v>250</v>
      </c>
      <c r="I31" s="32" t="s">
        <v>529</v>
      </c>
      <c r="J31" s="32" t="s">
        <v>1293</v>
      </c>
      <c r="K31" s="267">
        <v>45.7</v>
      </c>
      <c r="L31" s="267">
        <v>95.2</v>
      </c>
      <c r="M31" s="32" t="s">
        <v>1053</v>
      </c>
      <c r="N31" s="79">
        <v>-9999</v>
      </c>
      <c r="O31" s="32" t="s">
        <v>1054</v>
      </c>
      <c r="P31" s="79">
        <v>-9999</v>
      </c>
      <c r="Q31" s="79">
        <v>-9999</v>
      </c>
      <c r="R31" s="79">
        <v>591</v>
      </c>
      <c r="S31" s="79">
        <v>-9999</v>
      </c>
      <c r="T31" s="79">
        <v>-9999</v>
      </c>
      <c r="U31" s="79" t="s">
        <v>1379</v>
      </c>
      <c r="V31" s="278" t="s">
        <v>400</v>
      </c>
    </row>
    <row r="32" spans="1:22" ht="25.5" x14ac:dyDescent="0.2">
      <c r="A32" s="76" t="s">
        <v>1388</v>
      </c>
      <c r="B32" s="79">
        <v>2001</v>
      </c>
      <c r="C32" s="77" t="s">
        <v>619</v>
      </c>
      <c r="D32" s="77" t="s">
        <v>376</v>
      </c>
      <c r="E32" s="77" t="s">
        <v>243</v>
      </c>
      <c r="F32" s="76" t="s">
        <v>978</v>
      </c>
      <c r="G32" s="76" t="s">
        <v>1311</v>
      </c>
      <c r="H32" s="77" t="s">
        <v>252</v>
      </c>
      <c r="I32" s="32" t="s">
        <v>401</v>
      </c>
      <c r="J32" s="32" t="s">
        <v>402</v>
      </c>
      <c r="K32" s="267">
        <v>43.33</v>
      </c>
      <c r="L32" s="267">
        <v>89.367000000000004</v>
      </c>
      <c r="M32" s="79">
        <v>-9999</v>
      </c>
      <c r="N32" s="79">
        <v>-9999</v>
      </c>
      <c r="O32" s="79">
        <v>-9999</v>
      </c>
      <c r="P32" s="79">
        <v>-9999</v>
      </c>
      <c r="Q32" s="79">
        <v>-9999</v>
      </c>
      <c r="R32" s="79">
        <v>722</v>
      </c>
      <c r="S32" s="79">
        <v>-9999</v>
      </c>
      <c r="T32" s="79">
        <v>-9999</v>
      </c>
      <c r="U32" s="79" t="s">
        <v>1379</v>
      </c>
      <c r="V32" s="278" t="s">
        <v>400</v>
      </c>
    </row>
    <row r="33" spans="1:36" ht="25.5" x14ac:dyDescent="0.2">
      <c r="A33" s="76" t="s">
        <v>1388</v>
      </c>
      <c r="B33" s="79">
        <v>2001</v>
      </c>
      <c r="C33" s="77" t="s">
        <v>619</v>
      </c>
      <c r="D33" s="77" t="s">
        <v>376</v>
      </c>
      <c r="E33" s="77" t="s">
        <v>243</v>
      </c>
      <c r="F33" s="76" t="s">
        <v>1329</v>
      </c>
      <c r="G33" s="76" t="s">
        <v>1313</v>
      </c>
      <c r="H33" s="76" t="s">
        <v>251</v>
      </c>
      <c r="I33" s="32" t="s">
        <v>1245</v>
      </c>
      <c r="J33" s="32" t="s">
        <v>1292</v>
      </c>
      <c r="K33" s="267">
        <v>42.03</v>
      </c>
      <c r="L33" s="267">
        <v>93.56</v>
      </c>
      <c r="M33" s="79">
        <v>-9999</v>
      </c>
      <c r="N33" s="79">
        <v>-9999</v>
      </c>
      <c r="O33" s="79">
        <v>-9999</v>
      </c>
      <c r="P33" s="79">
        <v>-9999</v>
      </c>
      <c r="Q33" s="79">
        <v>-9999</v>
      </c>
      <c r="R33" s="79">
        <v>727</v>
      </c>
      <c r="S33" s="79">
        <v>-9999</v>
      </c>
      <c r="T33" s="79">
        <v>-9999</v>
      </c>
      <c r="U33" s="79" t="s">
        <v>1379</v>
      </c>
      <c r="V33" s="278" t="s">
        <v>400</v>
      </c>
    </row>
    <row r="34" spans="1:36" ht="25.5" x14ac:dyDescent="0.2">
      <c r="A34" s="418" t="s">
        <v>1375</v>
      </c>
      <c r="B34" s="79">
        <v>2009</v>
      </c>
      <c r="C34" s="77" t="s">
        <v>619</v>
      </c>
      <c r="D34" s="77" t="s">
        <v>376</v>
      </c>
      <c r="E34" s="77" t="s">
        <v>243</v>
      </c>
      <c r="F34" s="76" t="s">
        <v>528</v>
      </c>
      <c r="G34" s="76" t="s">
        <v>1310</v>
      </c>
      <c r="H34" s="77" t="s">
        <v>250</v>
      </c>
      <c r="I34" s="32" t="s">
        <v>529</v>
      </c>
      <c r="J34" s="32" t="s">
        <v>1293</v>
      </c>
      <c r="K34" s="267">
        <v>45.7</v>
      </c>
      <c r="L34" s="267">
        <v>95.2</v>
      </c>
      <c r="M34" s="32" t="s">
        <v>1053</v>
      </c>
      <c r="N34" s="79">
        <v>-9999</v>
      </c>
      <c r="O34" s="32" t="s">
        <v>1054</v>
      </c>
      <c r="P34" s="79">
        <v>-9999</v>
      </c>
      <c r="Q34" s="79">
        <v>-9999</v>
      </c>
      <c r="R34" s="79">
        <v>591</v>
      </c>
      <c r="S34" s="79">
        <v>-9999</v>
      </c>
      <c r="T34" s="79">
        <v>-9999</v>
      </c>
      <c r="U34" s="79" t="s">
        <v>1379</v>
      </c>
      <c r="V34" s="278" t="s">
        <v>400</v>
      </c>
    </row>
    <row r="35" spans="1:36" x14ac:dyDescent="0.2">
      <c r="A35" s="418" t="s">
        <v>1375</v>
      </c>
      <c r="B35" s="79">
        <v>2009</v>
      </c>
      <c r="C35" s="77" t="s">
        <v>619</v>
      </c>
      <c r="D35" s="77" t="s">
        <v>376</v>
      </c>
      <c r="E35" s="77" t="s">
        <v>243</v>
      </c>
      <c r="F35" s="76" t="s">
        <v>528</v>
      </c>
      <c r="G35" s="76"/>
      <c r="H35" s="418" t="s">
        <v>1376</v>
      </c>
      <c r="I35" s="32"/>
      <c r="J35" s="32"/>
      <c r="K35" s="267">
        <v>44.1</v>
      </c>
      <c r="L35" s="267">
        <v>93.5</v>
      </c>
      <c r="M35" s="32" t="s">
        <v>1053</v>
      </c>
      <c r="N35" s="79"/>
      <c r="O35" s="32" t="s">
        <v>1054</v>
      </c>
      <c r="P35" s="79">
        <v>-9999</v>
      </c>
      <c r="Q35" s="79">
        <v>-9999</v>
      </c>
      <c r="R35" s="79">
        <v>752</v>
      </c>
      <c r="S35" s="79">
        <v>-9999</v>
      </c>
      <c r="T35" s="79">
        <v>-9999</v>
      </c>
      <c r="U35" s="79" t="s">
        <v>1379</v>
      </c>
      <c r="V35" s="278"/>
    </row>
    <row r="36" spans="1:36" x14ac:dyDescent="0.2">
      <c r="A36" s="5" t="s">
        <v>1429</v>
      </c>
      <c r="B36" s="65"/>
      <c r="C36" s="65"/>
      <c r="D36" s="65"/>
      <c r="E36" s="65"/>
      <c r="F36" s="65"/>
      <c r="G36" s="65"/>
      <c r="H36" s="65"/>
      <c r="I36" s="65"/>
      <c r="J36" s="65"/>
      <c r="K36" s="65"/>
      <c r="L36" s="65"/>
      <c r="M36" s="65"/>
      <c r="N36" s="65"/>
      <c r="O36" s="65"/>
      <c r="P36" s="65"/>
      <c r="Q36" s="65"/>
      <c r="R36" s="65"/>
      <c r="S36" s="65"/>
      <c r="T36" s="65"/>
      <c r="U36" s="65"/>
      <c r="V36" s="69"/>
    </row>
    <row r="37" spans="1:36" ht="24.75" customHeight="1" x14ac:dyDescent="0.2">
      <c r="A37" s="134" t="s">
        <v>818</v>
      </c>
      <c r="B37" s="85">
        <v>1981</v>
      </c>
      <c r="C37" s="87" t="s">
        <v>619</v>
      </c>
      <c r="D37" s="133" t="s">
        <v>376</v>
      </c>
      <c r="E37" s="134" t="s">
        <v>1065</v>
      </c>
      <c r="F37" s="133" t="s">
        <v>1328</v>
      </c>
      <c r="G37" s="134" t="s">
        <v>1314</v>
      </c>
      <c r="H37" s="133" t="s">
        <v>253</v>
      </c>
      <c r="I37" s="87" t="s">
        <v>1291</v>
      </c>
      <c r="J37" s="87" t="s">
        <v>1289</v>
      </c>
      <c r="K37" s="269">
        <v>39.232999999999997</v>
      </c>
      <c r="L37" s="269">
        <v>96.566999999999993</v>
      </c>
      <c r="M37" s="86">
        <v>-9999</v>
      </c>
      <c r="N37" s="86">
        <v>-9999</v>
      </c>
      <c r="O37" s="87" t="s">
        <v>1067</v>
      </c>
      <c r="P37" s="86">
        <v>-9999</v>
      </c>
      <c r="Q37" s="86">
        <v>100</v>
      </c>
      <c r="R37" s="86">
        <v>838</v>
      </c>
      <c r="S37" s="86">
        <v>-9999</v>
      </c>
      <c r="T37" s="86">
        <v>-9999</v>
      </c>
      <c r="U37" s="86">
        <v>-9999</v>
      </c>
      <c r="V37" s="279">
        <v>-9999</v>
      </c>
      <c r="W37" s="301" t="s">
        <v>1565</v>
      </c>
    </row>
    <row r="38" spans="1:36" ht="25.5" customHeight="1" x14ac:dyDescent="0.2">
      <c r="A38" s="134" t="s">
        <v>818</v>
      </c>
      <c r="B38" s="85">
        <v>1981</v>
      </c>
      <c r="C38" s="308" t="s">
        <v>1560</v>
      </c>
      <c r="D38" s="133" t="s">
        <v>376</v>
      </c>
      <c r="E38" s="134" t="s">
        <v>1065</v>
      </c>
      <c r="F38" s="134" t="s">
        <v>1328</v>
      </c>
      <c r="G38" s="134" t="s">
        <v>1314</v>
      </c>
      <c r="H38" s="133" t="s">
        <v>253</v>
      </c>
      <c r="I38" s="87" t="s">
        <v>1291</v>
      </c>
      <c r="J38" s="87" t="s">
        <v>1289</v>
      </c>
      <c r="K38" s="269">
        <v>39.232999999999997</v>
      </c>
      <c r="L38" s="269">
        <v>96.566999999999993</v>
      </c>
      <c r="M38" s="86">
        <v>-9999</v>
      </c>
      <c r="N38" s="86">
        <v>-9999</v>
      </c>
      <c r="O38" s="87" t="s">
        <v>1067</v>
      </c>
      <c r="P38" s="86">
        <v>-9999</v>
      </c>
      <c r="Q38" s="86">
        <v>100</v>
      </c>
      <c r="R38" s="86">
        <v>838</v>
      </c>
      <c r="S38" s="86">
        <v>-9999</v>
      </c>
      <c r="T38" s="86">
        <v>-9999</v>
      </c>
      <c r="U38" s="86">
        <v>-9999</v>
      </c>
      <c r="V38" s="279">
        <v>-9999</v>
      </c>
      <c r="W38" s="301" t="s">
        <v>1565</v>
      </c>
    </row>
    <row r="39" spans="1:36" ht="25.5" customHeight="1" x14ac:dyDescent="0.2">
      <c r="A39" s="134" t="s">
        <v>818</v>
      </c>
      <c r="B39" s="85">
        <v>1981</v>
      </c>
      <c r="C39" s="308" t="s">
        <v>1559</v>
      </c>
      <c r="D39" s="133" t="s">
        <v>376</v>
      </c>
      <c r="E39" s="134" t="s">
        <v>1065</v>
      </c>
      <c r="F39" s="134" t="s">
        <v>1328</v>
      </c>
      <c r="G39" s="134" t="s">
        <v>1314</v>
      </c>
      <c r="H39" s="133" t="s">
        <v>253</v>
      </c>
      <c r="I39" s="87" t="s">
        <v>1291</v>
      </c>
      <c r="J39" s="87" t="s">
        <v>1289</v>
      </c>
      <c r="K39" s="269">
        <v>39.232999999999997</v>
      </c>
      <c r="L39" s="269">
        <v>96.566999999999993</v>
      </c>
      <c r="M39" s="86">
        <v>-9999</v>
      </c>
      <c r="N39" s="86">
        <v>-9999</v>
      </c>
      <c r="O39" s="87" t="s">
        <v>1067</v>
      </c>
      <c r="P39" s="86">
        <v>-9999</v>
      </c>
      <c r="Q39" s="86">
        <v>100</v>
      </c>
      <c r="R39" s="86">
        <v>838</v>
      </c>
      <c r="S39" s="86">
        <v>-9999</v>
      </c>
      <c r="T39" s="86">
        <v>-9999</v>
      </c>
      <c r="U39" s="86">
        <v>-9999</v>
      </c>
      <c r="V39" s="279">
        <v>-9999</v>
      </c>
      <c r="W39" s="301" t="s">
        <v>1565</v>
      </c>
    </row>
    <row r="40" spans="1:36" ht="51" x14ac:dyDescent="0.2">
      <c r="A40" s="134" t="s">
        <v>818</v>
      </c>
      <c r="B40" s="85">
        <v>1981</v>
      </c>
      <c r="C40" s="87" t="s">
        <v>619</v>
      </c>
      <c r="D40" s="133" t="s">
        <v>376</v>
      </c>
      <c r="E40" s="134" t="s">
        <v>1065</v>
      </c>
      <c r="F40" s="134" t="s">
        <v>1328</v>
      </c>
      <c r="G40" s="134" t="s">
        <v>1315</v>
      </c>
      <c r="H40" s="133" t="s">
        <v>256</v>
      </c>
      <c r="I40" s="87" t="s">
        <v>1290</v>
      </c>
      <c r="J40" s="87" t="s">
        <v>1288</v>
      </c>
      <c r="K40" s="269">
        <v>39.049999999999997</v>
      </c>
      <c r="L40" s="269">
        <v>95.867000000000004</v>
      </c>
      <c r="M40" s="86">
        <v>-9999</v>
      </c>
      <c r="N40" s="86">
        <v>-9999</v>
      </c>
      <c r="O40" s="87" t="s">
        <v>1067</v>
      </c>
      <c r="P40" s="86">
        <v>-9999</v>
      </c>
      <c r="Q40" s="86">
        <v>100</v>
      </c>
      <c r="R40" s="86">
        <v>787</v>
      </c>
      <c r="S40" s="86">
        <v>-9999</v>
      </c>
      <c r="T40" s="86">
        <v>-9999</v>
      </c>
      <c r="U40" s="86">
        <v>-9999</v>
      </c>
      <c r="V40" s="279">
        <v>-9999</v>
      </c>
    </row>
    <row r="41" spans="1:36" ht="51" x14ac:dyDescent="0.2">
      <c r="A41" s="134" t="s">
        <v>818</v>
      </c>
      <c r="B41" s="85">
        <v>1981</v>
      </c>
      <c r="C41" s="308" t="s">
        <v>1560</v>
      </c>
      <c r="D41" s="133" t="s">
        <v>376</v>
      </c>
      <c r="E41" s="134" t="s">
        <v>1065</v>
      </c>
      <c r="F41" s="134" t="s">
        <v>1328</v>
      </c>
      <c r="G41" s="134" t="s">
        <v>1315</v>
      </c>
      <c r="H41" s="133" t="s">
        <v>256</v>
      </c>
      <c r="I41" s="87" t="s">
        <v>1290</v>
      </c>
      <c r="J41" s="87" t="s">
        <v>1288</v>
      </c>
      <c r="K41" s="269">
        <v>39.049999999999997</v>
      </c>
      <c r="L41" s="269">
        <v>95.867000000000004</v>
      </c>
      <c r="M41" s="86">
        <v>-9999</v>
      </c>
      <c r="N41" s="86">
        <v>-9999</v>
      </c>
      <c r="O41" s="87" t="s">
        <v>1067</v>
      </c>
      <c r="P41" s="86">
        <v>-9999</v>
      </c>
      <c r="Q41" s="86">
        <v>100</v>
      </c>
      <c r="R41" s="86">
        <v>787</v>
      </c>
      <c r="S41" s="86">
        <v>-9999</v>
      </c>
      <c r="T41" s="86">
        <v>-9999</v>
      </c>
      <c r="U41" s="86">
        <v>-9999</v>
      </c>
      <c r="V41" s="279">
        <v>-9999</v>
      </c>
    </row>
    <row r="42" spans="1:36" ht="35.25" customHeight="1" x14ac:dyDescent="0.2">
      <c r="A42" s="87" t="s">
        <v>367</v>
      </c>
      <c r="B42" s="85">
        <v>1989</v>
      </c>
      <c r="C42" s="87" t="s">
        <v>1402</v>
      </c>
      <c r="D42" s="133" t="s">
        <v>376</v>
      </c>
      <c r="E42" s="134" t="s">
        <v>1065</v>
      </c>
      <c r="F42" s="134" t="s">
        <v>1328</v>
      </c>
      <c r="G42" s="134" t="s">
        <v>1314</v>
      </c>
      <c r="H42" s="133" t="s">
        <v>253</v>
      </c>
      <c r="I42" s="87" t="s">
        <v>1291</v>
      </c>
      <c r="J42" s="87" t="s">
        <v>1289</v>
      </c>
      <c r="K42" s="269">
        <v>39.232999999999997</v>
      </c>
      <c r="L42" s="269">
        <v>96.566999999999993</v>
      </c>
      <c r="M42" s="86">
        <v>-9999</v>
      </c>
      <c r="N42" s="86">
        <v>-9999</v>
      </c>
      <c r="O42" s="87" t="s">
        <v>1067</v>
      </c>
      <c r="P42" s="86">
        <v>-9999</v>
      </c>
      <c r="Q42" s="86">
        <v>100</v>
      </c>
      <c r="R42" s="86">
        <v>838</v>
      </c>
      <c r="S42" s="86">
        <v>-9999</v>
      </c>
      <c r="T42" s="86">
        <v>-9999</v>
      </c>
      <c r="U42" s="86">
        <v>-9999</v>
      </c>
      <c r="V42" s="279">
        <v>-9999</v>
      </c>
    </row>
    <row r="43" spans="1:36" ht="37.5" customHeight="1" x14ac:dyDescent="0.2">
      <c r="A43" s="87" t="s">
        <v>367</v>
      </c>
      <c r="B43" s="85">
        <v>1989</v>
      </c>
      <c r="C43" s="87" t="s">
        <v>619</v>
      </c>
      <c r="D43" s="133" t="s">
        <v>376</v>
      </c>
      <c r="E43" s="134" t="s">
        <v>1065</v>
      </c>
      <c r="F43" s="134" t="s">
        <v>1328</v>
      </c>
      <c r="G43" s="134" t="s">
        <v>1314</v>
      </c>
      <c r="H43" s="133" t="s">
        <v>253</v>
      </c>
      <c r="I43" s="87" t="s">
        <v>1291</v>
      </c>
      <c r="J43" s="87" t="s">
        <v>1289</v>
      </c>
      <c r="K43" s="269">
        <v>39.232999999999997</v>
      </c>
      <c r="L43" s="269">
        <v>96.566999999999993</v>
      </c>
      <c r="M43" s="86">
        <v>-9999</v>
      </c>
      <c r="N43" s="86">
        <v>-9999</v>
      </c>
      <c r="O43" s="87" t="s">
        <v>1067</v>
      </c>
      <c r="P43" s="86">
        <v>-9999</v>
      </c>
      <c r="Q43" s="86">
        <v>100</v>
      </c>
      <c r="R43" s="86">
        <v>838</v>
      </c>
      <c r="S43" s="86">
        <v>-9999</v>
      </c>
      <c r="T43" s="86">
        <v>-9999</v>
      </c>
      <c r="U43" s="86">
        <v>-9999</v>
      </c>
      <c r="V43" s="279">
        <v>-9999</v>
      </c>
    </row>
    <row r="44" spans="1:36" ht="25.5" x14ac:dyDescent="0.2">
      <c r="A44" s="134" t="s">
        <v>813</v>
      </c>
      <c r="B44" s="85">
        <v>2009</v>
      </c>
      <c r="C44" s="87" t="s">
        <v>619</v>
      </c>
      <c r="D44" s="133" t="s">
        <v>376</v>
      </c>
      <c r="E44" s="134" t="s">
        <v>1065</v>
      </c>
      <c r="F44" s="134" t="s">
        <v>1327</v>
      </c>
      <c r="G44" s="134" t="s">
        <v>1316</v>
      </c>
      <c r="H44" s="134" t="s">
        <v>1071</v>
      </c>
      <c r="I44" s="87" t="s">
        <v>1074</v>
      </c>
      <c r="J44" s="87" t="s">
        <v>1075</v>
      </c>
      <c r="K44" s="269">
        <v>39.017000000000003</v>
      </c>
      <c r="L44" s="269">
        <v>92.766999999999996</v>
      </c>
      <c r="M44" s="87" t="s">
        <v>1072</v>
      </c>
      <c r="N44" s="87" t="s">
        <v>1239</v>
      </c>
      <c r="O44" s="87" t="s">
        <v>1073</v>
      </c>
      <c r="P44" s="86">
        <v>-9999</v>
      </c>
      <c r="Q44" s="86">
        <v>-9999</v>
      </c>
      <c r="R44" s="86">
        <v>-9999</v>
      </c>
      <c r="S44" s="86">
        <v>-9999</v>
      </c>
      <c r="T44" s="86">
        <v>-9999</v>
      </c>
      <c r="U44" s="87" t="s">
        <v>1080</v>
      </c>
      <c r="V44" s="280" t="s">
        <v>1086</v>
      </c>
    </row>
    <row r="45" spans="1:36" x14ac:dyDescent="0.2">
      <c r="A45" s="313" t="s">
        <v>1476</v>
      </c>
      <c r="B45" s="85">
        <v>2008</v>
      </c>
      <c r="C45" s="308" t="s">
        <v>619</v>
      </c>
      <c r="D45" s="314" t="s">
        <v>376</v>
      </c>
      <c r="E45" s="314" t="s">
        <v>1065</v>
      </c>
      <c r="F45" s="314" t="s">
        <v>1329</v>
      </c>
      <c r="G45" s="314" t="s">
        <v>1313</v>
      </c>
      <c r="H45" s="314" t="s">
        <v>251</v>
      </c>
      <c r="I45" s="315" t="s">
        <v>1245</v>
      </c>
      <c r="J45" s="315" t="s">
        <v>1292</v>
      </c>
      <c r="K45" s="316">
        <v>42.03</v>
      </c>
      <c r="L45" s="316">
        <v>93.56</v>
      </c>
      <c r="M45" s="308" t="s">
        <v>1477</v>
      </c>
      <c r="N45" s="308" t="s">
        <v>1239</v>
      </c>
      <c r="O45" s="308" t="s">
        <v>1478</v>
      </c>
      <c r="P45" s="86">
        <v>-9999</v>
      </c>
      <c r="Q45" s="86">
        <v>-9999</v>
      </c>
      <c r="R45" s="86">
        <v>-9999</v>
      </c>
      <c r="S45" s="86">
        <v>-9999</v>
      </c>
      <c r="T45" s="86">
        <v>-9999</v>
      </c>
      <c r="U45" s="279">
        <v>-9999</v>
      </c>
      <c r="V45" s="279">
        <v>-9999</v>
      </c>
    </row>
    <row r="46" spans="1:36" s="35" customFormat="1" x14ac:dyDescent="0.2">
      <c r="A46" s="5" t="s">
        <v>1432</v>
      </c>
      <c r="B46" s="18"/>
      <c r="C46" s="18"/>
      <c r="D46" s="18"/>
      <c r="E46" s="18"/>
      <c r="F46" s="18"/>
      <c r="G46" s="18"/>
      <c r="H46" s="18"/>
      <c r="I46" s="94"/>
      <c r="J46" s="94"/>
      <c r="K46" s="94"/>
      <c r="L46" s="94"/>
      <c r="M46" s="18"/>
      <c r="N46" s="18"/>
      <c r="O46" s="18"/>
      <c r="P46" s="18"/>
      <c r="Q46" s="18"/>
      <c r="R46" s="18"/>
      <c r="S46" s="18"/>
      <c r="T46" s="18"/>
      <c r="U46" s="18"/>
      <c r="V46" s="73"/>
      <c r="W46" s="13"/>
      <c r="X46" s="13"/>
      <c r="Y46" s="13"/>
      <c r="Z46" s="13"/>
      <c r="AA46" s="13"/>
      <c r="AB46" s="13"/>
      <c r="AC46" s="13"/>
      <c r="AD46" s="13"/>
      <c r="AE46" s="13"/>
      <c r="AF46" s="13"/>
      <c r="AG46" s="13"/>
      <c r="AH46" s="13"/>
      <c r="AI46" s="13"/>
      <c r="AJ46" s="13"/>
    </row>
    <row r="47" spans="1:36" ht="25.5" x14ac:dyDescent="0.2">
      <c r="A47" s="225" t="s">
        <v>819</v>
      </c>
      <c r="B47" s="88">
        <v>1993</v>
      </c>
      <c r="C47" s="88" t="s">
        <v>619</v>
      </c>
      <c r="D47" s="88" t="s">
        <v>376</v>
      </c>
      <c r="E47" s="88" t="s">
        <v>259</v>
      </c>
      <c r="F47" s="89" t="s">
        <v>530</v>
      </c>
      <c r="G47" s="89" t="s">
        <v>1317</v>
      </c>
      <c r="H47" s="89" t="s">
        <v>1395</v>
      </c>
      <c r="I47" s="89" t="s">
        <v>407</v>
      </c>
      <c r="J47" s="89" t="s">
        <v>403</v>
      </c>
      <c r="K47" s="270">
        <v>47.05</v>
      </c>
      <c r="L47" s="270">
        <v>122.883</v>
      </c>
      <c r="M47" s="88" t="s">
        <v>404</v>
      </c>
      <c r="N47" s="88">
        <v>-9999</v>
      </c>
      <c r="O47" s="88" t="s">
        <v>405</v>
      </c>
      <c r="P47" s="88">
        <v>-9999</v>
      </c>
      <c r="Q47" s="88">
        <v>-9999</v>
      </c>
      <c r="R47" s="88" t="s">
        <v>406</v>
      </c>
      <c r="S47" s="88">
        <v>-9999</v>
      </c>
      <c r="T47" s="88">
        <v>190</v>
      </c>
      <c r="U47" s="89" t="s">
        <v>1241</v>
      </c>
      <c r="V47" s="281" t="s">
        <v>1107</v>
      </c>
    </row>
    <row r="48" spans="1:36" ht="25.5" x14ac:dyDescent="0.2">
      <c r="A48" s="225" t="s">
        <v>832</v>
      </c>
      <c r="B48" s="88">
        <v>1996</v>
      </c>
      <c r="C48" s="88" t="s">
        <v>619</v>
      </c>
      <c r="D48" s="88" t="s">
        <v>376</v>
      </c>
      <c r="E48" s="88" t="s">
        <v>259</v>
      </c>
      <c r="F48" s="89" t="s">
        <v>530</v>
      </c>
      <c r="G48" s="89" t="s">
        <v>1317</v>
      </c>
      <c r="H48" s="89" t="s">
        <v>1395</v>
      </c>
      <c r="I48" s="89" t="s">
        <v>407</v>
      </c>
      <c r="J48" s="89" t="s">
        <v>1242</v>
      </c>
      <c r="K48" s="270">
        <v>47.05</v>
      </c>
      <c r="L48" s="270">
        <v>122.75</v>
      </c>
      <c r="M48" s="88" t="s">
        <v>408</v>
      </c>
      <c r="N48" s="89" t="s">
        <v>1240</v>
      </c>
      <c r="O48" s="88" t="s">
        <v>405</v>
      </c>
      <c r="P48" s="88">
        <v>-9999</v>
      </c>
      <c r="Q48" s="88">
        <v>-9999</v>
      </c>
      <c r="R48" s="88">
        <v>1290</v>
      </c>
      <c r="S48" s="88">
        <v>-9999</v>
      </c>
      <c r="T48" s="88">
        <v>190</v>
      </c>
      <c r="U48" s="89" t="s">
        <v>1241</v>
      </c>
      <c r="V48" s="281" t="s">
        <v>1107</v>
      </c>
    </row>
    <row r="49" spans="1:22" ht="25.5" x14ac:dyDescent="0.2">
      <c r="A49" s="226" t="s">
        <v>1145</v>
      </c>
      <c r="B49" s="88">
        <v>1981</v>
      </c>
      <c r="C49" s="88" t="s">
        <v>619</v>
      </c>
      <c r="D49" s="88" t="s">
        <v>376</v>
      </c>
      <c r="E49" s="88" t="s">
        <v>259</v>
      </c>
      <c r="F49" s="89" t="s">
        <v>530</v>
      </c>
      <c r="G49" s="89" t="s">
        <v>1318</v>
      </c>
      <c r="H49" s="88" t="s">
        <v>170</v>
      </c>
      <c r="I49" s="89" t="s">
        <v>1284</v>
      </c>
      <c r="J49" s="88" t="s">
        <v>1285</v>
      </c>
      <c r="K49" s="270">
        <v>48.415999999999997</v>
      </c>
      <c r="L49" s="270">
        <v>122.316</v>
      </c>
      <c r="M49" s="88" t="s">
        <v>409</v>
      </c>
      <c r="N49" s="88"/>
      <c r="O49" s="88" t="s">
        <v>410</v>
      </c>
      <c r="P49" s="88"/>
      <c r="Q49" s="88">
        <v>10.8</v>
      </c>
      <c r="R49" s="88"/>
      <c r="S49" s="88"/>
      <c r="T49" s="88"/>
      <c r="U49" s="88"/>
      <c r="V49" s="281" t="s">
        <v>1107</v>
      </c>
    </row>
    <row r="50" spans="1:22" x14ac:dyDescent="0.2">
      <c r="A50" s="225" t="s">
        <v>263</v>
      </c>
      <c r="B50" s="88">
        <v>1981</v>
      </c>
      <c r="C50" s="88" t="s">
        <v>619</v>
      </c>
      <c r="D50" s="88" t="s">
        <v>376</v>
      </c>
      <c r="E50" s="88" t="s">
        <v>259</v>
      </c>
      <c r="F50" s="89" t="s">
        <v>530</v>
      </c>
      <c r="G50" s="89" t="s">
        <v>1319</v>
      </c>
      <c r="H50" s="88" t="s">
        <v>171</v>
      </c>
      <c r="I50" s="88" t="s">
        <v>1287</v>
      </c>
      <c r="J50" s="88" t="s">
        <v>1286</v>
      </c>
      <c r="K50" s="270">
        <v>47.232999999999997</v>
      </c>
      <c r="L50" s="270">
        <v>122.233</v>
      </c>
      <c r="M50" s="88" t="s">
        <v>411</v>
      </c>
      <c r="N50" s="88"/>
      <c r="O50" s="88" t="s">
        <v>412</v>
      </c>
      <c r="P50" s="89">
        <v>-9999</v>
      </c>
      <c r="Q50" s="89">
        <v>-9999</v>
      </c>
      <c r="R50" s="89">
        <v>-9999</v>
      </c>
      <c r="S50" s="89">
        <v>-9999</v>
      </c>
      <c r="T50" s="89">
        <v>-9999</v>
      </c>
      <c r="U50" s="89">
        <v>-9999</v>
      </c>
      <c r="V50" s="281" t="s">
        <v>1107</v>
      </c>
    </row>
    <row r="51" spans="1:22" ht="25.5" x14ac:dyDescent="0.2">
      <c r="A51" s="225" t="s">
        <v>155</v>
      </c>
      <c r="B51" s="88">
        <v>1985</v>
      </c>
      <c r="C51" s="88" t="s">
        <v>619</v>
      </c>
      <c r="D51" s="88" t="s">
        <v>376</v>
      </c>
      <c r="E51" s="88" t="s">
        <v>259</v>
      </c>
      <c r="F51" s="89" t="s">
        <v>530</v>
      </c>
      <c r="G51" s="89" t="s">
        <v>1319</v>
      </c>
      <c r="H51" s="88" t="s">
        <v>264</v>
      </c>
      <c r="I51" s="88" t="s">
        <v>1300</v>
      </c>
      <c r="J51" s="88" t="s">
        <v>1301</v>
      </c>
      <c r="K51" s="270">
        <v>47.15</v>
      </c>
      <c r="L51" s="270">
        <v>122.1</v>
      </c>
      <c r="M51" s="89" t="s">
        <v>411</v>
      </c>
      <c r="N51" s="89"/>
      <c r="O51" s="89" t="s">
        <v>412</v>
      </c>
      <c r="P51" s="88">
        <v>-9999</v>
      </c>
      <c r="Q51" s="88">
        <v>-9999</v>
      </c>
      <c r="R51" s="88">
        <v>1000</v>
      </c>
      <c r="S51" s="89">
        <v>-9999</v>
      </c>
      <c r="T51" s="88">
        <v>200</v>
      </c>
      <c r="U51" s="89">
        <v>-9999</v>
      </c>
      <c r="V51" s="281" t="s">
        <v>1107</v>
      </c>
    </row>
    <row r="52" spans="1:22" ht="25.5" x14ac:dyDescent="0.2">
      <c r="A52" s="225" t="s">
        <v>154</v>
      </c>
      <c r="B52" s="88">
        <v>1993</v>
      </c>
      <c r="C52" s="88" t="s">
        <v>619</v>
      </c>
      <c r="D52" s="88" t="s">
        <v>376</v>
      </c>
      <c r="E52" s="88" t="s">
        <v>259</v>
      </c>
      <c r="F52" s="89" t="s">
        <v>530</v>
      </c>
      <c r="G52" s="89" t="s">
        <v>1319</v>
      </c>
      <c r="H52" s="88" t="s">
        <v>264</v>
      </c>
      <c r="I52" s="88" t="s">
        <v>1300</v>
      </c>
      <c r="J52" s="88" t="s">
        <v>1301</v>
      </c>
      <c r="K52" s="270">
        <v>47.15</v>
      </c>
      <c r="L52" s="270">
        <v>122.1</v>
      </c>
      <c r="M52" s="89" t="s">
        <v>411</v>
      </c>
      <c r="N52" s="89"/>
      <c r="O52" s="89" t="s">
        <v>1223</v>
      </c>
      <c r="P52" s="88">
        <v>-9999</v>
      </c>
      <c r="Q52" s="88">
        <v>-9999</v>
      </c>
      <c r="R52" s="88">
        <v>1000</v>
      </c>
      <c r="S52" s="89">
        <v>-9999</v>
      </c>
      <c r="T52" s="88">
        <v>200</v>
      </c>
      <c r="U52" s="89">
        <v>-9999</v>
      </c>
      <c r="V52" s="281" t="s">
        <v>1107</v>
      </c>
    </row>
    <row r="53" spans="1:22" ht="25.5" x14ac:dyDescent="0.2">
      <c r="A53" s="226" t="s">
        <v>846</v>
      </c>
      <c r="B53" s="88">
        <v>1994</v>
      </c>
      <c r="C53" s="88" t="s">
        <v>619</v>
      </c>
      <c r="D53" s="88" t="s">
        <v>376</v>
      </c>
      <c r="E53" s="88" t="s">
        <v>259</v>
      </c>
      <c r="F53" s="89" t="s">
        <v>530</v>
      </c>
      <c r="G53" s="89" t="s">
        <v>1319</v>
      </c>
      <c r="H53" s="88" t="s">
        <v>264</v>
      </c>
      <c r="I53" s="88" t="s">
        <v>1300</v>
      </c>
      <c r="J53" s="88" t="s">
        <v>1301</v>
      </c>
      <c r="K53" s="270">
        <v>47.15</v>
      </c>
      <c r="L53" s="270">
        <v>122.1</v>
      </c>
      <c r="M53" s="89" t="s">
        <v>411</v>
      </c>
      <c r="N53" s="89"/>
      <c r="O53" s="89" t="s">
        <v>412</v>
      </c>
      <c r="P53" s="88">
        <v>-9999</v>
      </c>
      <c r="Q53" s="88">
        <v>-9999</v>
      </c>
      <c r="R53" s="88">
        <v>1000</v>
      </c>
      <c r="S53" s="89">
        <v>-9999</v>
      </c>
      <c r="T53" s="88">
        <v>200</v>
      </c>
      <c r="U53" s="89">
        <v>-9999</v>
      </c>
      <c r="V53" s="281" t="s">
        <v>1107</v>
      </c>
    </row>
    <row r="54" spans="1:22" x14ac:dyDescent="0.2">
      <c r="A54" s="5" t="s">
        <v>1428</v>
      </c>
      <c r="B54" s="65"/>
      <c r="C54" s="65"/>
      <c r="D54" s="65"/>
      <c r="E54" s="65"/>
      <c r="F54" s="65"/>
      <c r="G54" s="65"/>
      <c r="H54" s="65"/>
      <c r="I54" s="65"/>
      <c r="J54" s="65"/>
      <c r="K54" s="65"/>
      <c r="L54" s="65"/>
      <c r="M54" s="65"/>
      <c r="N54" s="65"/>
      <c r="O54" s="65"/>
      <c r="P54" s="65"/>
      <c r="Q54" s="65"/>
      <c r="R54" s="65"/>
      <c r="S54" s="65"/>
      <c r="T54" s="65"/>
      <c r="U54" s="65"/>
      <c r="V54" s="69"/>
    </row>
    <row r="55" spans="1:22" ht="51" x14ac:dyDescent="0.2">
      <c r="A55" s="796" t="s">
        <v>539</v>
      </c>
      <c r="B55" s="597">
        <v>2008</v>
      </c>
      <c r="C55" s="257" t="s">
        <v>1400</v>
      </c>
      <c r="D55" s="797" t="s">
        <v>376</v>
      </c>
      <c r="E55" s="796" t="s">
        <v>266</v>
      </c>
      <c r="F55" s="796" t="s">
        <v>331</v>
      </c>
      <c r="G55" s="796" t="s">
        <v>1320</v>
      </c>
      <c r="H55" s="796" t="s">
        <v>332</v>
      </c>
      <c r="I55" s="255" t="s">
        <v>426</v>
      </c>
      <c r="J55" s="255" t="s">
        <v>427</v>
      </c>
      <c r="K55" s="413">
        <v>30.8</v>
      </c>
      <c r="L55" s="413">
        <v>84.65</v>
      </c>
      <c r="M55" s="255" t="s">
        <v>428</v>
      </c>
      <c r="N55" s="255">
        <v>-9999</v>
      </c>
      <c r="O55" s="255" t="s">
        <v>429</v>
      </c>
      <c r="P55" s="255">
        <v>-9999</v>
      </c>
      <c r="Q55" s="255">
        <v>-9999</v>
      </c>
      <c r="R55" s="255">
        <v>1257</v>
      </c>
      <c r="S55" s="255" t="s">
        <v>1348</v>
      </c>
      <c r="T55" s="255">
        <v>-9999</v>
      </c>
      <c r="U55" s="255">
        <v>-9999</v>
      </c>
      <c r="V55" s="371"/>
    </row>
    <row r="56" spans="1:22" x14ac:dyDescent="0.2">
      <c r="A56" s="797" t="s">
        <v>872</v>
      </c>
      <c r="B56" s="255">
        <v>2008</v>
      </c>
      <c r="C56" s="257" t="s">
        <v>1400</v>
      </c>
      <c r="D56" s="255" t="s">
        <v>376</v>
      </c>
      <c r="E56" s="255" t="s">
        <v>266</v>
      </c>
      <c r="F56" s="255" t="s">
        <v>331</v>
      </c>
      <c r="G56" s="257" t="s">
        <v>1321</v>
      </c>
      <c r="H56" s="255" t="s">
        <v>335</v>
      </c>
      <c r="I56" s="257" t="s">
        <v>1274</v>
      </c>
      <c r="J56" s="257" t="s">
        <v>1282</v>
      </c>
      <c r="K56" s="413">
        <v>31.382999999999999</v>
      </c>
      <c r="L56" s="413">
        <v>81.716999999999999</v>
      </c>
      <c r="M56" s="255" t="s">
        <v>432</v>
      </c>
      <c r="N56" s="255">
        <v>-9999</v>
      </c>
      <c r="O56" s="255" t="s">
        <v>433</v>
      </c>
      <c r="P56" s="255">
        <v>-9999</v>
      </c>
      <c r="Q56" s="255">
        <v>-9999</v>
      </c>
      <c r="R56" s="255">
        <v>-9999</v>
      </c>
      <c r="S56" s="255">
        <v>-9999</v>
      </c>
      <c r="T56" s="255">
        <v>-9999</v>
      </c>
      <c r="U56" s="255">
        <v>-9999</v>
      </c>
      <c r="V56" s="371"/>
    </row>
    <row r="57" spans="1:22" x14ac:dyDescent="0.2">
      <c r="A57" s="797" t="s">
        <v>872</v>
      </c>
      <c r="B57" s="255">
        <v>2008</v>
      </c>
      <c r="C57" s="257" t="s">
        <v>1254</v>
      </c>
      <c r="D57" s="255" t="s">
        <v>376</v>
      </c>
      <c r="E57" s="255" t="s">
        <v>266</v>
      </c>
      <c r="F57" s="255" t="s">
        <v>331</v>
      </c>
      <c r="G57" s="257" t="s">
        <v>1321</v>
      </c>
      <c r="H57" s="255" t="s">
        <v>335</v>
      </c>
      <c r="I57" s="257" t="s">
        <v>1274</v>
      </c>
      <c r="J57" s="257" t="s">
        <v>1282</v>
      </c>
      <c r="K57" s="413">
        <v>31.382999999999999</v>
      </c>
      <c r="L57" s="413">
        <v>81.716999999999999</v>
      </c>
      <c r="M57" s="255" t="s">
        <v>432</v>
      </c>
      <c r="N57" s="255">
        <v>-9999</v>
      </c>
      <c r="O57" s="255" t="s">
        <v>433</v>
      </c>
      <c r="P57" s="255">
        <v>-9999</v>
      </c>
      <c r="Q57" s="255">
        <v>-9999</v>
      </c>
      <c r="R57" s="255">
        <v>-9999</v>
      </c>
      <c r="S57" s="255">
        <v>-9999</v>
      </c>
      <c r="T57" s="255">
        <v>-9999</v>
      </c>
      <c r="U57" s="255">
        <v>-9999</v>
      </c>
      <c r="V57" s="371"/>
    </row>
    <row r="58" spans="1:22" x14ac:dyDescent="0.2">
      <c r="A58" s="797" t="s">
        <v>545</v>
      </c>
      <c r="B58" s="255">
        <v>2006</v>
      </c>
      <c r="C58" s="257" t="s">
        <v>1256</v>
      </c>
      <c r="D58" s="255" t="s">
        <v>376</v>
      </c>
      <c r="E58" s="255" t="s">
        <v>266</v>
      </c>
      <c r="F58" s="255" t="s">
        <v>267</v>
      </c>
      <c r="G58" s="257" t="s">
        <v>1322</v>
      </c>
      <c r="H58" s="255" t="s">
        <v>268</v>
      </c>
      <c r="I58" s="255" t="s">
        <v>1283</v>
      </c>
      <c r="J58" s="255" t="s">
        <v>1281</v>
      </c>
      <c r="K58" s="413">
        <v>33.982999999999997</v>
      </c>
      <c r="L58" s="413">
        <v>80.2</v>
      </c>
      <c r="M58" s="255" t="s">
        <v>413</v>
      </c>
      <c r="N58" s="255">
        <v>-9999</v>
      </c>
      <c r="O58" s="255" t="s">
        <v>914</v>
      </c>
      <c r="P58" s="255">
        <v>35</v>
      </c>
      <c r="Q58" s="255">
        <v>-9999</v>
      </c>
      <c r="R58" s="255">
        <v>1220</v>
      </c>
      <c r="S58" s="255" t="s">
        <v>1352</v>
      </c>
      <c r="T58" s="255" t="s">
        <v>915</v>
      </c>
      <c r="U58" s="255">
        <v>-9999</v>
      </c>
      <c r="V58" s="371" t="s">
        <v>555</v>
      </c>
    </row>
    <row r="59" spans="1:22" x14ac:dyDescent="0.2">
      <c r="A59" s="797" t="s">
        <v>545</v>
      </c>
      <c r="B59" s="255">
        <v>2006</v>
      </c>
      <c r="C59" s="257" t="s">
        <v>1400</v>
      </c>
      <c r="D59" s="255" t="s">
        <v>376</v>
      </c>
      <c r="E59" s="255" t="s">
        <v>266</v>
      </c>
      <c r="F59" s="255" t="s">
        <v>267</v>
      </c>
      <c r="G59" s="257" t="s">
        <v>1322</v>
      </c>
      <c r="H59" s="255" t="s">
        <v>268</v>
      </c>
      <c r="I59" s="255" t="s">
        <v>1283</v>
      </c>
      <c r="J59" s="255" t="s">
        <v>1281</v>
      </c>
      <c r="K59" s="413">
        <v>33.982999999999997</v>
      </c>
      <c r="L59" s="413">
        <v>80.2</v>
      </c>
      <c r="M59" s="255" t="s">
        <v>413</v>
      </c>
      <c r="N59" s="255">
        <v>-9999</v>
      </c>
      <c r="O59" s="255" t="s">
        <v>914</v>
      </c>
      <c r="P59" s="255">
        <v>35</v>
      </c>
      <c r="Q59" s="255">
        <v>-9999</v>
      </c>
      <c r="R59" s="255">
        <v>1220</v>
      </c>
      <c r="S59" s="255" t="s">
        <v>1352</v>
      </c>
      <c r="T59" s="255" t="s">
        <v>915</v>
      </c>
      <c r="U59" s="255">
        <v>-9999</v>
      </c>
      <c r="V59" s="371" t="s">
        <v>555</v>
      </c>
    </row>
    <row r="60" spans="1:22" x14ac:dyDescent="0.2">
      <c r="A60" s="797" t="s">
        <v>299</v>
      </c>
      <c r="B60" s="255">
        <v>1988</v>
      </c>
      <c r="C60" s="257" t="s">
        <v>1254</v>
      </c>
      <c r="D60" s="255" t="s">
        <v>376</v>
      </c>
      <c r="E60" s="255" t="s">
        <v>266</v>
      </c>
      <c r="F60" s="255" t="s">
        <v>300</v>
      </c>
      <c r="G60" s="255" t="s">
        <v>1251</v>
      </c>
      <c r="H60" s="255" t="s">
        <v>1252</v>
      </c>
      <c r="I60" s="257" t="s">
        <v>1294</v>
      </c>
      <c r="J60" s="257" t="s">
        <v>1296</v>
      </c>
      <c r="K60" s="413">
        <v>31.582999999999998</v>
      </c>
      <c r="L60" s="413">
        <v>87.316999999999993</v>
      </c>
      <c r="M60" s="255" t="s">
        <v>414</v>
      </c>
      <c r="N60" s="255">
        <v>-9999</v>
      </c>
      <c r="O60" s="255" t="s">
        <v>381</v>
      </c>
      <c r="P60" s="255">
        <v>5.22</v>
      </c>
      <c r="Q60" s="255">
        <v>966.6</v>
      </c>
      <c r="R60" s="255">
        <v>-9999</v>
      </c>
      <c r="S60" s="255">
        <v>-9999</v>
      </c>
      <c r="T60" s="255">
        <v>-9999</v>
      </c>
      <c r="U60" s="255">
        <v>-9999</v>
      </c>
      <c r="V60" s="371" t="s">
        <v>415</v>
      </c>
    </row>
    <row r="61" spans="1:22" x14ac:dyDescent="0.2">
      <c r="A61" s="797" t="s">
        <v>299</v>
      </c>
      <c r="B61" s="255">
        <v>1988</v>
      </c>
      <c r="C61" s="257" t="s">
        <v>1400</v>
      </c>
      <c r="D61" s="255" t="s">
        <v>376</v>
      </c>
      <c r="E61" s="255" t="s">
        <v>266</v>
      </c>
      <c r="F61" s="255" t="s">
        <v>300</v>
      </c>
      <c r="G61" s="255" t="s">
        <v>1251</v>
      </c>
      <c r="H61" s="255" t="s">
        <v>1252</v>
      </c>
      <c r="I61" s="257" t="s">
        <v>1294</v>
      </c>
      <c r="J61" s="257" t="s">
        <v>1296</v>
      </c>
      <c r="K61" s="413">
        <v>31.582999999999998</v>
      </c>
      <c r="L61" s="413">
        <v>87.316999999999993</v>
      </c>
      <c r="M61" s="255" t="s">
        <v>414</v>
      </c>
      <c r="N61" s="255">
        <v>-9999</v>
      </c>
      <c r="O61" s="255" t="s">
        <v>381</v>
      </c>
      <c r="P61" s="255">
        <v>5.22</v>
      </c>
      <c r="Q61" s="255">
        <v>966.6</v>
      </c>
      <c r="R61" s="255">
        <v>-9999</v>
      </c>
      <c r="S61" s="255">
        <v>-9999</v>
      </c>
      <c r="T61" s="255">
        <v>-9999</v>
      </c>
      <c r="U61" s="255">
        <v>-9999</v>
      </c>
      <c r="V61" s="371" t="s">
        <v>415</v>
      </c>
    </row>
    <row r="62" spans="1:22" ht="14.25" x14ac:dyDescent="0.2">
      <c r="A62" s="797" t="s">
        <v>299</v>
      </c>
      <c r="B62" s="255">
        <v>1988</v>
      </c>
      <c r="C62" s="257" t="s">
        <v>1257</v>
      </c>
      <c r="D62" s="255" t="s">
        <v>376</v>
      </c>
      <c r="E62" s="255" t="s">
        <v>266</v>
      </c>
      <c r="F62" s="255" t="s">
        <v>300</v>
      </c>
      <c r="G62" s="255" t="s">
        <v>1251</v>
      </c>
      <c r="H62" s="255" t="s">
        <v>1252</v>
      </c>
      <c r="I62" s="257" t="s">
        <v>1295</v>
      </c>
      <c r="J62" s="257" t="s">
        <v>1296</v>
      </c>
      <c r="K62" s="413">
        <v>31.582999999999998</v>
      </c>
      <c r="L62" s="413">
        <v>87.316999999999993</v>
      </c>
      <c r="M62" s="255" t="s">
        <v>414</v>
      </c>
      <c r="N62" s="255">
        <v>-9999</v>
      </c>
      <c r="O62" s="255" t="s">
        <v>381</v>
      </c>
      <c r="P62" s="255">
        <v>5.22</v>
      </c>
      <c r="Q62" s="255">
        <v>966.6</v>
      </c>
      <c r="R62" s="255">
        <v>-9999</v>
      </c>
      <c r="S62" s="255">
        <v>-9999</v>
      </c>
      <c r="T62" s="255">
        <v>-9999</v>
      </c>
      <c r="U62" s="255">
        <v>-9999</v>
      </c>
      <c r="V62" s="371" t="s">
        <v>415</v>
      </c>
    </row>
    <row r="63" spans="1:22" x14ac:dyDescent="0.2">
      <c r="A63" s="796" t="s">
        <v>569</v>
      </c>
      <c r="B63" s="255">
        <v>1994</v>
      </c>
      <c r="C63" s="257" t="s">
        <v>1254</v>
      </c>
      <c r="D63" s="257" t="s">
        <v>376</v>
      </c>
      <c r="E63" s="257" t="s">
        <v>266</v>
      </c>
      <c r="F63" s="257" t="s">
        <v>1248</v>
      </c>
      <c r="G63" s="257" t="s">
        <v>1249</v>
      </c>
      <c r="H63" s="257" t="s">
        <v>1243</v>
      </c>
      <c r="I63" s="257" t="s">
        <v>1279</v>
      </c>
      <c r="J63" s="257" t="s">
        <v>1280</v>
      </c>
      <c r="K63" s="413">
        <v>35.9</v>
      </c>
      <c r="L63" s="413">
        <v>84.316999999999993</v>
      </c>
      <c r="M63" s="257" t="s">
        <v>1247</v>
      </c>
      <c r="N63" s="255">
        <v>228</v>
      </c>
      <c r="O63" s="257" t="s">
        <v>1246</v>
      </c>
      <c r="P63" s="255">
        <v>-9999</v>
      </c>
      <c r="Q63" s="255">
        <v>-9999</v>
      </c>
      <c r="R63" s="255">
        <v>-9999</v>
      </c>
      <c r="S63" s="255">
        <v>-9999</v>
      </c>
      <c r="T63" s="255">
        <v>-9999</v>
      </c>
      <c r="U63" s="255">
        <v>-9999</v>
      </c>
      <c r="V63" s="371"/>
    </row>
    <row r="64" spans="1:22" ht="25.5" x14ac:dyDescent="0.2">
      <c r="A64" s="796" t="s">
        <v>1397</v>
      </c>
      <c r="B64" s="255">
        <v>2005</v>
      </c>
      <c r="C64" s="257" t="s">
        <v>619</v>
      </c>
      <c r="D64" s="255" t="s">
        <v>376</v>
      </c>
      <c r="E64" s="255" t="s">
        <v>266</v>
      </c>
      <c r="F64" s="255" t="s">
        <v>267</v>
      </c>
      <c r="G64" s="257" t="s">
        <v>1325</v>
      </c>
      <c r="H64" s="255" t="s">
        <v>557</v>
      </c>
      <c r="I64" s="257" t="s">
        <v>1297</v>
      </c>
      <c r="J64" s="255" t="s">
        <v>1298</v>
      </c>
      <c r="K64" s="413">
        <v>33.380000000000003</v>
      </c>
      <c r="L64" s="413">
        <v>81.667000000000002</v>
      </c>
      <c r="M64" s="255" t="s">
        <v>558</v>
      </c>
      <c r="N64" s="255">
        <v>-9999</v>
      </c>
      <c r="O64" s="327" t="s">
        <v>1495</v>
      </c>
      <c r="P64" s="255">
        <v>-9999</v>
      </c>
      <c r="Q64" s="255">
        <v>-9999</v>
      </c>
      <c r="R64" s="255" t="s">
        <v>532</v>
      </c>
      <c r="S64" s="255" t="s">
        <v>1351</v>
      </c>
      <c r="T64" s="255">
        <v>-9999</v>
      </c>
      <c r="U64" s="255" t="s">
        <v>531</v>
      </c>
      <c r="V64" s="371" t="s">
        <v>559</v>
      </c>
    </row>
    <row r="65" spans="1:36" ht="25.5" x14ac:dyDescent="0.2">
      <c r="A65" s="796" t="s">
        <v>1396</v>
      </c>
      <c r="B65" s="255">
        <v>2005</v>
      </c>
      <c r="C65" s="257" t="s">
        <v>1254</v>
      </c>
      <c r="D65" s="255" t="s">
        <v>376</v>
      </c>
      <c r="E65" s="255" t="s">
        <v>266</v>
      </c>
      <c r="F65" s="255" t="s">
        <v>267</v>
      </c>
      <c r="G65" s="257" t="s">
        <v>1325</v>
      </c>
      <c r="H65" s="255" t="s">
        <v>557</v>
      </c>
      <c r="I65" s="257" t="s">
        <v>1297</v>
      </c>
      <c r="J65" s="255" t="s">
        <v>1298</v>
      </c>
      <c r="K65" s="413">
        <v>33.380000000000003</v>
      </c>
      <c r="L65" s="413">
        <v>81.667000000000002</v>
      </c>
      <c r="M65" s="255" t="s">
        <v>558</v>
      </c>
      <c r="N65" s="255">
        <v>-9999</v>
      </c>
      <c r="O65" s="327" t="s">
        <v>1495</v>
      </c>
      <c r="P65" s="255">
        <v>-9999</v>
      </c>
      <c r="Q65" s="255">
        <v>-9999</v>
      </c>
      <c r="R65" s="255" t="s">
        <v>532</v>
      </c>
      <c r="S65" s="255" t="s">
        <v>1351</v>
      </c>
      <c r="T65" s="255">
        <v>-9999</v>
      </c>
      <c r="U65" s="255" t="s">
        <v>531</v>
      </c>
      <c r="V65" s="371" t="s">
        <v>559</v>
      </c>
    </row>
    <row r="66" spans="1:36" ht="25.5" x14ac:dyDescent="0.2">
      <c r="A66" s="797" t="s">
        <v>887</v>
      </c>
      <c r="B66" s="255">
        <v>1984</v>
      </c>
      <c r="C66" s="255" t="s">
        <v>317</v>
      </c>
      <c r="D66" s="255" t="s">
        <v>376</v>
      </c>
      <c r="E66" s="255" t="s">
        <v>266</v>
      </c>
      <c r="F66" s="255" t="s">
        <v>298</v>
      </c>
      <c r="G66" s="255" t="s">
        <v>455</v>
      </c>
      <c r="H66" s="255" t="s">
        <v>419</v>
      </c>
      <c r="I66" s="257" t="s">
        <v>1269</v>
      </c>
      <c r="J66" s="255" t="s">
        <v>1270</v>
      </c>
      <c r="K66" s="413">
        <v>26.683</v>
      </c>
      <c r="L66" s="413">
        <v>80.650000000000006</v>
      </c>
      <c r="M66" s="255" t="s">
        <v>453</v>
      </c>
      <c r="N66" s="255">
        <v>-9999</v>
      </c>
      <c r="O66" s="255">
        <v>-9999</v>
      </c>
      <c r="P66" s="255">
        <v>-9999</v>
      </c>
      <c r="Q66" s="255">
        <v>-9999</v>
      </c>
      <c r="R66" s="255">
        <v>-9999</v>
      </c>
      <c r="S66" s="255">
        <v>-9999</v>
      </c>
      <c r="T66" s="255">
        <v>-9999</v>
      </c>
      <c r="U66" s="255">
        <v>-9999</v>
      </c>
      <c r="V66" s="371"/>
    </row>
    <row r="67" spans="1:36" x14ac:dyDescent="0.2">
      <c r="A67" s="796" t="s">
        <v>1212</v>
      </c>
      <c r="B67" s="255">
        <v>2007</v>
      </c>
      <c r="C67" s="255" t="s">
        <v>317</v>
      </c>
      <c r="D67" s="255" t="s">
        <v>376</v>
      </c>
      <c r="E67" s="255" t="s">
        <v>266</v>
      </c>
      <c r="F67" s="255" t="s">
        <v>298</v>
      </c>
      <c r="G67" s="257" t="s">
        <v>1244</v>
      </c>
      <c r="H67" s="257" t="s">
        <v>659</v>
      </c>
      <c r="I67" s="257" t="s">
        <v>1277</v>
      </c>
      <c r="J67" s="257" t="s">
        <v>1278</v>
      </c>
      <c r="K67" s="413">
        <v>28</v>
      </c>
      <c r="L67" s="413">
        <v>81.867000000000004</v>
      </c>
      <c r="M67" s="255" t="s">
        <v>665</v>
      </c>
      <c r="N67" s="255">
        <v>-9999</v>
      </c>
      <c r="O67" s="257" t="s">
        <v>1373</v>
      </c>
      <c r="P67" s="255">
        <v>50</v>
      </c>
      <c r="Q67" s="255">
        <v>-9999</v>
      </c>
      <c r="R67" s="257" t="s">
        <v>1374</v>
      </c>
      <c r="S67" s="255" t="s">
        <v>666</v>
      </c>
      <c r="T67" s="255">
        <v>-9999</v>
      </c>
      <c r="U67" s="255">
        <v>-9999</v>
      </c>
      <c r="V67" s="371" t="s">
        <v>669</v>
      </c>
    </row>
    <row r="68" spans="1:36" x14ac:dyDescent="0.2">
      <c r="A68" s="5" t="s">
        <v>897</v>
      </c>
      <c r="B68" s="65"/>
      <c r="C68" s="65"/>
      <c r="D68" s="65"/>
      <c r="E68" s="65"/>
      <c r="F68" s="65"/>
      <c r="G68" s="65"/>
      <c r="H68" s="65"/>
      <c r="I68" s="65"/>
      <c r="J68" s="65"/>
      <c r="K68" s="65"/>
      <c r="L68" s="65"/>
      <c r="M68" s="65"/>
      <c r="N68" s="65"/>
      <c r="O68" s="65"/>
      <c r="P68" s="65"/>
      <c r="Q68" s="65"/>
      <c r="R68" s="65"/>
      <c r="S68" s="65"/>
      <c r="T68" s="65"/>
      <c r="U68" s="65"/>
      <c r="V68" s="69"/>
    </row>
    <row r="69" spans="1:36" x14ac:dyDescent="0.2">
      <c r="A69" s="227" t="s">
        <v>898</v>
      </c>
      <c r="B69" s="95">
        <v>2007</v>
      </c>
      <c r="C69" s="43" t="s">
        <v>1258</v>
      </c>
      <c r="D69" s="95" t="s">
        <v>376</v>
      </c>
      <c r="E69" s="95" t="s">
        <v>266</v>
      </c>
      <c r="F69" s="95" t="s">
        <v>308</v>
      </c>
      <c r="G69" s="43" t="s">
        <v>1323</v>
      </c>
      <c r="H69" s="95" t="s">
        <v>309</v>
      </c>
      <c r="I69" s="95" t="s">
        <v>420</v>
      </c>
      <c r="J69" s="43" t="s">
        <v>1302</v>
      </c>
      <c r="K69" s="271">
        <v>31.216000000000001</v>
      </c>
      <c r="L69" s="271">
        <v>81.75</v>
      </c>
      <c r="M69" s="95" t="s">
        <v>421</v>
      </c>
      <c r="N69" s="95">
        <v>10</v>
      </c>
      <c r="O69" s="95" t="s">
        <v>422</v>
      </c>
      <c r="P69" s="95">
        <v>-9999</v>
      </c>
      <c r="Q69" s="95">
        <v>-9999</v>
      </c>
      <c r="R69" s="95">
        <v>1384</v>
      </c>
      <c r="S69" s="95" t="s">
        <v>1350</v>
      </c>
      <c r="T69" s="135">
        <v>-9999</v>
      </c>
      <c r="U69" s="135">
        <v>-9999</v>
      </c>
      <c r="V69" s="276" t="s">
        <v>423</v>
      </c>
    </row>
    <row r="70" spans="1:36" x14ac:dyDescent="0.2">
      <c r="A70" s="227" t="s">
        <v>898</v>
      </c>
      <c r="B70" s="95">
        <v>2007</v>
      </c>
      <c r="C70" s="95" t="s">
        <v>1258</v>
      </c>
      <c r="D70" s="95" t="s">
        <v>376</v>
      </c>
      <c r="E70" s="95" t="s">
        <v>266</v>
      </c>
      <c r="F70" s="95" t="s">
        <v>298</v>
      </c>
      <c r="G70" s="43" t="s">
        <v>1326</v>
      </c>
      <c r="H70" s="95" t="s">
        <v>326</v>
      </c>
      <c r="I70" s="95" t="s">
        <v>424</v>
      </c>
      <c r="J70" s="95" t="s">
        <v>425</v>
      </c>
      <c r="K70" s="271">
        <v>29.466999999999999</v>
      </c>
      <c r="L70" s="271">
        <v>82.55</v>
      </c>
      <c r="M70" s="95" t="s">
        <v>421</v>
      </c>
      <c r="N70" s="95">
        <v>45</v>
      </c>
      <c r="O70" s="95" t="s">
        <v>422</v>
      </c>
      <c r="P70" s="95">
        <v>-9999</v>
      </c>
      <c r="Q70" s="95">
        <v>-9999</v>
      </c>
      <c r="R70" s="95">
        <v>1384</v>
      </c>
      <c r="S70" s="95" t="s">
        <v>1350</v>
      </c>
      <c r="T70" s="135">
        <v>-9999</v>
      </c>
      <c r="U70" s="135">
        <v>-9999</v>
      </c>
      <c r="V70" s="276" t="s">
        <v>423</v>
      </c>
    </row>
    <row r="71" spans="1:36" x14ac:dyDescent="0.2">
      <c r="A71" s="228" t="s">
        <v>1410</v>
      </c>
      <c r="B71" s="95">
        <v>2008</v>
      </c>
      <c r="C71" s="95" t="s">
        <v>1258</v>
      </c>
      <c r="D71" s="95" t="s">
        <v>376</v>
      </c>
      <c r="E71" s="95" t="s">
        <v>266</v>
      </c>
      <c r="F71" s="95" t="s">
        <v>331</v>
      </c>
      <c r="G71" s="43" t="s">
        <v>1320</v>
      </c>
      <c r="H71" s="95" t="s">
        <v>332</v>
      </c>
      <c r="I71" s="95" t="s">
        <v>426</v>
      </c>
      <c r="J71" s="95" t="s">
        <v>427</v>
      </c>
      <c r="K71" s="271">
        <v>30.8</v>
      </c>
      <c r="L71" s="271">
        <v>84.65</v>
      </c>
      <c r="M71" s="95" t="s">
        <v>428</v>
      </c>
      <c r="N71" s="95"/>
      <c r="O71" s="95" t="s">
        <v>429</v>
      </c>
      <c r="P71" s="135">
        <v>-9999</v>
      </c>
      <c r="Q71" s="135">
        <v>-9999</v>
      </c>
      <c r="R71" s="95" t="s">
        <v>430</v>
      </c>
      <c r="S71" s="95" t="s">
        <v>1348</v>
      </c>
      <c r="T71" s="135">
        <v>-9999</v>
      </c>
      <c r="U71" s="135">
        <v>-9999</v>
      </c>
      <c r="V71" s="276" t="s">
        <v>431</v>
      </c>
    </row>
    <row r="72" spans="1:36" s="136" customFormat="1" x14ac:dyDescent="0.2">
      <c r="A72" s="228" t="s">
        <v>208</v>
      </c>
      <c r="B72" s="96">
        <v>2006</v>
      </c>
      <c r="C72" s="95" t="s">
        <v>1258</v>
      </c>
      <c r="D72" s="135" t="s">
        <v>376</v>
      </c>
      <c r="E72" s="96" t="s">
        <v>266</v>
      </c>
      <c r="F72" s="96" t="s">
        <v>331</v>
      </c>
      <c r="G72" s="96" t="s">
        <v>1320</v>
      </c>
      <c r="H72" s="96" t="s">
        <v>332</v>
      </c>
      <c r="I72" s="135" t="s">
        <v>426</v>
      </c>
      <c r="J72" s="135" t="s">
        <v>427</v>
      </c>
      <c r="K72" s="271">
        <v>30.8</v>
      </c>
      <c r="L72" s="271">
        <v>84.65</v>
      </c>
      <c r="M72" s="135" t="s">
        <v>428</v>
      </c>
      <c r="N72" s="135"/>
      <c r="O72" s="135" t="s">
        <v>429</v>
      </c>
      <c r="P72" s="135">
        <v>-9999</v>
      </c>
      <c r="Q72" s="135">
        <v>-9999</v>
      </c>
      <c r="R72" s="135" t="s">
        <v>430</v>
      </c>
      <c r="S72" s="135" t="s">
        <v>1348</v>
      </c>
      <c r="T72" s="135">
        <v>-9999</v>
      </c>
      <c r="U72" s="135">
        <v>-9999</v>
      </c>
      <c r="V72" s="276" t="s">
        <v>431</v>
      </c>
      <c r="W72" s="282"/>
      <c r="X72" s="282"/>
      <c r="Y72" s="282"/>
      <c r="Z72" s="282"/>
      <c r="AA72" s="282"/>
      <c r="AB72" s="282"/>
      <c r="AC72" s="282"/>
      <c r="AD72" s="282"/>
      <c r="AE72" s="282"/>
      <c r="AF72" s="282"/>
      <c r="AG72" s="282"/>
      <c r="AH72" s="282"/>
      <c r="AI72" s="282"/>
      <c r="AJ72" s="282"/>
    </row>
    <row r="73" spans="1:36" x14ac:dyDescent="0.2">
      <c r="A73" s="227" t="s">
        <v>872</v>
      </c>
      <c r="B73" s="95">
        <v>2008</v>
      </c>
      <c r="C73" s="95" t="s">
        <v>1258</v>
      </c>
      <c r="D73" s="95" t="s">
        <v>376</v>
      </c>
      <c r="E73" s="95" t="s">
        <v>266</v>
      </c>
      <c r="F73" s="95" t="s">
        <v>331</v>
      </c>
      <c r="G73" s="257" t="s">
        <v>1321</v>
      </c>
      <c r="H73" s="95" t="s">
        <v>335</v>
      </c>
      <c r="I73" s="43" t="s">
        <v>1274</v>
      </c>
      <c r="J73" s="43" t="s">
        <v>1271</v>
      </c>
      <c r="K73" s="271">
        <v>31.382999999999999</v>
      </c>
      <c r="L73" s="271">
        <v>81.716999999999999</v>
      </c>
      <c r="M73" s="95" t="s">
        <v>432</v>
      </c>
      <c r="N73" s="95"/>
      <c r="O73" s="95" t="s">
        <v>433</v>
      </c>
      <c r="P73" s="95">
        <v>-9999</v>
      </c>
      <c r="Q73" s="95">
        <v>-9999</v>
      </c>
      <c r="R73" s="95">
        <v>-9999</v>
      </c>
      <c r="S73" s="95">
        <v>-9999</v>
      </c>
      <c r="T73" s="95">
        <v>-9999</v>
      </c>
      <c r="U73" s="95">
        <v>-9999</v>
      </c>
      <c r="V73" s="276"/>
    </row>
    <row r="74" spans="1:36" x14ac:dyDescent="0.2">
      <c r="A74" s="227" t="s">
        <v>981</v>
      </c>
      <c r="B74" s="95">
        <v>2004</v>
      </c>
      <c r="C74" s="95" t="s">
        <v>1258</v>
      </c>
      <c r="D74" s="95" t="s">
        <v>376</v>
      </c>
      <c r="E74" s="95" t="s">
        <v>266</v>
      </c>
      <c r="F74" s="95" t="s">
        <v>331</v>
      </c>
      <c r="G74" s="43" t="s">
        <v>1324</v>
      </c>
      <c r="H74" s="95" t="s">
        <v>338</v>
      </c>
      <c r="I74" s="43" t="s">
        <v>1273</v>
      </c>
      <c r="J74" s="43" t="s">
        <v>1272</v>
      </c>
      <c r="K74" s="271">
        <v>31.25</v>
      </c>
      <c r="L74" s="271">
        <v>82.4</v>
      </c>
      <c r="M74" s="95" t="s">
        <v>434</v>
      </c>
      <c r="N74" s="95"/>
      <c r="O74" s="95" t="s">
        <v>435</v>
      </c>
      <c r="P74" s="95">
        <v>0.6</v>
      </c>
      <c r="Q74" s="95">
        <v>1500</v>
      </c>
      <c r="R74" s="95" t="s">
        <v>436</v>
      </c>
      <c r="S74" s="95" t="s">
        <v>1349</v>
      </c>
      <c r="T74" s="95">
        <v>-9999</v>
      </c>
      <c r="U74" s="95" t="s">
        <v>437</v>
      </c>
      <c r="V74" s="276" t="s">
        <v>438</v>
      </c>
    </row>
    <row r="75" spans="1:36" x14ac:dyDescent="0.2">
      <c r="A75" s="227" t="s">
        <v>981</v>
      </c>
      <c r="B75" s="95">
        <v>2004</v>
      </c>
      <c r="C75" s="95" t="s">
        <v>1258</v>
      </c>
      <c r="D75" s="95" t="s">
        <v>376</v>
      </c>
      <c r="E75" s="95" t="s">
        <v>266</v>
      </c>
      <c r="F75" s="95" t="s">
        <v>331</v>
      </c>
      <c r="G75" s="43" t="s">
        <v>1324</v>
      </c>
      <c r="H75" s="95" t="s">
        <v>345</v>
      </c>
      <c r="I75" s="43" t="s">
        <v>1273</v>
      </c>
      <c r="J75" s="43" t="s">
        <v>1272</v>
      </c>
      <c r="K75" s="271">
        <v>31.25</v>
      </c>
      <c r="L75" s="271">
        <v>82.4</v>
      </c>
      <c r="M75" s="95" t="s">
        <v>434</v>
      </c>
      <c r="N75" s="95"/>
      <c r="O75" s="95" t="s">
        <v>435</v>
      </c>
      <c r="P75" s="95">
        <v>0.6</v>
      </c>
      <c r="Q75" s="95">
        <v>1500</v>
      </c>
      <c r="R75" s="95" t="s">
        <v>436</v>
      </c>
      <c r="S75" s="95" t="s">
        <v>1349</v>
      </c>
      <c r="T75" s="95">
        <v>-9999</v>
      </c>
      <c r="U75" s="95" t="s">
        <v>437</v>
      </c>
      <c r="V75" s="276" t="s">
        <v>439</v>
      </c>
    </row>
    <row r="76" spans="1:36" ht="25.5" x14ac:dyDescent="0.2">
      <c r="A76" s="228" t="s">
        <v>152</v>
      </c>
      <c r="B76" s="95">
        <v>2000</v>
      </c>
      <c r="C76" s="95" t="s">
        <v>1258</v>
      </c>
      <c r="D76" s="95" t="s">
        <v>376</v>
      </c>
      <c r="E76" s="95" t="s">
        <v>266</v>
      </c>
      <c r="F76" s="43" t="s">
        <v>298</v>
      </c>
      <c r="G76" s="43" t="s">
        <v>458</v>
      </c>
      <c r="H76" s="131" t="s">
        <v>441</v>
      </c>
      <c r="I76" s="43" t="s">
        <v>1275</v>
      </c>
      <c r="J76" s="131" t="s">
        <v>1276</v>
      </c>
      <c r="K76" s="271">
        <v>29.716999999999999</v>
      </c>
      <c r="L76" s="271">
        <v>82.332999999999998</v>
      </c>
      <c r="M76" s="95">
        <v>-9999</v>
      </c>
      <c r="N76" s="95" t="s">
        <v>211</v>
      </c>
      <c r="O76" s="95" t="s">
        <v>525</v>
      </c>
      <c r="P76" s="95">
        <v>-9999</v>
      </c>
      <c r="Q76" s="95">
        <v>-9999</v>
      </c>
      <c r="R76" s="95" t="s">
        <v>216</v>
      </c>
      <c r="S76" s="95">
        <v>-9999</v>
      </c>
      <c r="T76" s="95">
        <v>-9999</v>
      </c>
      <c r="U76" s="95">
        <v>-9999</v>
      </c>
      <c r="V76" s="276" t="s">
        <v>526</v>
      </c>
    </row>
    <row r="77" spans="1:36" x14ac:dyDescent="0.2">
      <c r="A77" s="228" t="s">
        <v>1425</v>
      </c>
      <c r="B77" s="95">
        <v>2002</v>
      </c>
      <c r="C77" s="95" t="s">
        <v>1258</v>
      </c>
      <c r="D77" s="95" t="s">
        <v>376</v>
      </c>
      <c r="E77" s="95" t="s">
        <v>266</v>
      </c>
      <c r="F77" s="95" t="s">
        <v>331</v>
      </c>
      <c r="G77" s="95"/>
      <c r="H77" s="271" t="s">
        <v>1372</v>
      </c>
      <c r="I77" s="43" t="s">
        <v>1370</v>
      </c>
      <c r="J77" s="43" t="s">
        <v>1371</v>
      </c>
      <c r="K77" s="271">
        <v>31</v>
      </c>
      <c r="L77" s="271">
        <v>81</v>
      </c>
      <c r="M77" s="95" t="s">
        <v>428</v>
      </c>
      <c r="N77" s="95">
        <v>-9999</v>
      </c>
      <c r="O77" s="95" t="s">
        <v>433</v>
      </c>
      <c r="P77" s="95">
        <v>-9999</v>
      </c>
      <c r="Q77" s="95">
        <v>-9999</v>
      </c>
      <c r="R77" s="95" t="s">
        <v>217</v>
      </c>
      <c r="S77" s="95" t="s">
        <v>1347</v>
      </c>
      <c r="T77" s="95">
        <v>-9999</v>
      </c>
      <c r="U77" s="95">
        <v>-9999</v>
      </c>
      <c r="V77" s="276" t="s">
        <v>1355</v>
      </c>
    </row>
    <row r="78" spans="1:36" x14ac:dyDescent="0.2">
      <c r="A78" s="228" t="s">
        <v>1425</v>
      </c>
      <c r="B78" s="95">
        <v>2002</v>
      </c>
      <c r="C78" s="95" t="s">
        <v>1258</v>
      </c>
      <c r="D78" s="95" t="s">
        <v>376</v>
      </c>
      <c r="E78" s="95" t="s">
        <v>266</v>
      </c>
      <c r="F78" s="95" t="s">
        <v>331</v>
      </c>
      <c r="G78" s="43" t="s">
        <v>1361</v>
      </c>
      <c r="H78" s="131" t="s">
        <v>1336</v>
      </c>
      <c r="I78" s="43" t="s">
        <v>1334</v>
      </c>
      <c r="J78" s="43" t="s">
        <v>1335</v>
      </c>
      <c r="K78" s="271">
        <v>31.65</v>
      </c>
      <c r="L78" s="271">
        <v>81.483000000000004</v>
      </c>
      <c r="M78" s="95" t="s">
        <v>428</v>
      </c>
      <c r="N78" s="95">
        <v>-9999</v>
      </c>
      <c r="O78" s="95" t="s">
        <v>433</v>
      </c>
      <c r="P78" s="95">
        <v>-9999</v>
      </c>
      <c r="Q78" s="95">
        <v>-9999</v>
      </c>
      <c r="R78" s="95" t="s">
        <v>217</v>
      </c>
      <c r="S78" s="95" t="s">
        <v>1347</v>
      </c>
      <c r="T78" s="95">
        <v>-9999</v>
      </c>
      <c r="U78" s="95">
        <v>-9999</v>
      </c>
      <c r="V78" s="276" t="s">
        <v>1355</v>
      </c>
    </row>
    <row r="79" spans="1:36" x14ac:dyDescent="0.2">
      <c r="A79" s="228" t="s">
        <v>1425</v>
      </c>
      <c r="B79" s="95">
        <v>2002</v>
      </c>
      <c r="C79" s="95" t="s">
        <v>1258</v>
      </c>
      <c r="D79" s="95" t="s">
        <v>376</v>
      </c>
      <c r="E79" s="95" t="s">
        <v>266</v>
      </c>
      <c r="F79" s="95" t="s">
        <v>331</v>
      </c>
      <c r="G79" s="95" t="s">
        <v>1361</v>
      </c>
      <c r="H79" s="95" t="s">
        <v>1341</v>
      </c>
      <c r="I79" s="43" t="s">
        <v>1337</v>
      </c>
      <c r="J79" s="43" t="s">
        <v>1338</v>
      </c>
      <c r="K79" s="271">
        <v>31.616</v>
      </c>
      <c r="L79" s="271">
        <v>81.382999999999996</v>
      </c>
      <c r="M79" s="95" t="s">
        <v>428</v>
      </c>
      <c r="N79" s="95">
        <v>-9999</v>
      </c>
      <c r="O79" s="95" t="s">
        <v>433</v>
      </c>
      <c r="P79" s="95">
        <v>-9999</v>
      </c>
      <c r="Q79" s="95">
        <v>-9999</v>
      </c>
      <c r="R79" s="95" t="s">
        <v>217</v>
      </c>
      <c r="S79" s="95" t="s">
        <v>1347</v>
      </c>
      <c r="T79" s="95">
        <v>-9999</v>
      </c>
      <c r="U79" s="95">
        <v>-9999</v>
      </c>
      <c r="V79" s="276" t="s">
        <v>1355</v>
      </c>
    </row>
    <row r="80" spans="1:36" x14ac:dyDescent="0.2">
      <c r="A80" s="228" t="s">
        <v>1425</v>
      </c>
      <c r="B80" s="95">
        <v>2002</v>
      </c>
      <c r="C80" s="95" t="s">
        <v>1258</v>
      </c>
      <c r="D80" s="95" t="s">
        <v>376</v>
      </c>
      <c r="E80" s="95" t="s">
        <v>266</v>
      </c>
      <c r="F80" s="95" t="s">
        <v>331</v>
      </c>
      <c r="G80" s="95" t="s">
        <v>1361</v>
      </c>
      <c r="H80" s="95" t="s">
        <v>1342</v>
      </c>
      <c r="I80" s="43" t="s">
        <v>1340</v>
      </c>
      <c r="J80" s="43" t="s">
        <v>1338</v>
      </c>
      <c r="K80" s="271">
        <v>31.6</v>
      </c>
      <c r="L80" s="271">
        <v>81.382999999999996</v>
      </c>
      <c r="M80" s="95" t="s">
        <v>428</v>
      </c>
      <c r="N80" s="95">
        <v>-9999</v>
      </c>
      <c r="O80" s="95" t="s">
        <v>433</v>
      </c>
      <c r="P80" s="95">
        <v>-9999</v>
      </c>
      <c r="Q80" s="95">
        <v>-9999</v>
      </c>
      <c r="R80" s="95" t="s">
        <v>217</v>
      </c>
      <c r="S80" s="95" t="s">
        <v>1347</v>
      </c>
      <c r="T80" s="95">
        <v>-9999</v>
      </c>
      <c r="U80" s="95">
        <v>-9999</v>
      </c>
      <c r="V80" s="276" t="s">
        <v>1355</v>
      </c>
    </row>
    <row r="81" spans="1:22" x14ac:dyDescent="0.2">
      <c r="A81" s="228" t="s">
        <v>1425</v>
      </c>
      <c r="B81" s="95">
        <v>2002</v>
      </c>
      <c r="C81" s="95" t="s">
        <v>1258</v>
      </c>
      <c r="D81" s="95" t="s">
        <v>376</v>
      </c>
      <c r="E81" s="95" t="s">
        <v>266</v>
      </c>
      <c r="F81" s="95" t="s">
        <v>331</v>
      </c>
      <c r="G81" s="95" t="s">
        <v>1361</v>
      </c>
      <c r="H81" s="95" t="s">
        <v>1341</v>
      </c>
      <c r="I81" s="43" t="s">
        <v>1340</v>
      </c>
      <c r="J81" s="43" t="s">
        <v>1339</v>
      </c>
      <c r="K81" s="271">
        <v>31.6</v>
      </c>
      <c r="L81" s="271">
        <v>81.400000000000006</v>
      </c>
      <c r="M81" s="95" t="s">
        <v>428</v>
      </c>
      <c r="N81" s="95">
        <v>-9999</v>
      </c>
      <c r="O81" s="95" t="s">
        <v>433</v>
      </c>
      <c r="P81" s="95">
        <v>-9999</v>
      </c>
      <c r="Q81" s="95">
        <v>-9999</v>
      </c>
      <c r="R81" s="95" t="s">
        <v>217</v>
      </c>
      <c r="S81" s="95" t="s">
        <v>1347</v>
      </c>
      <c r="T81" s="95">
        <v>-9999</v>
      </c>
      <c r="U81" s="95">
        <v>-9999</v>
      </c>
      <c r="V81" s="276" t="s">
        <v>1355</v>
      </c>
    </row>
    <row r="82" spans="1:22" x14ac:dyDescent="0.2">
      <c r="A82" s="228" t="s">
        <v>1425</v>
      </c>
      <c r="B82" s="95">
        <v>2002</v>
      </c>
      <c r="C82" s="95" t="s">
        <v>1258</v>
      </c>
      <c r="D82" s="95" t="s">
        <v>376</v>
      </c>
      <c r="E82" s="95" t="s">
        <v>266</v>
      </c>
      <c r="F82" s="95" t="s">
        <v>331</v>
      </c>
      <c r="G82" s="95" t="s">
        <v>1361</v>
      </c>
      <c r="H82" s="95" t="s">
        <v>1342</v>
      </c>
      <c r="I82" s="43" t="s">
        <v>1340</v>
      </c>
      <c r="J82" s="43" t="s">
        <v>1344</v>
      </c>
      <c r="K82" s="271">
        <v>31.6</v>
      </c>
      <c r="L82" s="271">
        <v>81.415999999999997</v>
      </c>
      <c r="M82" s="95" t="s">
        <v>428</v>
      </c>
      <c r="N82" s="95">
        <v>-9999</v>
      </c>
      <c r="O82" s="95" t="s">
        <v>433</v>
      </c>
      <c r="P82" s="95">
        <v>-9999</v>
      </c>
      <c r="Q82" s="95">
        <v>-9999</v>
      </c>
      <c r="R82" s="95" t="s">
        <v>217</v>
      </c>
      <c r="S82" s="95" t="s">
        <v>1347</v>
      </c>
      <c r="T82" s="95">
        <v>-9999</v>
      </c>
      <c r="U82" s="95">
        <v>-9999</v>
      </c>
      <c r="V82" s="276" t="s">
        <v>1355</v>
      </c>
    </row>
    <row r="83" spans="1:22" x14ac:dyDescent="0.2">
      <c r="A83" s="228" t="s">
        <v>1425</v>
      </c>
      <c r="B83" s="95">
        <v>2002</v>
      </c>
      <c r="C83" s="95" t="s">
        <v>1258</v>
      </c>
      <c r="D83" s="95" t="s">
        <v>376</v>
      </c>
      <c r="E83" s="95" t="s">
        <v>266</v>
      </c>
      <c r="F83" s="95" t="s">
        <v>331</v>
      </c>
      <c r="G83" s="95" t="s">
        <v>1361</v>
      </c>
      <c r="H83" s="95" t="s">
        <v>1341</v>
      </c>
      <c r="I83" s="43" t="s">
        <v>1337</v>
      </c>
      <c r="J83" s="43" t="s">
        <v>1339</v>
      </c>
      <c r="K83" s="271">
        <v>31.616</v>
      </c>
      <c r="L83" s="271">
        <v>81.400000000000006</v>
      </c>
      <c r="M83" s="95" t="s">
        <v>428</v>
      </c>
      <c r="N83" s="95">
        <v>-9999</v>
      </c>
      <c r="O83" s="95" t="s">
        <v>433</v>
      </c>
      <c r="P83" s="95">
        <v>-9999</v>
      </c>
      <c r="Q83" s="95">
        <v>-9999</v>
      </c>
      <c r="R83" s="95" t="s">
        <v>217</v>
      </c>
      <c r="S83" s="95" t="s">
        <v>1347</v>
      </c>
      <c r="T83" s="95">
        <v>-9999</v>
      </c>
      <c r="U83" s="95">
        <v>-9999</v>
      </c>
      <c r="V83" s="276" t="s">
        <v>1355</v>
      </c>
    </row>
    <row r="84" spans="1:22" x14ac:dyDescent="0.2">
      <c r="A84" s="228" t="s">
        <v>1425</v>
      </c>
      <c r="B84" s="95">
        <v>2002</v>
      </c>
      <c r="C84" s="95" t="s">
        <v>1258</v>
      </c>
      <c r="D84" s="95" t="s">
        <v>376</v>
      </c>
      <c r="E84" s="95" t="s">
        <v>266</v>
      </c>
      <c r="F84" s="95" t="s">
        <v>331</v>
      </c>
      <c r="G84" s="95" t="s">
        <v>1361</v>
      </c>
      <c r="H84" s="95" t="s">
        <v>1342</v>
      </c>
      <c r="I84" s="43" t="s">
        <v>1343</v>
      </c>
      <c r="J84" s="43" t="s">
        <v>1339</v>
      </c>
      <c r="K84" s="271">
        <v>31.582999999999998</v>
      </c>
      <c r="L84" s="271">
        <v>81.400000000000006</v>
      </c>
      <c r="M84" s="95" t="s">
        <v>428</v>
      </c>
      <c r="N84" s="95">
        <v>-9999</v>
      </c>
      <c r="O84" s="95" t="s">
        <v>433</v>
      </c>
      <c r="P84" s="95">
        <v>-9999</v>
      </c>
      <c r="Q84" s="95">
        <v>-9999</v>
      </c>
      <c r="R84" s="95" t="s">
        <v>217</v>
      </c>
      <c r="S84" s="95" t="s">
        <v>1347</v>
      </c>
      <c r="T84" s="95">
        <v>-9999</v>
      </c>
      <c r="U84" s="95">
        <v>-9999</v>
      </c>
      <c r="V84" s="276" t="s">
        <v>1355</v>
      </c>
    </row>
    <row r="85" spans="1:22" x14ac:dyDescent="0.2">
      <c r="A85" s="228" t="s">
        <v>1425</v>
      </c>
      <c r="B85" s="95">
        <v>2002</v>
      </c>
      <c r="C85" s="95" t="s">
        <v>1258</v>
      </c>
      <c r="D85" s="95" t="s">
        <v>376</v>
      </c>
      <c r="E85" s="95" t="s">
        <v>266</v>
      </c>
      <c r="F85" s="95" t="s">
        <v>331</v>
      </c>
      <c r="G85" s="43" t="s">
        <v>1362</v>
      </c>
      <c r="H85" s="95" t="s">
        <v>1345</v>
      </c>
      <c r="I85" s="43" t="s">
        <v>1346</v>
      </c>
      <c r="J85" s="43" t="s">
        <v>1339</v>
      </c>
      <c r="K85" s="271">
        <v>32.25</v>
      </c>
      <c r="L85" s="271">
        <v>81.400000000000006</v>
      </c>
      <c r="M85" s="95" t="s">
        <v>428</v>
      </c>
      <c r="N85" s="95">
        <v>-9999</v>
      </c>
      <c r="O85" s="95" t="s">
        <v>433</v>
      </c>
      <c r="P85" s="95">
        <v>-9999</v>
      </c>
      <c r="Q85" s="95">
        <v>-9999</v>
      </c>
      <c r="R85" s="95" t="s">
        <v>217</v>
      </c>
      <c r="S85" s="95" t="s">
        <v>1347</v>
      </c>
      <c r="T85" s="95">
        <v>-9999</v>
      </c>
      <c r="U85" s="95">
        <v>-9999</v>
      </c>
      <c r="V85" s="276" t="s">
        <v>1355</v>
      </c>
    </row>
    <row r="86" spans="1:22" s="61" customFormat="1" x14ac:dyDescent="0.2">
      <c r="A86" s="109"/>
      <c r="B86" s="109"/>
      <c r="C86" s="109"/>
      <c r="D86" s="109"/>
      <c r="E86" s="109"/>
      <c r="F86" s="109"/>
      <c r="G86" s="109"/>
      <c r="H86" s="109"/>
      <c r="I86" s="109"/>
      <c r="J86" s="109"/>
      <c r="K86" s="109"/>
      <c r="L86" s="109"/>
      <c r="M86" s="109"/>
      <c r="N86" s="109"/>
      <c r="O86" s="109"/>
      <c r="P86" s="109"/>
      <c r="Q86" s="109"/>
      <c r="R86" s="109"/>
      <c r="S86" s="109"/>
      <c r="T86" s="109"/>
      <c r="U86" s="109"/>
      <c r="V86" s="109"/>
    </row>
    <row r="87" spans="1:22" s="61" customFormat="1" x14ac:dyDescent="0.2">
      <c r="A87" s="109"/>
      <c r="B87" s="109"/>
      <c r="C87" s="109"/>
      <c r="D87" s="109"/>
      <c r="E87" s="109"/>
      <c r="F87" s="109"/>
      <c r="G87" s="109"/>
      <c r="H87" s="109"/>
      <c r="I87" s="109"/>
      <c r="J87" s="109"/>
      <c r="K87" s="109"/>
      <c r="L87" s="109"/>
      <c r="M87" s="109"/>
      <c r="N87" s="109"/>
      <c r="O87" s="109"/>
      <c r="P87" s="109"/>
      <c r="Q87" s="109"/>
      <c r="R87" s="109"/>
      <c r="S87" s="109"/>
      <c r="T87" s="109"/>
      <c r="U87" s="109"/>
      <c r="V87" s="109"/>
    </row>
    <row r="96" spans="1:22" s="61" customFormat="1" x14ac:dyDescent="0.2">
      <c r="A96" s="109"/>
      <c r="B96" s="109"/>
      <c r="C96" s="109"/>
      <c r="D96" s="109"/>
      <c r="E96" s="109"/>
      <c r="F96" s="109"/>
      <c r="G96" s="109"/>
      <c r="H96" s="109"/>
      <c r="I96" s="109"/>
      <c r="J96" s="109"/>
      <c r="K96" s="109"/>
      <c r="L96" s="109"/>
      <c r="M96" s="109"/>
      <c r="N96" s="109"/>
      <c r="O96" s="109"/>
      <c r="P96" s="109"/>
      <c r="Q96" s="109"/>
      <c r="R96" s="109"/>
      <c r="S96" s="109"/>
      <c r="T96" s="109"/>
      <c r="U96" s="109"/>
      <c r="V96" s="109"/>
    </row>
    <row r="97" spans="1:22" s="61" customFormat="1" x14ac:dyDescent="0.2">
      <c r="A97" s="109"/>
      <c r="B97" s="109"/>
      <c r="C97" s="109"/>
      <c r="D97" s="109"/>
      <c r="E97" s="109"/>
      <c r="F97" s="109"/>
      <c r="G97" s="109"/>
      <c r="H97" s="109"/>
      <c r="I97" s="109"/>
      <c r="J97" s="109"/>
      <c r="K97" s="109"/>
      <c r="L97" s="109"/>
      <c r="M97" s="109"/>
      <c r="N97" s="109"/>
      <c r="O97" s="109"/>
      <c r="P97" s="109"/>
      <c r="Q97" s="109"/>
      <c r="R97" s="109"/>
      <c r="S97" s="109"/>
      <c r="T97" s="109"/>
      <c r="U97" s="109"/>
      <c r="V97" s="109"/>
    </row>
    <row r="98" spans="1:22" s="61" customFormat="1" x14ac:dyDescent="0.2">
      <c r="A98" s="109"/>
      <c r="B98" s="109"/>
      <c r="C98" s="109"/>
      <c r="D98" s="109"/>
      <c r="E98" s="109"/>
      <c r="F98" s="109"/>
      <c r="G98" s="109"/>
      <c r="H98" s="109"/>
      <c r="I98" s="109"/>
      <c r="J98" s="109"/>
      <c r="K98" s="109"/>
      <c r="L98" s="109"/>
      <c r="M98" s="109"/>
      <c r="N98" s="109"/>
      <c r="O98" s="109"/>
      <c r="P98" s="109"/>
      <c r="Q98" s="109"/>
      <c r="R98" s="109"/>
      <c r="S98" s="109"/>
      <c r="T98" s="109"/>
      <c r="U98" s="109"/>
      <c r="V98" s="109"/>
    </row>
  </sheetData>
  <mergeCells count="1">
    <mergeCell ref="A4:D4"/>
  </mergeCells>
  <phoneticPr fontId="24" type="noConversion"/>
  <pageMargins left="0.75" right="0.75" top="1" bottom="1" header="0.5" footer="0.5"/>
  <pageSetup orientation="portrait" r:id="rId1"/>
  <headerFooter alignWithMargins="0"/>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AF116"/>
  <sheetViews>
    <sheetView topLeftCell="A2" zoomScale="86" zoomScaleNormal="86" workbookViewId="0">
      <pane xSplit="7725" ySplit="900" topLeftCell="N35" activePane="bottomRight"/>
      <selection activeCell="A2" sqref="A2"/>
      <selection pane="topRight" activeCell="B1" sqref="B1"/>
      <selection pane="bottomLeft" activeCell="D30" sqref="D30:D33"/>
      <selection pane="bottomRight" activeCell="AG26" sqref="AG26"/>
    </sheetView>
  </sheetViews>
  <sheetFormatPr defaultRowHeight="12.75" x14ac:dyDescent="0.2"/>
  <cols>
    <col min="1" max="1" width="34.28515625" customWidth="1"/>
    <col min="2" max="2" width="5" customWidth="1"/>
    <col min="3" max="3" width="6" customWidth="1"/>
  </cols>
  <sheetData>
    <row r="1" spans="1:32" x14ac:dyDescent="0.2">
      <c r="A1" s="320" t="s">
        <v>1754</v>
      </c>
    </row>
    <row r="2" spans="1:32" s="106" customFormat="1" ht="38.25" x14ac:dyDescent="0.2">
      <c r="A2" s="47" t="s">
        <v>579</v>
      </c>
      <c r="B2" s="47" t="s">
        <v>174</v>
      </c>
      <c r="C2" s="47" t="s">
        <v>175</v>
      </c>
      <c r="D2" s="47" t="s">
        <v>1017</v>
      </c>
      <c r="E2" s="47" t="s">
        <v>176</v>
      </c>
      <c r="F2" s="47" t="s">
        <v>177</v>
      </c>
      <c r="G2" s="47" t="s">
        <v>1112</v>
      </c>
      <c r="H2" s="47" t="s">
        <v>178</v>
      </c>
      <c r="I2" s="47" t="s">
        <v>1078</v>
      </c>
      <c r="J2" s="47" t="s">
        <v>179</v>
      </c>
      <c r="K2" s="108" t="s">
        <v>180</v>
      </c>
      <c r="L2" s="108" t="s">
        <v>181</v>
      </c>
      <c r="M2" s="47" t="s">
        <v>182</v>
      </c>
      <c r="N2" s="47" t="s">
        <v>183</v>
      </c>
      <c r="O2" s="47" t="s">
        <v>184</v>
      </c>
      <c r="P2" s="47" t="s">
        <v>185</v>
      </c>
      <c r="Q2" s="47" t="s">
        <v>186</v>
      </c>
      <c r="R2" s="47" t="s">
        <v>189</v>
      </c>
      <c r="S2" s="47" t="s">
        <v>190</v>
      </c>
      <c r="T2" s="47" t="s">
        <v>191</v>
      </c>
      <c r="U2" s="47" t="s">
        <v>192</v>
      </c>
      <c r="V2" s="47" t="s">
        <v>193</v>
      </c>
      <c r="W2" s="47" t="s">
        <v>194</v>
      </c>
      <c r="X2" s="47" t="s">
        <v>195</v>
      </c>
      <c r="Y2" s="47" t="s">
        <v>196</v>
      </c>
      <c r="Z2" s="47" t="s">
        <v>197</v>
      </c>
      <c r="AA2" s="47" t="s">
        <v>198</v>
      </c>
      <c r="AB2" s="47" t="s">
        <v>199</v>
      </c>
      <c r="AC2" s="47" t="s">
        <v>605</v>
      </c>
      <c r="AD2" s="47"/>
      <c r="AE2" s="47"/>
      <c r="AF2" s="47"/>
    </row>
    <row r="3" spans="1:32" s="106" customFormat="1" x14ac:dyDescent="0.2">
      <c r="A3" s="5" t="s">
        <v>616</v>
      </c>
      <c r="B3" s="5" t="s">
        <v>1406</v>
      </c>
      <c r="C3" s="5"/>
      <c r="D3" s="5"/>
      <c r="E3" s="5"/>
      <c r="F3" s="5"/>
      <c r="G3" s="5"/>
      <c r="H3" s="5"/>
      <c r="I3" s="5"/>
      <c r="J3" s="5"/>
      <c r="K3" s="120"/>
      <c r="L3" s="120"/>
      <c r="M3" s="5"/>
      <c r="N3" s="5"/>
      <c r="O3" s="5"/>
      <c r="P3" s="5"/>
      <c r="Q3" s="5"/>
      <c r="R3" s="5"/>
      <c r="S3" s="5"/>
      <c r="T3" s="5"/>
      <c r="U3" s="5"/>
      <c r="V3" s="5"/>
      <c r="W3" s="5"/>
      <c r="X3" s="5"/>
      <c r="Y3" s="5"/>
      <c r="Z3" s="5"/>
      <c r="AA3" s="5"/>
      <c r="AB3" s="5"/>
      <c r="AC3" s="5"/>
      <c r="AD3" s="47"/>
      <c r="AE3" s="47"/>
      <c r="AF3" s="47"/>
    </row>
    <row r="4" spans="1:32" s="104" customFormat="1" x14ac:dyDescent="0.2">
      <c r="A4" s="56" t="s">
        <v>135</v>
      </c>
      <c r="B4" s="56" t="s">
        <v>200</v>
      </c>
      <c r="C4" s="57" t="s">
        <v>527</v>
      </c>
      <c r="D4" s="56" t="s">
        <v>201</v>
      </c>
      <c r="E4" s="56">
        <v>-9999</v>
      </c>
      <c r="F4" s="56" t="s">
        <v>202</v>
      </c>
      <c r="G4" s="56" t="s">
        <v>203</v>
      </c>
      <c r="H4" s="56"/>
      <c r="I4" s="56" t="s">
        <v>227</v>
      </c>
      <c r="J4" s="56" t="s">
        <v>228</v>
      </c>
      <c r="K4" s="56" t="s">
        <v>229</v>
      </c>
      <c r="L4" s="56" t="s">
        <v>230</v>
      </c>
      <c r="M4" s="56" t="s">
        <v>231</v>
      </c>
      <c r="N4" s="56">
        <v>-9999</v>
      </c>
      <c r="O4" s="56">
        <v>-9999</v>
      </c>
      <c r="P4" s="56">
        <v>-9999</v>
      </c>
      <c r="Q4" s="56">
        <v>-9999</v>
      </c>
      <c r="R4" s="56">
        <v>-9999</v>
      </c>
      <c r="S4" s="56">
        <v>-9999</v>
      </c>
      <c r="T4" s="56">
        <v>-9999</v>
      </c>
      <c r="U4" s="56">
        <v>-9999</v>
      </c>
      <c r="V4" s="56">
        <v>-9999</v>
      </c>
      <c r="W4" s="56">
        <v>-9999</v>
      </c>
      <c r="X4" s="56">
        <v>-9999</v>
      </c>
      <c r="Y4" s="56">
        <v>-9999</v>
      </c>
      <c r="Z4" s="56">
        <v>-9999</v>
      </c>
      <c r="AA4" s="56">
        <v>-9999</v>
      </c>
      <c r="AB4" s="56">
        <v>-9999</v>
      </c>
      <c r="AC4" s="56">
        <v>-9999</v>
      </c>
    </row>
    <row r="5" spans="1:32" s="104" customFormat="1" x14ac:dyDescent="0.2">
      <c r="A5" s="56" t="s">
        <v>650</v>
      </c>
      <c r="B5" s="56" t="s">
        <v>200</v>
      </c>
      <c r="C5" s="57" t="s">
        <v>527</v>
      </c>
      <c r="D5" s="56" t="s">
        <v>201</v>
      </c>
      <c r="E5" s="56">
        <v>-9999</v>
      </c>
      <c r="F5" s="56" t="s">
        <v>232</v>
      </c>
      <c r="G5" s="56" t="s">
        <v>203</v>
      </c>
      <c r="H5" s="56"/>
      <c r="I5" s="56" t="s">
        <v>233</v>
      </c>
      <c r="J5" s="56" t="s">
        <v>234</v>
      </c>
      <c r="K5" s="56" t="s">
        <v>229</v>
      </c>
      <c r="L5" s="56" t="s">
        <v>230</v>
      </c>
      <c r="M5" s="56" t="s">
        <v>231</v>
      </c>
      <c r="N5" s="56">
        <v>-9999</v>
      </c>
      <c r="O5" s="56">
        <v>-9999</v>
      </c>
      <c r="P5" s="56">
        <v>-9999</v>
      </c>
      <c r="Q5" s="56">
        <v>-9999</v>
      </c>
      <c r="R5" s="56">
        <v>-9999</v>
      </c>
      <c r="S5" s="56">
        <v>-9999</v>
      </c>
      <c r="T5" s="56">
        <v>-9999</v>
      </c>
      <c r="U5" s="56">
        <v>-9999</v>
      </c>
      <c r="V5" s="56">
        <v>-9999</v>
      </c>
      <c r="W5" s="56">
        <v>-9999</v>
      </c>
      <c r="X5" s="56">
        <v>-9999</v>
      </c>
      <c r="Y5" s="56">
        <v>-9999</v>
      </c>
      <c r="Z5" s="56">
        <v>-9999</v>
      </c>
      <c r="AA5" s="56">
        <v>-9999</v>
      </c>
      <c r="AB5" s="56">
        <v>-9999</v>
      </c>
      <c r="AC5" s="56">
        <v>-9999</v>
      </c>
    </row>
    <row r="6" spans="1:32" s="104" customFormat="1" x14ac:dyDescent="0.2">
      <c r="A6" s="56" t="s">
        <v>655</v>
      </c>
      <c r="B6" s="56" t="s">
        <v>200</v>
      </c>
      <c r="C6" s="57" t="s">
        <v>527</v>
      </c>
      <c r="D6" s="56" t="s">
        <v>201</v>
      </c>
      <c r="E6" s="56">
        <v>-9999</v>
      </c>
      <c r="F6" s="56" t="s">
        <v>232</v>
      </c>
      <c r="G6" s="56" t="s">
        <v>203</v>
      </c>
      <c r="H6" s="56"/>
      <c r="I6" s="56" t="s">
        <v>235</v>
      </c>
      <c r="J6" s="56" t="s">
        <v>442</v>
      </c>
      <c r="K6" s="56">
        <v>-9999</v>
      </c>
      <c r="L6" s="56">
        <v>-9999</v>
      </c>
      <c r="M6" s="56">
        <v>-9999</v>
      </c>
      <c r="N6" s="56">
        <v>-9999</v>
      </c>
      <c r="O6" s="56">
        <v>-9999</v>
      </c>
      <c r="P6" s="56">
        <v>-9999</v>
      </c>
      <c r="Q6" s="56">
        <v>-9999</v>
      </c>
      <c r="R6" s="56">
        <v>-9999</v>
      </c>
      <c r="S6" s="56">
        <v>-9999</v>
      </c>
      <c r="T6" s="56">
        <v>-9999</v>
      </c>
      <c r="U6" s="56">
        <v>-9999</v>
      </c>
      <c r="V6" s="56">
        <v>-9999</v>
      </c>
      <c r="W6" s="56">
        <v>-9999</v>
      </c>
      <c r="X6" s="56">
        <v>-9999</v>
      </c>
      <c r="Y6" s="56">
        <v>-9999</v>
      </c>
      <c r="Z6" s="56">
        <v>-9999</v>
      </c>
      <c r="AA6" s="56">
        <v>-9999</v>
      </c>
      <c r="AB6" s="56">
        <v>-9999</v>
      </c>
      <c r="AC6" s="56">
        <v>-9999</v>
      </c>
    </row>
    <row r="7" spans="1:32" s="104" customFormat="1" x14ac:dyDescent="0.2">
      <c r="A7" s="56" t="s">
        <v>676</v>
      </c>
      <c r="B7" s="56" t="s">
        <v>200</v>
      </c>
      <c r="C7" s="57" t="s">
        <v>527</v>
      </c>
      <c r="D7" s="56" t="s">
        <v>201</v>
      </c>
      <c r="E7" s="56">
        <v>-9999</v>
      </c>
      <c r="F7" s="56" t="s">
        <v>232</v>
      </c>
      <c r="G7" s="56" t="s">
        <v>203</v>
      </c>
      <c r="H7" s="56"/>
      <c r="I7" s="56" t="s">
        <v>235</v>
      </c>
      <c r="J7" s="56" t="s">
        <v>442</v>
      </c>
      <c r="K7" s="56">
        <v>-9999</v>
      </c>
      <c r="L7" s="56">
        <v>-9999</v>
      </c>
      <c r="M7" s="56">
        <v>-9999</v>
      </c>
      <c r="N7" s="56">
        <v>-9999</v>
      </c>
      <c r="O7" s="56">
        <v>-9999</v>
      </c>
      <c r="P7" s="56">
        <v>-9999</v>
      </c>
      <c r="Q7" s="56">
        <v>-9999</v>
      </c>
      <c r="R7" s="56">
        <v>-9999</v>
      </c>
      <c r="S7" s="56">
        <v>-9999</v>
      </c>
      <c r="T7" s="56">
        <v>-9999</v>
      </c>
      <c r="U7" s="56">
        <v>-9999</v>
      </c>
      <c r="V7" s="56">
        <v>-9999</v>
      </c>
      <c r="W7" s="56">
        <v>-9999</v>
      </c>
      <c r="X7" s="56">
        <v>-9999</v>
      </c>
      <c r="Y7" s="56">
        <v>-9999</v>
      </c>
      <c r="Z7" s="56">
        <v>-9999</v>
      </c>
      <c r="AA7" s="56">
        <v>-9999</v>
      </c>
      <c r="AB7" s="56">
        <v>-9999</v>
      </c>
      <c r="AC7" s="56">
        <v>-9999</v>
      </c>
    </row>
    <row r="8" spans="1:32" s="104" customFormat="1" x14ac:dyDescent="0.2">
      <c r="A8" s="56" t="s">
        <v>679</v>
      </c>
      <c r="B8" s="56" t="s">
        <v>200</v>
      </c>
      <c r="C8" s="57" t="s">
        <v>527</v>
      </c>
      <c r="D8" s="56" t="s">
        <v>201</v>
      </c>
      <c r="E8" s="56">
        <v>-9999</v>
      </c>
      <c r="F8" s="56" t="s">
        <v>232</v>
      </c>
      <c r="G8" s="56" t="s">
        <v>203</v>
      </c>
      <c r="H8" s="56"/>
      <c r="I8" s="56" t="s">
        <v>235</v>
      </c>
      <c r="J8" s="56" t="s">
        <v>442</v>
      </c>
      <c r="K8" s="56">
        <v>-9999</v>
      </c>
      <c r="L8" s="56">
        <v>-9999</v>
      </c>
      <c r="M8" s="56">
        <v>-9999</v>
      </c>
      <c r="N8" s="56">
        <v>-9999</v>
      </c>
      <c r="O8" s="56">
        <v>-9999</v>
      </c>
      <c r="P8" s="56">
        <v>-9999</v>
      </c>
      <c r="Q8" s="56">
        <v>-9999</v>
      </c>
      <c r="R8" s="56">
        <v>-9999</v>
      </c>
      <c r="S8" s="56">
        <v>-9999</v>
      </c>
      <c r="T8" s="56">
        <v>-9999</v>
      </c>
      <c r="U8" s="56">
        <v>-9999</v>
      </c>
      <c r="V8" s="56">
        <v>-9999</v>
      </c>
      <c r="W8" s="56">
        <v>-9999</v>
      </c>
      <c r="X8" s="56">
        <v>-9999</v>
      </c>
      <c r="Y8" s="56">
        <v>-9999</v>
      </c>
      <c r="Z8" s="56">
        <v>-9999</v>
      </c>
      <c r="AA8" s="56">
        <v>-9999</v>
      </c>
      <c r="AB8" s="56">
        <v>-9999</v>
      </c>
      <c r="AC8" s="56">
        <v>-9999</v>
      </c>
    </row>
    <row r="9" spans="1:32" s="104" customFormat="1" x14ac:dyDescent="0.2">
      <c r="A9" s="56" t="s">
        <v>685</v>
      </c>
      <c r="B9" s="56" t="s">
        <v>200</v>
      </c>
      <c r="C9" s="56" t="s">
        <v>236</v>
      </c>
      <c r="D9" s="56" t="s">
        <v>680</v>
      </c>
      <c r="E9" s="56">
        <v>-9999</v>
      </c>
      <c r="F9" s="56" t="s">
        <v>232</v>
      </c>
      <c r="G9" s="56">
        <v>-9999</v>
      </c>
      <c r="H9" s="56">
        <v>-9999</v>
      </c>
      <c r="I9" s="56">
        <v>-9999</v>
      </c>
      <c r="J9" s="56" t="s">
        <v>237</v>
      </c>
      <c r="K9" s="121" t="s">
        <v>238</v>
      </c>
      <c r="L9" s="56">
        <v>-9999</v>
      </c>
      <c r="M9" s="56">
        <v>5.7</v>
      </c>
      <c r="N9" s="56">
        <v>-9999</v>
      </c>
      <c r="O9" s="56">
        <v>-9999</v>
      </c>
      <c r="P9" s="56">
        <v>-9999</v>
      </c>
      <c r="Q9" s="56">
        <v>2</v>
      </c>
      <c r="R9" s="56">
        <v>48</v>
      </c>
      <c r="S9" s="56">
        <v>50</v>
      </c>
      <c r="T9" s="56">
        <v>9.1</v>
      </c>
      <c r="U9" s="56">
        <v>-9999</v>
      </c>
      <c r="V9" s="56">
        <v>-9999</v>
      </c>
      <c r="W9" s="56">
        <v>-9999</v>
      </c>
      <c r="X9" s="56">
        <v>-9999</v>
      </c>
      <c r="Y9" s="56">
        <v>-9999</v>
      </c>
      <c r="Z9" s="56">
        <v>-9999</v>
      </c>
      <c r="AA9" s="56">
        <v>-9999</v>
      </c>
      <c r="AB9" s="56">
        <v>30.2</v>
      </c>
      <c r="AC9" s="56" t="s">
        <v>507</v>
      </c>
    </row>
    <row r="10" spans="1:32" s="104" customFormat="1" x14ac:dyDescent="0.2">
      <c r="A10" s="56" t="s">
        <v>685</v>
      </c>
      <c r="B10" s="56" t="s">
        <v>200</v>
      </c>
      <c r="C10" s="56" t="s">
        <v>236</v>
      </c>
      <c r="D10" s="56" t="s">
        <v>680</v>
      </c>
      <c r="E10" s="56">
        <v>-9999</v>
      </c>
      <c r="F10" s="56" t="s">
        <v>232</v>
      </c>
      <c r="G10" s="56">
        <v>-9999</v>
      </c>
      <c r="H10" s="56">
        <v>-9999</v>
      </c>
      <c r="I10" s="56">
        <v>-9999</v>
      </c>
      <c r="J10" s="56" t="s">
        <v>237</v>
      </c>
      <c r="K10" s="121" t="s">
        <v>239</v>
      </c>
      <c r="L10" s="56">
        <v>-9999</v>
      </c>
      <c r="M10" s="56">
        <v>6.8</v>
      </c>
      <c r="N10" s="56">
        <v>-9999</v>
      </c>
      <c r="O10" s="56">
        <v>-9999</v>
      </c>
      <c r="P10" s="56">
        <v>-9999</v>
      </c>
      <c r="Q10" s="56">
        <v>9</v>
      </c>
      <c r="R10" s="56">
        <v>43</v>
      </c>
      <c r="S10" s="56">
        <v>48</v>
      </c>
      <c r="T10" s="56">
        <v>5.8</v>
      </c>
      <c r="U10" s="56">
        <v>-9999</v>
      </c>
      <c r="V10" s="56">
        <v>-9999</v>
      </c>
      <c r="W10" s="56">
        <v>-9999</v>
      </c>
      <c r="X10" s="56">
        <v>-9999</v>
      </c>
      <c r="Y10" s="56">
        <v>-9999</v>
      </c>
      <c r="Z10" s="56">
        <v>-9999</v>
      </c>
      <c r="AA10" s="56">
        <v>-9999</v>
      </c>
      <c r="AB10" s="56">
        <v>18.399999999999999</v>
      </c>
      <c r="AC10" s="56" t="s">
        <v>507</v>
      </c>
    </row>
    <row r="11" spans="1:32" s="104" customFormat="1" x14ac:dyDescent="0.2">
      <c r="A11" s="56" t="s">
        <v>771</v>
      </c>
      <c r="B11" s="56" t="s">
        <v>200</v>
      </c>
      <c r="C11" s="57" t="s">
        <v>1331</v>
      </c>
      <c r="D11" s="56" t="s">
        <v>772</v>
      </c>
      <c r="E11" s="56">
        <v>-9999</v>
      </c>
      <c r="F11" s="56" t="s">
        <v>232</v>
      </c>
      <c r="G11" s="56">
        <v>-9999</v>
      </c>
      <c r="H11" s="56">
        <v>-9999</v>
      </c>
      <c r="I11" s="57" t="s">
        <v>240</v>
      </c>
      <c r="J11" s="57" t="s">
        <v>241</v>
      </c>
      <c r="K11" s="56">
        <v>-9999</v>
      </c>
      <c r="L11" s="56">
        <v>-9999</v>
      </c>
      <c r="M11" s="56">
        <v>-9999</v>
      </c>
      <c r="N11" s="56">
        <v>-9999</v>
      </c>
      <c r="O11" s="56">
        <v>-9999</v>
      </c>
      <c r="P11" s="56">
        <v>-9999</v>
      </c>
      <c r="Q11" s="56">
        <v>-9999</v>
      </c>
      <c r="R11" s="56">
        <v>-9999</v>
      </c>
      <c r="S11" s="56">
        <v>-9999</v>
      </c>
      <c r="T11" s="56">
        <v>-9999</v>
      </c>
      <c r="U11" s="56">
        <v>-9999</v>
      </c>
      <c r="V11" s="56">
        <v>-9999</v>
      </c>
      <c r="W11" s="56">
        <v>-9999</v>
      </c>
      <c r="X11" s="56">
        <v>-9999</v>
      </c>
      <c r="Y11" s="56">
        <v>-9999</v>
      </c>
      <c r="Z11" s="56">
        <v>-9999</v>
      </c>
      <c r="AA11" s="56">
        <v>-9999</v>
      </c>
      <c r="AB11" s="56">
        <v>-9999</v>
      </c>
      <c r="AC11" s="56">
        <v>-9999</v>
      </c>
    </row>
    <row r="12" spans="1:32" s="104" customFormat="1" x14ac:dyDescent="0.2">
      <c r="A12" s="10" t="s">
        <v>1424</v>
      </c>
      <c r="B12" s="56" t="s">
        <v>200</v>
      </c>
      <c r="C12" s="57" t="s">
        <v>1331</v>
      </c>
      <c r="D12" s="56" t="s">
        <v>772</v>
      </c>
      <c r="E12" s="56">
        <v>-9999</v>
      </c>
      <c r="F12" s="57" t="s">
        <v>232</v>
      </c>
      <c r="G12" s="56" t="s">
        <v>1416</v>
      </c>
      <c r="H12" s="56">
        <v>-9999</v>
      </c>
      <c r="I12" s="57" t="s">
        <v>1415</v>
      </c>
      <c r="J12" s="57" t="s">
        <v>1417</v>
      </c>
      <c r="K12" s="56">
        <v>-9999</v>
      </c>
      <c r="L12" s="56">
        <v>-9999</v>
      </c>
      <c r="M12" s="56">
        <v>-9999</v>
      </c>
      <c r="N12" s="56">
        <v>-9999</v>
      </c>
      <c r="O12" s="56">
        <v>-9999</v>
      </c>
      <c r="P12" s="56">
        <v>-9999</v>
      </c>
      <c r="Q12" s="56">
        <v>-9999</v>
      </c>
      <c r="R12" s="56">
        <v>-9999</v>
      </c>
      <c r="S12" s="56">
        <v>-9999</v>
      </c>
      <c r="T12" s="56">
        <v>-9999</v>
      </c>
      <c r="U12" s="56">
        <v>-9999</v>
      </c>
      <c r="V12" s="56">
        <v>-9999</v>
      </c>
      <c r="W12" s="56">
        <v>-9999</v>
      </c>
      <c r="X12" s="56">
        <v>-9999</v>
      </c>
      <c r="Y12" s="56">
        <v>-9999</v>
      </c>
      <c r="Z12" s="56">
        <v>-9999</v>
      </c>
      <c r="AA12" s="56">
        <v>-9999</v>
      </c>
      <c r="AB12" s="56">
        <v>-9999</v>
      </c>
      <c r="AC12" s="56">
        <v>-9999</v>
      </c>
    </row>
    <row r="13" spans="1:32" s="104" customFormat="1" x14ac:dyDescent="0.2">
      <c r="A13" s="10" t="s">
        <v>1424</v>
      </c>
      <c r="B13" s="56" t="s">
        <v>200</v>
      </c>
      <c r="C13" s="57" t="s">
        <v>1331</v>
      </c>
      <c r="D13" s="56" t="s">
        <v>772</v>
      </c>
      <c r="E13" s="56">
        <v>-9999</v>
      </c>
      <c r="F13" s="57" t="s">
        <v>232</v>
      </c>
      <c r="G13" s="56" t="s">
        <v>1418</v>
      </c>
      <c r="H13" s="56">
        <v>-9999</v>
      </c>
      <c r="I13" s="57" t="s">
        <v>1414</v>
      </c>
      <c r="J13" s="57" t="s">
        <v>1419</v>
      </c>
      <c r="K13" s="56">
        <v>-9999</v>
      </c>
      <c r="L13" s="56">
        <v>-9999</v>
      </c>
      <c r="M13" s="56">
        <v>-9999</v>
      </c>
      <c r="N13" s="56">
        <v>-9999</v>
      </c>
      <c r="O13" s="56">
        <v>-9999</v>
      </c>
      <c r="P13" s="56">
        <v>-9999</v>
      </c>
      <c r="Q13" s="56">
        <v>-9999</v>
      </c>
      <c r="R13" s="56">
        <v>-9999</v>
      </c>
      <c r="S13" s="56">
        <v>-9999</v>
      </c>
      <c r="T13" s="56">
        <v>-9999</v>
      </c>
      <c r="U13" s="56">
        <v>-9999</v>
      </c>
      <c r="V13" s="56">
        <v>-9999</v>
      </c>
      <c r="W13" s="56">
        <v>-9999</v>
      </c>
      <c r="X13" s="56">
        <v>-9999</v>
      </c>
      <c r="Y13" s="56">
        <v>-9999</v>
      </c>
      <c r="Z13" s="56">
        <v>-9999</v>
      </c>
      <c r="AA13" s="56">
        <v>-9999</v>
      </c>
      <c r="AB13" s="56">
        <v>-9999</v>
      </c>
      <c r="AC13" s="56">
        <v>-9999</v>
      </c>
    </row>
    <row r="14" spans="1:32" s="104" customFormat="1" x14ac:dyDescent="0.2">
      <c r="A14" s="18" t="s">
        <v>1431</v>
      </c>
      <c r="B14" s="65"/>
      <c r="C14" s="65"/>
      <c r="D14" s="65"/>
      <c r="E14" s="65"/>
      <c r="F14" s="65"/>
      <c r="G14" s="65"/>
      <c r="H14" s="65"/>
      <c r="I14" s="65"/>
      <c r="J14" s="65"/>
      <c r="K14" s="65"/>
      <c r="L14" s="65"/>
      <c r="M14" s="65"/>
      <c r="N14" s="65"/>
      <c r="O14" s="65"/>
      <c r="P14" s="65"/>
      <c r="Q14" s="65"/>
      <c r="R14" s="65"/>
      <c r="S14" s="65"/>
      <c r="T14" s="65"/>
      <c r="U14" s="65"/>
      <c r="V14" s="65"/>
      <c r="W14" s="65"/>
      <c r="X14" s="65"/>
      <c r="Y14" s="65"/>
      <c r="Z14" s="65"/>
      <c r="AA14" s="65"/>
      <c r="AB14" s="65"/>
      <c r="AC14" s="65"/>
    </row>
    <row r="15" spans="1:32" s="106" customFormat="1" x14ac:dyDescent="0.2">
      <c r="A15" s="80" t="s">
        <v>242</v>
      </c>
      <c r="B15" s="80" t="s">
        <v>243</v>
      </c>
      <c r="C15" s="25" t="s">
        <v>978</v>
      </c>
      <c r="D15" s="25" t="s">
        <v>1037</v>
      </c>
      <c r="E15" s="80">
        <v>-9999</v>
      </c>
      <c r="F15" s="80">
        <v>-9999</v>
      </c>
      <c r="G15" s="80">
        <v>-9999</v>
      </c>
      <c r="H15" s="32">
        <v>-9999</v>
      </c>
      <c r="I15" s="32">
        <v>-9999</v>
      </c>
      <c r="J15" s="80" t="s">
        <v>244</v>
      </c>
      <c r="K15" s="32">
        <v>-9999</v>
      </c>
      <c r="L15" s="32">
        <v>-9999</v>
      </c>
      <c r="M15" s="77" t="s">
        <v>245</v>
      </c>
      <c r="N15" s="32">
        <v>-9999</v>
      </c>
      <c r="O15" s="32">
        <v>-9999</v>
      </c>
      <c r="P15" s="32">
        <v>-9999</v>
      </c>
      <c r="Q15" s="32">
        <v>-9999</v>
      </c>
      <c r="R15" s="32">
        <v>-9999</v>
      </c>
      <c r="S15" s="32">
        <v>-9999</v>
      </c>
      <c r="T15" s="122" t="s">
        <v>1036</v>
      </c>
      <c r="U15" s="32">
        <v>-9999</v>
      </c>
      <c r="V15" s="32">
        <v>-9999</v>
      </c>
      <c r="W15" s="32">
        <v>-9999</v>
      </c>
      <c r="X15" s="32">
        <v>-9999</v>
      </c>
      <c r="Y15" s="32">
        <v>-9999</v>
      </c>
      <c r="Z15" s="32">
        <v>-9999</v>
      </c>
      <c r="AA15" s="32">
        <v>-9999</v>
      </c>
      <c r="AB15" s="32">
        <v>-9999</v>
      </c>
      <c r="AC15" s="32">
        <v>-9999</v>
      </c>
    </row>
    <row r="16" spans="1:32" s="106" customFormat="1" x14ac:dyDescent="0.2">
      <c r="A16" s="80" t="s">
        <v>246</v>
      </c>
      <c r="B16" s="80" t="s">
        <v>243</v>
      </c>
      <c r="C16" s="25" t="s">
        <v>978</v>
      </c>
      <c r="D16" s="25" t="s">
        <v>1038</v>
      </c>
      <c r="E16" s="80">
        <v>-9999</v>
      </c>
      <c r="F16" s="80">
        <v>-9999</v>
      </c>
      <c r="G16" s="80">
        <v>-9999</v>
      </c>
      <c r="H16" s="32">
        <v>-9999</v>
      </c>
      <c r="I16" s="32">
        <v>-9999</v>
      </c>
      <c r="J16" s="80" t="s">
        <v>244</v>
      </c>
      <c r="K16" s="32">
        <v>-9999</v>
      </c>
      <c r="L16" s="32">
        <v>-9999</v>
      </c>
      <c r="M16" s="77" t="s">
        <v>245</v>
      </c>
      <c r="N16" s="32">
        <v>-9999</v>
      </c>
      <c r="O16" s="32">
        <v>-9999</v>
      </c>
      <c r="P16" s="32">
        <v>-9999</v>
      </c>
      <c r="Q16" s="32">
        <v>-9999</v>
      </c>
      <c r="R16" s="32">
        <v>-9999</v>
      </c>
      <c r="S16" s="32">
        <v>-9999</v>
      </c>
      <c r="T16" s="122" t="s">
        <v>1036</v>
      </c>
      <c r="U16" s="32">
        <v>-9999</v>
      </c>
      <c r="V16" s="32">
        <v>-9999</v>
      </c>
      <c r="W16" s="32">
        <v>-9999</v>
      </c>
      <c r="X16" s="32">
        <v>-9999</v>
      </c>
      <c r="Y16" s="32">
        <v>-9999</v>
      </c>
      <c r="Z16" s="32">
        <v>-9999</v>
      </c>
      <c r="AA16" s="32">
        <v>-9999</v>
      </c>
      <c r="AB16" s="32">
        <v>-9999</v>
      </c>
      <c r="AC16" s="32">
        <v>-9999</v>
      </c>
    </row>
    <row r="17" spans="1:29" s="106" customFormat="1" x14ac:dyDescent="0.2">
      <c r="A17" s="80" t="s">
        <v>246</v>
      </c>
      <c r="B17" s="80" t="s">
        <v>243</v>
      </c>
      <c r="C17" s="25" t="s">
        <v>978</v>
      </c>
      <c r="D17" s="32" t="s">
        <v>1039</v>
      </c>
      <c r="E17" s="80">
        <v>-9999</v>
      </c>
      <c r="F17" s="80">
        <v>-9999</v>
      </c>
      <c r="G17" s="80">
        <v>-9999</v>
      </c>
      <c r="H17" s="32">
        <v>-9999</v>
      </c>
      <c r="I17" s="32">
        <v>-9999</v>
      </c>
      <c r="J17" s="32">
        <v>-9999</v>
      </c>
      <c r="K17" s="32">
        <v>-9999</v>
      </c>
      <c r="L17" s="32">
        <v>-9999</v>
      </c>
      <c r="M17" s="32">
        <v>-9999</v>
      </c>
      <c r="N17" s="32">
        <v>-9999</v>
      </c>
      <c r="O17" s="32">
        <v>-9999</v>
      </c>
      <c r="P17" s="32">
        <v>-9999</v>
      </c>
      <c r="Q17" s="32">
        <v>-9999</v>
      </c>
      <c r="R17" s="32">
        <v>-9999</v>
      </c>
      <c r="S17" s="32">
        <v>-9999</v>
      </c>
      <c r="T17" s="32">
        <v>-9999</v>
      </c>
      <c r="U17" s="32">
        <v>-9999</v>
      </c>
      <c r="V17" s="32">
        <v>-9999</v>
      </c>
      <c r="W17" s="32">
        <v>-9999</v>
      </c>
      <c r="X17" s="32">
        <v>-9999</v>
      </c>
      <c r="Y17" s="32">
        <v>-9999</v>
      </c>
      <c r="Z17" s="32">
        <v>-9999</v>
      </c>
      <c r="AA17" s="32">
        <v>-9999</v>
      </c>
      <c r="AB17" s="32">
        <v>-9999</v>
      </c>
      <c r="AC17" s="32">
        <v>-9999</v>
      </c>
    </row>
    <row r="18" spans="1:29" s="104" customFormat="1" x14ac:dyDescent="0.2">
      <c r="A18" s="25" t="s">
        <v>782</v>
      </c>
      <c r="B18" s="79" t="s">
        <v>243</v>
      </c>
      <c r="C18" s="25" t="s">
        <v>978</v>
      </c>
      <c r="D18" s="32" t="s">
        <v>1039</v>
      </c>
      <c r="E18" s="80">
        <v>-9999</v>
      </c>
      <c r="F18" s="80">
        <v>-9999</v>
      </c>
      <c r="G18" s="80">
        <v>-9999</v>
      </c>
      <c r="H18" s="32">
        <v>-9999</v>
      </c>
      <c r="I18" s="32">
        <v>-9999</v>
      </c>
      <c r="J18" s="32">
        <v>-9999</v>
      </c>
      <c r="K18" s="32">
        <v>-9999</v>
      </c>
      <c r="L18" s="32">
        <v>-9999</v>
      </c>
      <c r="M18" s="32">
        <v>-9999</v>
      </c>
      <c r="N18" s="32">
        <v>-9999</v>
      </c>
      <c r="O18" s="32">
        <v>-9999</v>
      </c>
      <c r="P18" s="32">
        <v>-9999</v>
      </c>
      <c r="Q18" s="32">
        <v>-9999</v>
      </c>
      <c r="R18" s="32">
        <v>-9999</v>
      </c>
      <c r="S18" s="32">
        <v>-9999</v>
      </c>
      <c r="T18" s="32">
        <v>-9999</v>
      </c>
      <c r="U18" s="32">
        <v>-9999</v>
      </c>
      <c r="V18" s="32">
        <v>-9999</v>
      </c>
      <c r="W18" s="32">
        <v>-9999</v>
      </c>
      <c r="X18" s="32">
        <v>-9999</v>
      </c>
      <c r="Y18" s="32">
        <v>-9999</v>
      </c>
      <c r="Z18" s="32">
        <v>-9999</v>
      </c>
      <c r="AA18" s="32">
        <v>-9999</v>
      </c>
      <c r="AB18" s="32">
        <v>-9999</v>
      </c>
      <c r="AC18" s="32">
        <v>-9999</v>
      </c>
    </row>
    <row r="19" spans="1:29" s="104" customFormat="1" x14ac:dyDescent="0.2">
      <c r="A19" s="79" t="s">
        <v>785</v>
      </c>
      <c r="B19" s="79" t="s">
        <v>243</v>
      </c>
      <c r="C19" s="25" t="s">
        <v>978</v>
      </c>
      <c r="D19" s="32" t="s">
        <v>1039</v>
      </c>
      <c r="E19" s="80">
        <v>-9999</v>
      </c>
      <c r="F19" s="80">
        <v>-9999</v>
      </c>
      <c r="G19" s="80">
        <v>-9999</v>
      </c>
      <c r="H19" s="32">
        <v>-9999</v>
      </c>
      <c r="I19" s="32">
        <v>-9999</v>
      </c>
      <c r="J19" s="79" t="s">
        <v>247</v>
      </c>
      <c r="K19" s="79" t="s">
        <v>238</v>
      </c>
      <c r="L19" s="32">
        <v>-9999</v>
      </c>
      <c r="M19" s="32">
        <v>-9999</v>
      </c>
      <c r="N19" s="32">
        <v>-9999</v>
      </c>
      <c r="O19" s="32">
        <v>-9999</v>
      </c>
      <c r="P19" s="32">
        <v>-9999</v>
      </c>
      <c r="Q19" s="32">
        <v>-9999</v>
      </c>
      <c r="R19" s="32">
        <v>-9999</v>
      </c>
      <c r="S19" s="32">
        <v>-9999</v>
      </c>
      <c r="T19" s="32">
        <v>-9999</v>
      </c>
      <c r="U19" s="32">
        <v>-9999</v>
      </c>
      <c r="V19" s="32">
        <v>-9999</v>
      </c>
      <c r="W19" s="32">
        <v>-9999</v>
      </c>
      <c r="X19" s="32">
        <v>-9999</v>
      </c>
      <c r="Y19" s="32">
        <v>-9999</v>
      </c>
      <c r="Z19" s="32">
        <v>-9999</v>
      </c>
      <c r="AA19" s="32">
        <v>-9999</v>
      </c>
      <c r="AB19" s="32">
        <v>-9999</v>
      </c>
      <c r="AC19" s="32">
        <v>-9999</v>
      </c>
    </row>
    <row r="20" spans="1:29" s="104" customFormat="1" x14ac:dyDescent="0.2">
      <c r="A20" s="79" t="s">
        <v>785</v>
      </c>
      <c r="B20" s="79" t="s">
        <v>243</v>
      </c>
      <c r="C20" s="25" t="s">
        <v>978</v>
      </c>
      <c r="D20" s="32" t="s">
        <v>1039</v>
      </c>
      <c r="E20" s="80">
        <v>-9999</v>
      </c>
      <c r="F20" s="80">
        <v>-9999</v>
      </c>
      <c r="G20" s="80">
        <v>-9999</v>
      </c>
      <c r="H20" s="32">
        <v>-9999</v>
      </c>
      <c r="I20" s="32">
        <v>-9999</v>
      </c>
      <c r="J20" s="79" t="s">
        <v>248</v>
      </c>
      <c r="K20" s="32">
        <v>-9999</v>
      </c>
      <c r="L20" s="32">
        <v>-9999</v>
      </c>
      <c r="M20" s="32">
        <v>-9999</v>
      </c>
      <c r="N20" s="32">
        <v>-9999</v>
      </c>
      <c r="O20" s="32">
        <v>-9999</v>
      </c>
      <c r="P20" s="32">
        <v>-9999</v>
      </c>
      <c r="Q20" s="32">
        <v>-9999</v>
      </c>
      <c r="R20" s="32">
        <v>-9999</v>
      </c>
      <c r="S20" s="32">
        <v>-9999</v>
      </c>
      <c r="T20" s="32">
        <v>-9999</v>
      </c>
      <c r="U20" s="32">
        <v>-9999</v>
      </c>
      <c r="V20" s="32">
        <v>-9999</v>
      </c>
      <c r="W20" s="32">
        <v>-9999</v>
      </c>
      <c r="X20" s="32">
        <v>-9999</v>
      </c>
      <c r="Y20" s="32">
        <v>-9999</v>
      </c>
      <c r="Z20" s="32">
        <v>-9999</v>
      </c>
      <c r="AA20" s="32">
        <v>-9999</v>
      </c>
      <c r="AB20" s="32">
        <v>-9999</v>
      </c>
      <c r="AC20" s="32">
        <v>-9999</v>
      </c>
    </row>
    <row r="21" spans="1:29" s="104" customFormat="1" x14ac:dyDescent="0.2">
      <c r="A21" s="79" t="s">
        <v>785</v>
      </c>
      <c r="B21" s="79" t="s">
        <v>243</v>
      </c>
      <c r="C21" s="25" t="s">
        <v>978</v>
      </c>
      <c r="D21" s="32" t="s">
        <v>1039</v>
      </c>
      <c r="E21" s="80">
        <v>-9999</v>
      </c>
      <c r="F21" s="80">
        <v>-9999</v>
      </c>
      <c r="G21" s="80">
        <v>-9999</v>
      </c>
      <c r="H21" s="32">
        <v>-9999</v>
      </c>
      <c r="I21" s="32">
        <v>-9999</v>
      </c>
      <c r="J21" s="79" t="s">
        <v>249</v>
      </c>
      <c r="K21" s="32">
        <v>-9999</v>
      </c>
      <c r="L21" s="32">
        <v>-9999</v>
      </c>
      <c r="M21" s="32">
        <v>-9999</v>
      </c>
      <c r="N21" s="32">
        <v>-9999</v>
      </c>
      <c r="O21" s="32">
        <v>-9999</v>
      </c>
      <c r="P21" s="32">
        <v>-9999</v>
      </c>
      <c r="Q21" s="32">
        <v>-9999</v>
      </c>
      <c r="R21" s="32">
        <v>-9999</v>
      </c>
      <c r="S21" s="32">
        <v>-9999</v>
      </c>
      <c r="T21" s="32">
        <v>-9999</v>
      </c>
      <c r="U21" s="32">
        <v>-9999</v>
      </c>
      <c r="V21" s="32">
        <v>-9999</v>
      </c>
      <c r="W21" s="32">
        <v>-9999</v>
      </c>
      <c r="X21" s="32">
        <v>-9999</v>
      </c>
      <c r="Y21" s="32">
        <v>-9999</v>
      </c>
      <c r="Z21" s="32">
        <v>-9999</v>
      </c>
      <c r="AA21" s="32">
        <v>-9999</v>
      </c>
      <c r="AB21" s="32">
        <v>-9999</v>
      </c>
      <c r="AC21" s="32">
        <v>-9999</v>
      </c>
    </row>
    <row r="22" spans="1:29" s="104" customFormat="1" ht="15.6" customHeight="1" x14ac:dyDescent="0.2">
      <c r="A22" s="304" t="s">
        <v>2090</v>
      </c>
      <c r="B22" s="79" t="s">
        <v>243</v>
      </c>
      <c r="C22" s="25" t="s">
        <v>978</v>
      </c>
      <c r="D22" s="79" t="s">
        <v>76</v>
      </c>
      <c r="E22" s="32">
        <v>-9999</v>
      </c>
      <c r="F22" s="32">
        <v>-9999</v>
      </c>
      <c r="G22" s="32">
        <v>-9999</v>
      </c>
      <c r="H22" s="32">
        <v>-9999</v>
      </c>
      <c r="I22" s="32" t="s">
        <v>1050</v>
      </c>
      <c r="J22" s="32" t="s">
        <v>1043</v>
      </c>
      <c r="K22" s="32">
        <v>-9999</v>
      </c>
      <c r="L22" s="32">
        <v>-9999</v>
      </c>
      <c r="M22" s="32">
        <v>-9999</v>
      </c>
      <c r="N22" s="32">
        <v>-9999</v>
      </c>
      <c r="O22" s="32">
        <v>-9999</v>
      </c>
      <c r="P22" s="32">
        <v>-9999</v>
      </c>
      <c r="Q22" s="32">
        <v>-9999</v>
      </c>
      <c r="R22" s="32">
        <v>-9999</v>
      </c>
      <c r="S22" s="32">
        <v>-9999</v>
      </c>
      <c r="T22" s="32">
        <v>-9999</v>
      </c>
      <c r="U22" s="32">
        <v>-9999</v>
      </c>
      <c r="V22" s="32">
        <v>-9999</v>
      </c>
      <c r="W22" s="32">
        <v>-9999</v>
      </c>
      <c r="X22" s="32">
        <v>-9999</v>
      </c>
      <c r="Y22" s="32">
        <v>-9999</v>
      </c>
      <c r="Z22" s="32">
        <v>-9999</v>
      </c>
      <c r="AA22" s="32">
        <v>-9999</v>
      </c>
      <c r="AB22" s="32">
        <v>-9999</v>
      </c>
      <c r="AC22" s="32">
        <v>-9999</v>
      </c>
    </row>
    <row r="23" spans="1:29" s="104" customFormat="1" ht="15.6" customHeight="1" x14ac:dyDescent="0.2">
      <c r="A23" s="304" t="s">
        <v>2090</v>
      </c>
      <c r="B23" s="79" t="s">
        <v>243</v>
      </c>
      <c r="C23" s="32" t="s">
        <v>1330</v>
      </c>
      <c r="D23" s="79" t="s">
        <v>80</v>
      </c>
      <c r="E23" s="32">
        <v>-9999</v>
      </c>
      <c r="F23" s="32">
        <v>-9999</v>
      </c>
      <c r="G23" s="32">
        <v>-9999</v>
      </c>
      <c r="H23" s="32">
        <v>-9999</v>
      </c>
      <c r="I23" s="32" t="s">
        <v>80</v>
      </c>
      <c r="J23" s="32" t="s">
        <v>1043</v>
      </c>
      <c r="K23" s="32">
        <v>-9999</v>
      </c>
      <c r="L23" s="32">
        <v>-9999</v>
      </c>
      <c r="M23" s="32">
        <v>-9999</v>
      </c>
      <c r="N23" s="32">
        <v>-9999</v>
      </c>
      <c r="O23" s="32">
        <v>-9999</v>
      </c>
      <c r="P23" s="32">
        <v>-9999</v>
      </c>
      <c r="Q23" s="32">
        <v>-9999</v>
      </c>
      <c r="R23" s="32">
        <v>-9999</v>
      </c>
      <c r="S23" s="32">
        <v>-9999</v>
      </c>
      <c r="T23" s="32">
        <v>-9999</v>
      </c>
      <c r="U23" s="32">
        <v>-9999</v>
      </c>
      <c r="V23" s="32">
        <v>-9999</v>
      </c>
      <c r="W23" s="32">
        <v>-9999</v>
      </c>
      <c r="X23" s="32">
        <v>-9999</v>
      </c>
      <c r="Y23" s="32">
        <v>-9999</v>
      </c>
      <c r="Z23" s="32">
        <v>-9999</v>
      </c>
      <c r="AA23" s="32">
        <v>-9999</v>
      </c>
      <c r="AB23" s="32">
        <v>-9999</v>
      </c>
      <c r="AC23" s="32">
        <v>-9999</v>
      </c>
    </row>
    <row r="24" spans="1:29" s="104" customFormat="1" ht="15.6" customHeight="1" x14ac:dyDescent="0.2">
      <c r="A24" s="304" t="s">
        <v>2090</v>
      </c>
      <c r="B24" s="79" t="s">
        <v>243</v>
      </c>
      <c r="C24" s="25" t="s">
        <v>1327</v>
      </c>
      <c r="D24" s="79" t="s">
        <v>78</v>
      </c>
      <c r="E24" s="32">
        <v>-9999</v>
      </c>
      <c r="F24" s="32">
        <v>-9999</v>
      </c>
      <c r="G24" s="32">
        <v>-9999</v>
      </c>
      <c r="H24" s="32">
        <v>-9999</v>
      </c>
      <c r="I24" s="32" t="s">
        <v>1048</v>
      </c>
      <c r="J24" s="32" t="s">
        <v>1042</v>
      </c>
      <c r="K24" s="32">
        <v>-9999</v>
      </c>
      <c r="L24" s="32">
        <v>-9999</v>
      </c>
      <c r="M24" s="32">
        <v>-9999</v>
      </c>
      <c r="N24" s="32">
        <v>-9999</v>
      </c>
      <c r="O24" s="32">
        <v>-9999</v>
      </c>
      <c r="P24" s="32">
        <v>-9999</v>
      </c>
      <c r="Q24" s="32">
        <v>-9999</v>
      </c>
      <c r="R24" s="32">
        <v>-9999</v>
      </c>
      <c r="S24" s="32">
        <v>-9999</v>
      </c>
      <c r="T24" s="32">
        <v>-9999</v>
      </c>
      <c r="U24" s="32">
        <v>-9999</v>
      </c>
      <c r="V24" s="32">
        <v>-9999</v>
      </c>
      <c r="W24" s="32">
        <v>-9999</v>
      </c>
      <c r="X24" s="32">
        <v>-9999</v>
      </c>
      <c r="Y24" s="32">
        <v>-9999</v>
      </c>
      <c r="Z24" s="32">
        <v>-9999</v>
      </c>
      <c r="AA24" s="32">
        <v>-9999</v>
      </c>
      <c r="AB24" s="32">
        <v>-9999</v>
      </c>
      <c r="AC24" s="32">
        <v>-9999</v>
      </c>
    </row>
    <row r="25" spans="1:29" s="104" customFormat="1" ht="15.6" customHeight="1" x14ac:dyDescent="0.2">
      <c r="A25" s="304" t="s">
        <v>2090</v>
      </c>
      <c r="B25" s="79" t="s">
        <v>243</v>
      </c>
      <c r="C25" s="25" t="s">
        <v>1327</v>
      </c>
      <c r="D25" s="79" t="s">
        <v>79</v>
      </c>
      <c r="E25" s="32">
        <v>-9999</v>
      </c>
      <c r="F25" s="32">
        <v>-9999</v>
      </c>
      <c r="G25" s="32">
        <v>-9999</v>
      </c>
      <c r="H25" s="32">
        <v>-9999</v>
      </c>
      <c r="I25" s="32" t="s">
        <v>79</v>
      </c>
      <c r="J25" s="32" t="s">
        <v>1040</v>
      </c>
      <c r="K25" s="32">
        <v>-9999</v>
      </c>
      <c r="L25" s="32">
        <v>-9999</v>
      </c>
      <c r="M25" s="32">
        <v>-9999</v>
      </c>
      <c r="N25" s="32">
        <v>-9999</v>
      </c>
      <c r="O25" s="32">
        <v>-9999</v>
      </c>
      <c r="P25" s="32">
        <v>-9999</v>
      </c>
      <c r="Q25" s="32">
        <v>-9999</v>
      </c>
      <c r="R25" s="32">
        <v>-9999</v>
      </c>
      <c r="S25" s="32">
        <v>-9999</v>
      </c>
      <c r="T25" s="32">
        <v>-9999</v>
      </c>
      <c r="U25" s="32">
        <v>-9999</v>
      </c>
      <c r="V25" s="32">
        <v>-9999</v>
      </c>
      <c r="W25" s="32">
        <v>-9999</v>
      </c>
      <c r="X25" s="32">
        <v>-9999</v>
      </c>
      <c r="Y25" s="32">
        <v>-9999</v>
      </c>
      <c r="Z25" s="32">
        <v>-9999</v>
      </c>
      <c r="AA25" s="32">
        <v>-9999</v>
      </c>
      <c r="AB25" s="32">
        <v>-9999</v>
      </c>
      <c r="AC25" s="32">
        <v>-9999</v>
      </c>
    </row>
    <row r="26" spans="1:29" s="104" customFormat="1" ht="15.6" customHeight="1" x14ac:dyDescent="0.2">
      <c r="A26" s="304" t="s">
        <v>2090</v>
      </c>
      <c r="B26" s="79" t="s">
        <v>243</v>
      </c>
      <c r="C26" s="25" t="s">
        <v>978</v>
      </c>
      <c r="D26" s="79" t="s">
        <v>77</v>
      </c>
      <c r="E26" s="32">
        <v>-9999</v>
      </c>
      <c r="F26" s="32">
        <v>-9999</v>
      </c>
      <c r="G26" s="32">
        <v>-9999</v>
      </c>
      <c r="H26" s="32">
        <v>-9999</v>
      </c>
      <c r="I26" s="32" t="s">
        <v>1051</v>
      </c>
      <c r="J26" s="32" t="s">
        <v>1040</v>
      </c>
      <c r="K26" s="32">
        <v>-9999</v>
      </c>
      <c r="L26" s="32">
        <v>-9999</v>
      </c>
      <c r="M26" s="32">
        <v>-9999</v>
      </c>
      <c r="N26" s="32">
        <v>-9999</v>
      </c>
      <c r="O26" s="32">
        <v>-9999</v>
      </c>
      <c r="P26" s="32">
        <v>-9999</v>
      </c>
      <c r="Q26" s="32">
        <v>-9999</v>
      </c>
      <c r="R26" s="32">
        <v>-9999</v>
      </c>
      <c r="S26" s="32">
        <v>-9999</v>
      </c>
      <c r="T26" s="32">
        <v>-9999</v>
      </c>
      <c r="U26" s="32">
        <v>-9999</v>
      </c>
      <c r="V26" s="32">
        <v>-9999</v>
      </c>
      <c r="W26" s="32">
        <v>-9999</v>
      </c>
      <c r="X26" s="32">
        <v>-9999</v>
      </c>
      <c r="Y26" s="32">
        <v>-9999</v>
      </c>
      <c r="Z26" s="32">
        <v>-9999</v>
      </c>
      <c r="AA26" s="32">
        <v>-9999</v>
      </c>
      <c r="AB26" s="32">
        <v>-9999</v>
      </c>
      <c r="AC26" s="32">
        <v>-9999</v>
      </c>
    </row>
    <row r="27" spans="1:29" s="104" customFormat="1" ht="15.6" customHeight="1" x14ac:dyDescent="0.2">
      <c r="A27" s="304" t="s">
        <v>2090</v>
      </c>
      <c r="B27" s="79" t="s">
        <v>243</v>
      </c>
      <c r="C27" s="32" t="s">
        <v>1403</v>
      </c>
      <c r="D27" s="79" t="s">
        <v>81</v>
      </c>
      <c r="E27" s="32">
        <v>-9999</v>
      </c>
      <c r="F27" s="32">
        <v>-9999</v>
      </c>
      <c r="G27" s="32">
        <v>-9999</v>
      </c>
      <c r="H27" s="32">
        <v>-9999</v>
      </c>
      <c r="I27" s="32" t="s">
        <v>1052</v>
      </c>
      <c r="J27" s="32" t="s">
        <v>1041</v>
      </c>
      <c r="K27" s="32">
        <v>-9999</v>
      </c>
      <c r="L27" s="32">
        <v>-9999</v>
      </c>
      <c r="M27" s="32">
        <v>-9999</v>
      </c>
      <c r="N27" s="32">
        <v>-9999</v>
      </c>
      <c r="O27" s="32">
        <v>-9999</v>
      </c>
      <c r="P27" s="32">
        <v>-9999</v>
      </c>
      <c r="Q27" s="32">
        <v>-9999</v>
      </c>
      <c r="R27" s="32">
        <v>-9999</v>
      </c>
      <c r="S27" s="32">
        <v>-9999</v>
      </c>
      <c r="T27" s="32">
        <v>-9999</v>
      </c>
      <c r="U27" s="32">
        <v>-9999</v>
      </c>
      <c r="V27" s="32">
        <v>-9999</v>
      </c>
      <c r="W27" s="32">
        <v>-9999</v>
      </c>
      <c r="X27" s="32">
        <v>-9999</v>
      </c>
      <c r="Y27" s="32">
        <v>-9999</v>
      </c>
      <c r="Z27" s="32">
        <v>-9999</v>
      </c>
      <c r="AA27" s="32">
        <v>-9999</v>
      </c>
      <c r="AB27" s="32">
        <v>-9999</v>
      </c>
      <c r="AC27" s="32">
        <v>-9999</v>
      </c>
    </row>
    <row r="28" spans="1:29" s="104" customFormat="1" ht="15.6" customHeight="1" x14ac:dyDescent="0.2">
      <c r="A28" s="304" t="s">
        <v>2090</v>
      </c>
      <c r="B28" s="32" t="s">
        <v>243</v>
      </c>
      <c r="C28" s="25" t="s">
        <v>1327</v>
      </c>
      <c r="D28" s="32" t="s">
        <v>1044</v>
      </c>
      <c r="E28" s="32">
        <v>-9999</v>
      </c>
      <c r="F28" s="32">
        <v>-9999</v>
      </c>
      <c r="G28" s="32">
        <v>-9999</v>
      </c>
      <c r="H28" s="32">
        <v>-9999</v>
      </c>
      <c r="I28" s="32" t="s">
        <v>1049</v>
      </c>
      <c r="J28" s="32" t="s">
        <v>1042</v>
      </c>
      <c r="K28" s="32">
        <v>-9999</v>
      </c>
      <c r="L28" s="32">
        <v>-9999</v>
      </c>
      <c r="M28" s="32">
        <v>-9999</v>
      </c>
      <c r="N28" s="32">
        <v>-9999</v>
      </c>
      <c r="O28" s="32">
        <v>-9999</v>
      </c>
      <c r="P28" s="32">
        <v>-9999</v>
      </c>
      <c r="Q28" s="32">
        <v>-9999</v>
      </c>
      <c r="R28" s="32">
        <v>-9999</v>
      </c>
      <c r="S28" s="32">
        <v>-9999</v>
      </c>
      <c r="T28" s="32">
        <v>-9999</v>
      </c>
      <c r="U28" s="32">
        <v>-9999</v>
      </c>
      <c r="V28" s="32">
        <v>-9999</v>
      </c>
      <c r="W28" s="32">
        <v>-9999</v>
      </c>
      <c r="X28" s="32">
        <v>-9999</v>
      </c>
      <c r="Y28" s="32">
        <v>-9999</v>
      </c>
      <c r="Z28" s="32">
        <v>-9999</v>
      </c>
      <c r="AA28" s="32">
        <v>-9999</v>
      </c>
      <c r="AB28" s="32">
        <v>-9999</v>
      </c>
      <c r="AC28" s="32">
        <v>-9999</v>
      </c>
    </row>
    <row r="29" spans="1:29" s="104" customFormat="1" ht="15.6" customHeight="1" x14ac:dyDescent="0.2">
      <c r="A29" s="304" t="s">
        <v>2090</v>
      </c>
      <c r="B29" s="32" t="s">
        <v>243</v>
      </c>
      <c r="C29" s="25" t="s">
        <v>1327</v>
      </c>
      <c r="D29" s="32" t="s">
        <v>1045</v>
      </c>
      <c r="E29" s="32">
        <v>-9999</v>
      </c>
      <c r="F29" s="32">
        <v>-9999</v>
      </c>
      <c r="G29" s="32">
        <v>-9999</v>
      </c>
      <c r="H29" s="32">
        <v>-9999</v>
      </c>
      <c r="I29" s="32" t="s">
        <v>1047</v>
      </c>
      <c r="J29" s="32" t="s">
        <v>1046</v>
      </c>
      <c r="K29" s="32">
        <v>-9999</v>
      </c>
      <c r="L29" s="32">
        <v>-9999</v>
      </c>
      <c r="M29" s="32">
        <v>-9999</v>
      </c>
      <c r="N29" s="32">
        <v>-9999</v>
      </c>
      <c r="O29" s="32">
        <v>-9999</v>
      </c>
      <c r="P29" s="32">
        <v>-9999</v>
      </c>
      <c r="Q29" s="32">
        <v>-9999</v>
      </c>
      <c r="R29" s="32">
        <v>-9999</v>
      </c>
      <c r="S29" s="32">
        <v>-9999</v>
      </c>
      <c r="T29" s="32">
        <v>-9999</v>
      </c>
      <c r="U29" s="32">
        <v>-9999</v>
      </c>
      <c r="V29" s="32">
        <v>-9999</v>
      </c>
      <c r="W29" s="32">
        <v>-9999</v>
      </c>
      <c r="X29" s="32">
        <v>-9999</v>
      </c>
      <c r="Y29" s="32">
        <v>-9999</v>
      </c>
      <c r="Z29" s="32">
        <v>-9999</v>
      </c>
      <c r="AA29" s="32">
        <v>-9999</v>
      </c>
      <c r="AB29" s="32">
        <v>-9999</v>
      </c>
      <c r="AC29" s="32">
        <v>-9999</v>
      </c>
    </row>
    <row r="30" spans="1:29" s="104" customFormat="1" x14ac:dyDescent="0.2">
      <c r="A30" s="80" t="s">
        <v>1387</v>
      </c>
      <c r="B30" s="80" t="s">
        <v>243</v>
      </c>
      <c r="C30" s="25" t="s">
        <v>1327</v>
      </c>
      <c r="D30" s="80" t="s">
        <v>250</v>
      </c>
      <c r="E30" s="32">
        <v>-9999</v>
      </c>
      <c r="F30" s="32">
        <v>-9999</v>
      </c>
      <c r="G30" s="32" t="s">
        <v>1398</v>
      </c>
      <c r="H30" s="32">
        <v>-9999</v>
      </c>
      <c r="I30" s="32" t="s">
        <v>1380</v>
      </c>
      <c r="J30" s="32" t="s">
        <v>1383</v>
      </c>
      <c r="K30" s="32">
        <v>-9999</v>
      </c>
      <c r="L30" s="32">
        <v>-9999</v>
      </c>
      <c r="M30" s="32">
        <v>-9999</v>
      </c>
      <c r="N30" s="32">
        <v>-9999</v>
      </c>
      <c r="O30" s="32">
        <v>-9999</v>
      </c>
      <c r="P30" s="32">
        <v>-9999</v>
      </c>
      <c r="Q30" s="32">
        <v>-9999</v>
      </c>
      <c r="R30" s="32">
        <v>-9999</v>
      </c>
      <c r="S30" s="32">
        <v>-9999</v>
      </c>
      <c r="T30" s="32">
        <v>-9999</v>
      </c>
      <c r="U30" s="32">
        <v>-9999</v>
      </c>
      <c r="V30" s="32">
        <v>-9999</v>
      </c>
      <c r="W30" s="32">
        <v>-9999</v>
      </c>
      <c r="X30" s="32">
        <v>-9999</v>
      </c>
      <c r="Y30" s="32">
        <v>-9999</v>
      </c>
      <c r="Z30" s="32">
        <v>-9999</v>
      </c>
      <c r="AA30" s="32">
        <v>-9999</v>
      </c>
      <c r="AB30" s="32">
        <v>-9999</v>
      </c>
      <c r="AC30" s="304" t="s">
        <v>2127</v>
      </c>
    </row>
    <row r="31" spans="1:29" s="104" customFormat="1" x14ac:dyDescent="0.2">
      <c r="A31" s="80" t="s">
        <v>1387</v>
      </c>
      <c r="B31" s="80" t="s">
        <v>243</v>
      </c>
      <c r="C31" s="25" t="s">
        <v>1329</v>
      </c>
      <c r="D31" s="80" t="s">
        <v>251</v>
      </c>
      <c r="E31" s="32">
        <v>-9999</v>
      </c>
      <c r="F31" s="32">
        <v>-9999</v>
      </c>
      <c r="G31" s="32" t="s">
        <v>1398</v>
      </c>
      <c r="H31" s="32">
        <v>-9999</v>
      </c>
      <c r="I31" s="32" t="s">
        <v>1386</v>
      </c>
      <c r="J31" s="32" t="s">
        <v>1385</v>
      </c>
      <c r="K31" s="32">
        <v>-9999</v>
      </c>
      <c r="L31" s="32">
        <v>-9999</v>
      </c>
      <c r="M31" s="32">
        <v>-9999</v>
      </c>
      <c r="N31" s="32">
        <v>-9999</v>
      </c>
      <c r="O31" s="32">
        <v>-9999</v>
      </c>
      <c r="P31" s="32">
        <v>-9999</v>
      </c>
      <c r="Q31" s="32">
        <v>-9999</v>
      </c>
      <c r="R31" s="32">
        <v>-9999</v>
      </c>
      <c r="S31" s="32">
        <v>-9999</v>
      </c>
      <c r="T31" s="32">
        <v>-9999</v>
      </c>
      <c r="U31" s="32">
        <v>-9999</v>
      </c>
      <c r="V31" s="32">
        <v>-9999</v>
      </c>
      <c r="W31" s="32">
        <v>-9999</v>
      </c>
      <c r="X31" s="32">
        <v>-9999</v>
      </c>
      <c r="Y31" s="32">
        <v>-9999</v>
      </c>
      <c r="Z31" s="32">
        <v>-9999</v>
      </c>
      <c r="AA31" s="32">
        <v>-9999</v>
      </c>
      <c r="AB31" s="32">
        <v>-9999</v>
      </c>
      <c r="AC31" s="304" t="s">
        <v>2127</v>
      </c>
    </row>
    <row r="32" spans="1:29" s="104" customFormat="1" x14ac:dyDescent="0.2">
      <c r="A32" s="80" t="s">
        <v>1387</v>
      </c>
      <c r="B32" s="80" t="s">
        <v>243</v>
      </c>
      <c r="C32" s="25" t="s">
        <v>978</v>
      </c>
      <c r="D32" s="80" t="s">
        <v>252</v>
      </c>
      <c r="E32" s="32">
        <v>-9999</v>
      </c>
      <c r="F32" s="32">
        <v>-9999</v>
      </c>
      <c r="G32" s="32" t="s">
        <v>1398</v>
      </c>
      <c r="H32" s="32">
        <v>-9999</v>
      </c>
      <c r="I32" s="32" t="s">
        <v>1382</v>
      </c>
      <c r="J32" s="32" t="s">
        <v>1385</v>
      </c>
      <c r="K32" s="32">
        <v>-9999</v>
      </c>
      <c r="L32" s="32">
        <v>-9999</v>
      </c>
      <c r="M32" s="32">
        <v>-9999</v>
      </c>
      <c r="N32" s="32">
        <v>-9999</v>
      </c>
      <c r="O32" s="32">
        <v>-9999</v>
      </c>
      <c r="P32" s="32">
        <v>-9999</v>
      </c>
      <c r="Q32" s="32">
        <v>-9999</v>
      </c>
      <c r="R32" s="32">
        <v>-9999</v>
      </c>
      <c r="S32" s="32">
        <v>-9999</v>
      </c>
      <c r="T32" s="32">
        <v>-9999</v>
      </c>
      <c r="U32" s="32">
        <v>-9999</v>
      </c>
      <c r="V32" s="32">
        <v>-9999</v>
      </c>
      <c r="W32" s="32">
        <v>-9999</v>
      </c>
      <c r="X32" s="32">
        <v>-9999</v>
      </c>
      <c r="Y32" s="32">
        <v>-9999</v>
      </c>
      <c r="Z32" s="32">
        <v>-9999</v>
      </c>
      <c r="AA32" s="32">
        <v>-9999</v>
      </c>
      <c r="AB32" s="32">
        <v>-9999</v>
      </c>
      <c r="AC32" s="304" t="s">
        <v>2127</v>
      </c>
    </row>
    <row r="33" spans="1:29" s="104" customFormat="1" x14ac:dyDescent="0.2">
      <c r="A33" s="80" t="s">
        <v>1375</v>
      </c>
      <c r="B33" s="80" t="s">
        <v>243</v>
      </c>
      <c r="C33" s="25" t="s">
        <v>1327</v>
      </c>
      <c r="D33" s="80" t="s">
        <v>250</v>
      </c>
      <c r="E33" s="32">
        <v>-9999</v>
      </c>
      <c r="F33" s="32">
        <v>-9999</v>
      </c>
      <c r="G33" s="32" t="s">
        <v>1398</v>
      </c>
      <c r="H33" s="32">
        <v>-9999</v>
      </c>
      <c r="I33" s="32" t="s">
        <v>1380</v>
      </c>
      <c r="J33" s="32" t="s">
        <v>1383</v>
      </c>
      <c r="K33" s="32">
        <v>-9999</v>
      </c>
      <c r="L33" s="32">
        <v>-9999</v>
      </c>
      <c r="M33" s="32">
        <v>-9999</v>
      </c>
      <c r="N33" s="32">
        <v>-9999</v>
      </c>
      <c r="O33" s="32">
        <v>-9999</v>
      </c>
      <c r="P33" s="32">
        <v>-9999</v>
      </c>
      <c r="Q33" s="32">
        <v>-9999</v>
      </c>
      <c r="R33" s="32">
        <v>-9999</v>
      </c>
      <c r="S33" s="32">
        <v>-9999</v>
      </c>
      <c r="T33" s="32">
        <v>-9999</v>
      </c>
      <c r="U33" s="32">
        <v>-9999</v>
      </c>
      <c r="V33" s="32">
        <v>-9999</v>
      </c>
      <c r="W33" s="32">
        <v>-9999</v>
      </c>
      <c r="X33" s="32">
        <v>-9999</v>
      </c>
      <c r="Y33" s="32">
        <v>-9999</v>
      </c>
      <c r="Z33" s="32">
        <v>-9999</v>
      </c>
      <c r="AA33" s="32">
        <v>-9999</v>
      </c>
      <c r="AB33" s="32">
        <v>-9999</v>
      </c>
      <c r="AC33" s="304" t="s">
        <v>2127</v>
      </c>
    </row>
    <row r="34" spans="1:29" s="104" customFormat="1" x14ac:dyDescent="0.2">
      <c r="A34" s="80" t="s">
        <v>1375</v>
      </c>
      <c r="B34" s="25" t="s">
        <v>243</v>
      </c>
      <c r="C34" s="25" t="s">
        <v>1327</v>
      </c>
      <c r="D34" s="80" t="s">
        <v>1376</v>
      </c>
      <c r="E34" s="32">
        <v>-9999</v>
      </c>
      <c r="F34" s="32">
        <v>-9999</v>
      </c>
      <c r="G34" s="32" t="s">
        <v>1398</v>
      </c>
      <c r="H34" s="32">
        <v>-9999</v>
      </c>
      <c r="I34" s="32" t="s">
        <v>1381</v>
      </c>
      <c r="J34" s="32" t="s">
        <v>1384</v>
      </c>
      <c r="K34" s="32">
        <v>-9999</v>
      </c>
      <c r="L34" s="32">
        <v>-9999</v>
      </c>
      <c r="M34" s="32">
        <v>-9999</v>
      </c>
      <c r="N34" s="32">
        <v>-9999</v>
      </c>
      <c r="O34" s="32">
        <v>-9999</v>
      </c>
      <c r="P34" s="32">
        <v>-9999</v>
      </c>
      <c r="Q34" s="32">
        <v>-9999</v>
      </c>
      <c r="R34" s="32">
        <v>-9999</v>
      </c>
      <c r="S34" s="32">
        <v>-9999</v>
      </c>
      <c r="T34" s="32">
        <v>-9999</v>
      </c>
      <c r="U34" s="32">
        <v>-9999</v>
      </c>
      <c r="V34" s="32">
        <v>-9999</v>
      </c>
      <c r="W34" s="32">
        <v>-9999</v>
      </c>
      <c r="X34" s="32">
        <v>-9999</v>
      </c>
      <c r="Y34" s="32">
        <v>-9999</v>
      </c>
      <c r="Z34" s="32">
        <v>-9999</v>
      </c>
      <c r="AA34" s="32">
        <v>-9999</v>
      </c>
      <c r="AB34" s="32">
        <v>-9999</v>
      </c>
      <c r="AC34" s="32">
        <v>-9999</v>
      </c>
    </row>
    <row r="35" spans="1:29" s="104" customFormat="1" x14ac:dyDescent="0.2">
      <c r="A35" s="18" t="s">
        <v>1430</v>
      </c>
      <c r="B35" s="65"/>
      <c r="C35" s="65"/>
      <c r="D35" s="65"/>
      <c r="E35" s="71"/>
      <c r="F35" s="65"/>
      <c r="G35" s="65"/>
      <c r="H35" s="65"/>
      <c r="I35" s="65"/>
      <c r="J35" s="71"/>
      <c r="K35" s="65"/>
      <c r="L35" s="65"/>
      <c r="M35" s="65"/>
      <c r="N35" s="65"/>
      <c r="O35" s="65"/>
      <c r="P35" s="65"/>
      <c r="Q35" s="65"/>
      <c r="R35" s="65"/>
      <c r="S35" s="65"/>
      <c r="T35" s="65"/>
      <c r="U35" s="65"/>
      <c r="V35" s="65"/>
      <c r="W35" s="65"/>
      <c r="X35" s="65"/>
      <c r="Y35" s="65"/>
      <c r="Z35" s="65"/>
      <c r="AA35" s="65"/>
      <c r="AB35" s="65"/>
      <c r="AC35" s="65"/>
    </row>
    <row r="36" spans="1:29" s="104" customFormat="1" x14ac:dyDescent="0.2">
      <c r="A36" s="88" t="s">
        <v>819</v>
      </c>
      <c r="B36" s="88" t="s">
        <v>259</v>
      </c>
      <c r="C36" s="89" t="s">
        <v>530</v>
      </c>
      <c r="D36" s="88" t="s">
        <v>820</v>
      </c>
      <c r="E36" s="88">
        <v>-9999</v>
      </c>
      <c r="F36" s="88" t="s">
        <v>232</v>
      </c>
      <c r="G36" s="89" t="s">
        <v>1113</v>
      </c>
      <c r="H36" s="88" t="s">
        <v>1109</v>
      </c>
      <c r="I36" s="89" t="s">
        <v>260</v>
      </c>
      <c r="J36" s="88" t="s">
        <v>261</v>
      </c>
      <c r="K36" s="89" t="s">
        <v>1108</v>
      </c>
      <c r="L36" s="89" t="s">
        <v>1181</v>
      </c>
      <c r="M36" s="88">
        <v>5.6</v>
      </c>
      <c r="N36" s="88">
        <v>-9999</v>
      </c>
      <c r="O36" s="88">
        <v>-9999</v>
      </c>
      <c r="P36" s="88">
        <v>-9999</v>
      </c>
      <c r="Q36" s="88">
        <v>-9999</v>
      </c>
      <c r="R36" s="88">
        <v>-9999</v>
      </c>
      <c r="S36" s="88">
        <v>-9999</v>
      </c>
      <c r="T36" s="88">
        <v>-9999</v>
      </c>
      <c r="U36" s="88">
        <v>-9999</v>
      </c>
      <c r="V36" s="88">
        <v>-9999</v>
      </c>
      <c r="W36" s="88">
        <v>-9999</v>
      </c>
      <c r="X36" s="88">
        <v>-9999</v>
      </c>
      <c r="Y36" s="88">
        <v>-9999</v>
      </c>
      <c r="Z36" s="88">
        <v>-9999</v>
      </c>
      <c r="AA36" s="88">
        <v>-9999</v>
      </c>
      <c r="AB36" s="88">
        <v>-9999</v>
      </c>
      <c r="AC36" s="88">
        <v>-9999</v>
      </c>
    </row>
    <row r="37" spans="1:29" s="104" customFormat="1" x14ac:dyDescent="0.2">
      <c r="A37" s="88" t="s">
        <v>832</v>
      </c>
      <c r="B37" s="88" t="s">
        <v>259</v>
      </c>
      <c r="C37" s="89" t="s">
        <v>530</v>
      </c>
      <c r="D37" s="88" t="s">
        <v>820</v>
      </c>
      <c r="E37" s="88">
        <v>-9999</v>
      </c>
      <c r="F37" s="88" t="s">
        <v>232</v>
      </c>
      <c r="G37" s="89" t="s">
        <v>1113</v>
      </c>
      <c r="H37" s="88" t="s">
        <v>1109</v>
      </c>
      <c r="I37" s="89" t="s">
        <v>260</v>
      </c>
      <c r="J37" s="88" t="s">
        <v>261</v>
      </c>
      <c r="K37" s="89" t="s">
        <v>1108</v>
      </c>
      <c r="L37" s="89" t="s">
        <v>1181</v>
      </c>
      <c r="M37" s="88">
        <v>5.6</v>
      </c>
      <c r="N37" s="88">
        <v>-9999</v>
      </c>
      <c r="O37" s="88">
        <v>-9999</v>
      </c>
      <c r="P37" s="88">
        <v>-9999</v>
      </c>
      <c r="Q37" s="88">
        <v>-9999</v>
      </c>
      <c r="R37" s="88">
        <v>-9999</v>
      </c>
      <c r="S37" s="88">
        <v>-9999</v>
      </c>
      <c r="T37" s="88">
        <v>-9999</v>
      </c>
      <c r="U37" s="88">
        <v>-9999</v>
      </c>
      <c r="V37" s="88">
        <v>-9999</v>
      </c>
      <c r="W37" s="88">
        <v>-9999</v>
      </c>
      <c r="X37" s="88">
        <v>-9999</v>
      </c>
      <c r="Y37" s="88">
        <v>-9999</v>
      </c>
      <c r="Z37" s="88">
        <v>-9999</v>
      </c>
      <c r="AA37" s="88">
        <v>-9999</v>
      </c>
      <c r="AB37" s="88">
        <v>-9999</v>
      </c>
      <c r="AC37" s="88">
        <v>-9999</v>
      </c>
    </row>
    <row r="38" spans="1:29" s="104" customFormat="1" x14ac:dyDescent="0.2">
      <c r="A38" s="89" t="s">
        <v>1145</v>
      </c>
      <c r="B38" s="88" t="s">
        <v>259</v>
      </c>
      <c r="C38" s="89" t="s">
        <v>530</v>
      </c>
      <c r="D38" s="88" t="s">
        <v>170</v>
      </c>
      <c r="E38" s="88">
        <v>-9999</v>
      </c>
      <c r="F38" s="88" t="s">
        <v>232</v>
      </c>
      <c r="G38" s="88">
        <v>-9999</v>
      </c>
      <c r="H38" s="88">
        <v>-9999</v>
      </c>
      <c r="I38" s="88" t="s">
        <v>264</v>
      </c>
      <c r="J38" s="89" t="s">
        <v>1179</v>
      </c>
      <c r="K38" s="123" t="s">
        <v>1108</v>
      </c>
      <c r="L38" s="88">
        <v>-9999</v>
      </c>
      <c r="M38" s="88">
        <v>5.9</v>
      </c>
      <c r="N38" s="88">
        <v>-9999</v>
      </c>
      <c r="O38" s="88">
        <v>-9999</v>
      </c>
      <c r="P38" s="88">
        <v>-9999</v>
      </c>
      <c r="Q38" s="88">
        <v>-9999</v>
      </c>
      <c r="R38" s="88">
        <v>-9999</v>
      </c>
      <c r="S38" s="88">
        <v>-9999</v>
      </c>
      <c r="T38" s="124">
        <v>3.5000000000000003E-2</v>
      </c>
      <c r="U38" s="88">
        <v>-9999</v>
      </c>
      <c r="V38" s="88">
        <v>-9999</v>
      </c>
      <c r="W38" s="88">
        <v>-9999</v>
      </c>
      <c r="X38" s="88">
        <v>-9999</v>
      </c>
      <c r="Y38" s="88">
        <v>-9999</v>
      </c>
      <c r="Z38" s="88">
        <v>-9999</v>
      </c>
      <c r="AA38" s="88">
        <v>-9999</v>
      </c>
      <c r="AB38" s="89" t="s">
        <v>1149</v>
      </c>
      <c r="AC38" s="88">
        <v>-9999</v>
      </c>
    </row>
    <row r="39" spans="1:29" s="104" customFormat="1" x14ac:dyDescent="0.2">
      <c r="A39" s="88" t="s">
        <v>263</v>
      </c>
      <c r="B39" s="88" t="s">
        <v>259</v>
      </c>
      <c r="C39" s="89" t="s">
        <v>530</v>
      </c>
      <c r="D39" s="88" t="s">
        <v>171</v>
      </c>
      <c r="E39" s="88">
        <v>-9999</v>
      </c>
      <c r="F39" s="88" t="s">
        <v>232</v>
      </c>
      <c r="G39" s="88">
        <v>-9999</v>
      </c>
      <c r="H39" s="89" t="s">
        <v>1181</v>
      </c>
      <c r="I39" s="88" t="s">
        <v>1180</v>
      </c>
      <c r="J39" s="89" t="s">
        <v>258</v>
      </c>
      <c r="K39" s="88">
        <v>-9999</v>
      </c>
      <c r="L39" s="88">
        <v>-9999</v>
      </c>
      <c r="M39" s="88">
        <v>5.8</v>
      </c>
      <c r="N39" s="88">
        <v>-9999</v>
      </c>
      <c r="O39" s="88">
        <v>-9999</v>
      </c>
      <c r="P39" s="88">
        <v>-9999</v>
      </c>
      <c r="Q39" s="88">
        <v>-9999</v>
      </c>
      <c r="R39" s="88">
        <v>-9999</v>
      </c>
      <c r="S39" s="88">
        <v>-9999</v>
      </c>
      <c r="T39" s="124">
        <v>2.9000000000000001E-2</v>
      </c>
      <c r="U39" s="88">
        <v>-9999</v>
      </c>
      <c r="V39" s="88">
        <v>-9999</v>
      </c>
      <c r="W39" s="88">
        <v>-9999</v>
      </c>
      <c r="X39" s="88">
        <v>-9999</v>
      </c>
      <c r="Y39" s="88">
        <v>-9999</v>
      </c>
      <c r="Z39" s="88">
        <v>-9999</v>
      </c>
      <c r="AA39" s="88">
        <v>-9999</v>
      </c>
      <c r="AB39" s="88">
        <v>-9999</v>
      </c>
      <c r="AC39" s="88">
        <v>-9999</v>
      </c>
    </row>
    <row r="40" spans="1:29" s="104" customFormat="1" x14ac:dyDescent="0.2">
      <c r="A40" s="88" t="s">
        <v>1105</v>
      </c>
      <c r="B40" s="88" t="s">
        <v>259</v>
      </c>
      <c r="C40" s="89" t="s">
        <v>530</v>
      </c>
      <c r="D40" s="88" t="s">
        <v>264</v>
      </c>
      <c r="E40" s="88">
        <v>-9999</v>
      </c>
      <c r="F40" s="88" t="s">
        <v>232</v>
      </c>
      <c r="G40" s="89" t="s">
        <v>1178</v>
      </c>
      <c r="H40" s="89" t="s">
        <v>1106</v>
      </c>
      <c r="I40" s="88" t="s">
        <v>1180</v>
      </c>
      <c r="J40" s="89" t="s">
        <v>258</v>
      </c>
      <c r="K40" s="89" t="s">
        <v>1177</v>
      </c>
      <c r="L40" s="88">
        <v>-9999</v>
      </c>
      <c r="M40" s="88">
        <v>6</v>
      </c>
      <c r="N40" s="88">
        <v>-9999</v>
      </c>
      <c r="O40" s="88">
        <v>-9999</v>
      </c>
      <c r="P40" s="88">
        <v>-9999</v>
      </c>
      <c r="Q40" s="88">
        <v>-9999</v>
      </c>
      <c r="R40" s="88">
        <v>-9999</v>
      </c>
      <c r="S40" s="88">
        <v>-9999</v>
      </c>
      <c r="T40" s="89" t="s">
        <v>1193</v>
      </c>
      <c r="U40" s="88">
        <v>-9999</v>
      </c>
      <c r="V40" s="88">
        <v>-9999</v>
      </c>
      <c r="W40" s="88">
        <v>-9999</v>
      </c>
      <c r="X40" s="88">
        <v>-9999</v>
      </c>
      <c r="Y40" s="88">
        <v>-9999</v>
      </c>
      <c r="Z40" s="88">
        <v>-9999</v>
      </c>
      <c r="AA40" s="88">
        <v>-9999</v>
      </c>
      <c r="AB40" s="88">
        <v>-9999</v>
      </c>
      <c r="AC40" s="89" t="s">
        <v>1194</v>
      </c>
    </row>
    <row r="41" spans="1:29" s="104" customFormat="1" x14ac:dyDescent="0.2">
      <c r="A41" s="88" t="s">
        <v>1104</v>
      </c>
      <c r="B41" s="88" t="s">
        <v>259</v>
      </c>
      <c r="C41" s="89" t="s">
        <v>530</v>
      </c>
      <c r="D41" s="88" t="s">
        <v>264</v>
      </c>
      <c r="E41" s="88">
        <v>-9999</v>
      </c>
      <c r="F41" s="88" t="s">
        <v>232</v>
      </c>
      <c r="G41" s="89" t="s">
        <v>1178</v>
      </c>
      <c r="H41" s="89" t="s">
        <v>1106</v>
      </c>
      <c r="I41" s="88" t="s">
        <v>1180</v>
      </c>
      <c r="J41" s="89" t="s">
        <v>258</v>
      </c>
      <c r="K41" s="89" t="s">
        <v>1177</v>
      </c>
      <c r="L41" s="88">
        <v>-9999</v>
      </c>
      <c r="M41" s="88">
        <v>6</v>
      </c>
      <c r="N41" s="88">
        <v>-9999</v>
      </c>
      <c r="O41" s="88">
        <v>-9999</v>
      </c>
      <c r="P41" s="88">
        <v>-9999</v>
      </c>
      <c r="Q41" s="88">
        <v>-9999</v>
      </c>
      <c r="R41" s="88">
        <v>-9999</v>
      </c>
      <c r="S41" s="88">
        <v>-9999</v>
      </c>
      <c r="T41" s="89" t="s">
        <v>1193</v>
      </c>
      <c r="U41" s="88">
        <v>-9999</v>
      </c>
      <c r="V41" s="88">
        <v>-9999</v>
      </c>
      <c r="W41" s="88">
        <v>-9999</v>
      </c>
      <c r="X41" s="88">
        <v>-9999</v>
      </c>
      <c r="Y41" s="88">
        <v>-9999</v>
      </c>
      <c r="Z41" s="88">
        <v>-9999</v>
      </c>
      <c r="AA41" s="88">
        <v>-9999</v>
      </c>
      <c r="AB41" s="88">
        <v>-9999</v>
      </c>
      <c r="AC41" s="89" t="s">
        <v>1194</v>
      </c>
    </row>
    <row r="42" spans="1:29" s="104" customFormat="1" x14ac:dyDescent="0.2">
      <c r="A42" s="88" t="s">
        <v>846</v>
      </c>
      <c r="B42" s="88" t="s">
        <v>259</v>
      </c>
      <c r="C42" s="89" t="s">
        <v>530</v>
      </c>
      <c r="D42" s="88" t="s">
        <v>264</v>
      </c>
      <c r="E42" s="88">
        <v>-9999</v>
      </c>
      <c r="F42" s="88" t="s">
        <v>232</v>
      </c>
      <c r="G42" s="89" t="s">
        <v>1178</v>
      </c>
      <c r="H42" s="89" t="s">
        <v>1191</v>
      </c>
      <c r="I42" s="88" t="s">
        <v>264</v>
      </c>
      <c r="J42" s="89" t="s">
        <v>1192</v>
      </c>
      <c r="K42" s="89" t="s">
        <v>1177</v>
      </c>
      <c r="L42" s="88">
        <v>-9999</v>
      </c>
      <c r="M42" s="88">
        <v>6</v>
      </c>
      <c r="N42" s="88">
        <v>-9999</v>
      </c>
      <c r="O42" s="88">
        <v>-9999</v>
      </c>
      <c r="P42" s="88">
        <v>-9999</v>
      </c>
      <c r="Q42" s="88">
        <v>-9999</v>
      </c>
      <c r="R42" s="88">
        <v>-9999</v>
      </c>
      <c r="S42" s="88">
        <v>-9999</v>
      </c>
      <c r="T42" s="89" t="s">
        <v>1193</v>
      </c>
      <c r="U42" s="88">
        <v>-9999</v>
      </c>
      <c r="V42" s="88">
        <v>-9999</v>
      </c>
      <c r="W42" s="88">
        <v>-9999</v>
      </c>
      <c r="X42" s="88">
        <v>-9999</v>
      </c>
      <c r="Y42" s="88">
        <v>-9999</v>
      </c>
      <c r="Z42" s="88">
        <v>-9999</v>
      </c>
      <c r="AA42" s="88">
        <v>-9999</v>
      </c>
      <c r="AB42" s="88">
        <v>-9999</v>
      </c>
      <c r="AC42" s="89" t="s">
        <v>1194</v>
      </c>
    </row>
    <row r="43" spans="1:29" s="104" customFormat="1" x14ac:dyDescent="0.2">
      <c r="A43" s="88" t="s">
        <v>1203</v>
      </c>
      <c r="B43" s="88" t="s">
        <v>259</v>
      </c>
      <c r="C43" s="89" t="s">
        <v>530</v>
      </c>
      <c r="D43" s="88" t="s">
        <v>264</v>
      </c>
      <c r="E43" s="88">
        <v>-9999</v>
      </c>
      <c r="F43" s="88" t="s">
        <v>232</v>
      </c>
      <c r="G43" s="88">
        <v>-9999</v>
      </c>
      <c r="H43" s="88">
        <v>-9999</v>
      </c>
      <c r="I43" s="88" t="s">
        <v>1224</v>
      </c>
      <c r="J43" s="89" t="s">
        <v>1225</v>
      </c>
      <c r="K43" s="89"/>
      <c r="L43" s="88" t="s">
        <v>1226</v>
      </c>
      <c r="M43" s="88" t="s">
        <v>1227</v>
      </c>
      <c r="N43" s="88">
        <v>-9999</v>
      </c>
      <c r="O43" s="88">
        <v>-9999</v>
      </c>
      <c r="P43" s="88">
        <v>-9999</v>
      </c>
      <c r="Q43" s="88">
        <v>-9999</v>
      </c>
      <c r="R43" s="88">
        <v>-9999</v>
      </c>
      <c r="S43" s="88">
        <v>-9999</v>
      </c>
      <c r="T43" s="89">
        <v>-9999</v>
      </c>
      <c r="U43" s="88">
        <v>-9999</v>
      </c>
      <c r="V43" s="88">
        <v>-9999</v>
      </c>
      <c r="W43" s="88">
        <v>-9999</v>
      </c>
      <c r="X43" s="88">
        <v>-9999</v>
      </c>
      <c r="Y43" s="88" t="s">
        <v>1228</v>
      </c>
      <c r="Z43" s="88">
        <v>-9999</v>
      </c>
      <c r="AA43" s="88">
        <v>-9999</v>
      </c>
      <c r="AB43" s="88">
        <v>-9999</v>
      </c>
      <c r="AC43" s="89" t="s">
        <v>1238</v>
      </c>
    </row>
    <row r="44" spans="1:29" s="104" customFormat="1" x14ac:dyDescent="0.2">
      <c r="A44" s="88" t="s">
        <v>851</v>
      </c>
      <c r="B44" s="88" t="s">
        <v>259</v>
      </c>
      <c r="C44" s="89" t="s">
        <v>530</v>
      </c>
      <c r="D44" s="88" t="s">
        <v>264</v>
      </c>
      <c r="E44" s="88">
        <v>-9999</v>
      </c>
      <c r="F44" s="88" t="s">
        <v>232</v>
      </c>
      <c r="G44" s="88">
        <v>-9999</v>
      </c>
      <c r="H44" s="88">
        <v>-9999</v>
      </c>
      <c r="I44" s="88">
        <v>-9999</v>
      </c>
      <c r="J44" s="88" t="s">
        <v>265</v>
      </c>
      <c r="K44" s="89" t="s">
        <v>1177</v>
      </c>
      <c r="L44" s="88">
        <v>-9999</v>
      </c>
      <c r="M44" s="88">
        <v>6</v>
      </c>
      <c r="N44" s="88">
        <v>-9999</v>
      </c>
      <c r="O44" s="88">
        <v>-9999</v>
      </c>
      <c r="P44" s="88">
        <v>-9999</v>
      </c>
      <c r="Q44" s="88">
        <v>-9999</v>
      </c>
      <c r="R44" s="88">
        <v>-9999</v>
      </c>
      <c r="S44" s="88">
        <v>-9999</v>
      </c>
      <c r="T44" s="88">
        <v>-9999</v>
      </c>
      <c r="U44" s="88">
        <v>-9999</v>
      </c>
      <c r="V44" s="88">
        <v>-9999</v>
      </c>
      <c r="W44" s="88">
        <v>-9999</v>
      </c>
      <c r="X44" s="88">
        <v>-9999</v>
      </c>
      <c r="Y44" s="88">
        <v>-9999</v>
      </c>
      <c r="Z44" s="88">
        <v>-9999</v>
      </c>
      <c r="AA44" s="88">
        <v>-9999</v>
      </c>
      <c r="AB44" s="88"/>
      <c r="AC44" s="88"/>
    </row>
    <row r="45" spans="1:29" s="104" customFormat="1" x14ac:dyDescent="0.2">
      <c r="A45" s="33" t="s">
        <v>1429</v>
      </c>
      <c r="B45" s="65"/>
      <c r="C45" s="65"/>
      <c r="D45" s="65"/>
      <c r="E45" s="107"/>
      <c r="F45" s="107"/>
      <c r="G45" s="107"/>
      <c r="H45" s="107"/>
      <c r="I45" s="107"/>
      <c r="J45" s="107"/>
      <c r="K45" s="125"/>
      <c r="L45" s="125"/>
      <c r="M45" s="107"/>
      <c r="N45" s="107"/>
      <c r="O45" s="107"/>
      <c r="P45" s="107"/>
      <c r="Q45" s="107"/>
      <c r="R45" s="107"/>
      <c r="S45" s="107"/>
      <c r="T45" s="107"/>
      <c r="U45" s="107"/>
      <c r="V45" s="107"/>
      <c r="W45" s="107"/>
      <c r="X45" s="107"/>
      <c r="Y45" s="107"/>
      <c r="Z45" s="107"/>
      <c r="AA45" s="107"/>
      <c r="AB45" s="107"/>
      <c r="AC45" s="107"/>
    </row>
    <row r="46" spans="1:29" s="42" customFormat="1" x14ac:dyDescent="0.2">
      <c r="A46" s="85" t="s">
        <v>818</v>
      </c>
      <c r="B46" s="85" t="s">
        <v>1065</v>
      </c>
      <c r="C46" s="85" t="s">
        <v>1328</v>
      </c>
      <c r="D46" s="126" t="s">
        <v>253</v>
      </c>
      <c r="E46" s="86">
        <v>-9999</v>
      </c>
      <c r="F46" s="86">
        <v>-9999</v>
      </c>
      <c r="G46" s="86">
        <v>-9999</v>
      </c>
      <c r="H46" s="86">
        <v>-9999</v>
      </c>
      <c r="I46" s="307" t="s">
        <v>254</v>
      </c>
      <c r="J46" s="85" t="s">
        <v>255</v>
      </c>
      <c r="K46" s="86">
        <v>-9999</v>
      </c>
      <c r="L46" s="86">
        <v>-9999</v>
      </c>
      <c r="M46" s="85">
        <v>7.5</v>
      </c>
      <c r="N46" s="85">
        <v>-9999</v>
      </c>
      <c r="O46" s="85">
        <v>-9999</v>
      </c>
      <c r="P46" s="85">
        <v>-9999</v>
      </c>
      <c r="Q46" s="85">
        <v>-9999</v>
      </c>
      <c r="R46" s="85">
        <v>-9999</v>
      </c>
      <c r="S46" s="85">
        <v>-9999</v>
      </c>
      <c r="T46" s="127">
        <v>0.02</v>
      </c>
      <c r="U46" s="85">
        <v>-9999</v>
      </c>
      <c r="V46" s="85">
        <v>-9999</v>
      </c>
      <c r="W46" s="85">
        <v>-9999</v>
      </c>
      <c r="X46" s="85">
        <v>-9999</v>
      </c>
      <c r="Y46" s="85">
        <v>-9999</v>
      </c>
      <c r="Z46" s="85">
        <v>-9999</v>
      </c>
      <c r="AA46" s="85">
        <v>-9999</v>
      </c>
      <c r="AB46" s="87" t="s">
        <v>1063</v>
      </c>
      <c r="AC46" s="85">
        <v>-9999</v>
      </c>
    </row>
    <row r="47" spans="1:29" s="42" customFormat="1" x14ac:dyDescent="0.2">
      <c r="A47" s="85" t="s">
        <v>818</v>
      </c>
      <c r="B47" s="85" t="s">
        <v>1065</v>
      </c>
      <c r="C47" s="85" t="s">
        <v>1328</v>
      </c>
      <c r="D47" s="126" t="s">
        <v>256</v>
      </c>
      <c r="E47" s="86">
        <v>-9999</v>
      </c>
      <c r="F47" s="86">
        <v>-9999</v>
      </c>
      <c r="G47" s="86">
        <v>-9999</v>
      </c>
      <c r="H47" s="86">
        <v>-9999</v>
      </c>
      <c r="I47" s="85" t="s">
        <v>257</v>
      </c>
      <c r="J47" s="85" t="s">
        <v>258</v>
      </c>
      <c r="K47" s="86">
        <v>-9999</v>
      </c>
      <c r="L47" s="86">
        <v>-9999</v>
      </c>
      <c r="M47" s="85">
        <v>7.7</v>
      </c>
      <c r="N47" s="85">
        <v>-9999</v>
      </c>
      <c r="O47" s="85">
        <v>-9999</v>
      </c>
      <c r="P47" s="85">
        <v>-9999</v>
      </c>
      <c r="Q47" s="85">
        <v>-9999</v>
      </c>
      <c r="R47" s="85">
        <v>-9999</v>
      </c>
      <c r="S47" s="85">
        <v>-9999</v>
      </c>
      <c r="T47" s="128">
        <v>6.0000000000000001E-3</v>
      </c>
      <c r="U47" s="85">
        <v>-9999</v>
      </c>
      <c r="V47" s="85">
        <v>-9999</v>
      </c>
      <c r="W47" s="85">
        <v>-9999</v>
      </c>
      <c r="X47" s="85">
        <v>-9999</v>
      </c>
      <c r="Y47" s="85">
        <v>-9999</v>
      </c>
      <c r="Z47" s="85">
        <v>-9999</v>
      </c>
      <c r="AA47" s="85">
        <v>-9999</v>
      </c>
      <c r="AB47" s="87" t="s">
        <v>1064</v>
      </c>
      <c r="AC47" s="85">
        <v>-9999</v>
      </c>
    </row>
    <row r="48" spans="1:29" s="42" customFormat="1" x14ac:dyDescent="0.2">
      <c r="A48" s="85" t="s">
        <v>1405</v>
      </c>
      <c r="B48" s="85" t="s">
        <v>1065</v>
      </c>
      <c r="C48" s="85" t="s">
        <v>1328</v>
      </c>
      <c r="D48" s="126" t="s">
        <v>253</v>
      </c>
      <c r="E48" s="86">
        <v>-9999</v>
      </c>
      <c r="F48" s="86">
        <v>-9999</v>
      </c>
      <c r="G48" s="86">
        <v>-9999</v>
      </c>
      <c r="H48" s="86">
        <v>-9999</v>
      </c>
      <c r="I48" s="85" t="s">
        <v>254</v>
      </c>
      <c r="J48" s="85" t="s">
        <v>255</v>
      </c>
      <c r="K48" s="86">
        <v>-9999</v>
      </c>
      <c r="L48" s="86">
        <v>-9999</v>
      </c>
      <c r="M48" s="85">
        <v>7.5</v>
      </c>
      <c r="N48" s="85">
        <v>-9999</v>
      </c>
      <c r="O48" s="85">
        <v>-9999</v>
      </c>
      <c r="P48" s="85">
        <v>-9999</v>
      </c>
      <c r="Q48" s="85">
        <v>-9999</v>
      </c>
      <c r="R48" s="85">
        <v>-9999</v>
      </c>
      <c r="S48" s="85">
        <v>-9999</v>
      </c>
      <c r="T48" s="127">
        <v>0.02</v>
      </c>
      <c r="U48" s="85">
        <v>-9999</v>
      </c>
      <c r="V48" s="85">
        <v>-9999</v>
      </c>
      <c r="W48" s="85">
        <v>-9999</v>
      </c>
      <c r="X48" s="85">
        <v>-9999</v>
      </c>
      <c r="Y48" s="85">
        <v>-9999</v>
      </c>
      <c r="Z48" s="85">
        <v>-9999</v>
      </c>
      <c r="AA48" s="85">
        <v>-9999</v>
      </c>
      <c r="AB48" s="87" t="s">
        <v>1063</v>
      </c>
      <c r="AC48" s="85">
        <v>-9999</v>
      </c>
    </row>
    <row r="49" spans="1:29" s="42" customFormat="1" x14ac:dyDescent="0.2">
      <c r="A49" s="85" t="s">
        <v>813</v>
      </c>
      <c r="B49" s="85" t="s">
        <v>1065</v>
      </c>
      <c r="C49" s="85" t="s">
        <v>1327</v>
      </c>
      <c r="D49" s="85" t="s">
        <v>1071</v>
      </c>
      <c r="E49" s="85">
        <v>-9999</v>
      </c>
      <c r="F49" s="85" t="s">
        <v>232</v>
      </c>
      <c r="G49" s="85" t="s">
        <v>1077</v>
      </c>
      <c r="H49" s="85" t="s">
        <v>303</v>
      </c>
      <c r="I49" s="85" t="s">
        <v>1076</v>
      </c>
      <c r="J49" s="85" t="s">
        <v>1079</v>
      </c>
      <c r="K49" s="87" t="s">
        <v>1082</v>
      </c>
      <c r="L49" s="86">
        <v>-9999</v>
      </c>
      <c r="M49" s="85">
        <v>-9999</v>
      </c>
      <c r="N49" s="85">
        <v>-9999</v>
      </c>
      <c r="O49" s="85">
        <v>-9999</v>
      </c>
      <c r="P49" s="85">
        <v>-9999</v>
      </c>
      <c r="Q49" s="85">
        <v>-9999</v>
      </c>
      <c r="R49" s="85">
        <v>-9999</v>
      </c>
      <c r="S49" s="85">
        <v>-9999</v>
      </c>
      <c r="T49" s="85">
        <v>-9999</v>
      </c>
      <c r="U49" s="85">
        <v>-9999</v>
      </c>
      <c r="V49" s="85">
        <v>-9999</v>
      </c>
      <c r="W49" s="85">
        <v>-9999</v>
      </c>
      <c r="X49" s="85">
        <v>-9999</v>
      </c>
      <c r="Y49" s="87">
        <v>12.2</v>
      </c>
      <c r="Z49" s="87">
        <v>2.2999999999999998</v>
      </c>
      <c r="AA49" s="85">
        <v>-9999</v>
      </c>
      <c r="AB49" s="87"/>
      <c r="AC49" s="87" t="s">
        <v>1081</v>
      </c>
    </row>
    <row r="50" spans="1:29" s="42" customFormat="1" x14ac:dyDescent="0.2">
      <c r="A50" s="313" t="s">
        <v>1476</v>
      </c>
      <c r="B50" s="307" t="s">
        <v>1479</v>
      </c>
      <c r="C50" s="307" t="s">
        <v>1329</v>
      </c>
      <c r="D50" s="307" t="s">
        <v>251</v>
      </c>
      <c r="E50" s="85">
        <v>-9999</v>
      </c>
      <c r="F50" s="85">
        <v>-9999</v>
      </c>
      <c r="G50" s="85">
        <v>-9999</v>
      </c>
      <c r="H50" s="85">
        <v>-9999</v>
      </c>
      <c r="I50" s="85">
        <v>-9999</v>
      </c>
      <c r="J50" s="85">
        <v>-9999</v>
      </c>
      <c r="K50" s="85">
        <v>-9999</v>
      </c>
      <c r="L50" s="85">
        <v>-9999</v>
      </c>
      <c r="M50" s="85">
        <v>-9999</v>
      </c>
      <c r="N50" s="85">
        <v>-9999</v>
      </c>
      <c r="O50" s="85">
        <v>-9999</v>
      </c>
      <c r="P50" s="85">
        <v>-9999</v>
      </c>
      <c r="Q50" s="85">
        <v>-9999</v>
      </c>
      <c r="R50" s="85">
        <v>-9999</v>
      </c>
      <c r="S50" s="85">
        <v>-9999</v>
      </c>
      <c r="T50" s="85">
        <v>-9999</v>
      </c>
      <c r="U50" s="85">
        <v>-9999</v>
      </c>
      <c r="V50" s="85">
        <v>-9999</v>
      </c>
      <c r="W50" s="85">
        <v>-9999</v>
      </c>
      <c r="X50" s="85">
        <v>-9999</v>
      </c>
      <c r="Y50" s="85">
        <v>-9999</v>
      </c>
      <c r="Z50" s="85">
        <v>-9999</v>
      </c>
      <c r="AA50" s="85">
        <v>-9999</v>
      </c>
      <c r="AB50" s="85">
        <v>-9999</v>
      </c>
      <c r="AC50" s="85">
        <v>-9999</v>
      </c>
    </row>
    <row r="51" spans="1:29" s="104" customFormat="1" x14ac:dyDescent="0.2">
      <c r="A51" s="18" t="s">
        <v>1428</v>
      </c>
      <c r="B51" s="65"/>
      <c r="C51" s="65"/>
      <c r="D51" s="65"/>
      <c r="E51" s="65"/>
      <c r="F51" s="65"/>
      <c r="G51" s="65"/>
      <c r="H51" s="65"/>
      <c r="I51" s="65"/>
      <c r="J51" s="65"/>
      <c r="K51" s="105"/>
      <c r="L51" s="105"/>
      <c r="M51" s="65"/>
      <c r="N51" s="65"/>
      <c r="O51" s="65"/>
      <c r="P51" s="65"/>
      <c r="Q51" s="65"/>
      <c r="R51" s="65"/>
      <c r="S51" s="65"/>
      <c r="T51" s="129"/>
      <c r="U51" s="65"/>
      <c r="V51" s="65"/>
      <c r="W51" s="65"/>
      <c r="X51" s="65"/>
      <c r="Y51" s="65"/>
      <c r="Z51" s="65"/>
      <c r="AA51" s="65"/>
      <c r="AB51" s="65"/>
      <c r="AC51" s="65"/>
    </row>
    <row r="52" spans="1:29" s="104" customFormat="1" x14ac:dyDescent="0.2">
      <c r="A52" s="95" t="s">
        <v>540</v>
      </c>
      <c r="B52" s="95" t="s">
        <v>266</v>
      </c>
      <c r="C52" s="95" t="s">
        <v>331</v>
      </c>
      <c r="D52" s="95" t="s">
        <v>332</v>
      </c>
      <c r="E52" s="95" t="s">
        <v>302</v>
      </c>
      <c r="F52" s="95">
        <v>-9999</v>
      </c>
      <c r="G52" s="95">
        <v>-9999</v>
      </c>
      <c r="H52" s="95" t="s">
        <v>333</v>
      </c>
      <c r="I52" s="95">
        <v>-9999</v>
      </c>
      <c r="J52" s="95" t="s">
        <v>334</v>
      </c>
      <c r="K52" s="95">
        <v>-9999</v>
      </c>
      <c r="L52" s="95">
        <v>-9999</v>
      </c>
      <c r="M52" s="95">
        <v>5.7</v>
      </c>
      <c r="N52" s="95">
        <v>-9999</v>
      </c>
      <c r="O52" s="95">
        <v>-9999</v>
      </c>
      <c r="P52" s="95">
        <v>-9999</v>
      </c>
      <c r="Q52" s="95">
        <v>-9999</v>
      </c>
      <c r="R52" s="95">
        <v>-9999</v>
      </c>
      <c r="S52" s="95">
        <v>-9999</v>
      </c>
      <c r="T52" s="130">
        <v>1.6E-2</v>
      </c>
      <c r="U52" s="95">
        <v>-9999</v>
      </c>
      <c r="V52" s="95">
        <v>-9999</v>
      </c>
      <c r="W52" s="95">
        <v>-9999</v>
      </c>
      <c r="X52" s="95">
        <v>-9999</v>
      </c>
      <c r="Y52" s="95">
        <v>-9999</v>
      </c>
      <c r="Z52" s="95">
        <v>-9999</v>
      </c>
      <c r="AA52" s="95">
        <v>-9999</v>
      </c>
      <c r="AB52" s="95">
        <v>-9999</v>
      </c>
      <c r="AC52" s="95">
        <v>-9999</v>
      </c>
    </row>
    <row r="53" spans="1:29" s="104" customFormat="1" x14ac:dyDescent="0.2">
      <c r="A53" s="95" t="s">
        <v>872</v>
      </c>
      <c r="B53" s="95" t="s">
        <v>266</v>
      </c>
      <c r="C53" s="95" t="s">
        <v>331</v>
      </c>
      <c r="D53" s="95" t="s">
        <v>335</v>
      </c>
      <c r="E53" s="95" t="s">
        <v>302</v>
      </c>
      <c r="F53" s="95">
        <v>-9999</v>
      </c>
      <c r="G53" s="95">
        <v>-9999</v>
      </c>
      <c r="H53" s="95" t="s">
        <v>333</v>
      </c>
      <c r="I53" s="95" t="s">
        <v>336</v>
      </c>
      <c r="J53" s="95" t="s">
        <v>337</v>
      </c>
      <c r="K53" s="95" t="s">
        <v>262</v>
      </c>
      <c r="L53" s="95">
        <v>-9999</v>
      </c>
      <c r="M53" s="95">
        <v>-9999</v>
      </c>
      <c r="N53" s="95">
        <v>-9999</v>
      </c>
      <c r="O53" s="95">
        <v>-9999</v>
      </c>
      <c r="P53" s="95">
        <v>-9999</v>
      </c>
      <c r="Q53" s="95">
        <v>-9999</v>
      </c>
      <c r="R53" s="95">
        <v>-9999</v>
      </c>
      <c r="S53" s="95">
        <v>-9999</v>
      </c>
      <c r="T53" s="95">
        <v>-9999</v>
      </c>
      <c r="U53" s="95">
        <v>-9999</v>
      </c>
      <c r="V53" s="95">
        <v>-9999</v>
      </c>
      <c r="W53" s="95">
        <v>-9999</v>
      </c>
      <c r="X53" s="95">
        <v>-9999</v>
      </c>
      <c r="Y53" s="95">
        <v>-9999</v>
      </c>
      <c r="Z53" s="95">
        <v>-9999</v>
      </c>
      <c r="AA53" s="95">
        <v>-9999</v>
      </c>
      <c r="AB53" s="95">
        <v>-9999</v>
      </c>
      <c r="AC53" s="95">
        <v>-9999</v>
      </c>
    </row>
    <row r="54" spans="1:29" s="104" customFormat="1" x14ac:dyDescent="0.2">
      <c r="A54" s="95" t="s">
        <v>883</v>
      </c>
      <c r="B54" s="95" t="s">
        <v>266</v>
      </c>
      <c r="C54" s="95" t="s">
        <v>267</v>
      </c>
      <c r="D54" s="95" t="s">
        <v>268</v>
      </c>
      <c r="E54" s="95" t="s">
        <v>296</v>
      </c>
      <c r="F54" s="95">
        <v>-9999</v>
      </c>
      <c r="G54" s="95" t="s">
        <v>916</v>
      </c>
      <c r="H54" s="95">
        <v>-9999</v>
      </c>
      <c r="I54" s="95">
        <v>-9999</v>
      </c>
      <c r="J54" s="95" t="s">
        <v>297</v>
      </c>
      <c r="K54" s="110"/>
      <c r="L54" s="95">
        <v>-9999</v>
      </c>
      <c r="M54" s="95">
        <v>-9999</v>
      </c>
      <c r="N54" s="95">
        <v>-9999</v>
      </c>
      <c r="O54" s="95">
        <v>-9999</v>
      </c>
      <c r="P54" s="95">
        <v>-9999</v>
      </c>
      <c r="Q54" s="95">
        <v>-9999</v>
      </c>
      <c r="R54" s="95">
        <v>-9999</v>
      </c>
      <c r="S54" s="95">
        <v>-9999</v>
      </c>
      <c r="T54" s="95">
        <v>-9999</v>
      </c>
      <c r="U54" s="95">
        <v>-9999</v>
      </c>
      <c r="V54" s="95">
        <v>-9999</v>
      </c>
      <c r="W54" s="95">
        <v>-9999</v>
      </c>
      <c r="X54" s="95">
        <v>-9999</v>
      </c>
      <c r="Y54" s="95">
        <v>-9999</v>
      </c>
      <c r="Z54" s="95">
        <v>-9999</v>
      </c>
      <c r="AA54" s="95">
        <v>-9999</v>
      </c>
      <c r="AB54" s="95">
        <v>-9999</v>
      </c>
      <c r="AC54" s="95" t="s">
        <v>917</v>
      </c>
    </row>
    <row r="55" spans="1:29" s="104" customFormat="1" x14ac:dyDescent="0.2">
      <c r="A55" s="95" t="s">
        <v>299</v>
      </c>
      <c r="B55" s="95" t="s">
        <v>266</v>
      </c>
      <c r="C55" s="95" t="s">
        <v>300</v>
      </c>
      <c r="D55" s="95" t="s">
        <v>301</v>
      </c>
      <c r="E55" s="95" t="s">
        <v>302</v>
      </c>
      <c r="F55" s="95">
        <v>-9999</v>
      </c>
      <c r="G55" s="95">
        <v>-9999</v>
      </c>
      <c r="H55" s="95" t="s">
        <v>303</v>
      </c>
      <c r="I55" s="95" t="s">
        <v>304</v>
      </c>
      <c r="J55" s="95" t="s">
        <v>305</v>
      </c>
      <c r="K55" s="95">
        <v>-9999</v>
      </c>
      <c r="L55" s="95">
        <v>-9999</v>
      </c>
      <c r="M55" s="95">
        <v>5.3</v>
      </c>
      <c r="N55" s="95">
        <v>-9999</v>
      </c>
      <c r="O55" s="95">
        <v>-9999</v>
      </c>
      <c r="P55" s="95">
        <v>-9999</v>
      </c>
      <c r="Q55" s="95">
        <v>-9999</v>
      </c>
      <c r="R55" s="95">
        <v>-9999</v>
      </c>
      <c r="S55" s="95">
        <v>-9999</v>
      </c>
      <c r="T55" s="95">
        <v>-9999</v>
      </c>
      <c r="U55" s="95">
        <v>-9999</v>
      </c>
      <c r="V55" s="95">
        <v>-9999</v>
      </c>
      <c r="W55" s="95">
        <v>-9999</v>
      </c>
      <c r="X55" s="95">
        <v>-9999</v>
      </c>
      <c r="Y55" s="95">
        <v>-9999</v>
      </c>
      <c r="Z55" s="95">
        <v>-9999</v>
      </c>
      <c r="AA55" s="95">
        <v>-9999</v>
      </c>
      <c r="AB55" s="95">
        <v>-9999</v>
      </c>
      <c r="AC55" s="95" t="s">
        <v>306</v>
      </c>
    </row>
    <row r="56" spans="1:29" s="104" customFormat="1" x14ac:dyDescent="0.2">
      <c r="A56" s="95" t="s">
        <v>299</v>
      </c>
      <c r="B56" s="95" t="s">
        <v>266</v>
      </c>
      <c r="C56" s="95" t="s">
        <v>300</v>
      </c>
      <c r="D56" s="95" t="s">
        <v>301</v>
      </c>
      <c r="E56" s="95" t="s">
        <v>302</v>
      </c>
      <c r="F56" s="95">
        <v>-9999</v>
      </c>
      <c r="G56" s="95">
        <v>-9999</v>
      </c>
      <c r="H56" s="95" t="s">
        <v>303</v>
      </c>
      <c r="I56" s="95" t="s">
        <v>304</v>
      </c>
      <c r="J56" s="95" t="s">
        <v>305</v>
      </c>
      <c r="K56" s="95">
        <v>-9999</v>
      </c>
      <c r="L56" s="95">
        <v>-9999</v>
      </c>
      <c r="M56" s="95">
        <v>5.3</v>
      </c>
      <c r="N56" s="95">
        <v>-9999</v>
      </c>
      <c r="O56" s="95">
        <v>-9999</v>
      </c>
      <c r="P56" s="95">
        <v>-9999</v>
      </c>
      <c r="Q56" s="95">
        <v>-9999</v>
      </c>
      <c r="R56" s="95">
        <v>-9999</v>
      </c>
      <c r="S56" s="95">
        <v>-9999</v>
      </c>
      <c r="T56" s="95">
        <v>-9999</v>
      </c>
      <c r="U56" s="95">
        <v>-9999</v>
      </c>
      <c r="V56" s="95">
        <v>-9999</v>
      </c>
      <c r="W56" s="95">
        <v>-9999</v>
      </c>
      <c r="X56" s="95">
        <v>-9999</v>
      </c>
      <c r="Y56" s="95">
        <v>-9999</v>
      </c>
      <c r="Z56" s="95">
        <v>-9999</v>
      </c>
      <c r="AA56" s="95">
        <v>-9999</v>
      </c>
      <c r="AB56" s="95">
        <v>-9999</v>
      </c>
      <c r="AC56" s="95" t="s">
        <v>307</v>
      </c>
    </row>
    <row r="57" spans="1:29" s="145" customFormat="1" x14ac:dyDescent="0.2">
      <c r="A57" s="43" t="s">
        <v>569</v>
      </c>
      <c r="B57" s="43" t="s">
        <v>266</v>
      </c>
      <c r="C57" s="43" t="s">
        <v>1248</v>
      </c>
      <c r="D57" s="43" t="s">
        <v>1249</v>
      </c>
      <c r="E57" s="95">
        <v>-9999</v>
      </c>
      <c r="F57" s="95">
        <v>-9999</v>
      </c>
      <c r="G57" s="257" t="s">
        <v>1398</v>
      </c>
      <c r="H57" s="43" t="s">
        <v>303</v>
      </c>
      <c r="I57" s="43" t="s">
        <v>1364</v>
      </c>
      <c r="J57" s="43" t="s">
        <v>1399</v>
      </c>
      <c r="K57" s="95">
        <v>-9999</v>
      </c>
      <c r="L57" s="95">
        <v>-9999</v>
      </c>
      <c r="M57" s="43" t="s">
        <v>1366</v>
      </c>
      <c r="N57" s="95">
        <v>-9999</v>
      </c>
      <c r="O57" s="95">
        <v>-9999</v>
      </c>
      <c r="P57" s="95">
        <v>-9999</v>
      </c>
      <c r="Q57" s="95">
        <v>-9999</v>
      </c>
      <c r="R57" s="95">
        <v>-9999</v>
      </c>
      <c r="S57" s="95">
        <v>-9999</v>
      </c>
      <c r="T57" s="95">
        <v>-9999</v>
      </c>
      <c r="U57" s="95">
        <v>-9999</v>
      </c>
      <c r="V57" s="95">
        <v>-9999</v>
      </c>
      <c r="W57" s="95">
        <v>-9999</v>
      </c>
      <c r="X57" s="95">
        <v>-9999</v>
      </c>
      <c r="Y57" s="95">
        <v>-9999</v>
      </c>
      <c r="Z57" s="95">
        <v>-9999</v>
      </c>
      <c r="AA57" s="95">
        <v>-9999</v>
      </c>
      <c r="AB57" s="95">
        <v>-9999</v>
      </c>
      <c r="AC57" s="43" t="s">
        <v>1367</v>
      </c>
    </row>
    <row r="58" spans="1:29" s="145" customFormat="1" x14ac:dyDescent="0.2">
      <c r="A58" s="143" t="s">
        <v>1396</v>
      </c>
      <c r="B58" s="95" t="s">
        <v>266</v>
      </c>
      <c r="C58" s="95" t="s">
        <v>267</v>
      </c>
      <c r="D58" s="95" t="s">
        <v>533</v>
      </c>
      <c r="E58" s="95">
        <v>-9999</v>
      </c>
      <c r="F58" s="95">
        <v>-9999</v>
      </c>
      <c r="G58" s="95" t="s">
        <v>534</v>
      </c>
      <c r="H58" s="43" t="s">
        <v>333</v>
      </c>
      <c r="I58" s="95" t="s">
        <v>535</v>
      </c>
      <c r="J58" s="95" t="s">
        <v>536</v>
      </c>
      <c r="K58" s="95">
        <v>-9999</v>
      </c>
      <c r="L58" s="95">
        <v>-9999</v>
      </c>
      <c r="M58" s="95">
        <v>5.5</v>
      </c>
      <c r="N58" s="95">
        <v>-9999</v>
      </c>
      <c r="O58" s="95">
        <v>-9999</v>
      </c>
      <c r="P58" s="95">
        <v>-9999</v>
      </c>
      <c r="Q58" s="95">
        <v>-9999</v>
      </c>
      <c r="R58" s="95">
        <v>-9999</v>
      </c>
      <c r="S58" s="95">
        <v>-9999</v>
      </c>
      <c r="T58" s="95">
        <v>-9999</v>
      </c>
      <c r="U58" s="95">
        <v>-9999</v>
      </c>
      <c r="V58" s="95">
        <v>-9999</v>
      </c>
      <c r="W58" s="95">
        <v>-9999</v>
      </c>
      <c r="X58" s="95">
        <v>-9999</v>
      </c>
      <c r="Y58" s="95">
        <v>-9999</v>
      </c>
      <c r="Z58" s="95">
        <v>-9999</v>
      </c>
      <c r="AA58" s="95">
        <v>-9999</v>
      </c>
      <c r="AB58" s="95"/>
      <c r="AC58" s="95" t="s">
        <v>537</v>
      </c>
    </row>
    <row r="59" spans="1:29" s="145" customFormat="1" x14ac:dyDescent="0.2">
      <c r="A59" s="95" t="s">
        <v>887</v>
      </c>
      <c r="B59" s="95" t="s">
        <v>266</v>
      </c>
      <c r="C59" s="95" t="s">
        <v>298</v>
      </c>
      <c r="D59" s="43" t="s">
        <v>419</v>
      </c>
      <c r="E59" s="95">
        <v>-9999</v>
      </c>
      <c r="F59" s="95">
        <v>-9999</v>
      </c>
      <c r="G59" s="95"/>
      <c r="H59" s="95"/>
      <c r="I59" s="95"/>
      <c r="J59" s="43" t="s">
        <v>1409</v>
      </c>
      <c r="K59" s="95"/>
      <c r="L59" s="95"/>
      <c r="M59" s="95"/>
      <c r="N59" s="95"/>
      <c r="O59" s="95"/>
      <c r="P59" s="95"/>
      <c r="Q59" s="95"/>
      <c r="R59" s="95"/>
      <c r="S59" s="95"/>
      <c r="T59" s="95">
        <v>-9999</v>
      </c>
      <c r="U59" s="95">
        <v>-9999</v>
      </c>
      <c r="V59" s="95">
        <v>-9999</v>
      </c>
      <c r="W59" s="95">
        <v>-9999</v>
      </c>
      <c r="X59" s="95">
        <v>-9999</v>
      </c>
      <c r="Y59" s="95">
        <v>-9999</v>
      </c>
      <c r="Z59" s="95">
        <v>-9999</v>
      </c>
      <c r="AA59" s="95">
        <v>-9999</v>
      </c>
      <c r="AB59" s="95"/>
      <c r="AC59" s="95"/>
    </row>
    <row r="60" spans="1:29" s="145" customFormat="1" x14ac:dyDescent="0.2">
      <c r="A60" s="95" t="s">
        <v>462</v>
      </c>
      <c r="B60" s="95" t="s">
        <v>266</v>
      </c>
      <c r="C60" s="95" t="s">
        <v>298</v>
      </c>
      <c r="D60" s="95" t="s">
        <v>417</v>
      </c>
      <c r="E60" s="95">
        <v>-9999</v>
      </c>
      <c r="F60" s="95">
        <v>-9999</v>
      </c>
      <c r="G60" s="95" t="s">
        <v>1208</v>
      </c>
      <c r="H60" s="95"/>
      <c r="I60" s="95"/>
      <c r="J60" s="95" t="s">
        <v>1209</v>
      </c>
      <c r="K60" s="95"/>
      <c r="L60" s="95"/>
      <c r="M60" s="95"/>
      <c r="N60" s="95"/>
      <c r="O60" s="95"/>
      <c r="P60" s="95"/>
      <c r="Q60" s="95"/>
      <c r="R60" s="95"/>
      <c r="S60" s="95"/>
      <c r="T60" s="95"/>
      <c r="U60" s="95"/>
      <c r="V60" s="95"/>
      <c r="W60" s="95"/>
      <c r="X60" s="95"/>
      <c r="Y60" s="95"/>
      <c r="Z60" s="95"/>
      <c r="AA60" s="95"/>
      <c r="AB60" s="95"/>
      <c r="AC60" s="95"/>
    </row>
    <row r="61" spans="1:29" s="145" customFormat="1" x14ac:dyDescent="0.2">
      <c r="A61" s="95" t="s">
        <v>463</v>
      </c>
      <c r="B61" s="95" t="s">
        <v>266</v>
      </c>
      <c r="C61" s="95" t="s">
        <v>298</v>
      </c>
      <c r="D61" s="95" t="s">
        <v>464</v>
      </c>
      <c r="E61" s="95">
        <v>-9999</v>
      </c>
      <c r="F61" s="95">
        <v>-9999</v>
      </c>
      <c r="G61" s="95"/>
      <c r="H61" s="95"/>
      <c r="I61" s="95"/>
      <c r="J61" s="95"/>
      <c r="K61" s="95"/>
      <c r="L61" s="95"/>
      <c r="M61" s="95"/>
      <c r="N61" s="95"/>
      <c r="O61" s="95"/>
      <c r="P61" s="95"/>
      <c r="Q61" s="95"/>
      <c r="R61" s="95"/>
      <c r="S61" s="95"/>
      <c r="T61" s="95"/>
      <c r="U61" s="95"/>
      <c r="V61" s="95"/>
      <c r="W61" s="95"/>
      <c r="X61" s="95"/>
      <c r="Y61" s="95"/>
      <c r="Z61" s="95"/>
      <c r="AA61" s="95"/>
      <c r="AB61" s="95"/>
      <c r="AC61" s="95"/>
    </row>
    <row r="62" spans="1:29" s="145" customFormat="1" x14ac:dyDescent="0.2">
      <c r="A62" s="95" t="s">
        <v>460</v>
      </c>
      <c r="B62" s="95" t="s">
        <v>266</v>
      </c>
      <c r="C62" s="95" t="s">
        <v>298</v>
      </c>
      <c r="D62" s="95" t="s">
        <v>456</v>
      </c>
      <c r="E62" s="95">
        <v>-9999</v>
      </c>
      <c r="F62" s="95">
        <v>-9999</v>
      </c>
      <c r="G62" s="95"/>
      <c r="H62" s="95"/>
      <c r="I62" s="95"/>
      <c r="J62" s="95"/>
      <c r="K62" s="95"/>
      <c r="L62" s="95"/>
      <c r="M62" s="95"/>
      <c r="N62" s="95"/>
      <c r="O62" s="95"/>
      <c r="P62" s="95"/>
      <c r="Q62" s="95"/>
      <c r="R62" s="95"/>
      <c r="S62" s="95"/>
      <c r="T62" s="95"/>
      <c r="U62" s="95"/>
      <c r="V62" s="95"/>
      <c r="W62" s="95"/>
      <c r="X62" s="95"/>
      <c r="Y62" s="95"/>
      <c r="Z62" s="95"/>
      <c r="AA62" s="95"/>
      <c r="AB62" s="95"/>
      <c r="AC62" s="95"/>
    </row>
    <row r="63" spans="1:29" s="145" customFormat="1" x14ac:dyDescent="0.2">
      <c r="A63" s="95" t="s">
        <v>461</v>
      </c>
      <c r="B63" s="95" t="s">
        <v>266</v>
      </c>
      <c r="C63" s="95" t="s">
        <v>298</v>
      </c>
      <c r="D63" s="95" t="s">
        <v>457</v>
      </c>
      <c r="E63" s="95">
        <v>-9999</v>
      </c>
      <c r="F63" s="95">
        <v>-9999</v>
      </c>
      <c r="G63" s="95"/>
      <c r="H63" s="95"/>
      <c r="I63" s="95"/>
      <c r="J63" s="95"/>
      <c r="K63" s="95"/>
      <c r="L63" s="95"/>
      <c r="M63" s="95"/>
      <c r="N63" s="95"/>
      <c r="O63" s="95"/>
      <c r="P63" s="95"/>
      <c r="Q63" s="95"/>
      <c r="R63" s="95"/>
      <c r="S63" s="95"/>
      <c r="T63" s="95"/>
      <c r="U63" s="95"/>
      <c r="V63" s="95"/>
      <c r="W63" s="95"/>
      <c r="X63" s="95"/>
      <c r="Y63" s="95"/>
      <c r="Z63" s="95"/>
      <c r="AA63" s="95"/>
      <c r="AB63" s="95"/>
      <c r="AC63" s="95"/>
    </row>
    <row r="64" spans="1:29" s="145" customFormat="1" x14ac:dyDescent="0.2">
      <c r="A64" s="95" t="s">
        <v>461</v>
      </c>
      <c r="B64" s="95" t="s">
        <v>266</v>
      </c>
      <c r="C64" s="95" t="s">
        <v>298</v>
      </c>
      <c r="D64" s="95" t="s">
        <v>464</v>
      </c>
      <c r="E64" s="95">
        <v>-9999</v>
      </c>
      <c r="F64" s="95">
        <v>-9999</v>
      </c>
      <c r="G64" s="95"/>
      <c r="H64" s="95"/>
      <c r="I64" s="95"/>
      <c r="J64" s="95"/>
      <c r="K64" s="95"/>
      <c r="L64" s="95"/>
      <c r="M64" s="95"/>
      <c r="N64" s="95"/>
      <c r="O64" s="95"/>
      <c r="P64" s="95"/>
      <c r="Q64" s="95"/>
      <c r="R64" s="95"/>
      <c r="S64" s="95"/>
      <c r="T64" s="95"/>
      <c r="U64" s="95"/>
      <c r="V64" s="95"/>
      <c r="W64" s="95"/>
      <c r="X64" s="95"/>
      <c r="Y64" s="95"/>
      <c r="Z64" s="95"/>
      <c r="AA64" s="95"/>
      <c r="AB64" s="95"/>
      <c r="AC64" s="95"/>
    </row>
    <row r="65" spans="1:29" s="145" customFormat="1" x14ac:dyDescent="0.2">
      <c r="A65" s="95" t="s">
        <v>460</v>
      </c>
      <c r="B65" s="95" t="s">
        <v>266</v>
      </c>
      <c r="C65" s="95" t="s">
        <v>298</v>
      </c>
      <c r="D65" s="95" t="s">
        <v>458</v>
      </c>
      <c r="E65" s="95">
        <v>-9999</v>
      </c>
      <c r="F65" s="95">
        <v>-9999</v>
      </c>
      <c r="G65" s="95"/>
      <c r="H65" s="95"/>
      <c r="I65" s="95"/>
      <c r="J65" s="95"/>
      <c r="K65" s="95"/>
      <c r="L65" s="95"/>
      <c r="M65" s="95"/>
      <c r="N65" s="95"/>
      <c r="O65" s="95"/>
      <c r="P65" s="95"/>
      <c r="Q65" s="95"/>
      <c r="R65" s="95"/>
      <c r="S65" s="95"/>
      <c r="T65" s="95"/>
      <c r="U65" s="95"/>
      <c r="V65" s="95"/>
      <c r="W65" s="95"/>
      <c r="X65" s="95"/>
      <c r="Y65" s="95"/>
      <c r="Z65" s="95"/>
      <c r="AA65" s="95"/>
      <c r="AB65" s="95"/>
      <c r="AC65" s="95"/>
    </row>
    <row r="66" spans="1:29" s="145" customFormat="1" x14ac:dyDescent="0.2">
      <c r="A66" s="95" t="s">
        <v>461</v>
      </c>
      <c r="B66" s="95" t="s">
        <v>266</v>
      </c>
      <c r="C66" s="95" t="s">
        <v>298</v>
      </c>
      <c r="D66" s="95" t="s">
        <v>455</v>
      </c>
      <c r="E66" s="95">
        <v>-9999</v>
      </c>
      <c r="F66" s="95">
        <v>-9999</v>
      </c>
      <c r="G66" s="95"/>
      <c r="H66" s="95"/>
      <c r="I66" s="95"/>
      <c r="J66" s="95"/>
      <c r="K66" s="95"/>
      <c r="L66" s="95"/>
      <c r="M66" s="95"/>
      <c r="N66" s="95"/>
      <c r="O66" s="95"/>
      <c r="P66" s="95"/>
      <c r="Q66" s="95"/>
      <c r="R66" s="95"/>
      <c r="S66" s="95"/>
      <c r="T66" s="95"/>
      <c r="U66" s="95"/>
      <c r="V66" s="95"/>
      <c r="W66" s="95"/>
      <c r="X66" s="95"/>
      <c r="Y66" s="95"/>
      <c r="Z66" s="95"/>
      <c r="AA66" s="95"/>
      <c r="AB66" s="95"/>
      <c r="AC66" s="95"/>
    </row>
    <row r="67" spans="1:29" s="145" customFormat="1" x14ac:dyDescent="0.2">
      <c r="A67" s="95" t="s">
        <v>459</v>
      </c>
      <c r="B67" s="95" t="s">
        <v>266</v>
      </c>
      <c r="C67" s="95" t="s">
        <v>298</v>
      </c>
      <c r="D67" s="95" t="s">
        <v>417</v>
      </c>
      <c r="E67" s="95">
        <v>-9999</v>
      </c>
      <c r="F67" s="95">
        <v>-9999</v>
      </c>
      <c r="G67" s="95"/>
      <c r="H67" s="95"/>
      <c r="I67" s="95"/>
      <c r="J67" s="43" t="s">
        <v>1209</v>
      </c>
      <c r="K67" s="95"/>
      <c r="L67" s="95"/>
      <c r="M67" s="95"/>
      <c r="N67" s="95"/>
      <c r="O67" s="95"/>
      <c r="P67" s="95"/>
      <c r="Q67" s="95"/>
      <c r="R67" s="95"/>
      <c r="S67" s="95"/>
      <c r="T67" s="95"/>
      <c r="U67" s="95"/>
      <c r="V67" s="95"/>
      <c r="W67" s="95"/>
      <c r="X67" s="95"/>
      <c r="Y67" s="95"/>
      <c r="Z67" s="95"/>
      <c r="AA67" s="95"/>
      <c r="AB67" s="95"/>
      <c r="AC67" s="95"/>
    </row>
    <row r="68" spans="1:29" s="145" customFormat="1" x14ac:dyDescent="0.2">
      <c r="A68" s="95" t="s">
        <v>459</v>
      </c>
      <c r="B68" s="95" t="s">
        <v>266</v>
      </c>
      <c r="C68" s="95" t="s">
        <v>298</v>
      </c>
      <c r="D68" s="95" t="s">
        <v>416</v>
      </c>
      <c r="E68" s="95">
        <v>-9999</v>
      </c>
      <c r="F68" s="95">
        <v>-9999</v>
      </c>
      <c r="G68" s="95"/>
      <c r="H68" s="95"/>
      <c r="I68" s="95"/>
      <c r="J68" s="43" t="s">
        <v>1209</v>
      </c>
      <c r="K68" s="95"/>
      <c r="L68" s="95"/>
      <c r="M68" s="95"/>
      <c r="N68" s="95"/>
      <c r="O68" s="95"/>
      <c r="P68" s="95"/>
      <c r="Q68" s="95"/>
      <c r="R68" s="95"/>
      <c r="S68" s="95"/>
      <c r="T68" s="95"/>
      <c r="U68" s="95"/>
      <c r="V68" s="95"/>
      <c r="W68" s="95"/>
      <c r="X68" s="95"/>
      <c r="Y68" s="95"/>
      <c r="Z68" s="95"/>
      <c r="AA68" s="95"/>
      <c r="AB68" s="95"/>
      <c r="AC68" s="95"/>
    </row>
    <row r="69" spans="1:29" s="145" customFormat="1" x14ac:dyDescent="0.2">
      <c r="A69" s="95" t="s">
        <v>459</v>
      </c>
      <c r="B69" s="95" t="s">
        <v>266</v>
      </c>
      <c r="C69" s="95" t="s">
        <v>298</v>
      </c>
      <c r="D69" s="95" t="s">
        <v>418</v>
      </c>
      <c r="E69" s="95">
        <v>-9999</v>
      </c>
      <c r="F69" s="95">
        <v>-9999</v>
      </c>
      <c r="G69" s="95"/>
      <c r="H69" s="95"/>
      <c r="I69" s="95"/>
      <c r="J69" s="43" t="s">
        <v>1209</v>
      </c>
      <c r="K69" s="95"/>
      <c r="L69" s="95"/>
      <c r="M69" s="95"/>
      <c r="N69" s="95"/>
      <c r="O69" s="95"/>
      <c r="P69" s="95"/>
      <c r="Q69" s="95"/>
      <c r="R69" s="95"/>
      <c r="S69" s="95"/>
      <c r="T69" s="95"/>
      <c r="U69" s="95"/>
      <c r="V69" s="95"/>
      <c r="W69" s="95"/>
      <c r="X69" s="95"/>
      <c r="Y69" s="95"/>
      <c r="Z69" s="95"/>
      <c r="AA69" s="95"/>
      <c r="AB69" s="95"/>
      <c r="AC69" s="95"/>
    </row>
    <row r="70" spans="1:29" s="145" customFormat="1" x14ac:dyDescent="0.2">
      <c r="A70" s="95" t="s">
        <v>459</v>
      </c>
      <c r="B70" s="95" t="s">
        <v>266</v>
      </c>
      <c r="C70" s="95" t="s">
        <v>298</v>
      </c>
      <c r="D70" s="95" t="s">
        <v>419</v>
      </c>
      <c r="E70" s="95">
        <v>-9999</v>
      </c>
      <c r="F70" s="95">
        <v>-9999</v>
      </c>
      <c r="G70" s="95"/>
      <c r="H70" s="95"/>
      <c r="I70" s="95"/>
      <c r="J70" s="43" t="s">
        <v>1409</v>
      </c>
      <c r="K70" s="95"/>
      <c r="L70" s="95"/>
      <c r="M70" s="95"/>
      <c r="N70" s="95"/>
      <c r="O70" s="95"/>
      <c r="P70" s="95"/>
      <c r="Q70" s="95"/>
      <c r="R70" s="95"/>
      <c r="S70" s="95"/>
      <c r="T70" s="95"/>
      <c r="U70" s="95"/>
      <c r="V70" s="95"/>
      <c r="W70" s="95"/>
      <c r="X70" s="95"/>
      <c r="Y70" s="95"/>
      <c r="Z70" s="95"/>
      <c r="AA70" s="95"/>
      <c r="AB70" s="95"/>
      <c r="AC70" s="95"/>
    </row>
    <row r="71" spans="1:29" s="145" customFormat="1" x14ac:dyDescent="0.2">
      <c r="A71" s="257" t="s">
        <v>1363</v>
      </c>
      <c r="B71" s="255" t="s">
        <v>266</v>
      </c>
      <c r="C71" s="255" t="s">
        <v>298</v>
      </c>
      <c r="D71" s="255" t="s">
        <v>419</v>
      </c>
      <c r="E71" s="255">
        <v>-9999</v>
      </c>
      <c r="F71" s="255">
        <v>-9999</v>
      </c>
      <c r="G71" s="255"/>
      <c r="H71" s="95"/>
      <c r="I71" s="95"/>
      <c r="J71" s="43" t="s">
        <v>1409</v>
      </c>
      <c r="K71" s="95"/>
      <c r="L71" s="95"/>
      <c r="M71" s="95"/>
      <c r="N71" s="95"/>
      <c r="O71" s="95"/>
      <c r="P71" s="95"/>
      <c r="Q71" s="95"/>
      <c r="R71" s="95"/>
      <c r="S71" s="95"/>
      <c r="T71" s="95"/>
      <c r="U71" s="95"/>
      <c r="V71" s="95"/>
      <c r="W71" s="95"/>
      <c r="X71" s="95"/>
      <c r="Y71" s="95"/>
      <c r="Z71" s="95"/>
      <c r="AA71" s="95"/>
      <c r="AB71" s="95"/>
      <c r="AC71" s="95"/>
    </row>
    <row r="72" spans="1:29" s="145" customFormat="1" x14ac:dyDescent="0.2">
      <c r="A72" s="257" t="s">
        <v>1253</v>
      </c>
      <c r="B72" s="257" t="s">
        <v>266</v>
      </c>
      <c r="C72" s="257" t="s">
        <v>298</v>
      </c>
      <c r="D72" s="257" t="s">
        <v>418</v>
      </c>
      <c r="E72" s="255">
        <v>-9999</v>
      </c>
      <c r="F72" s="255">
        <v>-9999</v>
      </c>
      <c r="G72" s="255"/>
      <c r="H72" s="95"/>
      <c r="I72" s="95"/>
      <c r="J72" s="43" t="s">
        <v>1209</v>
      </c>
      <c r="K72" s="95"/>
      <c r="L72" s="95"/>
      <c r="M72" s="95"/>
      <c r="N72" s="95"/>
      <c r="O72" s="95"/>
      <c r="P72" s="95"/>
      <c r="Q72" s="95"/>
      <c r="R72" s="95"/>
      <c r="S72" s="95"/>
      <c r="T72" s="95"/>
      <c r="U72" s="95"/>
      <c r="V72" s="95"/>
      <c r="W72" s="95"/>
      <c r="X72" s="95"/>
      <c r="Y72" s="95"/>
      <c r="Z72" s="95"/>
      <c r="AA72" s="95"/>
      <c r="AB72" s="95"/>
      <c r="AC72" s="95"/>
    </row>
    <row r="73" spans="1:29" s="145" customFormat="1" x14ac:dyDescent="0.2">
      <c r="A73" s="95" t="s">
        <v>321</v>
      </c>
      <c r="B73" s="95" t="s">
        <v>266</v>
      </c>
      <c r="C73" s="95" t="s">
        <v>298</v>
      </c>
      <c r="D73" s="255" t="s">
        <v>465</v>
      </c>
      <c r="E73" s="95">
        <v>-9999</v>
      </c>
      <c r="F73" s="95">
        <v>-9999</v>
      </c>
      <c r="G73" s="95"/>
      <c r="H73" s="95"/>
      <c r="I73" s="95"/>
      <c r="J73" s="95"/>
      <c r="K73" s="95"/>
      <c r="L73" s="95"/>
      <c r="M73" s="95"/>
      <c r="N73" s="95"/>
      <c r="O73" s="95"/>
      <c r="P73" s="95"/>
      <c r="Q73" s="95"/>
      <c r="R73" s="95"/>
      <c r="S73" s="95"/>
      <c r="T73" s="95"/>
      <c r="U73" s="95"/>
      <c r="V73" s="95"/>
      <c r="W73" s="95"/>
      <c r="X73" s="95"/>
      <c r="Y73" s="95"/>
      <c r="Z73" s="95"/>
      <c r="AA73" s="95"/>
      <c r="AB73" s="95"/>
      <c r="AC73" s="95"/>
    </row>
    <row r="74" spans="1:29" s="145" customFormat="1" x14ac:dyDescent="0.2">
      <c r="A74" s="95" t="s">
        <v>321</v>
      </c>
      <c r="B74" s="95" t="s">
        <v>266</v>
      </c>
      <c r="C74" s="95" t="s">
        <v>298</v>
      </c>
      <c r="D74" s="255" t="s">
        <v>466</v>
      </c>
      <c r="E74" s="95">
        <v>-9999</v>
      </c>
      <c r="F74" s="95">
        <v>-9999</v>
      </c>
      <c r="G74" s="95"/>
      <c r="H74" s="95"/>
      <c r="I74" s="95"/>
      <c r="J74" s="95"/>
      <c r="K74" s="95"/>
      <c r="L74" s="95"/>
      <c r="M74" s="95"/>
      <c r="N74" s="95"/>
      <c r="O74" s="95"/>
      <c r="P74" s="95"/>
      <c r="Q74" s="95"/>
      <c r="R74" s="95"/>
      <c r="S74" s="95"/>
      <c r="T74" s="95"/>
      <c r="U74" s="95"/>
      <c r="V74" s="95"/>
      <c r="W74" s="95"/>
      <c r="X74" s="95"/>
      <c r="Y74" s="95"/>
      <c r="Z74" s="95"/>
      <c r="AA74" s="95"/>
      <c r="AB74" s="95"/>
      <c r="AC74" s="95"/>
    </row>
    <row r="75" spans="1:29" s="145" customFormat="1" x14ac:dyDescent="0.2">
      <c r="A75" s="95" t="s">
        <v>321</v>
      </c>
      <c r="B75" s="95" t="s">
        <v>266</v>
      </c>
      <c r="C75" s="95" t="s">
        <v>298</v>
      </c>
      <c r="D75" s="255" t="s">
        <v>419</v>
      </c>
      <c r="E75" s="95">
        <v>-9999</v>
      </c>
      <c r="F75" s="95">
        <v>-9999</v>
      </c>
      <c r="G75" s="95"/>
      <c r="H75" s="95"/>
      <c r="I75" s="95"/>
      <c r="J75" s="43" t="s">
        <v>1409</v>
      </c>
      <c r="K75" s="95"/>
      <c r="L75" s="95"/>
      <c r="M75" s="95"/>
      <c r="N75" s="95"/>
      <c r="O75" s="95"/>
      <c r="P75" s="95"/>
      <c r="Q75" s="95"/>
      <c r="R75" s="95"/>
      <c r="S75" s="95"/>
      <c r="T75" s="95"/>
      <c r="U75" s="95"/>
      <c r="V75" s="95"/>
      <c r="W75" s="95"/>
      <c r="X75" s="95"/>
      <c r="Y75" s="95"/>
      <c r="Z75" s="95"/>
      <c r="AA75" s="95"/>
      <c r="AB75" s="95"/>
      <c r="AC75" s="95"/>
    </row>
    <row r="76" spans="1:29" s="145" customFormat="1" x14ac:dyDescent="0.2">
      <c r="A76" s="43" t="s">
        <v>1212</v>
      </c>
      <c r="B76" s="95" t="s">
        <v>266</v>
      </c>
      <c r="C76" s="95" t="s">
        <v>298</v>
      </c>
      <c r="D76" s="95" t="s">
        <v>667</v>
      </c>
      <c r="E76" s="95">
        <v>-9999</v>
      </c>
      <c r="F76" s="95">
        <v>-9999</v>
      </c>
      <c r="G76" s="95">
        <v>-9999</v>
      </c>
      <c r="H76" s="43" t="s">
        <v>340</v>
      </c>
      <c r="I76" s="95">
        <v>-9999</v>
      </c>
      <c r="J76" s="95" t="s">
        <v>668</v>
      </c>
      <c r="K76" s="95"/>
      <c r="L76" s="95"/>
      <c r="M76" s="95">
        <v>8</v>
      </c>
      <c r="N76" s="95"/>
      <c r="O76" s="95"/>
      <c r="P76" s="95"/>
      <c r="Q76" s="95"/>
      <c r="R76" s="95"/>
      <c r="S76" s="95"/>
      <c r="T76" s="95" t="s">
        <v>670</v>
      </c>
      <c r="U76" s="95"/>
      <c r="V76" s="95"/>
      <c r="W76" s="95"/>
      <c r="X76" s="95"/>
      <c r="Y76" s="95"/>
      <c r="Z76" s="95"/>
      <c r="AA76" s="95"/>
      <c r="AB76" s="95"/>
      <c r="AC76" s="95"/>
    </row>
    <row r="77" spans="1:29" s="104" customFormat="1" x14ac:dyDescent="0.2">
      <c r="A77" s="18" t="s">
        <v>1427</v>
      </c>
      <c r="B77" s="107"/>
      <c r="C77" s="107"/>
      <c r="D77" s="107"/>
      <c r="E77" s="107"/>
      <c r="F77" s="107"/>
      <c r="G77" s="107"/>
      <c r="H77" s="107"/>
      <c r="I77" s="107"/>
      <c r="J77" s="107"/>
      <c r="K77" s="107"/>
      <c r="L77" s="107"/>
      <c r="M77" s="107"/>
      <c r="N77" s="107"/>
      <c r="O77" s="107"/>
      <c r="P77" s="107"/>
      <c r="Q77" s="107"/>
      <c r="R77" s="107"/>
      <c r="S77" s="107"/>
      <c r="T77" s="107"/>
      <c r="U77" s="107"/>
      <c r="V77" s="107"/>
      <c r="W77" s="107"/>
      <c r="X77" s="107"/>
      <c r="Y77" s="107"/>
      <c r="Z77" s="107"/>
      <c r="AA77" s="107"/>
      <c r="AB77" s="107"/>
      <c r="AC77" s="107"/>
    </row>
    <row r="78" spans="1:29" s="104" customFormat="1" x14ac:dyDescent="0.2">
      <c r="A78" s="95" t="s">
        <v>898</v>
      </c>
      <c r="B78" s="95" t="s">
        <v>266</v>
      </c>
      <c r="C78" s="95" t="s">
        <v>308</v>
      </c>
      <c r="D78" s="95" t="s">
        <v>309</v>
      </c>
      <c r="E78" s="43" t="s">
        <v>296</v>
      </c>
      <c r="F78" s="95"/>
      <c r="G78" s="95" t="s">
        <v>323</v>
      </c>
      <c r="H78" s="95"/>
      <c r="I78" s="95" t="s">
        <v>324</v>
      </c>
      <c r="J78" s="95" t="s">
        <v>325</v>
      </c>
      <c r="K78" s="110"/>
      <c r="L78" s="110"/>
      <c r="M78" s="95"/>
      <c r="N78" s="95"/>
      <c r="O78" s="95"/>
      <c r="P78" s="95"/>
      <c r="Q78" s="95"/>
      <c r="R78" s="95"/>
      <c r="S78" s="95"/>
      <c r="T78" s="95"/>
      <c r="U78" s="95"/>
      <c r="V78" s="95"/>
      <c r="W78" s="95"/>
      <c r="X78" s="95"/>
      <c r="Y78" s="95"/>
      <c r="Z78" s="95"/>
      <c r="AA78" s="95"/>
      <c r="AB78" s="95"/>
      <c r="AC78" s="95"/>
    </row>
    <row r="79" spans="1:29" s="104" customFormat="1" x14ac:dyDescent="0.2">
      <c r="A79" s="95" t="s">
        <v>898</v>
      </c>
      <c r="B79" s="95" t="s">
        <v>266</v>
      </c>
      <c r="C79" s="95" t="s">
        <v>308</v>
      </c>
      <c r="D79" s="95" t="s">
        <v>309</v>
      </c>
      <c r="E79" s="43" t="s">
        <v>296</v>
      </c>
      <c r="F79" s="95"/>
      <c r="G79" s="95" t="s">
        <v>323</v>
      </c>
      <c r="H79" s="95"/>
      <c r="I79" s="95" t="s">
        <v>324</v>
      </c>
      <c r="J79" s="95" t="s">
        <v>325</v>
      </c>
      <c r="K79" s="110"/>
      <c r="L79" s="110"/>
      <c r="M79" s="95"/>
      <c r="N79" s="95"/>
      <c r="O79" s="95"/>
      <c r="P79" s="95"/>
      <c r="Q79" s="95"/>
      <c r="R79" s="95"/>
      <c r="S79" s="95"/>
      <c r="T79" s="95"/>
      <c r="U79" s="95"/>
      <c r="V79" s="95"/>
      <c r="W79" s="95"/>
      <c r="X79" s="95"/>
      <c r="Y79" s="95"/>
      <c r="Z79" s="95"/>
      <c r="AA79" s="95"/>
      <c r="AB79" s="95"/>
      <c r="AC79" s="95"/>
    </row>
    <row r="80" spans="1:29" s="104" customFormat="1" x14ac:dyDescent="0.2">
      <c r="A80" s="95" t="s">
        <v>898</v>
      </c>
      <c r="B80" s="95" t="s">
        <v>266</v>
      </c>
      <c r="C80" s="95" t="s">
        <v>298</v>
      </c>
      <c r="D80" s="95" t="s">
        <v>326</v>
      </c>
      <c r="E80" s="43" t="s">
        <v>296</v>
      </c>
      <c r="F80" s="95"/>
      <c r="G80" s="95" t="s">
        <v>327</v>
      </c>
      <c r="H80" s="95"/>
      <c r="I80" s="95" t="s">
        <v>328</v>
      </c>
      <c r="J80" s="95" t="s">
        <v>329</v>
      </c>
      <c r="K80" s="110"/>
      <c r="L80" s="110"/>
      <c r="M80" s="95"/>
      <c r="N80" s="95"/>
      <c r="O80" s="95"/>
      <c r="P80" s="95"/>
      <c r="Q80" s="95"/>
      <c r="R80" s="95"/>
      <c r="S80" s="95"/>
      <c r="T80" s="95"/>
      <c r="U80" s="95"/>
      <c r="V80" s="95"/>
      <c r="W80" s="95"/>
      <c r="X80" s="95"/>
      <c r="Y80" s="95"/>
      <c r="Z80" s="95"/>
      <c r="AA80" s="95"/>
      <c r="AB80" s="95"/>
      <c r="AC80" s="95"/>
    </row>
    <row r="81" spans="1:29" s="104" customFormat="1" x14ac:dyDescent="0.2">
      <c r="A81" s="95" t="s">
        <v>898</v>
      </c>
      <c r="B81" s="95" t="s">
        <v>266</v>
      </c>
      <c r="C81" s="95" t="s">
        <v>298</v>
      </c>
      <c r="D81" s="95" t="s">
        <v>326</v>
      </c>
      <c r="E81" s="43" t="s">
        <v>296</v>
      </c>
      <c r="F81" s="95"/>
      <c r="G81" s="95" t="s">
        <v>327</v>
      </c>
      <c r="H81" s="95"/>
      <c r="I81" s="95" t="s">
        <v>328</v>
      </c>
      <c r="J81" s="95" t="s">
        <v>329</v>
      </c>
      <c r="K81" s="110"/>
      <c r="L81" s="110"/>
      <c r="M81" s="95"/>
      <c r="N81" s="95"/>
      <c r="O81" s="95"/>
      <c r="P81" s="95"/>
      <c r="Q81" s="95"/>
      <c r="R81" s="95"/>
      <c r="S81" s="95"/>
      <c r="T81" s="95"/>
      <c r="U81" s="95"/>
      <c r="V81" s="95"/>
      <c r="W81" s="95"/>
      <c r="X81" s="95"/>
      <c r="Y81" s="95"/>
      <c r="Z81" s="95"/>
      <c r="AA81" s="95"/>
      <c r="AB81" s="95"/>
      <c r="AC81" s="95"/>
    </row>
    <row r="82" spans="1:29" s="104" customFormat="1" x14ac:dyDescent="0.2">
      <c r="A82" s="95" t="s">
        <v>206</v>
      </c>
      <c r="B82" s="95" t="s">
        <v>266</v>
      </c>
      <c r="C82" s="95" t="s">
        <v>331</v>
      </c>
      <c r="D82" s="95" t="s">
        <v>332</v>
      </c>
      <c r="E82" s="95" t="s">
        <v>302</v>
      </c>
      <c r="F82" s="95"/>
      <c r="G82" s="95"/>
      <c r="H82" s="95" t="s">
        <v>333</v>
      </c>
      <c r="I82" s="95"/>
      <c r="J82" s="95" t="s">
        <v>334</v>
      </c>
      <c r="K82" s="110"/>
      <c r="L82" s="110"/>
      <c r="M82" s="95">
        <v>5.7</v>
      </c>
      <c r="N82" s="95"/>
      <c r="O82" s="95"/>
      <c r="P82" s="95"/>
      <c r="Q82" s="95"/>
      <c r="R82" s="95"/>
      <c r="S82" s="95"/>
      <c r="T82" s="130">
        <v>1.6E-2</v>
      </c>
      <c r="U82" s="95"/>
      <c r="V82" s="95"/>
      <c r="W82" s="95"/>
      <c r="X82" s="95"/>
      <c r="Y82" s="95"/>
      <c r="Z82" s="95"/>
      <c r="AA82" s="95"/>
      <c r="AB82" s="95"/>
      <c r="AC82" s="95"/>
    </row>
    <row r="83" spans="1:29" s="104" customFormat="1" x14ac:dyDescent="0.2">
      <c r="A83" s="95" t="s">
        <v>330</v>
      </c>
      <c r="B83" s="95" t="s">
        <v>266</v>
      </c>
      <c r="C83" s="95" t="s">
        <v>331</v>
      </c>
      <c r="D83" s="95" t="s">
        <v>332</v>
      </c>
      <c r="E83" s="95" t="s">
        <v>302</v>
      </c>
      <c r="F83" s="95"/>
      <c r="G83" s="95"/>
      <c r="H83" s="95" t="s">
        <v>333</v>
      </c>
      <c r="I83" s="95"/>
      <c r="J83" s="95" t="s">
        <v>334</v>
      </c>
      <c r="K83" s="110"/>
      <c r="L83" s="110"/>
      <c r="M83" s="95">
        <v>5.7</v>
      </c>
      <c r="N83" s="95"/>
      <c r="O83" s="95"/>
      <c r="P83" s="95"/>
      <c r="Q83" s="95"/>
      <c r="R83" s="95"/>
      <c r="S83" s="95"/>
      <c r="T83" s="130">
        <v>1.6E-2</v>
      </c>
      <c r="U83" s="95"/>
      <c r="V83" s="95"/>
      <c r="W83" s="95"/>
      <c r="X83" s="95"/>
      <c r="Y83" s="95"/>
      <c r="Z83" s="95"/>
      <c r="AA83" s="95"/>
      <c r="AB83" s="95"/>
      <c r="AC83" s="95"/>
    </row>
    <row r="84" spans="1:29" s="104" customFormat="1" x14ac:dyDescent="0.2">
      <c r="A84" s="95" t="s">
        <v>207</v>
      </c>
      <c r="B84" s="95" t="s">
        <v>266</v>
      </c>
      <c r="C84" s="95" t="s">
        <v>331</v>
      </c>
      <c r="D84" s="95" t="s">
        <v>332</v>
      </c>
      <c r="E84" s="95" t="s">
        <v>302</v>
      </c>
      <c r="F84" s="95"/>
      <c r="G84" s="95"/>
      <c r="H84" s="95" t="s">
        <v>333</v>
      </c>
      <c r="I84" s="95"/>
      <c r="J84" s="95" t="s">
        <v>334</v>
      </c>
      <c r="K84" s="110"/>
      <c r="L84" s="110"/>
      <c r="M84" s="95">
        <v>5.7</v>
      </c>
      <c r="N84" s="95"/>
      <c r="O84" s="95"/>
      <c r="P84" s="95"/>
      <c r="Q84" s="95"/>
      <c r="R84" s="95"/>
      <c r="S84" s="95"/>
      <c r="T84" s="130">
        <v>1.6E-2</v>
      </c>
      <c r="U84" s="95"/>
      <c r="V84" s="95"/>
      <c r="W84" s="95"/>
      <c r="X84" s="95"/>
      <c r="Y84" s="95"/>
      <c r="Z84" s="95"/>
      <c r="AA84" s="95"/>
      <c r="AB84" s="95"/>
      <c r="AC84" s="95"/>
    </row>
    <row r="85" spans="1:29" s="104" customFormat="1" x14ac:dyDescent="0.2">
      <c r="A85" s="95" t="s">
        <v>540</v>
      </c>
      <c r="B85" s="95" t="s">
        <v>266</v>
      </c>
      <c r="C85" s="95" t="s">
        <v>331</v>
      </c>
      <c r="D85" s="95" t="s">
        <v>332</v>
      </c>
      <c r="E85" s="95" t="s">
        <v>302</v>
      </c>
      <c r="F85" s="95"/>
      <c r="G85" s="95"/>
      <c r="H85" s="95" t="s">
        <v>333</v>
      </c>
      <c r="I85" s="95"/>
      <c r="J85" s="95" t="s">
        <v>334</v>
      </c>
      <c r="K85" s="110"/>
      <c r="L85" s="110"/>
      <c r="M85" s="95">
        <v>5.7</v>
      </c>
      <c r="N85" s="95"/>
      <c r="O85" s="95"/>
      <c r="P85" s="95"/>
      <c r="Q85" s="95"/>
      <c r="R85" s="95"/>
      <c r="S85" s="95"/>
      <c r="T85" s="130">
        <v>1.6E-2</v>
      </c>
      <c r="U85" s="95"/>
      <c r="V85" s="95"/>
      <c r="W85" s="95"/>
      <c r="X85" s="95"/>
      <c r="Y85" s="95"/>
      <c r="Z85" s="95"/>
      <c r="AA85" s="95"/>
      <c r="AB85" s="95"/>
      <c r="AC85" s="95"/>
    </row>
    <row r="86" spans="1:29" s="104" customFormat="1" x14ac:dyDescent="0.2">
      <c r="A86" s="95" t="s">
        <v>872</v>
      </c>
      <c r="B86" s="95" t="s">
        <v>266</v>
      </c>
      <c r="C86" s="95" t="s">
        <v>331</v>
      </c>
      <c r="D86" s="95" t="s">
        <v>335</v>
      </c>
      <c r="E86" s="95" t="s">
        <v>302</v>
      </c>
      <c r="F86" s="95"/>
      <c r="G86" s="95"/>
      <c r="H86" s="95" t="s">
        <v>333</v>
      </c>
      <c r="I86" s="95" t="s">
        <v>336</v>
      </c>
      <c r="J86" s="95" t="s">
        <v>337</v>
      </c>
      <c r="K86" s="95" t="s">
        <v>262</v>
      </c>
      <c r="L86" s="95"/>
      <c r="M86" s="95"/>
      <c r="N86" s="95"/>
      <c r="O86" s="95"/>
      <c r="P86" s="95"/>
      <c r="Q86" s="95"/>
      <c r="R86" s="95"/>
      <c r="S86" s="95"/>
      <c r="T86" s="95"/>
      <c r="U86" s="95"/>
      <c r="V86" s="95"/>
      <c r="W86" s="95"/>
      <c r="X86" s="95"/>
      <c r="Y86" s="95"/>
      <c r="Z86" s="95"/>
      <c r="AA86" s="95"/>
      <c r="AB86" s="95"/>
      <c r="AC86" s="95"/>
    </row>
    <row r="87" spans="1:29" s="104" customFormat="1" x14ac:dyDescent="0.2">
      <c r="A87" s="95" t="s">
        <v>981</v>
      </c>
      <c r="B87" s="95" t="s">
        <v>266</v>
      </c>
      <c r="C87" s="95" t="s">
        <v>331</v>
      </c>
      <c r="D87" s="95" t="s">
        <v>338</v>
      </c>
      <c r="E87" s="95" t="s">
        <v>296</v>
      </c>
      <c r="F87" s="95"/>
      <c r="G87" s="95" t="s">
        <v>339</v>
      </c>
      <c r="H87" s="95" t="s">
        <v>340</v>
      </c>
      <c r="I87" s="95" t="s">
        <v>341</v>
      </c>
      <c r="J87" s="95" t="s">
        <v>342</v>
      </c>
      <c r="K87" s="95" t="s">
        <v>343</v>
      </c>
      <c r="L87" s="95"/>
      <c r="M87" s="95">
        <v>3.83</v>
      </c>
      <c r="N87" s="95">
        <v>0.17</v>
      </c>
      <c r="O87" s="95"/>
      <c r="P87" s="95"/>
      <c r="Q87" s="95"/>
      <c r="R87" s="95"/>
      <c r="S87" s="95"/>
      <c r="T87" s="95"/>
      <c r="U87" s="95">
        <v>1.78</v>
      </c>
      <c r="V87" s="95">
        <v>0.09</v>
      </c>
      <c r="W87" s="95"/>
      <c r="X87" s="95"/>
      <c r="Y87" s="95"/>
      <c r="Z87" s="95"/>
      <c r="AA87" s="95"/>
      <c r="AB87" s="95">
        <v>1.97</v>
      </c>
      <c r="AC87" s="95" t="s">
        <v>344</v>
      </c>
    </row>
    <row r="88" spans="1:29" s="104" customFormat="1" x14ac:dyDescent="0.2">
      <c r="A88" s="95" t="s">
        <v>981</v>
      </c>
      <c r="B88" s="95" t="s">
        <v>266</v>
      </c>
      <c r="C88" s="95" t="s">
        <v>331</v>
      </c>
      <c r="D88" s="95" t="s">
        <v>345</v>
      </c>
      <c r="E88" s="95" t="s">
        <v>296</v>
      </c>
      <c r="F88" s="95"/>
      <c r="G88" s="95"/>
      <c r="H88" s="95" t="s">
        <v>333</v>
      </c>
      <c r="I88" s="95" t="s">
        <v>346</v>
      </c>
      <c r="J88" s="95" t="s">
        <v>347</v>
      </c>
      <c r="K88" s="95" t="s">
        <v>343</v>
      </c>
      <c r="L88" s="95"/>
      <c r="M88" s="95">
        <v>4.67</v>
      </c>
      <c r="N88" s="95">
        <v>0.15</v>
      </c>
      <c r="O88" s="95"/>
      <c r="P88" s="95"/>
      <c r="Q88" s="95"/>
      <c r="R88" s="95"/>
      <c r="S88" s="95"/>
      <c r="T88" s="95"/>
      <c r="U88" s="95">
        <v>1.01</v>
      </c>
      <c r="V88" s="95">
        <v>0.11</v>
      </c>
      <c r="W88" s="95"/>
      <c r="X88" s="95"/>
      <c r="Y88" s="95"/>
      <c r="Z88" s="95"/>
      <c r="AA88" s="95"/>
      <c r="AB88" s="95">
        <v>5.4</v>
      </c>
      <c r="AC88" s="95" t="s">
        <v>348</v>
      </c>
    </row>
    <row r="89" spans="1:29" s="104" customFormat="1" x14ac:dyDescent="0.2">
      <c r="A89" s="228" t="s">
        <v>1425</v>
      </c>
      <c r="B89" s="95" t="s">
        <v>266</v>
      </c>
      <c r="C89" s="95" t="s">
        <v>331</v>
      </c>
      <c r="D89" s="95" t="s">
        <v>210</v>
      </c>
      <c r="E89" s="95" t="s">
        <v>302</v>
      </c>
      <c r="F89" s="95"/>
      <c r="G89" s="95" t="s">
        <v>327</v>
      </c>
      <c r="H89" s="95" t="s">
        <v>340</v>
      </c>
      <c r="I89" s="95" t="s">
        <v>1356</v>
      </c>
      <c r="J89" s="95" t="s">
        <v>209</v>
      </c>
      <c r="K89" s="95"/>
      <c r="L89" s="95"/>
      <c r="M89" s="95"/>
      <c r="N89" s="95"/>
      <c r="O89" s="95"/>
      <c r="P89" s="95"/>
      <c r="Q89" s="95"/>
      <c r="R89" s="95"/>
      <c r="S89" s="95"/>
      <c r="T89" s="95" t="s">
        <v>214</v>
      </c>
      <c r="U89" s="95"/>
      <c r="V89" s="95"/>
      <c r="W89" s="95"/>
      <c r="X89" s="95"/>
      <c r="Y89" s="95" t="s">
        <v>214</v>
      </c>
      <c r="Z89" s="95"/>
      <c r="AA89" s="95"/>
      <c r="AB89" s="95"/>
      <c r="AC89" s="95"/>
    </row>
    <row r="90" spans="1:29" s="104" customFormat="1" x14ac:dyDescent="0.2">
      <c r="A90" s="95" t="s">
        <v>440</v>
      </c>
      <c r="B90" s="95" t="s">
        <v>266</v>
      </c>
      <c r="C90" s="95" t="s">
        <v>298</v>
      </c>
      <c r="D90" s="131" t="s">
        <v>441</v>
      </c>
      <c r="E90" s="95"/>
      <c r="F90" s="95"/>
      <c r="G90" s="95"/>
      <c r="H90" s="95" t="s">
        <v>340</v>
      </c>
      <c r="I90" s="95" t="s">
        <v>212</v>
      </c>
      <c r="J90" s="95" t="s">
        <v>213</v>
      </c>
      <c r="K90" s="95"/>
      <c r="L90" s="95"/>
      <c r="M90" s="95"/>
      <c r="N90" s="95"/>
      <c r="O90" s="95"/>
      <c r="P90" s="95"/>
      <c r="Q90" s="95"/>
      <c r="R90" s="95"/>
      <c r="S90" s="95"/>
      <c r="T90" s="95" t="s">
        <v>214</v>
      </c>
      <c r="U90" s="95"/>
      <c r="V90" s="95"/>
      <c r="W90" s="95"/>
      <c r="X90" s="95"/>
      <c r="Y90" s="95" t="s">
        <v>214</v>
      </c>
      <c r="Z90" s="95"/>
      <c r="AA90" s="95"/>
      <c r="AB90" s="95"/>
      <c r="AC90" s="95" t="s">
        <v>215</v>
      </c>
    </row>
    <row r="91" spans="1:29" s="104" customFormat="1" x14ac:dyDescent="0.2">
      <c r="A91" s="43" t="s">
        <v>205</v>
      </c>
      <c r="B91" s="95" t="s">
        <v>266</v>
      </c>
      <c r="C91" s="95" t="s">
        <v>298</v>
      </c>
      <c r="D91" s="131" t="s">
        <v>441</v>
      </c>
      <c r="E91" s="95"/>
      <c r="F91" s="95"/>
      <c r="G91" s="95"/>
      <c r="H91" s="95" t="s">
        <v>340</v>
      </c>
      <c r="I91" s="95" t="s">
        <v>212</v>
      </c>
      <c r="J91" s="95" t="s">
        <v>213</v>
      </c>
      <c r="K91" s="95"/>
      <c r="L91" s="95"/>
      <c r="M91" s="95"/>
      <c r="N91" s="95"/>
      <c r="O91" s="95"/>
      <c r="P91" s="95"/>
      <c r="Q91" s="95"/>
      <c r="R91" s="95"/>
      <c r="S91" s="95"/>
      <c r="T91" s="95" t="s">
        <v>214</v>
      </c>
      <c r="U91" s="95"/>
      <c r="V91" s="95"/>
      <c r="W91" s="95"/>
      <c r="X91" s="95"/>
      <c r="Y91" s="95" t="s">
        <v>214</v>
      </c>
      <c r="Z91" s="95"/>
      <c r="AA91" s="95"/>
      <c r="AB91" s="95"/>
      <c r="AC91" s="95"/>
    </row>
    <row r="92" spans="1:29" s="104" customFormat="1" x14ac:dyDescent="0.2">
      <c r="A92" s="95" t="s">
        <v>204</v>
      </c>
      <c r="B92" s="95" t="s">
        <v>266</v>
      </c>
      <c r="C92" s="95" t="s">
        <v>298</v>
      </c>
      <c r="D92" s="131" t="s">
        <v>441</v>
      </c>
      <c r="E92" s="95"/>
      <c r="F92" s="95"/>
      <c r="G92" s="95"/>
      <c r="H92" s="95" t="s">
        <v>340</v>
      </c>
      <c r="I92" s="95" t="s">
        <v>212</v>
      </c>
      <c r="J92" s="95" t="s">
        <v>213</v>
      </c>
      <c r="K92" s="95"/>
      <c r="L92" s="95"/>
      <c r="M92" s="95"/>
      <c r="N92" s="95"/>
      <c r="O92" s="95"/>
      <c r="P92" s="95"/>
      <c r="Q92" s="95"/>
      <c r="R92" s="95"/>
      <c r="S92" s="95"/>
      <c r="T92" s="95" t="s">
        <v>214</v>
      </c>
      <c r="U92" s="95"/>
      <c r="V92" s="95"/>
      <c r="W92" s="95"/>
      <c r="X92" s="95"/>
      <c r="Y92" s="95" t="s">
        <v>214</v>
      </c>
      <c r="Z92" s="95"/>
      <c r="AA92" s="95"/>
      <c r="AB92" s="95"/>
      <c r="AC92" s="95"/>
    </row>
    <row r="93" spans="1:29" x14ac:dyDescent="0.2">
      <c r="A93" s="109"/>
    </row>
    <row r="94" spans="1:29" x14ac:dyDescent="0.2">
      <c r="A94" s="109"/>
    </row>
    <row r="95" spans="1:29" x14ac:dyDescent="0.2">
      <c r="A95" s="109"/>
    </row>
    <row r="96" spans="1:29" x14ac:dyDescent="0.2">
      <c r="A96" s="109"/>
    </row>
    <row r="114" spans="1:1" x14ac:dyDescent="0.2">
      <c r="A114" s="109"/>
    </row>
    <row r="115" spans="1:1" x14ac:dyDescent="0.2">
      <c r="A115" s="109"/>
    </row>
    <row r="116" spans="1:1" x14ac:dyDescent="0.2">
      <c r="A116" s="109"/>
    </row>
  </sheetData>
  <phoneticPr fontId="24" type="noConversion"/>
  <pageMargins left="0.75" right="0.75" top="1" bottom="1" header="0.5" footer="0.5"/>
  <pageSetup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B144"/>
  <sheetViews>
    <sheetView tabSelected="1" workbookViewId="0">
      <pane xSplit="10800" ySplit="1680" topLeftCell="CG1" activePane="bottomRight"/>
      <selection activeCell="F68" sqref="F68"/>
      <selection pane="topRight" activeCell="CI14" sqref="CI14"/>
      <selection pane="bottomLeft" activeCell="A110" sqref="A110"/>
      <selection pane="bottomRight" activeCell="CO14" sqref="CO14"/>
    </sheetView>
  </sheetViews>
  <sheetFormatPr defaultRowHeight="12.75" x14ac:dyDescent="0.2"/>
  <cols>
    <col min="1" max="1" width="26.140625" customWidth="1"/>
    <col min="3" max="3" width="16.7109375" customWidth="1"/>
    <col min="13" max="14" width="8.85546875" style="386"/>
    <col min="16" max="25" width="8.85546875" style="386"/>
    <col min="26" max="26" width="11.42578125" customWidth="1"/>
    <col min="33" max="33" width="10.7109375" customWidth="1"/>
    <col min="45" max="45" width="14.7109375" customWidth="1"/>
    <col min="46" max="46" width="12.42578125" customWidth="1"/>
    <col min="47" max="47" width="8.7109375" customWidth="1"/>
    <col min="50" max="50" width="8.7109375" customWidth="1"/>
    <col min="52" max="52" width="10" customWidth="1"/>
    <col min="54" max="54" width="9.7109375" customWidth="1"/>
    <col min="55" max="55" width="11.85546875" customWidth="1"/>
    <col min="56" max="56" width="11.140625" customWidth="1"/>
    <col min="57" max="57" width="11" customWidth="1"/>
    <col min="59" max="59" width="10.7109375" customWidth="1"/>
    <col min="60" max="60" width="10" customWidth="1"/>
    <col min="61" max="61" width="36.5703125" customWidth="1"/>
    <col min="80" max="80" width="24.42578125" customWidth="1"/>
    <col min="83" max="84" width="8.85546875" style="386"/>
    <col min="86" max="87" width="20.7109375" customWidth="1"/>
  </cols>
  <sheetData>
    <row r="1" spans="1:93" x14ac:dyDescent="0.2">
      <c r="A1" t="s">
        <v>1756</v>
      </c>
    </row>
    <row r="2" spans="1:93" x14ac:dyDescent="0.2">
      <c r="A2" t="s">
        <v>1762</v>
      </c>
    </row>
    <row r="3" spans="1:93" x14ac:dyDescent="0.2">
      <c r="A3" t="s">
        <v>1566</v>
      </c>
    </row>
    <row r="4" spans="1:93" x14ac:dyDescent="0.2">
      <c r="A4" t="s">
        <v>1710</v>
      </c>
    </row>
    <row r="5" spans="1:93" s="61" customFormat="1" x14ac:dyDescent="0.2">
      <c r="A5" s="320" t="s">
        <v>2038</v>
      </c>
      <c r="B5" s="34"/>
      <c r="C5"/>
      <c r="D5"/>
      <c r="E5"/>
      <c r="F5"/>
      <c r="G5"/>
      <c r="H5"/>
      <c r="I5"/>
      <c r="J5"/>
      <c r="K5"/>
      <c r="L5"/>
      <c r="M5" s="386"/>
      <c r="N5"/>
      <c r="O5" s="104"/>
      <c r="P5" s="386"/>
      <c r="Q5"/>
      <c r="R5" s="386"/>
      <c r="S5"/>
      <c r="T5" s="386"/>
      <c r="U5"/>
      <c r="V5"/>
      <c r="W5" s="386"/>
      <c r="X5"/>
      <c r="Y5"/>
      <c r="Z5"/>
      <c r="AA5"/>
      <c r="AB5" s="386"/>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s="293"/>
      <c r="BT5"/>
      <c r="BU5"/>
      <c r="BV5"/>
      <c r="BW5"/>
      <c r="BX5"/>
      <c r="BY5"/>
      <c r="BZ5"/>
      <c r="CA5" s="109"/>
      <c r="CE5" s="340"/>
      <c r="CF5" s="340"/>
    </row>
    <row r="6" spans="1:93" s="61" customFormat="1" x14ac:dyDescent="0.2">
      <c r="A6" s="320" t="s">
        <v>2039</v>
      </c>
      <c r="B6" s="34"/>
      <c r="C6"/>
      <c r="D6"/>
      <c r="E6"/>
      <c r="F6"/>
      <c r="G6"/>
      <c r="H6"/>
      <c r="I6"/>
      <c r="J6"/>
      <c r="K6"/>
      <c r="L6"/>
      <c r="M6" s="386"/>
      <c r="N6"/>
      <c r="O6" s="104"/>
      <c r="P6" s="386"/>
      <c r="Q6"/>
      <c r="R6" s="386"/>
      <c r="S6"/>
      <c r="T6" s="386"/>
      <c r="U6"/>
      <c r="V6"/>
      <c r="W6" s="386"/>
      <c r="X6"/>
      <c r="Y6"/>
      <c r="Z6"/>
      <c r="AA6"/>
      <c r="AB6" s="38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s="293"/>
      <c r="BT6"/>
      <c r="BU6"/>
      <c r="BV6"/>
      <c r="BW6"/>
      <c r="BX6"/>
      <c r="BY6"/>
      <c r="BZ6"/>
      <c r="CA6" s="109"/>
      <c r="CE6" s="340"/>
      <c r="CF6" s="340"/>
    </row>
    <row r="7" spans="1:93" s="61" customFormat="1" x14ac:dyDescent="0.2">
      <c r="A7" s="320" t="s">
        <v>2041</v>
      </c>
      <c r="B7" s="34"/>
      <c r="C7"/>
      <c r="D7"/>
      <c r="E7"/>
      <c r="F7"/>
      <c r="G7"/>
      <c r="H7"/>
      <c r="I7"/>
      <c r="J7"/>
      <c r="K7"/>
      <c r="L7"/>
      <c r="M7" s="386"/>
      <c r="N7"/>
      <c r="O7" s="104"/>
      <c r="P7" s="386"/>
      <c r="Q7"/>
      <c r="R7" s="386"/>
      <c r="S7"/>
      <c r="T7" s="386"/>
      <c r="U7"/>
      <c r="V7"/>
      <c r="W7" s="386"/>
      <c r="X7"/>
      <c r="Y7"/>
      <c r="Z7"/>
      <c r="AA7"/>
      <c r="AB7" s="386"/>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s="293"/>
      <c r="BT7"/>
      <c r="BU7"/>
      <c r="BV7"/>
      <c r="BW7"/>
      <c r="BX7"/>
      <c r="BY7"/>
      <c r="BZ7"/>
      <c r="CA7" s="109"/>
      <c r="CE7" s="340"/>
      <c r="CF7" s="340"/>
    </row>
    <row r="8" spans="1:93" x14ac:dyDescent="0.2">
      <c r="A8" s="320" t="s">
        <v>2016</v>
      </c>
    </row>
    <row r="9" spans="1:93" x14ac:dyDescent="0.2">
      <c r="A9" t="s">
        <v>1760</v>
      </c>
    </row>
    <row r="10" spans="1:93" x14ac:dyDescent="0.2">
      <c r="A10" t="s">
        <v>1761</v>
      </c>
    </row>
    <row r="11" spans="1:93" x14ac:dyDescent="0.2">
      <c r="A11" t="s">
        <v>1574</v>
      </c>
    </row>
    <row r="12" spans="1:93" x14ac:dyDescent="0.2">
      <c r="A12" t="s">
        <v>1567</v>
      </c>
      <c r="CH12" s="320" t="s">
        <v>2151</v>
      </c>
      <c r="CK12" s="320" t="s">
        <v>2131</v>
      </c>
    </row>
    <row r="13" spans="1:93" s="7" customFormat="1" ht="67.5" x14ac:dyDescent="0.25">
      <c r="A13" s="3" t="s">
        <v>579</v>
      </c>
      <c r="B13" s="3" t="s">
        <v>1017</v>
      </c>
      <c r="C13" s="3" t="s">
        <v>1018</v>
      </c>
      <c r="D13" s="3" t="s">
        <v>1267</v>
      </c>
      <c r="E13" s="3" t="s">
        <v>1436</v>
      </c>
      <c r="F13" s="3" t="s">
        <v>580</v>
      </c>
      <c r="G13" s="3" t="s">
        <v>928</v>
      </c>
      <c r="H13" s="46" t="s">
        <v>927</v>
      </c>
      <c r="I13" s="5" t="s">
        <v>581</v>
      </c>
      <c r="J13" s="5" t="s">
        <v>153</v>
      </c>
      <c r="K13" s="5" t="s">
        <v>467</v>
      </c>
      <c r="L13" s="5" t="s">
        <v>582</v>
      </c>
      <c r="M13" s="4" t="s">
        <v>583</v>
      </c>
      <c r="N13" s="4" t="s">
        <v>1019</v>
      </c>
      <c r="O13" s="5" t="s">
        <v>2018</v>
      </c>
      <c r="P13" s="6" t="s">
        <v>584</v>
      </c>
      <c r="Q13" s="6" t="s">
        <v>585</v>
      </c>
      <c r="R13" s="6" t="s">
        <v>1648</v>
      </c>
      <c r="S13" s="6" t="s">
        <v>1684</v>
      </c>
      <c r="T13" s="6" t="s">
        <v>1644</v>
      </c>
      <c r="U13" s="6" t="s">
        <v>1645</v>
      </c>
      <c r="V13" s="6" t="s">
        <v>1642</v>
      </c>
      <c r="W13" s="6" t="s">
        <v>1646</v>
      </c>
      <c r="X13" s="6" t="s">
        <v>1647</v>
      </c>
      <c r="Y13" s="6" t="s">
        <v>1643</v>
      </c>
      <c r="Z13" s="3" t="s">
        <v>586</v>
      </c>
      <c r="AA13" s="3" t="s">
        <v>1690</v>
      </c>
      <c r="AB13" s="4" t="s">
        <v>1021</v>
      </c>
      <c r="AC13" s="5" t="s">
        <v>1951</v>
      </c>
      <c r="AD13" s="3" t="s">
        <v>964</v>
      </c>
      <c r="AE13" s="3" t="s">
        <v>1968</v>
      </c>
      <c r="AF13" s="3" t="s">
        <v>587</v>
      </c>
      <c r="AG13" s="5" t="s">
        <v>588</v>
      </c>
      <c r="AH13" s="3" t="s">
        <v>1222</v>
      </c>
      <c r="AI13" s="3" t="s">
        <v>589</v>
      </c>
      <c r="AJ13" s="5" t="s">
        <v>590</v>
      </c>
      <c r="AK13" s="3" t="s">
        <v>1469</v>
      </c>
      <c r="AL13" s="3" t="s">
        <v>591</v>
      </c>
      <c r="AM13" s="3" t="s">
        <v>595</v>
      </c>
      <c r="AN13" s="3" t="s">
        <v>596</v>
      </c>
      <c r="AO13" s="3" t="s">
        <v>597</v>
      </c>
      <c r="AP13" s="3" t="s">
        <v>598</v>
      </c>
      <c r="AQ13" s="3" t="s">
        <v>599</v>
      </c>
      <c r="AR13" s="5" t="s">
        <v>933</v>
      </c>
      <c r="AS13" s="5" t="s">
        <v>2035</v>
      </c>
      <c r="AT13" s="5" t="s">
        <v>740</v>
      </c>
      <c r="AU13" s="5" t="s">
        <v>1691</v>
      </c>
      <c r="AV13" s="5" t="s">
        <v>1183</v>
      </c>
      <c r="AW13" s="5" t="s">
        <v>741</v>
      </c>
      <c r="AX13" s="5" t="s">
        <v>1692</v>
      </c>
      <c r="AY13" s="5" t="s">
        <v>1184</v>
      </c>
      <c r="AZ13" s="3" t="s">
        <v>744</v>
      </c>
      <c r="BA13" s="3" t="s">
        <v>600</v>
      </c>
      <c r="BB13" s="3" t="s">
        <v>601</v>
      </c>
      <c r="BC13" s="3" t="s">
        <v>2032</v>
      </c>
      <c r="BD13" s="3" t="s">
        <v>2033</v>
      </c>
      <c r="BE13" s="3" t="s">
        <v>2034</v>
      </c>
      <c r="BF13" s="3" t="s">
        <v>762</v>
      </c>
      <c r="BG13" s="3" t="s">
        <v>763</v>
      </c>
      <c r="BH13" s="3" t="s">
        <v>764</v>
      </c>
      <c r="BI13" s="3" t="s">
        <v>605</v>
      </c>
      <c r="BJ13" s="5" t="s">
        <v>606</v>
      </c>
      <c r="BK13" s="5" t="s">
        <v>607</v>
      </c>
      <c r="BL13" s="3" t="s">
        <v>608</v>
      </c>
      <c r="BM13" s="3" t="s">
        <v>609</v>
      </c>
      <c r="BN13" s="3" t="s">
        <v>610</v>
      </c>
      <c r="BO13" s="3" t="s">
        <v>611</v>
      </c>
      <c r="BP13" s="3" t="s">
        <v>1022</v>
      </c>
      <c r="BQ13" s="3" t="s">
        <v>612</v>
      </c>
      <c r="BR13" s="3" t="s">
        <v>1023</v>
      </c>
      <c r="BS13" s="294" t="s">
        <v>271</v>
      </c>
      <c r="BT13" s="3" t="s">
        <v>270</v>
      </c>
      <c r="BU13" s="3" t="s">
        <v>1</v>
      </c>
      <c r="BV13" s="3" t="s">
        <v>613</v>
      </c>
      <c r="BW13" s="3" t="s">
        <v>1568</v>
      </c>
      <c r="BX13" s="3" t="s">
        <v>614</v>
      </c>
      <c r="BY13" s="3" t="s">
        <v>615</v>
      </c>
      <c r="BZ13" s="727" t="s">
        <v>1359</v>
      </c>
      <c r="CA13" s="727" t="s">
        <v>1360</v>
      </c>
      <c r="CB13" s="5" t="s">
        <v>605</v>
      </c>
      <c r="CC13" s="3" t="s">
        <v>580</v>
      </c>
      <c r="CD13" s="3" t="s">
        <v>928</v>
      </c>
      <c r="CE13" s="6" t="s">
        <v>1578</v>
      </c>
      <c r="CF13" s="6" t="s">
        <v>1020</v>
      </c>
      <c r="CG13" s="46" t="s">
        <v>927</v>
      </c>
      <c r="CH13" s="5" t="s">
        <v>2122</v>
      </c>
      <c r="CI13" s="5" t="s">
        <v>2123</v>
      </c>
      <c r="CJ13" s="5" t="s">
        <v>2117</v>
      </c>
      <c r="CK13" s="5" t="s">
        <v>351</v>
      </c>
      <c r="CL13" s="5" t="s">
        <v>352</v>
      </c>
      <c r="CM13" s="5" t="s">
        <v>1377</v>
      </c>
      <c r="CN13" s="5" t="s">
        <v>1378</v>
      </c>
      <c r="CO13" s="7" t="s">
        <v>605</v>
      </c>
    </row>
    <row r="14" spans="1:93" s="221" customFormat="1" x14ac:dyDescent="0.2">
      <c r="A14" s="221" t="s">
        <v>616</v>
      </c>
      <c r="M14" s="729"/>
      <c r="N14" s="729"/>
      <c r="P14" s="729"/>
      <c r="Q14" s="729"/>
      <c r="R14" s="729"/>
      <c r="S14" s="729"/>
      <c r="T14" s="729"/>
      <c r="U14" s="729"/>
      <c r="V14" s="729"/>
      <c r="W14" s="729"/>
      <c r="X14" s="729"/>
      <c r="Y14" s="729"/>
      <c r="AR14" s="221">
        <v>1.121</v>
      </c>
      <c r="AU14" s="221">
        <v>1.121</v>
      </c>
      <c r="AX14" s="221">
        <v>1.121</v>
      </c>
      <c r="CE14" s="729"/>
      <c r="CF14" s="729"/>
    </row>
    <row r="15" spans="1:93" s="320" customFormat="1" x14ac:dyDescent="0.2">
      <c r="A15" s="320" t="s">
        <v>617</v>
      </c>
      <c r="B15" s="320" t="s">
        <v>618</v>
      </c>
      <c r="C15" s="320" t="s">
        <v>2</v>
      </c>
      <c r="D15" s="320" t="s">
        <v>619</v>
      </c>
      <c r="E15" s="320" t="s">
        <v>1515</v>
      </c>
      <c r="F15" s="320" t="s">
        <v>620</v>
      </c>
      <c r="G15" s="320">
        <v>1</v>
      </c>
      <c r="H15" s="320" t="s">
        <v>620</v>
      </c>
      <c r="I15" s="320" t="s">
        <v>621</v>
      </c>
      <c r="J15" s="320">
        <v>1987</v>
      </c>
      <c r="K15" s="320" t="s">
        <v>957</v>
      </c>
      <c r="L15" s="320" t="s">
        <v>958</v>
      </c>
      <c r="M15" s="731">
        <v>-9999</v>
      </c>
      <c r="N15" s="731">
        <v>-9999</v>
      </c>
      <c r="P15" s="731">
        <v>-9999</v>
      </c>
      <c r="Q15" s="731">
        <v>-9999</v>
      </c>
      <c r="R15" s="731"/>
      <c r="S15" s="731"/>
      <c r="T15" s="731">
        <v>9.6999999999999993</v>
      </c>
      <c r="U15" s="731">
        <v>0</v>
      </c>
      <c r="V15" s="731"/>
      <c r="W15" s="731">
        <v>-9999</v>
      </c>
      <c r="X15" s="731">
        <v>-9999</v>
      </c>
      <c r="Y15" s="731"/>
      <c r="Z15" s="320" t="s">
        <v>622</v>
      </c>
      <c r="AA15" s="320">
        <v>111111</v>
      </c>
      <c r="AB15" s="320">
        <v>-9999</v>
      </c>
      <c r="AC15" s="320">
        <v>-9999</v>
      </c>
      <c r="AD15" s="320">
        <v>36</v>
      </c>
      <c r="AE15" s="320">
        <v>-9999</v>
      </c>
      <c r="AF15" s="320">
        <v>3</v>
      </c>
      <c r="AG15" s="320">
        <v>-9999</v>
      </c>
      <c r="AH15" s="320" t="s">
        <v>623</v>
      </c>
      <c r="AI15" s="320" t="s">
        <v>624</v>
      </c>
      <c r="AJ15" s="320">
        <v>-9999</v>
      </c>
      <c r="AK15" s="320" t="s">
        <v>625</v>
      </c>
      <c r="AL15" s="320">
        <v>-9999</v>
      </c>
      <c r="AM15" s="320">
        <v>-9999</v>
      </c>
      <c r="AN15" s="320" t="s">
        <v>626</v>
      </c>
      <c r="AO15" s="320" t="s">
        <v>627</v>
      </c>
      <c r="AP15" s="320" t="s">
        <v>628</v>
      </c>
      <c r="AQ15" s="320" t="s">
        <v>626</v>
      </c>
      <c r="AR15" s="730">
        <v>336</v>
      </c>
      <c r="AS15" s="320" t="s">
        <v>690</v>
      </c>
      <c r="AT15" s="320" t="s">
        <v>742</v>
      </c>
      <c r="AU15" s="730">
        <v>112</v>
      </c>
      <c r="AV15" s="320" t="s">
        <v>218</v>
      </c>
      <c r="AW15" s="320" t="s">
        <v>3</v>
      </c>
      <c r="AX15" s="730">
        <v>224</v>
      </c>
      <c r="AY15" s="320" t="s">
        <v>219</v>
      </c>
      <c r="AZ15" s="320" t="s">
        <v>3</v>
      </c>
      <c r="BA15" s="320" t="s">
        <v>319</v>
      </c>
      <c r="BB15" s="320">
        <v>-9999</v>
      </c>
      <c r="BC15" s="320">
        <v>-9999</v>
      </c>
      <c r="BD15" s="320">
        <v>-9999</v>
      </c>
      <c r="BE15" s="320">
        <v>-9999</v>
      </c>
      <c r="BF15" s="320">
        <v>-9999</v>
      </c>
      <c r="BG15" s="320">
        <v>-9999</v>
      </c>
      <c r="BH15" s="320">
        <v>-9999</v>
      </c>
      <c r="BI15" s="320" t="s">
        <v>632</v>
      </c>
      <c r="BJ15" s="320">
        <v>-9999</v>
      </c>
      <c r="BK15" s="320">
        <v>-9999</v>
      </c>
      <c r="BL15" s="320">
        <v>-9999</v>
      </c>
      <c r="BM15" s="320">
        <v>-9999</v>
      </c>
      <c r="BN15" s="320">
        <v>-9999</v>
      </c>
      <c r="BO15" s="320">
        <v>-9999</v>
      </c>
      <c r="BP15" s="320">
        <v>-9999</v>
      </c>
      <c r="BQ15" s="320">
        <v>-9999</v>
      </c>
      <c r="BR15" s="320">
        <v>-9999</v>
      </c>
      <c r="BS15" s="320">
        <v>-9999</v>
      </c>
      <c r="BT15" s="320">
        <v>-9999</v>
      </c>
      <c r="BU15" s="320">
        <v>-9999</v>
      </c>
      <c r="BV15" s="320">
        <v>-9999</v>
      </c>
      <c r="BX15" s="320">
        <v>-9999</v>
      </c>
      <c r="BY15" s="320">
        <v>-9999</v>
      </c>
      <c r="BZ15" s="320">
        <v>-9999</v>
      </c>
      <c r="CA15" s="320" t="s">
        <v>834</v>
      </c>
      <c r="CB15" s="320" t="s">
        <v>1434</v>
      </c>
      <c r="CC15" s="320" t="s">
        <v>620</v>
      </c>
      <c r="CD15" s="320">
        <v>1</v>
      </c>
      <c r="CE15" s="731">
        <v>9.6999999999999993</v>
      </c>
      <c r="CF15" s="731">
        <v>-9999</v>
      </c>
      <c r="CG15" s="320" t="s">
        <v>620</v>
      </c>
      <c r="CH15" s="322" t="s">
        <v>2120</v>
      </c>
      <c r="CI15" s="322" t="s">
        <v>2124</v>
      </c>
      <c r="CK15" s="56" t="s">
        <v>165</v>
      </c>
      <c r="CL15" s="56" t="s">
        <v>164</v>
      </c>
      <c r="CM15" s="268">
        <v>42.792000000000002</v>
      </c>
      <c r="CN15" s="268">
        <v>76.125</v>
      </c>
    </row>
    <row r="16" spans="1:93" s="320" customFormat="1" x14ac:dyDescent="0.2">
      <c r="A16" s="320" t="s">
        <v>617</v>
      </c>
      <c r="B16" s="320" t="s">
        <v>618</v>
      </c>
      <c r="C16" s="320" t="s">
        <v>4</v>
      </c>
      <c r="D16" s="320" t="s">
        <v>619</v>
      </c>
      <c r="E16" s="320" t="s">
        <v>1515</v>
      </c>
      <c r="F16" s="320" t="s">
        <v>620</v>
      </c>
      <c r="G16" s="320">
        <v>1</v>
      </c>
      <c r="H16" s="320" t="s">
        <v>620</v>
      </c>
      <c r="I16" s="320" t="s">
        <v>621</v>
      </c>
      <c r="J16" s="320">
        <v>1987</v>
      </c>
      <c r="K16" s="320" t="s">
        <v>957</v>
      </c>
      <c r="L16" s="320" t="s">
        <v>958</v>
      </c>
      <c r="M16" s="731">
        <v>-9999</v>
      </c>
      <c r="N16" s="731">
        <v>-9999</v>
      </c>
      <c r="P16" s="731">
        <v>-9999</v>
      </c>
      <c r="Q16" s="731">
        <v>-9999</v>
      </c>
      <c r="R16" s="731"/>
      <c r="S16" s="731"/>
      <c r="T16" s="731">
        <v>10.5</v>
      </c>
      <c r="U16" s="731">
        <v>0.4</v>
      </c>
      <c r="V16" s="731"/>
      <c r="W16" s="731">
        <v>-9999</v>
      </c>
      <c r="X16" s="731">
        <v>-9999</v>
      </c>
      <c r="Y16" s="731"/>
      <c r="Z16" s="320" t="s">
        <v>622</v>
      </c>
      <c r="AA16" s="320">
        <v>111111</v>
      </c>
      <c r="AB16" s="320">
        <v>-9999</v>
      </c>
      <c r="AC16" s="320">
        <v>-9999</v>
      </c>
      <c r="AD16" s="320">
        <v>36</v>
      </c>
      <c r="AE16" s="320">
        <v>-9999</v>
      </c>
      <c r="AF16" s="320">
        <v>3</v>
      </c>
      <c r="AG16" s="320">
        <v>-9999</v>
      </c>
      <c r="AH16" s="320" t="s">
        <v>623</v>
      </c>
      <c r="AI16" s="320" t="s">
        <v>624</v>
      </c>
      <c r="AJ16" s="320">
        <v>-9999</v>
      </c>
      <c r="AK16" s="320" t="s">
        <v>625</v>
      </c>
      <c r="AL16" s="320">
        <v>-9999</v>
      </c>
      <c r="AM16" s="320">
        <v>-9999</v>
      </c>
      <c r="AN16" s="320" t="s">
        <v>626</v>
      </c>
      <c r="AO16" s="320" t="s">
        <v>627</v>
      </c>
      <c r="AP16" s="320" t="s">
        <v>628</v>
      </c>
      <c r="AQ16" s="320" t="s">
        <v>631</v>
      </c>
      <c r="AR16" s="730">
        <v>0</v>
      </c>
      <c r="AS16" s="320">
        <v>-9999</v>
      </c>
      <c r="AT16" s="320">
        <v>-9999</v>
      </c>
      <c r="AU16" s="730">
        <v>0</v>
      </c>
      <c r="AV16" s="320">
        <v>-9999</v>
      </c>
      <c r="AW16" s="320">
        <v>-9999</v>
      </c>
      <c r="AX16" s="730">
        <v>0</v>
      </c>
      <c r="AY16" s="320">
        <v>-9999</v>
      </c>
      <c r="AZ16" s="320">
        <v>-9999</v>
      </c>
      <c r="BA16" s="320">
        <v>-9999</v>
      </c>
      <c r="BB16" s="320">
        <v>-9999</v>
      </c>
      <c r="BC16" s="320">
        <v>-9999</v>
      </c>
      <c r="BD16" s="320">
        <v>-9999</v>
      </c>
      <c r="BE16" s="320">
        <v>-9999</v>
      </c>
      <c r="BF16" s="320">
        <v>-9999</v>
      </c>
      <c r="BG16" s="320">
        <v>-9999</v>
      </c>
      <c r="BH16" s="320">
        <v>-9999</v>
      </c>
      <c r="BI16" s="320" t="s">
        <v>632</v>
      </c>
      <c r="BJ16" s="320">
        <v>-9999</v>
      </c>
      <c r="BK16" s="320">
        <v>-9999</v>
      </c>
      <c r="BL16" s="320">
        <v>-9999</v>
      </c>
      <c r="BM16" s="320">
        <v>-9999</v>
      </c>
      <c r="BN16" s="320">
        <v>-9999</v>
      </c>
      <c r="BO16" s="320">
        <v>-9999</v>
      </c>
      <c r="BP16" s="320">
        <v>-9999</v>
      </c>
      <c r="BQ16" s="320">
        <v>-9999</v>
      </c>
      <c r="BR16" s="320">
        <v>-9999</v>
      </c>
      <c r="BS16" s="320">
        <v>-9999</v>
      </c>
      <c r="BT16" s="320">
        <v>-9999</v>
      </c>
      <c r="BU16" s="320">
        <v>-9999</v>
      </c>
      <c r="BV16" s="320">
        <v>-9999</v>
      </c>
      <c r="BX16" s="320">
        <v>-9999</v>
      </c>
      <c r="BY16" s="320">
        <v>-9999</v>
      </c>
      <c r="BZ16" s="320">
        <v>-9999</v>
      </c>
      <c r="CA16" s="320" t="s">
        <v>834</v>
      </c>
      <c r="CB16" s="320" t="s">
        <v>1434</v>
      </c>
      <c r="CC16" s="320" t="s">
        <v>620</v>
      </c>
      <c r="CD16" s="320">
        <v>1</v>
      </c>
      <c r="CE16" s="731">
        <v>10.5</v>
      </c>
      <c r="CF16" s="731">
        <v>-9999</v>
      </c>
      <c r="CG16" s="320" t="s">
        <v>620</v>
      </c>
      <c r="CH16" s="322" t="s">
        <v>2120</v>
      </c>
      <c r="CI16" s="322" t="s">
        <v>2124</v>
      </c>
      <c r="CK16" s="56" t="s">
        <v>165</v>
      </c>
      <c r="CL16" s="56" t="s">
        <v>164</v>
      </c>
      <c r="CM16" s="268">
        <v>42.792000000000002</v>
      </c>
      <c r="CN16" s="268">
        <v>76.125</v>
      </c>
    </row>
    <row r="17" spans="1:96" s="320" customFormat="1" x14ac:dyDescent="0.2">
      <c r="A17" s="320" t="s">
        <v>617</v>
      </c>
      <c r="B17" s="320" t="s">
        <v>618</v>
      </c>
      <c r="C17" s="320" t="s">
        <v>2</v>
      </c>
      <c r="D17" s="320" t="s">
        <v>633</v>
      </c>
      <c r="E17" s="320" t="s">
        <v>5</v>
      </c>
      <c r="F17" s="320" t="s">
        <v>620</v>
      </c>
      <c r="G17" s="320">
        <v>1</v>
      </c>
      <c r="H17" s="320" t="s">
        <v>620</v>
      </c>
      <c r="I17" s="320" t="s">
        <v>621</v>
      </c>
      <c r="J17" s="320">
        <v>1987</v>
      </c>
      <c r="K17" s="320" t="s">
        <v>957</v>
      </c>
      <c r="L17" s="320" t="s">
        <v>958</v>
      </c>
      <c r="M17" s="731">
        <v>-9999</v>
      </c>
      <c r="N17" s="731">
        <v>-9999</v>
      </c>
      <c r="P17" s="731">
        <v>-9999</v>
      </c>
      <c r="Q17" s="731">
        <v>-9999</v>
      </c>
      <c r="R17" s="731"/>
      <c r="S17" s="731"/>
      <c r="T17" s="731">
        <v>10.3</v>
      </c>
      <c r="U17" s="731">
        <v>0.1</v>
      </c>
      <c r="V17" s="731"/>
      <c r="W17" s="731">
        <v>-9999</v>
      </c>
      <c r="X17" s="731">
        <v>-9999</v>
      </c>
      <c r="Y17" s="731"/>
      <c r="Z17" s="320" t="s">
        <v>622</v>
      </c>
      <c r="AA17" s="320">
        <v>111111</v>
      </c>
      <c r="AB17" s="320">
        <v>-9999</v>
      </c>
      <c r="AC17" s="320">
        <v>-9999</v>
      </c>
      <c r="AD17" s="320">
        <v>36</v>
      </c>
      <c r="AE17" s="320">
        <v>-9999</v>
      </c>
      <c r="AF17" s="320">
        <v>3</v>
      </c>
      <c r="AG17" s="320">
        <v>-9999</v>
      </c>
      <c r="AH17" s="320" t="s">
        <v>623</v>
      </c>
      <c r="AI17" s="320" t="s">
        <v>624</v>
      </c>
      <c r="AJ17" s="320">
        <v>-9999</v>
      </c>
      <c r="AK17" s="320" t="s">
        <v>625</v>
      </c>
      <c r="AL17" s="320">
        <v>-9999</v>
      </c>
      <c r="AM17" s="320">
        <v>-9999</v>
      </c>
      <c r="AN17" s="320" t="s">
        <v>626</v>
      </c>
      <c r="AO17" s="320" t="s">
        <v>627</v>
      </c>
      <c r="AP17" s="320" t="s">
        <v>628</v>
      </c>
      <c r="AQ17" s="320" t="s">
        <v>626</v>
      </c>
      <c r="AR17" s="730">
        <v>336</v>
      </c>
      <c r="AS17" s="320" t="s">
        <v>690</v>
      </c>
      <c r="AT17" s="320" t="s">
        <v>742</v>
      </c>
      <c r="AU17" s="730">
        <v>112</v>
      </c>
      <c r="AV17" s="320" t="s">
        <v>218</v>
      </c>
      <c r="AW17" s="320" t="s">
        <v>630</v>
      </c>
      <c r="AX17" s="730">
        <v>224</v>
      </c>
      <c r="AY17" s="320" t="s">
        <v>219</v>
      </c>
      <c r="AZ17" s="320" t="s">
        <v>630</v>
      </c>
      <c r="BA17" s="320" t="s">
        <v>318</v>
      </c>
      <c r="BB17" s="320">
        <v>-9999</v>
      </c>
      <c r="BC17" s="320">
        <v>-9999</v>
      </c>
      <c r="BD17" s="320">
        <v>-9999</v>
      </c>
      <c r="BE17" s="320">
        <v>-9999</v>
      </c>
      <c r="BF17" s="320">
        <v>-9999</v>
      </c>
      <c r="BG17" s="320">
        <v>-9999</v>
      </c>
      <c r="BH17" s="320">
        <v>-9999</v>
      </c>
      <c r="BI17" s="320" t="s">
        <v>632</v>
      </c>
      <c r="BJ17" s="320">
        <v>-9999</v>
      </c>
      <c r="BK17" s="320">
        <v>-9999</v>
      </c>
      <c r="BL17" s="320">
        <v>-9999</v>
      </c>
      <c r="BM17" s="320">
        <v>-9999</v>
      </c>
      <c r="BN17" s="320">
        <v>-9999</v>
      </c>
      <c r="BO17" s="320">
        <v>-9999</v>
      </c>
      <c r="BP17" s="320">
        <v>-9999</v>
      </c>
      <c r="BQ17" s="320">
        <v>-9999</v>
      </c>
      <c r="BR17" s="320">
        <v>-9999</v>
      </c>
      <c r="BS17" s="320">
        <v>-9999</v>
      </c>
      <c r="BT17" s="320">
        <v>-9999</v>
      </c>
      <c r="BU17" s="320">
        <v>-9999</v>
      </c>
      <c r="BV17" s="320">
        <v>-9999</v>
      </c>
      <c r="BX17" s="320">
        <v>-9999</v>
      </c>
      <c r="BY17" s="320">
        <v>-9999</v>
      </c>
      <c r="BZ17" s="320">
        <v>-9999</v>
      </c>
      <c r="CA17" s="320" t="s">
        <v>834</v>
      </c>
      <c r="CB17" s="320" t="s">
        <v>1434</v>
      </c>
      <c r="CC17" s="320" t="s">
        <v>620</v>
      </c>
      <c r="CD17" s="320">
        <v>1</v>
      </c>
      <c r="CE17" s="731">
        <v>10.3</v>
      </c>
      <c r="CF17" s="731">
        <v>-9999</v>
      </c>
      <c r="CG17" s="320" t="s">
        <v>620</v>
      </c>
      <c r="CH17" s="322" t="s">
        <v>2120</v>
      </c>
      <c r="CI17" s="322" t="s">
        <v>2124</v>
      </c>
      <c r="CK17" s="56" t="s">
        <v>165</v>
      </c>
      <c r="CL17" s="56" t="s">
        <v>164</v>
      </c>
      <c r="CM17" s="268">
        <v>42.792000000000002</v>
      </c>
      <c r="CN17" s="268">
        <v>76.125</v>
      </c>
    </row>
    <row r="18" spans="1:96" s="320" customFormat="1" x14ac:dyDescent="0.2">
      <c r="A18" s="320" t="s">
        <v>617</v>
      </c>
      <c r="B18" s="320" t="s">
        <v>618</v>
      </c>
      <c r="C18" s="320" t="s">
        <v>2</v>
      </c>
      <c r="D18" s="320" t="s">
        <v>633</v>
      </c>
      <c r="E18" s="320" t="s">
        <v>8</v>
      </c>
      <c r="F18" s="320" t="s">
        <v>620</v>
      </c>
      <c r="G18" s="320">
        <v>1</v>
      </c>
      <c r="H18" s="320" t="s">
        <v>620</v>
      </c>
      <c r="I18" s="320" t="s">
        <v>621</v>
      </c>
      <c r="J18" s="320">
        <v>1987</v>
      </c>
      <c r="K18" s="320" t="s">
        <v>957</v>
      </c>
      <c r="L18" s="320" t="s">
        <v>958</v>
      </c>
      <c r="M18" s="731">
        <v>-9999</v>
      </c>
      <c r="N18" s="731">
        <v>-9999</v>
      </c>
      <c r="P18" s="731">
        <v>-9999</v>
      </c>
      <c r="Q18" s="731">
        <v>-9999</v>
      </c>
      <c r="R18" s="731"/>
      <c r="S18" s="731"/>
      <c r="T18" s="731">
        <v>9.8000000000000007</v>
      </c>
      <c r="U18" s="731">
        <v>0.4</v>
      </c>
      <c r="V18" s="731"/>
      <c r="W18" s="731">
        <v>-9999</v>
      </c>
      <c r="X18" s="731">
        <v>-9999</v>
      </c>
      <c r="Y18" s="731"/>
      <c r="Z18" s="320" t="s">
        <v>622</v>
      </c>
      <c r="AA18" s="320">
        <v>111111</v>
      </c>
      <c r="AB18" s="320">
        <v>-9999</v>
      </c>
      <c r="AC18" s="320">
        <v>-9999</v>
      </c>
      <c r="AD18" s="320">
        <v>36</v>
      </c>
      <c r="AE18" s="320">
        <v>-9999</v>
      </c>
      <c r="AF18" s="320">
        <v>3</v>
      </c>
      <c r="AG18" s="320">
        <v>-9999</v>
      </c>
      <c r="AH18" s="320" t="s">
        <v>623</v>
      </c>
      <c r="AI18" s="320" t="s">
        <v>624</v>
      </c>
      <c r="AJ18" s="320">
        <v>-9999</v>
      </c>
      <c r="AK18" s="320" t="s">
        <v>625</v>
      </c>
      <c r="AL18" s="320">
        <v>-9999</v>
      </c>
      <c r="AM18" s="320">
        <v>-9999</v>
      </c>
      <c r="AN18" s="320" t="s">
        <v>626</v>
      </c>
      <c r="AO18" s="320" t="s">
        <v>627</v>
      </c>
      <c r="AP18" s="320" t="s">
        <v>628</v>
      </c>
      <c r="AQ18" s="320" t="s">
        <v>626</v>
      </c>
      <c r="AR18" s="730">
        <v>336</v>
      </c>
      <c r="AS18" s="320" t="s">
        <v>690</v>
      </c>
      <c r="AT18" s="320" t="s">
        <v>742</v>
      </c>
      <c r="AU18" s="730">
        <v>112</v>
      </c>
      <c r="AV18" s="320" t="s">
        <v>218</v>
      </c>
      <c r="AW18" s="320" t="s">
        <v>630</v>
      </c>
      <c r="AX18" s="730">
        <v>224</v>
      </c>
      <c r="AY18" s="320" t="s">
        <v>219</v>
      </c>
      <c r="AZ18" s="320" t="s">
        <v>630</v>
      </c>
      <c r="BA18" s="320" t="s">
        <v>318</v>
      </c>
      <c r="BB18" s="320">
        <v>-9999</v>
      </c>
      <c r="BC18" s="320">
        <v>-9999</v>
      </c>
      <c r="BD18" s="320">
        <v>-9999</v>
      </c>
      <c r="BE18" s="320">
        <v>-9999</v>
      </c>
      <c r="BF18" s="320">
        <v>-9999</v>
      </c>
      <c r="BG18" s="320">
        <v>-9999</v>
      </c>
      <c r="BH18" s="320">
        <v>-9999</v>
      </c>
      <c r="BI18" s="320" t="s">
        <v>632</v>
      </c>
      <c r="BJ18" s="320">
        <v>-9999</v>
      </c>
      <c r="BK18" s="320">
        <v>-9999</v>
      </c>
      <c r="BL18" s="320">
        <v>-9999</v>
      </c>
      <c r="BM18" s="320">
        <v>-9999</v>
      </c>
      <c r="BN18" s="320">
        <v>-9999</v>
      </c>
      <c r="BO18" s="320">
        <v>-9999</v>
      </c>
      <c r="BP18" s="320">
        <v>-9999</v>
      </c>
      <c r="BQ18" s="320">
        <v>-9999</v>
      </c>
      <c r="BR18" s="320">
        <v>-9999</v>
      </c>
      <c r="BS18" s="320">
        <v>-9999</v>
      </c>
      <c r="BT18" s="320">
        <v>-9999</v>
      </c>
      <c r="BU18" s="320">
        <v>-9999</v>
      </c>
      <c r="BV18" s="320">
        <v>-9999</v>
      </c>
      <c r="BX18" s="320">
        <v>-9999</v>
      </c>
      <c r="BY18" s="320">
        <v>-9999</v>
      </c>
      <c r="BZ18" s="320">
        <v>-9999</v>
      </c>
      <c r="CA18" s="320" t="s">
        <v>834</v>
      </c>
      <c r="CB18" s="320" t="s">
        <v>1434</v>
      </c>
      <c r="CC18" s="320" t="s">
        <v>620</v>
      </c>
      <c r="CD18" s="320">
        <v>1</v>
      </c>
      <c r="CE18" s="731">
        <v>9.8000000000000007</v>
      </c>
      <c r="CF18" s="731">
        <v>-9999</v>
      </c>
      <c r="CG18" s="320" t="s">
        <v>620</v>
      </c>
      <c r="CH18" s="322" t="s">
        <v>2120</v>
      </c>
      <c r="CI18" s="322" t="s">
        <v>2124</v>
      </c>
      <c r="CK18" s="56" t="s">
        <v>165</v>
      </c>
      <c r="CL18" s="56" t="s">
        <v>164</v>
      </c>
      <c r="CM18" s="268">
        <v>42.792000000000002</v>
      </c>
      <c r="CN18" s="268">
        <v>76.125</v>
      </c>
    </row>
    <row r="19" spans="1:96" s="320" customFormat="1" x14ac:dyDescent="0.2">
      <c r="A19" s="320" t="s">
        <v>617</v>
      </c>
      <c r="B19" s="320" t="s">
        <v>618</v>
      </c>
      <c r="C19" s="320" t="s">
        <v>4</v>
      </c>
      <c r="D19" s="320" t="s">
        <v>633</v>
      </c>
      <c r="E19" s="320" t="s">
        <v>8</v>
      </c>
      <c r="F19" s="320" t="s">
        <v>620</v>
      </c>
      <c r="G19" s="320">
        <v>1</v>
      </c>
      <c r="H19" s="320" t="s">
        <v>620</v>
      </c>
      <c r="I19" s="320" t="s">
        <v>621</v>
      </c>
      <c r="J19" s="320">
        <v>1987</v>
      </c>
      <c r="K19" s="320" t="s">
        <v>957</v>
      </c>
      <c r="L19" s="320" t="s">
        <v>958</v>
      </c>
      <c r="M19" s="731">
        <v>-9999</v>
      </c>
      <c r="N19" s="731">
        <v>-9999</v>
      </c>
      <c r="P19" s="731">
        <v>-9999</v>
      </c>
      <c r="Q19" s="731">
        <v>-9999</v>
      </c>
      <c r="R19" s="731"/>
      <c r="S19" s="731"/>
      <c r="T19" s="731">
        <v>9.6</v>
      </c>
      <c r="U19" s="731">
        <v>0.3</v>
      </c>
      <c r="V19" s="731"/>
      <c r="W19" s="731">
        <v>-9999</v>
      </c>
      <c r="X19" s="731">
        <v>-9999</v>
      </c>
      <c r="Y19" s="731"/>
      <c r="Z19" s="320" t="s">
        <v>622</v>
      </c>
      <c r="AA19" s="320">
        <v>111111</v>
      </c>
      <c r="AB19" s="320">
        <v>-9999</v>
      </c>
      <c r="AC19" s="320">
        <v>-9999</v>
      </c>
      <c r="AD19" s="320">
        <v>36</v>
      </c>
      <c r="AE19" s="320">
        <v>-9999</v>
      </c>
      <c r="AF19" s="320">
        <v>3</v>
      </c>
      <c r="AG19" s="320">
        <v>-9999</v>
      </c>
      <c r="AH19" s="320" t="s">
        <v>623</v>
      </c>
      <c r="AI19" s="320" t="s">
        <v>624</v>
      </c>
      <c r="AJ19" s="320">
        <v>-9999</v>
      </c>
      <c r="AK19" s="320" t="s">
        <v>625</v>
      </c>
      <c r="AL19" s="320">
        <v>-9999</v>
      </c>
      <c r="AM19" s="320">
        <v>-9999</v>
      </c>
      <c r="AN19" s="320" t="s">
        <v>626</v>
      </c>
      <c r="AO19" s="320" t="s">
        <v>627</v>
      </c>
      <c r="AP19" s="320" t="s">
        <v>628</v>
      </c>
      <c r="AQ19" s="320" t="s">
        <v>631</v>
      </c>
      <c r="AR19" s="730">
        <v>0</v>
      </c>
      <c r="AS19" s="320">
        <v>-9999</v>
      </c>
      <c r="AT19" s="320">
        <v>-9999</v>
      </c>
      <c r="AU19" s="730">
        <v>0</v>
      </c>
      <c r="AV19" s="320">
        <v>-9999</v>
      </c>
      <c r="AW19" s="320">
        <v>-9999</v>
      </c>
      <c r="AX19" s="730">
        <v>0</v>
      </c>
      <c r="AY19" s="320">
        <v>-9999</v>
      </c>
      <c r="AZ19" s="320">
        <v>-9999</v>
      </c>
      <c r="BA19" s="320">
        <v>-9999</v>
      </c>
      <c r="BB19" s="320">
        <v>-9999</v>
      </c>
      <c r="BC19" s="320">
        <v>-9999</v>
      </c>
      <c r="BD19" s="320">
        <v>-9999</v>
      </c>
      <c r="BE19" s="320">
        <v>-9999</v>
      </c>
      <c r="BF19" s="320">
        <v>-9999</v>
      </c>
      <c r="BG19" s="320">
        <v>-9999</v>
      </c>
      <c r="BH19" s="320">
        <v>-9999</v>
      </c>
      <c r="BI19" s="320" t="s">
        <v>632</v>
      </c>
      <c r="BJ19" s="320">
        <v>-9999</v>
      </c>
      <c r="BK19" s="320">
        <v>-9999</v>
      </c>
      <c r="BL19" s="320">
        <v>-9999</v>
      </c>
      <c r="BM19" s="320">
        <v>-9999</v>
      </c>
      <c r="BN19" s="320">
        <v>-9999</v>
      </c>
      <c r="BO19" s="320">
        <v>-9999</v>
      </c>
      <c r="BP19" s="320">
        <v>-9999</v>
      </c>
      <c r="BQ19" s="320">
        <v>-9999</v>
      </c>
      <c r="BR19" s="320">
        <v>-9999</v>
      </c>
      <c r="BS19" s="320">
        <v>-9999</v>
      </c>
      <c r="BT19" s="320">
        <v>-9999</v>
      </c>
      <c r="BU19" s="320">
        <v>-9999</v>
      </c>
      <c r="BV19" s="320">
        <v>-9999</v>
      </c>
      <c r="BX19" s="320">
        <v>-9999</v>
      </c>
      <c r="BY19" s="320">
        <v>-9999</v>
      </c>
      <c r="BZ19" s="320">
        <v>-9999</v>
      </c>
      <c r="CA19" s="320" t="s">
        <v>834</v>
      </c>
      <c r="CB19" s="320" t="s">
        <v>1434</v>
      </c>
      <c r="CC19" s="320" t="s">
        <v>620</v>
      </c>
      <c r="CD19" s="320">
        <v>1</v>
      </c>
      <c r="CE19" s="731">
        <v>9.6</v>
      </c>
      <c r="CF19" s="731">
        <v>-9999</v>
      </c>
      <c r="CG19" s="320" t="s">
        <v>620</v>
      </c>
      <c r="CH19" s="322" t="s">
        <v>2120</v>
      </c>
      <c r="CI19" s="322" t="s">
        <v>2124</v>
      </c>
      <c r="CK19" s="56" t="s">
        <v>165</v>
      </c>
      <c r="CL19" s="56" t="s">
        <v>164</v>
      </c>
      <c r="CM19" s="268">
        <v>42.792000000000002</v>
      </c>
      <c r="CN19" s="268">
        <v>76.125</v>
      </c>
    </row>
    <row r="20" spans="1:96" s="320" customFormat="1" x14ac:dyDescent="0.2">
      <c r="A20" s="320" t="s">
        <v>617</v>
      </c>
      <c r="B20" s="320" t="s">
        <v>618</v>
      </c>
      <c r="C20" s="320" t="s">
        <v>2</v>
      </c>
      <c r="D20" s="320" t="s">
        <v>633</v>
      </c>
      <c r="E20" s="320" t="s">
        <v>634</v>
      </c>
      <c r="F20" s="320" t="s">
        <v>620</v>
      </c>
      <c r="G20" s="320">
        <v>1</v>
      </c>
      <c r="H20" s="320" t="s">
        <v>620</v>
      </c>
      <c r="I20" s="320" t="s">
        <v>621</v>
      </c>
      <c r="J20" s="320">
        <v>1987</v>
      </c>
      <c r="K20" s="320" t="s">
        <v>957</v>
      </c>
      <c r="L20" s="320" t="s">
        <v>958</v>
      </c>
      <c r="M20" s="731">
        <v>-9999</v>
      </c>
      <c r="N20" s="731">
        <v>-9999</v>
      </c>
      <c r="P20" s="731">
        <v>-9999</v>
      </c>
      <c r="Q20" s="731">
        <v>-9999</v>
      </c>
      <c r="R20" s="731"/>
      <c r="S20" s="731"/>
      <c r="T20" s="731">
        <v>12.5</v>
      </c>
      <c r="U20" s="731">
        <v>0.4</v>
      </c>
      <c r="V20" s="731"/>
      <c r="W20" s="731">
        <v>-9999</v>
      </c>
      <c r="X20" s="731">
        <v>-9999</v>
      </c>
      <c r="Y20" s="731"/>
      <c r="Z20" s="320" t="s">
        <v>622</v>
      </c>
      <c r="AA20" s="320">
        <v>111111</v>
      </c>
      <c r="AB20" s="320">
        <v>-9999</v>
      </c>
      <c r="AC20" s="320">
        <v>-9999</v>
      </c>
      <c r="AD20" s="320">
        <v>36</v>
      </c>
      <c r="AE20" s="320">
        <v>-9999</v>
      </c>
      <c r="AF20" s="320">
        <v>3</v>
      </c>
      <c r="AG20" s="320">
        <v>-9999</v>
      </c>
      <c r="AH20" s="320" t="s">
        <v>623</v>
      </c>
      <c r="AI20" s="320" t="s">
        <v>624</v>
      </c>
      <c r="AJ20" s="320">
        <v>-9999</v>
      </c>
      <c r="AK20" s="320" t="s">
        <v>625</v>
      </c>
      <c r="AL20" s="320">
        <v>-9999</v>
      </c>
      <c r="AM20" s="320">
        <v>-9999</v>
      </c>
      <c r="AN20" s="320" t="s">
        <v>626</v>
      </c>
      <c r="AO20" s="320" t="s">
        <v>627</v>
      </c>
      <c r="AP20" s="320" t="s">
        <v>628</v>
      </c>
      <c r="AQ20" s="320" t="s">
        <v>626</v>
      </c>
      <c r="AR20" s="730">
        <v>336</v>
      </c>
      <c r="AS20" s="320" t="s">
        <v>690</v>
      </c>
      <c r="AT20" s="320" t="s">
        <v>742</v>
      </c>
      <c r="AU20" s="730">
        <v>112</v>
      </c>
      <c r="AV20" s="320" t="s">
        <v>218</v>
      </c>
      <c r="AW20" s="320" t="s">
        <v>630</v>
      </c>
      <c r="AX20" s="730">
        <v>224</v>
      </c>
      <c r="AY20" s="320" t="s">
        <v>219</v>
      </c>
      <c r="AZ20" s="320" t="s">
        <v>630</v>
      </c>
      <c r="BA20" s="320" t="s">
        <v>318</v>
      </c>
      <c r="BB20" s="320">
        <v>-9999</v>
      </c>
      <c r="BC20" s="320">
        <v>-9999</v>
      </c>
      <c r="BD20" s="320">
        <v>-9999</v>
      </c>
      <c r="BE20" s="320">
        <v>-9999</v>
      </c>
      <c r="BF20" s="320">
        <v>-9999</v>
      </c>
      <c r="BG20" s="320">
        <v>-9999</v>
      </c>
      <c r="BH20" s="320">
        <v>-9999</v>
      </c>
      <c r="BI20" s="320" t="s">
        <v>632</v>
      </c>
      <c r="BJ20" s="320">
        <v>-9999</v>
      </c>
      <c r="BK20" s="320">
        <v>-9999</v>
      </c>
      <c r="BL20" s="320">
        <v>-9999</v>
      </c>
      <c r="BM20" s="320">
        <v>-9999</v>
      </c>
      <c r="BN20" s="320">
        <v>-9999</v>
      </c>
      <c r="BO20" s="320">
        <v>-9999</v>
      </c>
      <c r="BP20" s="320">
        <v>-9999</v>
      </c>
      <c r="BQ20" s="320">
        <v>-9999</v>
      </c>
      <c r="BR20" s="320">
        <v>-9999</v>
      </c>
      <c r="BS20" s="320">
        <v>-9999</v>
      </c>
      <c r="BT20" s="320">
        <v>-9999</v>
      </c>
      <c r="BU20" s="320">
        <v>-9999</v>
      </c>
      <c r="BV20" s="320">
        <v>-9999</v>
      </c>
      <c r="BX20" s="320">
        <v>-9999</v>
      </c>
      <c r="BY20" s="320">
        <v>-9999</v>
      </c>
      <c r="BZ20" s="320">
        <v>-9999</v>
      </c>
      <c r="CA20" s="320" t="s">
        <v>834</v>
      </c>
      <c r="CB20" s="320" t="s">
        <v>1434</v>
      </c>
      <c r="CC20" s="320" t="s">
        <v>620</v>
      </c>
      <c r="CD20" s="320">
        <v>1</v>
      </c>
      <c r="CE20" s="731">
        <v>12.5</v>
      </c>
      <c r="CF20" s="731">
        <v>-9999</v>
      </c>
      <c r="CG20" s="320" t="s">
        <v>620</v>
      </c>
      <c r="CH20" s="322" t="s">
        <v>2120</v>
      </c>
      <c r="CI20" s="322" t="s">
        <v>2124</v>
      </c>
      <c r="CK20" s="56" t="s">
        <v>165</v>
      </c>
      <c r="CL20" s="56" t="s">
        <v>164</v>
      </c>
      <c r="CM20" s="268">
        <v>42.792000000000002</v>
      </c>
      <c r="CN20" s="268">
        <v>76.125</v>
      </c>
    </row>
    <row r="21" spans="1:96" s="320" customFormat="1" x14ac:dyDescent="0.2">
      <c r="A21" s="320" t="s">
        <v>617</v>
      </c>
      <c r="B21" s="320" t="s">
        <v>618</v>
      </c>
      <c r="C21" s="320" t="s">
        <v>4</v>
      </c>
      <c r="D21" s="320" t="s">
        <v>633</v>
      </c>
      <c r="E21" s="320" t="s">
        <v>634</v>
      </c>
      <c r="F21" s="320" t="s">
        <v>620</v>
      </c>
      <c r="G21" s="320">
        <v>1</v>
      </c>
      <c r="H21" s="320" t="s">
        <v>620</v>
      </c>
      <c r="I21" s="320" t="s">
        <v>621</v>
      </c>
      <c r="J21" s="320">
        <v>1987</v>
      </c>
      <c r="K21" s="320" t="s">
        <v>957</v>
      </c>
      <c r="L21" s="320" t="s">
        <v>958</v>
      </c>
      <c r="M21" s="731">
        <v>-9999</v>
      </c>
      <c r="N21" s="731">
        <v>-9999</v>
      </c>
      <c r="P21" s="731">
        <v>-9999</v>
      </c>
      <c r="Q21" s="731">
        <v>-9999</v>
      </c>
      <c r="R21" s="731"/>
      <c r="S21" s="731"/>
      <c r="T21" s="731">
        <v>10.8</v>
      </c>
      <c r="U21" s="731">
        <v>0.3</v>
      </c>
      <c r="V21" s="731"/>
      <c r="W21" s="731">
        <v>-9999</v>
      </c>
      <c r="X21" s="731">
        <v>-9999</v>
      </c>
      <c r="Y21" s="731"/>
      <c r="Z21" s="320" t="s">
        <v>622</v>
      </c>
      <c r="AA21" s="320">
        <v>111111</v>
      </c>
      <c r="AB21" s="320">
        <v>-9999</v>
      </c>
      <c r="AC21" s="320">
        <v>-9999</v>
      </c>
      <c r="AD21" s="320">
        <v>36</v>
      </c>
      <c r="AE21" s="320">
        <v>-9999</v>
      </c>
      <c r="AF21" s="320">
        <v>3</v>
      </c>
      <c r="AG21" s="320">
        <v>-9999</v>
      </c>
      <c r="AH21" s="320" t="s">
        <v>623</v>
      </c>
      <c r="AI21" s="320" t="s">
        <v>624</v>
      </c>
      <c r="AJ21" s="320">
        <v>-9999</v>
      </c>
      <c r="AK21" s="320" t="s">
        <v>625</v>
      </c>
      <c r="AL21" s="320">
        <v>-9999</v>
      </c>
      <c r="AM21" s="320">
        <v>-9999</v>
      </c>
      <c r="AN21" s="320" t="s">
        <v>626</v>
      </c>
      <c r="AO21" s="320" t="s">
        <v>627</v>
      </c>
      <c r="AP21" s="320" t="s">
        <v>628</v>
      </c>
      <c r="AQ21" s="320" t="s">
        <v>631</v>
      </c>
      <c r="AR21" s="730">
        <v>0</v>
      </c>
      <c r="AS21" s="320">
        <v>-9999</v>
      </c>
      <c r="AT21" s="320">
        <v>-9999</v>
      </c>
      <c r="AU21" s="730">
        <v>0</v>
      </c>
      <c r="AV21" s="320">
        <v>-9999</v>
      </c>
      <c r="AW21" s="320">
        <v>-9999</v>
      </c>
      <c r="AX21" s="730">
        <v>0</v>
      </c>
      <c r="AY21" s="320">
        <v>-9999</v>
      </c>
      <c r="AZ21" s="320">
        <v>-9999</v>
      </c>
      <c r="BA21" s="320">
        <v>-9999</v>
      </c>
      <c r="BB21" s="320">
        <v>-9999</v>
      </c>
      <c r="BC21" s="320">
        <v>-9999</v>
      </c>
      <c r="BD21" s="320">
        <v>-9999</v>
      </c>
      <c r="BE21" s="320">
        <v>-9999</v>
      </c>
      <c r="BF21" s="320">
        <v>-9999</v>
      </c>
      <c r="BG21" s="320">
        <v>-9999</v>
      </c>
      <c r="BH21" s="320">
        <v>-9999</v>
      </c>
      <c r="BI21" s="320" t="s">
        <v>632</v>
      </c>
      <c r="BJ21" s="320">
        <v>-9999</v>
      </c>
      <c r="BK21" s="320">
        <v>-9999</v>
      </c>
      <c r="BL21" s="320">
        <v>-9999</v>
      </c>
      <c r="BM21" s="320">
        <v>-9999</v>
      </c>
      <c r="BN21" s="320">
        <v>-9999</v>
      </c>
      <c r="BO21" s="320">
        <v>-9999</v>
      </c>
      <c r="BP21" s="320">
        <v>-9999</v>
      </c>
      <c r="BQ21" s="320">
        <v>-9999</v>
      </c>
      <c r="BR21" s="320">
        <v>-9999</v>
      </c>
      <c r="BS21" s="320">
        <v>-9999</v>
      </c>
      <c r="BT21" s="320">
        <v>-9999</v>
      </c>
      <c r="BU21" s="320">
        <v>-9999</v>
      </c>
      <c r="BV21" s="320">
        <v>-9999</v>
      </c>
      <c r="BX21" s="320">
        <v>-9999</v>
      </c>
      <c r="BY21" s="320">
        <v>-9999</v>
      </c>
      <c r="BZ21" s="320">
        <v>-9999</v>
      </c>
      <c r="CA21" s="320" t="s">
        <v>834</v>
      </c>
      <c r="CB21" s="320" t="s">
        <v>1434</v>
      </c>
      <c r="CC21" s="320" t="s">
        <v>620</v>
      </c>
      <c r="CD21" s="320">
        <v>1</v>
      </c>
      <c r="CE21" s="731">
        <v>10.8</v>
      </c>
      <c r="CF21" s="731">
        <v>-9999</v>
      </c>
      <c r="CG21" s="320" t="s">
        <v>620</v>
      </c>
      <c r="CH21" s="322" t="s">
        <v>2120</v>
      </c>
      <c r="CI21" s="322" t="s">
        <v>2124</v>
      </c>
      <c r="CK21" s="56" t="s">
        <v>165</v>
      </c>
      <c r="CL21" s="56" t="s">
        <v>164</v>
      </c>
      <c r="CM21" s="268">
        <v>42.792000000000002</v>
      </c>
      <c r="CN21" s="268">
        <v>76.125</v>
      </c>
    </row>
    <row r="22" spans="1:96" s="320" customFormat="1" x14ac:dyDescent="0.2">
      <c r="A22" s="320" t="s">
        <v>617</v>
      </c>
      <c r="B22" s="320" t="s">
        <v>618</v>
      </c>
      <c r="C22" s="320" t="s">
        <v>9</v>
      </c>
      <c r="D22" s="320" t="s">
        <v>633</v>
      </c>
      <c r="E22" s="320" t="s">
        <v>634</v>
      </c>
      <c r="F22" s="320" t="s">
        <v>1794</v>
      </c>
      <c r="G22" s="320">
        <v>1</v>
      </c>
      <c r="H22" s="320" t="s">
        <v>635</v>
      </c>
      <c r="I22" s="320" t="s">
        <v>621</v>
      </c>
      <c r="J22" s="320">
        <v>1990</v>
      </c>
      <c r="K22" s="320" t="s">
        <v>957</v>
      </c>
      <c r="L22" s="320" t="s">
        <v>959</v>
      </c>
      <c r="M22" s="731">
        <v>-9999</v>
      </c>
      <c r="N22" s="731">
        <v>-9999</v>
      </c>
      <c r="P22" s="731">
        <v>-9999</v>
      </c>
      <c r="Q22" s="731">
        <v>-9999</v>
      </c>
      <c r="R22" s="731"/>
      <c r="S22" s="731"/>
      <c r="T22" s="731">
        <v>15.4</v>
      </c>
      <c r="U22" s="731">
        <v>1.2</v>
      </c>
      <c r="V22" s="731"/>
      <c r="W22" s="731">
        <v>-9999</v>
      </c>
      <c r="X22" s="731">
        <v>-9999</v>
      </c>
      <c r="Y22" s="731"/>
      <c r="Z22" s="320" t="s">
        <v>622</v>
      </c>
      <c r="AA22" s="320">
        <v>111111</v>
      </c>
      <c r="AB22" s="320">
        <v>-9999</v>
      </c>
      <c r="AC22" s="320">
        <v>-9999</v>
      </c>
      <c r="AD22" s="320">
        <v>36</v>
      </c>
      <c r="AE22" s="320">
        <v>-9999</v>
      </c>
      <c r="AF22" s="320">
        <v>3</v>
      </c>
      <c r="AG22" s="320">
        <v>-9999</v>
      </c>
      <c r="AH22" s="320" t="s">
        <v>623</v>
      </c>
      <c r="AI22" s="320" t="s">
        <v>624</v>
      </c>
      <c r="AJ22" s="320">
        <v>-9999</v>
      </c>
      <c r="AK22" s="320" t="s">
        <v>625</v>
      </c>
      <c r="AL22" s="320">
        <v>-9999</v>
      </c>
      <c r="AM22" s="320">
        <v>-9999</v>
      </c>
      <c r="AN22" s="320" t="s">
        <v>626</v>
      </c>
      <c r="AO22" s="320" t="s">
        <v>627</v>
      </c>
      <c r="AP22" s="320" t="s">
        <v>628</v>
      </c>
      <c r="AQ22" s="320" t="s">
        <v>626</v>
      </c>
      <c r="AR22" s="730">
        <v>224</v>
      </c>
      <c r="AS22" s="320" t="s">
        <v>691</v>
      </c>
      <c r="AT22" s="320" t="s">
        <v>743</v>
      </c>
      <c r="AU22" s="730">
        <v>112</v>
      </c>
      <c r="AV22" s="320" t="s">
        <v>218</v>
      </c>
      <c r="AW22" s="320" t="s">
        <v>220</v>
      </c>
      <c r="AX22" s="730">
        <v>224</v>
      </c>
      <c r="AY22" s="320" t="s">
        <v>219</v>
      </c>
      <c r="AZ22" s="320" t="s">
        <v>220</v>
      </c>
      <c r="BA22" s="320">
        <v>-9999</v>
      </c>
      <c r="BB22" s="320">
        <v>-9999</v>
      </c>
      <c r="BC22" s="320">
        <v>-9999</v>
      </c>
      <c r="BD22" s="320">
        <v>-9999</v>
      </c>
      <c r="BE22" s="320">
        <v>-9999</v>
      </c>
      <c r="BF22" s="320">
        <v>-9999</v>
      </c>
      <c r="BG22" s="320">
        <v>-9999</v>
      </c>
      <c r="BH22" s="320">
        <v>-9999</v>
      </c>
      <c r="BI22" s="320" t="s">
        <v>632</v>
      </c>
      <c r="BJ22" s="320">
        <v>-9999</v>
      </c>
      <c r="BK22" s="320">
        <v>-9999</v>
      </c>
      <c r="BL22" s="320">
        <v>-9999</v>
      </c>
      <c r="BM22" s="320">
        <v>-9999</v>
      </c>
      <c r="BN22" s="320">
        <v>-9999</v>
      </c>
      <c r="BO22" s="320">
        <v>-9999</v>
      </c>
      <c r="BP22" s="320">
        <v>-9999</v>
      </c>
      <c r="BQ22" s="320">
        <v>-9999</v>
      </c>
      <c r="BR22" s="320">
        <v>-9999</v>
      </c>
      <c r="BS22" s="320">
        <v>-9999</v>
      </c>
      <c r="BT22" s="320">
        <v>-9999</v>
      </c>
      <c r="BU22" s="320">
        <v>-9999</v>
      </c>
      <c r="BV22" s="320">
        <v>-9999</v>
      </c>
      <c r="BX22" s="320">
        <v>-9999</v>
      </c>
      <c r="BY22" s="320">
        <v>-9999</v>
      </c>
      <c r="BZ22" s="320">
        <v>-9999</v>
      </c>
      <c r="CA22" s="320" t="s">
        <v>834</v>
      </c>
      <c r="CB22" s="320" t="s">
        <v>1434</v>
      </c>
      <c r="CC22" s="320" t="s">
        <v>638</v>
      </c>
      <c r="CD22" s="320">
        <v>1</v>
      </c>
      <c r="CE22" s="731">
        <v>15.4</v>
      </c>
      <c r="CF22" s="731">
        <v>-9999</v>
      </c>
      <c r="CG22" s="320" t="s">
        <v>635</v>
      </c>
      <c r="CH22" s="301" t="s">
        <v>2119</v>
      </c>
      <c r="CI22" s="301" t="s">
        <v>2126</v>
      </c>
      <c r="CK22" s="56" t="s">
        <v>165</v>
      </c>
      <c r="CL22" s="56" t="s">
        <v>164</v>
      </c>
      <c r="CM22" s="268">
        <v>42.792000000000002</v>
      </c>
      <c r="CN22" s="268">
        <v>76.125</v>
      </c>
    </row>
    <row r="23" spans="1:96" s="320" customFormat="1" x14ac:dyDescent="0.2">
      <c r="A23" s="320" t="s">
        <v>617</v>
      </c>
      <c r="B23" s="320" t="s">
        <v>618</v>
      </c>
      <c r="C23" s="320" t="s">
        <v>10</v>
      </c>
      <c r="D23" s="320" t="s">
        <v>633</v>
      </c>
      <c r="E23" s="320" t="s">
        <v>634</v>
      </c>
      <c r="F23" s="320" t="s">
        <v>1794</v>
      </c>
      <c r="G23" s="320">
        <v>1</v>
      </c>
      <c r="H23" s="320" t="s">
        <v>635</v>
      </c>
      <c r="I23" s="320" t="s">
        <v>621</v>
      </c>
      <c r="J23" s="320">
        <v>1990</v>
      </c>
      <c r="K23" s="320" t="s">
        <v>957</v>
      </c>
      <c r="L23" s="320" t="s">
        <v>959</v>
      </c>
      <c r="M23" s="731">
        <v>-9999</v>
      </c>
      <c r="N23" s="731">
        <v>-9999</v>
      </c>
      <c r="P23" s="731">
        <v>-9999</v>
      </c>
      <c r="Q23" s="731">
        <v>-9999</v>
      </c>
      <c r="R23" s="731"/>
      <c r="S23" s="731"/>
      <c r="T23" s="731">
        <v>18.5</v>
      </c>
      <c r="U23" s="731">
        <v>1.7</v>
      </c>
      <c r="V23" s="731"/>
      <c r="W23" s="731">
        <v>-9999</v>
      </c>
      <c r="X23" s="731">
        <v>-9999</v>
      </c>
      <c r="Y23" s="731"/>
      <c r="Z23" s="320" t="s">
        <v>636</v>
      </c>
      <c r="AA23" s="320">
        <v>37037</v>
      </c>
      <c r="AB23" s="320">
        <v>-9999</v>
      </c>
      <c r="AC23" s="320">
        <v>-9999</v>
      </c>
      <c r="AD23" s="320">
        <v>36</v>
      </c>
      <c r="AE23" s="320">
        <v>-9999</v>
      </c>
      <c r="AF23" s="320">
        <v>3</v>
      </c>
      <c r="AG23" s="320">
        <v>-9999</v>
      </c>
      <c r="AH23" s="320" t="s">
        <v>623</v>
      </c>
      <c r="AI23" s="320" t="s">
        <v>624</v>
      </c>
      <c r="AJ23" s="320">
        <v>-9999</v>
      </c>
      <c r="AK23" s="320" t="s">
        <v>625</v>
      </c>
      <c r="AL23" s="320">
        <v>-9999</v>
      </c>
      <c r="AM23" s="320">
        <v>-9999</v>
      </c>
      <c r="AN23" s="320" t="s">
        <v>626</v>
      </c>
      <c r="AO23" s="320" t="s">
        <v>627</v>
      </c>
      <c r="AP23" s="320" t="s">
        <v>628</v>
      </c>
      <c r="AQ23" s="320" t="s">
        <v>626</v>
      </c>
      <c r="AR23" s="730">
        <v>224</v>
      </c>
      <c r="AS23" s="320" t="s">
        <v>691</v>
      </c>
      <c r="AT23" s="320" t="s">
        <v>743</v>
      </c>
      <c r="AU23" s="730">
        <v>112</v>
      </c>
      <c r="AV23" s="320" t="s">
        <v>218</v>
      </c>
      <c r="AW23" s="320" t="s">
        <v>220</v>
      </c>
      <c r="AX23" s="730">
        <v>224</v>
      </c>
      <c r="AY23" s="320" t="s">
        <v>219</v>
      </c>
      <c r="AZ23" s="320" t="s">
        <v>220</v>
      </c>
      <c r="BA23" s="320">
        <v>-9999</v>
      </c>
      <c r="BB23" s="320">
        <v>-9999</v>
      </c>
      <c r="BC23" s="320">
        <v>-9999</v>
      </c>
      <c r="BD23" s="320">
        <v>-9999</v>
      </c>
      <c r="BE23" s="320">
        <v>-9999</v>
      </c>
      <c r="BF23" s="320">
        <v>-9999</v>
      </c>
      <c r="BG23" s="320">
        <v>-9999</v>
      </c>
      <c r="BH23" s="320">
        <v>-9999</v>
      </c>
      <c r="BI23" s="320" t="s">
        <v>632</v>
      </c>
      <c r="BJ23" s="320">
        <v>-9999</v>
      </c>
      <c r="BK23" s="320">
        <v>-9999</v>
      </c>
      <c r="BL23" s="320">
        <v>-9999</v>
      </c>
      <c r="BM23" s="320">
        <v>-9999</v>
      </c>
      <c r="BN23" s="320">
        <v>-9999</v>
      </c>
      <c r="BO23" s="320">
        <v>-9999</v>
      </c>
      <c r="BP23" s="320">
        <v>-9999</v>
      </c>
      <c r="BQ23" s="320">
        <v>-9999</v>
      </c>
      <c r="BR23" s="320">
        <v>-9999</v>
      </c>
      <c r="BS23" s="320">
        <v>-9999</v>
      </c>
      <c r="BT23" s="320">
        <v>-9999</v>
      </c>
      <c r="BU23" s="320">
        <v>-9999</v>
      </c>
      <c r="BV23" s="320">
        <v>-9999</v>
      </c>
      <c r="BX23" s="320">
        <v>-9999</v>
      </c>
      <c r="BY23" s="320">
        <v>-9999</v>
      </c>
      <c r="BZ23" s="320">
        <v>-9999</v>
      </c>
      <c r="CA23" s="320" t="s">
        <v>834</v>
      </c>
      <c r="CB23" s="320" t="s">
        <v>1434</v>
      </c>
      <c r="CC23" s="320" t="s">
        <v>638</v>
      </c>
      <c r="CD23" s="320">
        <v>1</v>
      </c>
      <c r="CE23" s="731">
        <v>18.5</v>
      </c>
      <c r="CF23" s="731">
        <v>-9999</v>
      </c>
      <c r="CG23" s="320" t="s">
        <v>635</v>
      </c>
      <c r="CH23" s="301" t="s">
        <v>2119</v>
      </c>
      <c r="CI23" s="301" t="s">
        <v>2126</v>
      </c>
      <c r="CK23" s="56" t="s">
        <v>165</v>
      </c>
      <c r="CL23" s="56" t="s">
        <v>164</v>
      </c>
      <c r="CM23" s="268">
        <v>42.792000000000002</v>
      </c>
      <c r="CN23" s="268">
        <v>76.125</v>
      </c>
    </row>
    <row r="24" spans="1:96" s="320" customFormat="1" x14ac:dyDescent="0.2">
      <c r="A24" s="320" t="s">
        <v>617</v>
      </c>
      <c r="B24" s="320" t="s">
        <v>618</v>
      </c>
      <c r="C24" s="320" t="s">
        <v>11</v>
      </c>
      <c r="D24" s="320" t="s">
        <v>633</v>
      </c>
      <c r="E24" s="320" t="s">
        <v>634</v>
      </c>
      <c r="F24" s="320" t="s">
        <v>1794</v>
      </c>
      <c r="G24" s="320">
        <v>1</v>
      </c>
      <c r="H24" s="320" t="s">
        <v>635</v>
      </c>
      <c r="I24" s="320" t="s">
        <v>621</v>
      </c>
      <c r="J24" s="320">
        <v>1990</v>
      </c>
      <c r="K24" s="320" t="s">
        <v>957</v>
      </c>
      <c r="L24" s="320" t="s">
        <v>959</v>
      </c>
      <c r="M24" s="731">
        <v>-9999</v>
      </c>
      <c r="N24" s="731">
        <v>-9999</v>
      </c>
      <c r="P24" s="731">
        <v>-9999</v>
      </c>
      <c r="Q24" s="731">
        <v>-9999</v>
      </c>
      <c r="R24" s="731"/>
      <c r="S24" s="731"/>
      <c r="T24" s="731">
        <v>16.5</v>
      </c>
      <c r="U24" s="731">
        <v>1.9</v>
      </c>
      <c r="V24" s="731"/>
      <c r="W24" s="731">
        <v>-9999</v>
      </c>
      <c r="X24" s="731">
        <v>-9999</v>
      </c>
      <c r="Y24" s="731"/>
      <c r="Z24" s="320" t="s">
        <v>637</v>
      </c>
      <c r="AA24" s="320">
        <v>15152</v>
      </c>
      <c r="AB24" s="320">
        <v>-9999</v>
      </c>
      <c r="AC24" s="320">
        <v>-9999</v>
      </c>
      <c r="AD24" s="320">
        <v>36</v>
      </c>
      <c r="AE24" s="320">
        <v>-9999</v>
      </c>
      <c r="AF24" s="320">
        <v>3</v>
      </c>
      <c r="AG24" s="320">
        <v>-9999</v>
      </c>
      <c r="AH24" s="320" t="s">
        <v>623</v>
      </c>
      <c r="AI24" s="320" t="s">
        <v>624</v>
      </c>
      <c r="AJ24" s="320">
        <v>-9999</v>
      </c>
      <c r="AK24" s="320" t="s">
        <v>625</v>
      </c>
      <c r="AL24" s="320">
        <v>-9999</v>
      </c>
      <c r="AM24" s="320">
        <v>-9999</v>
      </c>
      <c r="AN24" s="320" t="s">
        <v>626</v>
      </c>
      <c r="AO24" s="320" t="s">
        <v>627</v>
      </c>
      <c r="AP24" s="320" t="s">
        <v>628</v>
      </c>
      <c r="AQ24" s="320" t="s">
        <v>626</v>
      </c>
      <c r="AR24" s="730">
        <v>224</v>
      </c>
      <c r="AS24" s="320" t="s">
        <v>691</v>
      </c>
      <c r="AT24" s="320" t="s">
        <v>743</v>
      </c>
      <c r="AU24" s="730">
        <v>112</v>
      </c>
      <c r="AV24" s="320" t="s">
        <v>218</v>
      </c>
      <c r="AW24" s="320" t="s">
        <v>220</v>
      </c>
      <c r="AX24" s="730">
        <v>224</v>
      </c>
      <c r="AY24" s="320" t="s">
        <v>219</v>
      </c>
      <c r="AZ24" s="320" t="s">
        <v>220</v>
      </c>
      <c r="BA24" s="320">
        <v>-9999</v>
      </c>
      <c r="BB24" s="320">
        <v>-9999</v>
      </c>
      <c r="BC24" s="320">
        <v>-9999</v>
      </c>
      <c r="BD24" s="320">
        <v>-9999</v>
      </c>
      <c r="BE24" s="320">
        <v>-9999</v>
      </c>
      <c r="BF24" s="320">
        <v>-9999</v>
      </c>
      <c r="BG24" s="320">
        <v>-9999</v>
      </c>
      <c r="BH24" s="320">
        <v>-9999</v>
      </c>
      <c r="BI24" s="320" t="s">
        <v>632</v>
      </c>
      <c r="BJ24" s="320">
        <v>-9999</v>
      </c>
      <c r="BK24" s="320">
        <v>-9999</v>
      </c>
      <c r="BL24" s="320">
        <v>-9999</v>
      </c>
      <c r="BM24" s="320">
        <v>-9999</v>
      </c>
      <c r="BN24" s="320">
        <v>-9999</v>
      </c>
      <c r="BO24" s="320">
        <v>-9999</v>
      </c>
      <c r="BP24" s="320">
        <v>-9999</v>
      </c>
      <c r="BQ24" s="320">
        <v>-9999</v>
      </c>
      <c r="BR24" s="320">
        <v>-9999</v>
      </c>
      <c r="BS24" s="320">
        <v>-9999</v>
      </c>
      <c r="BT24" s="320">
        <v>-9999</v>
      </c>
      <c r="BU24" s="320">
        <v>-9999</v>
      </c>
      <c r="BV24" s="320">
        <v>-9999</v>
      </c>
      <c r="BX24" s="320">
        <v>-9999</v>
      </c>
      <c r="BY24" s="320">
        <v>-9999</v>
      </c>
      <c r="BZ24" s="320">
        <v>-9999</v>
      </c>
      <c r="CA24" s="320" t="s">
        <v>834</v>
      </c>
      <c r="CB24" s="320" t="s">
        <v>1434</v>
      </c>
      <c r="CC24" s="320" t="s">
        <v>638</v>
      </c>
      <c r="CD24" s="320">
        <v>1</v>
      </c>
      <c r="CE24" s="731">
        <v>16.5</v>
      </c>
      <c r="CF24" s="731">
        <v>-9999</v>
      </c>
      <c r="CG24" s="320" t="s">
        <v>635</v>
      </c>
      <c r="CH24" s="301" t="s">
        <v>2119</v>
      </c>
      <c r="CI24" s="301" t="s">
        <v>2126</v>
      </c>
      <c r="CK24" s="56" t="s">
        <v>165</v>
      </c>
      <c r="CL24" s="56" t="s">
        <v>164</v>
      </c>
      <c r="CM24" s="268">
        <v>42.792000000000002</v>
      </c>
      <c r="CN24" s="268">
        <v>76.125</v>
      </c>
    </row>
    <row r="25" spans="1:96" s="320" customFormat="1" x14ac:dyDescent="0.2">
      <c r="A25" s="320" t="s">
        <v>617</v>
      </c>
      <c r="B25" s="320" t="s">
        <v>618</v>
      </c>
      <c r="C25" s="320" t="s">
        <v>12</v>
      </c>
      <c r="D25" s="320" t="s">
        <v>633</v>
      </c>
      <c r="E25" s="320" t="s">
        <v>634</v>
      </c>
      <c r="F25" s="320" t="s">
        <v>1794</v>
      </c>
      <c r="G25" s="320">
        <v>1</v>
      </c>
      <c r="H25" s="320" t="s">
        <v>1798</v>
      </c>
      <c r="I25" s="320" t="s">
        <v>621</v>
      </c>
      <c r="J25" s="320">
        <v>1990</v>
      </c>
      <c r="K25" s="320" t="s">
        <v>957</v>
      </c>
      <c r="L25" s="320" t="s">
        <v>959</v>
      </c>
      <c r="M25" s="731">
        <v>-9999</v>
      </c>
      <c r="N25" s="731">
        <v>-9999</v>
      </c>
      <c r="P25" s="731">
        <v>-9999</v>
      </c>
      <c r="Q25" s="731">
        <v>-9999</v>
      </c>
      <c r="R25" s="731"/>
      <c r="S25" s="731"/>
      <c r="T25" s="731">
        <v>12.5</v>
      </c>
      <c r="U25" s="731">
        <v>0.6</v>
      </c>
      <c r="V25" s="731"/>
      <c r="W25" s="731">
        <v>-9999</v>
      </c>
      <c r="X25" s="731">
        <v>-9999</v>
      </c>
      <c r="Y25" s="731"/>
      <c r="Z25" s="320" t="s">
        <v>639</v>
      </c>
      <c r="AA25" s="320" t="s">
        <v>640</v>
      </c>
      <c r="AB25" s="320">
        <v>-9999</v>
      </c>
      <c r="AC25" s="320">
        <v>-9999</v>
      </c>
      <c r="AD25" s="320">
        <v>36</v>
      </c>
      <c r="AE25" s="320">
        <v>-9999</v>
      </c>
      <c r="AF25" s="320">
        <v>3</v>
      </c>
      <c r="AG25" s="320">
        <v>-9999</v>
      </c>
      <c r="AH25" s="320" t="s">
        <v>623</v>
      </c>
      <c r="AI25" s="320" t="s">
        <v>624</v>
      </c>
      <c r="AJ25" s="320">
        <v>-9999</v>
      </c>
      <c r="AK25" s="320" t="s">
        <v>625</v>
      </c>
      <c r="AL25" s="320">
        <v>-9999</v>
      </c>
      <c r="AM25" s="320">
        <v>-9999</v>
      </c>
      <c r="AN25" s="320" t="s">
        <v>626</v>
      </c>
      <c r="AO25" s="320" t="s">
        <v>627</v>
      </c>
      <c r="AP25" s="320" t="s">
        <v>628</v>
      </c>
      <c r="AQ25" s="320" t="s">
        <v>626</v>
      </c>
      <c r="AR25" s="730">
        <v>224</v>
      </c>
      <c r="AS25" s="320" t="s">
        <v>691</v>
      </c>
      <c r="AT25" s="320" t="s">
        <v>743</v>
      </c>
      <c r="AU25" s="730">
        <v>112</v>
      </c>
      <c r="AV25" s="320" t="s">
        <v>218</v>
      </c>
      <c r="AW25" s="320" t="s">
        <v>220</v>
      </c>
      <c r="AX25" s="730">
        <v>224</v>
      </c>
      <c r="AY25" s="320" t="s">
        <v>219</v>
      </c>
      <c r="AZ25" s="320" t="s">
        <v>220</v>
      </c>
      <c r="BA25" s="320">
        <v>-9999</v>
      </c>
      <c r="BB25" s="320">
        <v>-9999</v>
      </c>
      <c r="BC25" s="320">
        <v>-9999</v>
      </c>
      <c r="BD25" s="320">
        <v>-9999</v>
      </c>
      <c r="BE25" s="320">
        <v>-9999</v>
      </c>
      <c r="BF25" s="320">
        <v>-9999</v>
      </c>
      <c r="BG25" s="320">
        <v>-9999</v>
      </c>
      <c r="BH25" s="320">
        <v>-9999</v>
      </c>
      <c r="BI25" s="320" t="s">
        <v>644</v>
      </c>
      <c r="BJ25" s="320">
        <v>-9999</v>
      </c>
      <c r="BK25" s="320">
        <v>-9999</v>
      </c>
      <c r="BL25" s="320">
        <v>-9999</v>
      </c>
      <c r="BM25" s="320">
        <v>-9999</v>
      </c>
      <c r="BN25" s="320">
        <v>-9999</v>
      </c>
      <c r="BO25" s="320">
        <v>-9999</v>
      </c>
      <c r="BP25" s="320">
        <v>-9999</v>
      </c>
      <c r="BQ25" s="320">
        <v>-9999</v>
      </c>
      <c r="BR25" s="320">
        <v>-9999</v>
      </c>
      <c r="BS25" s="320">
        <v>-9999</v>
      </c>
      <c r="BT25" s="320">
        <v>-9999</v>
      </c>
      <c r="BU25" s="320">
        <v>-9999</v>
      </c>
      <c r="BV25" s="320">
        <v>-9999</v>
      </c>
      <c r="BX25" s="320">
        <v>-9999</v>
      </c>
      <c r="BY25" s="320">
        <v>-9999</v>
      </c>
      <c r="BZ25" s="320">
        <v>-9999</v>
      </c>
      <c r="CA25" s="320" t="s">
        <v>834</v>
      </c>
      <c r="CB25" s="320" t="s">
        <v>1434</v>
      </c>
      <c r="CC25" s="320" t="s">
        <v>638</v>
      </c>
      <c r="CD25" s="320">
        <v>1</v>
      </c>
      <c r="CE25" s="731">
        <v>12.5</v>
      </c>
      <c r="CF25" s="731">
        <v>-9999</v>
      </c>
      <c r="CG25" s="320" t="s">
        <v>1357</v>
      </c>
      <c r="CH25" s="301" t="s">
        <v>2119</v>
      </c>
      <c r="CI25" s="320" t="s">
        <v>2125</v>
      </c>
      <c r="CK25" s="56" t="s">
        <v>165</v>
      </c>
      <c r="CL25" s="56" t="s">
        <v>164</v>
      </c>
      <c r="CM25" s="268">
        <v>42.792000000000002</v>
      </c>
      <c r="CN25" s="268">
        <v>76.125</v>
      </c>
    </row>
    <row r="26" spans="1:96" s="320" customFormat="1" x14ac:dyDescent="0.2">
      <c r="A26" s="320" t="s">
        <v>617</v>
      </c>
      <c r="B26" s="320" t="s">
        <v>618</v>
      </c>
      <c r="C26" s="320" t="s">
        <v>14</v>
      </c>
      <c r="D26" s="320" t="s">
        <v>633</v>
      </c>
      <c r="E26" s="320" t="s">
        <v>634</v>
      </c>
      <c r="F26" s="320" t="s">
        <v>645</v>
      </c>
      <c r="G26" s="320">
        <v>2</v>
      </c>
      <c r="H26" s="320" t="s">
        <v>1797</v>
      </c>
      <c r="I26" s="320" t="s">
        <v>621</v>
      </c>
      <c r="J26" s="320">
        <v>1990</v>
      </c>
      <c r="K26" s="320" t="s">
        <v>957</v>
      </c>
      <c r="L26" s="320" t="s">
        <v>960</v>
      </c>
      <c r="M26" s="731">
        <v>-9999</v>
      </c>
      <c r="N26" s="731">
        <v>-9999</v>
      </c>
      <c r="P26" s="731">
        <v>-9999</v>
      </c>
      <c r="Q26" s="731">
        <v>-9999</v>
      </c>
      <c r="R26" s="731"/>
      <c r="S26" s="731"/>
      <c r="T26" s="731">
        <v>16.100000000000001</v>
      </c>
      <c r="U26" s="731">
        <v>0.9</v>
      </c>
      <c r="V26" s="731"/>
      <c r="W26" s="731">
        <v>-9999</v>
      </c>
      <c r="X26" s="731">
        <v>-9999</v>
      </c>
      <c r="Y26" s="731"/>
      <c r="Z26" s="320" t="s">
        <v>639</v>
      </c>
      <c r="AA26" s="320" t="s">
        <v>640</v>
      </c>
      <c r="AB26" s="320">
        <v>-9999</v>
      </c>
      <c r="AC26" s="320">
        <v>-9999</v>
      </c>
      <c r="AD26" s="320">
        <v>36</v>
      </c>
      <c r="AE26" s="320">
        <v>-9999</v>
      </c>
      <c r="AF26" s="320">
        <v>3</v>
      </c>
      <c r="AG26" s="320">
        <v>-9999</v>
      </c>
      <c r="AH26" s="320" t="s">
        <v>623</v>
      </c>
      <c r="AI26" s="320" t="s">
        <v>624</v>
      </c>
      <c r="AJ26" s="320">
        <v>-9999</v>
      </c>
      <c r="AK26" s="320" t="s">
        <v>625</v>
      </c>
      <c r="AL26" s="320">
        <v>-9999</v>
      </c>
      <c r="AM26" s="320">
        <v>-9999</v>
      </c>
      <c r="AN26" s="320" t="s">
        <v>626</v>
      </c>
      <c r="AO26" s="320" t="s">
        <v>627</v>
      </c>
      <c r="AP26" s="320" t="s">
        <v>628</v>
      </c>
      <c r="AQ26" s="320" t="s">
        <v>626</v>
      </c>
      <c r="AR26" s="730">
        <v>448</v>
      </c>
      <c r="AS26" s="320" t="s">
        <v>691</v>
      </c>
      <c r="AT26" s="320" t="s">
        <v>743</v>
      </c>
      <c r="AU26" s="730">
        <v>112</v>
      </c>
      <c r="AV26" s="320" t="s">
        <v>218</v>
      </c>
      <c r="AW26" s="320" t="s">
        <v>220</v>
      </c>
      <c r="AX26" s="730">
        <v>224</v>
      </c>
      <c r="AY26" s="320" t="s">
        <v>219</v>
      </c>
      <c r="AZ26" s="320" t="s">
        <v>220</v>
      </c>
      <c r="BA26" s="320">
        <v>-9999</v>
      </c>
      <c r="BB26" s="320">
        <v>-9999</v>
      </c>
      <c r="BC26" s="320">
        <v>-9999</v>
      </c>
      <c r="BD26" s="320">
        <v>-9999</v>
      </c>
      <c r="BE26" s="320">
        <v>-9999</v>
      </c>
      <c r="BF26" s="320">
        <v>-9999</v>
      </c>
      <c r="BG26" s="320">
        <v>-9999</v>
      </c>
      <c r="BH26" s="320">
        <v>-9999</v>
      </c>
      <c r="BI26" s="320" t="s">
        <v>646</v>
      </c>
      <c r="BJ26" s="320">
        <v>-9999</v>
      </c>
      <c r="BK26" s="320">
        <v>-9999</v>
      </c>
      <c r="BL26" s="320">
        <v>-9999</v>
      </c>
      <c r="BM26" s="320">
        <v>-9999</v>
      </c>
      <c r="BN26" s="320">
        <v>-9999</v>
      </c>
      <c r="BO26" s="320">
        <v>-9999</v>
      </c>
      <c r="BP26" s="320">
        <v>-9999</v>
      </c>
      <c r="BQ26" s="320">
        <v>-9999</v>
      </c>
      <c r="BR26" s="320">
        <v>-9999</v>
      </c>
      <c r="BS26" s="320">
        <v>-9999</v>
      </c>
      <c r="BT26" s="320">
        <v>-9999</v>
      </c>
      <c r="BU26" s="320">
        <v>-9999</v>
      </c>
      <c r="BV26" s="320">
        <v>-9999</v>
      </c>
      <c r="BX26" s="320">
        <v>-9999</v>
      </c>
      <c r="BY26" s="320">
        <v>-9999</v>
      </c>
      <c r="BZ26" s="320">
        <v>-9999</v>
      </c>
      <c r="CA26" s="320" t="s">
        <v>834</v>
      </c>
      <c r="CB26" s="320" t="s">
        <v>1434</v>
      </c>
      <c r="CC26" s="320" t="s">
        <v>645</v>
      </c>
      <c r="CD26" s="320">
        <v>2</v>
      </c>
      <c r="CE26" s="731">
        <v>16.100000000000001</v>
      </c>
      <c r="CF26" s="731">
        <v>-9999</v>
      </c>
      <c r="CG26" s="320" t="s">
        <v>1358</v>
      </c>
      <c r="CH26" s="301" t="s">
        <v>2119</v>
      </c>
      <c r="CI26" s="301" t="s">
        <v>2126</v>
      </c>
      <c r="CK26" s="56" t="s">
        <v>165</v>
      </c>
      <c r="CL26" s="56" t="s">
        <v>164</v>
      </c>
      <c r="CM26" s="268">
        <v>42.792000000000002</v>
      </c>
      <c r="CN26" s="268">
        <v>76.125</v>
      </c>
    </row>
    <row r="27" spans="1:96" s="320" customFormat="1" x14ac:dyDescent="0.2">
      <c r="A27" s="320" t="s">
        <v>617</v>
      </c>
      <c r="B27" s="320" t="s">
        <v>618</v>
      </c>
      <c r="C27" s="320" t="s">
        <v>16</v>
      </c>
      <c r="D27" s="320" t="s">
        <v>633</v>
      </c>
      <c r="E27" s="320" t="s">
        <v>634</v>
      </c>
      <c r="F27" s="320" t="s">
        <v>647</v>
      </c>
      <c r="G27" s="320">
        <v>3</v>
      </c>
      <c r="H27" s="320">
        <v>4</v>
      </c>
      <c r="I27" s="320" t="s">
        <v>621</v>
      </c>
      <c r="J27" s="320">
        <v>1990</v>
      </c>
      <c r="K27" s="320" t="s">
        <v>957</v>
      </c>
      <c r="L27" s="320">
        <v>1993</v>
      </c>
      <c r="M27" s="731">
        <v>-9999</v>
      </c>
      <c r="N27" s="731">
        <v>-9999</v>
      </c>
      <c r="P27" s="731">
        <v>-9999</v>
      </c>
      <c r="Q27" s="731">
        <v>-9999</v>
      </c>
      <c r="R27" s="731"/>
      <c r="S27" s="731"/>
      <c r="T27" s="731">
        <v>21.7</v>
      </c>
      <c r="U27" s="731">
        <v>1.4</v>
      </c>
      <c r="V27" s="731"/>
      <c r="W27" s="731">
        <v>-9999</v>
      </c>
      <c r="X27" s="731">
        <v>-9999</v>
      </c>
      <c r="Y27" s="731"/>
      <c r="Z27" s="320" t="s">
        <v>639</v>
      </c>
      <c r="AA27" s="320" t="s">
        <v>640</v>
      </c>
      <c r="AB27" s="320">
        <v>-9999</v>
      </c>
      <c r="AC27" s="320">
        <v>-9999</v>
      </c>
      <c r="AD27" s="320">
        <v>36</v>
      </c>
      <c r="AE27" s="320">
        <v>-9999</v>
      </c>
      <c r="AF27" s="320">
        <v>3</v>
      </c>
      <c r="AG27" s="320">
        <v>-9999</v>
      </c>
      <c r="AH27" s="320" t="s">
        <v>623</v>
      </c>
      <c r="AI27" s="320" t="s">
        <v>624</v>
      </c>
      <c r="AJ27" s="320">
        <v>-9999</v>
      </c>
      <c r="AK27" s="320" t="s">
        <v>625</v>
      </c>
      <c r="AL27" s="320">
        <v>-9999</v>
      </c>
      <c r="AM27" s="320">
        <v>-9999</v>
      </c>
      <c r="AN27" s="320" t="s">
        <v>626</v>
      </c>
      <c r="AO27" s="320" t="s">
        <v>627</v>
      </c>
      <c r="AP27" s="320" t="s">
        <v>628</v>
      </c>
      <c r="AQ27" s="320" t="s">
        <v>626</v>
      </c>
      <c r="AR27" s="730">
        <v>672</v>
      </c>
      <c r="AS27" s="320" t="s">
        <v>691</v>
      </c>
      <c r="AT27" s="320" t="s">
        <v>743</v>
      </c>
      <c r="AU27" s="730">
        <v>112</v>
      </c>
      <c r="AV27" s="320" t="s">
        <v>218</v>
      </c>
      <c r="AW27" s="320" t="s">
        <v>220</v>
      </c>
      <c r="AX27" s="730">
        <v>224</v>
      </c>
      <c r="AY27" s="320" t="s">
        <v>219</v>
      </c>
      <c r="AZ27" s="320" t="s">
        <v>220</v>
      </c>
      <c r="BA27" s="320">
        <v>-9999</v>
      </c>
      <c r="BB27" s="320">
        <v>-9999</v>
      </c>
      <c r="BC27" s="320">
        <v>-9999</v>
      </c>
      <c r="BD27" s="320">
        <v>-9999</v>
      </c>
      <c r="BE27" s="320">
        <v>-9999</v>
      </c>
      <c r="BF27" s="320">
        <v>-9999</v>
      </c>
      <c r="BG27" s="320">
        <v>-9999</v>
      </c>
      <c r="BH27" s="320">
        <v>-9999</v>
      </c>
      <c r="BI27" s="320" t="s">
        <v>648</v>
      </c>
      <c r="BJ27" s="320">
        <v>-9999</v>
      </c>
      <c r="BK27" s="320">
        <v>-9999</v>
      </c>
      <c r="BL27" s="320">
        <v>-9999</v>
      </c>
      <c r="BM27" s="320">
        <v>-9999</v>
      </c>
      <c r="BN27" s="320">
        <v>-9999</v>
      </c>
      <c r="BO27" s="320">
        <v>-9999</v>
      </c>
      <c r="BP27" s="320">
        <v>-9999</v>
      </c>
      <c r="BQ27" s="320">
        <v>-9999</v>
      </c>
      <c r="BR27" s="320">
        <v>-9999</v>
      </c>
      <c r="BS27" s="320">
        <v>-9999</v>
      </c>
      <c r="BT27" s="320">
        <v>-9999</v>
      </c>
      <c r="BU27" s="320">
        <v>-9999</v>
      </c>
      <c r="BV27" s="320">
        <v>-9999</v>
      </c>
      <c r="BX27" s="320">
        <v>-9999</v>
      </c>
      <c r="BY27" s="320">
        <v>-9999</v>
      </c>
      <c r="BZ27" s="320">
        <v>-9999</v>
      </c>
      <c r="CA27" s="320" t="s">
        <v>834</v>
      </c>
      <c r="CB27" s="320" t="s">
        <v>1434</v>
      </c>
      <c r="CC27" s="320" t="s">
        <v>647</v>
      </c>
      <c r="CD27" s="320">
        <v>3</v>
      </c>
      <c r="CE27" s="731">
        <v>21.7</v>
      </c>
      <c r="CF27" s="731">
        <v>-9999</v>
      </c>
      <c r="CG27" s="320">
        <v>4</v>
      </c>
      <c r="CH27" s="301" t="s">
        <v>2119</v>
      </c>
      <c r="CI27" s="301" t="s">
        <v>2126</v>
      </c>
      <c r="CK27" s="56" t="s">
        <v>165</v>
      </c>
      <c r="CL27" s="56" t="s">
        <v>164</v>
      </c>
      <c r="CM27" s="268">
        <v>42.792000000000002</v>
      </c>
      <c r="CN27" s="268">
        <v>76.125</v>
      </c>
    </row>
    <row r="28" spans="1:96" s="320" customFormat="1" x14ac:dyDescent="0.2">
      <c r="A28" s="320" t="s">
        <v>617</v>
      </c>
      <c r="B28" s="320" t="s">
        <v>618</v>
      </c>
      <c r="C28" s="320" t="s">
        <v>18</v>
      </c>
      <c r="D28" s="320" t="s">
        <v>633</v>
      </c>
      <c r="E28" s="320" t="s">
        <v>634</v>
      </c>
      <c r="F28" s="320">
        <v>1</v>
      </c>
      <c r="G28" s="320">
        <v>3</v>
      </c>
      <c r="H28" s="320">
        <v>4</v>
      </c>
      <c r="I28" s="320" t="s">
        <v>621</v>
      </c>
      <c r="J28" s="320">
        <v>1990</v>
      </c>
      <c r="K28" s="320" t="s">
        <v>957</v>
      </c>
      <c r="L28" s="320">
        <v>1993</v>
      </c>
      <c r="M28" s="731">
        <v>-9999</v>
      </c>
      <c r="N28" s="731">
        <v>-9999</v>
      </c>
      <c r="P28" s="731">
        <v>-9999</v>
      </c>
      <c r="Q28" s="731">
        <v>-9999</v>
      </c>
      <c r="R28" s="731"/>
      <c r="S28" s="731"/>
      <c r="T28" s="731">
        <v>27.5</v>
      </c>
      <c r="U28" s="731">
        <v>1.8</v>
      </c>
      <c r="V28" s="731"/>
      <c r="W28" s="731">
        <v>-9999</v>
      </c>
      <c r="X28" s="731">
        <v>-9999</v>
      </c>
      <c r="Y28" s="731"/>
      <c r="Z28" s="320" t="s">
        <v>636</v>
      </c>
      <c r="AA28" s="320">
        <v>37037</v>
      </c>
      <c r="AB28" s="320">
        <v>-9999</v>
      </c>
      <c r="AC28" s="320">
        <v>-9999</v>
      </c>
      <c r="AD28" s="320">
        <v>36</v>
      </c>
      <c r="AE28" s="320">
        <v>-9999</v>
      </c>
      <c r="AF28" s="320">
        <v>3</v>
      </c>
      <c r="AG28" s="320">
        <v>-9999</v>
      </c>
      <c r="AH28" s="320" t="s">
        <v>623</v>
      </c>
      <c r="AI28" s="320" t="s">
        <v>624</v>
      </c>
      <c r="AJ28" s="320">
        <v>-9999</v>
      </c>
      <c r="AK28" s="320" t="s">
        <v>625</v>
      </c>
      <c r="AL28" s="320">
        <v>-9999</v>
      </c>
      <c r="AM28" s="320">
        <v>-9999</v>
      </c>
      <c r="AN28" s="320" t="s">
        <v>626</v>
      </c>
      <c r="AO28" s="320" t="s">
        <v>627</v>
      </c>
      <c r="AP28" s="320" t="s">
        <v>628</v>
      </c>
      <c r="AQ28" s="320" t="s">
        <v>626</v>
      </c>
      <c r="AR28" s="730">
        <v>672</v>
      </c>
      <c r="AS28" s="320" t="s">
        <v>691</v>
      </c>
      <c r="AT28" s="320" t="s">
        <v>743</v>
      </c>
      <c r="AU28" s="730">
        <v>224</v>
      </c>
      <c r="AV28" s="320" t="s">
        <v>218</v>
      </c>
      <c r="AW28" s="320" t="s">
        <v>592</v>
      </c>
      <c r="AX28" s="730">
        <v>224</v>
      </c>
      <c r="AY28" s="320" t="s">
        <v>219</v>
      </c>
      <c r="AZ28" s="320" t="s">
        <v>220</v>
      </c>
      <c r="BA28" s="320">
        <v>-9999</v>
      </c>
      <c r="BB28" s="320">
        <v>-9999</v>
      </c>
      <c r="BC28" s="320">
        <v>-9999</v>
      </c>
      <c r="BD28" s="320">
        <v>-9999</v>
      </c>
      <c r="BE28" s="320">
        <v>-9999</v>
      </c>
      <c r="BF28" s="320">
        <v>-9999</v>
      </c>
      <c r="BG28" s="320">
        <v>-9999</v>
      </c>
      <c r="BH28" s="320">
        <v>-9999</v>
      </c>
      <c r="BI28" s="320" t="s">
        <v>649</v>
      </c>
      <c r="BJ28" s="320">
        <v>-9999</v>
      </c>
      <c r="BK28" s="320">
        <v>-9999</v>
      </c>
      <c r="BL28" s="320">
        <v>-9999</v>
      </c>
      <c r="BM28" s="320">
        <v>-9999</v>
      </c>
      <c r="BN28" s="320">
        <v>-9999</v>
      </c>
      <c r="BO28" s="320">
        <v>-9999</v>
      </c>
      <c r="BP28" s="320">
        <v>-9999</v>
      </c>
      <c r="BQ28" s="320">
        <v>-9999</v>
      </c>
      <c r="BR28" s="320">
        <v>-9999</v>
      </c>
      <c r="BS28" s="320">
        <v>-9999</v>
      </c>
      <c r="BT28" s="320">
        <v>-9999</v>
      </c>
      <c r="BU28" s="320">
        <v>-9999</v>
      </c>
      <c r="BV28" s="320">
        <v>-9999</v>
      </c>
      <c r="BX28" s="320">
        <v>-9999</v>
      </c>
      <c r="BY28" s="320">
        <v>-9999</v>
      </c>
      <c r="BZ28" s="320">
        <v>-9999</v>
      </c>
      <c r="CA28" s="320" t="s">
        <v>834</v>
      </c>
      <c r="CB28" s="320" t="s">
        <v>1434</v>
      </c>
      <c r="CC28" s="320">
        <v>1</v>
      </c>
      <c r="CD28" s="320">
        <v>3</v>
      </c>
      <c r="CE28" s="731">
        <v>27.5</v>
      </c>
      <c r="CF28" s="731">
        <v>-9999</v>
      </c>
      <c r="CG28" s="320">
        <v>4</v>
      </c>
      <c r="CH28" s="301" t="s">
        <v>2119</v>
      </c>
      <c r="CI28" s="301" t="s">
        <v>2126</v>
      </c>
      <c r="CJ28" s="320" t="s">
        <v>878</v>
      </c>
      <c r="CK28" s="56" t="s">
        <v>165</v>
      </c>
      <c r="CL28" s="56" t="s">
        <v>164</v>
      </c>
      <c r="CM28" s="268">
        <v>42.792000000000002</v>
      </c>
      <c r="CN28" s="268">
        <v>76.125</v>
      </c>
    </row>
    <row r="29" spans="1:96" s="320" customFormat="1" x14ac:dyDescent="0.2">
      <c r="A29" s="320" t="s">
        <v>650</v>
      </c>
      <c r="B29" s="320" t="s">
        <v>618</v>
      </c>
      <c r="C29" s="320" t="s">
        <v>30</v>
      </c>
      <c r="D29" s="320" t="s">
        <v>633</v>
      </c>
      <c r="E29" s="320" t="s">
        <v>634</v>
      </c>
      <c r="F29" s="320">
        <v>1</v>
      </c>
      <c r="G29" s="320">
        <v>1</v>
      </c>
      <c r="H29" s="320">
        <v>2</v>
      </c>
      <c r="I29" s="320" t="s">
        <v>954</v>
      </c>
      <c r="J29" s="320" t="s">
        <v>651</v>
      </c>
      <c r="K29" s="320" t="s">
        <v>957</v>
      </c>
      <c r="L29" s="320">
        <v>1996</v>
      </c>
      <c r="M29" s="731">
        <v>-9999</v>
      </c>
      <c r="N29" s="731">
        <v>-9999</v>
      </c>
      <c r="P29" s="731">
        <v>13.25</v>
      </c>
      <c r="Q29" s="731">
        <v>0.47</v>
      </c>
      <c r="R29" s="731"/>
      <c r="S29" s="731"/>
      <c r="T29" s="731">
        <v>13.25</v>
      </c>
      <c r="U29" s="731">
        <v>0.47</v>
      </c>
      <c r="V29" s="731"/>
      <c r="W29" s="731">
        <v>13.25</v>
      </c>
      <c r="X29" s="731">
        <v>-9999</v>
      </c>
      <c r="Y29" s="731"/>
      <c r="Z29" s="320" t="s">
        <v>20</v>
      </c>
      <c r="AA29" s="320">
        <v>15152</v>
      </c>
      <c r="AB29" s="320">
        <v>-9999</v>
      </c>
      <c r="AC29" s="320">
        <v>-9999</v>
      </c>
      <c r="AD29" s="320">
        <v>65</v>
      </c>
      <c r="AE29" s="320" t="s">
        <v>1952</v>
      </c>
      <c r="AF29" s="320">
        <v>3</v>
      </c>
      <c r="AG29" s="320" t="s">
        <v>652</v>
      </c>
      <c r="AH29" s="320" t="s">
        <v>623</v>
      </c>
      <c r="AI29" s="320">
        <v>-9999</v>
      </c>
      <c r="AJ29" s="320">
        <v>-9999</v>
      </c>
      <c r="AK29" s="320" t="s">
        <v>625</v>
      </c>
      <c r="AL29" s="320" t="s">
        <v>653</v>
      </c>
      <c r="AM29" s="320">
        <v>-9999</v>
      </c>
      <c r="AN29" s="320" t="s">
        <v>631</v>
      </c>
      <c r="AO29" s="320">
        <v>-9999</v>
      </c>
      <c r="AP29" s="320">
        <v>-9999</v>
      </c>
      <c r="AQ29" s="320" t="s">
        <v>626</v>
      </c>
      <c r="AR29" s="730">
        <v>1200</v>
      </c>
      <c r="AS29" s="320" t="s">
        <v>1186</v>
      </c>
      <c r="AT29" s="320" t="s">
        <v>654</v>
      </c>
      <c r="AU29" s="730">
        <v>0</v>
      </c>
      <c r="AV29" s="320">
        <v>-9999</v>
      </c>
      <c r="AW29" s="320">
        <v>-9999</v>
      </c>
      <c r="AX29" s="730">
        <v>0</v>
      </c>
      <c r="AY29" s="320">
        <v>-9999</v>
      </c>
      <c r="AZ29" s="320">
        <v>-9999</v>
      </c>
      <c r="BA29" s="320" t="s">
        <v>188</v>
      </c>
      <c r="BB29" s="320" t="s">
        <v>626</v>
      </c>
      <c r="BC29" s="320" t="s">
        <v>22</v>
      </c>
      <c r="BD29" s="320" t="s">
        <v>653</v>
      </c>
      <c r="BE29" s="320" t="s">
        <v>23</v>
      </c>
      <c r="BF29" s="320" t="s">
        <v>24</v>
      </c>
      <c r="BG29" s="320" t="s">
        <v>653</v>
      </c>
      <c r="BH29" s="320" t="s">
        <v>25</v>
      </c>
      <c r="BI29" s="320" t="s">
        <v>26</v>
      </c>
      <c r="BJ29" s="320">
        <v>-9999</v>
      </c>
      <c r="BK29" s="320">
        <v>-9999</v>
      </c>
      <c r="BL29" s="320">
        <v>-9999</v>
      </c>
      <c r="BM29" s="320">
        <v>-9999</v>
      </c>
      <c r="BN29" s="320">
        <v>-9999</v>
      </c>
      <c r="BO29" s="320">
        <v>-9999</v>
      </c>
      <c r="BP29" s="320">
        <v>-9999</v>
      </c>
      <c r="BQ29" s="320">
        <v>-9999</v>
      </c>
      <c r="BR29" s="320">
        <v>-9999</v>
      </c>
      <c r="BS29" s="320">
        <v>-9999</v>
      </c>
      <c r="BT29" s="320">
        <v>-9999</v>
      </c>
      <c r="BU29" s="320">
        <v>-9999</v>
      </c>
      <c r="BV29" s="320">
        <v>-9999</v>
      </c>
      <c r="BX29" s="320">
        <v>-9999</v>
      </c>
      <c r="BY29" s="320">
        <v>-9999</v>
      </c>
      <c r="BZ29" s="320">
        <v>-9999</v>
      </c>
      <c r="CA29" s="320" t="s">
        <v>834</v>
      </c>
      <c r="CC29" s="320">
        <v>1</v>
      </c>
      <c r="CD29" s="320">
        <v>1</v>
      </c>
      <c r="CE29" s="731">
        <v>13.25</v>
      </c>
      <c r="CF29" s="731">
        <v>13.25</v>
      </c>
      <c r="CG29" s="320">
        <v>2</v>
      </c>
      <c r="CH29" s="301" t="s">
        <v>2119</v>
      </c>
      <c r="CI29" s="320" t="s">
        <v>2125</v>
      </c>
      <c r="CJ29" s="320" t="s">
        <v>878</v>
      </c>
      <c r="CK29" s="56" t="s">
        <v>165</v>
      </c>
      <c r="CL29" s="56" t="s">
        <v>164</v>
      </c>
      <c r="CM29" s="268">
        <v>42.792000000000002</v>
      </c>
      <c r="CN29" s="268">
        <v>76.125</v>
      </c>
      <c r="CQ29" s="320" t="s">
        <v>1579</v>
      </c>
      <c r="CR29" s="320" t="s">
        <v>1579</v>
      </c>
    </row>
    <row r="30" spans="1:96" s="320" customFormat="1" x14ac:dyDescent="0.2">
      <c r="A30" s="320" t="s">
        <v>650</v>
      </c>
      <c r="B30" s="320" t="s">
        <v>618</v>
      </c>
      <c r="C30" s="320" t="s">
        <v>32</v>
      </c>
      <c r="D30" s="320" t="s">
        <v>633</v>
      </c>
      <c r="E30" s="320" t="s">
        <v>634</v>
      </c>
      <c r="F30" s="320">
        <v>1</v>
      </c>
      <c r="G30" s="320">
        <v>2</v>
      </c>
      <c r="H30" s="320">
        <v>3</v>
      </c>
      <c r="I30" s="320" t="s">
        <v>954</v>
      </c>
      <c r="J30" s="320" t="s">
        <v>651</v>
      </c>
      <c r="K30" s="320" t="s">
        <v>957</v>
      </c>
      <c r="L30" s="320">
        <v>1997</v>
      </c>
      <c r="M30" s="731">
        <v>-9999</v>
      </c>
      <c r="N30" s="731">
        <v>-9999</v>
      </c>
      <c r="P30" s="731">
        <v>23.27</v>
      </c>
      <c r="Q30" s="731">
        <v>1.42</v>
      </c>
      <c r="R30" s="731"/>
      <c r="S30" s="731"/>
      <c r="T30" s="731">
        <v>11.635</v>
      </c>
      <c r="U30" s="731">
        <v>0.71</v>
      </c>
      <c r="V30" s="731"/>
      <c r="W30" s="731">
        <v>11.83</v>
      </c>
      <c r="X30" s="731">
        <v>-9999</v>
      </c>
      <c r="Y30" s="731"/>
      <c r="Z30" s="320" t="s">
        <v>20</v>
      </c>
      <c r="AA30" s="320">
        <v>15152</v>
      </c>
      <c r="AB30" s="320">
        <v>-9999</v>
      </c>
      <c r="AC30" s="320">
        <v>-9999</v>
      </c>
      <c r="AD30" s="320">
        <v>65</v>
      </c>
      <c r="AE30" s="320" t="s">
        <v>1952</v>
      </c>
      <c r="AF30" s="320">
        <v>3</v>
      </c>
      <c r="AG30" s="320" t="s">
        <v>652</v>
      </c>
      <c r="AH30" s="320" t="s">
        <v>623</v>
      </c>
      <c r="AI30" s="320">
        <v>-9999</v>
      </c>
      <c r="AJ30" s="320">
        <v>-9999</v>
      </c>
      <c r="AK30" s="320" t="s">
        <v>625</v>
      </c>
      <c r="AL30" s="320" t="s">
        <v>653</v>
      </c>
      <c r="AM30" s="320">
        <v>-9999</v>
      </c>
      <c r="AN30" s="320" t="s">
        <v>631</v>
      </c>
      <c r="AO30" s="320">
        <v>-9999</v>
      </c>
      <c r="AP30" s="320">
        <v>-9999</v>
      </c>
      <c r="AQ30" s="320" t="s">
        <v>626</v>
      </c>
      <c r="AR30" s="730">
        <v>100</v>
      </c>
      <c r="AS30" s="320" t="s">
        <v>221</v>
      </c>
      <c r="AT30" s="320" t="s">
        <v>654</v>
      </c>
      <c r="AU30" s="730">
        <v>0</v>
      </c>
      <c r="AV30" s="320">
        <v>-9999</v>
      </c>
      <c r="AW30" s="320">
        <v>-9999</v>
      </c>
      <c r="AX30" s="730">
        <v>0</v>
      </c>
      <c r="AY30" s="320">
        <v>-9999</v>
      </c>
      <c r="AZ30" s="320">
        <v>-9999</v>
      </c>
      <c r="BA30" s="320" t="s">
        <v>222</v>
      </c>
      <c r="BB30" s="320" t="s">
        <v>626</v>
      </c>
      <c r="BC30" s="320" t="s">
        <v>22</v>
      </c>
      <c r="BD30" s="320" t="s">
        <v>653</v>
      </c>
      <c r="BE30" s="320" t="s">
        <v>23</v>
      </c>
      <c r="BF30" s="320" t="s">
        <v>24</v>
      </c>
      <c r="BG30" s="320" t="s">
        <v>653</v>
      </c>
      <c r="BH30" s="320" t="s">
        <v>25</v>
      </c>
      <c r="BI30" s="320" t="s">
        <v>26</v>
      </c>
      <c r="BJ30" s="320">
        <v>-9999</v>
      </c>
      <c r="BK30" s="320">
        <v>-9999</v>
      </c>
      <c r="BL30" s="320">
        <v>-9999</v>
      </c>
      <c r="BM30" s="320">
        <v>-9999</v>
      </c>
      <c r="BN30" s="320">
        <v>-9999</v>
      </c>
      <c r="BO30" s="320">
        <v>-9999</v>
      </c>
      <c r="BP30" s="320">
        <v>-9999</v>
      </c>
      <c r="BQ30" s="320">
        <v>-9999</v>
      </c>
      <c r="BR30" s="320">
        <v>-9999</v>
      </c>
      <c r="BS30" s="320">
        <v>-9999</v>
      </c>
      <c r="BT30" s="320">
        <v>-9999</v>
      </c>
      <c r="BU30" s="320">
        <v>-9999</v>
      </c>
      <c r="BV30" s="320">
        <v>-9999</v>
      </c>
      <c r="BX30" s="320">
        <v>-9999</v>
      </c>
      <c r="BY30" s="320">
        <v>-9999</v>
      </c>
      <c r="BZ30" s="320">
        <v>-9999</v>
      </c>
      <c r="CA30" s="320" t="s">
        <v>834</v>
      </c>
      <c r="CC30" s="320">
        <v>1</v>
      </c>
      <c r="CD30" s="320">
        <v>2</v>
      </c>
      <c r="CE30" s="731">
        <v>11.635</v>
      </c>
      <c r="CF30" s="731">
        <v>11.83</v>
      </c>
      <c r="CG30" s="320">
        <v>3</v>
      </c>
      <c r="CH30" s="301" t="s">
        <v>2118</v>
      </c>
      <c r="CI30" s="320" t="s">
        <v>2125</v>
      </c>
      <c r="CJ30" s="320" t="s">
        <v>878</v>
      </c>
      <c r="CK30" s="56" t="s">
        <v>165</v>
      </c>
      <c r="CL30" s="56" t="s">
        <v>164</v>
      </c>
      <c r="CM30" s="268">
        <v>42.792000000000002</v>
      </c>
      <c r="CN30" s="268">
        <v>76.125</v>
      </c>
    </row>
    <row r="31" spans="1:96" s="320" customFormat="1" x14ac:dyDescent="0.2">
      <c r="A31" s="320" t="s">
        <v>676</v>
      </c>
      <c r="B31" s="320" t="s">
        <v>618</v>
      </c>
      <c r="C31" s="320" t="s">
        <v>469</v>
      </c>
      <c r="D31" s="320" t="s">
        <v>633</v>
      </c>
      <c r="E31" s="320" t="s">
        <v>634</v>
      </c>
      <c r="F31" s="320">
        <v>1</v>
      </c>
      <c r="G31" s="320">
        <v>1</v>
      </c>
      <c r="H31" s="320">
        <v>2</v>
      </c>
      <c r="I31" s="320" t="s">
        <v>621</v>
      </c>
      <c r="J31" s="320">
        <v>1990</v>
      </c>
      <c r="K31" s="320" t="s">
        <v>1211</v>
      </c>
      <c r="L31" s="320">
        <v>1991</v>
      </c>
      <c r="M31" s="731">
        <v>19.3</v>
      </c>
      <c r="N31" s="731">
        <v>2.2000000000000002</v>
      </c>
      <c r="P31" s="731">
        <v>19.3</v>
      </c>
      <c r="Q31" s="731">
        <v>-9999</v>
      </c>
      <c r="R31" s="731"/>
      <c r="S31" s="731"/>
      <c r="T31" s="731">
        <v>19.3</v>
      </c>
      <c r="U31" s="731">
        <v>-9999</v>
      </c>
      <c r="V31" s="731"/>
      <c r="W31" s="731">
        <v>19.3</v>
      </c>
      <c r="X31" s="731">
        <v>-9999</v>
      </c>
      <c r="Y31" s="731"/>
      <c r="Z31" s="320" t="s">
        <v>622</v>
      </c>
      <c r="AA31" s="320">
        <v>111111</v>
      </c>
      <c r="AB31" s="731">
        <v>0.92</v>
      </c>
      <c r="AC31" s="320">
        <v>2.1600000000000001E-2</v>
      </c>
      <c r="AD31" s="320">
        <v>36</v>
      </c>
      <c r="AE31" s="320" t="s">
        <v>1974</v>
      </c>
      <c r="AF31" s="320">
        <v>3</v>
      </c>
      <c r="AG31" s="320">
        <v>2</v>
      </c>
      <c r="AH31" s="320" t="s">
        <v>479</v>
      </c>
      <c r="AI31" s="320" t="s">
        <v>624</v>
      </c>
      <c r="AJ31" s="320">
        <v>-9999</v>
      </c>
      <c r="AK31" s="320" t="s">
        <v>625</v>
      </c>
      <c r="AL31" s="320" t="s">
        <v>642</v>
      </c>
      <c r="AM31" s="320">
        <v>-9999</v>
      </c>
      <c r="AN31" s="320" t="s">
        <v>480</v>
      </c>
      <c r="AO31" s="320" t="s">
        <v>627</v>
      </c>
      <c r="AP31" s="320" t="s">
        <v>677</v>
      </c>
      <c r="AQ31" s="320" t="s">
        <v>626</v>
      </c>
      <c r="AR31" s="730">
        <v>224</v>
      </c>
      <c r="AS31" s="320" t="s">
        <v>1101</v>
      </c>
      <c r="AT31" s="320" t="s">
        <v>745</v>
      </c>
      <c r="AU31" s="730">
        <v>112</v>
      </c>
      <c r="AV31" s="320" t="s">
        <v>218</v>
      </c>
      <c r="AW31" s="320" t="s">
        <v>746</v>
      </c>
      <c r="AX31" s="730">
        <v>112</v>
      </c>
      <c r="AY31" s="320" t="s">
        <v>219</v>
      </c>
      <c r="AZ31" s="320" t="s">
        <v>746</v>
      </c>
      <c r="BA31" s="320">
        <v>-9999</v>
      </c>
      <c r="BB31" s="320" t="s">
        <v>626</v>
      </c>
      <c r="BC31" s="320" t="s">
        <v>641</v>
      </c>
      <c r="BD31" s="320" t="s">
        <v>642</v>
      </c>
      <c r="BE31" s="320" t="s">
        <v>643</v>
      </c>
      <c r="BF31" s="320">
        <v>-9999</v>
      </c>
      <c r="BG31" s="320">
        <v>-9999</v>
      </c>
      <c r="BH31" s="320">
        <v>-9999</v>
      </c>
      <c r="BI31" s="320" t="s">
        <v>678</v>
      </c>
      <c r="BJ31" s="320">
        <v>-9999</v>
      </c>
      <c r="BK31" s="320">
        <v>-9999</v>
      </c>
      <c r="BL31" s="320">
        <v>-9999</v>
      </c>
      <c r="BM31" s="320">
        <v>-9999</v>
      </c>
      <c r="BN31" s="320">
        <v>-9999</v>
      </c>
      <c r="BO31" s="320">
        <v>-9999</v>
      </c>
      <c r="BP31" s="320">
        <v>-9999</v>
      </c>
      <c r="BQ31" s="320">
        <v>-9999</v>
      </c>
      <c r="BR31" s="320">
        <v>-9999</v>
      </c>
      <c r="BS31" s="320">
        <v>-9999</v>
      </c>
      <c r="BT31" s="320">
        <v>-9999</v>
      </c>
      <c r="BU31" s="320">
        <v>-9999</v>
      </c>
      <c r="BV31" s="320">
        <v>-9999</v>
      </c>
      <c r="BX31" s="320">
        <v>-9999</v>
      </c>
      <c r="BY31" s="320">
        <v>-9999</v>
      </c>
      <c r="BZ31" s="320">
        <v>-9999</v>
      </c>
      <c r="CA31" s="320" t="s">
        <v>478</v>
      </c>
      <c r="CC31" s="320">
        <v>1</v>
      </c>
      <c r="CD31" s="320">
        <v>1</v>
      </c>
      <c r="CE31" s="731">
        <v>19.3</v>
      </c>
      <c r="CF31" s="731">
        <v>19.3</v>
      </c>
      <c r="CG31" s="320">
        <v>2</v>
      </c>
      <c r="CH31" s="301" t="s">
        <v>2118</v>
      </c>
      <c r="CI31" s="301" t="s">
        <v>2126</v>
      </c>
      <c r="CJ31" s="320" t="s">
        <v>878</v>
      </c>
      <c r="CK31" s="56" t="s">
        <v>165</v>
      </c>
      <c r="CL31" s="56" t="s">
        <v>164</v>
      </c>
      <c r="CM31" s="268">
        <v>42.792000000000002</v>
      </c>
      <c r="CN31" s="268">
        <v>76.125</v>
      </c>
    </row>
    <row r="32" spans="1:96" s="320" customFormat="1" x14ac:dyDescent="0.2">
      <c r="A32" s="320" t="s">
        <v>676</v>
      </c>
      <c r="B32" s="320" t="s">
        <v>618</v>
      </c>
      <c r="C32" s="320" t="s">
        <v>470</v>
      </c>
      <c r="D32" s="320" t="s">
        <v>633</v>
      </c>
      <c r="E32" s="320" t="s">
        <v>634</v>
      </c>
      <c r="F32" s="320">
        <v>1</v>
      </c>
      <c r="G32" s="320">
        <v>1</v>
      </c>
      <c r="H32" s="320">
        <v>2</v>
      </c>
      <c r="I32" s="320" t="s">
        <v>621</v>
      </c>
      <c r="J32" s="320">
        <v>1990</v>
      </c>
      <c r="K32" s="320" t="s">
        <v>1211</v>
      </c>
      <c r="L32" s="320">
        <v>1991</v>
      </c>
      <c r="M32" s="731">
        <v>19.100000000000001</v>
      </c>
      <c r="N32" s="731">
        <v>0.5</v>
      </c>
      <c r="P32" s="731">
        <v>19.100000000000001</v>
      </c>
      <c r="Q32" s="731">
        <v>-9999</v>
      </c>
      <c r="R32" s="731"/>
      <c r="S32" s="731"/>
      <c r="T32" s="731">
        <v>19.100000000000001</v>
      </c>
      <c r="U32" s="731">
        <v>-9999</v>
      </c>
      <c r="V32" s="731"/>
      <c r="W32" s="731">
        <v>19.100000000000001</v>
      </c>
      <c r="X32" s="731">
        <v>-9999</v>
      </c>
      <c r="Y32" s="731"/>
      <c r="Z32" s="320" t="s">
        <v>636</v>
      </c>
      <c r="AA32" s="320">
        <v>37037</v>
      </c>
      <c r="AB32" s="731">
        <v>0.9</v>
      </c>
      <c r="AC32" s="320">
        <v>2.1600000000000001E-2</v>
      </c>
      <c r="AD32" s="320">
        <v>36</v>
      </c>
      <c r="AE32" s="320" t="s">
        <v>1975</v>
      </c>
      <c r="AF32" s="320">
        <v>3</v>
      </c>
      <c r="AG32" s="320">
        <v>2</v>
      </c>
      <c r="AH32" s="320" t="s">
        <v>479</v>
      </c>
      <c r="AI32" s="320" t="s">
        <v>624</v>
      </c>
      <c r="AJ32" s="320">
        <v>-9999</v>
      </c>
      <c r="AK32" s="320" t="s">
        <v>625</v>
      </c>
      <c r="AL32" s="320" t="s">
        <v>642</v>
      </c>
      <c r="AM32" s="320">
        <v>-9999</v>
      </c>
      <c r="AN32" s="320" t="s">
        <v>480</v>
      </c>
      <c r="AO32" s="320" t="s">
        <v>627</v>
      </c>
      <c r="AP32" s="320" t="s">
        <v>677</v>
      </c>
      <c r="AQ32" s="320" t="s">
        <v>626</v>
      </c>
      <c r="AR32" s="730">
        <v>224</v>
      </c>
      <c r="AS32" s="320" t="s">
        <v>1101</v>
      </c>
      <c r="AT32" s="320" t="s">
        <v>745</v>
      </c>
      <c r="AU32" s="730">
        <v>112</v>
      </c>
      <c r="AV32" s="320" t="s">
        <v>218</v>
      </c>
      <c r="AW32" s="320" t="s">
        <v>746</v>
      </c>
      <c r="AX32" s="730">
        <v>112</v>
      </c>
      <c r="AY32" s="320" t="s">
        <v>219</v>
      </c>
      <c r="AZ32" s="320" t="s">
        <v>746</v>
      </c>
      <c r="BA32" s="320">
        <v>-9999</v>
      </c>
      <c r="BB32" s="320" t="s">
        <v>626</v>
      </c>
      <c r="BC32" s="320" t="s">
        <v>641</v>
      </c>
      <c r="BD32" s="320" t="s">
        <v>642</v>
      </c>
      <c r="BE32" s="320" t="s">
        <v>643</v>
      </c>
      <c r="BF32" s="320">
        <v>-9999</v>
      </c>
      <c r="BG32" s="320">
        <v>-9999</v>
      </c>
      <c r="BH32" s="320">
        <v>-9999</v>
      </c>
      <c r="BI32" s="320" t="s">
        <v>678</v>
      </c>
      <c r="BJ32" s="320">
        <v>-9999</v>
      </c>
      <c r="BK32" s="320">
        <v>-9999</v>
      </c>
      <c r="BL32" s="320">
        <v>-9999</v>
      </c>
      <c r="BM32" s="320">
        <v>-9999</v>
      </c>
      <c r="BN32" s="320">
        <v>-9999</v>
      </c>
      <c r="BO32" s="320">
        <v>-9999</v>
      </c>
      <c r="BP32" s="320">
        <v>-9999</v>
      </c>
      <c r="BQ32" s="320">
        <v>-9999</v>
      </c>
      <c r="BR32" s="320">
        <v>-9999</v>
      </c>
      <c r="BS32" s="320">
        <v>-9999</v>
      </c>
      <c r="BT32" s="320">
        <v>-9999</v>
      </c>
      <c r="BU32" s="320">
        <v>-9999</v>
      </c>
      <c r="BV32" s="320">
        <v>-9999</v>
      </c>
      <c r="BX32" s="320">
        <v>-9999</v>
      </c>
      <c r="BY32" s="320">
        <v>-9999</v>
      </c>
      <c r="BZ32" s="320">
        <v>-9999</v>
      </c>
      <c r="CA32" s="320" t="s">
        <v>478</v>
      </c>
      <c r="CC32" s="320">
        <v>1</v>
      </c>
      <c r="CD32" s="320">
        <v>1</v>
      </c>
      <c r="CE32" s="731">
        <v>19.100000000000001</v>
      </c>
      <c r="CF32" s="731">
        <v>19.100000000000001</v>
      </c>
      <c r="CG32" s="320">
        <v>2</v>
      </c>
      <c r="CH32" s="301" t="s">
        <v>2118</v>
      </c>
      <c r="CI32" s="301" t="s">
        <v>2126</v>
      </c>
      <c r="CJ32" s="320" t="s">
        <v>878</v>
      </c>
      <c r="CK32" s="56" t="s">
        <v>165</v>
      </c>
      <c r="CL32" s="56" t="s">
        <v>164</v>
      </c>
      <c r="CM32" s="268">
        <v>42.792000000000002</v>
      </c>
      <c r="CN32" s="268">
        <v>76.125</v>
      </c>
    </row>
    <row r="33" spans="1:100" s="320" customFormat="1" x14ac:dyDescent="0.2">
      <c r="A33" s="320" t="s">
        <v>676</v>
      </c>
      <c r="B33" s="320" t="s">
        <v>618</v>
      </c>
      <c r="C33" s="320" t="s">
        <v>474</v>
      </c>
      <c r="D33" s="320" t="s">
        <v>633</v>
      </c>
      <c r="E33" s="320" t="s">
        <v>634</v>
      </c>
      <c r="F33" s="320">
        <v>1</v>
      </c>
      <c r="G33" s="320">
        <v>1</v>
      </c>
      <c r="H33" s="320">
        <v>2</v>
      </c>
      <c r="I33" s="320" t="s">
        <v>621</v>
      </c>
      <c r="J33" s="320">
        <v>1990</v>
      </c>
      <c r="K33" s="320" t="s">
        <v>1211</v>
      </c>
      <c r="L33" s="320">
        <v>1991</v>
      </c>
      <c r="M33" s="731">
        <v>15</v>
      </c>
      <c r="N33" s="731">
        <v>1.1000000000000001</v>
      </c>
      <c r="P33" s="731">
        <v>15</v>
      </c>
      <c r="Q33" s="731">
        <v>-9999</v>
      </c>
      <c r="R33" s="731"/>
      <c r="S33" s="731"/>
      <c r="T33" s="731">
        <v>15</v>
      </c>
      <c r="U33" s="731">
        <v>-9999</v>
      </c>
      <c r="V33" s="731"/>
      <c r="W33" s="731">
        <v>15</v>
      </c>
      <c r="X33" s="731">
        <v>-9999</v>
      </c>
      <c r="Y33" s="731"/>
      <c r="Z33" s="320" t="s">
        <v>637</v>
      </c>
      <c r="AA33" s="320">
        <v>15152</v>
      </c>
      <c r="AB33" s="731">
        <v>0.92</v>
      </c>
      <c r="AC33" s="320">
        <v>2.1600000000000001E-2</v>
      </c>
      <c r="AD33" s="320">
        <v>36</v>
      </c>
      <c r="AE33" s="320" t="s">
        <v>1976</v>
      </c>
      <c r="AF33" s="320">
        <v>3</v>
      </c>
      <c r="AG33" s="320">
        <v>1</v>
      </c>
      <c r="AH33" s="320" t="s">
        <v>479</v>
      </c>
      <c r="AI33" s="320" t="s">
        <v>624</v>
      </c>
      <c r="AJ33" s="320">
        <v>-9999</v>
      </c>
      <c r="AK33" s="320" t="s">
        <v>625</v>
      </c>
      <c r="AL33" s="320" t="s">
        <v>642</v>
      </c>
      <c r="AM33" s="320">
        <v>-9999</v>
      </c>
      <c r="AN33" s="320" t="s">
        <v>480</v>
      </c>
      <c r="AO33" s="320" t="s">
        <v>627</v>
      </c>
      <c r="AP33" s="320" t="s">
        <v>677</v>
      </c>
      <c r="AQ33" s="320" t="s">
        <v>626</v>
      </c>
      <c r="AR33" s="730">
        <v>224</v>
      </c>
      <c r="AS33" s="320" t="s">
        <v>1101</v>
      </c>
      <c r="AT33" s="320" t="s">
        <v>745</v>
      </c>
      <c r="AU33" s="730">
        <v>112</v>
      </c>
      <c r="AV33" s="320" t="s">
        <v>218</v>
      </c>
      <c r="AW33" s="320" t="s">
        <v>746</v>
      </c>
      <c r="AX33" s="730">
        <v>112</v>
      </c>
      <c r="AY33" s="320" t="s">
        <v>219</v>
      </c>
      <c r="AZ33" s="320" t="s">
        <v>746</v>
      </c>
      <c r="BA33" s="320">
        <v>-9999</v>
      </c>
      <c r="BB33" s="320" t="s">
        <v>626</v>
      </c>
      <c r="BC33" s="320" t="s">
        <v>641</v>
      </c>
      <c r="BD33" s="320" t="s">
        <v>642</v>
      </c>
      <c r="BE33" s="320" t="s">
        <v>643</v>
      </c>
      <c r="BF33" s="320">
        <v>-9999</v>
      </c>
      <c r="BG33" s="320">
        <v>-9999</v>
      </c>
      <c r="BH33" s="320">
        <v>-9999</v>
      </c>
      <c r="BI33" s="320" t="s">
        <v>678</v>
      </c>
      <c r="BJ33" s="320">
        <v>-9999</v>
      </c>
      <c r="BK33" s="320">
        <v>-9999</v>
      </c>
      <c r="BL33" s="320">
        <v>-9999</v>
      </c>
      <c r="BM33" s="320">
        <v>-9999</v>
      </c>
      <c r="BN33" s="320">
        <v>-9999</v>
      </c>
      <c r="BO33" s="320">
        <v>-9999</v>
      </c>
      <c r="BP33" s="320">
        <v>-9999</v>
      </c>
      <c r="BQ33" s="320">
        <v>-9999</v>
      </c>
      <c r="BR33" s="320">
        <v>-9999</v>
      </c>
      <c r="BS33" s="320">
        <v>-9999</v>
      </c>
      <c r="BT33" s="320">
        <v>-9999</v>
      </c>
      <c r="BU33" s="320">
        <v>-9999</v>
      </c>
      <c r="BV33" s="320">
        <v>-9999</v>
      </c>
      <c r="BX33" s="320">
        <v>-9999</v>
      </c>
      <c r="BY33" s="320">
        <v>-9999</v>
      </c>
      <c r="BZ33" s="320">
        <v>-9999</v>
      </c>
      <c r="CA33" s="320" t="s">
        <v>478</v>
      </c>
      <c r="CC33" s="320">
        <v>1</v>
      </c>
      <c r="CD33" s="320">
        <v>1</v>
      </c>
      <c r="CE33" s="731">
        <v>15</v>
      </c>
      <c r="CF33" s="731">
        <v>15</v>
      </c>
      <c r="CG33" s="320">
        <v>2</v>
      </c>
      <c r="CH33" s="301" t="s">
        <v>2118</v>
      </c>
      <c r="CI33" s="301" t="s">
        <v>2126</v>
      </c>
      <c r="CJ33" s="320" t="s">
        <v>878</v>
      </c>
      <c r="CK33" s="56" t="s">
        <v>165</v>
      </c>
      <c r="CL33" s="56" t="s">
        <v>164</v>
      </c>
      <c r="CM33" s="268">
        <v>42.792000000000002</v>
      </c>
      <c r="CN33" s="268">
        <v>76.125</v>
      </c>
    </row>
    <row r="34" spans="1:100" s="320" customFormat="1" x14ac:dyDescent="0.2">
      <c r="A34" s="320" t="s">
        <v>676</v>
      </c>
      <c r="B34" s="320" t="s">
        <v>618</v>
      </c>
      <c r="C34" s="320" t="s">
        <v>471</v>
      </c>
      <c r="D34" s="320" t="s">
        <v>633</v>
      </c>
      <c r="E34" s="320" t="s">
        <v>634</v>
      </c>
      <c r="F34" s="320">
        <v>2</v>
      </c>
      <c r="G34" s="320">
        <v>2</v>
      </c>
      <c r="H34" s="320">
        <v>5</v>
      </c>
      <c r="I34" s="320" t="s">
        <v>621</v>
      </c>
      <c r="J34" s="320">
        <v>1990</v>
      </c>
      <c r="K34" s="320" t="s">
        <v>1211</v>
      </c>
      <c r="L34" s="320">
        <v>1994</v>
      </c>
      <c r="M34" s="731">
        <v>31.4</v>
      </c>
      <c r="N34" s="731">
        <v>1.9</v>
      </c>
      <c r="P34" s="731">
        <v>59.4</v>
      </c>
      <c r="Q34" s="731">
        <v>-9999</v>
      </c>
      <c r="R34" s="731"/>
      <c r="S34" s="731"/>
      <c r="T34" s="731">
        <v>14.85</v>
      </c>
      <c r="U34" s="731">
        <v>-9999</v>
      </c>
      <c r="V34" s="731"/>
      <c r="W34" s="731">
        <v>-9999</v>
      </c>
      <c r="X34" s="731">
        <v>-9999</v>
      </c>
      <c r="Y34" s="731"/>
      <c r="Z34" s="320" t="s">
        <v>622</v>
      </c>
      <c r="AA34" s="320">
        <v>111111</v>
      </c>
      <c r="AB34" s="731">
        <v>0.61</v>
      </c>
      <c r="AC34" s="320">
        <v>2.1600000000000001E-2</v>
      </c>
      <c r="AD34" s="320">
        <v>36</v>
      </c>
      <c r="AE34" s="320" t="s">
        <v>1974</v>
      </c>
      <c r="AF34" s="320">
        <v>3</v>
      </c>
      <c r="AG34" s="320">
        <v>2</v>
      </c>
      <c r="AH34" s="320" t="s">
        <v>479</v>
      </c>
      <c r="AI34" s="320" t="s">
        <v>624</v>
      </c>
      <c r="AJ34" s="320">
        <v>-9999</v>
      </c>
      <c r="AK34" s="320" t="s">
        <v>625</v>
      </c>
      <c r="AL34" s="320" t="s">
        <v>642</v>
      </c>
      <c r="AM34" s="320">
        <v>-9999</v>
      </c>
      <c r="AN34" s="320" t="s">
        <v>480</v>
      </c>
      <c r="AO34" s="320" t="s">
        <v>627</v>
      </c>
      <c r="AP34" s="320" t="s">
        <v>677</v>
      </c>
      <c r="AQ34" s="320" t="s">
        <v>626</v>
      </c>
      <c r="AR34" s="730">
        <v>448</v>
      </c>
      <c r="AS34" s="320" t="s">
        <v>1101</v>
      </c>
      <c r="AT34" s="320" t="s">
        <v>745</v>
      </c>
      <c r="AU34" s="730">
        <v>0</v>
      </c>
      <c r="AV34" s="320" t="s">
        <v>218</v>
      </c>
      <c r="AW34" s="320" t="s">
        <v>746</v>
      </c>
      <c r="AX34" s="730">
        <v>0</v>
      </c>
      <c r="AY34" s="320" t="s">
        <v>219</v>
      </c>
      <c r="AZ34" s="320">
        <v>-9999</v>
      </c>
      <c r="BA34" s="320">
        <v>-9999</v>
      </c>
      <c r="BB34" s="320" t="s">
        <v>626</v>
      </c>
      <c r="BC34" s="320" t="s">
        <v>641</v>
      </c>
      <c r="BD34" s="320" t="s">
        <v>642</v>
      </c>
      <c r="BE34" s="320" t="s">
        <v>643</v>
      </c>
      <c r="BF34" s="320">
        <v>-9999</v>
      </c>
      <c r="BG34" s="320">
        <v>-9999</v>
      </c>
      <c r="BH34" s="320">
        <v>-9999</v>
      </c>
      <c r="BI34" s="320" t="s">
        <v>678</v>
      </c>
      <c r="BJ34" s="320">
        <v>-9999</v>
      </c>
      <c r="BK34" s="320">
        <v>-9999</v>
      </c>
      <c r="BL34" s="320">
        <v>-9999</v>
      </c>
      <c r="BM34" s="320">
        <v>-9999</v>
      </c>
      <c r="BN34" s="320">
        <v>-9999</v>
      </c>
      <c r="BO34" s="320">
        <v>-9999</v>
      </c>
      <c r="BP34" s="320">
        <v>-9999</v>
      </c>
      <c r="BQ34" s="320">
        <v>-9999</v>
      </c>
      <c r="BR34" s="320">
        <v>-9999</v>
      </c>
      <c r="BS34" s="320">
        <v>-9999</v>
      </c>
      <c r="BT34" s="320">
        <v>-9999</v>
      </c>
      <c r="BU34" s="320">
        <v>-9999</v>
      </c>
      <c r="BV34" s="320">
        <v>-9999</v>
      </c>
      <c r="BX34" s="320">
        <v>-9999</v>
      </c>
      <c r="BY34" s="320">
        <v>-9999</v>
      </c>
      <c r="BZ34" s="320">
        <v>-9999</v>
      </c>
      <c r="CA34" s="320" t="s">
        <v>478</v>
      </c>
      <c r="CC34" s="320">
        <v>2</v>
      </c>
      <c r="CD34" s="320">
        <v>2</v>
      </c>
      <c r="CE34" s="731">
        <v>14.85</v>
      </c>
      <c r="CF34" s="731">
        <v>-9999</v>
      </c>
      <c r="CG34" s="320">
        <v>5</v>
      </c>
      <c r="CH34" s="301" t="s">
        <v>2119</v>
      </c>
      <c r="CI34" s="320" t="s">
        <v>2125</v>
      </c>
      <c r="CK34" s="56" t="s">
        <v>165</v>
      </c>
      <c r="CL34" s="56" t="s">
        <v>164</v>
      </c>
      <c r="CM34" s="268">
        <v>42.792000000000002</v>
      </c>
      <c r="CN34" s="268">
        <v>76.125</v>
      </c>
    </row>
    <row r="35" spans="1:100" s="320" customFormat="1" x14ac:dyDescent="0.2">
      <c r="A35" s="320" t="s">
        <v>676</v>
      </c>
      <c r="B35" s="320" t="s">
        <v>618</v>
      </c>
      <c r="C35" s="320" t="s">
        <v>472</v>
      </c>
      <c r="D35" s="320" t="s">
        <v>633</v>
      </c>
      <c r="E35" s="320" t="s">
        <v>634</v>
      </c>
      <c r="F35" s="320">
        <v>1</v>
      </c>
      <c r="G35" s="320">
        <v>2</v>
      </c>
      <c r="H35" s="320">
        <v>3</v>
      </c>
      <c r="I35" s="320" t="s">
        <v>621</v>
      </c>
      <c r="J35" s="320">
        <v>1990</v>
      </c>
      <c r="K35" s="320" t="s">
        <v>1211</v>
      </c>
      <c r="L35" s="320">
        <v>1992</v>
      </c>
      <c r="M35" s="731">
        <v>34.799999999999997</v>
      </c>
      <c r="N35" s="731">
        <v>1.6</v>
      </c>
      <c r="P35" s="731">
        <v>34.799999999999997</v>
      </c>
      <c r="Q35" s="731">
        <v>-9999</v>
      </c>
      <c r="R35" s="731"/>
      <c r="S35" s="731"/>
      <c r="T35" s="731">
        <v>17.399999999999999</v>
      </c>
      <c r="U35" s="731">
        <v>-9999</v>
      </c>
      <c r="V35" s="731"/>
      <c r="W35" s="731">
        <v>-9999</v>
      </c>
      <c r="X35" s="731">
        <v>-9999</v>
      </c>
      <c r="Y35" s="731"/>
      <c r="Z35" s="320" t="s">
        <v>636</v>
      </c>
      <c r="AA35" s="320">
        <v>37037</v>
      </c>
      <c r="AB35" s="731">
        <v>0.85</v>
      </c>
      <c r="AC35" s="320">
        <v>2.1600000000000001E-2</v>
      </c>
      <c r="AD35" s="320">
        <v>36</v>
      </c>
      <c r="AE35" s="320" t="s">
        <v>1975</v>
      </c>
      <c r="AF35" s="320">
        <v>3</v>
      </c>
      <c r="AG35" s="320">
        <v>2</v>
      </c>
      <c r="AH35" s="320" t="s">
        <v>479</v>
      </c>
      <c r="AI35" s="320" t="s">
        <v>624</v>
      </c>
      <c r="AJ35" s="320">
        <v>-9999</v>
      </c>
      <c r="AK35" s="320" t="s">
        <v>625</v>
      </c>
      <c r="AL35" s="320" t="s">
        <v>642</v>
      </c>
      <c r="AM35" s="320">
        <v>-9999</v>
      </c>
      <c r="AN35" s="320" t="s">
        <v>480</v>
      </c>
      <c r="AO35" s="320" t="s">
        <v>627</v>
      </c>
      <c r="AP35" s="320" t="s">
        <v>677</v>
      </c>
      <c r="AQ35" s="320" t="s">
        <v>626</v>
      </c>
      <c r="AR35" s="730">
        <v>448</v>
      </c>
      <c r="AS35" s="320" t="s">
        <v>1101</v>
      </c>
      <c r="AT35" s="320" t="s">
        <v>745</v>
      </c>
      <c r="AU35" s="730">
        <v>224</v>
      </c>
      <c r="AV35" s="320" t="s">
        <v>218</v>
      </c>
      <c r="AW35" s="320" t="s">
        <v>746</v>
      </c>
      <c r="AX35" s="730">
        <v>224</v>
      </c>
      <c r="AY35" s="320" t="s">
        <v>219</v>
      </c>
      <c r="AZ35" s="320" t="s">
        <v>746</v>
      </c>
      <c r="BA35" s="320">
        <v>-9999</v>
      </c>
      <c r="BB35" s="320" t="s">
        <v>626</v>
      </c>
      <c r="BC35" s="320" t="s">
        <v>641</v>
      </c>
      <c r="BD35" s="320" t="s">
        <v>642</v>
      </c>
      <c r="BE35" s="320" t="s">
        <v>643</v>
      </c>
      <c r="BF35" s="320">
        <v>-9999</v>
      </c>
      <c r="BG35" s="320">
        <v>-9999</v>
      </c>
      <c r="BH35" s="320">
        <v>-9999</v>
      </c>
      <c r="BI35" s="320" t="s">
        <v>678</v>
      </c>
      <c r="BJ35" s="320">
        <v>-9999</v>
      </c>
      <c r="BK35" s="320">
        <v>-9999</v>
      </c>
      <c r="BL35" s="320">
        <v>-9999</v>
      </c>
      <c r="BM35" s="320">
        <v>-9999</v>
      </c>
      <c r="BN35" s="320">
        <v>-9999</v>
      </c>
      <c r="BO35" s="320">
        <v>-9999</v>
      </c>
      <c r="BP35" s="320">
        <v>-9999</v>
      </c>
      <c r="BQ35" s="320">
        <v>-9999</v>
      </c>
      <c r="BR35" s="320">
        <v>-9999</v>
      </c>
      <c r="BS35" s="320">
        <v>-9999</v>
      </c>
      <c r="BT35" s="320">
        <v>-9999</v>
      </c>
      <c r="BU35" s="320">
        <v>-9999</v>
      </c>
      <c r="BV35" s="320">
        <v>-9999</v>
      </c>
      <c r="BX35" s="320">
        <v>-9999</v>
      </c>
      <c r="BY35" s="320">
        <v>-9999</v>
      </c>
      <c r="BZ35" s="320">
        <v>-9999</v>
      </c>
      <c r="CA35" s="320" t="s">
        <v>478</v>
      </c>
      <c r="CC35" s="320">
        <v>1</v>
      </c>
      <c r="CD35" s="320">
        <v>2</v>
      </c>
      <c r="CE35" s="731">
        <v>17.399999999999999</v>
      </c>
      <c r="CF35" s="731">
        <v>-9999</v>
      </c>
      <c r="CG35" s="320">
        <v>3</v>
      </c>
      <c r="CH35" s="301" t="s">
        <v>2119</v>
      </c>
      <c r="CI35" s="301" t="s">
        <v>2126</v>
      </c>
      <c r="CK35" s="56" t="s">
        <v>165</v>
      </c>
      <c r="CL35" s="56" t="s">
        <v>164</v>
      </c>
      <c r="CM35" s="268">
        <v>42.792000000000002</v>
      </c>
      <c r="CN35" s="268">
        <v>76.125</v>
      </c>
    </row>
    <row r="36" spans="1:100" s="320" customFormat="1" x14ac:dyDescent="0.2">
      <c r="A36" s="320" t="s">
        <v>676</v>
      </c>
      <c r="B36" s="320" t="s">
        <v>618</v>
      </c>
      <c r="C36" s="320" t="s">
        <v>472</v>
      </c>
      <c r="D36" s="320" t="s">
        <v>633</v>
      </c>
      <c r="E36" s="320" t="s">
        <v>634</v>
      </c>
      <c r="F36" s="320">
        <v>2</v>
      </c>
      <c r="G36" s="320">
        <v>2</v>
      </c>
      <c r="H36" s="320">
        <v>5</v>
      </c>
      <c r="I36" s="320" t="s">
        <v>621</v>
      </c>
      <c r="J36" s="320">
        <v>1990</v>
      </c>
      <c r="K36" s="320" t="s">
        <v>1211</v>
      </c>
      <c r="L36" s="320">
        <v>1994</v>
      </c>
      <c r="M36" s="731">
        <v>35</v>
      </c>
      <c r="N36" s="731">
        <v>6.5</v>
      </c>
      <c r="P36" s="731">
        <v>69.8</v>
      </c>
      <c r="Q36" s="731">
        <v>-9999</v>
      </c>
      <c r="R36" s="731"/>
      <c r="S36" s="731"/>
      <c r="T36" s="731">
        <v>17.45</v>
      </c>
      <c r="U36" s="731">
        <v>-9999</v>
      </c>
      <c r="V36" s="731"/>
      <c r="W36" s="731">
        <v>-9999</v>
      </c>
      <c r="X36" s="731">
        <v>-9999</v>
      </c>
      <c r="Y36" s="731"/>
      <c r="Z36" s="320" t="s">
        <v>636</v>
      </c>
      <c r="AA36" s="320">
        <v>37037</v>
      </c>
      <c r="AB36" s="731">
        <v>0.8</v>
      </c>
      <c r="AC36" s="320">
        <v>2.1600000000000001E-2</v>
      </c>
      <c r="AD36" s="320">
        <v>36</v>
      </c>
      <c r="AE36" s="320" t="s">
        <v>1975</v>
      </c>
      <c r="AF36" s="320">
        <v>3</v>
      </c>
      <c r="AG36" s="320">
        <v>2</v>
      </c>
      <c r="AH36" s="320" t="s">
        <v>479</v>
      </c>
      <c r="AI36" s="320" t="s">
        <v>624</v>
      </c>
      <c r="AJ36" s="320">
        <v>-9999</v>
      </c>
      <c r="AK36" s="320" t="s">
        <v>625</v>
      </c>
      <c r="AL36" s="320" t="s">
        <v>642</v>
      </c>
      <c r="AM36" s="320">
        <v>-9999</v>
      </c>
      <c r="AN36" s="320" t="s">
        <v>480</v>
      </c>
      <c r="AO36" s="320" t="s">
        <v>627</v>
      </c>
      <c r="AP36" s="320" t="s">
        <v>677</v>
      </c>
      <c r="AQ36" s="320" t="s">
        <v>626</v>
      </c>
      <c r="AR36" s="730">
        <v>448</v>
      </c>
      <c r="AS36" s="320" t="s">
        <v>1101</v>
      </c>
      <c r="AT36" s="320" t="s">
        <v>745</v>
      </c>
      <c r="AU36" s="730">
        <v>0</v>
      </c>
      <c r="AV36" s="320" t="s">
        <v>218</v>
      </c>
      <c r="AW36" s="320" t="s">
        <v>746</v>
      </c>
      <c r="AX36" s="730">
        <v>0</v>
      </c>
      <c r="AY36" s="320" t="s">
        <v>219</v>
      </c>
      <c r="AZ36" s="320">
        <v>-9999</v>
      </c>
      <c r="BA36" s="320">
        <v>-9999</v>
      </c>
      <c r="BB36" s="320" t="s">
        <v>626</v>
      </c>
      <c r="BC36" s="320" t="s">
        <v>641</v>
      </c>
      <c r="BD36" s="320" t="s">
        <v>642</v>
      </c>
      <c r="BE36" s="320" t="s">
        <v>643</v>
      </c>
      <c r="BF36" s="320">
        <v>-9999</v>
      </c>
      <c r="BG36" s="320">
        <v>-9999</v>
      </c>
      <c r="BH36" s="320">
        <v>-9999</v>
      </c>
      <c r="BI36" s="320" t="s">
        <v>678</v>
      </c>
      <c r="BJ36" s="320">
        <v>-9999</v>
      </c>
      <c r="BK36" s="320">
        <v>-9999</v>
      </c>
      <c r="BL36" s="320">
        <v>-9999</v>
      </c>
      <c r="BM36" s="320">
        <v>-9999</v>
      </c>
      <c r="BN36" s="320">
        <v>-9999</v>
      </c>
      <c r="BO36" s="320">
        <v>-9999</v>
      </c>
      <c r="BP36" s="320">
        <v>-9999</v>
      </c>
      <c r="BQ36" s="320">
        <v>-9999</v>
      </c>
      <c r="BR36" s="320">
        <v>-9999</v>
      </c>
      <c r="BS36" s="320">
        <v>-9999</v>
      </c>
      <c r="BT36" s="320">
        <v>-9999</v>
      </c>
      <c r="BU36" s="320">
        <v>-9999</v>
      </c>
      <c r="BV36" s="320">
        <v>-9999</v>
      </c>
      <c r="BX36" s="320">
        <v>-9999</v>
      </c>
      <c r="BY36" s="320">
        <v>-9999</v>
      </c>
      <c r="BZ36" s="320">
        <v>-9999</v>
      </c>
      <c r="CA36" s="320" t="s">
        <v>478</v>
      </c>
      <c r="CC36" s="320">
        <v>2</v>
      </c>
      <c r="CD36" s="320">
        <v>2</v>
      </c>
      <c r="CE36" s="731">
        <v>17.45</v>
      </c>
      <c r="CF36" s="731">
        <v>-9999</v>
      </c>
      <c r="CG36" s="320">
        <v>5</v>
      </c>
      <c r="CH36" s="301" t="s">
        <v>2119</v>
      </c>
      <c r="CI36" s="301" t="s">
        <v>2126</v>
      </c>
      <c r="CK36" s="56" t="s">
        <v>165</v>
      </c>
      <c r="CL36" s="56" t="s">
        <v>164</v>
      </c>
      <c r="CM36" s="268">
        <v>42.792000000000002</v>
      </c>
      <c r="CN36" s="268">
        <v>76.125</v>
      </c>
    </row>
    <row r="37" spans="1:100" s="320" customFormat="1" x14ac:dyDescent="0.2">
      <c r="A37" s="320" t="s">
        <v>676</v>
      </c>
      <c r="B37" s="320" t="s">
        <v>618</v>
      </c>
      <c r="C37" s="320" t="s">
        <v>475</v>
      </c>
      <c r="D37" s="320" t="s">
        <v>633</v>
      </c>
      <c r="E37" s="320" t="s">
        <v>634</v>
      </c>
      <c r="F37" s="320">
        <v>1</v>
      </c>
      <c r="G37" s="320">
        <v>3</v>
      </c>
      <c r="H37" s="320">
        <v>4</v>
      </c>
      <c r="I37" s="320" t="s">
        <v>621</v>
      </c>
      <c r="J37" s="320">
        <v>1990</v>
      </c>
      <c r="K37" s="320" t="s">
        <v>1211</v>
      </c>
      <c r="L37" s="320">
        <v>1993</v>
      </c>
      <c r="M37" s="731">
        <v>54.9</v>
      </c>
      <c r="N37" s="731">
        <v>8.3000000000000007</v>
      </c>
      <c r="P37" s="731">
        <v>54.9</v>
      </c>
      <c r="Q37" s="731">
        <v>-9999</v>
      </c>
      <c r="R37" s="731"/>
      <c r="S37" s="731"/>
      <c r="T37" s="731">
        <v>18.3</v>
      </c>
      <c r="U37" s="731">
        <v>-9999</v>
      </c>
      <c r="V37" s="731"/>
      <c r="W37" s="731">
        <v>-9999</v>
      </c>
      <c r="X37" s="731">
        <v>-9999</v>
      </c>
      <c r="Y37" s="731"/>
      <c r="Z37" s="320" t="s">
        <v>622</v>
      </c>
      <c r="AA37" s="320">
        <v>111111</v>
      </c>
      <c r="AB37" s="731">
        <v>0.66</v>
      </c>
      <c r="AC37" s="320">
        <v>2.1600000000000001E-2</v>
      </c>
      <c r="AD37" s="320">
        <v>36</v>
      </c>
      <c r="AE37" s="320" t="s">
        <v>1974</v>
      </c>
      <c r="AF37" s="320">
        <v>3</v>
      </c>
      <c r="AG37" s="320">
        <v>2</v>
      </c>
      <c r="AH37" s="320" t="s">
        <v>479</v>
      </c>
      <c r="AI37" s="320" t="s">
        <v>624</v>
      </c>
      <c r="AJ37" s="320">
        <v>-9999</v>
      </c>
      <c r="AK37" s="320" t="s">
        <v>625</v>
      </c>
      <c r="AL37" s="320" t="s">
        <v>642</v>
      </c>
      <c r="AM37" s="320">
        <v>-9999</v>
      </c>
      <c r="AN37" s="320" t="s">
        <v>480</v>
      </c>
      <c r="AO37" s="320" t="s">
        <v>627</v>
      </c>
      <c r="AP37" s="320" t="s">
        <v>677</v>
      </c>
      <c r="AQ37" s="320" t="s">
        <v>626</v>
      </c>
      <c r="AR37" s="730">
        <v>896</v>
      </c>
      <c r="AS37" s="320" t="s">
        <v>1101</v>
      </c>
      <c r="AT37" s="320" t="s">
        <v>745</v>
      </c>
      <c r="AU37" s="730">
        <v>224</v>
      </c>
      <c r="AV37" s="320" t="s">
        <v>218</v>
      </c>
      <c r="AW37" s="320" t="s">
        <v>746</v>
      </c>
      <c r="AX37" s="730">
        <v>224</v>
      </c>
      <c r="AY37" s="320" t="s">
        <v>219</v>
      </c>
      <c r="AZ37" s="320" t="s">
        <v>746</v>
      </c>
      <c r="BA37" s="320">
        <v>-9999</v>
      </c>
      <c r="BB37" s="320" t="s">
        <v>626</v>
      </c>
      <c r="BC37" s="320" t="s">
        <v>641</v>
      </c>
      <c r="BD37" s="320" t="s">
        <v>642</v>
      </c>
      <c r="BE37" s="320" t="s">
        <v>643</v>
      </c>
      <c r="BF37" s="320">
        <v>-9999</v>
      </c>
      <c r="BG37" s="320">
        <v>-9999</v>
      </c>
      <c r="BH37" s="320">
        <v>-9999</v>
      </c>
      <c r="BI37" s="320" t="s">
        <v>678</v>
      </c>
      <c r="BJ37" s="320">
        <v>-9999</v>
      </c>
      <c r="BK37" s="320">
        <v>-9999</v>
      </c>
      <c r="BL37" s="320">
        <v>-9999</v>
      </c>
      <c r="BM37" s="320">
        <v>-9999</v>
      </c>
      <c r="BN37" s="320">
        <v>-9999</v>
      </c>
      <c r="BO37" s="320">
        <v>-9999</v>
      </c>
      <c r="BP37" s="320">
        <v>-9999</v>
      </c>
      <c r="BQ37" s="320">
        <v>-9999</v>
      </c>
      <c r="BR37" s="320">
        <v>-9999</v>
      </c>
      <c r="BS37" s="320">
        <v>-9999</v>
      </c>
      <c r="BT37" s="320">
        <v>-9999</v>
      </c>
      <c r="BU37" s="320">
        <v>-9999</v>
      </c>
      <c r="BV37" s="320">
        <v>-9999</v>
      </c>
      <c r="BX37" s="320">
        <v>-9999</v>
      </c>
      <c r="BY37" s="320">
        <v>-9999</v>
      </c>
      <c r="BZ37" s="320">
        <v>-9999</v>
      </c>
      <c r="CA37" s="320" t="s">
        <v>478</v>
      </c>
      <c r="CC37" s="320">
        <v>1</v>
      </c>
      <c r="CD37" s="320">
        <v>3</v>
      </c>
      <c r="CE37" s="731">
        <v>18.3</v>
      </c>
      <c r="CF37" s="731">
        <v>-9999</v>
      </c>
      <c r="CG37" s="320">
        <v>4</v>
      </c>
      <c r="CH37" s="301" t="s">
        <v>2119</v>
      </c>
      <c r="CI37" s="301" t="s">
        <v>2126</v>
      </c>
      <c r="CK37" s="56" t="s">
        <v>165</v>
      </c>
      <c r="CL37" s="56" t="s">
        <v>164</v>
      </c>
      <c r="CM37" s="268">
        <v>42.792000000000002</v>
      </c>
      <c r="CN37" s="268">
        <v>76.125</v>
      </c>
    </row>
    <row r="38" spans="1:100" s="320" customFormat="1" x14ac:dyDescent="0.2">
      <c r="A38" s="320" t="s">
        <v>676</v>
      </c>
      <c r="B38" s="320" t="s">
        <v>618</v>
      </c>
      <c r="C38" s="320" t="s">
        <v>476</v>
      </c>
      <c r="D38" s="320" t="s">
        <v>633</v>
      </c>
      <c r="E38" s="320" t="s">
        <v>634</v>
      </c>
      <c r="F38" s="320">
        <v>1</v>
      </c>
      <c r="G38" s="320">
        <v>3</v>
      </c>
      <c r="H38" s="320">
        <v>4</v>
      </c>
      <c r="I38" s="320" t="s">
        <v>621</v>
      </c>
      <c r="J38" s="320">
        <v>1990</v>
      </c>
      <c r="K38" s="320" t="s">
        <v>1211</v>
      </c>
      <c r="L38" s="320">
        <v>1993</v>
      </c>
      <c r="M38" s="731">
        <v>71.3</v>
      </c>
      <c r="N38" s="731">
        <v>4.3</v>
      </c>
      <c r="P38" s="731">
        <v>71.3</v>
      </c>
      <c r="Q38" s="731">
        <v>-9999</v>
      </c>
      <c r="R38" s="731"/>
      <c r="S38" s="731"/>
      <c r="T38" s="731">
        <v>23.766666666666666</v>
      </c>
      <c r="U38" s="731">
        <v>-9999</v>
      </c>
      <c r="V38" s="731"/>
      <c r="W38" s="731">
        <v>-9999</v>
      </c>
      <c r="X38" s="731">
        <v>-9999</v>
      </c>
      <c r="Y38" s="731"/>
      <c r="Z38" s="320" t="s">
        <v>636</v>
      </c>
      <c r="AA38" s="320">
        <v>37037</v>
      </c>
      <c r="AB38" s="731">
        <v>0.94</v>
      </c>
      <c r="AC38" s="320">
        <v>2.1600000000000001E-2</v>
      </c>
      <c r="AD38" s="320">
        <v>36</v>
      </c>
      <c r="AE38" s="320" t="s">
        <v>1975</v>
      </c>
      <c r="AF38" s="320">
        <v>3</v>
      </c>
      <c r="AG38" s="320">
        <v>2</v>
      </c>
      <c r="AH38" s="320" t="s">
        <v>479</v>
      </c>
      <c r="AI38" s="320" t="s">
        <v>624</v>
      </c>
      <c r="AJ38" s="320">
        <v>-9999</v>
      </c>
      <c r="AK38" s="320" t="s">
        <v>625</v>
      </c>
      <c r="AL38" s="320" t="s">
        <v>642</v>
      </c>
      <c r="AM38" s="320">
        <v>-9999</v>
      </c>
      <c r="AN38" s="320" t="s">
        <v>480</v>
      </c>
      <c r="AO38" s="320" t="s">
        <v>627</v>
      </c>
      <c r="AP38" s="320" t="s">
        <v>677</v>
      </c>
      <c r="AQ38" s="320" t="s">
        <v>626</v>
      </c>
      <c r="AR38" s="730">
        <v>896</v>
      </c>
      <c r="AS38" s="320" t="s">
        <v>1101</v>
      </c>
      <c r="AT38" s="320" t="s">
        <v>745</v>
      </c>
      <c r="AU38" s="730">
        <v>224</v>
      </c>
      <c r="AV38" s="320" t="s">
        <v>218</v>
      </c>
      <c r="AW38" s="320" t="s">
        <v>746</v>
      </c>
      <c r="AX38" s="730">
        <v>224</v>
      </c>
      <c r="AY38" s="320" t="s">
        <v>219</v>
      </c>
      <c r="AZ38" s="320" t="s">
        <v>746</v>
      </c>
      <c r="BA38" s="320">
        <v>-9999</v>
      </c>
      <c r="BB38" s="320" t="s">
        <v>626</v>
      </c>
      <c r="BC38" s="320" t="s">
        <v>641</v>
      </c>
      <c r="BD38" s="320" t="s">
        <v>642</v>
      </c>
      <c r="BE38" s="320" t="s">
        <v>643</v>
      </c>
      <c r="BF38" s="320">
        <v>-9999</v>
      </c>
      <c r="BG38" s="320">
        <v>-9999</v>
      </c>
      <c r="BH38" s="320">
        <v>-9999</v>
      </c>
      <c r="BI38" s="320" t="s">
        <v>678</v>
      </c>
      <c r="BJ38" s="320">
        <v>-9999</v>
      </c>
      <c r="BK38" s="320">
        <v>-9999</v>
      </c>
      <c r="BL38" s="320">
        <v>-9999</v>
      </c>
      <c r="BM38" s="320">
        <v>-9999</v>
      </c>
      <c r="BN38" s="320">
        <v>-9999</v>
      </c>
      <c r="BO38" s="320">
        <v>-9999</v>
      </c>
      <c r="BP38" s="320">
        <v>-9999</v>
      </c>
      <c r="BQ38" s="320">
        <v>-9999</v>
      </c>
      <c r="BR38" s="320">
        <v>-9999</v>
      </c>
      <c r="BS38" s="320">
        <v>-9999</v>
      </c>
      <c r="BT38" s="320">
        <v>-9999</v>
      </c>
      <c r="BU38" s="320">
        <v>-9999</v>
      </c>
      <c r="BV38" s="320">
        <v>-9999</v>
      </c>
      <c r="BX38" s="320">
        <v>-9999</v>
      </c>
      <c r="BY38" s="320">
        <v>-9999</v>
      </c>
      <c r="BZ38" s="320">
        <v>-9999</v>
      </c>
      <c r="CA38" s="320" t="s">
        <v>478</v>
      </c>
      <c r="CC38" s="320">
        <v>1</v>
      </c>
      <c r="CD38" s="320">
        <v>3</v>
      </c>
      <c r="CE38" s="731">
        <v>23.766666666666666</v>
      </c>
      <c r="CF38" s="731">
        <v>-9999</v>
      </c>
      <c r="CG38" s="320">
        <v>4</v>
      </c>
      <c r="CH38" s="301" t="s">
        <v>2119</v>
      </c>
      <c r="CI38" s="301" t="s">
        <v>2126</v>
      </c>
      <c r="CK38" s="56" t="s">
        <v>165</v>
      </c>
      <c r="CL38" s="56" t="s">
        <v>164</v>
      </c>
      <c r="CM38" s="268">
        <v>42.792000000000002</v>
      </c>
      <c r="CN38" s="268">
        <v>76.125</v>
      </c>
    </row>
    <row r="39" spans="1:100" s="320" customFormat="1" x14ac:dyDescent="0.2">
      <c r="A39" s="320" t="s">
        <v>676</v>
      </c>
      <c r="B39" s="320" t="s">
        <v>618</v>
      </c>
      <c r="C39" s="320" t="s">
        <v>477</v>
      </c>
      <c r="D39" s="320" t="s">
        <v>633</v>
      </c>
      <c r="E39" s="320" t="s">
        <v>634</v>
      </c>
      <c r="F39" s="320">
        <v>1</v>
      </c>
      <c r="G39" s="320">
        <v>3</v>
      </c>
      <c r="H39" s="320">
        <v>4</v>
      </c>
      <c r="I39" s="320" t="s">
        <v>621</v>
      </c>
      <c r="J39" s="320">
        <v>1990</v>
      </c>
      <c r="K39" s="320" t="s">
        <v>1211</v>
      </c>
      <c r="L39" s="320">
        <v>1993</v>
      </c>
      <c r="M39" s="731">
        <v>67.3</v>
      </c>
      <c r="N39" s="731">
        <v>5.8</v>
      </c>
      <c r="P39" s="731">
        <v>67.3</v>
      </c>
      <c r="Q39" s="731">
        <v>-9999</v>
      </c>
      <c r="R39" s="731"/>
      <c r="S39" s="731"/>
      <c r="T39" s="731">
        <v>22.433333333333334</v>
      </c>
      <c r="U39" s="731">
        <v>-9999</v>
      </c>
      <c r="V39" s="731"/>
      <c r="W39" s="731">
        <v>-9999</v>
      </c>
      <c r="X39" s="731">
        <v>-9999</v>
      </c>
      <c r="Y39" s="731"/>
      <c r="Z39" s="320" t="s">
        <v>637</v>
      </c>
      <c r="AA39" s="320">
        <v>15152</v>
      </c>
      <c r="AB39" s="731">
        <v>0.9</v>
      </c>
      <c r="AC39" s="320">
        <v>2.1600000000000001E-2</v>
      </c>
      <c r="AD39" s="320">
        <v>36</v>
      </c>
      <c r="AE39" s="320" t="s">
        <v>1976</v>
      </c>
      <c r="AF39" s="320">
        <v>3</v>
      </c>
      <c r="AG39" s="320">
        <v>1</v>
      </c>
      <c r="AH39" s="320" t="s">
        <v>479</v>
      </c>
      <c r="AI39" s="320" t="s">
        <v>624</v>
      </c>
      <c r="AJ39" s="320">
        <v>-9999</v>
      </c>
      <c r="AK39" s="320" t="s">
        <v>625</v>
      </c>
      <c r="AL39" s="320" t="s">
        <v>642</v>
      </c>
      <c r="AM39" s="320">
        <v>-9999</v>
      </c>
      <c r="AN39" s="320" t="s">
        <v>480</v>
      </c>
      <c r="AO39" s="320" t="s">
        <v>627</v>
      </c>
      <c r="AP39" s="320" t="s">
        <v>677</v>
      </c>
      <c r="AQ39" s="320" t="s">
        <v>626</v>
      </c>
      <c r="AR39" s="730">
        <v>896</v>
      </c>
      <c r="AS39" s="320" t="s">
        <v>1101</v>
      </c>
      <c r="AT39" s="320" t="s">
        <v>745</v>
      </c>
      <c r="AU39" s="730">
        <v>224</v>
      </c>
      <c r="AV39" s="320" t="s">
        <v>218</v>
      </c>
      <c r="AW39" s="320" t="s">
        <v>746</v>
      </c>
      <c r="AX39" s="730">
        <v>224</v>
      </c>
      <c r="AY39" s="320" t="s">
        <v>219</v>
      </c>
      <c r="AZ39" s="320" t="s">
        <v>746</v>
      </c>
      <c r="BA39" s="320">
        <v>-9999</v>
      </c>
      <c r="BB39" s="320" t="s">
        <v>626</v>
      </c>
      <c r="BC39" s="320" t="s">
        <v>641</v>
      </c>
      <c r="BD39" s="320" t="s">
        <v>642</v>
      </c>
      <c r="BE39" s="320" t="s">
        <v>643</v>
      </c>
      <c r="BF39" s="320">
        <v>-9999</v>
      </c>
      <c r="BG39" s="320">
        <v>-9999</v>
      </c>
      <c r="BH39" s="320">
        <v>-9999</v>
      </c>
      <c r="BI39" s="320" t="s">
        <v>678</v>
      </c>
      <c r="BJ39" s="320">
        <v>-9999</v>
      </c>
      <c r="BK39" s="320">
        <v>-9999</v>
      </c>
      <c r="BL39" s="320">
        <v>-9999</v>
      </c>
      <c r="BM39" s="320">
        <v>-9999</v>
      </c>
      <c r="BN39" s="320">
        <v>-9999</v>
      </c>
      <c r="BO39" s="320">
        <v>-9999</v>
      </c>
      <c r="BP39" s="320">
        <v>-9999</v>
      </c>
      <c r="BQ39" s="320">
        <v>-9999</v>
      </c>
      <c r="BR39" s="320">
        <v>-9999</v>
      </c>
      <c r="BS39" s="320">
        <v>-9999</v>
      </c>
      <c r="BT39" s="320">
        <v>-9999</v>
      </c>
      <c r="BU39" s="320">
        <v>-9999</v>
      </c>
      <c r="BV39" s="320">
        <v>-9999</v>
      </c>
      <c r="BX39" s="320">
        <v>-9999</v>
      </c>
      <c r="BY39" s="320">
        <v>-9999</v>
      </c>
      <c r="BZ39" s="320">
        <v>-9999</v>
      </c>
      <c r="CA39" s="320" t="s">
        <v>478</v>
      </c>
      <c r="CC39" s="320">
        <v>1</v>
      </c>
      <c r="CD39" s="320">
        <v>3</v>
      </c>
      <c r="CE39" s="731">
        <v>22.433333333333334</v>
      </c>
      <c r="CF39" s="731">
        <v>-9999</v>
      </c>
      <c r="CG39" s="320">
        <v>4</v>
      </c>
      <c r="CH39" s="301" t="s">
        <v>2119</v>
      </c>
      <c r="CI39" s="301" t="s">
        <v>2126</v>
      </c>
      <c r="CK39" s="56" t="s">
        <v>165</v>
      </c>
      <c r="CL39" s="56" t="s">
        <v>164</v>
      </c>
      <c r="CM39" s="268">
        <v>42.792000000000002</v>
      </c>
      <c r="CN39" s="268">
        <v>76.125</v>
      </c>
    </row>
    <row r="40" spans="1:100" s="320" customFormat="1" x14ac:dyDescent="0.2">
      <c r="A40" s="320" t="s">
        <v>679</v>
      </c>
      <c r="B40" s="320" t="s">
        <v>618</v>
      </c>
      <c r="C40" s="320" t="s">
        <v>481</v>
      </c>
      <c r="D40" s="320" t="s">
        <v>633</v>
      </c>
      <c r="E40" s="320" t="s">
        <v>1502</v>
      </c>
      <c r="F40" s="320">
        <v>9</v>
      </c>
      <c r="G40" s="320">
        <v>1</v>
      </c>
      <c r="H40" s="320">
        <v>9</v>
      </c>
      <c r="I40" s="320" t="s">
        <v>621</v>
      </c>
      <c r="J40" s="320">
        <v>1987</v>
      </c>
      <c r="K40" s="320" t="s">
        <v>962</v>
      </c>
      <c r="L40" s="320">
        <v>1995</v>
      </c>
      <c r="M40" s="731">
        <v>15.9</v>
      </c>
      <c r="N40" s="731">
        <v>-9999</v>
      </c>
      <c r="P40" s="731">
        <v>104.83</v>
      </c>
      <c r="Q40" s="731">
        <v>-9999</v>
      </c>
      <c r="R40" s="731"/>
      <c r="S40" s="731"/>
      <c r="T40" s="731">
        <v>11.647777777777778</v>
      </c>
      <c r="U40" s="731">
        <v>-9999</v>
      </c>
      <c r="V40" s="731"/>
      <c r="W40" s="731">
        <v>15.9</v>
      </c>
      <c r="X40" s="731">
        <v>-9999</v>
      </c>
      <c r="Y40" s="731"/>
      <c r="Z40" s="320" t="s">
        <v>622</v>
      </c>
      <c r="AA40" s="320">
        <v>111111</v>
      </c>
      <c r="AB40" s="731">
        <v>0.33</v>
      </c>
      <c r="AC40" s="320">
        <v>8.6400000000000005E-2</v>
      </c>
      <c r="AD40" s="320">
        <v>36</v>
      </c>
      <c r="AE40" s="320" t="s">
        <v>1974</v>
      </c>
      <c r="AF40" s="320">
        <v>3</v>
      </c>
      <c r="AG40" s="320">
        <v>2</v>
      </c>
      <c r="AH40" s="320" t="s">
        <v>623</v>
      </c>
      <c r="AI40" s="320" t="s">
        <v>624</v>
      </c>
      <c r="AJ40" s="320">
        <v>-9999</v>
      </c>
      <c r="AK40" s="320" t="s">
        <v>626</v>
      </c>
      <c r="AL40" s="320" t="s">
        <v>653</v>
      </c>
      <c r="AM40" s="320">
        <v>-9999</v>
      </c>
      <c r="AN40" s="320" t="s">
        <v>491</v>
      </c>
      <c r="AO40" s="320" t="s">
        <v>627</v>
      </c>
      <c r="AP40" s="320" t="s">
        <v>489</v>
      </c>
      <c r="AQ40" s="320" t="s">
        <v>626</v>
      </c>
      <c r="AR40" s="730">
        <v>336</v>
      </c>
      <c r="AS40" s="320" t="s">
        <v>1101</v>
      </c>
      <c r="AT40" s="320" t="s">
        <v>747</v>
      </c>
      <c r="AU40" s="730">
        <v>112</v>
      </c>
      <c r="AV40" s="320" t="s">
        <v>218</v>
      </c>
      <c r="AW40" s="320" t="s">
        <v>748</v>
      </c>
      <c r="AX40" s="730">
        <v>224</v>
      </c>
      <c r="AY40" s="320" t="s">
        <v>219</v>
      </c>
      <c r="AZ40" s="320" t="s">
        <v>748</v>
      </c>
      <c r="BA40" s="320">
        <v>-9999</v>
      </c>
      <c r="BB40" s="320" t="s">
        <v>626</v>
      </c>
      <c r="BC40" s="320" t="s">
        <v>37</v>
      </c>
      <c r="BD40" s="320" t="s">
        <v>674</v>
      </c>
      <c r="BE40" s="320" t="s">
        <v>36</v>
      </c>
      <c r="BF40" s="320">
        <v>-9999</v>
      </c>
      <c r="BG40" s="320">
        <v>-9999</v>
      </c>
      <c r="BH40" s="320">
        <v>-9999</v>
      </c>
      <c r="BI40" s="320" t="s">
        <v>492</v>
      </c>
      <c r="BJ40" s="320">
        <v>-9999</v>
      </c>
      <c r="BK40" s="320">
        <v>-9999</v>
      </c>
      <c r="BL40" s="320">
        <v>-9999</v>
      </c>
      <c r="BM40" s="320">
        <v>-9999</v>
      </c>
      <c r="BN40" s="320">
        <v>-9999</v>
      </c>
      <c r="BO40" s="320">
        <v>-9999</v>
      </c>
      <c r="BP40" s="320">
        <v>-9999</v>
      </c>
      <c r="BQ40" s="320">
        <v>-9999</v>
      </c>
      <c r="BR40" s="320">
        <v>-9999</v>
      </c>
      <c r="BS40" s="320">
        <v>-9999</v>
      </c>
      <c r="BT40" s="320">
        <v>-9999</v>
      </c>
      <c r="BU40" s="320">
        <v>-9999</v>
      </c>
      <c r="BV40" s="320">
        <v>-9999</v>
      </c>
      <c r="BX40" s="320">
        <v>-9999</v>
      </c>
      <c r="BY40" s="320">
        <v>-9999</v>
      </c>
      <c r="BZ40" s="320">
        <v>-9999</v>
      </c>
      <c r="CA40" s="320">
        <v>-9999</v>
      </c>
      <c r="CC40" s="320">
        <v>9</v>
      </c>
      <c r="CD40" s="320">
        <v>1</v>
      </c>
      <c r="CE40" s="731">
        <v>11.647777777777778</v>
      </c>
      <c r="CF40" s="731">
        <v>15.9</v>
      </c>
      <c r="CG40" s="320">
        <v>9</v>
      </c>
      <c r="CH40" s="301" t="s">
        <v>2118</v>
      </c>
      <c r="CI40" s="322" t="s">
        <v>2124</v>
      </c>
      <c r="CJ40" s="320" t="s">
        <v>878</v>
      </c>
      <c r="CK40" s="56" t="s">
        <v>165</v>
      </c>
      <c r="CL40" s="56" t="s">
        <v>164</v>
      </c>
      <c r="CM40" s="268">
        <v>42.792000000000002</v>
      </c>
      <c r="CN40" s="268">
        <v>76.125</v>
      </c>
    </row>
    <row r="41" spans="1:100" s="320" customFormat="1" x14ac:dyDescent="0.2">
      <c r="A41" s="320" t="s">
        <v>679</v>
      </c>
      <c r="B41" s="320" t="s">
        <v>618</v>
      </c>
      <c r="C41" s="320" t="s">
        <v>482</v>
      </c>
      <c r="D41" s="320" t="s">
        <v>633</v>
      </c>
      <c r="E41" s="320" t="s">
        <v>1502</v>
      </c>
      <c r="F41" s="320">
        <v>9</v>
      </c>
      <c r="G41" s="320">
        <v>1</v>
      </c>
      <c r="H41" s="320">
        <v>9</v>
      </c>
      <c r="I41" s="320" t="s">
        <v>621</v>
      </c>
      <c r="J41" s="320">
        <v>1987</v>
      </c>
      <c r="K41" s="320" t="s">
        <v>962</v>
      </c>
      <c r="L41" s="320">
        <v>1995</v>
      </c>
      <c r="M41" s="731">
        <v>11.13</v>
      </c>
      <c r="N41" s="731">
        <v>-9999</v>
      </c>
      <c r="P41" s="731">
        <v>90.4</v>
      </c>
      <c r="Q41" s="731">
        <v>-9999</v>
      </c>
      <c r="R41" s="731"/>
      <c r="S41" s="731"/>
      <c r="T41" s="731">
        <v>10.044444444444444</v>
      </c>
      <c r="U41" s="731">
        <v>-9999</v>
      </c>
      <c r="V41" s="731"/>
      <c r="W41" s="731">
        <v>11.13</v>
      </c>
      <c r="X41" s="731">
        <v>-9999</v>
      </c>
      <c r="Y41" s="731"/>
      <c r="Z41" s="320" t="s">
        <v>622</v>
      </c>
      <c r="AA41" s="320">
        <v>111111</v>
      </c>
      <c r="AB41" s="731">
        <v>0.39</v>
      </c>
      <c r="AC41" s="320">
        <v>8.6400000000000005E-2</v>
      </c>
      <c r="AD41" s="320">
        <v>36</v>
      </c>
      <c r="AE41" s="320" t="s">
        <v>1974</v>
      </c>
      <c r="AF41" s="320">
        <v>3</v>
      </c>
      <c r="AG41" s="320">
        <v>2</v>
      </c>
      <c r="AH41" s="320" t="s">
        <v>623</v>
      </c>
      <c r="AI41" s="320" t="s">
        <v>624</v>
      </c>
      <c r="AJ41" s="320">
        <v>-9999</v>
      </c>
      <c r="AK41" s="320" t="s">
        <v>626</v>
      </c>
      <c r="AL41" s="320" t="s">
        <v>653</v>
      </c>
      <c r="AM41" s="320">
        <v>-9999</v>
      </c>
      <c r="AN41" s="320" t="s">
        <v>491</v>
      </c>
      <c r="AO41" s="320" t="s">
        <v>627</v>
      </c>
      <c r="AP41" s="320" t="s">
        <v>489</v>
      </c>
      <c r="AQ41" s="320" t="s">
        <v>631</v>
      </c>
      <c r="AR41" s="730">
        <v>0</v>
      </c>
      <c r="AS41" s="320">
        <v>-9999</v>
      </c>
      <c r="AT41" s="320">
        <v>-9999</v>
      </c>
      <c r="AU41" s="730">
        <v>0</v>
      </c>
      <c r="AV41" s="320">
        <v>-9999</v>
      </c>
      <c r="AW41" s="320">
        <v>-9999</v>
      </c>
      <c r="AX41" s="730">
        <v>0</v>
      </c>
      <c r="AY41" s="320">
        <v>-9999</v>
      </c>
      <c r="AZ41" s="320">
        <v>-9999</v>
      </c>
      <c r="BA41" s="320">
        <v>-9999</v>
      </c>
      <c r="BB41" s="320" t="s">
        <v>626</v>
      </c>
      <c r="BC41" s="320" t="s">
        <v>37</v>
      </c>
      <c r="BD41" s="320" t="s">
        <v>674</v>
      </c>
      <c r="BE41" s="320" t="s">
        <v>36</v>
      </c>
      <c r="BF41" s="320">
        <v>-9999</v>
      </c>
      <c r="BG41" s="320">
        <v>-9999</v>
      </c>
      <c r="BH41" s="320">
        <v>-9999</v>
      </c>
      <c r="BI41" s="320" t="s">
        <v>492</v>
      </c>
      <c r="BJ41" s="320">
        <v>-9999</v>
      </c>
      <c r="BK41" s="320">
        <v>-9999</v>
      </c>
      <c r="BL41" s="320">
        <v>-9999</v>
      </c>
      <c r="BM41" s="320">
        <v>-9999</v>
      </c>
      <c r="BN41" s="320">
        <v>-9999</v>
      </c>
      <c r="BO41" s="320">
        <v>-9999</v>
      </c>
      <c r="BP41" s="320">
        <v>-9999</v>
      </c>
      <c r="BQ41" s="320">
        <v>-9999</v>
      </c>
      <c r="BR41" s="320">
        <v>-9999</v>
      </c>
      <c r="BS41" s="320">
        <v>-9999</v>
      </c>
      <c r="BT41" s="320">
        <v>-9999</v>
      </c>
      <c r="BU41" s="320">
        <v>-9999</v>
      </c>
      <c r="BV41" s="320">
        <v>-9999</v>
      </c>
      <c r="BX41" s="320">
        <v>-9999</v>
      </c>
      <c r="BY41" s="320">
        <v>-9999</v>
      </c>
      <c r="BZ41" s="320">
        <v>-9999</v>
      </c>
      <c r="CA41" s="320">
        <v>-9999</v>
      </c>
      <c r="CC41" s="320">
        <v>9</v>
      </c>
      <c r="CD41" s="320">
        <v>1</v>
      </c>
      <c r="CE41" s="731">
        <v>10.044444444444444</v>
      </c>
      <c r="CF41" s="731">
        <v>11.13</v>
      </c>
      <c r="CG41" s="320">
        <v>9</v>
      </c>
      <c r="CH41" s="301" t="s">
        <v>2118</v>
      </c>
      <c r="CI41" s="322" t="s">
        <v>2124</v>
      </c>
      <c r="CJ41" s="320" t="s">
        <v>878</v>
      </c>
      <c r="CK41" s="56" t="s">
        <v>165</v>
      </c>
      <c r="CL41" s="56" t="s">
        <v>164</v>
      </c>
      <c r="CM41" s="268">
        <v>42.792000000000002</v>
      </c>
      <c r="CN41" s="268">
        <v>76.125</v>
      </c>
    </row>
    <row r="42" spans="1:100" s="320" customFormat="1" x14ac:dyDescent="0.2">
      <c r="A42" s="320" t="s">
        <v>679</v>
      </c>
      <c r="B42" s="320" t="s">
        <v>618</v>
      </c>
      <c r="C42" s="320" t="s">
        <v>488</v>
      </c>
      <c r="D42" s="320" t="s">
        <v>619</v>
      </c>
      <c r="E42" s="320" t="s">
        <v>1501</v>
      </c>
      <c r="F42" s="320">
        <v>9</v>
      </c>
      <c r="G42" s="320">
        <v>1</v>
      </c>
      <c r="H42" s="320">
        <v>9</v>
      </c>
      <c r="I42" s="320" t="s">
        <v>621</v>
      </c>
      <c r="J42" s="320">
        <v>1987</v>
      </c>
      <c r="K42" s="320" t="s">
        <v>962</v>
      </c>
      <c r="L42" s="320">
        <v>1995</v>
      </c>
      <c r="M42" s="731">
        <v>11.88</v>
      </c>
      <c r="N42" s="731">
        <v>-9999</v>
      </c>
      <c r="P42" s="731">
        <v>88.1</v>
      </c>
      <c r="Q42" s="731">
        <v>-9999</v>
      </c>
      <c r="R42" s="731"/>
      <c r="S42" s="731"/>
      <c r="T42" s="731">
        <v>9.7888888888888879</v>
      </c>
      <c r="U42" s="731">
        <v>-9999</v>
      </c>
      <c r="V42" s="731"/>
      <c r="W42" s="731">
        <v>11.88</v>
      </c>
      <c r="X42" s="731">
        <v>-9999</v>
      </c>
      <c r="Y42" s="731"/>
      <c r="Z42" s="320" t="s">
        <v>622</v>
      </c>
      <c r="AA42" s="320">
        <v>111111</v>
      </c>
      <c r="AB42" s="731">
        <v>0.44</v>
      </c>
      <c r="AC42" s="320">
        <v>8.6400000000000005E-2</v>
      </c>
      <c r="AD42" s="320">
        <v>36</v>
      </c>
      <c r="AE42" s="320" t="s">
        <v>1974</v>
      </c>
      <c r="AF42" s="320">
        <v>3</v>
      </c>
      <c r="AG42" s="320">
        <v>2</v>
      </c>
      <c r="AH42" s="320" t="s">
        <v>623</v>
      </c>
      <c r="AI42" s="320" t="s">
        <v>624</v>
      </c>
      <c r="AJ42" s="320">
        <v>-9999</v>
      </c>
      <c r="AK42" s="320" t="s">
        <v>626</v>
      </c>
      <c r="AL42" s="320" t="s">
        <v>653</v>
      </c>
      <c r="AM42" s="320">
        <v>-9999</v>
      </c>
      <c r="AN42" s="320" t="s">
        <v>491</v>
      </c>
      <c r="AO42" s="320" t="s">
        <v>627</v>
      </c>
      <c r="AP42" s="320" t="s">
        <v>489</v>
      </c>
      <c r="AQ42" s="320" t="s">
        <v>631</v>
      </c>
      <c r="AR42" s="730">
        <v>0</v>
      </c>
      <c r="AS42" s="320">
        <v>-9999</v>
      </c>
      <c r="AT42" s="320">
        <v>-9999</v>
      </c>
      <c r="AU42" s="730">
        <v>0</v>
      </c>
      <c r="AV42" s="320">
        <v>-9999</v>
      </c>
      <c r="AW42" s="320">
        <v>-9999</v>
      </c>
      <c r="AX42" s="730">
        <v>0</v>
      </c>
      <c r="AY42" s="320">
        <v>-9999</v>
      </c>
      <c r="AZ42" s="320">
        <v>-9999</v>
      </c>
      <c r="BA42" s="320">
        <v>-9999</v>
      </c>
      <c r="BB42" s="320" t="s">
        <v>626</v>
      </c>
      <c r="BC42" s="320" t="s">
        <v>37</v>
      </c>
      <c r="BD42" s="320" t="s">
        <v>674</v>
      </c>
      <c r="BE42" s="320" t="s">
        <v>36</v>
      </c>
      <c r="BF42" s="320">
        <v>-9999</v>
      </c>
      <c r="BG42" s="320">
        <v>-9999</v>
      </c>
      <c r="BH42" s="320">
        <v>-9999</v>
      </c>
      <c r="BI42" s="320" t="s">
        <v>492</v>
      </c>
      <c r="BJ42" s="320">
        <v>-9999</v>
      </c>
      <c r="BK42" s="320">
        <v>-9999</v>
      </c>
      <c r="BL42" s="320">
        <v>-9999</v>
      </c>
      <c r="BM42" s="320">
        <v>-9999</v>
      </c>
      <c r="BN42" s="320">
        <v>-9999</v>
      </c>
      <c r="BO42" s="320">
        <v>-9999</v>
      </c>
      <c r="BP42" s="320">
        <v>-9999</v>
      </c>
      <c r="BQ42" s="320">
        <v>-9999</v>
      </c>
      <c r="BR42" s="320">
        <v>-9999</v>
      </c>
      <c r="BS42" s="320">
        <v>-9999</v>
      </c>
      <c r="BT42" s="320">
        <v>-9999</v>
      </c>
      <c r="BU42" s="320">
        <v>-9999</v>
      </c>
      <c r="BV42" s="320">
        <v>-9999</v>
      </c>
      <c r="BX42" s="320">
        <v>-9999</v>
      </c>
      <c r="BY42" s="320">
        <v>-9999</v>
      </c>
      <c r="BZ42" s="320">
        <v>-9999</v>
      </c>
      <c r="CA42" s="320">
        <v>-9999</v>
      </c>
      <c r="CC42" s="320">
        <v>9</v>
      </c>
      <c r="CD42" s="320">
        <v>1</v>
      </c>
      <c r="CE42" s="731">
        <v>9.7888888888888879</v>
      </c>
      <c r="CF42" s="731">
        <v>11.88</v>
      </c>
      <c r="CG42" s="320">
        <v>9</v>
      </c>
      <c r="CH42" s="301" t="s">
        <v>2118</v>
      </c>
      <c r="CI42" s="322" t="s">
        <v>2124</v>
      </c>
      <c r="CK42" s="56" t="s">
        <v>165</v>
      </c>
      <c r="CL42" s="56" t="s">
        <v>164</v>
      </c>
      <c r="CM42" s="268">
        <v>42.792000000000002</v>
      </c>
      <c r="CN42" s="268">
        <v>76.125</v>
      </c>
    </row>
    <row r="43" spans="1:100" s="320" customFormat="1" x14ac:dyDescent="0.2">
      <c r="A43" s="320" t="s">
        <v>685</v>
      </c>
      <c r="B43" s="320" t="s">
        <v>680</v>
      </c>
      <c r="C43" s="320" t="s">
        <v>493</v>
      </c>
      <c r="D43" s="320" t="s">
        <v>619</v>
      </c>
      <c r="E43" s="320" t="s">
        <v>1500</v>
      </c>
      <c r="F43" s="320">
        <v>1</v>
      </c>
      <c r="G43" s="320">
        <v>3</v>
      </c>
      <c r="H43" s="320">
        <v>3</v>
      </c>
      <c r="I43" s="320" t="s">
        <v>954</v>
      </c>
      <c r="J43" s="320">
        <v>1999</v>
      </c>
      <c r="K43" s="320" t="s">
        <v>1001</v>
      </c>
      <c r="L43" s="320">
        <v>2001</v>
      </c>
      <c r="M43" s="731">
        <v>-9999</v>
      </c>
      <c r="N43" s="731">
        <v>-9999</v>
      </c>
      <c r="P43" s="731">
        <v>51.52</v>
      </c>
      <c r="Q43" s="731">
        <v>-9999</v>
      </c>
      <c r="R43" s="731"/>
      <c r="S43" s="731"/>
      <c r="T43" s="731">
        <v>17.173333333333336</v>
      </c>
      <c r="U43" s="731">
        <v>-9999</v>
      </c>
      <c r="V43" s="731"/>
      <c r="W43" s="731">
        <v>30.870000000000005</v>
      </c>
      <c r="X43" s="731">
        <v>-9999</v>
      </c>
      <c r="Y43" s="731"/>
      <c r="Z43" s="320" t="s">
        <v>681</v>
      </c>
      <c r="AA43" s="320">
        <v>18146</v>
      </c>
      <c r="AB43" s="320">
        <v>-9999</v>
      </c>
      <c r="AC43" s="320">
        <v>1</v>
      </c>
      <c r="AD43" s="320">
        <v>124.8</v>
      </c>
      <c r="AE43" s="320" t="s">
        <v>1952</v>
      </c>
      <c r="AF43" s="320">
        <v>4</v>
      </c>
      <c r="AG43" s="320">
        <v>-9999</v>
      </c>
      <c r="AH43" s="320" t="s">
        <v>623</v>
      </c>
      <c r="AI43" s="320">
        <v>-9999</v>
      </c>
      <c r="AJ43" s="320">
        <v>-9999</v>
      </c>
      <c r="AK43" s="320" t="s">
        <v>625</v>
      </c>
      <c r="AL43" s="320" t="s">
        <v>682</v>
      </c>
      <c r="AM43" s="320">
        <v>-9999</v>
      </c>
      <c r="AN43" s="320" t="s">
        <v>631</v>
      </c>
      <c r="AO43" s="320">
        <v>-9999</v>
      </c>
      <c r="AP43" s="320">
        <v>-9999</v>
      </c>
      <c r="AQ43" s="320" t="s">
        <v>631</v>
      </c>
      <c r="AR43" s="730">
        <v>0</v>
      </c>
      <c r="AS43" s="320">
        <v>-9999</v>
      </c>
      <c r="AT43" s="320">
        <v>-9999</v>
      </c>
      <c r="AU43" s="730">
        <v>0</v>
      </c>
      <c r="AV43" s="320">
        <v>-9999</v>
      </c>
      <c r="AW43" s="320">
        <v>-9999</v>
      </c>
      <c r="AX43" s="730">
        <v>0</v>
      </c>
      <c r="AY43" s="320">
        <v>-9999</v>
      </c>
      <c r="AZ43" s="320">
        <v>-9999</v>
      </c>
      <c r="BA43" s="320">
        <v>-9999</v>
      </c>
      <c r="BB43" s="320" t="s">
        <v>626</v>
      </c>
      <c r="BC43" s="320" t="s">
        <v>683</v>
      </c>
      <c r="BD43" s="320" t="s">
        <v>684</v>
      </c>
      <c r="BF43" s="320" t="s">
        <v>504</v>
      </c>
      <c r="BG43" s="320" t="s">
        <v>506</v>
      </c>
      <c r="BH43" s="320" t="s">
        <v>505</v>
      </c>
      <c r="BJ43" s="320">
        <v>-9999</v>
      </c>
      <c r="BK43" s="320">
        <v>-9999</v>
      </c>
      <c r="BL43" s="320">
        <v>6.31</v>
      </c>
      <c r="BM43" s="320">
        <v>-9999</v>
      </c>
      <c r="BN43" s="320">
        <v>-9999</v>
      </c>
      <c r="BO43" s="320">
        <v>-9999</v>
      </c>
      <c r="BP43" s="320">
        <v>-9999</v>
      </c>
      <c r="BQ43" s="320">
        <v>-9999</v>
      </c>
      <c r="BR43" s="320">
        <v>52.01</v>
      </c>
      <c r="BS43" s="320">
        <v>-9999</v>
      </c>
      <c r="BT43" s="320">
        <v>-9999</v>
      </c>
      <c r="BU43" s="320">
        <v>-9999</v>
      </c>
      <c r="BV43" s="320">
        <v>-9999</v>
      </c>
      <c r="BX43" s="320">
        <v>-9999</v>
      </c>
      <c r="BY43" s="320">
        <v>-9999</v>
      </c>
      <c r="BZ43" s="320">
        <v>-9999</v>
      </c>
      <c r="CA43" s="320">
        <v>-9999</v>
      </c>
      <c r="CC43" s="320">
        <v>1</v>
      </c>
      <c r="CD43" s="320">
        <v>3</v>
      </c>
      <c r="CE43" s="731">
        <v>17.173333333333336</v>
      </c>
      <c r="CF43" s="731">
        <v>30.870000000000005</v>
      </c>
      <c r="CG43" s="320">
        <v>3</v>
      </c>
      <c r="CH43" s="301" t="s">
        <v>2118</v>
      </c>
      <c r="CI43" s="301" t="s">
        <v>2126</v>
      </c>
      <c r="CK43" s="56" t="s">
        <v>166</v>
      </c>
      <c r="CL43" s="56" t="s">
        <v>167</v>
      </c>
      <c r="CM43" s="268">
        <v>45.133000000000003</v>
      </c>
      <c r="CN43" s="268">
        <v>74.132999999999996</v>
      </c>
      <c r="CV43" s="320" t="s">
        <v>1583</v>
      </c>
    </row>
    <row r="44" spans="1:100" s="320" customFormat="1" x14ac:dyDescent="0.2">
      <c r="A44" s="320" t="s">
        <v>685</v>
      </c>
      <c r="B44" s="320" t="s">
        <v>680</v>
      </c>
      <c r="C44" s="320" t="s">
        <v>812</v>
      </c>
      <c r="D44" s="320" t="s">
        <v>619</v>
      </c>
      <c r="E44" s="320" t="s">
        <v>1499</v>
      </c>
      <c r="F44" s="320">
        <v>1</v>
      </c>
      <c r="G44" s="320">
        <v>4</v>
      </c>
      <c r="H44" s="320">
        <v>4</v>
      </c>
      <c r="I44" s="320" t="s">
        <v>954</v>
      </c>
      <c r="J44" s="320">
        <v>1999</v>
      </c>
      <c r="K44" s="320" t="s">
        <v>1001</v>
      </c>
      <c r="L44" s="320">
        <v>2002</v>
      </c>
      <c r="M44" s="731">
        <v>-9999</v>
      </c>
      <c r="N44" s="731">
        <v>-9999</v>
      </c>
      <c r="P44" s="731">
        <v>72.2</v>
      </c>
      <c r="Q44" s="731">
        <v>-9999</v>
      </c>
      <c r="R44" s="731"/>
      <c r="S44" s="731"/>
      <c r="T44" s="731">
        <v>18.05</v>
      </c>
      <c r="U44" s="731">
        <v>-9999</v>
      </c>
      <c r="V44" s="731"/>
      <c r="W44" s="731">
        <v>21.17</v>
      </c>
      <c r="X44" s="731">
        <v>-9999</v>
      </c>
      <c r="Y44" s="731"/>
      <c r="Z44" s="320" t="s">
        <v>681</v>
      </c>
      <c r="AA44" s="320">
        <v>18146</v>
      </c>
      <c r="AB44" s="320">
        <v>-9999</v>
      </c>
      <c r="AC44" s="320">
        <v>1</v>
      </c>
      <c r="AD44" s="320">
        <v>124.8</v>
      </c>
      <c r="AE44" s="320" t="s">
        <v>1952</v>
      </c>
      <c r="AF44" s="320">
        <v>4</v>
      </c>
      <c r="AG44" s="320">
        <v>-9999</v>
      </c>
      <c r="AH44" s="320" t="s">
        <v>623</v>
      </c>
      <c r="AI44" s="320">
        <v>-9999</v>
      </c>
      <c r="AJ44" s="320">
        <v>-9999</v>
      </c>
      <c r="AK44" s="320" t="s">
        <v>625</v>
      </c>
      <c r="AL44" s="320" t="s">
        <v>682</v>
      </c>
      <c r="AM44" s="320">
        <v>-9999</v>
      </c>
      <c r="AN44" s="320" t="s">
        <v>631</v>
      </c>
      <c r="AO44" s="320">
        <v>-9999</v>
      </c>
      <c r="AP44" s="320">
        <v>-9999</v>
      </c>
      <c r="AQ44" s="320" t="s">
        <v>631</v>
      </c>
      <c r="AR44" s="730">
        <v>0</v>
      </c>
      <c r="AS44" s="320">
        <v>-9999</v>
      </c>
      <c r="AT44" s="320">
        <v>-9999</v>
      </c>
      <c r="AU44" s="730">
        <v>0</v>
      </c>
      <c r="AV44" s="320">
        <v>-9999</v>
      </c>
      <c r="AW44" s="320">
        <v>-9999</v>
      </c>
      <c r="AX44" s="730">
        <v>0</v>
      </c>
      <c r="AY44" s="320">
        <v>-9999</v>
      </c>
      <c r="AZ44" s="320">
        <v>-9999</v>
      </c>
      <c r="BA44" s="320">
        <v>-9999</v>
      </c>
      <c r="BB44" s="320" t="s">
        <v>626</v>
      </c>
      <c r="BC44" s="320" t="s">
        <v>683</v>
      </c>
      <c r="BD44" s="320" t="s">
        <v>684</v>
      </c>
      <c r="BF44" s="320" t="s">
        <v>504</v>
      </c>
      <c r="BG44" s="320" t="s">
        <v>506</v>
      </c>
      <c r="BH44" s="320" t="s">
        <v>505</v>
      </c>
      <c r="BJ44" s="320">
        <v>-9999</v>
      </c>
      <c r="BK44" s="320">
        <v>-9999</v>
      </c>
      <c r="BL44" s="320">
        <v>7.64</v>
      </c>
      <c r="BM44" s="320">
        <v>-9999</v>
      </c>
      <c r="BN44" s="320">
        <v>-9999</v>
      </c>
      <c r="BO44" s="320">
        <v>-9999</v>
      </c>
      <c r="BP44" s="320">
        <v>-9999</v>
      </c>
      <c r="BQ44" s="320">
        <v>-9999</v>
      </c>
      <c r="BR44" s="320">
        <v>62.86</v>
      </c>
      <c r="BS44" s="320">
        <v>-9999</v>
      </c>
      <c r="BT44" s="320">
        <v>-9999</v>
      </c>
      <c r="BU44" s="320">
        <v>-9999</v>
      </c>
      <c r="BV44" s="320">
        <v>-9999</v>
      </c>
      <c r="BX44" s="320">
        <v>-9999</v>
      </c>
      <c r="BY44" s="320">
        <v>-9999</v>
      </c>
      <c r="BZ44" s="320">
        <v>-9999</v>
      </c>
      <c r="CA44" s="320">
        <v>-9999</v>
      </c>
      <c r="CC44" s="320">
        <v>1</v>
      </c>
      <c r="CD44" s="320">
        <v>4</v>
      </c>
      <c r="CE44" s="731">
        <v>18.05</v>
      </c>
      <c r="CF44" s="731">
        <v>21.17</v>
      </c>
      <c r="CG44" s="320">
        <v>4</v>
      </c>
      <c r="CH44" s="301" t="s">
        <v>2119</v>
      </c>
      <c r="CI44" s="301" t="s">
        <v>2126</v>
      </c>
      <c r="CK44" s="56" t="s">
        <v>166</v>
      </c>
      <c r="CL44" s="56" t="s">
        <v>167</v>
      </c>
      <c r="CM44" s="268">
        <v>45.133000000000003</v>
      </c>
      <c r="CN44" s="268">
        <v>74.132999999999996</v>
      </c>
    </row>
    <row r="45" spans="1:100" s="320" customFormat="1" x14ac:dyDescent="0.2">
      <c r="A45" s="320" t="s">
        <v>685</v>
      </c>
      <c r="B45" s="320" t="s">
        <v>680</v>
      </c>
      <c r="C45" s="320" t="s">
        <v>498</v>
      </c>
      <c r="D45" s="320" t="s">
        <v>633</v>
      </c>
      <c r="E45" s="320" t="s">
        <v>38</v>
      </c>
      <c r="F45" s="320">
        <v>1</v>
      </c>
      <c r="G45" s="320">
        <v>4</v>
      </c>
      <c r="H45" s="320">
        <v>4</v>
      </c>
      <c r="I45" s="320" t="s">
        <v>954</v>
      </c>
      <c r="J45" s="320">
        <v>1999</v>
      </c>
      <c r="K45" s="320" t="s">
        <v>1001</v>
      </c>
      <c r="L45" s="320">
        <v>2002</v>
      </c>
      <c r="M45" s="731">
        <v>-9999</v>
      </c>
      <c r="N45" s="731">
        <v>-9999</v>
      </c>
      <c r="P45" s="731">
        <v>44.38</v>
      </c>
      <c r="Q45" s="731">
        <v>-9999</v>
      </c>
      <c r="R45" s="731"/>
      <c r="S45" s="731"/>
      <c r="T45" s="731">
        <v>11.095000000000001</v>
      </c>
      <c r="U45" s="731">
        <v>-9999</v>
      </c>
      <c r="V45" s="731"/>
      <c r="W45" s="731">
        <v>20.270000000000003</v>
      </c>
      <c r="X45" s="731">
        <v>-9999</v>
      </c>
      <c r="Y45" s="731"/>
      <c r="Z45" s="320" t="s">
        <v>681</v>
      </c>
      <c r="AA45" s="320">
        <v>18146</v>
      </c>
      <c r="AB45" s="320">
        <v>-9999</v>
      </c>
      <c r="AC45" s="320">
        <v>1</v>
      </c>
      <c r="AD45" s="320">
        <v>124.8</v>
      </c>
      <c r="AE45" s="320" t="s">
        <v>1952</v>
      </c>
      <c r="AF45" s="320">
        <v>4</v>
      </c>
      <c r="AG45" s="320">
        <v>-9999</v>
      </c>
      <c r="AH45" s="320" t="s">
        <v>623</v>
      </c>
      <c r="AI45" s="320">
        <v>-9999</v>
      </c>
      <c r="AJ45" s="320">
        <v>-9999</v>
      </c>
      <c r="AK45" s="320" t="s">
        <v>625</v>
      </c>
      <c r="AL45" s="320" t="s">
        <v>682</v>
      </c>
      <c r="AM45" s="320">
        <v>-9999</v>
      </c>
      <c r="AN45" s="320" t="s">
        <v>631</v>
      </c>
      <c r="AO45" s="320">
        <v>-9999</v>
      </c>
      <c r="AP45" s="320">
        <v>-9999</v>
      </c>
      <c r="AQ45" s="320" t="s">
        <v>631</v>
      </c>
      <c r="AR45" s="730">
        <v>0</v>
      </c>
      <c r="AS45" s="320">
        <v>-9999</v>
      </c>
      <c r="AT45" s="320">
        <v>-9999</v>
      </c>
      <c r="AU45" s="730">
        <v>0</v>
      </c>
      <c r="AV45" s="320">
        <v>-9999</v>
      </c>
      <c r="AW45" s="320">
        <v>-9999</v>
      </c>
      <c r="AX45" s="730">
        <v>0</v>
      </c>
      <c r="AY45" s="320">
        <v>-9999</v>
      </c>
      <c r="AZ45" s="320">
        <v>-9999</v>
      </c>
      <c r="BA45" s="320">
        <v>-9999</v>
      </c>
      <c r="BB45" s="320" t="s">
        <v>626</v>
      </c>
      <c r="BC45" s="320" t="s">
        <v>683</v>
      </c>
      <c r="BD45" s="320" t="s">
        <v>684</v>
      </c>
      <c r="BF45" s="320" t="s">
        <v>504</v>
      </c>
      <c r="BG45" s="320" t="s">
        <v>506</v>
      </c>
      <c r="BH45" s="320" t="s">
        <v>505</v>
      </c>
      <c r="BJ45" s="320">
        <v>-9999</v>
      </c>
      <c r="BK45" s="320">
        <v>-9999</v>
      </c>
      <c r="BL45" s="320">
        <v>3.97</v>
      </c>
      <c r="BM45" s="320">
        <v>-9999</v>
      </c>
      <c r="BN45" s="320">
        <v>-9999</v>
      </c>
      <c r="BO45" s="320">
        <v>-9999</v>
      </c>
      <c r="BP45" s="320">
        <v>-9999</v>
      </c>
      <c r="BQ45" s="320">
        <v>-9999</v>
      </c>
      <c r="BR45" s="320">
        <v>37.049999999999997</v>
      </c>
      <c r="BS45" s="320">
        <v>-9999</v>
      </c>
      <c r="BT45" s="320">
        <v>-9999</v>
      </c>
      <c r="BU45" s="320">
        <v>-9999</v>
      </c>
      <c r="BV45" s="320">
        <v>-9999</v>
      </c>
      <c r="BX45" s="320">
        <v>-9999</v>
      </c>
      <c r="BY45" s="320">
        <v>-9999</v>
      </c>
      <c r="BZ45" s="320">
        <v>-9999</v>
      </c>
      <c r="CA45" s="320">
        <v>-9999</v>
      </c>
      <c r="CC45" s="320">
        <v>1</v>
      </c>
      <c r="CD45" s="320">
        <v>4</v>
      </c>
      <c r="CE45" s="731">
        <v>11.095000000000001</v>
      </c>
      <c r="CF45" s="731">
        <v>20.270000000000003</v>
      </c>
      <c r="CG45" s="320">
        <v>4</v>
      </c>
      <c r="CH45" s="301" t="s">
        <v>2119</v>
      </c>
      <c r="CI45" s="322" t="s">
        <v>2124</v>
      </c>
      <c r="CK45" s="56" t="s">
        <v>166</v>
      </c>
      <c r="CL45" s="56" t="s">
        <v>167</v>
      </c>
      <c r="CM45" s="268">
        <v>45.133000000000003</v>
      </c>
      <c r="CN45" s="268">
        <v>74.132999999999996</v>
      </c>
    </row>
    <row r="46" spans="1:100" s="301" customFormat="1" x14ac:dyDescent="0.2">
      <c r="A46" s="301" t="s">
        <v>685</v>
      </c>
      <c r="B46" s="301" t="s">
        <v>680</v>
      </c>
      <c r="C46" s="301" t="s">
        <v>494</v>
      </c>
      <c r="D46" s="301" t="s">
        <v>633</v>
      </c>
      <c r="E46" s="732" t="s">
        <v>721</v>
      </c>
      <c r="F46" s="301">
        <v>1</v>
      </c>
      <c r="G46" s="301">
        <v>4</v>
      </c>
      <c r="H46" s="301">
        <v>4</v>
      </c>
      <c r="I46" s="301" t="s">
        <v>954</v>
      </c>
      <c r="J46" s="301">
        <v>1999</v>
      </c>
      <c r="K46" s="301" t="s">
        <v>1001</v>
      </c>
      <c r="L46" s="301">
        <v>2002</v>
      </c>
      <c r="M46" s="342">
        <v>-9999</v>
      </c>
      <c r="N46" s="731">
        <v>-9999</v>
      </c>
      <c r="P46" s="342">
        <v>54.48</v>
      </c>
      <c r="Q46" s="342">
        <v>-9999</v>
      </c>
      <c r="R46" s="342"/>
      <c r="S46" s="342"/>
      <c r="T46" s="342">
        <v>13.62</v>
      </c>
      <c r="U46" s="342">
        <v>-9999</v>
      </c>
      <c r="V46" s="342"/>
      <c r="W46" s="747">
        <v>32.08</v>
      </c>
      <c r="X46" s="342">
        <v>-9999</v>
      </c>
      <c r="Y46" s="342"/>
      <c r="Z46" s="301" t="s">
        <v>681</v>
      </c>
      <c r="AA46" s="345">
        <v>18146</v>
      </c>
      <c r="AB46" s="733">
        <v>-9999</v>
      </c>
      <c r="AC46" s="301">
        <v>1</v>
      </c>
      <c r="AD46" s="301">
        <v>124.8</v>
      </c>
      <c r="AE46" s="301" t="s">
        <v>1952</v>
      </c>
      <c r="AF46" s="301">
        <v>4</v>
      </c>
      <c r="AG46" s="301">
        <v>-9999</v>
      </c>
      <c r="AH46" s="301" t="s">
        <v>623</v>
      </c>
      <c r="AI46" s="301">
        <v>-9999</v>
      </c>
      <c r="AJ46" s="301">
        <v>-9999</v>
      </c>
      <c r="AK46" s="301" t="s">
        <v>625</v>
      </c>
      <c r="AL46" s="301" t="s">
        <v>682</v>
      </c>
      <c r="AM46" s="301">
        <v>-9999</v>
      </c>
      <c r="AN46" s="301" t="s">
        <v>631</v>
      </c>
      <c r="AO46" s="301">
        <v>-9999</v>
      </c>
      <c r="AP46" s="301">
        <v>-9999</v>
      </c>
      <c r="AQ46" s="301" t="s">
        <v>631</v>
      </c>
      <c r="AR46" s="733">
        <v>0</v>
      </c>
      <c r="AS46" s="301">
        <v>-9999</v>
      </c>
      <c r="AT46" s="301">
        <v>-9999</v>
      </c>
      <c r="AU46" s="733">
        <v>0</v>
      </c>
      <c r="AV46" s="301">
        <v>-9999</v>
      </c>
      <c r="AW46" s="301">
        <v>-9999</v>
      </c>
      <c r="AX46" s="733">
        <v>0</v>
      </c>
      <c r="AY46" s="301">
        <v>-9999</v>
      </c>
      <c r="AZ46" s="301">
        <v>-9999</v>
      </c>
      <c r="BA46" s="301">
        <v>-9999</v>
      </c>
      <c r="BB46" s="301" t="s">
        <v>626</v>
      </c>
      <c r="BC46" s="301" t="s">
        <v>683</v>
      </c>
      <c r="BD46" s="301" t="s">
        <v>684</v>
      </c>
      <c r="BF46" s="301" t="s">
        <v>504</v>
      </c>
      <c r="BG46" s="301" t="s">
        <v>506</v>
      </c>
      <c r="BH46" s="301" t="s">
        <v>505</v>
      </c>
      <c r="BJ46" s="301">
        <v>-9999</v>
      </c>
      <c r="BK46" s="301">
        <v>-9999</v>
      </c>
      <c r="BL46" s="301">
        <v>3.71</v>
      </c>
      <c r="BM46" s="301">
        <v>-9999</v>
      </c>
      <c r="BN46" s="301">
        <v>-9999</v>
      </c>
      <c r="BO46" s="301">
        <v>-9999</v>
      </c>
      <c r="BP46" s="301">
        <v>-9999</v>
      </c>
      <c r="BQ46" s="301">
        <v>-9999</v>
      </c>
      <c r="BR46" s="301">
        <v>41.07</v>
      </c>
      <c r="BS46" s="733">
        <v>-9999</v>
      </c>
      <c r="BT46" s="733">
        <v>-9999</v>
      </c>
      <c r="BU46" s="733">
        <v>-9999</v>
      </c>
      <c r="BV46" s="733">
        <v>-9999</v>
      </c>
      <c r="BW46" s="733"/>
      <c r="BX46" s="733">
        <v>-9999</v>
      </c>
      <c r="BY46" s="733">
        <v>-9999</v>
      </c>
      <c r="BZ46" s="733">
        <v>-9999</v>
      </c>
      <c r="CA46" s="301">
        <v>-9999</v>
      </c>
      <c r="CC46" s="301">
        <v>1</v>
      </c>
      <c r="CD46" s="301">
        <v>4</v>
      </c>
      <c r="CE46" s="342">
        <v>13.62</v>
      </c>
      <c r="CF46" s="342">
        <v>32.08</v>
      </c>
      <c r="CG46" s="301">
        <v>4</v>
      </c>
      <c r="CH46" s="301" t="s">
        <v>2119</v>
      </c>
      <c r="CI46" s="320" t="s">
        <v>2125</v>
      </c>
      <c r="CK46" s="56" t="s">
        <v>166</v>
      </c>
      <c r="CL46" s="56" t="s">
        <v>167</v>
      </c>
      <c r="CM46" s="268">
        <v>45.133000000000003</v>
      </c>
      <c r="CN46" s="268">
        <v>74.132999999999996</v>
      </c>
    </row>
    <row r="47" spans="1:100" s="320" customFormat="1" x14ac:dyDescent="0.2">
      <c r="A47" s="320" t="s">
        <v>685</v>
      </c>
      <c r="B47" s="320" t="s">
        <v>680</v>
      </c>
      <c r="C47" s="320" t="s">
        <v>496</v>
      </c>
      <c r="D47" s="320" t="s">
        <v>633</v>
      </c>
      <c r="E47" s="320" t="s">
        <v>722</v>
      </c>
      <c r="F47" s="320">
        <v>1</v>
      </c>
      <c r="G47" s="320">
        <v>4</v>
      </c>
      <c r="H47" s="320">
        <v>4</v>
      </c>
      <c r="I47" s="320" t="s">
        <v>954</v>
      </c>
      <c r="J47" s="320">
        <v>1999</v>
      </c>
      <c r="K47" s="320" t="s">
        <v>1001</v>
      </c>
      <c r="L47" s="320">
        <v>2002</v>
      </c>
      <c r="M47" s="731">
        <v>-9999</v>
      </c>
      <c r="N47" s="731">
        <v>-9999</v>
      </c>
      <c r="P47" s="731">
        <v>56.52</v>
      </c>
      <c r="Q47" s="731">
        <v>-9999</v>
      </c>
      <c r="R47" s="731"/>
      <c r="S47" s="731"/>
      <c r="T47" s="731">
        <v>14.13</v>
      </c>
      <c r="U47" s="731">
        <v>-9999</v>
      </c>
      <c r="V47" s="731"/>
      <c r="W47" s="731">
        <v>35.340000000000003</v>
      </c>
      <c r="X47" s="731">
        <v>-9999</v>
      </c>
      <c r="Y47" s="731"/>
      <c r="Z47" s="320" t="s">
        <v>681</v>
      </c>
      <c r="AA47" s="320">
        <v>18146</v>
      </c>
      <c r="AB47" s="320">
        <v>-9999</v>
      </c>
      <c r="AC47" s="320">
        <v>1</v>
      </c>
      <c r="AD47" s="320">
        <v>124.8</v>
      </c>
      <c r="AE47" s="320" t="s">
        <v>1952</v>
      </c>
      <c r="AF47" s="320">
        <v>4</v>
      </c>
      <c r="AG47" s="320">
        <v>-9999</v>
      </c>
      <c r="AH47" s="320" t="s">
        <v>623</v>
      </c>
      <c r="AI47" s="320">
        <v>-9999</v>
      </c>
      <c r="AJ47" s="320">
        <v>-9999</v>
      </c>
      <c r="AK47" s="320" t="s">
        <v>625</v>
      </c>
      <c r="AL47" s="320" t="s">
        <v>682</v>
      </c>
      <c r="AM47" s="320">
        <v>-9999</v>
      </c>
      <c r="AN47" s="320" t="s">
        <v>631</v>
      </c>
      <c r="AO47" s="320">
        <v>-9999</v>
      </c>
      <c r="AP47" s="320">
        <v>-9999</v>
      </c>
      <c r="AQ47" s="320" t="s">
        <v>631</v>
      </c>
      <c r="AR47" s="730">
        <v>0</v>
      </c>
      <c r="AS47" s="320">
        <v>-9999</v>
      </c>
      <c r="AT47" s="320">
        <v>-9999</v>
      </c>
      <c r="AU47" s="730">
        <v>0</v>
      </c>
      <c r="AV47" s="320">
        <v>-9999</v>
      </c>
      <c r="AW47" s="320">
        <v>-9999</v>
      </c>
      <c r="AX47" s="730">
        <v>0</v>
      </c>
      <c r="AY47" s="320">
        <v>-9999</v>
      </c>
      <c r="AZ47" s="320">
        <v>-9999</v>
      </c>
      <c r="BA47" s="320">
        <v>-9999</v>
      </c>
      <c r="BB47" s="320" t="s">
        <v>626</v>
      </c>
      <c r="BC47" s="320" t="s">
        <v>683</v>
      </c>
      <c r="BD47" s="320" t="s">
        <v>684</v>
      </c>
      <c r="BF47" s="320" t="s">
        <v>504</v>
      </c>
      <c r="BG47" s="320" t="s">
        <v>506</v>
      </c>
      <c r="BH47" s="320" t="s">
        <v>505</v>
      </c>
      <c r="BJ47" s="320">
        <v>-9999</v>
      </c>
      <c r="BK47" s="320">
        <v>-9999</v>
      </c>
      <c r="BL47" s="320">
        <v>3.24</v>
      </c>
      <c r="BM47" s="320">
        <v>-9999</v>
      </c>
      <c r="BN47" s="320">
        <v>-9999</v>
      </c>
      <c r="BO47" s="320">
        <v>-9999</v>
      </c>
      <c r="BP47" s="320">
        <v>-9999</v>
      </c>
      <c r="BQ47" s="320">
        <v>-9999</v>
      </c>
      <c r="BR47" s="320">
        <v>46.33</v>
      </c>
      <c r="BS47" s="320">
        <v>-9999</v>
      </c>
      <c r="BT47" s="320">
        <v>-9999</v>
      </c>
      <c r="BU47" s="320">
        <v>-9999</v>
      </c>
      <c r="BV47" s="320">
        <v>-9999</v>
      </c>
      <c r="BX47" s="320">
        <v>-9999</v>
      </c>
      <c r="BY47" s="320">
        <v>-9999</v>
      </c>
      <c r="BZ47" s="320">
        <v>-9999</v>
      </c>
      <c r="CA47" s="320">
        <v>-9999</v>
      </c>
      <c r="CC47" s="320">
        <v>1</v>
      </c>
      <c r="CD47" s="320">
        <v>4</v>
      </c>
      <c r="CE47" s="731">
        <v>14.13</v>
      </c>
      <c r="CF47" s="731">
        <v>35.340000000000003</v>
      </c>
      <c r="CG47" s="320">
        <v>4</v>
      </c>
      <c r="CH47" s="301" t="s">
        <v>2119</v>
      </c>
      <c r="CI47" s="320" t="s">
        <v>2125</v>
      </c>
      <c r="CK47" s="56" t="s">
        <v>166</v>
      </c>
      <c r="CL47" s="56" t="s">
        <v>167</v>
      </c>
      <c r="CM47" s="268">
        <v>45.133000000000003</v>
      </c>
      <c r="CN47" s="268">
        <v>74.132999999999996</v>
      </c>
    </row>
    <row r="48" spans="1:100" s="320" customFormat="1" x14ac:dyDescent="0.2">
      <c r="A48" s="320" t="s">
        <v>685</v>
      </c>
      <c r="B48" s="320" t="s">
        <v>680</v>
      </c>
      <c r="C48" s="320" t="s">
        <v>500</v>
      </c>
      <c r="D48" s="320" t="s">
        <v>633</v>
      </c>
      <c r="E48" s="320" t="s">
        <v>1519</v>
      </c>
      <c r="F48" s="320">
        <v>1</v>
      </c>
      <c r="G48" s="320">
        <v>4</v>
      </c>
      <c r="H48" s="320">
        <v>4</v>
      </c>
      <c r="I48" s="320" t="s">
        <v>954</v>
      </c>
      <c r="J48" s="320">
        <v>1999</v>
      </c>
      <c r="K48" s="320" t="s">
        <v>1001</v>
      </c>
      <c r="L48" s="320">
        <v>2002</v>
      </c>
      <c r="M48" s="731">
        <v>-9999</v>
      </c>
      <c r="N48" s="731">
        <v>-9999</v>
      </c>
      <c r="P48" s="731">
        <v>37.200000000000003</v>
      </c>
      <c r="Q48" s="731">
        <v>-9999</v>
      </c>
      <c r="R48" s="731"/>
      <c r="S48" s="731"/>
      <c r="T48" s="731">
        <v>9.3000000000000007</v>
      </c>
      <c r="U48" s="731">
        <v>-9999</v>
      </c>
      <c r="V48" s="731"/>
      <c r="W48" s="731">
        <v>19.440000000000001</v>
      </c>
      <c r="X48" s="731">
        <v>-9999</v>
      </c>
      <c r="Y48" s="731"/>
      <c r="Z48" s="320" t="s">
        <v>681</v>
      </c>
      <c r="AA48" s="320">
        <v>18146</v>
      </c>
      <c r="AB48" s="320">
        <v>-9999</v>
      </c>
      <c r="AC48" s="320">
        <v>1</v>
      </c>
      <c r="AD48" s="320">
        <v>124.8</v>
      </c>
      <c r="AE48" s="320" t="s">
        <v>1952</v>
      </c>
      <c r="AF48" s="320">
        <v>4</v>
      </c>
      <c r="AG48" s="320">
        <v>-9999</v>
      </c>
      <c r="AH48" s="320" t="s">
        <v>623</v>
      </c>
      <c r="AI48" s="320">
        <v>-9999</v>
      </c>
      <c r="AJ48" s="320">
        <v>-9999</v>
      </c>
      <c r="AK48" s="320" t="s">
        <v>625</v>
      </c>
      <c r="AL48" s="320" t="s">
        <v>682</v>
      </c>
      <c r="AM48" s="320">
        <v>-9999</v>
      </c>
      <c r="AN48" s="320" t="s">
        <v>631</v>
      </c>
      <c r="AO48" s="320">
        <v>-9999</v>
      </c>
      <c r="AP48" s="320">
        <v>-9999</v>
      </c>
      <c r="AQ48" s="320" t="s">
        <v>631</v>
      </c>
      <c r="AR48" s="730">
        <v>0</v>
      </c>
      <c r="AS48" s="320">
        <v>-9999</v>
      </c>
      <c r="AT48" s="320">
        <v>-9999</v>
      </c>
      <c r="AU48" s="730">
        <v>0</v>
      </c>
      <c r="AV48" s="320">
        <v>-9999</v>
      </c>
      <c r="AW48" s="320">
        <v>-9999</v>
      </c>
      <c r="AX48" s="730">
        <v>0</v>
      </c>
      <c r="AY48" s="320">
        <v>-9999</v>
      </c>
      <c r="AZ48" s="320">
        <v>-9999</v>
      </c>
      <c r="BA48" s="320">
        <v>-9999</v>
      </c>
      <c r="BB48" s="320" t="s">
        <v>626</v>
      </c>
      <c r="BC48" s="320" t="s">
        <v>683</v>
      </c>
      <c r="BD48" s="320" t="s">
        <v>684</v>
      </c>
      <c r="BF48" s="320" t="s">
        <v>504</v>
      </c>
      <c r="BG48" s="320" t="s">
        <v>506</v>
      </c>
      <c r="BH48" s="320" t="s">
        <v>505</v>
      </c>
      <c r="BJ48" s="320">
        <v>-9999</v>
      </c>
      <c r="BK48" s="320">
        <v>-9999</v>
      </c>
      <c r="BL48" s="320">
        <v>3.12</v>
      </c>
      <c r="BM48" s="320">
        <v>-9999</v>
      </c>
      <c r="BN48" s="320">
        <v>-9999</v>
      </c>
      <c r="BO48" s="320">
        <v>-9999</v>
      </c>
      <c r="BP48" s="320">
        <v>-9999</v>
      </c>
      <c r="BQ48" s="320">
        <v>-9999</v>
      </c>
      <c r="BR48" s="320">
        <v>34.89</v>
      </c>
      <c r="BS48" s="320">
        <v>-9999</v>
      </c>
      <c r="BT48" s="320">
        <v>-9999</v>
      </c>
      <c r="BU48" s="320">
        <v>-9999</v>
      </c>
      <c r="BV48" s="320">
        <v>-9999</v>
      </c>
      <c r="BX48" s="320">
        <v>-9999</v>
      </c>
      <c r="BY48" s="320">
        <v>-9999</v>
      </c>
      <c r="BZ48" s="320">
        <v>-9999</v>
      </c>
      <c r="CA48" s="320">
        <v>-9999</v>
      </c>
      <c r="CC48" s="320">
        <v>1</v>
      </c>
      <c r="CD48" s="320">
        <v>4</v>
      </c>
      <c r="CE48" s="731">
        <v>9.3000000000000007</v>
      </c>
      <c r="CF48" s="731">
        <v>19.440000000000001</v>
      </c>
      <c r="CG48" s="320">
        <v>4</v>
      </c>
      <c r="CH48" s="301" t="s">
        <v>2119</v>
      </c>
      <c r="CI48" s="322" t="s">
        <v>2124</v>
      </c>
      <c r="CK48" s="56" t="s">
        <v>166</v>
      </c>
      <c r="CL48" s="56" t="s">
        <v>167</v>
      </c>
      <c r="CM48" s="268">
        <v>45.133000000000003</v>
      </c>
      <c r="CN48" s="268">
        <v>74.132999999999996</v>
      </c>
    </row>
    <row r="49" spans="1:92" s="320" customFormat="1" x14ac:dyDescent="0.2">
      <c r="A49" s="320" t="s">
        <v>685</v>
      </c>
      <c r="B49" s="320" t="s">
        <v>680</v>
      </c>
      <c r="C49" s="320" t="s">
        <v>501</v>
      </c>
      <c r="D49" s="320" t="s">
        <v>633</v>
      </c>
      <c r="E49" s="320" t="s">
        <v>39</v>
      </c>
      <c r="F49" s="320">
        <v>1</v>
      </c>
      <c r="G49" s="320">
        <v>4</v>
      </c>
      <c r="H49" s="320">
        <v>4</v>
      </c>
      <c r="I49" s="320" t="s">
        <v>954</v>
      </c>
      <c r="J49" s="320">
        <v>1999</v>
      </c>
      <c r="K49" s="320" t="s">
        <v>1001</v>
      </c>
      <c r="L49" s="320">
        <v>2002</v>
      </c>
      <c r="M49" s="731">
        <v>-9999</v>
      </c>
      <c r="N49" s="731">
        <v>-9999</v>
      </c>
      <c r="P49" s="731">
        <v>46.64</v>
      </c>
      <c r="Q49" s="731">
        <v>-9999</v>
      </c>
      <c r="R49" s="731"/>
      <c r="S49" s="731"/>
      <c r="T49" s="731">
        <v>11.66</v>
      </c>
      <c r="U49" s="731">
        <v>-9999</v>
      </c>
      <c r="V49" s="731"/>
      <c r="W49" s="731">
        <v>19.830000000000002</v>
      </c>
      <c r="X49" s="731">
        <v>-9999</v>
      </c>
      <c r="Y49" s="731"/>
      <c r="Z49" s="320" t="s">
        <v>681</v>
      </c>
      <c r="AA49" s="320">
        <v>18146</v>
      </c>
      <c r="AB49" s="320">
        <v>-9999</v>
      </c>
      <c r="AC49" s="320">
        <v>1</v>
      </c>
      <c r="AD49" s="320">
        <v>124.8</v>
      </c>
      <c r="AE49" s="320" t="s">
        <v>1952</v>
      </c>
      <c r="AF49" s="320">
        <v>4</v>
      </c>
      <c r="AG49" s="320">
        <v>-9999</v>
      </c>
      <c r="AH49" s="320" t="s">
        <v>623</v>
      </c>
      <c r="AI49" s="320">
        <v>-9999</v>
      </c>
      <c r="AJ49" s="320">
        <v>-9999</v>
      </c>
      <c r="AK49" s="320" t="s">
        <v>625</v>
      </c>
      <c r="AL49" s="320" t="s">
        <v>682</v>
      </c>
      <c r="AM49" s="320">
        <v>-9999</v>
      </c>
      <c r="AN49" s="320" t="s">
        <v>631</v>
      </c>
      <c r="AO49" s="320">
        <v>-9999</v>
      </c>
      <c r="AP49" s="320">
        <v>-9999</v>
      </c>
      <c r="AQ49" s="320" t="s">
        <v>631</v>
      </c>
      <c r="AR49" s="730">
        <v>0</v>
      </c>
      <c r="AS49" s="320">
        <v>-9999</v>
      </c>
      <c r="AT49" s="320">
        <v>-9999</v>
      </c>
      <c r="AU49" s="730">
        <v>0</v>
      </c>
      <c r="AV49" s="320">
        <v>-9999</v>
      </c>
      <c r="AW49" s="320">
        <v>-9999</v>
      </c>
      <c r="AX49" s="730">
        <v>0</v>
      </c>
      <c r="AY49" s="320">
        <v>-9999</v>
      </c>
      <c r="AZ49" s="320">
        <v>-9999</v>
      </c>
      <c r="BA49" s="320">
        <v>-9999</v>
      </c>
      <c r="BB49" s="320" t="s">
        <v>626</v>
      </c>
      <c r="BC49" s="320" t="s">
        <v>683</v>
      </c>
      <c r="BD49" s="320" t="s">
        <v>684</v>
      </c>
      <c r="BF49" s="320" t="s">
        <v>504</v>
      </c>
      <c r="BG49" s="320" t="s">
        <v>506</v>
      </c>
      <c r="BH49" s="320" t="s">
        <v>505</v>
      </c>
      <c r="BJ49" s="320">
        <v>-9999</v>
      </c>
      <c r="BK49" s="320">
        <v>-9999</v>
      </c>
      <c r="BL49" s="320">
        <v>4.49</v>
      </c>
      <c r="BM49" s="320">
        <v>-9999</v>
      </c>
      <c r="BN49" s="320">
        <v>-9999</v>
      </c>
      <c r="BO49" s="320">
        <v>-9999</v>
      </c>
      <c r="BP49" s="320">
        <v>-9999</v>
      </c>
      <c r="BQ49" s="320">
        <v>-9999</v>
      </c>
      <c r="BR49" s="320">
        <v>41.53</v>
      </c>
      <c r="BS49" s="320">
        <v>-9999</v>
      </c>
      <c r="BT49" s="320">
        <v>-9999</v>
      </c>
      <c r="BU49" s="320">
        <v>-9999</v>
      </c>
      <c r="BV49" s="320">
        <v>-9999</v>
      </c>
      <c r="BX49" s="320">
        <v>-9999</v>
      </c>
      <c r="BY49" s="320">
        <v>-9999</v>
      </c>
      <c r="BZ49" s="320">
        <v>-9999</v>
      </c>
      <c r="CA49" s="320">
        <v>-9999</v>
      </c>
      <c r="CC49" s="320">
        <v>1</v>
      </c>
      <c r="CD49" s="320">
        <v>4</v>
      </c>
      <c r="CE49" s="731">
        <v>11.66</v>
      </c>
      <c r="CF49" s="731">
        <v>19.830000000000002</v>
      </c>
      <c r="CG49" s="320">
        <v>4</v>
      </c>
      <c r="CH49" s="301" t="s">
        <v>2119</v>
      </c>
      <c r="CI49" s="320" t="s">
        <v>2125</v>
      </c>
      <c r="CK49" s="56" t="s">
        <v>166</v>
      </c>
      <c r="CL49" s="56" t="s">
        <v>167</v>
      </c>
      <c r="CM49" s="268">
        <v>45.133000000000003</v>
      </c>
      <c r="CN49" s="268">
        <v>74.132999999999996</v>
      </c>
    </row>
    <row r="50" spans="1:92" s="320" customFormat="1" x14ac:dyDescent="0.2">
      <c r="A50" s="320" t="s">
        <v>685</v>
      </c>
      <c r="B50" s="320" t="s">
        <v>680</v>
      </c>
      <c r="C50" s="320" t="s">
        <v>495</v>
      </c>
      <c r="D50" s="320" t="s">
        <v>633</v>
      </c>
      <c r="E50" s="320" t="s">
        <v>769</v>
      </c>
      <c r="F50" s="320">
        <v>1</v>
      </c>
      <c r="G50" s="320">
        <v>4</v>
      </c>
      <c r="H50" s="320">
        <v>4</v>
      </c>
      <c r="I50" s="320" t="s">
        <v>954</v>
      </c>
      <c r="J50" s="320">
        <v>1999</v>
      </c>
      <c r="K50" s="320" t="s">
        <v>1001</v>
      </c>
      <c r="L50" s="320">
        <v>2002</v>
      </c>
      <c r="M50" s="731">
        <v>-9999</v>
      </c>
      <c r="N50" s="731">
        <v>-9999</v>
      </c>
      <c r="P50" s="731">
        <v>62.34</v>
      </c>
      <c r="Q50" s="731">
        <v>-9999</v>
      </c>
      <c r="R50" s="731"/>
      <c r="S50" s="731"/>
      <c r="T50" s="731">
        <v>15.585000000000001</v>
      </c>
      <c r="U50" s="731">
        <v>-9999</v>
      </c>
      <c r="V50" s="731"/>
      <c r="W50" s="731">
        <v>34.300000000000004</v>
      </c>
      <c r="X50" s="731">
        <v>-9999</v>
      </c>
      <c r="Y50" s="731"/>
      <c r="Z50" s="320" t="s">
        <v>681</v>
      </c>
      <c r="AA50" s="320">
        <v>18146</v>
      </c>
      <c r="AB50" s="320">
        <v>-9999</v>
      </c>
      <c r="AC50" s="320">
        <v>1</v>
      </c>
      <c r="AD50" s="320">
        <v>124.8</v>
      </c>
      <c r="AE50" s="320" t="s">
        <v>1952</v>
      </c>
      <c r="AF50" s="320">
        <v>4</v>
      </c>
      <c r="AG50" s="320">
        <v>-9999</v>
      </c>
      <c r="AH50" s="320" t="s">
        <v>623</v>
      </c>
      <c r="AI50" s="320">
        <v>-9999</v>
      </c>
      <c r="AJ50" s="320">
        <v>-9999</v>
      </c>
      <c r="AK50" s="320" t="s">
        <v>625</v>
      </c>
      <c r="AL50" s="320" t="s">
        <v>682</v>
      </c>
      <c r="AM50" s="320">
        <v>-9999</v>
      </c>
      <c r="AN50" s="320" t="s">
        <v>631</v>
      </c>
      <c r="AO50" s="320">
        <v>-9999</v>
      </c>
      <c r="AP50" s="320">
        <v>-9999</v>
      </c>
      <c r="AQ50" s="320" t="s">
        <v>631</v>
      </c>
      <c r="AR50" s="730">
        <v>0</v>
      </c>
      <c r="AS50" s="320">
        <v>-9999</v>
      </c>
      <c r="AT50" s="320">
        <v>-9999</v>
      </c>
      <c r="AU50" s="730">
        <v>0</v>
      </c>
      <c r="AV50" s="320">
        <v>-9999</v>
      </c>
      <c r="AW50" s="320">
        <v>-9999</v>
      </c>
      <c r="AX50" s="730">
        <v>0</v>
      </c>
      <c r="AY50" s="320">
        <v>-9999</v>
      </c>
      <c r="AZ50" s="320">
        <v>-9999</v>
      </c>
      <c r="BA50" s="320">
        <v>-9999</v>
      </c>
      <c r="BB50" s="320" t="s">
        <v>626</v>
      </c>
      <c r="BC50" s="320" t="s">
        <v>683</v>
      </c>
      <c r="BD50" s="320" t="s">
        <v>684</v>
      </c>
      <c r="BF50" s="320" t="s">
        <v>504</v>
      </c>
      <c r="BG50" s="320" t="s">
        <v>506</v>
      </c>
      <c r="BH50" s="320" t="s">
        <v>505</v>
      </c>
      <c r="BJ50" s="320">
        <v>-9999</v>
      </c>
      <c r="BK50" s="320">
        <v>-9999</v>
      </c>
      <c r="BL50" s="320">
        <v>4.8600000000000003</v>
      </c>
      <c r="BM50" s="320">
        <v>-9999</v>
      </c>
      <c r="BN50" s="320">
        <v>-9999</v>
      </c>
      <c r="BO50" s="320">
        <v>-9999</v>
      </c>
      <c r="BP50" s="320">
        <v>-9999</v>
      </c>
      <c r="BQ50" s="320">
        <v>-9999</v>
      </c>
      <c r="BR50" s="320">
        <v>43.7</v>
      </c>
      <c r="BS50" s="320">
        <v>-9999</v>
      </c>
      <c r="BT50" s="320">
        <v>-9999</v>
      </c>
      <c r="BU50" s="320">
        <v>-9999</v>
      </c>
      <c r="BV50" s="320">
        <v>-9999</v>
      </c>
      <c r="BX50" s="320">
        <v>-9999</v>
      </c>
      <c r="BY50" s="320">
        <v>-9999</v>
      </c>
      <c r="BZ50" s="320">
        <v>-9999</v>
      </c>
      <c r="CA50" s="320">
        <v>-9999</v>
      </c>
      <c r="CC50" s="320">
        <v>1</v>
      </c>
      <c r="CD50" s="320">
        <v>4</v>
      </c>
      <c r="CE50" s="731">
        <v>15.585000000000001</v>
      </c>
      <c r="CF50" s="731">
        <v>34.300000000000004</v>
      </c>
      <c r="CG50" s="320">
        <v>4</v>
      </c>
      <c r="CH50" s="301" t="s">
        <v>2121</v>
      </c>
      <c r="CI50" s="301" t="s">
        <v>2126</v>
      </c>
      <c r="CK50" s="56" t="s">
        <v>166</v>
      </c>
      <c r="CL50" s="56" t="s">
        <v>167</v>
      </c>
      <c r="CM50" s="268">
        <v>45.133000000000003</v>
      </c>
      <c r="CN50" s="268">
        <v>74.132999999999996</v>
      </c>
    </row>
    <row r="51" spans="1:92" s="320" customFormat="1" x14ac:dyDescent="0.2">
      <c r="A51" s="320" t="s">
        <v>685</v>
      </c>
      <c r="B51" s="320" t="s">
        <v>680</v>
      </c>
      <c r="C51" s="320" t="s">
        <v>497</v>
      </c>
      <c r="D51" s="320" t="s">
        <v>633</v>
      </c>
      <c r="E51" s="320" t="s">
        <v>770</v>
      </c>
      <c r="F51" s="320">
        <v>1</v>
      </c>
      <c r="G51" s="320">
        <v>4</v>
      </c>
      <c r="H51" s="320">
        <v>4</v>
      </c>
      <c r="I51" s="320" t="s">
        <v>954</v>
      </c>
      <c r="J51" s="320">
        <v>1999</v>
      </c>
      <c r="K51" s="320" t="s">
        <v>1001</v>
      </c>
      <c r="L51" s="320">
        <v>2002</v>
      </c>
      <c r="M51" s="731">
        <v>-9999</v>
      </c>
      <c r="N51" s="731">
        <v>-9999</v>
      </c>
      <c r="P51" s="731">
        <v>67.58</v>
      </c>
      <c r="Q51" s="731">
        <v>-9999</v>
      </c>
      <c r="R51" s="731"/>
      <c r="S51" s="731"/>
      <c r="T51" s="731">
        <v>16.895</v>
      </c>
      <c r="U51" s="731">
        <v>-9999</v>
      </c>
      <c r="V51" s="731"/>
      <c r="W51" s="731">
        <v>37.090000000000003</v>
      </c>
      <c r="X51" s="731">
        <v>-9999</v>
      </c>
      <c r="Y51" s="731"/>
      <c r="Z51" s="320" t="s">
        <v>681</v>
      </c>
      <c r="AA51" s="320">
        <v>18146</v>
      </c>
      <c r="AB51" s="320">
        <v>-9999</v>
      </c>
      <c r="AC51" s="320">
        <v>1</v>
      </c>
      <c r="AD51" s="320">
        <v>124.8</v>
      </c>
      <c r="AE51" s="320" t="s">
        <v>1952</v>
      </c>
      <c r="AF51" s="320">
        <v>4</v>
      </c>
      <c r="AG51" s="320">
        <v>-9999</v>
      </c>
      <c r="AH51" s="320" t="s">
        <v>623</v>
      </c>
      <c r="AI51" s="320">
        <v>-9999</v>
      </c>
      <c r="AJ51" s="320">
        <v>-9999</v>
      </c>
      <c r="AK51" s="320" t="s">
        <v>625</v>
      </c>
      <c r="AL51" s="320" t="s">
        <v>682</v>
      </c>
      <c r="AM51" s="320">
        <v>-9999</v>
      </c>
      <c r="AN51" s="320" t="s">
        <v>631</v>
      </c>
      <c r="AO51" s="320">
        <v>-9999</v>
      </c>
      <c r="AP51" s="320">
        <v>-9999</v>
      </c>
      <c r="AQ51" s="320" t="s">
        <v>631</v>
      </c>
      <c r="AR51" s="730">
        <v>0</v>
      </c>
      <c r="AS51" s="320">
        <v>-9999</v>
      </c>
      <c r="AT51" s="320">
        <v>-9999</v>
      </c>
      <c r="AU51" s="730">
        <v>0</v>
      </c>
      <c r="AV51" s="320">
        <v>-9999</v>
      </c>
      <c r="AW51" s="320">
        <v>-9999</v>
      </c>
      <c r="AX51" s="730">
        <v>0</v>
      </c>
      <c r="AY51" s="320">
        <v>-9999</v>
      </c>
      <c r="AZ51" s="320">
        <v>-9999</v>
      </c>
      <c r="BA51" s="320">
        <v>-9999</v>
      </c>
      <c r="BB51" s="320" t="s">
        <v>626</v>
      </c>
      <c r="BC51" s="320" t="s">
        <v>683</v>
      </c>
      <c r="BD51" s="320" t="s">
        <v>684</v>
      </c>
      <c r="BF51" s="320" t="s">
        <v>504</v>
      </c>
      <c r="BG51" s="320" t="s">
        <v>506</v>
      </c>
      <c r="BH51" s="320" t="s">
        <v>505</v>
      </c>
      <c r="BJ51" s="320">
        <v>-9999</v>
      </c>
      <c r="BK51" s="320">
        <v>-9999</v>
      </c>
      <c r="BL51" s="320">
        <v>4.49</v>
      </c>
      <c r="BM51" s="320">
        <v>-9999</v>
      </c>
      <c r="BN51" s="320">
        <v>-9999</v>
      </c>
      <c r="BO51" s="320">
        <v>-9999</v>
      </c>
      <c r="BP51" s="320">
        <v>-9999</v>
      </c>
      <c r="BQ51" s="320">
        <v>-9999</v>
      </c>
      <c r="BR51" s="320">
        <v>41.54</v>
      </c>
      <c r="BS51" s="320">
        <v>-9999</v>
      </c>
      <c r="BT51" s="320">
        <v>-9999</v>
      </c>
      <c r="BU51" s="320">
        <v>-9999</v>
      </c>
      <c r="BV51" s="320">
        <v>-9999</v>
      </c>
      <c r="BX51" s="320">
        <v>-9999</v>
      </c>
      <c r="BY51" s="320">
        <v>-9999</v>
      </c>
      <c r="BZ51" s="320">
        <v>-9999</v>
      </c>
      <c r="CA51" s="320">
        <v>-9999</v>
      </c>
      <c r="CC51" s="320">
        <v>1</v>
      </c>
      <c r="CD51" s="320">
        <v>4</v>
      </c>
      <c r="CE51" s="731">
        <v>16.895</v>
      </c>
      <c r="CF51" s="731">
        <v>37.090000000000003</v>
      </c>
      <c r="CG51" s="320">
        <v>4</v>
      </c>
      <c r="CH51" s="301" t="s">
        <v>2121</v>
      </c>
      <c r="CI51" s="301" t="s">
        <v>2126</v>
      </c>
      <c r="CK51" s="56" t="s">
        <v>166</v>
      </c>
      <c r="CL51" s="56" t="s">
        <v>167</v>
      </c>
      <c r="CM51" s="268">
        <v>45.133000000000003</v>
      </c>
      <c r="CN51" s="268">
        <v>74.132999999999996</v>
      </c>
    </row>
    <row r="52" spans="1:92" s="320" customFormat="1" x14ac:dyDescent="0.2">
      <c r="A52" s="320" t="s">
        <v>771</v>
      </c>
      <c r="B52" s="320" t="s">
        <v>42</v>
      </c>
      <c r="C52" s="320" t="s">
        <v>518</v>
      </c>
      <c r="D52" s="320" t="s">
        <v>619</v>
      </c>
      <c r="E52" s="320" t="s">
        <v>1503</v>
      </c>
      <c r="F52" s="320">
        <v>1</v>
      </c>
      <c r="G52" s="320">
        <v>4</v>
      </c>
      <c r="H52" s="320">
        <v>4</v>
      </c>
      <c r="I52" s="320" t="s">
        <v>954</v>
      </c>
      <c r="J52" s="320">
        <v>1970</v>
      </c>
      <c r="K52" s="320" t="s">
        <v>957</v>
      </c>
      <c r="L52" s="320">
        <v>1974</v>
      </c>
      <c r="M52" s="731">
        <v>-9999</v>
      </c>
      <c r="N52" s="731">
        <v>-9999</v>
      </c>
      <c r="P52" s="731">
        <v>37.700000000000003</v>
      </c>
      <c r="Q52" s="731">
        <v>-9999</v>
      </c>
      <c r="R52" s="731"/>
      <c r="S52" s="731"/>
      <c r="T52" s="731">
        <v>9.4250000000000007</v>
      </c>
      <c r="U52" s="731">
        <v>-9999</v>
      </c>
      <c r="V52" s="731"/>
      <c r="W52" s="731">
        <v>10.200000000000003</v>
      </c>
      <c r="X52" s="731"/>
      <c r="Y52" s="731"/>
      <c r="Z52" s="320" t="s">
        <v>773</v>
      </c>
      <c r="AA52" s="320">
        <v>109649</v>
      </c>
      <c r="AB52" s="731">
        <v>0.67</v>
      </c>
      <c r="AC52" s="320">
        <v>-9999</v>
      </c>
      <c r="AD52" s="320">
        <v>-9999</v>
      </c>
      <c r="AE52" s="320" t="s">
        <v>523</v>
      </c>
      <c r="AF52" s="320">
        <v>3</v>
      </c>
      <c r="AG52" s="320" t="s">
        <v>774</v>
      </c>
      <c r="AH52" s="320" t="s">
        <v>623</v>
      </c>
      <c r="AI52" s="320">
        <v>-9999</v>
      </c>
      <c r="AJ52" s="320">
        <v>-9999</v>
      </c>
      <c r="AK52" s="320" t="s">
        <v>626</v>
      </c>
      <c r="AL52" s="320" t="s">
        <v>653</v>
      </c>
      <c r="AM52" s="320">
        <v>-9999</v>
      </c>
      <c r="AN52" s="320" t="s">
        <v>631</v>
      </c>
      <c r="AO52" s="320">
        <v>-9999</v>
      </c>
      <c r="AP52" s="320">
        <v>-9999</v>
      </c>
      <c r="AQ52" s="320" t="s">
        <v>631</v>
      </c>
      <c r="AR52" s="730">
        <v>0</v>
      </c>
      <c r="AS52" s="320">
        <v>-9999</v>
      </c>
      <c r="AT52" s="320">
        <v>-9999</v>
      </c>
      <c r="AU52" s="730">
        <v>0</v>
      </c>
      <c r="AV52" s="320">
        <v>-9999</v>
      </c>
      <c r="AW52" s="320">
        <v>-9999</v>
      </c>
      <c r="AX52" s="730">
        <v>0</v>
      </c>
      <c r="AY52" s="320">
        <v>-9999</v>
      </c>
      <c r="AZ52" s="320">
        <v>-9999</v>
      </c>
      <c r="BA52" s="320" t="s">
        <v>775</v>
      </c>
      <c r="BB52" s="320" t="s">
        <v>631</v>
      </c>
      <c r="BC52" s="320">
        <v>-9999</v>
      </c>
      <c r="BD52" s="320">
        <v>-9999</v>
      </c>
      <c r="BE52" s="320">
        <v>-9999</v>
      </c>
      <c r="BF52" s="320">
        <v>-9999</v>
      </c>
      <c r="BG52" s="320">
        <v>-9999</v>
      </c>
      <c r="BH52" s="320">
        <v>-9999</v>
      </c>
      <c r="BI52" s="320">
        <v>-9999</v>
      </c>
      <c r="BJ52" s="320">
        <v>-9999</v>
      </c>
      <c r="BK52" s="320">
        <v>-9999</v>
      </c>
      <c r="BL52" s="320">
        <v>-9999</v>
      </c>
      <c r="BM52" s="320">
        <v>-9999</v>
      </c>
      <c r="BN52" s="320">
        <v>-9999</v>
      </c>
      <c r="BO52" s="320">
        <v>-9999</v>
      </c>
      <c r="BP52" s="320">
        <v>-9999</v>
      </c>
      <c r="BQ52" s="320">
        <v>-9999</v>
      </c>
      <c r="BR52" s="320">
        <v>-9999</v>
      </c>
      <c r="BS52" s="320">
        <v>-9999</v>
      </c>
      <c r="BT52" s="320">
        <v>-9999</v>
      </c>
      <c r="BU52" s="320">
        <v>-9999</v>
      </c>
      <c r="BV52" s="320">
        <v>-9999</v>
      </c>
      <c r="BX52" s="320">
        <v>-9999</v>
      </c>
      <c r="BY52" s="320">
        <v>-9999</v>
      </c>
      <c r="BZ52" s="320">
        <v>-9999</v>
      </c>
      <c r="CA52" s="320">
        <v>-9999</v>
      </c>
      <c r="CC52" s="320">
        <v>1</v>
      </c>
      <c r="CD52" s="320">
        <v>4</v>
      </c>
      <c r="CE52" s="731">
        <v>9.4250000000000007</v>
      </c>
      <c r="CF52" s="731">
        <v>10.200000000000003</v>
      </c>
      <c r="CG52" s="320">
        <v>4</v>
      </c>
      <c r="CH52" s="301" t="s">
        <v>2119</v>
      </c>
      <c r="CI52" s="322" t="s">
        <v>2124</v>
      </c>
      <c r="CJ52" s="13"/>
      <c r="CK52" s="57" t="s">
        <v>1299</v>
      </c>
      <c r="CL52" s="57" t="s">
        <v>383</v>
      </c>
      <c r="CM52" s="268">
        <v>40.049999999999997</v>
      </c>
      <c r="CN52" s="268">
        <v>78.016999999999996</v>
      </c>
    </row>
    <row r="53" spans="1:92" s="320" customFormat="1" x14ac:dyDescent="0.2">
      <c r="A53" s="320" t="s">
        <v>1424</v>
      </c>
      <c r="B53" s="320" t="s">
        <v>42</v>
      </c>
      <c r="C53" s="320" t="s">
        <v>49</v>
      </c>
      <c r="D53" s="320" t="s">
        <v>619</v>
      </c>
      <c r="E53" s="320" t="s">
        <v>1503</v>
      </c>
      <c r="F53" s="320">
        <v>1</v>
      </c>
      <c r="G53" s="320">
        <v>4</v>
      </c>
      <c r="H53" s="320">
        <v>4</v>
      </c>
      <c r="I53" s="320" t="s">
        <v>954</v>
      </c>
      <c r="J53" s="320">
        <v>1981</v>
      </c>
      <c r="K53" s="320" t="s">
        <v>957</v>
      </c>
      <c r="L53" s="320">
        <v>1984</v>
      </c>
      <c r="M53" s="731">
        <v>40.4</v>
      </c>
      <c r="N53" s="731">
        <v>-9999</v>
      </c>
      <c r="P53" s="731">
        <v>40.4</v>
      </c>
      <c r="Q53" s="731">
        <v>-9999</v>
      </c>
      <c r="R53" s="731"/>
      <c r="S53" s="731"/>
      <c r="T53" s="731">
        <v>10.1</v>
      </c>
      <c r="U53" s="731">
        <v>-9999</v>
      </c>
      <c r="V53" s="731"/>
      <c r="W53" s="731">
        <v>13.299999999999997</v>
      </c>
      <c r="X53" s="731">
        <v>-9999</v>
      </c>
      <c r="Y53" s="731"/>
      <c r="Z53" s="320" t="s">
        <v>1704</v>
      </c>
      <c r="AA53" s="320">
        <v>20833</v>
      </c>
      <c r="AB53" s="731">
        <v>0.83</v>
      </c>
      <c r="AC53" s="320">
        <v>1.2</v>
      </c>
      <c r="AD53" s="320">
        <v>125</v>
      </c>
      <c r="AE53" s="320" t="s">
        <v>168</v>
      </c>
      <c r="AF53" s="320">
        <v>3</v>
      </c>
      <c r="AG53" s="320" t="s">
        <v>776</v>
      </c>
      <c r="AH53" s="320" t="s">
        <v>623</v>
      </c>
      <c r="AI53" s="320">
        <v>-9999</v>
      </c>
      <c r="AJ53" s="320">
        <v>-9999</v>
      </c>
      <c r="AK53" s="320" t="s">
        <v>626</v>
      </c>
      <c r="AL53" s="320" t="s">
        <v>272</v>
      </c>
      <c r="AM53" s="320">
        <v>-9999</v>
      </c>
      <c r="AN53" s="320" t="s">
        <v>777</v>
      </c>
      <c r="AO53" s="320">
        <v>-9999</v>
      </c>
      <c r="AP53" s="320">
        <v>-9999</v>
      </c>
      <c r="AQ53" s="320" t="s">
        <v>779</v>
      </c>
      <c r="AR53" s="730" t="s">
        <v>52</v>
      </c>
      <c r="AS53" s="320">
        <v>-9999</v>
      </c>
      <c r="AT53" s="320" t="s">
        <v>749</v>
      </c>
      <c r="AU53" s="730" t="s">
        <v>52</v>
      </c>
      <c r="AV53" s="320">
        <v>-9999</v>
      </c>
      <c r="AW53" s="320" t="s">
        <v>749</v>
      </c>
      <c r="AX53" s="730" t="s">
        <v>52</v>
      </c>
      <c r="AY53" s="320">
        <v>-9999</v>
      </c>
      <c r="AZ53" s="320" t="s">
        <v>749</v>
      </c>
      <c r="BA53" s="320">
        <v>-9999</v>
      </c>
      <c r="BB53" s="320" t="s">
        <v>626</v>
      </c>
      <c r="BC53" s="320" t="s">
        <v>273</v>
      </c>
      <c r="BD53" s="320" t="s">
        <v>642</v>
      </c>
      <c r="BE53" s="320">
        <v>-9999</v>
      </c>
      <c r="BF53" s="320" t="s">
        <v>274</v>
      </c>
      <c r="BG53" s="320" t="s">
        <v>275</v>
      </c>
      <c r="BH53" s="320">
        <v>-9999</v>
      </c>
      <c r="BI53" s="320">
        <v>-9999</v>
      </c>
      <c r="BJ53" s="320">
        <v>-9999</v>
      </c>
      <c r="BK53" s="320">
        <v>-9999</v>
      </c>
      <c r="BL53" s="320">
        <v>7.1</v>
      </c>
      <c r="BM53" s="320">
        <v>-9999</v>
      </c>
      <c r="BN53" s="320">
        <v>4.6999999999999993</v>
      </c>
      <c r="BO53" s="320">
        <v>-9999</v>
      </c>
      <c r="BP53" s="320">
        <v>-9999</v>
      </c>
      <c r="BQ53" s="320">
        <v>-9999</v>
      </c>
      <c r="BR53" s="320">
        <v>-9999</v>
      </c>
      <c r="BS53" s="320">
        <v>-9999</v>
      </c>
      <c r="BT53" s="320">
        <v>-9999</v>
      </c>
      <c r="BU53" s="320">
        <v>-9999</v>
      </c>
      <c r="BV53" s="320">
        <v>-9999</v>
      </c>
      <c r="BX53" s="320">
        <v>-9999</v>
      </c>
      <c r="BY53" s="320">
        <v>-9999</v>
      </c>
      <c r="BZ53" s="320">
        <v>-9999</v>
      </c>
      <c r="CA53" s="320">
        <v>15</v>
      </c>
      <c r="CC53" s="320">
        <v>1</v>
      </c>
      <c r="CD53" s="320">
        <v>4</v>
      </c>
      <c r="CE53" s="731">
        <v>10.1</v>
      </c>
      <c r="CF53" s="731">
        <v>13.299999999999997</v>
      </c>
      <c r="CG53" s="320">
        <v>4</v>
      </c>
      <c r="CH53" s="301" t="s">
        <v>2119</v>
      </c>
      <c r="CI53" s="322" t="s">
        <v>2124</v>
      </c>
      <c r="CJ53" s="320" t="s">
        <v>878</v>
      </c>
      <c r="CK53" s="57" t="s">
        <v>1299</v>
      </c>
      <c r="CL53" s="57" t="s">
        <v>383</v>
      </c>
      <c r="CM53" s="268">
        <v>40.049999999999997</v>
      </c>
      <c r="CN53" s="268">
        <v>78.016999999999996</v>
      </c>
    </row>
    <row r="54" spans="1:92" s="320" customFormat="1" x14ac:dyDescent="0.2">
      <c r="A54" s="320" t="s">
        <v>1424</v>
      </c>
      <c r="B54" s="320" t="s">
        <v>42</v>
      </c>
      <c r="C54" s="320" t="s">
        <v>53</v>
      </c>
      <c r="D54" s="320" t="s">
        <v>619</v>
      </c>
      <c r="E54" s="320" t="s">
        <v>1503</v>
      </c>
      <c r="F54" s="320">
        <v>1</v>
      </c>
      <c r="G54" s="320">
        <v>4</v>
      </c>
      <c r="H54" s="320">
        <v>4</v>
      </c>
      <c r="I54" s="320" t="s">
        <v>954</v>
      </c>
      <c r="J54" s="320">
        <v>1981</v>
      </c>
      <c r="K54" s="320" t="s">
        <v>957</v>
      </c>
      <c r="L54" s="320">
        <v>1984</v>
      </c>
      <c r="M54" s="731">
        <v>42.1</v>
      </c>
      <c r="N54" s="731">
        <v>-9999</v>
      </c>
      <c r="P54" s="731">
        <v>42.1</v>
      </c>
      <c r="Q54" s="731">
        <v>-9999</v>
      </c>
      <c r="R54" s="731"/>
      <c r="S54" s="731"/>
      <c r="T54" s="731">
        <v>10.525</v>
      </c>
      <c r="U54" s="731">
        <v>-9999</v>
      </c>
      <c r="V54" s="731"/>
      <c r="W54" s="731">
        <v>15</v>
      </c>
      <c r="X54" s="731">
        <v>-9999</v>
      </c>
      <c r="Y54" s="731"/>
      <c r="Z54" s="320" t="s">
        <v>1704</v>
      </c>
      <c r="AA54" s="320">
        <v>20833</v>
      </c>
      <c r="AB54" s="731">
        <v>0.8</v>
      </c>
      <c r="AC54" s="320">
        <v>1.2</v>
      </c>
      <c r="AD54" s="320">
        <v>125</v>
      </c>
      <c r="AE54" s="320" t="s">
        <v>168</v>
      </c>
      <c r="AF54" s="320">
        <v>3</v>
      </c>
      <c r="AG54" s="320" t="s">
        <v>776</v>
      </c>
      <c r="AH54" s="320" t="s">
        <v>623</v>
      </c>
      <c r="AI54" s="320">
        <v>-9999</v>
      </c>
      <c r="AJ54" s="320">
        <v>-9999</v>
      </c>
      <c r="AK54" s="320" t="s">
        <v>626</v>
      </c>
      <c r="AL54" s="320" t="s">
        <v>272</v>
      </c>
      <c r="AM54" s="320">
        <v>-9999</v>
      </c>
      <c r="AN54" s="320" t="s">
        <v>779</v>
      </c>
      <c r="AO54" s="320" t="s">
        <v>51</v>
      </c>
      <c r="AP54" s="320" t="s">
        <v>52</v>
      </c>
      <c r="AQ54" s="320" t="s">
        <v>779</v>
      </c>
      <c r="AR54" s="730" t="s">
        <v>52</v>
      </c>
      <c r="AS54" s="320">
        <v>-9999</v>
      </c>
      <c r="AT54" s="320" t="s">
        <v>749</v>
      </c>
      <c r="AU54" s="730" t="s">
        <v>52</v>
      </c>
      <c r="AV54" s="320">
        <v>-9999</v>
      </c>
      <c r="AW54" s="320" t="s">
        <v>749</v>
      </c>
      <c r="AX54" s="730" t="s">
        <v>52</v>
      </c>
      <c r="AY54" s="320">
        <v>-9999</v>
      </c>
      <c r="AZ54" s="320" t="s">
        <v>749</v>
      </c>
      <c r="BA54" s="320">
        <v>-9999</v>
      </c>
      <c r="BB54" s="320" t="s">
        <v>626</v>
      </c>
      <c r="BC54" s="320" t="s">
        <v>273</v>
      </c>
      <c r="BD54" s="320" t="s">
        <v>642</v>
      </c>
      <c r="BE54" s="320">
        <v>-9999</v>
      </c>
      <c r="BF54" s="320" t="s">
        <v>274</v>
      </c>
      <c r="BG54" s="320" t="s">
        <v>275</v>
      </c>
      <c r="BH54" s="320">
        <v>-9999</v>
      </c>
      <c r="BI54" s="320">
        <v>-9999</v>
      </c>
      <c r="BJ54" s="320">
        <v>-9999</v>
      </c>
      <c r="BK54" s="320">
        <v>-9999</v>
      </c>
      <c r="BL54" s="320">
        <v>7.4</v>
      </c>
      <c r="BM54" s="320">
        <v>-9999</v>
      </c>
      <c r="BN54" s="320">
        <v>4.9000000000000004</v>
      </c>
      <c r="BO54" s="320">
        <v>-9999</v>
      </c>
      <c r="BP54" s="320">
        <v>-9999</v>
      </c>
      <c r="BQ54" s="320">
        <v>-9999</v>
      </c>
      <c r="BR54" s="320">
        <v>-9999</v>
      </c>
      <c r="BS54" s="320">
        <v>-9999</v>
      </c>
      <c r="BT54" s="320">
        <v>-9999</v>
      </c>
      <c r="BU54" s="320">
        <v>-9999</v>
      </c>
      <c r="BV54" s="320">
        <v>-9999</v>
      </c>
      <c r="BX54" s="320">
        <v>-9999</v>
      </c>
      <c r="BY54" s="320">
        <v>-9999</v>
      </c>
      <c r="BZ54" s="320">
        <v>-9999</v>
      </c>
      <c r="CA54" s="320">
        <v>15</v>
      </c>
      <c r="CC54" s="320">
        <v>1</v>
      </c>
      <c r="CD54" s="320">
        <v>4</v>
      </c>
      <c r="CE54" s="731">
        <v>10.525</v>
      </c>
      <c r="CF54" s="731">
        <v>15</v>
      </c>
      <c r="CG54" s="320">
        <v>4</v>
      </c>
      <c r="CH54" s="301" t="s">
        <v>2119</v>
      </c>
      <c r="CI54" s="322" t="s">
        <v>2124</v>
      </c>
      <c r="CJ54" s="320" t="s">
        <v>878</v>
      </c>
      <c r="CK54" s="57" t="s">
        <v>1299</v>
      </c>
      <c r="CL54" s="57" t="s">
        <v>383</v>
      </c>
      <c r="CM54" s="268">
        <v>40.049999999999997</v>
      </c>
      <c r="CN54" s="268">
        <v>78.016999999999996</v>
      </c>
    </row>
    <row r="55" spans="1:92" s="320" customFormat="1" x14ac:dyDescent="0.2">
      <c r="A55" s="320" t="s">
        <v>1424</v>
      </c>
      <c r="B55" s="320" t="s">
        <v>42</v>
      </c>
      <c r="C55" s="320" t="s">
        <v>54</v>
      </c>
      <c r="D55" s="320" t="s">
        <v>619</v>
      </c>
      <c r="E55" s="320" t="s">
        <v>1503</v>
      </c>
      <c r="F55" s="320">
        <v>2</v>
      </c>
      <c r="G55" s="320">
        <v>3</v>
      </c>
      <c r="H55" s="320">
        <v>3</v>
      </c>
      <c r="I55" s="320" t="s">
        <v>954</v>
      </c>
      <c r="J55" s="320" t="s">
        <v>48</v>
      </c>
      <c r="K55" s="320" t="s">
        <v>957</v>
      </c>
      <c r="L55" s="320" t="s">
        <v>929</v>
      </c>
      <c r="M55" s="731">
        <v>30.8</v>
      </c>
      <c r="N55" s="731">
        <v>-9999</v>
      </c>
      <c r="P55" s="731">
        <v>30.8</v>
      </c>
      <c r="Q55" s="731">
        <v>-9999</v>
      </c>
      <c r="R55" s="731"/>
      <c r="S55" s="731"/>
      <c r="T55" s="731">
        <v>10.266666666666667</v>
      </c>
      <c r="U55" s="731">
        <v>-9999</v>
      </c>
      <c r="V55" s="731"/>
      <c r="W55" s="731">
        <v>11.8</v>
      </c>
      <c r="X55" s="731">
        <v>-9999</v>
      </c>
      <c r="Y55" s="731"/>
      <c r="Z55" s="320" t="s">
        <v>1704</v>
      </c>
      <c r="AA55" s="320">
        <v>20833</v>
      </c>
      <c r="AB55" s="731">
        <v>0.82</v>
      </c>
      <c r="AC55" s="320">
        <v>1.2</v>
      </c>
      <c r="AD55" s="320">
        <v>125</v>
      </c>
      <c r="AE55" s="320" t="s">
        <v>168</v>
      </c>
      <c r="AF55" s="320">
        <v>6</v>
      </c>
      <c r="AG55" s="320" t="s">
        <v>776</v>
      </c>
      <c r="AH55" s="320" t="s">
        <v>623</v>
      </c>
      <c r="AI55" s="320">
        <v>-9999</v>
      </c>
      <c r="AJ55" s="320">
        <v>-9999</v>
      </c>
      <c r="AK55" s="320" t="s">
        <v>626</v>
      </c>
      <c r="AL55" s="320" t="s">
        <v>272</v>
      </c>
      <c r="AM55" s="320">
        <v>-9999</v>
      </c>
      <c r="AN55" s="320" t="s">
        <v>777</v>
      </c>
      <c r="AO55" s="320">
        <v>-9999</v>
      </c>
      <c r="AP55" s="320">
        <v>-9999</v>
      </c>
      <c r="AQ55" s="320" t="s">
        <v>777</v>
      </c>
      <c r="AR55" s="730">
        <v>0</v>
      </c>
      <c r="AS55" s="320">
        <v>-9999</v>
      </c>
      <c r="AT55" s="320">
        <v>-9999</v>
      </c>
      <c r="AU55" s="730">
        <v>0</v>
      </c>
      <c r="AV55" s="320">
        <v>-9999</v>
      </c>
      <c r="AW55" s="320">
        <v>-9999</v>
      </c>
      <c r="AX55" s="730">
        <v>0</v>
      </c>
      <c r="AY55" s="320">
        <v>-9999</v>
      </c>
      <c r="AZ55" s="320">
        <v>-9999</v>
      </c>
      <c r="BA55" s="320">
        <v>-9999</v>
      </c>
      <c r="BB55" s="320" t="s">
        <v>626</v>
      </c>
      <c r="BC55" s="320" t="s">
        <v>273</v>
      </c>
      <c r="BD55" s="320" t="s">
        <v>642</v>
      </c>
      <c r="BE55" s="320">
        <v>-9999</v>
      </c>
      <c r="BF55" s="320" t="s">
        <v>274</v>
      </c>
      <c r="BG55" s="320" t="s">
        <v>275</v>
      </c>
      <c r="BH55" s="320">
        <v>-9999</v>
      </c>
      <c r="BI55" s="320">
        <v>-9999</v>
      </c>
      <c r="BJ55" s="320">
        <v>-9999</v>
      </c>
      <c r="BK55" s="320">
        <v>-9999</v>
      </c>
      <c r="BL55" s="320">
        <v>6.3</v>
      </c>
      <c r="BM55" s="320">
        <v>-9999</v>
      </c>
      <c r="BN55" s="320">
        <v>3.9</v>
      </c>
      <c r="BO55" s="320">
        <v>-9999</v>
      </c>
      <c r="BP55" s="320">
        <v>-9999</v>
      </c>
      <c r="BQ55" s="320">
        <v>-9999</v>
      </c>
      <c r="BR55" s="320">
        <v>-9999</v>
      </c>
      <c r="BS55" s="320">
        <v>-9999</v>
      </c>
      <c r="BT55" s="320">
        <v>-9999</v>
      </c>
      <c r="BU55" s="320">
        <v>-9999</v>
      </c>
      <c r="BV55" s="320">
        <v>-9999</v>
      </c>
      <c r="BX55" s="320">
        <v>-9999</v>
      </c>
      <c r="BY55" s="320">
        <v>-9999</v>
      </c>
      <c r="BZ55" s="320">
        <v>-9999</v>
      </c>
      <c r="CA55" s="320">
        <v>15</v>
      </c>
      <c r="CC55" s="320">
        <v>2</v>
      </c>
      <c r="CD55" s="320">
        <v>3</v>
      </c>
      <c r="CE55" s="731">
        <v>10.266666666666667</v>
      </c>
      <c r="CF55" s="731">
        <v>11.8</v>
      </c>
      <c r="CG55" s="320">
        <v>3</v>
      </c>
      <c r="CH55" s="301" t="s">
        <v>2118</v>
      </c>
      <c r="CI55" s="322" t="s">
        <v>2124</v>
      </c>
      <c r="CJ55" s="320" t="s">
        <v>878</v>
      </c>
      <c r="CK55" s="57" t="s">
        <v>1299</v>
      </c>
      <c r="CL55" s="57" t="s">
        <v>383</v>
      </c>
      <c r="CM55" s="268">
        <v>40.049999999999997</v>
      </c>
      <c r="CN55" s="268">
        <v>78.016999999999996</v>
      </c>
    </row>
    <row r="56" spans="1:92" s="320" customFormat="1" x14ac:dyDescent="0.2">
      <c r="A56" s="320" t="s">
        <v>1424</v>
      </c>
      <c r="B56" s="320" t="s">
        <v>42</v>
      </c>
      <c r="C56" s="320" t="s">
        <v>56</v>
      </c>
      <c r="D56" s="320" t="s">
        <v>619</v>
      </c>
      <c r="E56" s="320" t="s">
        <v>1503</v>
      </c>
      <c r="F56" s="320">
        <v>2</v>
      </c>
      <c r="G56" s="320">
        <v>3</v>
      </c>
      <c r="H56" s="320">
        <v>3</v>
      </c>
      <c r="I56" s="320" t="s">
        <v>954</v>
      </c>
      <c r="J56" s="320" t="s">
        <v>48</v>
      </c>
      <c r="K56" s="320" t="s">
        <v>957</v>
      </c>
      <c r="L56" s="320" t="s">
        <v>929</v>
      </c>
      <c r="M56" s="731">
        <v>29.9</v>
      </c>
      <c r="N56" s="731">
        <v>-9999</v>
      </c>
      <c r="P56" s="731">
        <v>29.9</v>
      </c>
      <c r="Q56" s="731">
        <v>-9999</v>
      </c>
      <c r="R56" s="731"/>
      <c r="S56" s="731"/>
      <c r="T56" s="731">
        <v>9.9666666666666668</v>
      </c>
      <c r="U56" s="731">
        <v>-9999</v>
      </c>
      <c r="V56" s="731"/>
      <c r="W56" s="731">
        <v>11.399999999999999</v>
      </c>
      <c r="X56" s="731">
        <v>-9999</v>
      </c>
      <c r="Y56" s="731"/>
      <c r="Z56" s="320" t="s">
        <v>1704</v>
      </c>
      <c r="AA56" s="320">
        <v>20833</v>
      </c>
      <c r="AB56" s="731">
        <v>0.79</v>
      </c>
      <c r="AC56" s="320">
        <v>1.2</v>
      </c>
      <c r="AD56" s="320">
        <v>125</v>
      </c>
      <c r="AE56" s="320" t="s">
        <v>168</v>
      </c>
      <c r="AF56" s="320">
        <v>6</v>
      </c>
      <c r="AG56" s="320" t="s">
        <v>776</v>
      </c>
      <c r="AH56" s="320" t="s">
        <v>623</v>
      </c>
      <c r="AI56" s="320">
        <v>-9999</v>
      </c>
      <c r="AJ56" s="320">
        <v>-9999</v>
      </c>
      <c r="AK56" s="320" t="s">
        <v>626</v>
      </c>
      <c r="AL56" s="320" t="s">
        <v>272</v>
      </c>
      <c r="AM56" s="320">
        <v>-9999</v>
      </c>
      <c r="AN56" s="320" t="s">
        <v>779</v>
      </c>
      <c r="AO56" s="320" t="s">
        <v>51</v>
      </c>
      <c r="AP56" s="320" t="s">
        <v>52</v>
      </c>
      <c r="AQ56" s="320" t="s">
        <v>777</v>
      </c>
      <c r="AR56" s="730">
        <v>0</v>
      </c>
      <c r="AS56" s="320">
        <v>-9999</v>
      </c>
      <c r="AT56" s="320">
        <v>-9999</v>
      </c>
      <c r="AU56" s="730">
        <v>0</v>
      </c>
      <c r="AV56" s="320">
        <v>-9999</v>
      </c>
      <c r="AW56" s="320">
        <v>-9999</v>
      </c>
      <c r="AX56" s="730">
        <v>0</v>
      </c>
      <c r="AY56" s="320">
        <v>-9999</v>
      </c>
      <c r="AZ56" s="320">
        <v>-9999</v>
      </c>
      <c r="BA56" s="320">
        <v>-9999</v>
      </c>
      <c r="BB56" s="320" t="s">
        <v>626</v>
      </c>
      <c r="BC56" s="320" t="s">
        <v>273</v>
      </c>
      <c r="BD56" s="320" t="s">
        <v>642</v>
      </c>
      <c r="BE56" s="320">
        <v>-9999</v>
      </c>
      <c r="BF56" s="320" t="s">
        <v>274</v>
      </c>
      <c r="BG56" s="320" t="s">
        <v>275</v>
      </c>
      <c r="BH56" s="320">
        <v>-9999</v>
      </c>
      <c r="BI56" s="320">
        <v>-9999</v>
      </c>
      <c r="BJ56" s="320">
        <v>-9999</v>
      </c>
      <c r="BK56" s="320">
        <v>-9999</v>
      </c>
      <c r="BL56" s="320">
        <v>6.2</v>
      </c>
      <c r="BM56" s="320">
        <v>-9999</v>
      </c>
      <c r="BN56" s="320">
        <v>3.9</v>
      </c>
      <c r="BO56" s="320">
        <v>-9999</v>
      </c>
      <c r="BP56" s="320">
        <v>-9999</v>
      </c>
      <c r="BQ56" s="320">
        <v>-9999</v>
      </c>
      <c r="BR56" s="320">
        <v>-9999</v>
      </c>
      <c r="BS56" s="320">
        <v>-9999</v>
      </c>
      <c r="BT56" s="320">
        <v>-9999</v>
      </c>
      <c r="BU56" s="320">
        <v>-9999</v>
      </c>
      <c r="BV56" s="320">
        <v>-9999</v>
      </c>
      <c r="BX56" s="320">
        <v>-9999</v>
      </c>
      <c r="BY56" s="320">
        <v>-9999</v>
      </c>
      <c r="BZ56" s="320">
        <v>-9999</v>
      </c>
      <c r="CA56" s="320">
        <v>15</v>
      </c>
      <c r="CC56" s="320">
        <v>2</v>
      </c>
      <c r="CD56" s="320">
        <v>3</v>
      </c>
      <c r="CE56" s="731">
        <v>9.9666666666666668</v>
      </c>
      <c r="CF56" s="731">
        <v>11.399999999999999</v>
      </c>
      <c r="CG56" s="320">
        <v>3</v>
      </c>
      <c r="CH56" s="301" t="s">
        <v>2118</v>
      </c>
      <c r="CI56" s="322" t="s">
        <v>2124</v>
      </c>
      <c r="CJ56" s="320" t="s">
        <v>878</v>
      </c>
      <c r="CK56" s="57" t="s">
        <v>1299</v>
      </c>
      <c r="CL56" s="57" t="s">
        <v>383</v>
      </c>
      <c r="CM56" s="268">
        <v>40.049999999999997</v>
      </c>
      <c r="CN56" s="268">
        <v>78.016999999999996</v>
      </c>
    </row>
    <row r="57" spans="1:92" s="320" customFormat="1" x14ac:dyDescent="0.2">
      <c r="A57" s="320" t="s">
        <v>1424</v>
      </c>
      <c r="B57" s="320" t="s">
        <v>42</v>
      </c>
      <c r="C57" s="320" t="s">
        <v>55</v>
      </c>
      <c r="D57" s="320" t="s">
        <v>619</v>
      </c>
      <c r="E57" s="320" t="s">
        <v>1503</v>
      </c>
      <c r="F57" s="320">
        <v>2</v>
      </c>
      <c r="G57" s="320">
        <v>3</v>
      </c>
      <c r="H57" s="320">
        <v>3</v>
      </c>
      <c r="I57" s="320" t="s">
        <v>954</v>
      </c>
      <c r="J57" s="320" t="s">
        <v>48</v>
      </c>
      <c r="K57" s="320" t="s">
        <v>957</v>
      </c>
      <c r="L57" s="320" t="s">
        <v>929</v>
      </c>
      <c r="M57" s="731">
        <v>38.799999999999997</v>
      </c>
      <c r="N57" s="731">
        <v>-9999</v>
      </c>
      <c r="P57" s="731">
        <v>38.799999999999997</v>
      </c>
      <c r="Q57" s="731">
        <v>-9999</v>
      </c>
      <c r="R57" s="731"/>
      <c r="S57" s="731"/>
      <c r="T57" s="731">
        <v>12.933333333333332</v>
      </c>
      <c r="U57" s="731">
        <v>-9999</v>
      </c>
      <c r="V57" s="731"/>
      <c r="W57" s="731">
        <v>19.799999999999997</v>
      </c>
      <c r="X57" s="731">
        <v>-9999</v>
      </c>
      <c r="Y57" s="731"/>
      <c r="Z57" s="320" t="s">
        <v>1704</v>
      </c>
      <c r="AA57" s="320">
        <v>20833</v>
      </c>
      <c r="AB57" s="731">
        <v>0.51</v>
      </c>
      <c r="AC57" s="320">
        <v>1.2</v>
      </c>
      <c r="AD57" s="320">
        <v>125</v>
      </c>
      <c r="AE57" s="320" t="s">
        <v>168</v>
      </c>
      <c r="AF57" s="320">
        <v>6</v>
      </c>
      <c r="AG57" s="320" t="s">
        <v>776</v>
      </c>
      <c r="AH57" s="320" t="s">
        <v>623</v>
      </c>
      <c r="AI57" s="320">
        <v>-9999</v>
      </c>
      <c r="AJ57" s="320">
        <v>-9999</v>
      </c>
      <c r="AK57" s="320" t="s">
        <v>626</v>
      </c>
      <c r="AL57" s="320" t="s">
        <v>272</v>
      </c>
      <c r="AM57" s="320">
        <v>-9999</v>
      </c>
      <c r="AN57" s="320" t="s">
        <v>777</v>
      </c>
      <c r="AO57" s="320">
        <v>-9999</v>
      </c>
      <c r="AP57" s="320">
        <v>-9999</v>
      </c>
      <c r="AQ57" s="320" t="s">
        <v>779</v>
      </c>
      <c r="AR57" s="730" t="s">
        <v>52</v>
      </c>
      <c r="AS57" s="320">
        <v>-9999</v>
      </c>
      <c r="AT57" s="320" t="s">
        <v>749</v>
      </c>
      <c r="AU57" s="730" t="s">
        <v>52</v>
      </c>
      <c r="AV57" s="320">
        <v>-9999</v>
      </c>
      <c r="AW57" s="320" t="s">
        <v>749</v>
      </c>
      <c r="AX57" s="730" t="s">
        <v>52</v>
      </c>
      <c r="AY57" s="320">
        <v>-9999</v>
      </c>
      <c r="AZ57" s="320" t="s">
        <v>749</v>
      </c>
      <c r="BA57" s="320">
        <v>-9999</v>
      </c>
      <c r="BB57" s="320" t="s">
        <v>626</v>
      </c>
      <c r="BC57" s="320" t="s">
        <v>273</v>
      </c>
      <c r="BD57" s="320" t="s">
        <v>642</v>
      </c>
      <c r="BE57" s="320">
        <v>-9999</v>
      </c>
      <c r="BF57" s="320" t="s">
        <v>274</v>
      </c>
      <c r="BG57" s="320" t="s">
        <v>275</v>
      </c>
      <c r="BH57" s="320">
        <v>-9999</v>
      </c>
      <c r="BI57" s="320">
        <v>-9999</v>
      </c>
      <c r="BJ57" s="320">
        <v>-9999</v>
      </c>
      <c r="BK57" s="320">
        <v>-9999</v>
      </c>
      <c r="BL57" s="320">
        <v>7.5</v>
      </c>
      <c r="BM57" s="320">
        <v>-9999</v>
      </c>
      <c r="BN57" s="320">
        <v>5.2</v>
      </c>
      <c r="BO57" s="320">
        <v>-9999</v>
      </c>
      <c r="BP57" s="320">
        <v>-9999</v>
      </c>
      <c r="BQ57" s="320">
        <v>-9999</v>
      </c>
      <c r="BR57" s="320">
        <v>-9999</v>
      </c>
      <c r="BS57" s="320">
        <v>-9999</v>
      </c>
      <c r="BT57" s="320">
        <v>-9999</v>
      </c>
      <c r="BU57" s="320">
        <v>-9999</v>
      </c>
      <c r="BV57" s="320">
        <v>-9999</v>
      </c>
      <c r="BX57" s="320">
        <v>-9999</v>
      </c>
      <c r="BY57" s="320">
        <v>-9999</v>
      </c>
      <c r="BZ57" s="320">
        <v>-9999</v>
      </c>
      <c r="CA57" s="320">
        <v>15</v>
      </c>
      <c r="CC57" s="320">
        <v>2</v>
      </c>
      <c r="CD57" s="320">
        <v>3</v>
      </c>
      <c r="CE57" s="731">
        <v>12.933333333333332</v>
      </c>
      <c r="CF57" s="731">
        <v>19.799999999999997</v>
      </c>
      <c r="CG57" s="320">
        <v>3</v>
      </c>
      <c r="CH57" s="301" t="s">
        <v>2118</v>
      </c>
      <c r="CI57" s="320" t="s">
        <v>2125</v>
      </c>
      <c r="CJ57" s="320" t="s">
        <v>878</v>
      </c>
      <c r="CK57" s="57" t="s">
        <v>1299</v>
      </c>
      <c r="CL57" s="57" t="s">
        <v>383</v>
      </c>
      <c r="CM57" s="268">
        <v>40.049999999999997</v>
      </c>
      <c r="CN57" s="268">
        <v>78.016999999999996</v>
      </c>
    </row>
    <row r="58" spans="1:92" s="320" customFormat="1" x14ac:dyDescent="0.2">
      <c r="A58" s="320" t="s">
        <v>1424</v>
      </c>
      <c r="B58" s="320" t="s">
        <v>42</v>
      </c>
      <c r="C58" s="320" t="s">
        <v>57</v>
      </c>
      <c r="D58" s="320" t="s">
        <v>619</v>
      </c>
      <c r="E58" s="320" t="s">
        <v>1503</v>
      </c>
      <c r="F58" s="320">
        <v>2</v>
      </c>
      <c r="G58" s="320">
        <v>3</v>
      </c>
      <c r="H58" s="320">
        <v>3</v>
      </c>
      <c r="I58" s="320" t="s">
        <v>954</v>
      </c>
      <c r="J58" s="320" t="s">
        <v>48</v>
      </c>
      <c r="K58" s="320" t="s">
        <v>957</v>
      </c>
      <c r="L58" s="320" t="s">
        <v>929</v>
      </c>
      <c r="M58" s="731">
        <v>34.200000000000003</v>
      </c>
      <c r="N58" s="731">
        <v>-9999</v>
      </c>
      <c r="P58" s="731">
        <v>34.200000000000003</v>
      </c>
      <c r="Q58" s="731">
        <v>-9999</v>
      </c>
      <c r="R58" s="731"/>
      <c r="S58" s="731"/>
      <c r="T58" s="731">
        <v>11.4</v>
      </c>
      <c r="U58" s="731">
        <v>-9999</v>
      </c>
      <c r="V58" s="731"/>
      <c r="W58" s="731">
        <v>12.600000000000001</v>
      </c>
      <c r="X58" s="731">
        <v>-9999</v>
      </c>
      <c r="Y58" s="731"/>
      <c r="Z58" s="320" t="s">
        <v>1704</v>
      </c>
      <c r="AA58" s="320">
        <v>20833</v>
      </c>
      <c r="AB58" s="731">
        <v>0.46</v>
      </c>
      <c r="AC58" s="320">
        <v>1.2</v>
      </c>
      <c r="AD58" s="320">
        <v>125</v>
      </c>
      <c r="AE58" s="320" t="s">
        <v>168</v>
      </c>
      <c r="AF58" s="320">
        <v>6</v>
      </c>
      <c r="AG58" s="320" t="s">
        <v>776</v>
      </c>
      <c r="AH58" s="320" t="s">
        <v>623</v>
      </c>
      <c r="AI58" s="320">
        <v>-9999</v>
      </c>
      <c r="AJ58" s="320">
        <v>-9999</v>
      </c>
      <c r="AK58" s="320" t="s">
        <v>626</v>
      </c>
      <c r="AL58" s="320" t="s">
        <v>272</v>
      </c>
      <c r="AM58" s="320">
        <v>-9999</v>
      </c>
      <c r="AN58" s="320" t="s">
        <v>779</v>
      </c>
      <c r="AO58" s="320" t="s">
        <v>51</v>
      </c>
      <c r="AP58" s="320" t="s">
        <v>52</v>
      </c>
      <c r="AQ58" s="320" t="s">
        <v>779</v>
      </c>
      <c r="AR58" s="730" t="s">
        <v>52</v>
      </c>
      <c r="AS58" s="320">
        <v>-9999</v>
      </c>
      <c r="AT58" s="320" t="s">
        <v>749</v>
      </c>
      <c r="AU58" s="730" t="s">
        <v>52</v>
      </c>
      <c r="AV58" s="320">
        <v>-9999</v>
      </c>
      <c r="AW58" s="320" t="s">
        <v>749</v>
      </c>
      <c r="AX58" s="730" t="s">
        <v>52</v>
      </c>
      <c r="AY58" s="320">
        <v>-9999</v>
      </c>
      <c r="AZ58" s="320" t="s">
        <v>749</v>
      </c>
      <c r="BA58" s="320">
        <v>-9999</v>
      </c>
      <c r="BB58" s="320" t="s">
        <v>626</v>
      </c>
      <c r="BC58" s="320" t="s">
        <v>273</v>
      </c>
      <c r="BD58" s="320" t="s">
        <v>642</v>
      </c>
      <c r="BE58" s="320">
        <v>-9999</v>
      </c>
      <c r="BF58" s="320" t="s">
        <v>274</v>
      </c>
      <c r="BG58" s="320" t="s">
        <v>275</v>
      </c>
      <c r="BH58" s="320">
        <v>-9999</v>
      </c>
      <c r="BI58" s="320">
        <v>-9999</v>
      </c>
      <c r="BJ58" s="320">
        <v>-9999</v>
      </c>
      <c r="BK58" s="320">
        <v>-9999</v>
      </c>
      <c r="BL58" s="320">
        <v>7.4</v>
      </c>
      <c r="BM58" s="320">
        <v>-9999</v>
      </c>
      <c r="BN58" s="320">
        <v>5.0999999999999996</v>
      </c>
      <c r="BO58" s="320">
        <v>-9999</v>
      </c>
      <c r="BP58" s="320">
        <v>-9999</v>
      </c>
      <c r="BQ58" s="320">
        <v>-9999</v>
      </c>
      <c r="BR58" s="320">
        <v>-9999</v>
      </c>
      <c r="BS58" s="320">
        <v>-9999</v>
      </c>
      <c r="BT58" s="320">
        <v>-9999</v>
      </c>
      <c r="BU58" s="320">
        <v>-9999</v>
      </c>
      <c r="BV58" s="320">
        <v>-9999</v>
      </c>
      <c r="BX58" s="320">
        <v>-9999</v>
      </c>
      <c r="BY58" s="320">
        <v>-9999</v>
      </c>
      <c r="BZ58" s="320">
        <v>-9999</v>
      </c>
      <c r="CA58" s="320">
        <v>15</v>
      </c>
      <c r="CC58" s="320">
        <v>2</v>
      </c>
      <c r="CD58" s="320">
        <v>3</v>
      </c>
      <c r="CE58" s="731">
        <v>11.4</v>
      </c>
      <c r="CF58" s="731">
        <v>12.600000000000001</v>
      </c>
      <c r="CG58" s="320">
        <v>3</v>
      </c>
      <c r="CH58" s="301" t="s">
        <v>2118</v>
      </c>
      <c r="CI58" s="320" t="s">
        <v>2125</v>
      </c>
      <c r="CJ58" s="320" t="s">
        <v>878</v>
      </c>
      <c r="CK58" s="57" t="s">
        <v>1299</v>
      </c>
      <c r="CL58" s="57" t="s">
        <v>383</v>
      </c>
      <c r="CM58" s="268">
        <v>40.049999999999997</v>
      </c>
      <c r="CN58" s="268">
        <v>78.016999999999996</v>
      </c>
    </row>
    <row r="59" spans="1:92" s="320" customFormat="1" x14ac:dyDescent="0.2">
      <c r="A59" s="320" t="s">
        <v>1481</v>
      </c>
      <c r="M59" s="731"/>
      <c r="N59" s="731"/>
      <c r="P59" s="731"/>
      <c r="Q59" s="731"/>
      <c r="R59" s="731"/>
      <c r="S59" s="731"/>
      <c r="T59" s="731"/>
      <c r="U59" s="731"/>
      <c r="V59" s="731"/>
      <c r="W59" s="731"/>
      <c r="X59" s="731"/>
      <c r="Y59" s="731"/>
      <c r="AB59" s="731"/>
      <c r="AR59" s="730"/>
      <c r="AU59" s="730"/>
      <c r="AX59" s="730"/>
      <c r="CE59" s="731"/>
      <c r="CF59" s="731"/>
      <c r="CH59" s="322"/>
    </row>
    <row r="60" spans="1:92" s="320" customFormat="1" x14ac:dyDescent="0.2">
      <c r="A60" s="320" t="s">
        <v>780</v>
      </c>
      <c r="B60" s="320" t="s">
        <v>276</v>
      </c>
      <c r="C60" s="320" t="s">
        <v>1523</v>
      </c>
      <c r="D60" s="320" t="s">
        <v>619</v>
      </c>
      <c r="E60" s="320" t="s">
        <v>1449</v>
      </c>
      <c r="F60" s="320">
        <v>1</v>
      </c>
      <c r="G60" s="320">
        <v>4</v>
      </c>
      <c r="H60" s="320">
        <v>4</v>
      </c>
      <c r="I60" s="320" t="s">
        <v>58</v>
      </c>
      <c r="J60" s="320">
        <v>1970</v>
      </c>
      <c r="K60" s="320" t="s">
        <v>957</v>
      </c>
      <c r="L60" s="320">
        <v>1973</v>
      </c>
      <c r="M60" s="731">
        <v>54.4</v>
      </c>
      <c r="N60" s="731">
        <v>-9999</v>
      </c>
      <c r="P60" s="731">
        <v>54.4</v>
      </c>
      <c r="Q60" s="731">
        <v>-9999</v>
      </c>
      <c r="R60" s="731"/>
      <c r="S60" s="731"/>
      <c r="T60" s="731">
        <v>13.6</v>
      </c>
      <c r="U60" s="731">
        <v>-9999</v>
      </c>
      <c r="V60" s="731"/>
      <c r="W60" s="731">
        <v>17</v>
      </c>
      <c r="X60" s="731">
        <v>-9999</v>
      </c>
      <c r="Y60" s="731"/>
      <c r="Z60" s="320" t="s">
        <v>60</v>
      </c>
      <c r="AA60" s="320">
        <v>189036</v>
      </c>
      <c r="AB60" s="731">
        <v>0.79</v>
      </c>
      <c r="AC60" s="320">
        <v>-9999</v>
      </c>
      <c r="AD60" s="320">
        <v>25</v>
      </c>
      <c r="AE60" s="320" t="s">
        <v>278</v>
      </c>
      <c r="AF60" s="320">
        <v>3</v>
      </c>
      <c r="AH60" s="320" t="s">
        <v>623</v>
      </c>
      <c r="AI60" s="320" t="s">
        <v>61</v>
      </c>
      <c r="AJ60" s="320" t="s">
        <v>62</v>
      </c>
      <c r="AK60" s="320" t="s">
        <v>779</v>
      </c>
      <c r="AL60" s="320" t="s">
        <v>63</v>
      </c>
      <c r="AN60" s="320" t="s">
        <v>779</v>
      </c>
      <c r="AO60" s="320">
        <v>-9999</v>
      </c>
      <c r="AP60" s="320" t="s">
        <v>64</v>
      </c>
      <c r="AQ60" s="320" t="s">
        <v>779</v>
      </c>
      <c r="AR60" s="730" t="s">
        <v>1187</v>
      </c>
      <c r="AS60" s="320" t="s">
        <v>1101</v>
      </c>
      <c r="AT60" s="320" t="s">
        <v>751</v>
      </c>
      <c r="AU60" s="730">
        <v>852</v>
      </c>
      <c r="AV60" s="320">
        <v>-9999</v>
      </c>
      <c r="AW60" s="320" t="s">
        <v>686</v>
      </c>
      <c r="AX60" s="730">
        <v>1344</v>
      </c>
      <c r="AY60" s="320">
        <v>-9999</v>
      </c>
      <c r="AZ60" s="320" t="s">
        <v>322</v>
      </c>
      <c r="BA60" s="320" t="s">
        <v>750</v>
      </c>
      <c r="BB60" s="320" t="s">
        <v>779</v>
      </c>
      <c r="BC60" s="320" t="s">
        <v>279</v>
      </c>
      <c r="BD60" s="320">
        <v>-9999</v>
      </c>
      <c r="BE60" s="320">
        <v>-9999</v>
      </c>
      <c r="BF60" s="320">
        <v>-9999</v>
      </c>
      <c r="BG60" s="320">
        <v>-9999</v>
      </c>
      <c r="BH60" s="320">
        <v>-9999</v>
      </c>
      <c r="BI60" s="320" t="s">
        <v>752</v>
      </c>
      <c r="BJ60" s="320">
        <v>-9999</v>
      </c>
      <c r="BK60" s="320">
        <v>-9999</v>
      </c>
      <c r="BL60" s="320">
        <v>3.7</v>
      </c>
      <c r="BM60" s="320">
        <v>-9999</v>
      </c>
      <c r="BN60" s="320">
        <v>-9999</v>
      </c>
      <c r="BO60" s="320">
        <v>-9999</v>
      </c>
      <c r="BP60" s="320">
        <v>-9999</v>
      </c>
      <c r="BQ60" s="320">
        <v>-9999</v>
      </c>
      <c r="BR60" s="320">
        <v>25</v>
      </c>
      <c r="BS60" s="320">
        <v>-9999</v>
      </c>
      <c r="BT60" s="320">
        <v>-9999</v>
      </c>
      <c r="BU60" s="320">
        <v>-9999</v>
      </c>
      <c r="BV60" s="320">
        <v>-9999</v>
      </c>
      <c r="BX60" s="320">
        <v>-9999</v>
      </c>
      <c r="BY60" s="320">
        <v>-9999</v>
      </c>
      <c r="BZ60" s="320">
        <v>-9999</v>
      </c>
      <c r="CA60" s="320">
        <v>2.54</v>
      </c>
      <c r="CC60" s="320">
        <v>1</v>
      </c>
      <c r="CD60" s="320">
        <v>4</v>
      </c>
      <c r="CE60" s="731">
        <v>13.6</v>
      </c>
      <c r="CF60" s="731">
        <v>17</v>
      </c>
      <c r="CG60" s="320">
        <v>4</v>
      </c>
      <c r="CH60" s="301" t="s">
        <v>2121</v>
      </c>
      <c r="CI60" s="320" t="s">
        <v>2125</v>
      </c>
      <c r="CJ60" s="320" t="s">
        <v>878</v>
      </c>
      <c r="CK60" s="25" t="s">
        <v>384</v>
      </c>
      <c r="CL60" s="25" t="s">
        <v>385</v>
      </c>
      <c r="CM60" s="267">
        <v>45.633000000000003</v>
      </c>
      <c r="CN60" s="267">
        <v>89.617000000000004</v>
      </c>
    </row>
    <row r="61" spans="1:92" s="320" customFormat="1" x14ac:dyDescent="0.2">
      <c r="A61" s="320" t="s">
        <v>780</v>
      </c>
      <c r="B61" s="320" t="s">
        <v>276</v>
      </c>
      <c r="C61" s="320" t="s">
        <v>277</v>
      </c>
      <c r="D61" s="320" t="s">
        <v>619</v>
      </c>
      <c r="E61" s="320" t="s">
        <v>1449</v>
      </c>
      <c r="F61" s="320">
        <v>1</v>
      </c>
      <c r="G61" s="320">
        <v>4</v>
      </c>
      <c r="H61" s="320">
        <v>4</v>
      </c>
      <c r="I61" s="320" t="s">
        <v>58</v>
      </c>
      <c r="J61" s="320">
        <v>1970</v>
      </c>
      <c r="K61" s="320" t="s">
        <v>957</v>
      </c>
      <c r="L61" s="320">
        <v>1973</v>
      </c>
      <c r="M61" s="731">
        <v>60.8</v>
      </c>
      <c r="N61" s="731">
        <v>-9999</v>
      </c>
      <c r="P61" s="731">
        <v>60.8</v>
      </c>
      <c r="Q61" s="731">
        <v>-9999</v>
      </c>
      <c r="R61" s="731"/>
      <c r="S61" s="731"/>
      <c r="T61" s="731">
        <v>15.2</v>
      </c>
      <c r="U61" s="731">
        <v>-9999</v>
      </c>
      <c r="V61" s="731"/>
      <c r="W61" s="731">
        <v>27.5</v>
      </c>
      <c r="X61" s="731">
        <v>-9999</v>
      </c>
      <c r="Y61" s="731"/>
      <c r="Z61" s="320" t="s">
        <v>65</v>
      </c>
      <c r="AA61" s="320">
        <v>111111</v>
      </c>
      <c r="AB61" s="731">
        <v>0.88</v>
      </c>
      <c r="AC61" s="320">
        <v>-9999</v>
      </c>
      <c r="AD61" s="320">
        <v>27</v>
      </c>
      <c r="AE61" s="320" t="s">
        <v>281</v>
      </c>
      <c r="AF61" s="320">
        <v>3</v>
      </c>
      <c r="AH61" s="320" t="s">
        <v>623</v>
      </c>
      <c r="AI61" s="320" t="s">
        <v>61</v>
      </c>
      <c r="AJ61" s="320" t="s">
        <v>62</v>
      </c>
      <c r="AK61" s="320" t="s">
        <v>779</v>
      </c>
      <c r="AL61" s="320" t="s">
        <v>63</v>
      </c>
      <c r="AN61" s="320" t="s">
        <v>779</v>
      </c>
      <c r="AO61" s="320">
        <v>-9999</v>
      </c>
      <c r="AP61" s="320" t="s">
        <v>64</v>
      </c>
      <c r="AQ61" s="320" t="s">
        <v>779</v>
      </c>
      <c r="AR61" s="730" t="s">
        <v>1187</v>
      </c>
      <c r="AS61" s="320" t="s">
        <v>1101</v>
      </c>
      <c r="AT61" s="320" t="s">
        <v>751</v>
      </c>
      <c r="AU61" s="730">
        <v>852</v>
      </c>
      <c r="AV61" s="320">
        <v>-9999</v>
      </c>
      <c r="AW61" s="320" t="s">
        <v>686</v>
      </c>
      <c r="AX61" s="730">
        <v>1344</v>
      </c>
      <c r="AY61" s="320">
        <v>-9999</v>
      </c>
      <c r="AZ61" s="320" t="s">
        <v>322</v>
      </c>
      <c r="BA61" s="320" t="s">
        <v>750</v>
      </c>
      <c r="BB61" s="320" t="s">
        <v>779</v>
      </c>
      <c r="BC61" s="320" t="s">
        <v>279</v>
      </c>
      <c r="BD61" s="320">
        <v>-9999</v>
      </c>
      <c r="BE61" s="320">
        <v>-9999</v>
      </c>
      <c r="BF61" s="320">
        <v>-9999</v>
      </c>
      <c r="BG61" s="320">
        <v>-9999</v>
      </c>
      <c r="BH61" s="320">
        <v>-9999</v>
      </c>
      <c r="BI61" s="320" t="s">
        <v>752</v>
      </c>
      <c r="BJ61" s="320">
        <v>-9999</v>
      </c>
      <c r="BK61" s="320">
        <v>-9999</v>
      </c>
      <c r="BL61" s="320">
        <v>4.3</v>
      </c>
      <c r="BM61" s="320">
        <v>-9999</v>
      </c>
      <c r="BN61" s="320">
        <v>-9999</v>
      </c>
      <c r="BO61" s="320">
        <v>-9999</v>
      </c>
      <c r="BP61" s="320">
        <v>-9999</v>
      </c>
      <c r="BQ61" s="320">
        <v>-9999</v>
      </c>
      <c r="BR61" s="320">
        <v>33</v>
      </c>
      <c r="BS61" s="320">
        <v>-9999</v>
      </c>
      <c r="BT61" s="320">
        <v>-9999</v>
      </c>
      <c r="BU61" s="320">
        <v>-9999</v>
      </c>
      <c r="BV61" s="320">
        <v>-9999</v>
      </c>
      <c r="BX61" s="320">
        <v>-9999</v>
      </c>
      <c r="BY61" s="320">
        <v>-9999</v>
      </c>
      <c r="BZ61" s="320">
        <v>-9999</v>
      </c>
      <c r="CA61" s="320">
        <v>2.54</v>
      </c>
      <c r="CC61" s="320">
        <v>1</v>
      </c>
      <c r="CD61" s="320">
        <v>4</v>
      </c>
      <c r="CE61" s="731">
        <v>15.2</v>
      </c>
      <c r="CF61" s="731">
        <v>27.5</v>
      </c>
      <c r="CG61" s="320">
        <v>4</v>
      </c>
      <c r="CH61" s="301" t="s">
        <v>2121</v>
      </c>
      <c r="CI61" s="301" t="s">
        <v>2126</v>
      </c>
      <c r="CJ61" s="320" t="s">
        <v>878</v>
      </c>
      <c r="CK61" s="25" t="s">
        <v>384</v>
      </c>
      <c r="CL61" s="25" t="s">
        <v>385</v>
      </c>
      <c r="CM61" s="267">
        <v>45.633000000000003</v>
      </c>
      <c r="CN61" s="267">
        <v>89.617000000000004</v>
      </c>
    </row>
    <row r="62" spans="1:92" s="320" customFormat="1" x14ac:dyDescent="0.2">
      <c r="A62" s="320" t="s">
        <v>1838</v>
      </c>
      <c r="B62" s="320" t="s">
        <v>282</v>
      </c>
      <c r="C62" s="320" t="s">
        <v>903</v>
      </c>
      <c r="D62" s="320" t="s">
        <v>619</v>
      </c>
      <c r="E62" s="320" t="s">
        <v>1525</v>
      </c>
      <c r="F62" s="320">
        <v>1</v>
      </c>
      <c r="G62" s="320">
        <v>6</v>
      </c>
      <c r="H62" s="320">
        <v>6</v>
      </c>
      <c r="I62" s="320" t="s">
        <v>954</v>
      </c>
      <c r="J62" s="320">
        <v>1981</v>
      </c>
      <c r="K62" s="320" t="s">
        <v>957</v>
      </c>
      <c r="L62" s="320">
        <v>1986</v>
      </c>
      <c r="M62" s="731">
        <v>-9999</v>
      </c>
      <c r="N62" s="731">
        <v>-9999</v>
      </c>
      <c r="P62" s="731">
        <v>64.2</v>
      </c>
      <c r="Q62" s="731">
        <v>-9999</v>
      </c>
      <c r="R62" s="731"/>
      <c r="S62" s="731"/>
      <c r="T62" s="731">
        <v>10.700000000000001</v>
      </c>
      <c r="U62" s="731">
        <v>-9999</v>
      </c>
      <c r="V62" s="731"/>
      <c r="W62" s="731">
        <v>13.600000000000001</v>
      </c>
      <c r="X62" s="731">
        <v>-9999</v>
      </c>
      <c r="Y62" s="731"/>
      <c r="Z62" s="320" t="s">
        <v>1839</v>
      </c>
      <c r="AA62" s="320">
        <v>10000</v>
      </c>
      <c r="AB62" s="731">
        <v>0.3599971200230398</v>
      </c>
      <c r="AC62" s="320">
        <v>0.1</v>
      </c>
      <c r="AD62" s="320">
        <v>22.7</v>
      </c>
      <c r="AE62" s="320" t="s">
        <v>284</v>
      </c>
      <c r="AF62" s="320">
        <v>2</v>
      </c>
      <c r="AG62" s="320">
        <v>-9999</v>
      </c>
      <c r="AH62" s="320" t="s">
        <v>623</v>
      </c>
      <c r="AI62" s="320">
        <v>-9999</v>
      </c>
      <c r="AJ62" s="320">
        <v>-9999</v>
      </c>
      <c r="AK62" s="320">
        <v>-9999</v>
      </c>
      <c r="AL62" s="320">
        <v>-9999</v>
      </c>
      <c r="AM62" s="320">
        <v>-9999</v>
      </c>
      <c r="AN62" s="320" t="s">
        <v>626</v>
      </c>
      <c r="AO62" s="320">
        <v>-9999</v>
      </c>
      <c r="AP62" s="320" t="s">
        <v>285</v>
      </c>
      <c r="AQ62" s="320" t="s">
        <v>626</v>
      </c>
      <c r="AR62" s="730">
        <v>660</v>
      </c>
      <c r="AS62" s="320">
        <v>-9999</v>
      </c>
      <c r="AT62" s="320" t="s">
        <v>286</v>
      </c>
      <c r="AU62" s="730">
        <v>0</v>
      </c>
      <c r="AV62" s="320">
        <v>-9999</v>
      </c>
      <c r="AW62" s="320">
        <v>-9999</v>
      </c>
      <c r="AX62" s="730">
        <v>0</v>
      </c>
      <c r="AY62" s="320">
        <v>-9999</v>
      </c>
      <c r="BA62" s="320">
        <v>-9999</v>
      </c>
      <c r="BB62" s="320" t="s">
        <v>631</v>
      </c>
      <c r="BC62" s="320">
        <v>-9999</v>
      </c>
      <c r="BD62" s="320">
        <v>-9999</v>
      </c>
      <c r="BE62" s="320">
        <v>-9999</v>
      </c>
      <c r="BF62" s="320" t="s">
        <v>753</v>
      </c>
      <c r="BG62" s="320">
        <v>-9999</v>
      </c>
      <c r="BH62" s="320">
        <v>-9999</v>
      </c>
      <c r="BI62" s="320">
        <v>-9999</v>
      </c>
      <c r="BJ62" s="320">
        <v>-9999</v>
      </c>
      <c r="BK62" s="320">
        <v>-9999</v>
      </c>
      <c r="BL62" s="320">
        <v>-9999</v>
      </c>
      <c r="BM62" s="320">
        <v>-9999</v>
      </c>
      <c r="BN62" s="320">
        <v>-9999</v>
      </c>
      <c r="BO62" s="320">
        <v>-9999</v>
      </c>
      <c r="BP62" s="320">
        <v>-9999</v>
      </c>
      <c r="BQ62" s="320">
        <v>-9999</v>
      </c>
      <c r="BR62" s="320">
        <v>-9999</v>
      </c>
      <c r="BS62" s="320">
        <v>-9999</v>
      </c>
      <c r="BT62" s="320">
        <v>-9999</v>
      </c>
      <c r="BU62" s="320">
        <v>-9999</v>
      </c>
      <c r="BV62" s="320">
        <v>-9999</v>
      </c>
      <c r="BX62" s="320">
        <v>-9999</v>
      </c>
      <c r="BY62" s="320">
        <v>-9999</v>
      </c>
      <c r="BZ62" s="320">
        <v>-9999</v>
      </c>
      <c r="CA62" s="320">
        <v>-9999</v>
      </c>
      <c r="CC62" s="320">
        <v>1</v>
      </c>
      <c r="CD62" s="320">
        <v>6</v>
      </c>
      <c r="CE62" s="731">
        <v>10.700000000000001</v>
      </c>
      <c r="CF62" s="731">
        <v>13.600000000000001</v>
      </c>
      <c r="CG62" s="320">
        <v>6</v>
      </c>
      <c r="CH62" s="301" t="s">
        <v>2118</v>
      </c>
      <c r="CI62" s="322" t="s">
        <v>2124</v>
      </c>
      <c r="CJ62" s="320" t="s">
        <v>878</v>
      </c>
      <c r="CK62" s="32" t="s">
        <v>384</v>
      </c>
      <c r="CL62" s="32" t="s">
        <v>385</v>
      </c>
      <c r="CM62" s="267">
        <v>45.633000000000003</v>
      </c>
      <c r="CN62" s="267">
        <v>89.617000000000004</v>
      </c>
    </row>
    <row r="63" spans="1:92" s="320" customFormat="1" x14ac:dyDescent="0.2">
      <c r="A63" s="320" t="s">
        <v>1838</v>
      </c>
      <c r="B63" s="320" t="s">
        <v>282</v>
      </c>
      <c r="C63" s="320" t="s">
        <v>904</v>
      </c>
      <c r="D63" s="320" t="s">
        <v>619</v>
      </c>
      <c r="E63" s="320" t="s">
        <v>1525</v>
      </c>
      <c r="F63" s="320">
        <v>2</v>
      </c>
      <c r="G63" s="320">
        <v>5</v>
      </c>
      <c r="H63" s="320">
        <v>8</v>
      </c>
      <c r="I63" s="320" t="s">
        <v>954</v>
      </c>
      <c r="J63" s="320">
        <v>1978</v>
      </c>
      <c r="K63" s="320" t="s">
        <v>957</v>
      </c>
      <c r="L63" s="320">
        <v>1985</v>
      </c>
      <c r="M63" s="731">
        <v>-9999</v>
      </c>
      <c r="N63" s="731">
        <v>-9999</v>
      </c>
      <c r="P63" s="731">
        <v>57.9</v>
      </c>
      <c r="Q63" s="731">
        <v>-9999</v>
      </c>
      <c r="R63" s="731"/>
      <c r="S63" s="731"/>
      <c r="T63" s="731">
        <v>11.58</v>
      </c>
      <c r="U63" s="731">
        <v>-9999</v>
      </c>
      <c r="V63" s="731"/>
      <c r="W63" s="731">
        <v>24.199999999999996</v>
      </c>
      <c r="X63" s="731">
        <v>-9999</v>
      </c>
      <c r="Y63" s="731"/>
      <c r="Z63" s="320" t="s">
        <v>1701</v>
      </c>
      <c r="AA63" s="320">
        <v>22600</v>
      </c>
      <c r="AB63" s="731">
        <v>0.18677685950413223</v>
      </c>
      <c r="AC63" s="320">
        <v>0.1</v>
      </c>
      <c r="AD63" s="320">
        <v>22.7</v>
      </c>
      <c r="AE63" s="320" t="s">
        <v>284</v>
      </c>
      <c r="AF63" s="320">
        <v>2</v>
      </c>
      <c r="AG63" s="320">
        <v>-9999</v>
      </c>
      <c r="AH63" s="320" t="s">
        <v>623</v>
      </c>
      <c r="AI63" s="320">
        <v>-9999</v>
      </c>
      <c r="AJ63" s="320">
        <v>-9999</v>
      </c>
      <c r="AK63" s="320">
        <v>-9999</v>
      </c>
      <c r="AL63" s="320">
        <v>-9999</v>
      </c>
      <c r="AM63" s="320">
        <v>-9999</v>
      </c>
      <c r="AN63" s="320" t="s">
        <v>626</v>
      </c>
      <c r="AO63" s="320">
        <v>-9999</v>
      </c>
      <c r="AP63" s="320" t="s">
        <v>285</v>
      </c>
      <c r="AQ63" s="320" t="s">
        <v>626</v>
      </c>
      <c r="AR63" s="730">
        <v>550</v>
      </c>
      <c r="AS63" s="320">
        <v>-9999</v>
      </c>
      <c r="AT63" s="320" t="s">
        <v>286</v>
      </c>
      <c r="AU63" s="730">
        <v>0</v>
      </c>
      <c r="AV63" s="320">
        <v>-9999</v>
      </c>
      <c r="AW63" s="320">
        <v>-9999</v>
      </c>
      <c r="AX63" s="730">
        <v>0</v>
      </c>
      <c r="AY63" s="320">
        <v>-9999</v>
      </c>
      <c r="BA63" s="320">
        <v>-9999</v>
      </c>
      <c r="BB63" s="320" t="s">
        <v>631</v>
      </c>
      <c r="BC63" s="320">
        <v>-9999</v>
      </c>
      <c r="BD63" s="320">
        <v>-9999</v>
      </c>
      <c r="BE63" s="320">
        <v>-9999</v>
      </c>
      <c r="BF63" s="320" t="s">
        <v>753</v>
      </c>
      <c r="BG63" s="320">
        <v>-9999</v>
      </c>
      <c r="BH63" s="320">
        <v>-9999</v>
      </c>
      <c r="BI63" s="320">
        <v>-9999</v>
      </c>
      <c r="BJ63" s="320">
        <v>-9999</v>
      </c>
      <c r="BK63" s="320">
        <v>-9999</v>
      </c>
      <c r="BL63" s="320">
        <v>-9999</v>
      </c>
      <c r="BM63" s="320">
        <v>-9999</v>
      </c>
      <c r="BN63" s="320">
        <v>4.8</v>
      </c>
      <c r="BO63" s="320">
        <v>-9999</v>
      </c>
      <c r="BP63" s="320">
        <v>-9999</v>
      </c>
      <c r="BQ63" s="320">
        <v>-9999</v>
      </c>
      <c r="BR63" s="320">
        <v>-9999</v>
      </c>
      <c r="BS63" s="320">
        <v>-9999</v>
      </c>
      <c r="BT63" s="320">
        <v>-9999</v>
      </c>
      <c r="BU63" s="320">
        <v>-9999</v>
      </c>
      <c r="BV63" s="320">
        <v>-9999</v>
      </c>
      <c r="BX63" s="320">
        <v>-9999</v>
      </c>
      <c r="BY63" s="320">
        <v>-9999</v>
      </c>
      <c r="BZ63" s="320">
        <v>-9999</v>
      </c>
      <c r="CA63" s="320">
        <v>-9999</v>
      </c>
      <c r="CC63" s="320">
        <v>2</v>
      </c>
      <c r="CD63" s="320">
        <v>5</v>
      </c>
      <c r="CE63" s="731">
        <v>11.58</v>
      </c>
      <c r="CF63" s="731">
        <v>24.199999999999996</v>
      </c>
      <c r="CG63" s="320">
        <v>8</v>
      </c>
      <c r="CH63" s="301" t="s">
        <v>2118</v>
      </c>
      <c r="CI63" s="322" t="s">
        <v>2124</v>
      </c>
      <c r="CJ63" s="320" t="s">
        <v>878</v>
      </c>
      <c r="CK63" s="32" t="s">
        <v>384</v>
      </c>
      <c r="CL63" s="32" t="s">
        <v>385</v>
      </c>
      <c r="CM63" s="267">
        <v>45.633000000000003</v>
      </c>
      <c r="CN63" s="267">
        <v>89.617000000000004</v>
      </c>
    </row>
    <row r="64" spans="1:92" s="320" customFormat="1" x14ac:dyDescent="0.2">
      <c r="A64" s="320" t="s">
        <v>785</v>
      </c>
      <c r="B64" s="320" t="s">
        <v>68</v>
      </c>
      <c r="C64" s="320" t="s">
        <v>1448</v>
      </c>
      <c r="D64" s="320" t="s">
        <v>619</v>
      </c>
      <c r="E64" s="320" t="s">
        <v>1450</v>
      </c>
      <c r="F64" s="320">
        <v>1</v>
      </c>
      <c r="G64" s="320">
        <v>5</v>
      </c>
      <c r="H64" s="320">
        <v>5</v>
      </c>
      <c r="I64" s="320" t="s">
        <v>954</v>
      </c>
      <c r="J64" s="320">
        <v>1973</v>
      </c>
      <c r="K64" s="320" t="s">
        <v>957</v>
      </c>
      <c r="L64" s="320">
        <v>1977</v>
      </c>
      <c r="M64" s="731">
        <v>-9999</v>
      </c>
      <c r="N64" s="731">
        <v>-9999</v>
      </c>
      <c r="P64" s="731">
        <v>49.5</v>
      </c>
      <c r="Q64" s="731">
        <v>-9999</v>
      </c>
      <c r="R64" s="731"/>
      <c r="S64" s="731"/>
      <c r="T64" s="731">
        <v>9.9</v>
      </c>
      <c r="U64" s="731">
        <v>-9999</v>
      </c>
      <c r="V64" s="731"/>
      <c r="W64" s="731">
        <v>13.5</v>
      </c>
      <c r="X64" s="731">
        <v>-9999</v>
      </c>
      <c r="Y64" s="731"/>
      <c r="Z64" s="320" t="s">
        <v>622</v>
      </c>
      <c r="AA64" s="320">
        <v>111111</v>
      </c>
      <c r="AB64" s="320">
        <v>-9999</v>
      </c>
      <c r="AC64" s="320">
        <v>-9999</v>
      </c>
      <c r="AD64" s="320">
        <v>40</v>
      </c>
      <c r="AE64" s="320" t="s">
        <v>1953</v>
      </c>
      <c r="AF64" s="320">
        <v>1</v>
      </c>
      <c r="AG64" s="320">
        <v>2</v>
      </c>
      <c r="AH64" s="320" t="s">
        <v>623</v>
      </c>
      <c r="AI64" s="320">
        <v>-9999</v>
      </c>
      <c r="AJ64" s="320">
        <v>-9999</v>
      </c>
      <c r="AK64" s="320" t="s">
        <v>626</v>
      </c>
      <c r="AL64" s="320" t="s">
        <v>653</v>
      </c>
      <c r="AM64" s="320">
        <v>-9999</v>
      </c>
      <c r="AN64" s="320" t="s">
        <v>626</v>
      </c>
      <c r="AO64" s="320" t="s">
        <v>69</v>
      </c>
      <c r="AP64" s="320" t="s">
        <v>70</v>
      </c>
      <c r="AQ64" s="320" t="s">
        <v>626</v>
      </c>
      <c r="AR64" s="730">
        <v>560</v>
      </c>
      <c r="AS64" s="320" t="s">
        <v>224</v>
      </c>
      <c r="AT64" s="320" t="s">
        <v>790</v>
      </c>
      <c r="AU64" s="730">
        <v>0</v>
      </c>
      <c r="AV64" s="320">
        <v>-9999</v>
      </c>
      <c r="AW64" s="320">
        <v>-9999</v>
      </c>
      <c r="AX64" s="730">
        <v>0</v>
      </c>
      <c r="AY64" s="320">
        <v>-9999</v>
      </c>
      <c r="AZ64" s="320" t="s">
        <v>790</v>
      </c>
      <c r="BA64" s="320" t="s">
        <v>71</v>
      </c>
      <c r="BB64" s="320" t="s">
        <v>626</v>
      </c>
      <c r="BC64" s="320" t="s">
        <v>791</v>
      </c>
      <c r="BD64" s="320" t="s">
        <v>72</v>
      </c>
      <c r="BG64" s="320">
        <v>-9999</v>
      </c>
      <c r="BH64" s="320">
        <v>-9999</v>
      </c>
      <c r="BI64" s="320">
        <v>-9999</v>
      </c>
      <c r="BJ64" s="320">
        <v>-9999</v>
      </c>
      <c r="BK64" s="320">
        <v>-9999</v>
      </c>
      <c r="BL64" s="320">
        <v>-9999</v>
      </c>
      <c r="BM64" s="320">
        <v>-9999</v>
      </c>
      <c r="BN64" s="320">
        <v>-9999</v>
      </c>
      <c r="BO64" s="320">
        <v>-9999</v>
      </c>
      <c r="BP64" s="320">
        <v>-9999</v>
      </c>
      <c r="BQ64" s="320">
        <v>-9999</v>
      </c>
      <c r="BR64" s="320">
        <v>-9999</v>
      </c>
      <c r="BS64" s="320">
        <v>-9999</v>
      </c>
      <c r="BT64" s="320">
        <v>-9999</v>
      </c>
      <c r="BU64" s="320">
        <v>-9999</v>
      </c>
      <c r="BV64" s="320">
        <v>-9999</v>
      </c>
      <c r="BX64" s="320">
        <v>-9999</v>
      </c>
      <c r="BY64" s="320">
        <v>-9999</v>
      </c>
      <c r="BZ64" s="320">
        <v>-9999</v>
      </c>
      <c r="CA64" s="320" t="s">
        <v>797</v>
      </c>
      <c r="CC64" s="320">
        <v>1</v>
      </c>
      <c r="CD64" s="320">
        <v>5</v>
      </c>
      <c r="CE64" s="731">
        <v>9.9</v>
      </c>
      <c r="CF64" s="731">
        <v>13.5</v>
      </c>
      <c r="CG64" s="320">
        <v>5</v>
      </c>
      <c r="CH64" s="301" t="s">
        <v>2119</v>
      </c>
      <c r="CI64" s="322" t="s">
        <v>2124</v>
      </c>
      <c r="CJ64" s="320" t="s">
        <v>878</v>
      </c>
      <c r="CK64" s="32" t="s">
        <v>384</v>
      </c>
      <c r="CL64" s="32" t="s">
        <v>385</v>
      </c>
      <c r="CM64" s="267">
        <v>45.633000000000003</v>
      </c>
      <c r="CN64" s="267">
        <v>89.617000000000004</v>
      </c>
    </row>
    <row r="65" spans="1:92" s="320" customFormat="1" x14ac:dyDescent="0.2">
      <c r="A65" s="320" t="s">
        <v>785</v>
      </c>
      <c r="B65" s="320" t="s">
        <v>786</v>
      </c>
      <c r="C65" s="320" t="s">
        <v>293</v>
      </c>
      <c r="D65" s="320" t="s">
        <v>619</v>
      </c>
      <c r="E65" s="320" t="s">
        <v>1437</v>
      </c>
      <c r="F65" s="320">
        <v>1</v>
      </c>
      <c r="G65" s="320">
        <v>6</v>
      </c>
      <c r="H65" s="320">
        <v>6</v>
      </c>
      <c r="I65" s="320" t="s">
        <v>954</v>
      </c>
      <c r="J65" s="320">
        <v>1977</v>
      </c>
      <c r="K65" s="320" t="s">
        <v>957</v>
      </c>
      <c r="L65" s="320">
        <v>1982</v>
      </c>
      <c r="M65" s="731">
        <v>-9999</v>
      </c>
      <c r="N65" s="731">
        <v>-9999</v>
      </c>
      <c r="P65" s="731">
        <v>64.800000000000011</v>
      </c>
      <c r="Q65" s="731">
        <v>-9999</v>
      </c>
      <c r="R65" s="731"/>
      <c r="S65" s="731"/>
      <c r="T65" s="731">
        <v>10.8</v>
      </c>
      <c r="U65" s="731">
        <v>2.2999999999999998</v>
      </c>
      <c r="V65" s="731"/>
      <c r="W65" s="731">
        <v>14.300000000000011</v>
      </c>
      <c r="X65" s="731">
        <v>-9999</v>
      </c>
      <c r="Y65" s="731"/>
      <c r="Z65" s="320" t="s">
        <v>787</v>
      </c>
      <c r="AA65" s="320">
        <v>27778</v>
      </c>
      <c r="AB65" s="320">
        <v>-9999</v>
      </c>
      <c r="AC65" s="320">
        <v>-9999</v>
      </c>
      <c r="AD65" s="320">
        <v>1900</v>
      </c>
      <c r="AE65" s="320" t="s">
        <v>1954</v>
      </c>
      <c r="AF65" s="320">
        <v>16</v>
      </c>
      <c r="AG65" s="320" t="s">
        <v>283</v>
      </c>
      <c r="AH65" s="320" t="s">
        <v>623</v>
      </c>
      <c r="AI65" s="320">
        <v>-9999</v>
      </c>
      <c r="AJ65" s="320">
        <v>-9999</v>
      </c>
      <c r="AK65" s="320" t="s">
        <v>631</v>
      </c>
      <c r="AL65" s="320">
        <v>-9999</v>
      </c>
      <c r="AM65" s="320">
        <v>-9999</v>
      </c>
      <c r="AN65" s="320" t="s">
        <v>626</v>
      </c>
      <c r="AO65" s="320" t="s">
        <v>788</v>
      </c>
      <c r="AP65" s="320" t="s">
        <v>789</v>
      </c>
      <c r="AQ65" s="320" t="s">
        <v>626</v>
      </c>
      <c r="AR65" s="730">
        <v>666</v>
      </c>
      <c r="AS65" s="320" t="s">
        <v>723</v>
      </c>
      <c r="AT65" s="320" t="s">
        <v>790</v>
      </c>
      <c r="AU65" s="730">
        <v>0</v>
      </c>
      <c r="AV65" s="320">
        <v>-9999</v>
      </c>
      <c r="AW65" s="320">
        <v>-9999</v>
      </c>
      <c r="AX65" s="730">
        <v>0</v>
      </c>
      <c r="AY65" s="320">
        <v>-9999</v>
      </c>
      <c r="AZ65" s="320" t="s">
        <v>790</v>
      </c>
      <c r="BA65" s="320">
        <v>-9999</v>
      </c>
      <c r="BB65" s="320" t="s">
        <v>626</v>
      </c>
      <c r="BC65" s="320" t="s">
        <v>791</v>
      </c>
      <c r="BD65" s="320" t="s">
        <v>792</v>
      </c>
      <c r="BF65" s="320">
        <v>-9999</v>
      </c>
      <c r="BG65" s="320">
        <v>-9999</v>
      </c>
      <c r="BH65" s="320">
        <v>-9999</v>
      </c>
      <c r="BI65" s="320">
        <v>-9999</v>
      </c>
      <c r="BJ65" s="320">
        <v>-9999</v>
      </c>
      <c r="BK65" s="320">
        <v>-9999</v>
      </c>
      <c r="BL65" s="320">
        <v>-9999</v>
      </c>
      <c r="BM65" s="320">
        <v>-9999</v>
      </c>
      <c r="BN65" s="320">
        <v>-9999</v>
      </c>
      <c r="BO65" s="320">
        <v>-9999</v>
      </c>
      <c r="BP65" s="320">
        <v>-9999</v>
      </c>
      <c r="BQ65" s="320">
        <v>-9999</v>
      </c>
      <c r="BR65" s="320">
        <v>-9999</v>
      </c>
      <c r="BS65" s="320">
        <v>-9999</v>
      </c>
      <c r="BT65" s="320">
        <v>-9999</v>
      </c>
      <c r="BU65" s="320">
        <v>-9999</v>
      </c>
      <c r="BV65" s="320">
        <v>-9999</v>
      </c>
      <c r="BX65" s="320">
        <v>-9999</v>
      </c>
      <c r="BY65" s="320">
        <v>-9999</v>
      </c>
      <c r="BZ65" s="320">
        <v>-9999</v>
      </c>
      <c r="CA65" s="320">
        <v>-9999</v>
      </c>
      <c r="CC65" s="320">
        <v>1</v>
      </c>
      <c r="CD65" s="320">
        <v>6</v>
      </c>
      <c r="CE65" s="731">
        <v>10.8</v>
      </c>
      <c r="CF65" s="731">
        <v>14.300000000000011</v>
      </c>
      <c r="CG65" s="320">
        <v>6</v>
      </c>
      <c r="CH65" s="301" t="s">
        <v>2118</v>
      </c>
      <c r="CI65" s="322" t="s">
        <v>2124</v>
      </c>
      <c r="CJ65" s="320" t="s">
        <v>878</v>
      </c>
      <c r="CK65" s="32" t="s">
        <v>384</v>
      </c>
      <c r="CL65" s="32" t="s">
        <v>385</v>
      </c>
      <c r="CM65" s="267">
        <v>45.633000000000003</v>
      </c>
      <c r="CN65" s="267">
        <v>89.617000000000004</v>
      </c>
    </row>
    <row r="66" spans="1:92" s="320" customFormat="1" x14ac:dyDescent="0.2">
      <c r="A66" s="320" t="s">
        <v>785</v>
      </c>
      <c r="B66" s="320" t="s">
        <v>786</v>
      </c>
      <c r="C66" s="320" t="s">
        <v>1024</v>
      </c>
      <c r="D66" s="320" t="s">
        <v>619</v>
      </c>
      <c r="E66" s="320" t="s">
        <v>1444</v>
      </c>
      <c r="F66" s="320">
        <v>1</v>
      </c>
      <c r="G66" s="320">
        <v>6</v>
      </c>
      <c r="H66" s="320">
        <v>6</v>
      </c>
      <c r="I66" s="320" t="s">
        <v>954</v>
      </c>
      <c r="J66" s="320">
        <v>1981</v>
      </c>
      <c r="K66" s="320" t="s">
        <v>957</v>
      </c>
      <c r="L66" s="320">
        <v>1986</v>
      </c>
      <c r="M66" s="731">
        <v>-9999</v>
      </c>
      <c r="N66" s="731">
        <v>-9999</v>
      </c>
      <c r="P66" s="731">
        <v>60.599999999999994</v>
      </c>
      <c r="Q66" s="731">
        <v>-9999</v>
      </c>
      <c r="R66" s="731"/>
      <c r="S66" s="731"/>
      <c r="T66" s="731">
        <v>10.1</v>
      </c>
      <c r="U66" s="731">
        <v>0.4</v>
      </c>
      <c r="V66" s="731"/>
      <c r="W66" s="731">
        <v>12.599999999999994</v>
      </c>
      <c r="X66" s="731">
        <v>-9999</v>
      </c>
      <c r="Y66" s="731"/>
      <c r="Z66" s="320" t="s">
        <v>74</v>
      </c>
      <c r="AA66" s="320">
        <v>14286</v>
      </c>
      <c r="AB66" s="320">
        <v>0.95</v>
      </c>
      <c r="AC66" s="320">
        <v>-9999</v>
      </c>
      <c r="AD66" s="320">
        <v>400</v>
      </c>
      <c r="AE66" s="320" t="s">
        <v>1956</v>
      </c>
      <c r="AF66" s="320">
        <v>4</v>
      </c>
      <c r="AG66" s="320">
        <v>2</v>
      </c>
      <c r="AH66" s="320" t="s">
        <v>623</v>
      </c>
      <c r="AI66" s="320">
        <v>-9999</v>
      </c>
      <c r="AJ66" s="320">
        <v>-9999</v>
      </c>
      <c r="AK66" s="320" t="s">
        <v>626</v>
      </c>
      <c r="AL66" s="320" t="s">
        <v>653</v>
      </c>
      <c r="AM66" s="320">
        <v>-9999</v>
      </c>
      <c r="AN66" s="320" t="s">
        <v>626</v>
      </c>
      <c r="AO66" s="320">
        <v>-9999</v>
      </c>
      <c r="AP66" s="320" t="s">
        <v>789</v>
      </c>
      <c r="AQ66" s="320" t="s">
        <v>631</v>
      </c>
      <c r="AR66" s="730">
        <v>0</v>
      </c>
      <c r="AS66" s="320">
        <v>-9999</v>
      </c>
      <c r="AT66" s="320">
        <v>-9999</v>
      </c>
      <c r="AU66" s="730">
        <v>0</v>
      </c>
      <c r="AV66" s="320">
        <v>-9999</v>
      </c>
      <c r="AW66" s="320">
        <v>-9999</v>
      </c>
      <c r="AX66" s="730">
        <v>0</v>
      </c>
      <c r="AY66" s="320">
        <v>-9999</v>
      </c>
      <c r="AZ66" s="320">
        <v>-9999</v>
      </c>
      <c r="BA66" s="320" t="s">
        <v>794</v>
      </c>
      <c r="BB66" s="320" t="s">
        <v>626</v>
      </c>
      <c r="BC66" s="320" t="s">
        <v>795</v>
      </c>
      <c r="BD66" s="320" t="s">
        <v>796</v>
      </c>
      <c r="BH66" s="320">
        <v>-9999</v>
      </c>
      <c r="BI66" s="320">
        <v>-9999</v>
      </c>
      <c r="BJ66" s="320">
        <v>-9999</v>
      </c>
      <c r="BK66" s="320">
        <v>-9999</v>
      </c>
      <c r="BL66" s="320">
        <v>-9999</v>
      </c>
      <c r="BM66" s="320">
        <v>-9999</v>
      </c>
      <c r="BN66" s="320">
        <v>-9999</v>
      </c>
      <c r="BO66" s="320">
        <v>-9999</v>
      </c>
      <c r="BP66" s="320">
        <v>-9999</v>
      </c>
      <c r="BQ66" s="320">
        <v>-9999</v>
      </c>
      <c r="BR66" s="320">
        <v>-9999</v>
      </c>
      <c r="BS66" s="320">
        <v>-9999</v>
      </c>
      <c r="BT66" s="320">
        <v>-9999</v>
      </c>
      <c r="BU66" s="320">
        <v>-9999</v>
      </c>
      <c r="BV66" s="320">
        <v>-9999</v>
      </c>
      <c r="BX66" s="320">
        <v>-9999</v>
      </c>
      <c r="BY66" s="320">
        <v>-9999</v>
      </c>
      <c r="BZ66" s="320">
        <v>-9999</v>
      </c>
      <c r="CA66" s="320" t="s">
        <v>797</v>
      </c>
      <c r="CC66" s="320">
        <v>1</v>
      </c>
      <c r="CD66" s="320">
        <v>6</v>
      </c>
      <c r="CE66" s="731">
        <v>10.1</v>
      </c>
      <c r="CF66" s="731">
        <v>12.599999999999994</v>
      </c>
      <c r="CG66" s="320">
        <v>6</v>
      </c>
      <c r="CH66" s="301" t="s">
        <v>2118</v>
      </c>
      <c r="CI66" s="322" t="s">
        <v>2124</v>
      </c>
      <c r="CK66" s="32" t="s">
        <v>384</v>
      </c>
      <c r="CL66" s="32" t="s">
        <v>385</v>
      </c>
      <c r="CM66" s="267">
        <v>45.633000000000003</v>
      </c>
      <c r="CN66" s="267">
        <v>89.617000000000004</v>
      </c>
    </row>
    <row r="67" spans="1:92" s="320" customFormat="1" x14ac:dyDescent="0.2">
      <c r="A67" s="320" t="s">
        <v>785</v>
      </c>
      <c r="B67" s="320" t="s">
        <v>786</v>
      </c>
      <c r="C67" s="320" t="s">
        <v>1025</v>
      </c>
      <c r="D67" s="320" t="s">
        <v>619</v>
      </c>
      <c r="E67" s="320" t="s">
        <v>1444</v>
      </c>
      <c r="F67" s="320">
        <v>1</v>
      </c>
      <c r="G67" s="320">
        <v>6</v>
      </c>
      <c r="H67" s="320">
        <v>6</v>
      </c>
      <c r="I67" s="320" t="s">
        <v>954</v>
      </c>
      <c r="J67" s="320">
        <v>1981</v>
      </c>
      <c r="K67" s="320" t="s">
        <v>957</v>
      </c>
      <c r="L67" s="320">
        <v>1986</v>
      </c>
      <c r="M67" s="731">
        <v>-9999</v>
      </c>
      <c r="N67" s="731">
        <v>-9999</v>
      </c>
      <c r="P67" s="731">
        <v>76.800000000000011</v>
      </c>
      <c r="Q67" s="731">
        <v>-9999</v>
      </c>
      <c r="R67" s="731"/>
      <c r="S67" s="731"/>
      <c r="T67" s="731">
        <v>12.8</v>
      </c>
      <c r="U67" s="731">
        <v>2</v>
      </c>
      <c r="V67" s="731"/>
      <c r="W67" s="731">
        <v>22.300000000000011</v>
      </c>
      <c r="X67" s="731">
        <v>-9999</v>
      </c>
      <c r="Y67" s="731"/>
      <c r="Z67" s="320" t="s">
        <v>793</v>
      </c>
      <c r="AA67" s="320">
        <v>10000</v>
      </c>
      <c r="AB67" s="320">
        <v>0.95</v>
      </c>
      <c r="AC67" s="320">
        <v>-9999</v>
      </c>
      <c r="AD67" s="320">
        <v>400</v>
      </c>
      <c r="AE67" s="320" t="s">
        <v>1957</v>
      </c>
      <c r="AF67" s="320">
        <v>4</v>
      </c>
      <c r="AG67" s="320">
        <v>2</v>
      </c>
      <c r="AH67" s="320" t="s">
        <v>623</v>
      </c>
      <c r="AI67" s="320">
        <v>-9999</v>
      </c>
      <c r="AJ67" s="320">
        <v>-9999</v>
      </c>
      <c r="AK67" s="320" t="s">
        <v>626</v>
      </c>
      <c r="AL67" s="320" t="s">
        <v>653</v>
      </c>
      <c r="AM67" s="320">
        <v>-9999</v>
      </c>
      <c r="AN67" s="320" t="s">
        <v>626</v>
      </c>
      <c r="AO67" s="320">
        <v>-9999</v>
      </c>
      <c r="AP67" s="320" t="s">
        <v>789</v>
      </c>
      <c r="AQ67" s="320" t="s">
        <v>631</v>
      </c>
      <c r="AR67" s="730">
        <v>0</v>
      </c>
      <c r="AS67" s="320">
        <v>-9999</v>
      </c>
      <c r="AT67" s="320">
        <v>-9999</v>
      </c>
      <c r="AU67" s="730">
        <v>0</v>
      </c>
      <c r="AV67" s="320">
        <v>-9999</v>
      </c>
      <c r="AW67" s="320">
        <v>-9999</v>
      </c>
      <c r="AX67" s="730">
        <v>0</v>
      </c>
      <c r="AY67" s="320">
        <v>-9999</v>
      </c>
      <c r="AZ67" s="320">
        <v>-9999</v>
      </c>
      <c r="BA67" s="320" t="s">
        <v>794</v>
      </c>
      <c r="BB67" s="320" t="s">
        <v>626</v>
      </c>
      <c r="BC67" s="320" t="s">
        <v>795</v>
      </c>
      <c r="BD67" s="320" t="s">
        <v>796</v>
      </c>
      <c r="BH67" s="320">
        <v>-9999</v>
      </c>
      <c r="BI67" s="320">
        <v>-9999</v>
      </c>
      <c r="BJ67" s="320">
        <v>-9999</v>
      </c>
      <c r="BK67" s="320">
        <v>-9999</v>
      </c>
      <c r="BL67" s="320">
        <v>-9999</v>
      </c>
      <c r="BM67" s="320">
        <v>-9999</v>
      </c>
      <c r="BN67" s="320">
        <v>-9999</v>
      </c>
      <c r="BO67" s="320">
        <v>-9999</v>
      </c>
      <c r="BP67" s="320">
        <v>-9999</v>
      </c>
      <c r="BQ67" s="320">
        <v>-9999</v>
      </c>
      <c r="BR67" s="320">
        <v>-9999</v>
      </c>
      <c r="BS67" s="320">
        <v>-9999</v>
      </c>
      <c r="BT67" s="320">
        <v>-9999</v>
      </c>
      <c r="BU67" s="320">
        <v>-9999</v>
      </c>
      <c r="BV67" s="320">
        <v>-9999</v>
      </c>
      <c r="BX67" s="320">
        <v>-9999</v>
      </c>
      <c r="BY67" s="320">
        <v>-9999</v>
      </c>
      <c r="BZ67" s="320">
        <v>-9999</v>
      </c>
      <c r="CA67" s="320" t="s">
        <v>797</v>
      </c>
      <c r="CC67" s="320">
        <v>1</v>
      </c>
      <c r="CD67" s="320">
        <v>6</v>
      </c>
      <c r="CE67" s="731">
        <v>12.8</v>
      </c>
      <c r="CF67" s="731">
        <v>22.300000000000011</v>
      </c>
      <c r="CG67" s="320">
        <v>6</v>
      </c>
      <c r="CH67" s="301" t="s">
        <v>2118</v>
      </c>
      <c r="CI67" s="320" t="s">
        <v>2125</v>
      </c>
      <c r="CK67" s="32" t="s">
        <v>384</v>
      </c>
      <c r="CL67" s="32" t="s">
        <v>385</v>
      </c>
      <c r="CM67" s="267">
        <v>45.633000000000003</v>
      </c>
      <c r="CN67" s="267">
        <v>89.617000000000004</v>
      </c>
    </row>
    <row r="68" spans="1:92" s="320" customFormat="1" x14ac:dyDescent="0.2">
      <c r="A68" s="320" t="s">
        <v>785</v>
      </c>
      <c r="B68" s="320" t="s">
        <v>786</v>
      </c>
      <c r="C68" s="320" t="s">
        <v>1026</v>
      </c>
      <c r="D68" s="320" t="s">
        <v>619</v>
      </c>
      <c r="E68" s="320" t="s">
        <v>1444</v>
      </c>
      <c r="F68" s="320">
        <v>1</v>
      </c>
      <c r="G68" s="320">
        <v>7</v>
      </c>
      <c r="H68" s="320">
        <v>7</v>
      </c>
      <c r="I68" s="320" t="s">
        <v>954</v>
      </c>
      <c r="J68" s="320">
        <v>1981</v>
      </c>
      <c r="K68" s="320" t="s">
        <v>957</v>
      </c>
      <c r="L68" s="320">
        <v>1987</v>
      </c>
      <c r="M68" s="731">
        <v>-9999</v>
      </c>
      <c r="N68" s="731">
        <v>-9999</v>
      </c>
      <c r="P68" s="731">
        <v>79.8</v>
      </c>
      <c r="Q68" s="731">
        <v>-9999</v>
      </c>
      <c r="R68" s="731"/>
      <c r="S68" s="731"/>
      <c r="T68" s="731">
        <v>11.4</v>
      </c>
      <c r="U68" s="731">
        <v>1.3</v>
      </c>
      <c r="V68" s="731"/>
      <c r="W68" s="731">
        <v>12.600000000000009</v>
      </c>
      <c r="X68" s="731">
        <v>-9999</v>
      </c>
      <c r="Y68" s="731"/>
      <c r="Z68" s="320" t="s">
        <v>75</v>
      </c>
      <c r="AA68" s="320">
        <v>5000</v>
      </c>
      <c r="AB68" s="320">
        <v>0.92</v>
      </c>
      <c r="AC68" s="320">
        <v>-9999</v>
      </c>
      <c r="AD68" s="320">
        <v>400</v>
      </c>
      <c r="AE68" s="320" t="s">
        <v>1952</v>
      </c>
      <c r="AF68" s="320">
        <v>4</v>
      </c>
      <c r="AG68" s="320">
        <v>2</v>
      </c>
      <c r="AH68" s="320" t="s">
        <v>623</v>
      </c>
      <c r="AI68" s="320">
        <v>-9999</v>
      </c>
      <c r="AJ68" s="320">
        <v>-9999</v>
      </c>
      <c r="AK68" s="320" t="s">
        <v>626</v>
      </c>
      <c r="AL68" s="320" t="s">
        <v>653</v>
      </c>
      <c r="AM68" s="320">
        <v>-9999</v>
      </c>
      <c r="AN68" s="320" t="s">
        <v>626</v>
      </c>
      <c r="AO68" s="320">
        <v>-9999</v>
      </c>
      <c r="AP68" s="320" t="s">
        <v>789</v>
      </c>
      <c r="AQ68" s="320" t="s">
        <v>631</v>
      </c>
      <c r="AR68" s="730">
        <v>0</v>
      </c>
      <c r="AS68" s="320">
        <v>-9999</v>
      </c>
      <c r="AT68" s="320">
        <v>-9999</v>
      </c>
      <c r="AU68" s="730">
        <v>0</v>
      </c>
      <c r="AV68" s="320">
        <v>-9999</v>
      </c>
      <c r="AW68" s="320">
        <v>-9999</v>
      </c>
      <c r="AX68" s="730">
        <v>0</v>
      </c>
      <c r="AY68" s="320">
        <v>-9999</v>
      </c>
      <c r="AZ68" s="320">
        <v>-9999</v>
      </c>
      <c r="BA68" s="320" t="s">
        <v>794</v>
      </c>
      <c r="BB68" s="320" t="s">
        <v>626</v>
      </c>
      <c r="BC68" s="320" t="s">
        <v>795</v>
      </c>
      <c r="BD68" s="320" t="s">
        <v>796</v>
      </c>
      <c r="BH68" s="320">
        <v>-9999</v>
      </c>
      <c r="BI68" s="320">
        <v>-9999</v>
      </c>
      <c r="BJ68" s="320">
        <v>-9999</v>
      </c>
      <c r="BK68" s="320">
        <v>-9999</v>
      </c>
      <c r="BL68" s="320">
        <v>-9999</v>
      </c>
      <c r="BM68" s="320">
        <v>-9999</v>
      </c>
      <c r="BN68" s="320">
        <v>-9999</v>
      </c>
      <c r="BO68" s="320">
        <v>-9999</v>
      </c>
      <c r="BP68" s="320">
        <v>-9999</v>
      </c>
      <c r="BQ68" s="320">
        <v>-9999</v>
      </c>
      <c r="BR68" s="320">
        <v>-9999</v>
      </c>
      <c r="BS68" s="320">
        <v>-9999</v>
      </c>
      <c r="BT68" s="320">
        <v>-9999</v>
      </c>
      <c r="BU68" s="320">
        <v>-9999</v>
      </c>
      <c r="BV68" s="320">
        <v>-9999</v>
      </c>
      <c r="BX68" s="320">
        <v>-9999</v>
      </c>
      <c r="BY68" s="320">
        <v>-9999</v>
      </c>
      <c r="BZ68" s="320">
        <v>-9999</v>
      </c>
      <c r="CA68" s="320" t="s">
        <v>797</v>
      </c>
      <c r="CC68" s="320">
        <v>1</v>
      </c>
      <c r="CD68" s="320">
        <v>7</v>
      </c>
      <c r="CE68" s="731">
        <v>11.4</v>
      </c>
      <c r="CF68" s="731">
        <v>12.600000000000009</v>
      </c>
      <c r="CG68" s="320">
        <v>7</v>
      </c>
      <c r="CH68" s="301" t="s">
        <v>2118</v>
      </c>
      <c r="CI68" s="322" t="s">
        <v>2124</v>
      </c>
      <c r="CK68" s="32" t="s">
        <v>384</v>
      </c>
      <c r="CL68" s="32" t="s">
        <v>385</v>
      </c>
      <c r="CM68" s="267">
        <v>45.633000000000003</v>
      </c>
      <c r="CN68" s="267">
        <v>89.617000000000004</v>
      </c>
    </row>
    <row r="69" spans="1:92" s="320" customFormat="1" x14ac:dyDescent="0.2">
      <c r="A69" s="320" t="s">
        <v>785</v>
      </c>
      <c r="B69" s="320" t="s">
        <v>786</v>
      </c>
      <c r="C69" s="320" t="s">
        <v>292</v>
      </c>
      <c r="D69" s="320" t="s">
        <v>619</v>
      </c>
      <c r="E69" s="320" t="s">
        <v>1444</v>
      </c>
      <c r="F69" s="320">
        <v>1</v>
      </c>
      <c r="G69" s="320">
        <v>7</v>
      </c>
      <c r="H69" s="320">
        <v>7</v>
      </c>
      <c r="I69" s="320" t="s">
        <v>954</v>
      </c>
      <c r="J69" s="320">
        <v>1981</v>
      </c>
      <c r="K69" s="320" t="s">
        <v>957</v>
      </c>
      <c r="L69" s="320">
        <v>1987</v>
      </c>
      <c r="M69" s="731">
        <v>-9999</v>
      </c>
      <c r="N69" s="731">
        <v>-9999</v>
      </c>
      <c r="P69" s="731">
        <v>78.399999999999991</v>
      </c>
      <c r="Q69" s="731">
        <v>-9999</v>
      </c>
      <c r="R69" s="731"/>
      <c r="S69" s="731"/>
      <c r="T69" s="731">
        <v>11.2</v>
      </c>
      <c r="U69" s="731">
        <v>1.6</v>
      </c>
      <c r="V69" s="731"/>
      <c r="W69" s="731">
        <v>17.799999999999997</v>
      </c>
      <c r="X69" s="731">
        <v>-9999</v>
      </c>
      <c r="Y69" s="731"/>
      <c r="Z69" s="320" t="s">
        <v>74</v>
      </c>
      <c r="AA69" s="320">
        <v>14286</v>
      </c>
      <c r="AB69" s="320">
        <v>0.92</v>
      </c>
      <c r="AC69" s="320">
        <v>-9999</v>
      </c>
      <c r="AD69" s="320">
        <v>400</v>
      </c>
      <c r="AE69" s="320" t="s">
        <v>1956</v>
      </c>
      <c r="AF69" s="320">
        <v>4</v>
      </c>
      <c r="AG69" s="320">
        <v>2</v>
      </c>
      <c r="AH69" s="320" t="s">
        <v>623</v>
      </c>
      <c r="AI69" s="320">
        <v>-9999</v>
      </c>
      <c r="AJ69" s="320">
        <v>-9999</v>
      </c>
      <c r="AK69" s="320" t="s">
        <v>626</v>
      </c>
      <c r="AL69" s="320" t="s">
        <v>653</v>
      </c>
      <c r="AM69" s="320">
        <v>-9999</v>
      </c>
      <c r="AN69" s="320" t="s">
        <v>631</v>
      </c>
      <c r="AO69" s="320">
        <v>-9999</v>
      </c>
      <c r="AP69" s="320">
        <v>-9999</v>
      </c>
      <c r="AQ69" s="320" t="s">
        <v>631</v>
      </c>
      <c r="AR69" s="730">
        <v>0</v>
      </c>
      <c r="AS69" s="320">
        <v>-9999</v>
      </c>
      <c r="AT69" s="320">
        <v>-9999</v>
      </c>
      <c r="AU69" s="730">
        <v>0</v>
      </c>
      <c r="AV69" s="320">
        <v>-9999</v>
      </c>
      <c r="AW69" s="320">
        <v>-9999</v>
      </c>
      <c r="AX69" s="730">
        <v>0</v>
      </c>
      <c r="AY69" s="320">
        <v>-9999</v>
      </c>
      <c r="AZ69" s="320">
        <v>-9999</v>
      </c>
      <c r="BA69" s="320" t="s">
        <v>794</v>
      </c>
      <c r="BB69" s="320" t="s">
        <v>626</v>
      </c>
      <c r="BC69" s="320" t="s">
        <v>795</v>
      </c>
      <c r="BD69" s="320" t="s">
        <v>796</v>
      </c>
      <c r="BH69" s="320">
        <v>-9999</v>
      </c>
      <c r="BI69" s="320">
        <v>-9999</v>
      </c>
      <c r="BJ69" s="320">
        <v>-9999</v>
      </c>
      <c r="BK69" s="320">
        <v>-9999</v>
      </c>
      <c r="BL69" s="320">
        <v>-9999</v>
      </c>
      <c r="BM69" s="320">
        <v>-9999</v>
      </c>
      <c r="BN69" s="320">
        <v>-9999</v>
      </c>
      <c r="BO69" s="320">
        <v>-9999</v>
      </c>
      <c r="BP69" s="320">
        <v>-9999</v>
      </c>
      <c r="BQ69" s="320">
        <v>-9999</v>
      </c>
      <c r="BR69" s="320">
        <v>-9999</v>
      </c>
      <c r="BS69" s="320">
        <v>-9999</v>
      </c>
      <c r="BT69" s="320">
        <v>-9999</v>
      </c>
      <c r="BU69" s="320">
        <v>-9999</v>
      </c>
      <c r="BV69" s="320">
        <v>-9999</v>
      </c>
      <c r="BX69" s="320">
        <v>-9999</v>
      </c>
      <c r="BY69" s="320">
        <v>-9999</v>
      </c>
      <c r="BZ69" s="320">
        <v>-9999</v>
      </c>
      <c r="CA69" s="320" t="s">
        <v>797</v>
      </c>
      <c r="CC69" s="320">
        <v>1</v>
      </c>
      <c r="CD69" s="320">
        <v>7</v>
      </c>
      <c r="CE69" s="731">
        <v>11.2</v>
      </c>
      <c r="CF69" s="731">
        <v>17.799999999999997</v>
      </c>
      <c r="CG69" s="320">
        <v>7</v>
      </c>
      <c r="CH69" s="301" t="s">
        <v>2118</v>
      </c>
      <c r="CI69" s="322" t="s">
        <v>2124</v>
      </c>
      <c r="CK69" s="32" t="s">
        <v>384</v>
      </c>
      <c r="CL69" s="32" t="s">
        <v>385</v>
      </c>
      <c r="CM69" s="267">
        <v>45.633000000000003</v>
      </c>
      <c r="CN69" s="267">
        <v>89.617000000000004</v>
      </c>
    </row>
    <row r="70" spans="1:92" s="320" customFormat="1" x14ac:dyDescent="0.2">
      <c r="A70" s="320" t="s">
        <v>785</v>
      </c>
      <c r="B70" s="320" t="s">
        <v>786</v>
      </c>
      <c r="C70" s="320" t="s">
        <v>1028</v>
      </c>
      <c r="D70" s="320" t="s">
        <v>619</v>
      </c>
      <c r="E70" s="320" t="s">
        <v>1443</v>
      </c>
      <c r="F70" s="320">
        <v>1</v>
      </c>
      <c r="G70" s="320">
        <v>7</v>
      </c>
      <c r="H70" s="320">
        <v>7</v>
      </c>
      <c r="I70" s="320" t="s">
        <v>954</v>
      </c>
      <c r="J70" s="320">
        <v>1981</v>
      </c>
      <c r="K70" s="320" t="s">
        <v>957</v>
      </c>
      <c r="L70" s="320">
        <v>1987</v>
      </c>
      <c r="M70" s="731">
        <v>-9999</v>
      </c>
      <c r="N70" s="731">
        <v>-9999</v>
      </c>
      <c r="P70" s="731">
        <v>79.8</v>
      </c>
      <c r="Q70" s="731">
        <v>-9999</v>
      </c>
      <c r="R70" s="731"/>
      <c r="S70" s="731"/>
      <c r="T70" s="731">
        <v>11.4</v>
      </c>
      <c r="U70" s="731">
        <v>0.4</v>
      </c>
      <c r="V70" s="731"/>
      <c r="W70" s="731">
        <v>12.600000000000009</v>
      </c>
      <c r="X70" s="731">
        <v>-9999</v>
      </c>
      <c r="Y70" s="731"/>
      <c r="Z70" s="320" t="s">
        <v>793</v>
      </c>
      <c r="AA70" s="320">
        <v>10000</v>
      </c>
      <c r="AB70" s="320">
        <v>0.92</v>
      </c>
      <c r="AC70" s="320">
        <v>-9999</v>
      </c>
      <c r="AD70" s="320">
        <v>400</v>
      </c>
      <c r="AE70" s="320" t="s">
        <v>1957</v>
      </c>
      <c r="AF70" s="320">
        <v>4</v>
      </c>
      <c r="AG70" s="320">
        <v>2</v>
      </c>
      <c r="AH70" s="320" t="s">
        <v>623</v>
      </c>
      <c r="AI70" s="320">
        <v>-9999</v>
      </c>
      <c r="AJ70" s="320">
        <v>-9999</v>
      </c>
      <c r="AK70" s="320" t="s">
        <v>626</v>
      </c>
      <c r="AL70" s="320" t="s">
        <v>653</v>
      </c>
      <c r="AM70" s="320">
        <v>-9999</v>
      </c>
      <c r="AN70" s="320" t="s">
        <v>626</v>
      </c>
      <c r="AO70" s="320">
        <v>-9999</v>
      </c>
      <c r="AP70" s="320" t="s">
        <v>789</v>
      </c>
      <c r="AQ70" s="320" t="s">
        <v>631</v>
      </c>
      <c r="AR70" s="730">
        <v>0</v>
      </c>
      <c r="AS70" s="320">
        <v>-9999</v>
      </c>
      <c r="AT70" s="320">
        <v>-9999</v>
      </c>
      <c r="AU70" s="730">
        <v>0</v>
      </c>
      <c r="AV70" s="320">
        <v>-9999</v>
      </c>
      <c r="AW70" s="320">
        <v>-9999</v>
      </c>
      <c r="AX70" s="730">
        <v>0</v>
      </c>
      <c r="AY70" s="320">
        <v>-9999</v>
      </c>
      <c r="AZ70" s="320">
        <v>-9999</v>
      </c>
      <c r="BA70" s="320" t="s">
        <v>794</v>
      </c>
      <c r="BB70" s="320" t="s">
        <v>626</v>
      </c>
      <c r="BC70" s="320" t="s">
        <v>795</v>
      </c>
      <c r="BD70" s="320" t="s">
        <v>796</v>
      </c>
      <c r="BH70" s="320">
        <v>-9999</v>
      </c>
      <c r="BI70" s="320">
        <v>-9999</v>
      </c>
      <c r="BJ70" s="320">
        <v>-9999</v>
      </c>
      <c r="BK70" s="320">
        <v>-9999</v>
      </c>
      <c r="BL70" s="320">
        <v>-9999</v>
      </c>
      <c r="BM70" s="320">
        <v>-9999</v>
      </c>
      <c r="BN70" s="320">
        <v>-9999</v>
      </c>
      <c r="BO70" s="320">
        <v>-9999</v>
      </c>
      <c r="BP70" s="320">
        <v>-9999</v>
      </c>
      <c r="BQ70" s="320">
        <v>-9999</v>
      </c>
      <c r="BR70" s="320">
        <v>-9999</v>
      </c>
      <c r="BS70" s="320">
        <v>-9999</v>
      </c>
      <c r="BT70" s="320">
        <v>-9999</v>
      </c>
      <c r="BU70" s="320">
        <v>-9999</v>
      </c>
      <c r="BV70" s="320">
        <v>-9999</v>
      </c>
      <c r="BX70" s="320">
        <v>-9999</v>
      </c>
      <c r="BY70" s="320">
        <v>-9999</v>
      </c>
      <c r="BZ70" s="320">
        <v>-9999</v>
      </c>
      <c r="CA70" s="320" t="s">
        <v>797</v>
      </c>
      <c r="CC70" s="320">
        <v>1</v>
      </c>
      <c r="CD70" s="320">
        <v>7</v>
      </c>
      <c r="CE70" s="731">
        <v>11.4</v>
      </c>
      <c r="CF70" s="731">
        <v>12.600000000000009</v>
      </c>
      <c r="CG70" s="320">
        <v>7</v>
      </c>
      <c r="CH70" s="301" t="s">
        <v>2118</v>
      </c>
      <c r="CI70" s="322" t="s">
        <v>2124</v>
      </c>
      <c r="CJ70" s="320" t="s">
        <v>878</v>
      </c>
      <c r="CK70" s="32" t="s">
        <v>384</v>
      </c>
      <c r="CL70" s="32" t="s">
        <v>385</v>
      </c>
      <c r="CM70" s="267">
        <v>45.633000000000003</v>
      </c>
      <c r="CN70" s="267">
        <v>89.617000000000004</v>
      </c>
    </row>
    <row r="71" spans="1:92" s="320" customFormat="1" x14ac:dyDescent="0.2">
      <c r="A71" s="795" t="s">
        <v>785</v>
      </c>
      <c r="B71" s="320" t="s">
        <v>786</v>
      </c>
      <c r="C71" s="320" t="s">
        <v>1029</v>
      </c>
      <c r="D71" s="320" t="s">
        <v>619</v>
      </c>
      <c r="E71" s="320" t="s">
        <v>1443</v>
      </c>
      <c r="F71" s="320">
        <v>1</v>
      </c>
      <c r="G71" s="320">
        <v>7</v>
      </c>
      <c r="H71" s="320">
        <v>7</v>
      </c>
      <c r="I71" s="320" t="s">
        <v>954</v>
      </c>
      <c r="J71" s="320">
        <v>1981</v>
      </c>
      <c r="K71" s="320" t="s">
        <v>957</v>
      </c>
      <c r="L71" s="320">
        <v>1987</v>
      </c>
      <c r="M71" s="731">
        <v>-9999</v>
      </c>
      <c r="N71" s="731">
        <v>-9999</v>
      </c>
      <c r="P71" s="731">
        <v>64.399999999999991</v>
      </c>
      <c r="Q71" s="731">
        <v>-9999</v>
      </c>
      <c r="R71" s="731"/>
      <c r="S71" s="731"/>
      <c r="T71" s="731">
        <v>9.1999999999999993</v>
      </c>
      <c r="U71" s="731">
        <v>1.6</v>
      </c>
      <c r="V71" s="731"/>
      <c r="W71" s="731">
        <v>10.399999999999991</v>
      </c>
      <c r="X71" s="731">
        <v>-9999</v>
      </c>
      <c r="Y71" s="731"/>
      <c r="Z71" s="320" t="s">
        <v>75</v>
      </c>
      <c r="AA71" s="320">
        <v>5000</v>
      </c>
      <c r="AB71" s="320">
        <v>0.92</v>
      </c>
      <c r="AC71" s="320">
        <v>-9999</v>
      </c>
      <c r="AD71" s="320">
        <v>400</v>
      </c>
      <c r="AE71" s="320" t="s">
        <v>1952</v>
      </c>
      <c r="AF71" s="320">
        <v>4</v>
      </c>
      <c r="AG71" s="320">
        <v>2</v>
      </c>
      <c r="AH71" s="320" t="s">
        <v>623</v>
      </c>
      <c r="AI71" s="320">
        <v>-9999</v>
      </c>
      <c r="AJ71" s="320">
        <v>-9999</v>
      </c>
      <c r="AK71" s="320" t="s">
        <v>626</v>
      </c>
      <c r="AL71" s="320" t="s">
        <v>653</v>
      </c>
      <c r="AM71" s="320">
        <v>-9999</v>
      </c>
      <c r="AN71" s="320" t="s">
        <v>626</v>
      </c>
      <c r="AO71" s="320">
        <v>-9999</v>
      </c>
      <c r="AP71" s="320" t="s">
        <v>789</v>
      </c>
      <c r="AQ71" s="320" t="s">
        <v>631</v>
      </c>
      <c r="AR71" s="730">
        <v>0</v>
      </c>
      <c r="AS71" s="320">
        <v>-9999</v>
      </c>
      <c r="AT71" s="320">
        <v>-9999</v>
      </c>
      <c r="AU71" s="730">
        <v>0</v>
      </c>
      <c r="AV71" s="320">
        <v>-9999</v>
      </c>
      <c r="AW71" s="320">
        <v>-9999</v>
      </c>
      <c r="AX71" s="730">
        <v>0</v>
      </c>
      <c r="AY71" s="320">
        <v>-9999</v>
      </c>
      <c r="AZ71" s="320">
        <v>-9999</v>
      </c>
      <c r="BA71" s="320" t="s">
        <v>794</v>
      </c>
      <c r="BB71" s="320" t="s">
        <v>626</v>
      </c>
      <c r="BC71" s="320" t="s">
        <v>795</v>
      </c>
      <c r="BD71" s="320" t="s">
        <v>796</v>
      </c>
      <c r="BH71" s="320">
        <v>-9999</v>
      </c>
      <c r="BI71" s="320">
        <v>-9999</v>
      </c>
      <c r="BJ71" s="320">
        <v>-9999</v>
      </c>
      <c r="BK71" s="320">
        <v>-9999</v>
      </c>
      <c r="BL71" s="320">
        <v>-9999</v>
      </c>
      <c r="BM71" s="320">
        <v>-9999</v>
      </c>
      <c r="BN71" s="320">
        <v>-9999</v>
      </c>
      <c r="BO71" s="320">
        <v>-9999</v>
      </c>
      <c r="BP71" s="320">
        <v>-9999</v>
      </c>
      <c r="BQ71" s="320">
        <v>-9999</v>
      </c>
      <c r="BR71" s="320">
        <v>-9999</v>
      </c>
      <c r="BS71" s="320">
        <v>-9999</v>
      </c>
      <c r="BT71" s="320">
        <v>-9999</v>
      </c>
      <c r="BU71" s="320">
        <v>-9999</v>
      </c>
      <c r="BV71" s="320">
        <v>-9999</v>
      </c>
      <c r="BX71" s="320">
        <v>-9999</v>
      </c>
      <c r="BY71" s="320">
        <v>-9999</v>
      </c>
      <c r="BZ71" s="320">
        <v>-9999</v>
      </c>
      <c r="CA71" s="320" t="s">
        <v>797</v>
      </c>
      <c r="CC71" s="320">
        <v>1</v>
      </c>
      <c r="CD71" s="320">
        <v>7</v>
      </c>
      <c r="CE71" s="731">
        <v>9.1999999999999993</v>
      </c>
      <c r="CF71" s="731">
        <v>10.399999999999991</v>
      </c>
      <c r="CG71" s="320">
        <v>7</v>
      </c>
      <c r="CH71" s="301" t="s">
        <v>2118</v>
      </c>
      <c r="CI71" s="322" t="s">
        <v>2124</v>
      </c>
      <c r="CJ71" s="320" t="s">
        <v>878</v>
      </c>
      <c r="CK71" s="32" t="s">
        <v>384</v>
      </c>
      <c r="CL71" s="32" t="s">
        <v>385</v>
      </c>
      <c r="CM71" s="267">
        <v>45.633000000000003</v>
      </c>
      <c r="CN71" s="267">
        <v>89.617000000000004</v>
      </c>
    </row>
    <row r="72" spans="1:92" s="320" customFormat="1" x14ac:dyDescent="0.2">
      <c r="A72" s="301" t="s">
        <v>2090</v>
      </c>
      <c r="B72" s="320" t="s">
        <v>800</v>
      </c>
      <c r="C72" s="320" t="s">
        <v>1032</v>
      </c>
      <c r="D72" s="320" t="s">
        <v>619</v>
      </c>
      <c r="E72" s="320" t="s">
        <v>1451</v>
      </c>
      <c r="F72" s="320">
        <v>1</v>
      </c>
      <c r="G72" s="320">
        <v>6</v>
      </c>
      <c r="H72" s="320">
        <v>6</v>
      </c>
      <c r="I72" s="320" t="s">
        <v>807</v>
      </c>
      <c r="J72" s="320">
        <v>1988</v>
      </c>
      <c r="K72" s="320" t="s">
        <v>1211</v>
      </c>
      <c r="L72" s="320">
        <v>1992</v>
      </c>
      <c r="M72" s="731">
        <v>-9999</v>
      </c>
      <c r="N72" s="731">
        <v>-9999</v>
      </c>
      <c r="P72" s="731">
        <v>53.820000000000007</v>
      </c>
      <c r="Q72" s="731">
        <v>-9999</v>
      </c>
      <c r="R72" s="731"/>
      <c r="S72" s="731"/>
      <c r="T72" s="731">
        <v>8.9700000000000006</v>
      </c>
      <c r="U72" s="731">
        <v>-9999</v>
      </c>
      <c r="V72" s="731"/>
      <c r="W72" s="731">
        <v>14.570000000000007</v>
      </c>
      <c r="X72" s="731">
        <v>-9999</v>
      </c>
      <c r="Y72" s="731"/>
      <c r="Z72" s="320" t="s">
        <v>1702</v>
      </c>
      <c r="AA72" s="320">
        <v>1682.0700000000002</v>
      </c>
      <c r="AB72" s="320">
        <v>-9999</v>
      </c>
      <c r="AC72" s="320">
        <v>4.0460000000000003</v>
      </c>
      <c r="AD72" s="320">
        <v>3300</v>
      </c>
      <c r="AE72" s="320" t="s">
        <v>97</v>
      </c>
      <c r="AF72" s="320">
        <v>3</v>
      </c>
      <c r="AG72" s="320">
        <v>-9999</v>
      </c>
      <c r="AH72" s="320">
        <v>-9999</v>
      </c>
      <c r="AI72" s="320">
        <v>-9999</v>
      </c>
      <c r="AJ72" s="320">
        <v>-9999</v>
      </c>
      <c r="AK72" s="320">
        <v>-9999</v>
      </c>
      <c r="AL72" s="320">
        <v>-9999</v>
      </c>
      <c r="AM72" s="320">
        <v>-9999</v>
      </c>
      <c r="AN72" s="320" t="s">
        <v>631</v>
      </c>
      <c r="AO72" s="320">
        <v>-9999</v>
      </c>
      <c r="AP72" s="320">
        <v>-9999</v>
      </c>
      <c r="AQ72" s="320" t="s">
        <v>631</v>
      </c>
      <c r="AR72" s="730">
        <v>0</v>
      </c>
      <c r="AS72" s="320">
        <v>-9999</v>
      </c>
      <c r="AT72" s="320">
        <v>-9999</v>
      </c>
      <c r="AU72" s="730">
        <v>0</v>
      </c>
      <c r="AV72" s="320">
        <v>-9999</v>
      </c>
      <c r="AW72" s="320">
        <v>-9999</v>
      </c>
      <c r="AX72" s="730">
        <v>0</v>
      </c>
      <c r="AY72" s="320">
        <v>-9999</v>
      </c>
      <c r="AZ72" s="320">
        <v>-9999</v>
      </c>
      <c r="BA72" s="320">
        <v>-9999</v>
      </c>
      <c r="BB72" s="320" t="s">
        <v>631</v>
      </c>
      <c r="BC72" s="320">
        <v>-9999</v>
      </c>
      <c r="BD72" s="320">
        <v>-9999</v>
      </c>
      <c r="BE72" s="320">
        <v>-9999</v>
      </c>
      <c r="BF72" s="320">
        <v>-9999</v>
      </c>
      <c r="BG72" s="320">
        <v>-9999</v>
      </c>
      <c r="BH72" s="320">
        <v>-9999</v>
      </c>
      <c r="BI72" s="320" t="s">
        <v>1056</v>
      </c>
      <c r="BJ72" s="320">
        <v>-9999</v>
      </c>
      <c r="BK72" s="320">
        <v>-9999</v>
      </c>
      <c r="BL72" s="320">
        <v>-9999</v>
      </c>
      <c r="BM72" s="320">
        <v>-9999</v>
      </c>
      <c r="BN72" s="320">
        <v>-9999</v>
      </c>
      <c r="BO72" s="320">
        <v>-9999</v>
      </c>
      <c r="BP72" s="320">
        <v>-9999</v>
      </c>
      <c r="BQ72" s="320">
        <v>-9999</v>
      </c>
      <c r="BR72" s="320">
        <v>-9999</v>
      </c>
      <c r="BS72" s="320">
        <v>-9999</v>
      </c>
      <c r="BT72" s="320">
        <v>-9999</v>
      </c>
      <c r="BU72" s="320">
        <v>-9999</v>
      </c>
      <c r="BV72" s="320">
        <v>-9999</v>
      </c>
      <c r="BX72" s="320">
        <v>-9999</v>
      </c>
      <c r="BY72" s="320">
        <v>-9999</v>
      </c>
      <c r="BZ72" s="320">
        <v>-9999</v>
      </c>
      <c r="CA72" s="320" t="s">
        <v>797</v>
      </c>
      <c r="CC72" s="320">
        <v>1</v>
      </c>
      <c r="CD72" s="320">
        <v>6</v>
      </c>
      <c r="CE72" s="731">
        <v>8.9700000000000006</v>
      </c>
      <c r="CF72" s="731">
        <v>14.570000000000007</v>
      </c>
      <c r="CG72" s="320">
        <v>6</v>
      </c>
      <c r="CH72" s="301" t="s">
        <v>2118</v>
      </c>
      <c r="CI72" s="322" t="s">
        <v>2124</v>
      </c>
      <c r="CJ72" s="320" t="s">
        <v>878</v>
      </c>
      <c r="CK72" s="32" t="s">
        <v>396</v>
      </c>
      <c r="CL72" s="32" t="s">
        <v>397</v>
      </c>
      <c r="CM72" s="267">
        <v>44.55</v>
      </c>
      <c r="CN72" s="267">
        <v>91.7</v>
      </c>
    </row>
    <row r="73" spans="1:92" s="320" customFormat="1" x14ac:dyDescent="0.2">
      <c r="A73" s="301" t="s">
        <v>2090</v>
      </c>
      <c r="B73" s="320" t="s">
        <v>801</v>
      </c>
      <c r="C73" s="320" t="s">
        <v>1032</v>
      </c>
      <c r="D73" s="320" t="s">
        <v>619</v>
      </c>
      <c r="E73" s="320" t="s">
        <v>1451</v>
      </c>
      <c r="F73" s="320">
        <v>1</v>
      </c>
      <c r="G73" s="320">
        <v>7</v>
      </c>
      <c r="H73" s="320">
        <v>7</v>
      </c>
      <c r="I73" s="320" t="s">
        <v>807</v>
      </c>
      <c r="J73" s="320">
        <v>1988</v>
      </c>
      <c r="K73" s="320" t="s">
        <v>1211</v>
      </c>
      <c r="L73" s="320">
        <v>1993</v>
      </c>
      <c r="M73" s="731">
        <v>-9999</v>
      </c>
      <c r="N73" s="731">
        <v>-9999</v>
      </c>
      <c r="P73" s="731">
        <v>66.36</v>
      </c>
      <c r="Q73" s="731">
        <v>-9999</v>
      </c>
      <c r="R73" s="731"/>
      <c r="S73" s="731"/>
      <c r="T73" s="731">
        <v>9.48</v>
      </c>
      <c r="U73" s="731">
        <v>-9999</v>
      </c>
      <c r="V73" s="731"/>
      <c r="W73" s="731">
        <v>11.64</v>
      </c>
      <c r="X73" s="731">
        <v>-9999</v>
      </c>
      <c r="Y73" s="731"/>
      <c r="Z73" s="320" t="s">
        <v>1702</v>
      </c>
      <c r="AA73" s="320">
        <v>1682.0700000000002</v>
      </c>
      <c r="AB73" s="320">
        <v>-9999</v>
      </c>
      <c r="AC73" s="320">
        <v>4.0460000000000003</v>
      </c>
      <c r="AD73" s="320">
        <v>3300</v>
      </c>
      <c r="AE73" s="320" t="s">
        <v>97</v>
      </c>
      <c r="AF73" s="320">
        <v>3</v>
      </c>
      <c r="AG73" s="320">
        <v>-9999</v>
      </c>
      <c r="AH73" s="320">
        <v>-9999</v>
      </c>
      <c r="AI73" s="320">
        <v>-9999</v>
      </c>
      <c r="AJ73" s="320">
        <v>-9999</v>
      </c>
      <c r="AK73" s="320">
        <v>-9999</v>
      </c>
      <c r="AL73" s="320">
        <v>-9999</v>
      </c>
      <c r="AM73" s="320">
        <v>-9999</v>
      </c>
      <c r="AN73" s="320" t="s">
        <v>631</v>
      </c>
      <c r="AO73" s="320">
        <v>-9999</v>
      </c>
      <c r="AP73" s="320">
        <v>-9999</v>
      </c>
      <c r="AQ73" s="320" t="s">
        <v>631</v>
      </c>
      <c r="AR73" s="730">
        <v>0</v>
      </c>
      <c r="AS73" s="320">
        <v>-9999</v>
      </c>
      <c r="AT73" s="320">
        <v>-9999</v>
      </c>
      <c r="AU73" s="730">
        <v>0</v>
      </c>
      <c r="AV73" s="320">
        <v>-9999</v>
      </c>
      <c r="AW73" s="320">
        <v>-9999</v>
      </c>
      <c r="AX73" s="730">
        <v>0</v>
      </c>
      <c r="AY73" s="320">
        <v>-9999</v>
      </c>
      <c r="AZ73" s="320">
        <v>-9999</v>
      </c>
      <c r="BA73" s="320">
        <v>-9999</v>
      </c>
      <c r="BB73" s="320" t="s">
        <v>631</v>
      </c>
      <c r="BC73" s="320">
        <v>-9999</v>
      </c>
      <c r="BD73" s="320">
        <v>-9999</v>
      </c>
      <c r="BE73" s="320">
        <v>-9999</v>
      </c>
      <c r="BF73" s="320">
        <v>-9999</v>
      </c>
      <c r="BG73" s="320">
        <v>-9999</v>
      </c>
      <c r="BH73" s="320">
        <v>-9999</v>
      </c>
      <c r="BI73" s="320" t="s">
        <v>1060</v>
      </c>
      <c r="BJ73" s="320">
        <v>-9999</v>
      </c>
      <c r="BK73" s="320">
        <v>-9999</v>
      </c>
      <c r="BL73" s="320">
        <v>-9999</v>
      </c>
      <c r="BM73" s="320">
        <v>-9999</v>
      </c>
      <c r="BN73" s="320">
        <v>-9999</v>
      </c>
      <c r="BO73" s="320">
        <v>-9999</v>
      </c>
      <c r="BP73" s="320">
        <v>-9999</v>
      </c>
      <c r="BQ73" s="320">
        <v>-9999</v>
      </c>
      <c r="BR73" s="320">
        <v>-9999</v>
      </c>
      <c r="BS73" s="320">
        <v>-9999</v>
      </c>
      <c r="BT73" s="320">
        <v>-9999</v>
      </c>
      <c r="BU73" s="320">
        <v>-9999</v>
      </c>
      <c r="BV73" s="320">
        <v>-9999</v>
      </c>
      <c r="BX73" s="320">
        <v>-9999</v>
      </c>
      <c r="BY73" s="320">
        <v>-9999</v>
      </c>
      <c r="BZ73" s="320">
        <v>-9999</v>
      </c>
      <c r="CA73" s="320" t="s">
        <v>797</v>
      </c>
      <c r="CC73" s="320">
        <v>1</v>
      </c>
      <c r="CD73" s="320">
        <v>7</v>
      </c>
      <c r="CE73" s="731">
        <v>9.48</v>
      </c>
      <c r="CF73" s="731">
        <v>11.64</v>
      </c>
      <c r="CG73" s="320">
        <v>7</v>
      </c>
      <c r="CH73" s="301" t="s">
        <v>2118</v>
      </c>
      <c r="CI73" s="322" t="s">
        <v>2124</v>
      </c>
      <c r="CJ73" s="320" t="s">
        <v>878</v>
      </c>
      <c r="CK73" s="32" t="s">
        <v>392</v>
      </c>
      <c r="CL73" s="32" t="s">
        <v>393</v>
      </c>
      <c r="CM73" s="267">
        <v>44.816000000000003</v>
      </c>
      <c r="CN73" s="267">
        <v>95.55</v>
      </c>
    </row>
    <row r="74" spans="1:92" s="320" customFormat="1" x14ac:dyDescent="0.2">
      <c r="A74" s="795" t="s">
        <v>1389</v>
      </c>
      <c r="B74" s="320" t="s">
        <v>806</v>
      </c>
      <c r="C74" s="320" t="s">
        <v>1711</v>
      </c>
      <c r="D74" s="320" t="s">
        <v>619</v>
      </c>
      <c r="E74" s="320" t="s">
        <v>1726</v>
      </c>
      <c r="F74" s="320">
        <v>1</v>
      </c>
      <c r="G74" s="320">
        <v>10</v>
      </c>
      <c r="H74" s="320">
        <v>11</v>
      </c>
      <c r="I74" s="320" t="s">
        <v>807</v>
      </c>
      <c r="J74" s="320">
        <v>1995</v>
      </c>
      <c r="K74" s="320" t="s">
        <v>1211</v>
      </c>
      <c r="L74" s="320">
        <v>2004</v>
      </c>
      <c r="M74" s="731">
        <v>-9999</v>
      </c>
      <c r="N74" s="731">
        <v>-9999</v>
      </c>
      <c r="P74" s="731">
        <v>97.699999999999989</v>
      </c>
      <c r="Q74" s="731">
        <v>-9999</v>
      </c>
      <c r="R74" s="731"/>
      <c r="S74" s="731"/>
      <c r="T74" s="731">
        <v>9.77</v>
      </c>
      <c r="U74" s="731">
        <v>0.57999999999999996</v>
      </c>
      <c r="V74" s="731"/>
      <c r="W74" s="731">
        <v>-9999</v>
      </c>
      <c r="X74" s="731">
        <v>-9999</v>
      </c>
      <c r="Y74" s="731"/>
      <c r="Z74" s="320" t="s">
        <v>808</v>
      </c>
      <c r="AA74" s="320">
        <v>1075</v>
      </c>
      <c r="AB74" s="731">
        <v>1</v>
      </c>
      <c r="AC74" s="320">
        <v>-9999</v>
      </c>
      <c r="AD74" s="320">
        <v>18.600000000000001</v>
      </c>
      <c r="AE74" s="320" t="s">
        <v>1738</v>
      </c>
      <c r="AF74" s="320">
        <v>10</v>
      </c>
      <c r="AG74" s="320" t="s">
        <v>1740</v>
      </c>
      <c r="AH74" s="320" t="s">
        <v>1034</v>
      </c>
      <c r="AI74" s="320" t="s">
        <v>1739</v>
      </c>
      <c r="AJ74" s="320">
        <v>-9999</v>
      </c>
      <c r="AK74" s="320" t="s">
        <v>626</v>
      </c>
      <c r="AL74" s="320" t="s">
        <v>828</v>
      </c>
      <c r="AM74" s="320">
        <v>-9999</v>
      </c>
      <c r="AN74" s="320" t="s">
        <v>631</v>
      </c>
      <c r="AO74" s="320">
        <v>-9999</v>
      </c>
      <c r="AP74" s="320">
        <v>-9999</v>
      </c>
      <c r="AQ74" s="320" t="s">
        <v>631</v>
      </c>
      <c r="AR74" s="730">
        <v>0</v>
      </c>
      <c r="AS74" s="320">
        <v>-9999</v>
      </c>
      <c r="AT74" s="320">
        <v>-9999</v>
      </c>
      <c r="AU74" s="730">
        <v>0</v>
      </c>
      <c r="AV74" s="320">
        <v>-9999</v>
      </c>
      <c r="AW74" s="320">
        <v>-9999</v>
      </c>
      <c r="AX74" s="730">
        <v>0</v>
      </c>
      <c r="AY74" s="320">
        <v>-9999</v>
      </c>
      <c r="AZ74" s="320">
        <v>-9999</v>
      </c>
      <c r="BA74" s="320">
        <v>-9988</v>
      </c>
      <c r="BB74" s="320" t="s">
        <v>626</v>
      </c>
      <c r="BC74" s="320">
        <v>-9999</v>
      </c>
      <c r="BD74" s="320">
        <v>-9999</v>
      </c>
      <c r="BE74" s="320">
        <v>-9999</v>
      </c>
      <c r="BF74" s="320">
        <v>-9999</v>
      </c>
      <c r="BG74" s="320">
        <v>-9999</v>
      </c>
      <c r="BH74" s="320">
        <v>-9999</v>
      </c>
      <c r="BI74" s="320" t="s">
        <v>1035</v>
      </c>
      <c r="BJ74" s="320">
        <v>-9999</v>
      </c>
      <c r="BK74" s="320">
        <v>-9999</v>
      </c>
      <c r="BL74" s="320">
        <v>-9999</v>
      </c>
      <c r="BM74" s="320">
        <v>-9999</v>
      </c>
      <c r="BN74" s="320">
        <v>-9999</v>
      </c>
      <c r="BO74" s="320">
        <v>-9999</v>
      </c>
      <c r="BP74" s="320">
        <v>-9999</v>
      </c>
      <c r="BQ74" s="320">
        <v>-9999</v>
      </c>
      <c r="BR74" s="320">
        <v>-9999</v>
      </c>
      <c r="BS74" s="320">
        <v>-9999</v>
      </c>
      <c r="BT74" s="320">
        <v>-9999</v>
      </c>
      <c r="BU74" s="320">
        <v>-9999</v>
      </c>
      <c r="BV74" s="320">
        <v>-9999</v>
      </c>
      <c r="BX74" s="320">
        <v>-9999</v>
      </c>
      <c r="BY74" s="320">
        <v>-9999</v>
      </c>
      <c r="BZ74" s="320">
        <v>-9999</v>
      </c>
      <c r="CA74" s="320" t="s">
        <v>797</v>
      </c>
      <c r="CB74" s="320" t="s">
        <v>1435</v>
      </c>
      <c r="CC74" s="320">
        <v>1</v>
      </c>
      <c r="CD74" s="320">
        <v>10</v>
      </c>
      <c r="CE74" s="731">
        <v>9.77</v>
      </c>
      <c r="CF74" s="731"/>
      <c r="CG74" s="320">
        <v>11</v>
      </c>
      <c r="CH74" s="301" t="s">
        <v>2119</v>
      </c>
      <c r="CI74" s="322" t="s">
        <v>2124</v>
      </c>
      <c r="CK74" s="32" t="s">
        <v>401</v>
      </c>
      <c r="CL74" s="32" t="s">
        <v>402</v>
      </c>
      <c r="CM74" s="267">
        <v>43.33</v>
      </c>
      <c r="CN74" s="267">
        <v>89.367000000000004</v>
      </c>
    </row>
    <row r="75" spans="1:92" s="320" customFormat="1" x14ac:dyDescent="0.2">
      <c r="A75" s="795" t="s">
        <v>1389</v>
      </c>
      <c r="B75" s="320" t="s">
        <v>806</v>
      </c>
      <c r="C75" s="320" t="s">
        <v>1753</v>
      </c>
      <c r="D75" s="320" t="s">
        <v>619</v>
      </c>
      <c r="E75" s="320" t="s">
        <v>1456</v>
      </c>
      <c r="F75" s="320">
        <v>1</v>
      </c>
      <c r="G75" s="320">
        <v>10</v>
      </c>
      <c r="H75" s="320">
        <v>11</v>
      </c>
      <c r="I75" s="320" t="s">
        <v>807</v>
      </c>
      <c r="J75" s="320">
        <v>1995</v>
      </c>
      <c r="K75" s="320" t="s">
        <v>1211</v>
      </c>
      <c r="L75" s="320">
        <v>2004</v>
      </c>
      <c r="M75" s="731">
        <v>-9999</v>
      </c>
      <c r="N75" s="731">
        <v>-9999</v>
      </c>
      <c r="P75" s="731">
        <v>99.420000000000016</v>
      </c>
      <c r="Q75" s="731">
        <v>-9999</v>
      </c>
      <c r="R75" s="731"/>
      <c r="S75" s="731"/>
      <c r="T75" s="731">
        <v>9.9420000000000019</v>
      </c>
      <c r="U75" s="731">
        <v>0.61999999999999988</v>
      </c>
      <c r="V75" s="731"/>
      <c r="W75" s="731">
        <v>-9999</v>
      </c>
      <c r="X75" s="731">
        <v>-9999</v>
      </c>
      <c r="Y75" s="731"/>
      <c r="Z75" s="320" t="s">
        <v>808</v>
      </c>
      <c r="AA75" s="320">
        <v>1075</v>
      </c>
      <c r="AB75" s="731">
        <v>1</v>
      </c>
      <c r="AC75" s="320">
        <v>-9999</v>
      </c>
      <c r="AD75" s="320">
        <v>18.600000000000001</v>
      </c>
      <c r="AE75" s="320" t="s">
        <v>1738</v>
      </c>
      <c r="AF75" s="320">
        <v>10</v>
      </c>
      <c r="AG75" s="320" t="s">
        <v>1740</v>
      </c>
      <c r="AH75" s="320" t="s">
        <v>1034</v>
      </c>
      <c r="AI75" s="320" t="s">
        <v>1739</v>
      </c>
      <c r="AJ75" s="320">
        <v>-9999</v>
      </c>
      <c r="AK75" s="320" t="s">
        <v>626</v>
      </c>
      <c r="AL75" s="320" t="s">
        <v>828</v>
      </c>
      <c r="AM75" s="320">
        <v>-9999</v>
      </c>
      <c r="AN75" s="320" t="s">
        <v>631</v>
      </c>
      <c r="AO75" s="320">
        <v>-9999</v>
      </c>
      <c r="AP75" s="320">
        <v>-9999</v>
      </c>
      <c r="AQ75" s="320" t="s">
        <v>631</v>
      </c>
      <c r="AR75" s="730">
        <v>0</v>
      </c>
      <c r="AS75" s="320">
        <v>-9999</v>
      </c>
      <c r="AT75" s="320">
        <v>-9999</v>
      </c>
      <c r="AU75" s="730">
        <v>0</v>
      </c>
      <c r="AV75" s="320">
        <v>-9999</v>
      </c>
      <c r="AW75" s="320">
        <v>-9999</v>
      </c>
      <c r="AX75" s="730">
        <v>0</v>
      </c>
      <c r="AY75" s="320">
        <v>-9999</v>
      </c>
      <c r="AZ75" s="320">
        <v>-9999</v>
      </c>
      <c r="BA75" s="320">
        <v>-9988</v>
      </c>
      <c r="BB75" s="320" t="s">
        <v>626</v>
      </c>
      <c r="BC75" s="320">
        <v>-9999</v>
      </c>
      <c r="BD75" s="320">
        <v>-9999</v>
      </c>
      <c r="BE75" s="320">
        <v>-9999</v>
      </c>
      <c r="BF75" s="320">
        <v>-9999</v>
      </c>
      <c r="BG75" s="320">
        <v>-9999</v>
      </c>
      <c r="BH75" s="320">
        <v>-9999</v>
      </c>
      <c r="BI75" s="320" t="s">
        <v>1035</v>
      </c>
      <c r="BJ75" s="320">
        <v>-9999</v>
      </c>
      <c r="BK75" s="320">
        <v>-9999</v>
      </c>
      <c r="BL75" s="320">
        <v>-9999</v>
      </c>
      <c r="BM75" s="320">
        <v>-9999</v>
      </c>
      <c r="BN75" s="320">
        <v>-9999</v>
      </c>
      <c r="BO75" s="320">
        <v>-9999</v>
      </c>
      <c r="BP75" s="320">
        <v>-9999</v>
      </c>
      <c r="BQ75" s="320">
        <v>-9999</v>
      </c>
      <c r="BR75" s="320">
        <v>-9999</v>
      </c>
      <c r="BS75" s="320">
        <v>-9999</v>
      </c>
      <c r="BT75" s="320">
        <v>-9999</v>
      </c>
      <c r="BU75" s="320">
        <v>-9999</v>
      </c>
      <c r="BV75" s="320">
        <v>-9999</v>
      </c>
      <c r="BX75" s="320">
        <v>-9999</v>
      </c>
      <c r="BY75" s="320">
        <v>-9999</v>
      </c>
      <c r="BZ75" s="320">
        <v>-9999</v>
      </c>
      <c r="CA75" s="320" t="s">
        <v>797</v>
      </c>
      <c r="CC75" s="320">
        <v>1</v>
      </c>
      <c r="CD75" s="320">
        <v>10</v>
      </c>
      <c r="CE75" s="731">
        <v>9.9420000000000019</v>
      </c>
      <c r="CF75" s="731">
        <v>-9999</v>
      </c>
      <c r="CG75" s="320">
        <v>11</v>
      </c>
      <c r="CH75" s="301" t="s">
        <v>2119</v>
      </c>
      <c r="CI75" s="322" t="s">
        <v>2124</v>
      </c>
      <c r="CK75" s="32" t="s">
        <v>401</v>
      </c>
      <c r="CL75" s="32" t="s">
        <v>402</v>
      </c>
      <c r="CM75" s="267">
        <v>43.33</v>
      </c>
      <c r="CN75" s="267">
        <v>89.367000000000004</v>
      </c>
    </row>
    <row r="76" spans="1:92" s="320" customFormat="1" x14ac:dyDescent="0.2">
      <c r="A76" s="320" t="s">
        <v>1389</v>
      </c>
      <c r="B76" s="320" t="s">
        <v>806</v>
      </c>
      <c r="C76" s="320" t="s">
        <v>1729</v>
      </c>
      <c r="D76" s="320" t="s">
        <v>619</v>
      </c>
      <c r="E76" s="320" t="s">
        <v>1390</v>
      </c>
      <c r="F76" s="320">
        <v>1</v>
      </c>
      <c r="G76" s="320">
        <v>10</v>
      </c>
      <c r="H76" s="320">
        <v>11</v>
      </c>
      <c r="I76" s="320" t="s">
        <v>807</v>
      </c>
      <c r="J76" s="320">
        <v>1995</v>
      </c>
      <c r="K76" s="320" t="s">
        <v>1211</v>
      </c>
      <c r="L76" s="320">
        <v>2004</v>
      </c>
      <c r="M76" s="731">
        <v>-9999</v>
      </c>
      <c r="N76" s="731">
        <v>-9999</v>
      </c>
      <c r="P76" s="731">
        <v>113</v>
      </c>
      <c r="Q76" s="731">
        <v>-9999</v>
      </c>
      <c r="R76" s="731"/>
      <c r="S76" s="731"/>
      <c r="T76" s="731">
        <v>11.3</v>
      </c>
      <c r="U76" s="731">
        <v>0.57999999999999996</v>
      </c>
      <c r="V76" s="731"/>
      <c r="W76" s="731">
        <v>-9999</v>
      </c>
      <c r="X76" s="731">
        <v>-9999</v>
      </c>
      <c r="Y76" s="731"/>
      <c r="Z76" s="320" t="s">
        <v>808</v>
      </c>
      <c r="AA76" s="320">
        <v>1075</v>
      </c>
      <c r="AB76" s="731">
        <v>1</v>
      </c>
      <c r="AC76" s="320">
        <v>-9999</v>
      </c>
      <c r="AD76" s="320">
        <v>18.600000000000001</v>
      </c>
      <c r="AE76" s="320" t="s">
        <v>1738</v>
      </c>
      <c r="AF76" s="320">
        <v>10</v>
      </c>
      <c r="AG76" s="320" t="s">
        <v>1740</v>
      </c>
      <c r="AH76" s="320" t="s">
        <v>1034</v>
      </c>
      <c r="AI76" s="320" t="s">
        <v>1739</v>
      </c>
      <c r="AJ76" s="320">
        <v>-9999</v>
      </c>
      <c r="AK76" s="320" t="s">
        <v>626</v>
      </c>
      <c r="AL76" s="320" t="s">
        <v>828</v>
      </c>
      <c r="AM76" s="320">
        <v>-9999</v>
      </c>
      <c r="AN76" s="320" t="s">
        <v>631</v>
      </c>
      <c r="AO76" s="320">
        <v>-9999</v>
      </c>
      <c r="AP76" s="320">
        <v>-9999</v>
      </c>
      <c r="AQ76" s="320" t="s">
        <v>631</v>
      </c>
      <c r="AR76" s="730">
        <v>0</v>
      </c>
      <c r="AS76" s="320">
        <v>-9999</v>
      </c>
      <c r="AT76" s="320">
        <v>-9999</v>
      </c>
      <c r="AU76" s="730">
        <v>0</v>
      </c>
      <c r="AV76" s="320">
        <v>-9999</v>
      </c>
      <c r="AW76" s="320">
        <v>-9999</v>
      </c>
      <c r="AX76" s="730">
        <v>0</v>
      </c>
      <c r="AY76" s="320">
        <v>-9999</v>
      </c>
      <c r="AZ76" s="320">
        <v>-9999</v>
      </c>
      <c r="BA76" s="320">
        <v>-9988</v>
      </c>
      <c r="BB76" s="320" t="s">
        <v>626</v>
      </c>
      <c r="BC76" s="320">
        <v>-9999</v>
      </c>
      <c r="BD76" s="320">
        <v>-9999</v>
      </c>
      <c r="BE76" s="320">
        <v>-9999</v>
      </c>
      <c r="BF76" s="320">
        <v>-9999</v>
      </c>
      <c r="BG76" s="320">
        <v>-9999</v>
      </c>
      <c r="BH76" s="320">
        <v>-9999</v>
      </c>
      <c r="BI76" s="320" t="s">
        <v>1035</v>
      </c>
      <c r="BJ76" s="320">
        <v>-9999</v>
      </c>
      <c r="BK76" s="320">
        <v>-9999</v>
      </c>
      <c r="BL76" s="320">
        <v>-9999</v>
      </c>
      <c r="BM76" s="320">
        <v>-9999</v>
      </c>
      <c r="BN76" s="320">
        <v>-9999</v>
      </c>
      <c r="BO76" s="320">
        <v>-9999</v>
      </c>
      <c r="BP76" s="320">
        <v>-9999</v>
      </c>
      <c r="BQ76" s="320">
        <v>-9999</v>
      </c>
      <c r="BR76" s="320">
        <v>-9999</v>
      </c>
      <c r="BS76" s="320">
        <v>-9999</v>
      </c>
      <c r="BT76" s="320">
        <v>-9999</v>
      </c>
      <c r="BU76" s="320">
        <v>-9999</v>
      </c>
      <c r="BV76" s="320">
        <v>-9999</v>
      </c>
      <c r="BX76" s="320">
        <v>-9999</v>
      </c>
      <c r="BY76" s="320">
        <v>-9999</v>
      </c>
      <c r="BZ76" s="320">
        <v>-9999</v>
      </c>
      <c r="CA76" s="320" t="s">
        <v>797</v>
      </c>
      <c r="CC76" s="320">
        <v>1</v>
      </c>
      <c r="CD76" s="320">
        <v>10</v>
      </c>
      <c r="CE76" s="731">
        <v>11.3</v>
      </c>
      <c r="CF76" s="731">
        <v>-9999</v>
      </c>
      <c r="CG76" s="320">
        <v>11</v>
      </c>
      <c r="CH76" s="301" t="s">
        <v>2119</v>
      </c>
      <c r="CI76" s="322" t="s">
        <v>2124</v>
      </c>
      <c r="CK76" s="32" t="s">
        <v>401</v>
      </c>
      <c r="CL76" s="32" t="s">
        <v>402</v>
      </c>
      <c r="CM76" s="267">
        <v>43.33</v>
      </c>
      <c r="CN76" s="267">
        <v>89.367000000000004</v>
      </c>
    </row>
    <row r="77" spans="1:92" s="320" customFormat="1" x14ac:dyDescent="0.2">
      <c r="A77" s="320" t="s">
        <v>1389</v>
      </c>
      <c r="B77" s="320" t="s">
        <v>810</v>
      </c>
      <c r="C77" s="320" t="s">
        <v>1452</v>
      </c>
      <c r="D77" s="320" t="s">
        <v>619</v>
      </c>
      <c r="E77" s="320" t="s">
        <v>1391</v>
      </c>
      <c r="F77" s="320">
        <v>1</v>
      </c>
      <c r="G77" s="320">
        <v>8</v>
      </c>
      <c r="H77" s="320">
        <v>9</v>
      </c>
      <c r="I77" s="320" t="s">
        <v>807</v>
      </c>
      <c r="J77" s="320">
        <v>1995</v>
      </c>
      <c r="K77" s="320" t="s">
        <v>1211</v>
      </c>
      <c r="L77" s="320">
        <v>2002</v>
      </c>
      <c r="M77" s="731">
        <v>-9999</v>
      </c>
      <c r="N77" s="731">
        <v>-9999</v>
      </c>
      <c r="P77" s="731">
        <v>168.72</v>
      </c>
      <c r="Q77" s="731">
        <v>-9999</v>
      </c>
      <c r="R77" s="731"/>
      <c r="S77" s="731"/>
      <c r="T77" s="731">
        <v>21.09</v>
      </c>
      <c r="U77" s="731">
        <v>1.29</v>
      </c>
      <c r="V77" s="731"/>
      <c r="W77" s="731">
        <v>-9999</v>
      </c>
      <c r="X77" s="731">
        <v>-9999</v>
      </c>
      <c r="Y77" s="731"/>
      <c r="Z77" s="320" t="s">
        <v>808</v>
      </c>
      <c r="AA77" s="320">
        <v>1075</v>
      </c>
      <c r="AB77" s="731">
        <v>1</v>
      </c>
      <c r="AC77" s="320">
        <v>-9999</v>
      </c>
      <c r="AD77" s="320">
        <v>18.600000000000001</v>
      </c>
      <c r="AE77" s="320" t="s">
        <v>1738</v>
      </c>
      <c r="AF77" s="320">
        <v>10</v>
      </c>
      <c r="AG77" s="320" t="s">
        <v>1741</v>
      </c>
      <c r="AH77" s="320" t="s">
        <v>1034</v>
      </c>
      <c r="AI77" s="320" t="s">
        <v>1739</v>
      </c>
      <c r="AJ77" s="320">
        <v>-9999</v>
      </c>
      <c r="AK77" s="320" t="s">
        <v>626</v>
      </c>
      <c r="AL77" s="320" t="s">
        <v>828</v>
      </c>
      <c r="AM77" s="320">
        <v>-9999</v>
      </c>
      <c r="AN77" s="320" t="s">
        <v>631</v>
      </c>
      <c r="AO77" s="320">
        <v>-9999</v>
      </c>
      <c r="AP77" s="320">
        <v>-9999</v>
      </c>
      <c r="AQ77" s="320" t="s">
        <v>631</v>
      </c>
      <c r="AR77" s="730">
        <v>0</v>
      </c>
      <c r="AS77" s="320">
        <v>-9999</v>
      </c>
      <c r="AT77" s="320">
        <v>-9999</v>
      </c>
      <c r="AU77" s="730">
        <v>0</v>
      </c>
      <c r="AV77" s="320">
        <v>-9999</v>
      </c>
      <c r="AW77" s="320">
        <v>-9999</v>
      </c>
      <c r="AX77" s="730">
        <v>0</v>
      </c>
      <c r="AY77" s="320">
        <v>-9999</v>
      </c>
      <c r="AZ77" s="320">
        <v>-9999</v>
      </c>
      <c r="BA77" s="320">
        <v>-9988</v>
      </c>
      <c r="BB77" s="320" t="s">
        <v>626</v>
      </c>
      <c r="BC77" s="320">
        <v>-9999</v>
      </c>
      <c r="BD77" s="320">
        <v>-9999</v>
      </c>
      <c r="BE77" s="320">
        <v>-9999</v>
      </c>
      <c r="BF77" s="320">
        <v>-9999</v>
      </c>
      <c r="BG77" s="320">
        <v>-9999</v>
      </c>
      <c r="BH77" s="320">
        <v>-9999</v>
      </c>
      <c r="BI77" s="320" t="s">
        <v>1035</v>
      </c>
      <c r="BJ77" s="320">
        <v>-9999</v>
      </c>
      <c r="BK77" s="320">
        <v>-9999</v>
      </c>
      <c r="BL77" s="320">
        <v>-9999</v>
      </c>
      <c r="BM77" s="320">
        <v>-9999</v>
      </c>
      <c r="BN77" s="320">
        <v>18.690000000000001</v>
      </c>
      <c r="BO77" s="320">
        <v>-9999</v>
      </c>
      <c r="BP77" s="320">
        <v>-9999</v>
      </c>
      <c r="BQ77" s="320">
        <v>-9999</v>
      </c>
      <c r="BR77" s="320">
        <v>-9999</v>
      </c>
      <c r="BS77" s="320">
        <v>-9999</v>
      </c>
      <c r="BT77" s="320">
        <v>-9999</v>
      </c>
      <c r="BU77" s="320">
        <v>-9999</v>
      </c>
      <c r="BV77" s="320">
        <v>-9999</v>
      </c>
      <c r="BX77" s="320">
        <v>-9999</v>
      </c>
      <c r="BY77" s="320">
        <v>-9999</v>
      </c>
      <c r="BZ77" s="320">
        <v>-9999</v>
      </c>
      <c r="CA77" s="320" t="s">
        <v>797</v>
      </c>
      <c r="CC77" s="320">
        <v>1</v>
      </c>
      <c r="CD77" s="320">
        <v>8</v>
      </c>
      <c r="CE77" s="731">
        <v>21.09</v>
      </c>
      <c r="CF77" s="731"/>
      <c r="CG77" s="320">
        <v>9</v>
      </c>
      <c r="CH77" s="301" t="s">
        <v>2119</v>
      </c>
      <c r="CI77" s="301" t="s">
        <v>2126</v>
      </c>
      <c r="CJ77" s="320" t="s">
        <v>878</v>
      </c>
      <c r="CK77" s="32" t="s">
        <v>401</v>
      </c>
      <c r="CL77" s="32" t="s">
        <v>402</v>
      </c>
      <c r="CM77" s="267">
        <v>43.33</v>
      </c>
      <c r="CN77" s="267">
        <v>89.367000000000004</v>
      </c>
    </row>
    <row r="78" spans="1:92" s="320" customFormat="1" x14ac:dyDescent="0.2">
      <c r="A78" s="320" t="s">
        <v>1389</v>
      </c>
      <c r="B78" s="320" t="s">
        <v>810</v>
      </c>
      <c r="C78" s="320" t="s">
        <v>1752</v>
      </c>
      <c r="D78" s="320" t="s">
        <v>619</v>
      </c>
      <c r="E78" s="320" t="s">
        <v>1456</v>
      </c>
      <c r="F78" s="320">
        <v>1</v>
      </c>
      <c r="G78" s="320">
        <v>8</v>
      </c>
      <c r="H78" s="320">
        <v>9</v>
      </c>
      <c r="I78" s="320" t="s">
        <v>807</v>
      </c>
      <c r="J78" s="320">
        <v>1995</v>
      </c>
      <c r="K78" s="320" t="s">
        <v>1211</v>
      </c>
      <c r="L78" s="320">
        <v>2002</v>
      </c>
      <c r="M78" s="731">
        <v>-9999</v>
      </c>
      <c r="N78" s="731">
        <v>-9999</v>
      </c>
      <c r="P78" s="731">
        <v>145.44</v>
      </c>
      <c r="Q78" s="731">
        <v>-9999</v>
      </c>
      <c r="R78" s="731"/>
      <c r="S78" s="731"/>
      <c r="T78" s="731">
        <v>18.18</v>
      </c>
      <c r="U78" s="731">
        <v>-9999</v>
      </c>
      <c r="V78" s="731"/>
      <c r="W78" s="731">
        <v>-9999</v>
      </c>
      <c r="X78" s="731">
        <v>-9999</v>
      </c>
      <c r="Y78" s="731"/>
      <c r="Z78" s="320" t="s">
        <v>808</v>
      </c>
      <c r="AA78" s="320">
        <v>1075</v>
      </c>
      <c r="AB78" s="731">
        <v>1</v>
      </c>
      <c r="AC78" s="320">
        <v>-9999</v>
      </c>
      <c r="AD78" s="320">
        <v>18.600000000000001</v>
      </c>
      <c r="AE78" s="320" t="s">
        <v>1738</v>
      </c>
      <c r="AF78" s="320">
        <v>10</v>
      </c>
      <c r="AG78" s="320" t="s">
        <v>1741</v>
      </c>
      <c r="AH78" s="320" t="s">
        <v>1034</v>
      </c>
      <c r="AI78" s="320" t="s">
        <v>1739</v>
      </c>
      <c r="AJ78" s="320">
        <v>-9999</v>
      </c>
      <c r="AK78" s="320" t="s">
        <v>626</v>
      </c>
      <c r="AL78" s="320" t="s">
        <v>828</v>
      </c>
      <c r="AM78" s="320">
        <v>-9999</v>
      </c>
      <c r="AN78" s="320" t="s">
        <v>631</v>
      </c>
      <c r="AO78" s="320">
        <v>-9999</v>
      </c>
      <c r="AP78" s="320">
        <v>-9999</v>
      </c>
      <c r="AQ78" s="320" t="s">
        <v>631</v>
      </c>
      <c r="AR78" s="730">
        <v>0</v>
      </c>
      <c r="AS78" s="320">
        <v>-9999</v>
      </c>
      <c r="AT78" s="320">
        <v>-9999</v>
      </c>
      <c r="AU78" s="730">
        <v>0</v>
      </c>
      <c r="AV78" s="320">
        <v>-9999</v>
      </c>
      <c r="AW78" s="320">
        <v>-9999</v>
      </c>
      <c r="AX78" s="730">
        <v>0</v>
      </c>
      <c r="AY78" s="320">
        <v>-9999</v>
      </c>
      <c r="AZ78" s="320">
        <v>-9999</v>
      </c>
      <c r="BA78" s="320">
        <v>-9988</v>
      </c>
      <c r="BB78" s="320" t="s">
        <v>626</v>
      </c>
      <c r="BC78" s="320">
        <v>-9999</v>
      </c>
      <c r="BD78" s="320">
        <v>-9999</v>
      </c>
      <c r="BE78" s="320">
        <v>-9999</v>
      </c>
      <c r="BF78" s="320">
        <v>-9999</v>
      </c>
      <c r="BG78" s="320">
        <v>-9999</v>
      </c>
      <c r="BH78" s="320">
        <v>-9999</v>
      </c>
      <c r="BI78" s="320" t="s">
        <v>1035</v>
      </c>
      <c r="BJ78" s="320">
        <v>-9999</v>
      </c>
      <c r="BK78" s="320">
        <v>-9999</v>
      </c>
      <c r="BL78" s="320">
        <v>-9999</v>
      </c>
      <c r="BM78" s="320">
        <v>-9999</v>
      </c>
      <c r="BN78" s="320">
        <v>-9999</v>
      </c>
      <c r="BO78" s="320">
        <v>-9999</v>
      </c>
      <c r="BP78" s="320">
        <v>-9999</v>
      </c>
      <c r="BQ78" s="320">
        <v>-9999</v>
      </c>
      <c r="BR78" s="320">
        <v>-9999</v>
      </c>
      <c r="BS78" s="320">
        <v>-9999</v>
      </c>
      <c r="BT78" s="320">
        <v>-9999</v>
      </c>
      <c r="BU78" s="320">
        <v>-9999</v>
      </c>
      <c r="BV78" s="320">
        <v>-9999</v>
      </c>
      <c r="BX78" s="320">
        <v>-9999</v>
      </c>
      <c r="BY78" s="320">
        <v>-9999</v>
      </c>
      <c r="BZ78" s="320">
        <v>-9999</v>
      </c>
      <c r="CA78" s="320" t="s">
        <v>797</v>
      </c>
      <c r="CC78" s="320">
        <v>1</v>
      </c>
      <c r="CD78" s="320">
        <v>8</v>
      </c>
      <c r="CE78" s="731">
        <v>18.18</v>
      </c>
      <c r="CF78" s="731">
        <v>-9999</v>
      </c>
      <c r="CG78" s="320">
        <v>9</v>
      </c>
      <c r="CH78" s="301" t="s">
        <v>2119</v>
      </c>
      <c r="CI78" s="301" t="s">
        <v>2126</v>
      </c>
      <c r="CJ78" s="320" t="s">
        <v>878</v>
      </c>
      <c r="CK78" s="32" t="s">
        <v>401</v>
      </c>
      <c r="CL78" s="32" t="s">
        <v>402</v>
      </c>
      <c r="CM78" s="267">
        <v>43.33</v>
      </c>
      <c r="CN78" s="267">
        <v>89.367000000000004</v>
      </c>
    </row>
    <row r="79" spans="1:92" s="320" customFormat="1" x14ac:dyDescent="0.2">
      <c r="A79" s="320" t="s">
        <v>1389</v>
      </c>
      <c r="B79" s="320" t="s">
        <v>810</v>
      </c>
      <c r="C79" s="320" t="s">
        <v>1731</v>
      </c>
      <c r="D79" s="320" t="s">
        <v>619</v>
      </c>
      <c r="E79" s="320" t="s">
        <v>1457</v>
      </c>
      <c r="F79" s="320">
        <v>1</v>
      </c>
      <c r="G79" s="320">
        <v>8</v>
      </c>
      <c r="H79" s="320">
        <v>9</v>
      </c>
      <c r="I79" s="320" t="s">
        <v>807</v>
      </c>
      <c r="J79" s="320">
        <v>1995</v>
      </c>
      <c r="K79" s="320" t="s">
        <v>1211</v>
      </c>
      <c r="L79" s="320">
        <v>2002</v>
      </c>
      <c r="M79" s="731">
        <v>-9999</v>
      </c>
      <c r="N79" s="731">
        <v>-9999</v>
      </c>
      <c r="P79" s="731">
        <v>133.84</v>
      </c>
      <c r="Q79" s="731">
        <v>-9999</v>
      </c>
      <c r="R79" s="731"/>
      <c r="S79" s="731"/>
      <c r="T79" s="731">
        <v>16.73</v>
      </c>
      <c r="U79" s="731">
        <v>-9999</v>
      </c>
      <c r="V79" s="731"/>
      <c r="W79" s="731">
        <v>-9999</v>
      </c>
      <c r="X79" s="731">
        <v>-9999</v>
      </c>
      <c r="Y79" s="731"/>
      <c r="Z79" s="320" t="s">
        <v>808</v>
      </c>
      <c r="AA79" s="320">
        <v>1075</v>
      </c>
      <c r="AB79" s="731">
        <v>1</v>
      </c>
      <c r="AC79" s="320">
        <v>-9999</v>
      </c>
      <c r="AD79" s="320">
        <v>18.600000000000001</v>
      </c>
      <c r="AE79" s="320" t="s">
        <v>1738</v>
      </c>
      <c r="AF79" s="320">
        <v>10</v>
      </c>
      <c r="AG79" s="320" t="s">
        <v>1741</v>
      </c>
      <c r="AH79" s="320" t="s">
        <v>1034</v>
      </c>
      <c r="AI79" s="320" t="s">
        <v>1739</v>
      </c>
      <c r="AJ79" s="320">
        <v>-9999</v>
      </c>
      <c r="AK79" s="320" t="s">
        <v>626</v>
      </c>
      <c r="AL79" s="320" t="s">
        <v>828</v>
      </c>
      <c r="AM79" s="320">
        <v>-9999</v>
      </c>
      <c r="AN79" s="320" t="s">
        <v>631</v>
      </c>
      <c r="AO79" s="320">
        <v>-9999</v>
      </c>
      <c r="AP79" s="320">
        <v>-9999</v>
      </c>
      <c r="AQ79" s="320" t="s">
        <v>631</v>
      </c>
      <c r="AR79" s="730">
        <v>0</v>
      </c>
      <c r="AS79" s="320">
        <v>-9999</v>
      </c>
      <c r="AT79" s="320">
        <v>-9999</v>
      </c>
      <c r="AU79" s="730">
        <v>0</v>
      </c>
      <c r="AV79" s="320">
        <v>-9999</v>
      </c>
      <c r="AW79" s="320">
        <v>-9999</v>
      </c>
      <c r="AX79" s="730">
        <v>0</v>
      </c>
      <c r="AY79" s="320">
        <v>-9999</v>
      </c>
      <c r="AZ79" s="320">
        <v>-9999</v>
      </c>
      <c r="BA79" s="320">
        <v>-9988</v>
      </c>
      <c r="BB79" s="320" t="s">
        <v>626</v>
      </c>
      <c r="BC79" s="320">
        <v>-9999</v>
      </c>
      <c r="BD79" s="320">
        <v>-9999</v>
      </c>
      <c r="BE79" s="320">
        <v>-9999</v>
      </c>
      <c r="BF79" s="320">
        <v>-9999</v>
      </c>
      <c r="BG79" s="320">
        <v>-9999</v>
      </c>
      <c r="BH79" s="320">
        <v>-9999</v>
      </c>
      <c r="BI79" s="320" t="s">
        <v>1035</v>
      </c>
      <c r="BJ79" s="320">
        <v>-9999</v>
      </c>
      <c r="BK79" s="320">
        <v>-9999</v>
      </c>
      <c r="BL79" s="320">
        <v>-9999</v>
      </c>
      <c r="BM79" s="320">
        <v>-9999</v>
      </c>
      <c r="BN79" s="320">
        <v>-9999</v>
      </c>
      <c r="BO79" s="320">
        <v>-9999</v>
      </c>
      <c r="BP79" s="320">
        <v>-9999</v>
      </c>
      <c r="BQ79" s="320">
        <v>-9999</v>
      </c>
      <c r="BR79" s="320">
        <v>-9999</v>
      </c>
      <c r="BS79" s="320">
        <v>-9999</v>
      </c>
      <c r="BT79" s="320">
        <v>-9999</v>
      </c>
      <c r="BU79" s="320">
        <v>-9999</v>
      </c>
      <c r="BV79" s="320">
        <v>-9999</v>
      </c>
      <c r="BX79" s="320">
        <v>-9999</v>
      </c>
      <c r="BY79" s="320">
        <v>-9999</v>
      </c>
      <c r="BZ79" s="320">
        <v>-9999</v>
      </c>
      <c r="CA79" s="320" t="s">
        <v>797</v>
      </c>
      <c r="CC79" s="320">
        <v>1</v>
      </c>
      <c r="CD79" s="320">
        <v>8</v>
      </c>
      <c r="CE79" s="731">
        <v>16.73</v>
      </c>
      <c r="CF79" s="731">
        <v>-9999</v>
      </c>
      <c r="CG79" s="320">
        <v>9</v>
      </c>
      <c r="CH79" s="301" t="s">
        <v>2119</v>
      </c>
      <c r="CI79" s="301" t="s">
        <v>2126</v>
      </c>
      <c r="CK79" s="32" t="s">
        <v>401</v>
      </c>
      <c r="CL79" s="32" t="s">
        <v>402</v>
      </c>
      <c r="CM79" s="267">
        <v>43.33</v>
      </c>
      <c r="CN79" s="267">
        <v>89.367000000000004</v>
      </c>
    </row>
    <row r="80" spans="1:92" s="320" customFormat="1" x14ac:dyDescent="0.2">
      <c r="A80" s="320" t="s">
        <v>1389</v>
      </c>
      <c r="B80" s="320" t="s">
        <v>811</v>
      </c>
      <c r="C80" s="320" t="s">
        <v>1454</v>
      </c>
      <c r="D80" s="320" t="s">
        <v>619</v>
      </c>
      <c r="E80" s="320" t="s">
        <v>1392</v>
      </c>
      <c r="F80" s="320">
        <v>1</v>
      </c>
      <c r="G80" s="320">
        <v>9</v>
      </c>
      <c r="H80" s="320">
        <v>10</v>
      </c>
      <c r="I80" s="320" t="s">
        <v>807</v>
      </c>
      <c r="J80" s="320">
        <v>1995</v>
      </c>
      <c r="K80" s="320" t="s">
        <v>1211</v>
      </c>
      <c r="L80" s="320">
        <v>2003</v>
      </c>
      <c r="M80" s="731">
        <v>-9999</v>
      </c>
      <c r="N80" s="731">
        <v>-9999</v>
      </c>
      <c r="P80" s="731">
        <v>220.68</v>
      </c>
      <c r="Q80" s="731">
        <v>-9999</v>
      </c>
      <c r="R80" s="731"/>
      <c r="S80" s="731"/>
      <c r="T80" s="731">
        <v>24.52</v>
      </c>
      <c r="U80" s="731">
        <v>-9999</v>
      </c>
      <c r="V80" s="731"/>
      <c r="W80" s="731">
        <v>-9999</v>
      </c>
      <c r="X80" s="731">
        <v>-9999</v>
      </c>
      <c r="Y80" s="731"/>
      <c r="Z80" s="320" t="s">
        <v>808</v>
      </c>
      <c r="AA80" s="320">
        <v>1075</v>
      </c>
      <c r="AB80" s="731">
        <v>1</v>
      </c>
      <c r="AC80" s="320">
        <v>-9999</v>
      </c>
      <c r="AD80" s="320">
        <v>18.600000000000001</v>
      </c>
      <c r="AE80" s="320" t="s">
        <v>1738</v>
      </c>
      <c r="AF80" s="320">
        <v>10</v>
      </c>
      <c r="AG80" s="320" t="s">
        <v>1741</v>
      </c>
      <c r="AH80" s="320" t="s">
        <v>1034</v>
      </c>
      <c r="AI80" s="320" t="s">
        <v>1739</v>
      </c>
      <c r="AJ80" s="320">
        <v>-9999</v>
      </c>
      <c r="AK80" s="320" t="s">
        <v>626</v>
      </c>
      <c r="AL80" s="320" t="s">
        <v>828</v>
      </c>
      <c r="AM80" s="320">
        <v>-9999</v>
      </c>
      <c r="AN80" s="320" t="s">
        <v>631</v>
      </c>
      <c r="AO80" s="320">
        <v>-9999</v>
      </c>
      <c r="AP80" s="320">
        <v>-9999</v>
      </c>
      <c r="AQ80" s="320" t="s">
        <v>631</v>
      </c>
      <c r="AR80" s="730">
        <v>0</v>
      </c>
      <c r="AS80" s="320">
        <v>-9999</v>
      </c>
      <c r="AT80" s="320">
        <v>-9999</v>
      </c>
      <c r="AU80" s="730">
        <v>0</v>
      </c>
      <c r="AV80" s="320">
        <v>-9999</v>
      </c>
      <c r="AW80" s="320">
        <v>-9999</v>
      </c>
      <c r="AX80" s="730">
        <v>0</v>
      </c>
      <c r="AY80" s="320">
        <v>-9999</v>
      </c>
      <c r="AZ80" s="320">
        <v>-9999</v>
      </c>
      <c r="BA80" s="320">
        <v>-9988</v>
      </c>
      <c r="BB80" s="320" t="s">
        <v>626</v>
      </c>
      <c r="BC80" s="320">
        <v>-9999</v>
      </c>
      <c r="BD80" s="320">
        <v>-9999</v>
      </c>
      <c r="BE80" s="320">
        <v>-9999</v>
      </c>
      <c r="BF80" s="320">
        <v>-9999</v>
      </c>
      <c r="BG80" s="320">
        <v>-9999</v>
      </c>
      <c r="BH80" s="320">
        <v>-9999</v>
      </c>
      <c r="BI80" s="320" t="s">
        <v>1035</v>
      </c>
      <c r="BJ80" s="320">
        <v>-9999</v>
      </c>
      <c r="BK80" s="320">
        <v>-9999</v>
      </c>
      <c r="BL80" s="320">
        <v>-9999</v>
      </c>
      <c r="BM80" s="320">
        <v>-9999</v>
      </c>
      <c r="BN80" s="320">
        <v>-9999</v>
      </c>
      <c r="BO80" s="320">
        <v>-9999</v>
      </c>
      <c r="BP80" s="320">
        <v>-9999</v>
      </c>
      <c r="BQ80" s="320">
        <v>-9999</v>
      </c>
      <c r="BR80" s="320">
        <v>-9999</v>
      </c>
      <c r="BS80" s="320">
        <v>-9999</v>
      </c>
      <c r="BT80" s="320">
        <v>-9999</v>
      </c>
      <c r="BU80" s="320">
        <v>-9999</v>
      </c>
      <c r="BV80" s="320">
        <v>-9999</v>
      </c>
      <c r="BX80" s="320">
        <v>-9999</v>
      </c>
      <c r="BY80" s="320">
        <v>-9999</v>
      </c>
      <c r="BZ80" s="320">
        <v>-9999</v>
      </c>
      <c r="CA80" s="320" t="s">
        <v>797</v>
      </c>
      <c r="CC80" s="320">
        <v>1</v>
      </c>
      <c r="CD80" s="320">
        <v>9</v>
      </c>
      <c r="CE80" s="731">
        <v>24.52</v>
      </c>
      <c r="CF80" s="731"/>
      <c r="CG80" s="320">
        <v>10</v>
      </c>
      <c r="CH80" s="301" t="s">
        <v>2119</v>
      </c>
      <c r="CI80" s="301" t="s">
        <v>2126</v>
      </c>
      <c r="CJ80" s="320" t="s">
        <v>878</v>
      </c>
      <c r="CK80" s="32" t="s">
        <v>401</v>
      </c>
      <c r="CL80" s="32" t="s">
        <v>402</v>
      </c>
      <c r="CM80" s="267">
        <v>43.33</v>
      </c>
      <c r="CN80" s="267">
        <v>89.367000000000004</v>
      </c>
    </row>
    <row r="81" spans="1:92" s="320" customFormat="1" x14ac:dyDescent="0.2">
      <c r="A81" s="320" t="s">
        <v>1389</v>
      </c>
      <c r="B81" s="320" t="s">
        <v>811</v>
      </c>
      <c r="C81" s="320" t="s">
        <v>1751</v>
      </c>
      <c r="D81" s="320" t="s">
        <v>619</v>
      </c>
      <c r="E81" s="320" t="s">
        <v>1456</v>
      </c>
      <c r="F81" s="320">
        <v>1</v>
      </c>
      <c r="G81" s="320">
        <v>9</v>
      </c>
      <c r="H81" s="320">
        <v>10</v>
      </c>
      <c r="I81" s="320" t="s">
        <v>807</v>
      </c>
      <c r="J81" s="320">
        <v>1995</v>
      </c>
      <c r="K81" s="320" t="s">
        <v>1211</v>
      </c>
      <c r="L81" s="320">
        <v>2003</v>
      </c>
      <c r="M81" s="731">
        <v>-9999</v>
      </c>
      <c r="N81" s="731">
        <v>-9999</v>
      </c>
      <c r="P81" s="731">
        <v>166.6</v>
      </c>
      <c r="Q81" s="731">
        <v>-9999</v>
      </c>
      <c r="R81" s="731"/>
      <c r="S81" s="731"/>
      <c r="T81" s="731">
        <v>16.66</v>
      </c>
      <c r="U81" s="731">
        <v>-9999</v>
      </c>
      <c r="V81" s="731"/>
      <c r="W81" s="731">
        <v>-9999</v>
      </c>
      <c r="X81" s="731">
        <v>-9999</v>
      </c>
      <c r="Y81" s="731"/>
      <c r="Z81" s="320" t="s">
        <v>808</v>
      </c>
      <c r="AA81" s="320">
        <v>1075</v>
      </c>
      <c r="AB81" s="731">
        <v>1</v>
      </c>
      <c r="AC81" s="320">
        <v>-9999</v>
      </c>
      <c r="AD81" s="320">
        <v>18.600000000000001</v>
      </c>
      <c r="AE81" s="320" t="s">
        <v>1738</v>
      </c>
      <c r="AF81" s="320">
        <v>10</v>
      </c>
      <c r="AG81" s="320" t="s">
        <v>1741</v>
      </c>
      <c r="AH81" s="320" t="s">
        <v>1034</v>
      </c>
      <c r="AI81" s="320" t="s">
        <v>1739</v>
      </c>
      <c r="AJ81" s="320">
        <v>-9999</v>
      </c>
      <c r="AK81" s="320" t="s">
        <v>626</v>
      </c>
      <c r="AL81" s="320" t="s">
        <v>828</v>
      </c>
      <c r="AM81" s="320">
        <v>-9999</v>
      </c>
      <c r="AN81" s="320" t="s">
        <v>631</v>
      </c>
      <c r="AO81" s="320">
        <v>-9999</v>
      </c>
      <c r="AP81" s="320">
        <v>-9999</v>
      </c>
      <c r="AQ81" s="320" t="s">
        <v>631</v>
      </c>
      <c r="AR81" s="730">
        <v>0</v>
      </c>
      <c r="AS81" s="320">
        <v>-9999</v>
      </c>
      <c r="AT81" s="320">
        <v>-9999</v>
      </c>
      <c r="AU81" s="730">
        <v>0</v>
      </c>
      <c r="AV81" s="320">
        <v>-9999</v>
      </c>
      <c r="AW81" s="320">
        <v>-9999</v>
      </c>
      <c r="AX81" s="730">
        <v>0</v>
      </c>
      <c r="AY81" s="320">
        <v>-9999</v>
      </c>
      <c r="AZ81" s="320">
        <v>-9999</v>
      </c>
      <c r="BA81" s="320">
        <v>-9988</v>
      </c>
      <c r="BB81" s="320" t="s">
        <v>626</v>
      </c>
      <c r="BC81" s="320">
        <v>-9999</v>
      </c>
      <c r="BD81" s="320">
        <v>-9999</v>
      </c>
      <c r="BE81" s="320">
        <v>-9999</v>
      </c>
      <c r="BF81" s="320">
        <v>-9999</v>
      </c>
      <c r="BG81" s="320">
        <v>-9999</v>
      </c>
      <c r="BH81" s="320">
        <v>-9999</v>
      </c>
      <c r="BI81" s="320" t="s">
        <v>1035</v>
      </c>
      <c r="BJ81" s="320">
        <v>-9999</v>
      </c>
      <c r="BK81" s="320">
        <v>-9999</v>
      </c>
      <c r="BL81" s="320">
        <v>-9999</v>
      </c>
      <c r="BM81" s="320">
        <v>-9999</v>
      </c>
      <c r="BN81" s="320">
        <v>-9999</v>
      </c>
      <c r="BO81" s="320">
        <v>-9999</v>
      </c>
      <c r="BP81" s="320">
        <v>-9999</v>
      </c>
      <c r="BQ81" s="320">
        <v>-9999</v>
      </c>
      <c r="BR81" s="320">
        <v>-9999</v>
      </c>
      <c r="BS81" s="320">
        <v>-9999</v>
      </c>
      <c r="BT81" s="320">
        <v>-9999</v>
      </c>
      <c r="BU81" s="320">
        <v>-9999</v>
      </c>
      <c r="BV81" s="320">
        <v>-9999</v>
      </c>
      <c r="BX81" s="320">
        <v>-9999</v>
      </c>
      <c r="BY81" s="320">
        <v>-9999</v>
      </c>
      <c r="BZ81" s="320">
        <v>-9999</v>
      </c>
      <c r="CA81" s="320" t="s">
        <v>797</v>
      </c>
      <c r="CC81" s="320">
        <v>1</v>
      </c>
      <c r="CD81" s="320">
        <v>9</v>
      </c>
      <c r="CE81" s="731">
        <v>16.66</v>
      </c>
      <c r="CF81" s="731">
        <v>-9999</v>
      </c>
      <c r="CG81" s="320">
        <v>10</v>
      </c>
      <c r="CH81" s="301" t="s">
        <v>2119</v>
      </c>
      <c r="CI81" s="301" t="s">
        <v>2126</v>
      </c>
      <c r="CJ81" s="320" t="s">
        <v>878</v>
      </c>
      <c r="CK81" s="32" t="s">
        <v>401</v>
      </c>
      <c r="CL81" s="32" t="s">
        <v>402</v>
      </c>
      <c r="CM81" s="267">
        <v>43.33</v>
      </c>
      <c r="CN81" s="267">
        <v>89.367000000000004</v>
      </c>
    </row>
    <row r="82" spans="1:92" s="320" customFormat="1" x14ac:dyDescent="0.2">
      <c r="A82" s="320" t="s">
        <v>1389</v>
      </c>
      <c r="B82" s="320" t="s">
        <v>810</v>
      </c>
      <c r="C82" s="320" t="s">
        <v>1453</v>
      </c>
      <c r="D82" s="320" t="s">
        <v>619</v>
      </c>
      <c r="E82" s="320" t="s">
        <v>1393</v>
      </c>
      <c r="F82" s="320">
        <v>1</v>
      </c>
      <c r="G82" s="320">
        <v>6</v>
      </c>
      <c r="H82" s="320">
        <v>7</v>
      </c>
      <c r="I82" s="320" t="s">
        <v>807</v>
      </c>
      <c r="J82" s="320">
        <v>1997</v>
      </c>
      <c r="K82" s="320" t="s">
        <v>1211</v>
      </c>
      <c r="L82" s="320">
        <v>2002</v>
      </c>
      <c r="M82" s="731">
        <v>-9999</v>
      </c>
      <c r="N82" s="731">
        <v>-9999</v>
      </c>
      <c r="P82" s="731">
        <v>125.39999999999999</v>
      </c>
      <c r="Q82" s="731">
        <v>-9999</v>
      </c>
      <c r="R82" s="731"/>
      <c r="S82" s="731"/>
      <c r="T82" s="731">
        <v>20.9</v>
      </c>
      <c r="U82" s="731">
        <v>1.29</v>
      </c>
      <c r="V82" s="731"/>
      <c r="W82" s="731">
        <v>-9999</v>
      </c>
      <c r="X82" s="731">
        <v>-9999</v>
      </c>
      <c r="Y82" s="731"/>
      <c r="Z82" s="320" t="s">
        <v>808</v>
      </c>
      <c r="AA82" s="320">
        <v>1075</v>
      </c>
      <c r="AB82" s="731">
        <v>1</v>
      </c>
      <c r="AC82" s="320">
        <v>-9999</v>
      </c>
      <c r="AD82" s="320">
        <v>18.600000000000001</v>
      </c>
      <c r="AE82" s="320" t="s">
        <v>1738</v>
      </c>
      <c r="AF82" s="320">
        <v>10</v>
      </c>
      <c r="AG82" s="320" t="s">
        <v>1033</v>
      </c>
      <c r="AH82" s="320" t="s">
        <v>1034</v>
      </c>
      <c r="AI82" s="320" t="s">
        <v>1739</v>
      </c>
      <c r="AJ82" s="320">
        <v>-9999</v>
      </c>
      <c r="AK82" s="320" t="s">
        <v>626</v>
      </c>
      <c r="AL82" s="320" t="s">
        <v>828</v>
      </c>
      <c r="AM82" s="320">
        <v>-9999</v>
      </c>
      <c r="AN82" s="320" t="s">
        <v>631</v>
      </c>
      <c r="AO82" s="320">
        <v>-9999</v>
      </c>
      <c r="AP82" s="320">
        <v>-9999</v>
      </c>
      <c r="AQ82" s="320" t="s">
        <v>631</v>
      </c>
      <c r="AR82" s="730">
        <v>0</v>
      </c>
      <c r="AS82" s="320">
        <v>-9999</v>
      </c>
      <c r="AT82" s="320">
        <v>-9999</v>
      </c>
      <c r="AU82" s="730">
        <v>0</v>
      </c>
      <c r="AV82" s="320">
        <v>-9999</v>
      </c>
      <c r="AW82" s="320">
        <v>-9999</v>
      </c>
      <c r="AX82" s="730">
        <v>0</v>
      </c>
      <c r="AY82" s="320">
        <v>-9999</v>
      </c>
      <c r="AZ82" s="320">
        <v>-9999</v>
      </c>
      <c r="BA82" s="320">
        <v>-9988</v>
      </c>
      <c r="BB82" s="320" t="s">
        <v>626</v>
      </c>
      <c r="BC82" s="320">
        <v>-9999</v>
      </c>
      <c r="BD82" s="320">
        <v>-9999</v>
      </c>
      <c r="BE82" s="320">
        <v>-9999</v>
      </c>
      <c r="BF82" s="320">
        <v>-9999</v>
      </c>
      <c r="BG82" s="320">
        <v>-9999</v>
      </c>
      <c r="BH82" s="320">
        <v>-9999</v>
      </c>
      <c r="BI82" s="320" t="s">
        <v>1035</v>
      </c>
      <c r="BJ82" s="320">
        <v>-9999</v>
      </c>
      <c r="BK82" s="320">
        <v>-9999</v>
      </c>
      <c r="BL82" s="320">
        <v>-9999</v>
      </c>
      <c r="BM82" s="320">
        <v>-9999</v>
      </c>
      <c r="BN82" s="320">
        <v>-9999</v>
      </c>
      <c r="BO82" s="320">
        <v>-9999</v>
      </c>
      <c r="BP82" s="320">
        <v>-9999</v>
      </c>
      <c r="BQ82" s="320">
        <v>-9999</v>
      </c>
      <c r="BR82" s="320">
        <v>-9999</v>
      </c>
      <c r="BS82" s="320">
        <v>-9999</v>
      </c>
      <c r="BT82" s="320">
        <v>-9999</v>
      </c>
      <c r="BU82" s="320">
        <v>-9999</v>
      </c>
      <c r="BV82" s="320">
        <v>-9999</v>
      </c>
      <c r="BX82" s="320">
        <v>-9999</v>
      </c>
      <c r="BY82" s="320">
        <v>-9999</v>
      </c>
      <c r="BZ82" s="320">
        <v>-9999</v>
      </c>
      <c r="CA82" s="320" t="s">
        <v>797</v>
      </c>
      <c r="CC82" s="320">
        <v>1</v>
      </c>
      <c r="CD82" s="320">
        <v>6</v>
      </c>
      <c r="CE82" s="731">
        <v>20.9</v>
      </c>
      <c r="CF82" s="731"/>
      <c r="CG82" s="320">
        <v>7</v>
      </c>
      <c r="CH82" s="301" t="s">
        <v>2121</v>
      </c>
      <c r="CI82" s="301" t="s">
        <v>2126</v>
      </c>
      <c r="CK82" s="32" t="s">
        <v>401</v>
      </c>
      <c r="CL82" s="32" t="s">
        <v>402</v>
      </c>
      <c r="CM82" s="267">
        <v>43.33</v>
      </c>
      <c r="CN82" s="267">
        <v>89.367000000000004</v>
      </c>
    </row>
    <row r="83" spans="1:92" s="320" customFormat="1" x14ac:dyDescent="0.2">
      <c r="A83" s="320" t="s">
        <v>1389</v>
      </c>
      <c r="B83" s="320" t="s">
        <v>811</v>
      </c>
      <c r="C83" s="320" t="s">
        <v>1455</v>
      </c>
      <c r="D83" s="320" t="s">
        <v>619</v>
      </c>
      <c r="E83" s="320" t="s">
        <v>1394</v>
      </c>
      <c r="F83" s="320">
        <v>1</v>
      </c>
      <c r="G83" s="320">
        <v>7</v>
      </c>
      <c r="H83" s="320">
        <v>8</v>
      </c>
      <c r="I83" s="320" t="s">
        <v>807</v>
      </c>
      <c r="J83" s="320">
        <v>1997</v>
      </c>
      <c r="K83" s="320" t="s">
        <v>1211</v>
      </c>
      <c r="L83" s="320">
        <v>2003</v>
      </c>
      <c r="M83" s="731">
        <v>-9999</v>
      </c>
      <c r="N83" s="731">
        <v>-9999</v>
      </c>
      <c r="P83" s="731">
        <v>146.01999999999998</v>
      </c>
      <c r="Q83" s="731">
        <v>-9999</v>
      </c>
      <c r="R83" s="731"/>
      <c r="S83" s="731"/>
      <c r="T83" s="731">
        <v>20.86</v>
      </c>
      <c r="U83" s="731">
        <v>-9999</v>
      </c>
      <c r="V83" s="731"/>
      <c r="W83" s="731">
        <v>-9999</v>
      </c>
      <c r="X83" s="731">
        <v>-9999</v>
      </c>
      <c r="Y83" s="731"/>
      <c r="Z83" s="320" t="s">
        <v>808</v>
      </c>
      <c r="AA83" s="320">
        <v>1075</v>
      </c>
      <c r="AB83" s="731">
        <v>1</v>
      </c>
      <c r="AC83" s="320">
        <v>-9999</v>
      </c>
      <c r="AD83" s="320">
        <v>18.600000000000001</v>
      </c>
      <c r="AE83" s="320" t="s">
        <v>1738</v>
      </c>
      <c r="AF83" s="320">
        <v>10</v>
      </c>
      <c r="AG83" s="320" t="s">
        <v>1033</v>
      </c>
      <c r="AH83" s="320" t="s">
        <v>1034</v>
      </c>
      <c r="AI83" s="320" t="s">
        <v>1739</v>
      </c>
      <c r="AJ83" s="320">
        <v>-9999</v>
      </c>
      <c r="AK83" s="320" t="s">
        <v>626</v>
      </c>
      <c r="AL83" s="320" t="s">
        <v>828</v>
      </c>
      <c r="AM83" s="320">
        <v>-9999</v>
      </c>
      <c r="AN83" s="320" t="s">
        <v>631</v>
      </c>
      <c r="AO83" s="320">
        <v>-9999</v>
      </c>
      <c r="AP83" s="320">
        <v>-9999</v>
      </c>
      <c r="AQ83" s="320" t="s">
        <v>631</v>
      </c>
      <c r="AR83" s="730">
        <v>0</v>
      </c>
      <c r="AS83" s="320">
        <v>-9999</v>
      </c>
      <c r="AT83" s="320">
        <v>-9999</v>
      </c>
      <c r="AU83" s="730">
        <v>0</v>
      </c>
      <c r="AV83" s="320">
        <v>-9999</v>
      </c>
      <c r="AW83" s="320">
        <v>-9999</v>
      </c>
      <c r="AX83" s="730">
        <v>0</v>
      </c>
      <c r="AY83" s="320">
        <v>-9999</v>
      </c>
      <c r="AZ83" s="320">
        <v>-9999</v>
      </c>
      <c r="BA83" s="320">
        <v>-9988</v>
      </c>
      <c r="BB83" s="320" t="s">
        <v>626</v>
      </c>
      <c r="BC83" s="320">
        <v>-9999</v>
      </c>
      <c r="BD83" s="320">
        <v>-9999</v>
      </c>
      <c r="BE83" s="320">
        <v>-9999</v>
      </c>
      <c r="BF83" s="320">
        <v>-9999</v>
      </c>
      <c r="BG83" s="320">
        <v>-9999</v>
      </c>
      <c r="BH83" s="320">
        <v>-9999</v>
      </c>
      <c r="BI83" s="320" t="s">
        <v>1035</v>
      </c>
      <c r="BJ83" s="320">
        <v>-9999</v>
      </c>
      <c r="BK83" s="320">
        <v>-9999</v>
      </c>
      <c r="BL83" s="320">
        <v>-9999</v>
      </c>
      <c r="BM83" s="320">
        <v>-9999</v>
      </c>
      <c r="BN83" s="320">
        <v>-9999</v>
      </c>
      <c r="BO83" s="320">
        <v>-9999</v>
      </c>
      <c r="BP83" s="320">
        <v>-9999</v>
      </c>
      <c r="BQ83" s="320">
        <v>-9999</v>
      </c>
      <c r="BR83" s="320">
        <v>-9999</v>
      </c>
      <c r="BS83" s="320">
        <v>-9999</v>
      </c>
      <c r="BT83" s="320">
        <v>-9999</v>
      </c>
      <c r="BU83" s="320">
        <v>-9999</v>
      </c>
      <c r="BV83" s="320">
        <v>-9999</v>
      </c>
      <c r="BX83" s="320">
        <v>-9999</v>
      </c>
      <c r="BY83" s="320">
        <v>-9999</v>
      </c>
      <c r="BZ83" s="320">
        <v>-9999</v>
      </c>
      <c r="CA83" s="320" t="s">
        <v>797</v>
      </c>
      <c r="CC83" s="320">
        <v>1</v>
      </c>
      <c r="CD83" s="320">
        <v>7</v>
      </c>
      <c r="CE83" s="731">
        <v>20.86</v>
      </c>
      <c r="CF83" s="731">
        <v>-9999</v>
      </c>
      <c r="CG83" s="320">
        <v>8</v>
      </c>
      <c r="CH83" s="301" t="s">
        <v>2121</v>
      </c>
      <c r="CI83" s="301" t="s">
        <v>2126</v>
      </c>
      <c r="CK83" s="32" t="s">
        <v>401</v>
      </c>
      <c r="CL83" s="32" t="s">
        <v>402</v>
      </c>
      <c r="CM83" s="267">
        <v>43.33</v>
      </c>
      <c r="CN83" s="267">
        <v>89.367000000000004</v>
      </c>
    </row>
    <row r="84" spans="1:92" s="320" customFormat="1" x14ac:dyDescent="0.2">
      <c r="A84" s="320" t="s">
        <v>1389</v>
      </c>
      <c r="B84" s="320" t="s">
        <v>1742</v>
      </c>
      <c r="C84" s="320" t="s">
        <v>1750</v>
      </c>
      <c r="D84" s="320" t="s">
        <v>619</v>
      </c>
      <c r="E84" s="320" t="s">
        <v>1744</v>
      </c>
      <c r="F84" s="320">
        <v>1</v>
      </c>
      <c r="G84" s="320">
        <v>7</v>
      </c>
      <c r="H84" s="320">
        <v>7</v>
      </c>
      <c r="I84" s="320" t="s">
        <v>807</v>
      </c>
      <c r="J84" s="320">
        <v>2000</v>
      </c>
      <c r="K84" s="320" t="s">
        <v>1211</v>
      </c>
      <c r="L84" s="320">
        <v>2006</v>
      </c>
      <c r="M84" s="731">
        <v>-9999</v>
      </c>
      <c r="N84" s="731">
        <v>-9999</v>
      </c>
      <c r="P84" s="731">
        <v>93.067099999999996</v>
      </c>
      <c r="Q84" s="731">
        <v>-9999</v>
      </c>
      <c r="R84" s="731"/>
      <c r="S84" s="731"/>
      <c r="T84" s="731">
        <v>13.295299999999999</v>
      </c>
      <c r="U84" s="731">
        <v>-9999</v>
      </c>
      <c r="V84" s="731"/>
      <c r="W84" s="731">
        <v>31.617440000000002</v>
      </c>
      <c r="X84" s="731">
        <v>-9999</v>
      </c>
      <c r="Y84" s="731"/>
      <c r="Z84" s="320" t="s">
        <v>808</v>
      </c>
      <c r="AA84" s="320">
        <v>1075</v>
      </c>
      <c r="AB84" s="731">
        <v>1</v>
      </c>
      <c r="AC84" s="320">
        <v>-9999</v>
      </c>
      <c r="AD84" s="320">
        <v>18.600000000000001</v>
      </c>
      <c r="AE84" s="320" t="s">
        <v>1738</v>
      </c>
      <c r="AF84" s="320">
        <v>5</v>
      </c>
      <c r="AG84" s="320" t="s">
        <v>1748</v>
      </c>
      <c r="AH84" s="320" t="s">
        <v>1745</v>
      </c>
      <c r="AI84" s="320" t="s">
        <v>834</v>
      </c>
      <c r="AJ84" s="320">
        <v>-9999</v>
      </c>
      <c r="AK84" s="320" t="s">
        <v>626</v>
      </c>
      <c r="AL84" s="320" t="s">
        <v>828</v>
      </c>
      <c r="AM84" s="320">
        <v>-9999</v>
      </c>
      <c r="AN84" s="320" t="s">
        <v>631</v>
      </c>
      <c r="AO84" s="320">
        <v>-9999</v>
      </c>
      <c r="AP84" s="320">
        <v>-9999</v>
      </c>
      <c r="AQ84" s="320" t="s">
        <v>631</v>
      </c>
      <c r="AR84" s="730">
        <v>0</v>
      </c>
      <c r="AS84" s="320">
        <v>-9999</v>
      </c>
      <c r="AT84" s="320">
        <v>-9999</v>
      </c>
      <c r="AU84" s="730">
        <v>0</v>
      </c>
      <c r="AV84" s="320">
        <v>-9999</v>
      </c>
      <c r="AW84" s="320">
        <v>-9999</v>
      </c>
      <c r="AX84" s="730">
        <v>0</v>
      </c>
      <c r="AY84" s="320">
        <v>-9999</v>
      </c>
      <c r="AZ84" s="320">
        <v>-9999</v>
      </c>
      <c r="BA84" s="320">
        <v>-9988</v>
      </c>
      <c r="BB84" s="320" t="s">
        <v>626</v>
      </c>
      <c r="BC84" s="320">
        <v>-9999</v>
      </c>
      <c r="BD84" s="320">
        <v>-9999</v>
      </c>
      <c r="BE84" s="320">
        <v>-9999</v>
      </c>
      <c r="BF84" s="320">
        <v>-9999</v>
      </c>
      <c r="BG84" s="320">
        <v>-9999</v>
      </c>
      <c r="BH84" s="320">
        <v>-9999</v>
      </c>
      <c r="BI84" s="320" t="s">
        <v>1035</v>
      </c>
      <c r="BJ84" s="320">
        <v>-9999</v>
      </c>
      <c r="BK84" s="320">
        <v>-9999</v>
      </c>
      <c r="BL84" s="320">
        <v>-9999</v>
      </c>
      <c r="BM84" s="320">
        <v>-9999</v>
      </c>
      <c r="BN84" s="320">
        <v>-9999</v>
      </c>
      <c r="BO84" s="320">
        <v>-9999</v>
      </c>
      <c r="BP84" s="320">
        <v>-9999</v>
      </c>
      <c r="BQ84" s="320">
        <v>-9999</v>
      </c>
      <c r="BR84" s="320">
        <v>-9999</v>
      </c>
      <c r="BS84" s="320">
        <v>-9999</v>
      </c>
      <c r="BT84" s="320">
        <v>-9999</v>
      </c>
      <c r="BU84" s="320">
        <v>-9999</v>
      </c>
      <c r="BV84" s="320">
        <v>-9999</v>
      </c>
      <c r="BX84" s="320">
        <v>-9999</v>
      </c>
      <c r="BY84" s="320">
        <v>-9999</v>
      </c>
      <c r="BZ84" s="320">
        <v>-9999</v>
      </c>
      <c r="CA84" s="320" t="s">
        <v>797</v>
      </c>
      <c r="CC84" s="320">
        <v>1</v>
      </c>
      <c r="CD84" s="320">
        <v>7</v>
      </c>
      <c r="CE84" s="731">
        <v>13.295299999999999</v>
      </c>
      <c r="CF84" s="731">
        <v>31.617440000000002</v>
      </c>
      <c r="CG84" s="320">
        <v>7</v>
      </c>
      <c r="CH84" s="301" t="s">
        <v>2121</v>
      </c>
      <c r="CI84" s="320" t="s">
        <v>2125</v>
      </c>
      <c r="CK84" s="32" t="s">
        <v>401</v>
      </c>
      <c r="CL84" s="32" t="s">
        <v>402</v>
      </c>
      <c r="CM84" s="267">
        <v>43.33</v>
      </c>
      <c r="CN84" s="267">
        <v>89.367000000000004</v>
      </c>
    </row>
    <row r="85" spans="1:92" s="320" customFormat="1" x14ac:dyDescent="0.2">
      <c r="A85" s="320" t="s">
        <v>1482</v>
      </c>
      <c r="M85" s="731"/>
      <c r="N85" s="731"/>
      <c r="P85" s="731"/>
      <c r="Q85" s="731"/>
      <c r="R85" s="731"/>
      <c r="S85" s="731"/>
      <c r="T85" s="731"/>
      <c r="U85" s="731"/>
      <c r="V85" s="731"/>
      <c r="W85" s="731"/>
      <c r="X85" s="731"/>
      <c r="Y85" s="731"/>
      <c r="AB85" s="731"/>
      <c r="AR85" s="730"/>
      <c r="AU85" s="730"/>
      <c r="AX85" s="730"/>
      <c r="CE85" s="731"/>
      <c r="CF85" s="731"/>
      <c r="CH85" s="322"/>
    </row>
    <row r="86" spans="1:92" s="320" customFormat="1" x14ac:dyDescent="0.2">
      <c r="A86" s="320" t="s">
        <v>366</v>
      </c>
      <c r="B86" s="320" t="s">
        <v>2132</v>
      </c>
      <c r="C86" s="320" t="s">
        <v>1562</v>
      </c>
      <c r="D86" s="320" t="s">
        <v>1560</v>
      </c>
      <c r="E86" s="320" t="s">
        <v>1460</v>
      </c>
      <c r="F86" s="320">
        <v>2</v>
      </c>
      <c r="G86" s="320">
        <v>2</v>
      </c>
      <c r="H86" s="320">
        <v>4</v>
      </c>
      <c r="I86" s="320" t="s">
        <v>954</v>
      </c>
      <c r="J86" s="320">
        <v>1973</v>
      </c>
      <c r="K86" s="320" t="s">
        <v>1211</v>
      </c>
      <c r="L86" s="320">
        <v>1976</v>
      </c>
      <c r="M86" s="731">
        <v>21.1</v>
      </c>
      <c r="N86" s="731">
        <v>-9999</v>
      </c>
      <c r="P86" s="731">
        <v>-9999</v>
      </c>
      <c r="Q86" s="731">
        <v>-9999</v>
      </c>
      <c r="R86" s="731"/>
      <c r="S86" s="731"/>
      <c r="T86" s="731">
        <v>10.55</v>
      </c>
      <c r="U86" s="731">
        <v>-9999</v>
      </c>
      <c r="V86" s="731"/>
      <c r="W86" s="731">
        <v>-9999</v>
      </c>
      <c r="X86" s="731">
        <v>-9999</v>
      </c>
      <c r="Y86" s="731"/>
      <c r="Z86" s="320" t="s">
        <v>1701</v>
      </c>
      <c r="AA86" s="320">
        <v>13455</v>
      </c>
      <c r="AB86" s="731">
        <v>0.96</v>
      </c>
      <c r="AC86" s="320">
        <v>-9999</v>
      </c>
      <c r="AD86" s="320">
        <v>144</v>
      </c>
      <c r="AE86" s="320" t="s">
        <v>1961</v>
      </c>
      <c r="AF86" s="320">
        <v>1</v>
      </c>
      <c r="AG86" s="320" t="s">
        <v>1070</v>
      </c>
      <c r="AH86" s="320" t="s">
        <v>876</v>
      </c>
      <c r="AI86" s="320" t="s">
        <v>1066</v>
      </c>
      <c r="AJ86" s="320">
        <v>-9999</v>
      </c>
      <c r="AK86" s="320" t="s">
        <v>626</v>
      </c>
      <c r="AL86" s="320" t="s">
        <v>1069</v>
      </c>
      <c r="AM86" s="320">
        <v>-9999</v>
      </c>
      <c r="AN86" s="320">
        <v>-9999</v>
      </c>
      <c r="AO86" s="320">
        <v>-9999</v>
      </c>
      <c r="AP86" s="320">
        <v>-9999</v>
      </c>
      <c r="AQ86" s="320" t="s">
        <v>631</v>
      </c>
      <c r="AR86" s="730">
        <v>0</v>
      </c>
      <c r="AS86" s="320">
        <v>-9999</v>
      </c>
      <c r="AT86" s="320">
        <v>-9999</v>
      </c>
      <c r="AU86" s="730">
        <v>0</v>
      </c>
      <c r="AV86" s="320">
        <v>-9999</v>
      </c>
      <c r="AW86" s="320">
        <v>-9999</v>
      </c>
      <c r="AX86" s="730">
        <v>0</v>
      </c>
      <c r="AY86" s="320">
        <v>-9999</v>
      </c>
      <c r="AZ86" s="320">
        <v>-9999</v>
      </c>
      <c r="BA86" s="320">
        <v>-9999</v>
      </c>
      <c r="BB86" s="320" t="s">
        <v>631</v>
      </c>
      <c r="BC86" s="320">
        <v>-9999</v>
      </c>
      <c r="BD86" s="320">
        <v>-9999</v>
      </c>
      <c r="BE86" s="320">
        <v>-9999</v>
      </c>
      <c r="BF86" s="320">
        <v>-9999</v>
      </c>
      <c r="BG86" s="320">
        <v>-9999</v>
      </c>
      <c r="BH86" s="320">
        <v>-9999</v>
      </c>
      <c r="BI86" s="320" t="s">
        <v>84</v>
      </c>
      <c r="BJ86" s="320">
        <v>-9999</v>
      </c>
      <c r="BK86" s="320">
        <v>-9999</v>
      </c>
      <c r="BL86" s="320">
        <v>-9999</v>
      </c>
      <c r="BM86" s="320">
        <v>-9999</v>
      </c>
      <c r="BN86" s="320">
        <v>-9999</v>
      </c>
      <c r="BO86" s="320">
        <v>-9999</v>
      </c>
      <c r="BP86" s="320">
        <v>-9999</v>
      </c>
      <c r="BQ86" s="320">
        <v>-9999</v>
      </c>
      <c r="BR86" s="320">
        <v>-9999</v>
      </c>
      <c r="BS86" s="320">
        <v>-9999</v>
      </c>
      <c r="BT86" s="320">
        <v>-9999</v>
      </c>
      <c r="BU86" s="320">
        <v>-9999</v>
      </c>
      <c r="BV86" s="320">
        <v>-9999</v>
      </c>
      <c r="BX86" s="320">
        <v>-9999</v>
      </c>
      <c r="BY86" s="320">
        <v>-9999</v>
      </c>
      <c r="BZ86" s="320">
        <v>-9999</v>
      </c>
      <c r="CA86" s="320">
        <v>-9999</v>
      </c>
      <c r="CB86" s="320" t="s">
        <v>1570</v>
      </c>
      <c r="CC86" s="320">
        <v>2</v>
      </c>
      <c r="CD86" s="320">
        <v>2</v>
      </c>
      <c r="CE86" s="731">
        <v>10.55</v>
      </c>
      <c r="CF86" s="731">
        <v>-9999</v>
      </c>
      <c r="CG86" s="320">
        <v>4</v>
      </c>
      <c r="CH86" s="301" t="s">
        <v>2119</v>
      </c>
      <c r="CI86" s="322" t="s">
        <v>2124</v>
      </c>
      <c r="CJ86" s="320" t="s">
        <v>878</v>
      </c>
      <c r="CK86" s="87" t="s">
        <v>1291</v>
      </c>
      <c r="CL86" s="87" t="s">
        <v>1289</v>
      </c>
      <c r="CM86" s="269">
        <v>39.232999999999997</v>
      </c>
      <c r="CN86" s="269">
        <v>96.566999999999993</v>
      </c>
    </row>
    <row r="87" spans="1:92" s="320" customFormat="1" x14ac:dyDescent="0.2">
      <c r="A87" s="320" t="s">
        <v>366</v>
      </c>
      <c r="B87" s="320" t="s">
        <v>2132</v>
      </c>
      <c r="C87" s="320" t="s">
        <v>1556</v>
      </c>
      <c r="D87" s="320" t="s">
        <v>1559</v>
      </c>
      <c r="E87" s="320" t="s">
        <v>1555</v>
      </c>
      <c r="F87" s="320">
        <v>2</v>
      </c>
      <c r="G87" s="320">
        <v>2</v>
      </c>
      <c r="H87" s="320">
        <v>4</v>
      </c>
      <c r="I87" s="320" t="s">
        <v>954</v>
      </c>
      <c r="J87" s="320">
        <v>1973</v>
      </c>
      <c r="K87" s="320" t="s">
        <v>1211</v>
      </c>
      <c r="L87" s="320">
        <v>1976</v>
      </c>
      <c r="M87" s="731">
        <v>22.6</v>
      </c>
      <c r="N87" s="731">
        <v>-9999</v>
      </c>
      <c r="P87" s="731">
        <v>-9999</v>
      </c>
      <c r="Q87" s="731">
        <v>-9999</v>
      </c>
      <c r="R87" s="731"/>
      <c r="S87" s="731"/>
      <c r="T87" s="731">
        <v>11.3</v>
      </c>
      <c r="U87" s="731">
        <v>-9999</v>
      </c>
      <c r="V87" s="731"/>
      <c r="W87" s="731">
        <v>-9999</v>
      </c>
      <c r="X87" s="731">
        <v>-9999</v>
      </c>
      <c r="Y87" s="731"/>
      <c r="Z87" s="320" t="s">
        <v>83</v>
      </c>
      <c r="AA87" s="320">
        <v>26909</v>
      </c>
      <c r="AB87" s="731">
        <v>0.95</v>
      </c>
      <c r="AC87" s="320">
        <v>-9999</v>
      </c>
      <c r="AD87" s="320">
        <v>144</v>
      </c>
      <c r="AE87" s="320" t="s">
        <v>1960</v>
      </c>
      <c r="AF87" s="320">
        <v>1</v>
      </c>
      <c r="AG87" s="320" t="s">
        <v>1070</v>
      </c>
      <c r="AH87" s="320" t="s">
        <v>876</v>
      </c>
      <c r="AI87" s="320" t="s">
        <v>1066</v>
      </c>
      <c r="AJ87" s="320">
        <v>-9999</v>
      </c>
      <c r="AK87" s="320" t="s">
        <v>626</v>
      </c>
      <c r="AL87" s="320" t="s">
        <v>1069</v>
      </c>
      <c r="AM87" s="320">
        <v>-9999</v>
      </c>
      <c r="AN87" s="320">
        <v>-9999</v>
      </c>
      <c r="AO87" s="320">
        <v>-9999</v>
      </c>
      <c r="AP87" s="320">
        <v>-9999</v>
      </c>
      <c r="AQ87" s="320" t="s">
        <v>631</v>
      </c>
      <c r="AR87" s="730">
        <v>0</v>
      </c>
      <c r="AS87" s="320">
        <v>-9999</v>
      </c>
      <c r="AT87" s="320">
        <v>-9999</v>
      </c>
      <c r="AU87" s="730">
        <v>0</v>
      </c>
      <c r="AV87" s="320">
        <v>-9999</v>
      </c>
      <c r="AW87" s="320">
        <v>-9999</v>
      </c>
      <c r="AX87" s="730">
        <v>0</v>
      </c>
      <c r="AY87" s="320">
        <v>-9999</v>
      </c>
      <c r="AZ87" s="320">
        <v>-9999</v>
      </c>
      <c r="BA87" s="320">
        <v>-9999</v>
      </c>
      <c r="BB87" s="320" t="s">
        <v>631</v>
      </c>
      <c r="BC87" s="320">
        <v>-9999</v>
      </c>
      <c r="BD87" s="320">
        <v>-9999</v>
      </c>
      <c r="BE87" s="320">
        <v>-9999</v>
      </c>
      <c r="BF87" s="320">
        <v>-9999</v>
      </c>
      <c r="BG87" s="320">
        <v>-9999</v>
      </c>
      <c r="BH87" s="320">
        <v>-9999</v>
      </c>
      <c r="BI87" s="320" t="s">
        <v>84</v>
      </c>
      <c r="BJ87" s="320">
        <v>-9999</v>
      </c>
      <c r="BK87" s="320">
        <v>-9999</v>
      </c>
      <c r="BL87" s="320">
        <v>-9999</v>
      </c>
      <c r="BM87" s="320">
        <v>-9999</v>
      </c>
      <c r="BN87" s="320">
        <v>-9999</v>
      </c>
      <c r="BO87" s="320">
        <v>-9999</v>
      </c>
      <c r="BP87" s="320">
        <v>-9999</v>
      </c>
      <c r="BQ87" s="320">
        <v>-9999</v>
      </c>
      <c r="BR87" s="320">
        <v>-9999</v>
      </c>
      <c r="BS87" s="320">
        <v>-9999</v>
      </c>
      <c r="BT87" s="320">
        <v>-9999</v>
      </c>
      <c r="BU87" s="320">
        <v>-9999</v>
      </c>
      <c r="BV87" s="320">
        <v>-9999</v>
      </c>
      <c r="BX87" s="320">
        <v>-9999</v>
      </c>
      <c r="BY87" s="320">
        <v>-9999</v>
      </c>
      <c r="BZ87" s="320">
        <v>-9999</v>
      </c>
      <c r="CA87" s="320">
        <v>-9999</v>
      </c>
      <c r="CB87" s="320" t="s">
        <v>1571</v>
      </c>
      <c r="CC87" s="320">
        <v>2</v>
      </c>
      <c r="CD87" s="320">
        <v>2</v>
      </c>
      <c r="CE87" s="731">
        <v>11.3</v>
      </c>
      <c r="CF87" s="731">
        <v>-9999</v>
      </c>
      <c r="CG87" s="320">
        <v>4</v>
      </c>
      <c r="CH87" s="301" t="s">
        <v>2119</v>
      </c>
      <c r="CI87" s="322" t="s">
        <v>2124</v>
      </c>
      <c r="CJ87" s="320" t="s">
        <v>878</v>
      </c>
      <c r="CK87" s="87" t="s">
        <v>1291</v>
      </c>
      <c r="CL87" s="87" t="s">
        <v>1289</v>
      </c>
      <c r="CM87" s="269">
        <v>39.232999999999997</v>
      </c>
      <c r="CN87" s="269">
        <v>96.566999999999993</v>
      </c>
    </row>
    <row r="88" spans="1:92" s="320" customFormat="1" x14ac:dyDescent="0.2">
      <c r="A88" s="320" t="s">
        <v>366</v>
      </c>
      <c r="B88" s="320" t="s">
        <v>2132</v>
      </c>
      <c r="C88" s="320" t="s">
        <v>1557</v>
      </c>
      <c r="D88" s="320" t="s">
        <v>1559</v>
      </c>
      <c r="E88" s="320" t="s">
        <v>1555</v>
      </c>
      <c r="F88" s="320">
        <v>2</v>
      </c>
      <c r="G88" s="320">
        <v>2</v>
      </c>
      <c r="H88" s="320">
        <v>4</v>
      </c>
      <c r="I88" s="320" t="s">
        <v>954</v>
      </c>
      <c r="J88" s="320">
        <v>1973</v>
      </c>
      <c r="K88" s="320" t="s">
        <v>1211</v>
      </c>
      <c r="L88" s="320">
        <v>1976</v>
      </c>
      <c r="M88" s="731">
        <v>18.8</v>
      </c>
      <c r="N88" s="731">
        <v>-9999</v>
      </c>
      <c r="P88" s="731">
        <v>-9999</v>
      </c>
      <c r="Q88" s="731">
        <v>-9999</v>
      </c>
      <c r="R88" s="731"/>
      <c r="S88" s="731"/>
      <c r="T88" s="731">
        <v>9.4</v>
      </c>
      <c r="U88" s="731">
        <v>-9999</v>
      </c>
      <c r="V88" s="731"/>
      <c r="W88" s="731">
        <v>-9999</v>
      </c>
      <c r="X88" s="731">
        <v>-9999</v>
      </c>
      <c r="Y88" s="731"/>
      <c r="Z88" s="320" t="s">
        <v>1701</v>
      </c>
      <c r="AA88" s="320">
        <v>13455</v>
      </c>
      <c r="AB88" s="731">
        <v>0.96</v>
      </c>
      <c r="AC88" s="320">
        <v>-9999</v>
      </c>
      <c r="AD88" s="320">
        <v>144</v>
      </c>
      <c r="AE88" s="320" t="s">
        <v>1961</v>
      </c>
      <c r="AF88" s="320">
        <v>1</v>
      </c>
      <c r="AG88" s="320" t="s">
        <v>1070</v>
      </c>
      <c r="AH88" s="320" t="s">
        <v>876</v>
      </c>
      <c r="AI88" s="320" t="s">
        <v>1066</v>
      </c>
      <c r="AJ88" s="320">
        <v>-9999</v>
      </c>
      <c r="AK88" s="320" t="s">
        <v>626</v>
      </c>
      <c r="AL88" s="320" t="s">
        <v>1069</v>
      </c>
      <c r="AM88" s="320">
        <v>-9999</v>
      </c>
      <c r="AN88" s="320">
        <v>-9999</v>
      </c>
      <c r="AO88" s="320">
        <v>-9999</v>
      </c>
      <c r="AP88" s="320">
        <v>-9999</v>
      </c>
      <c r="AQ88" s="320" t="s">
        <v>631</v>
      </c>
      <c r="AR88" s="730">
        <v>0</v>
      </c>
      <c r="AS88" s="320">
        <v>-9999</v>
      </c>
      <c r="AT88" s="320">
        <v>-9999</v>
      </c>
      <c r="AU88" s="730">
        <v>0</v>
      </c>
      <c r="AV88" s="320">
        <v>-9999</v>
      </c>
      <c r="AW88" s="320">
        <v>-9999</v>
      </c>
      <c r="AX88" s="730">
        <v>0</v>
      </c>
      <c r="AY88" s="320">
        <v>-9999</v>
      </c>
      <c r="AZ88" s="320">
        <v>-9999</v>
      </c>
      <c r="BA88" s="320">
        <v>-9999</v>
      </c>
      <c r="BB88" s="320" t="s">
        <v>631</v>
      </c>
      <c r="BC88" s="320">
        <v>-9999</v>
      </c>
      <c r="BD88" s="320">
        <v>-9999</v>
      </c>
      <c r="BE88" s="320">
        <v>-9999</v>
      </c>
      <c r="BF88" s="320">
        <v>-9999</v>
      </c>
      <c r="BG88" s="320">
        <v>-9999</v>
      </c>
      <c r="BH88" s="320">
        <v>-9999</v>
      </c>
      <c r="BI88" s="320" t="s">
        <v>84</v>
      </c>
      <c r="BJ88" s="320">
        <v>-9999</v>
      </c>
      <c r="BK88" s="320">
        <v>-9999</v>
      </c>
      <c r="BL88" s="320">
        <v>-9999</v>
      </c>
      <c r="BM88" s="320">
        <v>-9999</v>
      </c>
      <c r="BN88" s="320">
        <v>-9999</v>
      </c>
      <c r="BO88" s="320">
        <v>-9999</v>
      </c>
      <c r="BP88" s="320">
        <v>-9999</v>
      </c>
      <c r="BQ88" s="320">
        <v>-9999</v>
      </c>
      <c r="BR88" s="320">
        <v>-9999</v>
      </c>
      <c r="BS88" s="320">
        <v>-9999</v>
      </c>
      <c r="BT88" s="320">
        <v>-9999</v>
      </c>
      <c r="BU88" s="320">
        <v>-9999</v>
      </c>
      <c r="BV88" s="320">
        <v>-9999</v>
      </c>
      <c r="BX88" s="320">
        <v>-9999</v>
      </c>
      <c r="BY88" s="320">
        <v>-9999</v>
      </c>
      <c r="BZ88" s="320">
        <v>-9999</v>
      </c>
      <c r="CA88" s="320">
        <v>-9999</v>
      </c>
      <c r="CB88" s="320" t="s">
        <v>1571</v>
      </c>
      <c r="CC88" s="320">
        <v>2</v>
      </c>
      <c r="CD88" s="320">
        <v>2</v>
      </c>
      <c r="CE88" s="731">
        <v>9.4</v>
      </c>
      <c r="CF88" s="731">
        <v>-9999</v>
      </c>
      <c r="CG88" s="320">
        <v>4</v>
      </c>
      <c r="CH88" s="322" t="s">
        <v>2118</v>
      </c>
      <c r="CI88" s="322" t="s">
        <v>2124</v>
      </c>
      <c r="CK88" s="87" t="s">
        <v>1291</v>
      </c>
      <c r="CL88" s="87" t="s">
        <v>1289</v>
      </c>
      <c r="CM88" s="269">
        <v>39.232999999999997</v>
      </c>
      <c r="CN88" s="269">
        <v>96.566999999999993</v>
      </c>
    </row>
    <row r="89" spans="1:92" s="320" customFormat="1" x14ac:dyDescent="0.2">
      <c r="A89" s="320" t="s">
        <v>367</v>
      </c>
      <c r="B89" s="320" t="s">
        <v>2132</v>
      </c>
      <c r="C89" s="320" t="s">
        <v>368</v>
      </c>
      <c r="D89" s="320" t="s">
        <v>1402</v>
      </c>
      <c r="E89" s="320" t="s">
        <v>1461</v>
      </c>
      <c r="F89" s="320">
        <v>2</v>
      </c>
      <c r="G89" s="320">
        <v>1</v>
      </c>
      <c r="H89" s="320">
        <v>2</v>
      </c>
      <c r="I89" s="320" t="s">
        <v>954</v>
      </c>
      <c r="J89" s="320">
        <v>1985</v>
      </c>
      <c r="K89" s="320" t="s">
        <v>842</v>
      </c>
      <c r="L89" s="320">
        <v>1987</v>
      </c>
      <c r="M89" s="731">
        <v>11.7</v>
      </c>
      <c r="N89" s="731">
        <v>-9999</v>
      </c>
      <c r="P89" s="731">
        <v>18.2</v>
      </c>
      <c r="Q89" s="731">
        <v>-9999</v>
      </c>
      <c r="R89" s="731"/>
      <c r="S89" s="731"/>
      <c r="T89" s="731">
        <v>9.1</v>
      </c>
      <c r="U89" s="731">
        <v>-9999</v>
      </c>
      <c r="V89" s="731"/>
      <c r="W89" s="731">
        <v>11.7</v>
      </c>
      <c r="X89" s="731">
        <v>-9999</v>
      </c>
      <c r="Y89" s="731"/>
      <c r="Z89" s="320" t="s">
        <v>657</v>
      </c>
      <c r="AA89" s="320">
        <v>111111</v>
      </c>
      <c r="AB89" s="731">
        <v>-9999</v>
      </c>
      <c r="AC89" s="320">
        <v>-9999</v>
      </c>
      <c r="AD89" s="320">
        <v>62.4</v>
      </c>
      <c r="AE89" s="320" t="s">
        <v>1959</v>
      </c>
      <c r="AF89" s="320">
        <v>3</v>
      </c>
      <c r="AG89" s="320">
        <v>8</v>
      </c>
      <c r="AH89" s="320" t="s">
        <v>876</v>
      </c>
      <c r="AI89" s="320">
        <v>-9999</v>
      </c>
      <c r="AJ89" s="320">
        <v>-9999</v>
      </c>
      <c r="AK89" s="320">
        <v>-9999</v>
      </c>
      <c r="AL89" s="320">
        <v>-9999</v>
      </c>
      <c r="AM89" s="320">
        <v>-9999</v>
      </c>
      <c r="AN89" s="320">
        <v>-9999</v>
      </c>
      <c r="AO89" s="320">
        <v>-9999</v>
      </c>
      <c r="AP89" s="320">
        <v>-9999</v>
      </c>
      <c r="AQ89" s="320">
        <v>-9999</v>
      </c>
      <c r="AR89" s="730">
        <v>-9999</v>
      </c>
      <c r="AS89" s="320">
        <v>-9999</v>
      </c>
      <c r="AT89" s="320">
        <v>-9999</v>
      </c>
      <c r="AU89" s="730">
        <v>-9999</v>
      </c>
      <c r="AV89" s="320">
        <v>-9999</v>
      </c>
      <c r="AW89" s="320">
        <v>-9999</v>
      </c>
      <c r="AX89" s="730">
        <v>-9999</v>
      </c>
      <c r="AY89" s="320">
        <v>-9999</v>
      </c>
      <c r="AZ89" s="320">
        <v>-9999</v>
      </c>
      <c r="BA89" s="320">
        <v>-9999</v>
      </c>
      <c r="BB89" s="320" t="s">
        <v>626</v>
      </c>
      <c r="BC89" s="320" t="s">
        <v>369</v>
      </c>
      <c r="BD89" s="320">
        <v>-9999</v>
      </c>
      <c r="BE89" s="320" t="s">
        <v>370</v>
      </c>
      <c r="BF89" s="320">
        <v>-9999</v>
      </c>
      <c r="BG89" s="320">
        <v>-9999</v>
      </c>
      <c r="BH89" s="320">
        <v>-9999</v>
      </c>
      <c r="BI89" s="320">
        <v>-9999</v>
      </c>
      <c r="BJ89" s="320">
        <v>-9999</v>
      </c>
      <c r="BK89" s="320">
        <v>-9999</v>
      </c>
      <c r="BL89" s="320">
        <v>-9999</v>
      </c>
      <c r="BM89" s="320">
        <v>-9999</v>
      </c>
      <c r="BN89" s="320">
        <v>-9999</v>
      </c>
      <c r="BO89" s="320">
        <v>-9999</v>
      </c>
      <c r="BP89" s="320">
        <v>-9999</v>
      </c>
      <c r="BQ89" s="320">
        <v>-9999</v>
      </c>
      <c r="BR89" s="320">
        <v>-9999</v>
      </c>
      <c r="BS89" s="320">
        <v>-9999</v>
      </c>
      <c r="BT89" s="320">
        <v>-9999</v>
      </c>
      <c r="BU89" s="320">
        <v>-9999</v>
      </c>
      <c r="BV89" s="320">
        <v>-9999</v>
      </c>
      <c r="BX89" s="320">
        <v>-9999</v>
      </c>
      <c r="BY89" s="320">
        <v>-9999</v>
      </c>
      <c r="BZ89" s="320">
        <v>-9999</v>
      </c>
      <c r="CA89" s="320">
        <v>-9999</v>
      </c>
      <c r="CC89" s="320">
        <v>2</v>
      </c>
      <c r="CD89" s="320">
        <v>1</v>
      </c>
      <c r="CE89" s="731">
        <v>9.1</v>
      </c>
      <c r="CF89" s="731">
        <v>11.7</v>
      </c>
      <c r="CG89" s="320">
        <v>2</v>
      </c>
      <c r="CH89" s="301" t="s">
        <v>2118</v>
      </c>
      <c r="CI89" s="322" t="s">
        <v>2124</v>
      </c>
      <c r="CJ89" s="320" t="s">
        <v>878</v>
      </c>
      <c r="CK89" s="87" t="s">
        <v>1291</v>
      </c>
      <c r="CL89" s="87" t="s">
        <v>1289</v>
      </c>
      <c r="CM89" s="269">
        <v>39.232999999999997</v>
      </c>
      <c r="CN89" s="269">
        <v>96.566999999999993</v>
      </c>
    </row>
    <row r="90" spans="1:92" s="320" customFormat="1" ht="14.25" x14ac:dyDescent="0.2">
      <c r="A90" s="320" t="s">
        <v>813</v>
      </c>
      <c r="B90" s="320" t="s">
        <v>814</v>
      </c>
      <c r="C90" s="320" t="s">
        <v>817</v>
      </c>
      <c r="D90" s="320" t="s">
        <v>619</v>
      </c>
      <c r="E90" s="320" t="s">
        <v>1464</v>
      </c>
      <c r="F90" s="320">
        <v>1</v>
      </c>
      <c r="G90" s="320">
        <v>5</v>
      </c>
      <c r="H90" s="320">
        <v>5</v>
      </c>
      <c r="I90" s="320" t="s">
        <v>621</v>
      </c>
      <c r="J90" s="320">
        <v>2000</v>
      </c>
      <c r="K90" s="320" t="s">
        <v>856</v>
      </c>
      <c r="L90" s="320">
        <v>2005</v>
      </c>
      <c r="M90" s="731">
        <v>-9999</v>
      </c>
      <c r="N90" s="731">
        <v>-9999</v>
      </c>
      <c r="P90" s="731">
        <v>53.27</v>
      </c>
      <c r="Q90" s="731">
        <v>-9999</v>
      </c>
      <c r="R90" s="731"/>
      <c r="S90" s="731"/>
      <c r="T90" s="731">
        <v>10.654</v>
      </c>
      <c r="U90" s="731">
        <v>-9999</v>
      </c>
      <c r="V90" s="731"/>
      <c r="W90" s="731">
        <v>-9999</v>
      </c>
      <c r="X90" s="731">
        <v>-9999</v>
      </c>
      <c r="Y90" s="731"/>
      <c r="Z90" s="320" t="s">
        <v>793</v>
      </c>
      <c r="AA90" s="320">
        <v>10000</v>
      </c>
      <c r="AB90" s="731">
        <v>0.99299999999999999</v>
      </c>
      <c r="AC90" s="320">
        <v>0.35</v>
      </c>
      <c r="AD90" s="320">
        <v>70</v>
      </c>
      <c r="AE90" s="320" t="s">
        <v>1958</v>
      </c>
      <c r="AF90" s="320">
        <v>5</v>
      </c>
      <c r="AG90" s="320">
        <v>-9999</v>
      </c>
      <c r="AH90" s="320" t="s">
        <v>1083</v>
      </c>
      <c r="AI90" s="320" t="s">
        <v>825</v>
      </c>
      <c r="AJ90" s="320">
        <v>-9999</v>
      </c>
      <c r="AK90" s="320">
        <v>-9999</v>
      </c>
      <c r="AL90" s="320">
        <v>-9999</v>
      </c>
      <c r="AM90" s="320">
        <v>-9999</v>
      </c>
      <c r="AN90" s="320" t="s">
        <v>626</v>
      </c>
      <c r="AO90" s="320" t="s">
        <v>1085</v>
      </c>
      <c r="AP90" s="320" t="s">
        <v>816</v>
      </c>
      <c r="AQ90" s="320" t="s">
        <v>631</v>
      </c>
      <c r="AR90" s="730">
        <v>0</v>
      </c>
      <c r="AS90" s="320">
        <v>-9999</v>
      </c>
      <c r="AT90" s="320">
        <v>-9999</v>
      </c>
      <c r="AU90" s="730">
        <v>0</v>
      </c>
      <c r="AV90" s="320">
        <v>-9999</v>
      </c>
      <c r="AX90" s="730">
        <v>0</v>
      </c>
      <c r="AY90" s="320">
        <v>-9999</v>
      </c>
      <c r="AZ90" s="320">
        <v>-9999</v>
      </c>
      <c r="BA90" s="320">
        <v>-9999</v>
      </c>
      <c r="BB90" s="320" t="s">
        <v>626</v>
      </c>
      <c r="BC90" s="320" t="s">
        <v>1084</v>
      </c>
      <c r="BE90" s="320">
        <v>-9999</v>
      </c>
      <c r="BF90" s="320">
        <v>-9999</v>
      </c>
      <c r="BG90" s="320">
        <v>-9999</v>
      </c>
      <c r="BH90" s="320">
        <v>-9999</v>
      </c>
      <c r="BI90" s="320" t="s">
        <v>225</v>
      </c>
      <c r="BJ90" s="320">
        <v>-9999</v>
      </c>
      <c r="BK90" s="320">
        <v>-9999</v>
      </c>
      <c r="BL90" s="320">
        <v>8.01</v>
      </c>
      <c r="BM90" s="320">
        <v>-9999</v>
      </c>
      <c r="BN90" s="320">
        <v>-9999</v>
      </c>
      <c r="BO90" s="320">
        <v>-9999</v>
      </c>
      <c r="BP90" s="320">
        <v>-9999</v>
      </c>
      <c r="BQ90" s="320">
        <v>-9999</v>
      </c>
      <c r="BR90" s="320">
        <v>6.97</v>
      </c>
      <c r="BS90" s="320">
        <v>-9999</v>
      </c>
      <c r="BT90" s="320">
        <v>-9999</v>
      </c>
      <c r="BU90" s="320">
        <v>-9999</v>
      </c>
      <c r="BV90" s="320">
        <v>-9999</v>
      </c>
      <c r="BX90" s="320">
        <v>-9999</v>
      </c>
      <c r="BY90" s="320">
        <v>-9999</v>
      </c>
      <c r="BZ90" s="320">
        <v>-9999</v>
      </c>
      <c r="CA90" s="320">
        <v>-9999</v>
      </c>
      <c r="CB90" s="320" t="s">
        <v>1407</v>
      </c>
      <c r="CC90" s="320">
        <v>1</v>
      </c>
      <c r="CD90" s="320" t="s">
        <v>817</v>
      </c>
      <c r="CE90" s="731">
        <v>10.654</v>
      </c>
      <c r="CF90" s="731">
        <v>-9999</v>
      </c>
      <c r="CG90" s="320">
        <v>5</v>
      </c>
      <c r="CH90" s="301" t="s">
        <v>2119</v>
      </c>
      <c r="CI90" s="322" t="s">
        <v>2124</v>
      </c>
      <c r="CJ90" s="320" t="s">
        <v>878</v>
      </c>
      <c r="CK90" s="87" t="s">
        <v>1074</v>
      </c>
      <c r="CL90" s="87" t="s">
        <v>1075</v>
      </c>
      <c r="CM90" s="269">
        <v>39.017000000000003</v>
      </c>
      <c r="CN90" s="269">
        <v>92.766999999999996</v>
      </c>
    </row>
    <row r="91" spans="1:92" s="320" customFormat="1" ht="14.25" x14ac:dyDescent="0.2">
      <c r="A91" s="320" t="s">
        <v>813</v>
      </c>
      <c r="B91" s="320" t="s">
        <v>814</v>
      </c>
      <c r="C91" s="320">
        <v>2059</v>
      </c>
      <c r="D91" s="320" t="s">
        <v>619</v>
      </c>
      <c r="E91" s="320" t="s">
        <v>1465</v>
      </c>
      <c r="F91" s="320">
        <v>1</v>
      </c>
      <c r="G91" s="320">
        <v>5</v>
      </c>
      <c r="H91" s="320">
        <v>5</v>
      </c>
      <c r="I91" s="320" t="s">
        <v>621</v>
      </c>
      <c r="J91" s="320">
        <v>2000</v>
      </c>
      <c r="K91" s="320" t="s">
        <v>856</v>
      </c>
      <c r="L91" s="320">
        <v>2005</v>
      </c>
      <c r="M91" s="731">
        <v>-9999</v>
      </c>
      <c r="N91" s="731">
        <v>-9999</v>
      </c>
      <c r="P91" s="731">
        <v>57.76</v>
      </c>
      <c r="Q91" s="731">
        <v>-9999</v>
      </c>
      <c r="R91" s="731"/>
      <c r="S91" s="731"/>
      <c r="T91" s="731">
        <v>11.552</v>
      </c>
      <c r="U91" s="731">
        <v>-9999</v>
      </c>
      <c r="V91" s="731"/>
      <c r="W91" s="731">
        <v>-9999</v>
      </c>
      <c r="X91" s="731">
        <v>-9999</v>
      </c>
      <c r="Y91" s="731"/>
      <c r="Z91" s="320" t="s">
        <v>793</v>
      </c>
      <c r="AA91" s="320">
        <v>10000</v>
      </c>
      <c r="AB91" s="731">
        <v>0.90300000000000002</v>
      </c>
      <c r="AC91" s="320">
        <v>0.35</v>
      </c>
      <c r="AD91" s="320">
        <v>70</v>
      </c>
      <c r="AE91" s="320" t="s">
        <v>1958</v>
      </c>
      <c r="AF91" s="320">
        <v>5</v>
      </c>
      <c r="AG91" s="320">
        <v>-9999</v>
      </c>
      <c r="AH91" s="320" t="s">
        <v>1083</v>
      </c>
      <c r="AI91" s="320" t="s">
        <v>825</v>
      </c>
      <c r="AJ91" s="320">
        <v>-9999</v>
      </c>
      <c r="AK91" s="320">
        <v>-9999</v>
      </c>
      <c r="AL91" s="320">
        <v>-9999</v>
      </c>
      <c r="AM91" s="320">
        <v>-9999</v>
      </c>
      <c r="AN91" s="320" t="s">
        <v>626</v>
      </c>
      <c r="AO91" s="320" t="s">
        <v>1085</v>
      </c>
      <c r="AP91" s="320" t="s">
        <v>816</v>
      </c>
      <c r="AQ91" s="320" t="s">
        <v>631</v>
      </c>
      <c r="AR91" s="730">
        <v>0</v>
      </c>
      <c r="AS91" s="320">
        <v>-9999</v>
      </c>
      <c r="AT91" s="320">
        <v>-9999</v>
      </c>
      <c r="AU91" s="730">
        <v>0</v>
      </c>
      <c r="AV91" s="320">
        <v>-9999</v>
      </c>
      <c r="AX91" s="730">
        <v>0</v>
      </c>
      <c r="AY91" s="320">
        <v>-9999</v>
      </c>
      <c r="AZ91" s="320">
        <v>-9999</v>
      </c>
      <c r="BA91" s="320">
        <v>-9999</v>
      </c>
      <c r="BB91" s="320" t="s">
        <v>626</v>
      </c>
      <c r="BC91" s="320" t="s">
        <v>1084</v>
      </c>
      <c r="BE91" s="320">
        <v>-9999</v>
      </c>
      <c r="BF91" s="320">
        <v>-9999</v>
      </c>
      <c r="BG91" s="320">
        <v>-9999</v>
      </c>
      <c r="BH91" s="320">
        <v>-9999</v>
      </c>
      <c r="BI91" s="320" t="s">
        <v>225</v>
      </c>
      <c r="BJ91" s="320">
        <v>-9999</v>
      </c>
      <c r="BK91" s="320">
        <v>-9999</v>
      </c>
      <c r="BL91" s="320">
        <v>9.1199999999999992</v>
      </c>
      <c r="BM91" s="320">
        <v>-9999</v>
      </c>
      <c r="BN91" s="320">
        <v>-9999</v>
      </c>
      <c r="BO91" s="320">
        <v>-9999</v>
      </c>
      <c r="BP91" s="320">
        <v>-9999</v>
      </c>
      <c r="BQ91" s="320">
        <v>-9999</v>
      </c>
      <c r="BR91" s="320">
        <v>7.57</v>
      </c>
      <c r="BS91" s="320">
        <v>-9999</v>
      </c>
      <c r="BT91" s="320">
        <v>-9999</v>
      </c>
      <c r="BU91" s="320">
        <v>-9999</v>
      </c>
      <c r="BV91" s="320">
        <v>-9999</v>
      </c>
      <c r="BX91" s="320">
        <v>-9999</v>
      </c>
      <c r="BY91" s="320">
        <v>-9999</v>
      </c>
      <c r="BZ91" s="320">
        <v>-9999</v>
      </c>
      <c r="CA91" s="320">
        <v>-9999</v>
      </c>
      <c r="CB91" s="320" t="s">
        <v>1407</v>
      </c>
      <c r="CC91" s="320">
        <v>1</v>
      </c>
      <c r="CD91" s="320">
        <v>2059</v>
      </c>
      <c r="CE91" s="731">
        <v>11.552</v>
      </c>
      <c r="CF91" s="731">
        <v>-9999</v>
      </c>
      <c r="CG91" s="320">
        <v>5</v>
      </c>
      <c r="CH91" s="301" t="s">
        <v>2119</v>
      </c>
      <c r="CI91" s="322" t="s">
        <v>2124</v>
      </c>
      <c r="CJ91" s="320" t="s">
        <v>878</v>
      </c>
      <c r="CK91" s="87" t="s">
        <v>1074</v>
      </c>
      <c r="CL91" s="87" t="s">
        <v>1075</v>
      </c>
      <c r="CM91" s="269">
        <v>39.017000000000003</v>
      </c>
      <c r="CN91" s="269">
        <v>92.766999999999996</v>
      </c>
    </row>
    <row r="92" spans="1:92" s="320" customFormat="1" ht="14.25" x14ac:dyDescent="0.2">
      <c r="A92" s="320" t="s">
        <v>813</v>
      </c>
      <c r="B92" s="320" t="s">
        <v>814</v>
      </c>
      <c r="C92" s="320">
        <v>1112</v>
      </c>
      <c r="D92" s="320" t="s">
        <v>619</v>
      </c>
      <c r="E92" s="320" t="s">
        <v>1466</v>
      </c>
      <c r="F92" s="320">
        <v>1</v>
      </c>
      <c r="G92" s="320">
        <v>5</v>
      </c>
      <c r="H92" s="320">
        <v>5</v>
      </c>
      <c r="I92" s="320" t="s">
        <v>621</v>
      </c>
      <c r="J92" s="320">
        <v>2000</v>
      </c>
      <c r="K92" s="320" t="s">
        <v>856</v>
      </c>
      <c r="L92" s="320">
        <v>2005</v>
      </c>
      <c r="M92" s="731">
        <v>-9999</v>
      </c>
      <c r="N92" s="731">
        <v>-9999</v>
      </c>
      <c r="P92" s="731">
        <v>53.26</v>
      </c>
      <c r="Q92" s="731">
        <v>-9999</v>
      </c>
      <c r="R92" s="731"/>
      <c r="S92" s="731"/>
      <c r="T92" s="731">
        <v>10.651999999999999</v>
      </c>
      <c r="U92" s="731">
        <v>-9999</v>
      </c>
      <c r="V92" s="731"/>
      <c r="W92" s="731">
        <v>-9999</v>
      </c>
      <c r="X92" s="731">
        <v>-9999</v>
      </c>
      <c r="Y92" s="731"/>
      <c r="Z92" s="320" t="s">
        <v>793</v>
      </c>
      <c r="AA92" s="320">
        <v>10000</v>
      </c>
      <c r="AB92" s="731">
        <v>0.83299999999999996</v>
      </c>
      <c r="AC92" s="320">
        <v>0.35</v>
      </c>
      <c r="AD92" s="320">
        <v>70</v>
      </c>
      <c r="AE92" s="320" t="s">
        <v>1958</v>
      </c>
      <c r="AF92" s="320">
        <v>5</v>
      </c>
      <c r="AG92" s="320">
        <v>-9999</v>
      </c>
      <c r="AH92" s="320" t="s">
        <v>1083</v>
      </c>
      <c r="AI92" s="320" t="s">
        <v>825</v>
      </c>
      <c r="AJ92" s="320">
        <v>-9999</v>
      </c>
      <c r="AK92" s="320">
        <v>-9999</v>
      </c>
      <c r="AL92" s="320">
        <v>-9999</v>
      </c>
      <c r="AM92" s="320">
        <v>-9999</v>
      </c>
      <c r="AN92" s="320" t="s">
        <v>626</v>
      </c>
      <c r="AO92" s="320" t="s">
        <v>1085</v>
      </c>
      <c r="AP92" s="320" t="s">
        <v>816</v>
      </c>
      <c r="AQ92" s="320" t="s">
        <v>631</v>
      </c>
      <c r="AR92" s="730">
        <v>0</v>
      </c>
      <c r="AS92" s="320">
        <v>-9999</v>
      </c>
      <c r="AT92" s="320">
        <v>-9999</v>
      </c>
      <c r="AU92" s="730">
        <v>0</v>
      </c>
      <c r="AV92" s="320">
        <v>-9999</v>
      </c>
      <c r="AX92" s="730">
        <v>0</v>
      </c>
      <c r="AY92" s="320">
        <v>-9999</v>
      </c>
      <c r="AZ92" s="320">
        <v>-9999</v>
      </c>
      <c r="BA92" s="320">
        <v>-9999</v>
      </c>
      <c r="BB92" s="320" t="s">
        <v>626</v>
      </c>
      <c r="BC92" s="320" t="s">
        <v>1084</v>
      </c>
      <c r="BE92" s="320">
        <v>-9999</v>
      </c>
      <c r="BF92" s="320">
        <v>-9999</v>
      </c>
      <c r="BG92" s="320">
        <v>-9999</v>
      </c>
      <c r="BH92" s="320">
        <v>-9999</v>
      </c>
      <c r="BI92" s="320" t="s">
        <v>225</v>
      </c>
      <c r="BJ92" s="320">
        <v>-9999</v>
      </c>
      <c r="BK92" s="320">
        <v>-9999</v>
      </c>
      <c r="BL92" s="320">
        <v>8.02</v>
      </c>
      <c r="BM92" s="320">
        <v>-9999</v>
      </c>
      <c r="BN92" s="320">
        <v>-9999</v>
      </c>
      <c r="BO92" s="320">
        <v>-9999</v>
      </c>
      <c r="BP92" s="320">
        <v>-9999</v>
      </c>
      <c r="BQ92" s="320">
        <v>-9999</v>
      </c>
      <c r="BR92" s="320">
        <v>6.96</v>
      </c>
      <c r="BS92" s="320">
        <v>-9999</v>
      </c>
      <c r="BT92" s="320">
        <v>-9999</v>
      </c>
      <c r="BU92" s="320">
        <v>-9999</v>
      </c>
      <c r="BV92" s="320">
        <v>-9999</v>
      </c>
      <c r="BX92" s="320">
        <v>-9999</v>
      </c>
      <c r="BY92" s="320">
        <v>-9999</v>
      </c>
      <c r="BZ92" s="320">
        <v>-9999</v>
      </c>
      <c r="CA92" s="320">
        <v>-9999</v>
      </c>
      <c r="CB92" s="320" t="s">
        <v>1407</v>
      </c>
      <c r="CC92" s="320">
        <v>1</v>
      </c>
      <c r="CD92" s="320">
        <v>1112</v>
      </c>
      <c r="CE92" s="731">
        <v>10.651999999999999</v>
      </c>
      <c r="CF92" s="731">
        <v>-9999</v>
      </c>
      <c r="CG92" s="320">
        <v>5</v>
      </c>
      <c r="CH92" s="301" t="s">
        <v>2119</v>
      </c>
      <c r="CI92" s="322" t="s">
        <v>2124</v>
      </c>
      <c r="CJ92" s="320" t="s">
        <v>878</v>
      </c>
      <c r="CK92" s="87" t="s">
        <v>1074</v>
      </c>
      <c r="CL92" s="87" t="s">
        <v>1075</v>
      </c>
      <c r="CM92" s="269">
        <v>39.017000000000003</v>
      </c>
      <c r="CN92" s="269">
        <v>92.766999999999996</v>
      </c>
    </row>
    <row r="93" spans="1:92" s="320" customFormat="1" x14ac:dyDescent="0.2">
      <c r="A93" s="320" t="s">
        <v>1476</v>
      </c>
      <c r="B93" s="320" t="s">
        <v>811</v>
      </c>
      <c r="C93" s="320" t="s">
        <v>1650</v>
      </c>
      <c r="D93" s="320" t="s">
        <v>619</v>
      </c>
      <c r="E93" s="320" t="s">
        <v>1462</v>
      </c>
      <c r="F93" s="320">
        <v>1</v>
      </c>
      <c r="G93" s="320">
        <v>8</v>
      </c>
      <c r="H93" s="320">
        <v>8</v>
      </c>
      <c r="I93" s="320" t="s">
        <v>621</v>
      </c>
      <c r="J93" s="320">
        <v>1998</v>
      </c>
      <c r="K93" s="320" t="s">
        <v>1001</v>
      </c>
      <c r="L93" s="320">
        <v>2005</v>
      </c>
      <c r="M93" s="731">
        <v>-9999</v>
      </c>
      <c r="N93" s="731">
        <v>-9999</v>
      </c>
      <c r="P93" s="731">
        <v>92.3</v>
      </c>
      <c r="Q93" s="731">
        <v>-9999</v>
      </c>
      <c r="R93" s="731"/>
      <c r="S93" s="731"/>
      <c r="T93" s="731">
        <v>11.5375</v>
      </c>
      <c r="U93" s="731">
        <v>-9999</v>
      </c>
      <c r="V93" s="731"/>
      <c r="W93" s="731">
        <v>-9999</v>
      </c>
      <c r="X93" s="731">
        <v>-9999</v>
      </c>
      <c r="Y93" s="731"/>
      <c r="Z93" s="320" t="s">
        <v>984</v>
      </c>
      <c r="AA93" s="320">
        <v>1667</v>
      </c>
      <c r="AB93" s="731">
        <v>0.9</v>
      </c>
      <c r="AC93" s="320">
        <v>-9999</v>
      </c>
      <c r="AD93" s="320">
        <v>96</v>
      </c>
      <c r="AE93" s="320" t="s">
        <v>1962</v>
      </c>
      <c r="AF93" s="320">
        <v>5</v>
      </c>
      <c r="AG93" s="320">
        <v>1</v>
      </c>
      <c r="AH93" s="320" t="s">
        <v>1034</v>
      </c>
      <c r="AI93" s="320" t="s">
        <v>1470</v>
      </c>
      <c r="AJ93" s="320">
        <v>-9999</v>
      </c>
      <c r="AK93" s="320">
        <v>-9999</v>
      </c>
      <c r="AL93" s="320" t="s">
        <v>1471</v>
      </c>
      <c r="AM93" s="320">
        <v>-9999</v>
      </c>
      <c r="AN93" s="320" t="s">
        <v>631</v>
      </c>
      <c r="AO93" s="320">
        <v>-9999</v>
      </c>
      <c r="AP93" s="320">
        <v>-9999</v>
      </c>
      <c r="AQ93" s="320" t="s">
        <v>631</v>
      </c>
      <c r="AR93" s="730">
        <v>0</v>
      </c>
      <c r="AS93" s="320">
        <v>-9999</v>
      </c>
      <c r="AT93" s="320">
        <v>-9999</v>
      </c>
      <c r="AU93" s="730">
        <v>0</v>
      </c>
      <c r="AV93" s="320">
        <v>-9999</v>
      </c>
      <c r="AX93" s="730">
        <v>0</v>
      </c>
      <c r="AY93" s="320">
        <v>-9999</v>
      </c>
      <c r="AZ93" s="320">
        <v>-9999</v>
      </c>
      <c r="BA93" s="320" t="s">
        <v>1474</v>
      </c>
      <c r="BB93" s="320" t="s">
        <v>631</v>
      </c>
      <c r="BC93" s="320">
        <v>-9999</v>
      </c>
      <c r="BD93" s="320">
        <v>-9999</v>
      </c>
      <c r="BE93" s="320">
        <v>-9999</v>
      </c>
      <c r="BF93" s="320" t="s">
        <v>120</v>
      </c>
      <c r="BG93" s="320" t="s">
        <v>577</v>
      </c>
      <c r="BH93" s="320">
        <v>-9999</v>
      </c>
      <c r="BI93" s="320" t="s">
        <v>1472</v>
      </c>
      <c r="BJ93" s="320">
        <v>21.7</v>
      </c>
      <c r="BK93" s="320">
        <v>1.9</v>
      </c>
      <c r="BL93" s="320">
        <v>17.100000000000001</v>
      </c>
      <c r="BM93" s="320">
        <v>0.4</v>
      </c>
      <c r="BN93" s="320">
        <v>18.899999999999999</v>
      </c>
      <c r="BO93" s="320">
        <v>1</v>
      </c>
      <c r="BP93" s="320">
        <v>-9999</v>
      </c>
      <c r="BQ93" s="320">
        <v>-9999</v>
      </c>
      <c r="BR93" s="320">
        <v>-9999</v>
      </c>
      <c r="BS93" s="320">
        <v>-9999</v>
      </c>
      <c r="BT93" s="320">
        <v>-9999</v>
      </c>
      <c r="BU93" s="320">
        <v>173.2</v>
      </c>
      <c r="BV93" s="320">
        <v>20.100000000000001</v>
      </c>
      <c r="BX93" s="320">
        <v>-9999</v>
      </c>
      <c r="BY93" s="320">
        <v>-9999</v>
      </c>
      <c r="BZ93" s="320">
        <v>-9999</v>
      </c>
      <c r="CA93" s="320" t="s">
        <v>825</v>
      </c>
      <c r="CB93" s="320" t="s">
        <v>1475</v>
      </c>
      <c r="CC93" s="320">
        <v>1</v>
      </c>
      <c r="CD93" s="320" t="s">
        <v>1650</v>
      </c>
      <c r="CE93" s="731">
        <v>11.5375</v>
      </c>
      <c r="CF93" s="731">
        <v>-9999</v>
      </c>
      <c r="CG93" s="320">
        <v>8</v>
      </c>
      <c r="CH93" s="301" t="s">
        <v>2121</v>
      </c>
      <c r="CI93" s="320" t="s">
        <v>2125</v>
      </c>
      <c r="CJ93" s="320" t="s">
        <v>878</v>
      </c>
      <c r="CK93" s="315" t="s">
        <v>1245</v>
      </c>
      <c r="CL93" s="315" t="s">
        <v>1292</v>
      </c>
      <c r="CM93" s="316">
        <v>42.03</v>
      </c>
      <c r="CN93" s="316">
        <v>93.56</v>
      </c>
    </row>
    <row r="94" spans="1:92" s="320" customFormat="1" x14ac:dyDescent="0.2">
      <c r="A94" s="320" t="s">
        <v>1432</v>
      </c>
      <c r="M94" s="731"/>
      <c r="N94" s="731"/>
      <c r="P94" s="731"/>
      <c r="Q94" s="731"/>
      <c r="R94" s="731"/>
      <c r="S94" s="731"/>
      <c r="T94" s="731"/>
      <c r="U94" s="731"/>
      <c r="V94" s="731"/>
      <c r="W94" s="731"/>
      <c r="X94" s="731"/>
      <c r="Y94" s="731"/>
      <c r="AR94" s="730"/>
      <c r="AU94" s="730"/>
      <c r="AX94" s="730"/>
      <c r="CE94" s="731"/>
      <c r="CF94" s="731"/>
      <c r="CH94" s="322"/>
    </row>
    <row r="95" spans="1:92" s="320" customFormat="1" x14ac:dyDescent="0.2">
      <c r="A95" s="320" t="s">
        <v>832</v>
      </c>
      <c r="B95" s="320" t="s">
        <v>820</v>
      </c>
      <c r="C95" s="320" t="s">
        <v>1123</v>
      </c>
      <c r="D95" s="320" t="s">
        <v>619</v>
      </c>
      <c r="E95" s="320" t="s">
        <v>831</v>
      </c>
      <c r="F95" s="320">
        <v>1</v>
      </c>
      <c r="G95" s="320">
        <v>5</v>
      </c>
      <c r="H95" s="320">
        <v>5</v>
      </c>
      <c r="I95" s="320" t="s">
        <v>621</v>
      </c>
      <c r="J95" s="320">
        <v>1986</v>
      </c>
      <c r="K95" s="320" t="s">
        <v>1211</v>
      </c>
      <c r="L95" s="320">
        <v>1990</v>
      </c>
      <c r="M95" s="731">
        <v>-9999</v>
      </c>
      <c r="N95" s="731">
        <v>-9999</v>
      </c>
      <c r="P95" s="731">
        <v>88.409899999999993</v>
      </c>
      <c r="Q95" s="731">
        <v>-9999</v>
      </c>
      <c r="R95" s="731"/>
      <c r="S95" s="731"/>
      <c r="T95" s="731">
        <v>17.681979999999999</v>
      </c>
      <c r="U95" s="731">
        <v>-9999</v>
      </c>
      <c r="V95" s="731"/>
      <c r="W95" s="731">
        <v>23.179899999999989</v>
      </c>
      <c r="X95" s="731">
        <v>-9999</v>
      </c>
      <c r="Y95" s="731"/>
      <c r="Z95" s="320" t="s">
        <v>833</v>
      </c>
      <c r="AA95" s="320">
        <v>40000</v>
      </c>
      <c r="AB95" s="320">
        <v>-9999</v>
      </c>
      <c r="AC95" s="320">
        <v>-9999</v>
      </c>
      <c r="AD95" s="320">
        <v>250</v>
      </c>
      <c r="AE95" s="320" t="s">
        <v>1959</v>
      </c>
      <c r="AF95" s="320">
        <v>3</v>
      </c>
      <c r="AG95" s="320">
        <v>8</v>
      </c>
      <c r="AH95" s="320" t="s">
        <v>623</v>
      </c>
      <c r="AI95" s="320" t="s">
        <v>834</v>
      </c>
      <c r="AJ95" s="320">
        <v>20</v>
      </c>
      <c r="AK95" s="320" t="s">
        <v>625</v>
      </c>
      <c r="AL95" s="320" t="s">
        <v>1127</v>
      </c>
      <c r="AM95" s="320">
        <v>-9999</v>
      </c>
      <c r="AN95" s="320" t="s">
        <v>626</v>
      </c>
      <c r="AO95" s="320" t="s">
        <v>627</v>
      </c>
      <c r="AP95" s="320" t="s">
        <v>1126</v>
      </c>
      <c r="AQ95" s="320" t="s">
        <v>626</v>
      </c>
      <c r="AR95" s="730">
        <v>200</v>
      </c>
      <c r="AS95" s="320" t="s">
        <v>726</v>
      </c>
      <c r="AT95" s="320">
        <v>-9999</v>
      </c>
      <c r="AU95" s="730">
        <v>0</v>
      </c>
      <c r="AV95" s="320">
        <v>-9999</v>
      </c>
      <c r="AW95" s="320">
        <v>-9999</v>
      </c>
      <c r="AX95" s="730">
        <v>0</v>
      </c>
      <c r="AY95" s="320">
        <v>-9999</v>
      </c>
      <c r="AZ95" s="320">
        <v>-9999</v>
      </c>
      <c r="BA95" s="320" t="s">
        <v>725</v>
      </c>
      <c r="BB95" s="320" t="s">
        <v>626</v>
      </c>
      <c r="BC95" s="320" t="s">
        <v>829</v>
      </c>
      <c r="BD95" s="320" t="s">
        <v>835</v>
      </c>
      <c r="BE95" s="320" t="s">
        <v>1128</v>
      </c>
      <c r="BF95" s="320" t="s">
        <v>1129</v>
      </c>
      <c r="BG95" s="320" t="s">
        <v>577</v>
      </c>
      <c r="BH95" s="320">
        <v>-9999</v>
      </c>
      <c r="BI95" s="320">
        <v>-9999</v>
      </c>
      <c r="BJ95" s="320">
        <v>46.2</v>
      </c>
      <c r="BK95" s="320">
        <v>-9999</v>
      </c>
      <c r="BL95" s="320">
        <v>-9999</v>
      </c>
      <c r="BM95" s="320">
        <v>-9999</v>
      </c>
      <c r="BN95" s="320">
        <v>-9999</v>
      </c>
      <c r="BO95" s="320">
        <v>-9999</v>
      </c>
      <c r="BP95" s="320">
        <v>-9999</v>
      </c>
      <c r="BQ95" s="320">
        <v>-9999</v>
      </c>
      <c r="BR95" s="320">
        <v>-9999</v>
      </c>
      <c r="BS95" s="320">
        <v>-9999</v>
      </c>
      <c r="BT95" s="320">
        <v>-9999</v>
      </c>
      <c r="BU95" s="320">
        <v>-9999</v>
      </c>
      <c r="BV95" s="320">
        <v>-9999</v>
      </c>
      <c r="BX95" s="320">
        <v>-9999</v>
      </c>
      <c r="BY95" s="320">
        <v>-9999</v>
      </c>
      <c r="BZ95" s="320">
        <v>-9999</v>
      </c>
      <c r="CA95" s="320">
        <v>-9999</v>
      </c>
      <c r="CB95" s="320" t="s">
        <v>1132</v>
      </c>
      <c r="CC95" s="320">
        <v>1</v>
      </c>
      <c r="CD95" s="320">
        <v>5</v>
      </c>
      <c r="CE95" s="731">
        <v>17.681979999999999</v>
      </c>
      <c r="CF95" s="731">
        <v>23.179899999999989</v>
      </c>
      <c r="CG95" s="320">
        <v>5</v>
      </c>
      <c r="CH95" s="301" t="s">
        <v>2118</v>
      </c>
      <c r="CI95" s="301" t="s">
        <v>2126</v>
      </c>
      <c r="CJ95" s="320" t="s">
        <v>878</v>
      </c>
      <c r="CK95" s="89" t="s">
        <v>407</v>
      </c>
      <c r="CL95" s="89" t="s">
        <v>1242</v>
      </c>
      <c r="CM95" s="270">
        <v>47.05</v>
      </c>
      <c r="CN95" s="270">
        <v>122.75</v>
      </c>
    </row>
    <row r="96" spans="1:92" s="320" customFormat="1" x14ac:dyDescent="0.2">
      <c r="A96" s="320" t="s">
        <v>832</v>
      </c>
      <c r="B96" s="320" t="s">
        <v>820</v>
      </c>
      <c r="C96" s="320" t="s">
        <v>1124</v>
      </c>
      <c r="D96" s="320" t="s">
        <v>619</v>
      </c>
      <c r="E96" s="320" t="s">
        <v>831</v>
      </c>
      <c r="F96" s="320">
        <v>1</v>
      </c>
      <c r="G96" s="320">
        <v>6</v>
      </c>
      <c r="H96" s="320">
        <v>6</v>
      </c>
      <c r="I96" s="320" t="s">
        <v>621</v>
      </c>
      <c r="J96" s="320">
        <v>1986</v>
      </c>
      <c r="K96" s="320" t="s">
        <v>1211</v>
      </c>
      <c r="L96" s="320">
        <v>1991</v>
      </c>
      <c r="M96" s="731">
        <v>-9999</v>
      </c>
      <c r="N96" s="731">
        <v>-9999</v>
      </c>
      <c r="P96" s="731">
        <v>110.931</v>
      </c>
      <c r="Q96" s="731">
        <v>-9999</v>
      </c>
      <c r="R96" s="731"/>
      <c r="S96" s="731"/>
      <c r="T96" s="731">
        <v>18.488499999999998</v>
      </c>
      <c r="U96" s="731">
        <v>-9999</v>
      </c>
      <c r="V96" s="731"/>
      <c r="W96" s="731">
        <v>19.083100000000002</v>
      </c>
      <c r="X96" s="731">
        <v>-9999</v>
      </c>
      <c r="Y96" s="731"/>
      <c r="Z96" s="320" t="s">
        <v>793</v>
      </c>
      <c r="AA96" s="320">
        <v>10000</v>
      </c>
      <c r="AB96" s="320">
        <v>-9999</v>
      </c>
      <c r="AC96" s="320">
        <v>-9999</v>
      </c>
      <c r="AD96" s="320">
        <v>500</v>
      </c>
      <c r="AE96" s="320" t="s">
        <v>1959</v>
      </c>
      <c r="AF96" s="320">
        <v>3</v>
      </c>
      <c r="AG96" s="320">
        <v>4</v>
      </c>
      <c r="AH96" s="320" t="s">
        <v>623</v>
      </c>
      <c r="AI96" s="320" t="s">
        <v>834</v>
      </c>
      <c r="AJ96" s="320">
        <v>20</v>
      </c>
      <c r="AK96" s="320" t="s">
        <v>625</v>
      </c>
      <c r="AL96" s="320" t="s">
        <v>1127</v>
      </c>
      <c r="AM96" s="320">
        <v>-9999</v>
      </c>
      <c r="AN96" s="320" t="s">
        <v>626</v>
      </c>
      <c r="AO96" s="320" t="s">
        <v>627</v>
      </c>
      <c r="AP96" s="320" t="s">
        <v>1126</v>
      </c>
      <c r="AQ96" s="320" t="s">
        <v>626</v>
      </c>
      <c r="AR96" s="730">
        <v>200</v>
      </c>
      <c r="AS96" s="320" t="s">
        <v>726</v>
      </c>
      <c r="AT96" s="320">
        <v>-9999</v>
      </c>
      <c r="AU96" s="730">
        <v>43</v>
      </c>
      <c r="AV96" s="320">
        <v>-9999</v>
      </c>
      <c r="AW96" s="320">
        <v>-9999</v>
      </c>
      <c r="AX96" s="730">
        <v>83</v>
      </c>
      <c r="AY96" s="320">
        <v>-9999</v>
      </c>
      <c r="AZ96" s="320">
        <v>-9999</v>
      </c>
      <c r="BA96" s="320" t="s">
        <v>725</v>
      </c>
      <c r="BB96" s="320" t="s">
        <v>626</v>
      </c>
      <c r="BC96" s="320" t="s">
        <v>829</v>
      </c>
      <c r="BD96" s="320" t="s">
        <v>835</v>
      </c>
      <c r="BE96" s="320" t="s">
        <v>1128</v>
      </c>
      <c r="BF96" s="320" t="s">
        <v>1129</v>
      </c>
      <c r="BG96" s="320" t="s">
        <v>577</v>
      </c>
      <c r="BH96" s="320">
        <v>-9999</v>
      </c>
      <c r="BI96" s="320">
        <v>-9999</v>
      </c>
      <c r="BJ96" s="320">
        <v>43.9</v>
      </c>
      <c r="BK96" s="320">
        <v>-9999</v>
      </c>
      <c r="BL96" s="320">
        <v>-9999</v>
      </c>
      <c r="BM96" s="320">
        <v>-9999</v>
      </c>
      <c r="BN96" s="320">
        <v>-9999</v>
      </c>
      <c r="BO96" s="320">
        <v>-9999</v>
      </c>
      <c r="BP96" s="320">
        <v>-9999</v>
      </c>
      <c r="BQ96" s="320">
        <v>-9999</v>
      </c>
      <c r="BR96" s="320">
        <v>-9999</v>
      </c>
      <c r="BS96" s="320">
        <v>-9999</v>
      </c>
      <c r="BT96" s="320">
        <v>-9999</v>
      </c>
      <c r="BU96" s="320">
        <v>-9999</v>
      </c>
      <c r="BV96" s="320">
        <v>-9999</v>
      </c>
      <c r="BX96" s="320">
        <v>-9999</v>
      </c>
      <c r="BY96" s="320">
        <v>-9999</v>
      </c>
      <c r="BZ96" s="320">
        <v>-9999</v>
      </c>
      <c r="CA96" s="320">
        <v>-9999</v>
      </c>
      <c r="CB96" s="320" t="s">
        <v>1132</v>
      </c>
      <c r="CC96" s="320">
        <v>1</v>
      </c>
      <c r="CD96" s="320">
        <v>6</v>
      </c>
      <c r="CE96" s="731">
        <v>18.488499999999998</v>
      </c>
      <c r="CF96" s="731">
        <v>19.083100000000002</v>
      </c>
      <c r="CG96" s="320">
        <v>6</v>
      </c>
      <c r="CH96" s="301" t="s">
        <v>2118</v>
      </c>
      <c r="CI96" s="301" t="s">
        <v>2126</v>
      </c>
      <c r="CJ96" s="320" t="s">
        <v>878</v>
      </c>
      <c r="CK96" s="89" t="s">
        <v>407</v>
      </c>
      <c r="CL96" s="89" t="s">
        <v>1242</v>
      </c>
      <c r="CM96" s="270">
        <v>47.05</v>
      </c>
      <c r="CN96" s="270">
        <v>122.75</v>
      </c>
    </row>
    <row r="97" spans="1:96" s="320" customFormat="1" x14ac:dyDescent="0.2">
      <c r="A97" s="320" t="s">
        <v>832</v>
      </c>
      <c r="B97" s="320" t="s">
        <v>820</v>
      </c>
      <c r="C97" s="320" t="s">
        <v>1125</v>
      </c>
      <c r="D97" s="320" t="s">
        <v>619</v>
      </c>
      <c r="E97" s="320" t="s">
        <v>831</v>
      </c>
      <c r="F97" s="320">
        <v>1</v>
      </c>
      <c r="G97" s="320">
        <v>7</v>
      </c>
      <c r="H97" s="320">
        <v>7</v>
      </c>
      <c r="I97" s="320" t="s">
        <v>621</v>
      </c>
      <c r="J97" s="320">
        <v>1986</v>
      </c>
      <c r="K97" s="320" t="s">
        <v>1211</v>
      </c>
      <c r="L97" s="320">
        <v>1992</v>
      </c>
      <c r="M97" s="731">
        <v>-9999</v>
      </c>
      <c r="N97" s="731">
        <v>-9999</v>
      </c>
      <c r="P97" s="731">
        <v>119.68600000000001</v>
      </c>
      <c r="Q97" s="731">
        <v>-9999</v>
      </c>
      <c r="R97" s="731"/>
      <c r="S97" s="731"/>
      <c r="T97" s="731">
        <v>17.098000000000003</v>
      </c>
      <c r="U97" s="731">
        <v>-9999</v>
      </c>
      <c r="V97" s="731"/>
      <c r="W97" s="731">
        <v>21.804700000000011</v>
      </c>
      <c r="X97" s="731">
        <v>-9999</v>
      </c>
      <c r="Y97" s="731"/>
      <c r="Z97" s="320" t="s">
        <v>836</v>
      </c>
      <c r="AA97" s="320">
        <v>2500</v>
      </c>
      <c r="AB97" s="731">
        <v>1</v>
      </c>
      <c r="AC97" s="320">
        <v>-9999</v>
      </c>
      <c r="AD97" s="320">
        <v>1042</v>
      </c>
      <c r="AE97" s="320" t="s">
        <v>1959</v>
      </c>
      <c r="AF97" s="320">
        <v>3</v>
      </c>
      <c r="AG97" s="320">
        <v>3</v>
      </c>
      <c r="AH97" s="320" t="s">
        <v>623</v>
      </c>
      <c r="AI97" s="320" t="s">
        <v>834</v>
      </c>
      <c r="AJ97" s="320">
        <v>20</v>
      </c>
      <c r="AK97" s="320" t="s">
        <v>625</v>
      </c>
      <c r="AL97" s="320" t="s">
        <v>1127</v>
      </c>
      <c r="AM97" s="320">
        <v>-9999</v>
      </c>
      <c r="AN97" s="320" t="s">
        <v>626</v>
      </c>
      <c r="AO97" s="320" t="s">
        <v>627</v>
      </c>
      <c r="AP97" s="320" t="s">
        <v>1126</v>
      </c>
      <c r="AQ97" s="320" t="s">
        <v>626</v>
      </c>
      <c r="AR97" s="730">
        <v>300</v>
      </c>
      <c r="AS97" s="320" t="s">
        <v>1101</v>
      </c>
      <c r="AT97" s="320" t="s">
        <v>275</v>
      </c>
      <c r="AU97" s="730">
        <v>43</v>
      </c>
      <c r="AV97" s="320">
        <v>-9999</v>
      </c>
      <c r="AW97" s="320">
        <v>-9999</v>
      </c>
      <c r="AX97" s="730">
        <v>83</v>
      </c>
      <c r="AY97" s="320">
        <v>-9999</v>
      </c>
      <c r="AZ97" s="320">
        <v>-9999</v>
      </c>
      <c r="BA97" s="320" t="s">
        <v>725</v>
      </c>
      <c r="BB97" s="320" t="s">
        <v>626</v>
      </c>
      <c r="BC97" s="320" t="s">
        <v>829</v>
      </c>
      <c r="BD97" s="320" t="s">
        <v>835</v>
      </c>
      <c r="BE97" s="320" t="s">
        <v>1128</v>
      </c>
      <c r="BF97" s="320" t="s">
        <v>1129</v>
      </c>
      <c r="BG97" s="320" t="s">
        <v>577</v>
      </c>
      <c r="BH97" s="320">
        <v>-9999</v>
      </c>
      <c r="BI97" s="320">
        <v>-9999</v>
      </c>
      <c r="BJ97" s="320">
        <v>36.700000000000003</v>
      </c>
      <c r="BK97" s="320">
        <v>-9999</v>
      </c>
      <c r="BL97" s="320">
        <v>19.2</v>
      </c>
      <c r="BM97" s="320">
        <v>-9999</v>
      </c>
      <c r="BN97" s="320">
        <v>13.5</v>
      </c>
      <c r="BO97" s="320">
        <v>-9999</v>
      </c>
      <c r="BP97" s="320">
        <v>-9999</v>
      </c>
      <c r="BQ97" s="320">
        <v>-9999</v>
      </c>
      <c r="BR97" s="320">
        <v>-9999</v>
      </c>
      <c r="BS97" s="320">
        <v>-9999</v>
      </c>
      <c r="BT97" s="320">
        <v>-9999</v>
      </c>
      <c r="BU97" s="320">
        <v>-9999</v>
      </c>
      <c r="BV97" s="320">
        <v>-9999</v>
      </c>
      <c r="BX97" s="320">
        <v>47.8</v>
      </c>
      <c r="BY97" s="320">
        <v>-9999</v>
      </c>
      <c r="BZ97" s="320">
        <v>-9999</v>
      </c>
      <c r="CA97" s="320">
        <v>-9999</v>
      </c>
      <c r="CB97" s="320" t="s">
        <v>1132</v>
      </c>
      <c r="CC97" s="320">
        <v>1</v>
      </c>
      <c r="CD97" s="320">
        <v>7</v>
      </c>
      <c r="CE97" s="731">
        <v>17.098000000000003</v>
      </c>
      <c r="CF97" s="731">
        <v>21.804700000000011</v>
      </c>
      <c r="CG97" s="320">
        <v>7</v>
      </c>
      <c r="CH97" s="301" t="s">
        <v>2119</v>
      </c>
      <c r="CI97" s="301" t="s">
        <v>2126</v>
      </c>
      <c r="CJ97" s="320" t="s">
        <v>878</v>
      </c>
      <c r="CK97" s="89" t="s">
        <v>407</v>
      </c>
      <c r="CL97" s="89" t="s">
        <v>1242</v>
      </c>
      <c r="CM97" s="270">
        <v>47.05</v>
      </c>
      <c r="CN97" s="270">
        <v>122.75</v>
      </c>
    </row>
    <row r="98" spans="1:96" s="320" customFormat="1" x14ac:dyDescent="0.2">
      <c r="A98" s="320" t="s">
        <v>756</v>
      </c>
      <c r="B98" s="320" t="s">
        <v>1169</v>
      </c>
      <c r="C98" s="320" t="s">
        <v>1088</v>
      </c>
      <c r="D98" s="320" t="s">
        <v>619</v>
      </c>
      <c r="E98" s="320" t="s">
        <v>1526</v>
      </c>
      <c r="F98" s="320">
        <v>1</v>
      </c>
      <c r="G98" s="320">
        <v>4</v>
      </c>
      <c r="H98" s="320">
        <v>4</v>
      </c>
      <c r="I98" s="320" t="s">
        <v>320</v>
      </c>
      <c r="J98" s="320">
        <v>1979</v>
      </c>
      <c r="K98" s="320" t="s">
        <v>856</v>
      </c>
      <c r="L98" s="320">
        <v>1983</v>
      </c>
      <c r="M98" s="731">
        <v>-9999</v>
      </c>
      <c r="N98" s="731">
        <v>-9999</v>
      </c>
      <c r="P98" s="731">
        <v>111.2</v>
      </c>
      <c r="Q98" s="731">
        <v>-9999</v>
      </c>
      <c r="R98" s="731"/>
      <c r="S98" s="731"/>
      <c r="T98" s="731">
        <v>27.8</v>
      </c>
      <c r="U98" s="731">
        <v>50.9</v>
      </c>
      <c r="V98" s="731"/>
      <c r="W98" s="731">
        <v>-9999</v>
      </c>
      <c r="X98" s="731">
        <v>-9999</v>
      </c>
      <c r="Y98" s="731"/>
      <c r="Z98" s="320" t="s">
        <v>67</v>
      </c>
      <c r="AA98" s="320">
        <v>6944</v>
      </c>
      <c r="AB98" s="731">
        <v>0.97799999999999998</v>
      </c>
      <c r="AC98" s="320">
        <v>-9999</v>
      </c>
      <c r="AD98" s="320">
        <v>-9999</v>
      </c>
      <c r="AE98" s="320" t="s">
        <v>1095</v>
      </c>
      <c r="AF98" s="320">
        <v>5</v>
      </c>
      <c r="AG98" s="320" t="s">
        <v>1087</v>
      </c>
      <c r="AH98" s="320" t="s">
        <v>567</v>
      </c>
      <c r="AI98" s="320" t="s">
        <v>1103</v>
      </c>
      <c r="AJ98" s="320" t="s">
        <v>1100</v>
      </c>
      <c r="AK98" s="320" t="s">
        <v>626</v>
      </c>
      <c r="AL98" s="320" t="s">
        <v>1099</v>
      </c>
      <c r="AN98" s="320" t="s">
        <v>626</v>
      </c>
      <c r="AO98" s="320" t="s">
        <v>1092</v>
      </c>
      <c r="AP98" s="320" t="s">
        <v>577</v>
      </c>
      <c r="AQ98" s="320" t="s">
        <v>626</v>
      </c>
      <c r="AR98" s="730">
        <v>225</v>
      </c>
      <c r="AS98" s="320" t="s">
        <v>1101</v>
      </c>
      <c r="AT98" s="320" t="s">
        <v>738</v>
      </c>
      <c r="AU98" s="730">
        <v>0</v>
      </c>
      <c r="AV98" s="320">
        <v>-9999</v>
      </c>
      <c r="AW98" s="320">
        <v>-9999</v>
      </c>
      <c r="AX98" s="730">
        <v>0</v>
      </c>
      <c r="AY98" s="320">
        <v>-9999</v>
      </c>
      <c r="AZ98" s="320">
        <v>-9999</v>
      </c>
      <c r="BA98" s="320" t="s">
        <v>1102</v>
      </c>
      <c r="BB98" s="320" t="s">
        <v>631</v>
      </c>
      <c r="BC98" s="320">
        <v>-9999</v>
      </c>
      <c r="BD98" s="320">
        <v>-9999</v>
      </c>
      <c r="BE98" s="320">
        <v>-9999</v>
      </c>
      <c r="BF98" s="320">
        <v>-9999</v>
      </c>
      <c r="BG98" s="320">
        <v>-9999</v>
      </c>
      <c r="BH98" s="320">
        <v>-9999</v>
      </c>
      <c r="BI98" s="320">
        <v>-9999</v>
      </c>
      <c r="BJ98" s="320">
        <v>-9999</v>
      </c>
      <c r="BK98" s="320">
        <v>-9999</v>
      </c>
      <c r="BL98" s="320">
        <v>11.8</v>
      </c>
      <c r="BM98" s="320">
        <v>-9999</v>
      </c>
      <c r="BN98" s="320">
        <v>9.1999999999999993</v>
      </c>
      <c r="BO98" s="320">
        <v>-9999</v>
      </c>
      <c r="BP98" s="320">
        <v>-9999</v>
      </c>
      <c r="BQ98" s="320">
        <v>-9999</v>
      </c>
      <c r="BR98" s="320">
        <v>-9999</v>
      </c>
      <c r="BS98" s="320">
        <v>3357.21</v>
      </c>
      <c r="BT98" s="320">
        <v>235</v>
      </c>
      <c r="BU98" s="320">
        <v>-9999</v>
      </c>
      <c r="BV98" s="320">
        <v>-9999</v>
      </c>
      <c r="BX98" s="320">
        <v>-9999</v>
      </c>
      <c r="BY98" s="320">
        <v>-9999</v>
      </c>
      <c r="BZ98" s="320">
        <v>-9999</v>
      </c>
      <c r="CA98" s="320" t="s">
        <v>1096</v>
      </c>
      <c r="CC98" s="320">
        <v>1</v>
      </c>
      <c r="CD98" s="320">
        <v>4</v>
      </c>
      <c r="CE98" s="731">
        <v>27.8</v>
      </c>
      <c r="CF98" s="731">
        <v>50.9</v>
      </c>
      <c r="CG98" s="320">
        <v>4</v>
      </c>
      <c r="CH98" s="301" t="s">
        <v>2121</v>
      </c>
      <c r="CI98" s="301" t="s">
        <v>2126</v>
      </c>
      <c r="CJ98" s="320" t="s">
        <v>878</v>
      </c>
      <c r="CK98" s="88" t="s">
        <v>1300</v>
      </c>
      <c r="CL98" s="88" t="s">
        <v>1301</v>
      </c>
      <c r="CM98" s="270">
        <v>47.15</v>
      </c>
      <c r="CN98" s="270">
        <v>122.1</v>
      </c>
    </row>
    <row r="99" spans="1:96" s="320" customFormat="1" x14ac:dyDescent="0.2">
      <c r="A99" s="320" t="s">
        <v>756</v>
      </c>
      <c r="B99" s="320" t="s">
        <v>1169</v>
      </c>
      <c r="C99" s="320" t="s">
        <v>1088</v>
      </c>
      <c r="D99" s="320" t="s">
        <v>619</v>
      </c>
      <c r="E99" s="320" t="s">
        <v>1526</v>
      </c>
      <c r="F99" s="320">
        <v>2</v>
      </c>
      <c r="G99" s="320">
        <v>4</v>
      </c>
      <c r="H99" s="320">
        <v>8</v>
      </c>
      <c r="I99" s="320" t="s">
        <v>320</v>
      </c>
      <c r="J99" s="320">
        <v>1979</v>
      </c>
      <c r="K99" s="320" t="s">
        <v>842</v>
      </c>
      <c r="L99" s="320">
        <v>1987</v>
      </c>
      <c r="M99" s="731">
        <v>-9999</v>
      </c>
      <c r="N99" s="731">
        <v>-9999</v>
      </c>
      <c r="P99" s="731">
        <v>134</v>
      </c>
      <c r="Q99" s="731">
        <v>-9999</v>
      </c>
      <c r="R99" s="731"/>
      <c r="S99" s="731"/>
      <c r="T99" s="731">
        <v>33.5</v>
      </c>
      <c r="U99" s="731">
        <v>-9999</v>
      </c>
      <c r="V99" s="731"/>
      <c r="W99" s="731">
        <v>-9999</v>
      </c>
      <c r="X99" s="731">
        <v>-9999</v>
      </c>
      <c r="Y99" s="731"/>
      <c r="Z99" s="320" t="s">
        <v>67</v>
      </c>
      <c r="AA99" s="320">
        <v>6944</v>
      </c>
      <c r="AB99" s="731">
        <v>0.74</v>
      </c>
      <c r="AC99" s="320">
        <v>-9999</v>
      </c>
      <c r="AD99" s="320">
        <v>-9999</v>
      </c>
      <c r="AE99" s="320" t="s">
        <v>1095</v>
      </c>
      <c r="AF99" s="320">
        <v>3</v>
      </c>
      <c r="AG99" s="320" t="s">
        <v>1087</v>
      </c>
      <c r="AH99" s="320" t="s">
        <v>567</v>
      </c>
      <c r="AI99" s="320" t="s">
        <v>1103</v>
      </c>
      <c r="AJ99" s="320" t="s">
        <v>1100</v>
      </c>
      <c r="AK99" s="320" t="s">
        <v>626</v>
      </c>
      <c r="AL99" s="320" t="s">
        <v>1099</v>
      </c>
      <c r="AN99" s="320" t="s">
        <v>626</v>
      </c>
      <c r="AO99" s="320" t="s">
        <v>1092</v>
      </c>
      <c r="AP99" s="320" t="s">
        <v>577</v>
      </c>
      <c r="AQ99" s="320" t="s">
        <v>626</v>
      </c>
      <c r="AR99" s="730">
        <v>133</v>
      </c>
      <c r="AS99" s="320" t="s">
        <v>1101</v>
      </c>
      <c r="AT99" s="320" t="s">
        <v>739</v>
      </c>
      <c r="AU99" s="730">
        <v>0</v>
      </c>
      <c r="AV99" s="320">
        <v>-9999</v>
      </c>
      <c r="AW99" s="320">
        <v>-9999</v>
      </c>
      <c r="AX99" s="730">
        <v>0</v>
      </c>
      <c r="AY99" s="320">
        <v>-9999</v>
      </c>
      <c r="AZ99" s="320">
        <v>-9999</v>
      </c>
      <c r="BA99" s="320" t="s">
        <v>1102</v>
      </c>
      <c r="BB99" s="320" t="s">
        <v>631</v>
      </c>
      <c r="BC99" s="320">
        <v>-9999</v>
      </c>
      <c r="BD99" s="320">
        <v>-9999</v>
      </c>
      <c r="BE99" s="320">
        <v>-9999</v>
      </c>
      <c r="BF99" s="320">
        <v>-9999</v>
      </c>
      <c r="BG99" s="320">
        <v>-9999</v>
      </c>
      <c r="BH99" s="320">
        <v>-9999</v>
      </c>
      <c r="BI99" s="320" t="s">
        <v>629</v>
      </c>
      <c r="BJ99" s="320">
        <v>49</v>
      </c>
      <c r="BK99" s="320">
        <v>-9999</v>
      </c>
      <c r="BL99" s="320">
        <v>11.2</v>
      </c>
      <c r="BM99" s="320">
        <v>-9999</v>
      </c>
      <c r="BN99" s="320">
        <v>7.6</v>
      </c>
      <c r="BO99" s="320">
        <v>-9999</v>
      </c>
      <c r="BP99" s="320">
        <v>-9999</v>
      </c>
      <c r="BQ99" s="320">
        <v>-9999</v>
      </c>
      <c r="BR99" s="320">
        <v>-9999</v>
      </c>
      <c r="BS99" s="320">
        <v>-9999</v>
      </c>
      <c r="BT99" s="320">
        <v>-9999</v>
      </c>
      <c r="BU99" s="320">
        <v>-9999</v>
      </c>
      <c r="BV99" s="320">
        <v>-9999</v>
      </c>
      <c r="BX99" s="320">
        <v>-9999</v>
      </c>
      <c r="BY99" s="320">
        <v>-9999</v>
      </c>
      <c r="BZ99" s="320">
        <v>-9999</v>
      </c>
      <c r="CA99" s="320" t="s">
        <v>1096</v>
      </c>
      <c r="CC99" s="320">
        <v>2</v>
      </c>
      <c r="CD99" s="320">
        <v>4</v>
      </c>
      <c r="CE99" s="731">
        <v>33.5</v>
      </c>
      <c r="CF99" s="731"/>
      <c r="CG99" s="320">
        <v>8</v>
      </c>
      <c r="CH99" s="301" t="s">
        <v>2119</v>
      </c>
      <c r="CI99" s="301" t="s">
        <v>2126</v>
      </c>
      <c r="CJ99" s="320" t="s">
        <v>878</v>
      </c>
      <c r="CK99" s="88" t="s">
        <v>1300</v>
      </c>
      <c r="CL99" s="88" t="s">
        <v>1301</v>
      </c>
      <c r="CM99" s="270">
        <v>47.15</v>
      </c>
      <c r="CN99" s="270">
        <v>122.1</v>
      </c>
    </row>
    <row r="100" spans="1:96" s="320" customFormat="1" x14ac:dyDescent="0.2">
      <c r="A100" s="320" t="s">
        <v>756</v>
      </c>
      <c r="B100" s="320" t="s">
        <v>1169</v>
      </c>
      <c r="C100" s="320" t="s">
        <v>1090</v>
      </c>
      <c r="D100" s="320" t="s">
        <v>619</v>
      </c>
      <c r="E100" s="320" t="s">
        <v>1528</v>
      </c>
      <c r="F100" s="320">
        <v>1</v>
      </c>
      <c r="G100" s="320">
        <v>4</v>
      </c>
      <c r="H100" s="320">
        <v>4</v>
      </c>
      <c r="I100" s="320" t="s">
        <v>320</v>
      </c>
      <c r="J100" s="320">
        <v>1979</v>
      </c>
      <c r="K100" s="320" t="s">
        <v>856</v>
      </c>
      <c r="L100" s="320">
        <v>1983</v>
      </c>
      <c r="M100" s="731">
        <v>-9999</v>
      </c>
      <c r="N100" s="731">
        <v>-9999</v>
      </c>
      <c r="P100" s="731">
        <v>110</v>
      </c>
      <c r="Q100" s="731">
        <v>-9999</v>
      </c>
      <c r="R100" s="731"/>
      <c r="S100" s="731"/>
      <c r="T100" s="731">
        <v>27.5</v>
      </c>
      <c r="U100" s="731">
        <v>51.5</v>
      </c>
      <c r="V100" s="731"/>
      <c r="W100" s="731">
        <v>51.5</v>
      </c>
      <c r="X100" s="731">
        <v>-9999</v>
      </c>
      <c r="Y100" s="731"/>
      <c r="Z100" s="320" t="s">
        <v>67</v>
      </c>
      <c r="AA100" s="320">
        <v>6944</v>
      </c>
      <c r="AB100" s="731">
        <v>1</v>
      </c>
      <c r="AC100" s="320">
        <v>-9999</v>
      </c>
      <c r="AD100" s="320">
        <v>-9999</v>
      </c>
      <c r="AE100" s="320" t="s">
        <v>1095</v>
      </c>
      <c r="AF100" s="320">
        <v>5</v>
      </c>
      <c r="AG100" s="320" t="s">
        <v>1087</v>
      </c>
      <c r="AH100" s="320" t="s">
        <v>567</v>
      </c>
      <c r="AI100" s="320" t="s">
        <v>1103</v>
      </c>
      <c r="AJ100" s="320" t="s">
        <v>1100</v>
      </c>
      <c r="AK100" s="320" t="s">
        <v>626</v>
      </c>
      <c r="AL100" s="320" t="s">
        <v>1099</v>
      </c>
      <c r="AN100" s="320" t="s">
        <v>626</v>
      </c>
      <c r="AO100" s="320" t="s">
        <v>1092</v>
      </c>
      <c r="AP100" s="320" t="s">
        <v>577</v>
      </c>
      <c r="AQ100" s="320" t="s">
        <v>626</v>
      </c>
      <c r="AR100" s="730">
        <v>225</v>
      </c>
      <c r="AS100" s="320" t="s">
        <v>1101</v>
      </c>
      <c r="AT100" s="320" t="s">
        <v>738</v>
      </c>
      <c r="AU100" s="730">
        <v>0</v>
      </c>
      <c r="AV100" s="320">
        <v>-9999</v>
      </c>
      <c r="AW100" s="320">
        <v>-9999</v>
      </c>
      <c r="AX100" s="730">
        <v>0</v>
      </c>
      <c r="AY100" s="320">
        <v>-9999</v>
      </c>
      <c r="AZ100" s="320">
        <v>-9999</v>
      </c>
      <c r="BA100" s="320" t="s">
        <v>1102</v>
      </c>
      <c r="BB100" s="320" t="s">
        <v>631</v>
      </c>
      <c r="BC100" s="320">
        <v>-9999</v>
      </c>
      <c r="BD100" s="320">
        <v>-9999</v>
      </c>
      <c r="BE100" s="320">
        <v>-9999</v>
      </c>
      <c r="BF100" s="320">
        <v>-9999</v>
      </c>
      <c r="BG100" s="320">
        <v>-9999</v>
      </c>
      <c r="BH100" s="320">
        <v>-9999</v>
      </c>
      <c r="BI100" s="320">
        <v>-9999</v>
      </c>
      <c r="BJ100" s="320">
        <v>-9999</v>
      </c>
      <c r="BK100" s="320">
        <v>-9999</v>
      </c>
      <c r="BL100" s="320">
        <v>12.2</v>
      </c>
      <c r="BM100" s="320">
        <v>-9999</v>
      </c>
      <c r="BN100" s="320">
        <v>8.9</v>
      </c>
      <c r="BO100" s="320">
        <v>-9999</v>
      </c>
      <c r="BP100" s="320">
        <v>-9999</v>
      </c>
      <c r="BQ100" s="320">
        <v>-9999</v>
      </c>
      <c r="BR100" s="320">
        <v>-9999</v>
      </c>
      <c r="BS100" s="320">
        <v>3342.924</v>
      </c>
      <c r="BT100" s="320">
        <v>234</v>
      </c>
      <c r="BU100" s="320">
        <v>-9999</v>
      </c>
      <c r="BV100" s="320">
        <v>-9999</v>
      </c>
      <c r="BX100" s="320">
        <v>-9999</v>
      </c>
      <c r="BY100" s="320">
        <v>-9999</v>
      </c>
      <c r="BZ100" s="320">
        <v>-9999</v>
      </c>
      <c r="CA100" s="320" t="s">
        <v>1096</v>
      </c>
      <c r="CC100" s="320">
        <v>1</v>
      </c>
      <c r="CD100" s="320">
        <v>4</v>
      </c>
      <c r="CE100" s="731">
        <v>27.5</v>
      </c>
      <c r="CF100" s="731">
        <v>51.5</v>
      </c>
      <c r="CG100" s="320">
        <v>4</v>
      </c>
      <c r="CH100" s="301" t="s">
        <v>2121</v>
      </c>
      <c r="CI100" s="301" t="s">
        <v>2126</v>
      </c>
      <c r="CJ100" s="320" t="s">
        <v>878</v>
      </c>
      <c r="CK100" s="88" t="s">
        <v>1300</v>
      </c>
      <c r="CL100" s="88" t="s">
        <v>1301</v>
      </c>
      <c r="CM100" s="270">
        <v>47.15</v>
      </c>
      <c r="CN100" s="270">
        <v>122.1</v>
      </c>
    </row>
    <row r="101" spans="1:96" s="320" customFormat="1" x14ac:dyDescent="0.2">
      <c r="A101" s="320" t="s">
        <v>756</v>
      </c>
      <c r="B101" s="320" t="s">
        <v>1169</v>
      </c>
      <c r="C101" s="320" t="s">
        <v>1090</v>
      </c>
      <c r="D101" s="320" t="s">
        <v>619</v>
      </c>
      <c r="E101" s="320" t="s">
        <v>1528</v>
      </c>
      <c r="F101" s="320">
        <v>2</v>
      </c>
      <c r="G101" s="320">
        <v>4</v>
      </c>
      <c r="H101" s="320">
        <v>8</v>
      </c>
      <c r="I101" s="320" t="s">
        <v>320</v>
      </c>
      <c r="J101" s="320">
        <v>1979</v>
      </c>
      <c r="K101" s="320" t="s">
        <v>842</v>
      </c>
      <c r="L101" s="320">
        <v>1987</v>
      </c>
      <c r="M101" s="731">
        <v>-9999</v>
      </c>
      <c r="N101" s="731">
        <v>-9999</v>
      </c>
      <c r="P101" s="731">
        <v>174</v>
      </c>
      <c r="Q101" s="731">
        <v>-9999</v>
      </c>
      <c r="R101" s="731"/>
      <c r="S101" s="731"/>
      <c r="T101" s="731">
        <v>43.5</v>
      </c>
      <c r="U101" s="731">
        <v>-9999</v>
      </c>
      <c r="V101" s="731"/>
      <c r="W101" s="731">
        <v>-9999</v>
      </c>
      <c r="X101" s="731">
        <v>-9999</v>
      </c>
      <c r="Y101" s="731"/>
      <c r="Z101" s="320" t="s">
        <v>67</v>
      </c>
      <c r="AA101" s="320">
        <v>6944</v>
      </c>
      <c r="AB101" s="731">
        <v>0.94</v>
      </c>
      <c r="AC101" s="320">
        <v>-9999</v>
      </c>
      <c r="AD101" s="320">
        <v>-9999</v>
      </c>
      <c r="AE101" s="320" t="s">
        <v>1095</v>
      </c>
      <c r="AF101" s="320">
        <v>3</v>
      </c>
      <c r="AG101" s="320" t="s">
        <v>1087</v>
      </c>
      <c r="AH101" s="320" t="s">
        <v>567</v>
      </c>
      <c r="AI101" s="320" t="s">
        <v>1103</v>
      </c>
      <c r="AJ101" s="320" t="s">
        <v>1100</v>
      </c>
      <c r="AK101" s="320" t="s">
        <v>626</v>
      </c>
      <c r="AL101" s="320" t="s">
        <v>1099</v>
      </c>
      <c r="AN101" s="320" t="s">
        <v>626</v>
      </c>
      <c r="AO101" s="320" t="s">
        <v>1092</v>
      </c>
      <c r="AP101" s="320" t="s">
        <v>577</v>
      </c>
      <c r="AQ101" s="320" t="s">
        <v>626</v>
      </c>
      <c r="AR101" s="730">
        <v>133</v>
      </c>
      <c r="AS101" s="320" t="s">
        <v>1101</v>
      </c>
      <c r="AT101" s="320" t="s">
        <v>739</v>
      </c>
      <c r="AU101" s="730">
        <v>0</v>
      </c>
      <c r="AV101" s="320">
        <v>-9999</v>
      </c>
      <c r="AW101" s="320">
        <v>-9999</v>
      </c>
      <c r="AX101" s="730">
        <v>0</v>
      </c>
      <c r="AY101" s="320">
        <v>-9999</v>
      </c>
      <c r="AZ101" s="320">
        <v>-9999</v>
      </c>
      <c r="BA101" s="320" t="s">
        <v>1102</v>
      </c>
      <c r="BB101" s="320" t="s">
        <v>631</v>
      </c>
      <c r="BC101" s="320">
        <v>-9999</v>
      </c>
      <c r="BD101" s="320">
        <v>-9999</v>
      </c>
      <c r="BE101" s="320">
        <v>-9999</v>
      </c>
      <c r="BF101" s="320">
        <v>-9999</v>
      </c>
      <c r="BG101" s="320">
        <v>-9999</v>
      </c>
      <c r="BH101" s="320">
        <v>-9999</v>
      </c>
      <c r="BI101" s="320" t="s">
        <v>629</v>
      </c>
      <c r="BJ101" s="320">
        <v>65.3</v>
      </c>
      <c r="BK101" s="320">
        <v>-9999</v>
      </c>
      <c r="BL101" s="320">
        <v>13.2</v>
      </c>
      <c r="BM101" s="320">
        <v>-9999</v>
      </c>
      <c r="BN101" s="320">
        <v>9</v>
      </c>
      <c r="BO101" s="320">
        <v>-9999</v>
      </c>
      <c r="BP101" s="320">
        <v>-9999</v>
      </c>
      <c r="BQ101" s="320">
        <v>-9999</v>
      </c>
      <c r="BR101" s="320">
        <v>-9999</v>
      </c>
      <c r="BS101" s="320">
        <v>-9999</v>
      </c>
      <c r="BT101" s="320">
        <v>-9999</v>
      </c>
      <c r="BU101" s="320">
        <v>-9999</v>
      </c>
      <c r="BV101" s="320">
        <v>-9999</v>
      </c>
      <c r="BX101" s="320">
        <v>-9999</v>
      </c>
      <c r="BY101" s="320">
        <v>-9999</v>
      </c>
      <c r="BZ101" s="320">
        <v>-9999</v>
      </c>
      <c r="CA101" s="320" t="s">
        <v>1096</v>
      </c>
      <c r="CC101" s="320">
        <v>2</v>
      </c>
      <c r="CD101" s="320">
        <v>4</v>
      </c>
      <c r="CE101" s="731">
        <v>43.5</v>
      </c>
      <c r="CF101" s="731">
        <v>-9999</v>
      </c>
      <c r="CG101" s="320">
        <v>8</v>
      </c>
      <c r="CH101" s="301" t="s">
        <v>2118</v>
      </c>
      <c r="CI101" s="301" t="s">
        <v>2126</v>
      </c>
      <c r="CJ101" s="320" t="s">
        <v>878</v>
      </c>
      <c r="CK101" s="88" t="s">
        <v>1300</v>
      </c>
      <c r="CL101" s="88" t="s">
        <v>1301</v>
      </c>
      <c r="CM101" s="270">
        <v>47.15</v>
      </c>
      <c r="CN101" s="270">
        <v>122.1</v>
      </c>
    </row>
    <row r="102" spans="1:96" s="320" customFormat="1" x14ac:dyDescent="0.2">
      <c r="A102" s="320" t="s">
        <v>756</v>
      </c>
      <c r="B102" s="320" t="s">
        <v>1169</v>
      </c>
      <c r="C102" s="320" t="s">
        <v>1091</v>
      </c>
      <c r="D102" s="320" t="s">
        <v>619</v>
      </c>
      <c r="E102" s="320" t="s">
        <v>1529</v>
      </c>
      <c r="F102" s="320">
        <v>2</v>
      </c>
      <c r="G102" s="320">
        <v>4</v>
      </c>
      <c r="H102" s="320">
        <v>8</v>
      </c>
      <c r="I102" s="320" t="s">
        <v>320</v>
      </c>
      <c r="J102" s="320">
        <v>1979</v>
      </c>
      <c r="K102" s="320" t="s">
        <v>842</v>
      </c>
      <c r="L102" s="320">
        <v>1987</v>
      </c>
      <c r="M102" s="731">
        <v>-9999</v>
      </c>
      <c r="N102" s="731">
        <v>-9999</v>
      </c>
      <c r="P102" s="731">
        <v>75.2</v>
      </c>
      <c r="Q102" s="731">
        <v>-9999</v>
      </c>
      <c r="R102" s="731"/>
      <c r="S102" s="731"/>
      <c r="T102" s="731">
        <v>18.8</v>
      </c>
      <c r="U102" s="731">
        <v>-9999</v>
      </c>
      <c r="V102" s="731"/>
      <c r="W102" s="731">
        <v>-9999</v>
      </c>
      <c r="X102" s="731">
        <v>-9999</v>
      </c>
      <c r="Y102" s="731"/>
      <c r="Z102" s="320" t="s">
        <v>67</v>
      </c>
      <c r="AA102" s="320">
        <v>6944</v>
      </c>
      <c r="AB102" s="731">
        <v>0.81</v>
      </c>
      <c r="AC102" s="320">
        <v>-9999</v>
      </c>
      <c r="AD102" s="320">
        <v>-9999</v>
      </c>
      <c r="AE102" s="320" t="s">
        <v>1095</v>
      </c>
      <c r="AF102" s="320">
        <v>3</v>
      </c>
      <c r="AG102" s="320" t="s">
        <v>1087</v>
      </c>
      <c r="AH102" s="320" t="s">
        <v>567</v>
      </c>
      <c r="AI102" s="320" t="s">
        <v>1103</v>
      </c>
      <c r="AJ102" s="320" t="s">
        <v>1100</v>
      </c>
      <c r="AK102" s="320" t="s">
        <v>626</v>
      </c>
      <c r="AL102" s="320" t="s">
        <v>1099</v>
      </c>
      <c r="AN102" s="320" t="s">
        <v>626</v>
      </c>
      <c r="AO102" s="320" t="s">
        <v>1092</v>
      </c>
      <c r="AP102" s="320" t="s">
        <v>577</v>
      </c>
      <c r="AQ102" s="320" t="s">
        <v>626</v>
      </c>
      <c r="AR102" s="730">
        <v>133</v>
      </c>
      <c r="AS102" s="320" t="s">
        <v>1101</v>
      </c>
      <c r="AT102" s="320" t="s">
        <v>739</v>
      </c>
      <c r="AU102" s="730">
        <v>0</v>
      </c>
      <c r="AV102" s="320">
        <v>-9999</v>
      </c>
      <c r="AW102" s="320">
        <v>-9999</v>
      </c>
      <c r="AX102" s="730">
        <v>0</v>
      </c>
      <c r="AY102" s="320">
        <v>-9999</v>
      </c>
      <c r="AZ102" s="320">
        <v>-9999</v>
      </c>
      <c r="BA102" s="320" t="s">
        <v>1102</v>
      </c>
      <c r="BB102" s="320" t="s">
        <v>631</v>
      </c>
      <c r="BC102" s="320">
        <v>-9999</v>
      </c>
      <c r="BD102" s="320">
        <v>-9999</v>
      </c>
      <c r="BE102" s="320">
        <v>-9999</v>
      </c>
      <c r="BF102" s="320">
        <v>-9999</v>
      </c>
      <c r="BG102" s="320">
        <v>-9999</v>
      </c>
      <c r="BH102" s="320">
        <v>-9999</v>
      </c>
      <c r="BI102" s="320" t="s">
        <v>629</v>
      </c>
      <c r="BJ102" s="320">
        <v>32.1</v>
      </c>
      <c r="BK102" s="320">
        <v>-9999</v>
      </c>
      <c r="BL102" s="320">
        <v>9.4</v>
      </c>
      <c r="BM102" s="320">
        <v>-9999</v>
      </c>
      <c r="BN102" s="320">
        <v>5.9</v>
      </c>
      <c r="BO102" s="320">
        <v>-9999</v>
      </c>
      <c r="BP102" s="320">
        <v>-9999</v>
      </c>
      <c r="BQ102" s="320">
        <v>-9999</v>
      </c>
      <c r="BR102" s="320">
        <v>-9999</v>
      </c>
      <c r="BS102" s="320">
        <v>-9999</v>
      </c>
      <c r="BT102" s="320">
        <v>-9999</v>
      </c>
      <c r="BU102" s="320">
        <v>-9999</v>
      </c>
      <c r="BV102" s="320">
        <v>-9999</v>
      </c>
      <c r="BX102" s="320">
        <v>-9999</v>
      </c>
      <c r="BY102" s="320">
        <v>-9999</v>
      </c>
      <c r="BZ102" s="320">
        <v>-9999</v>
      </c>
      <c r="CA102" s="320" t="s">
        <v>1096</v>
      </c>
      <c r="CC102" s="320">
        <v>2</v>
      </c>
      <c r="CD102" s="320">
        <v>4</v>
      </c>
      <c r="CE102" s="731">
        <v>18.8</v>
      </c>
      <c r="CF102" s="731">
        <v>-9999</v>
      </c>
      <c r="CG102" s="320">
        <v>8</v>
      </c>
      <c r="CH102" s="301" t="s">
        <v>2121</v>
      </c>
      <c r="CI102" s="301" t="s">
        <v>2126</v>
      </c>
      <c r="CK102" s="88" t="s">
        <v>1300</v>
      </c>
      <c r="CL102" s="88" t="s">
        <v>1301</v>
      </c>
      <c r="CM102" s="270">
        <v>47.15</v>
      </c>
      <c r="CN102" s="270">
        <v>122.1</v>
      </c>
    </row>
    <row r="103" spans="1:96" s="320" customFormat="1" x14ac:dyDescent="0.2">
      <c r="A103" s="320" t="s">
        <v>756</v>
      </c>
      <c r="B103" s="320" t="s">
        <v>1169</v>
      </c>
      <c r="C103" s="320" t="s">
        <v>1094</v>
      </c>
      <c r="D103" s="320" t="s">
        <v>619</v>
      </c>
      <c r="E103" s="320" t="s">
        <v>1504</v>
      </c>
      <c r="F103" s="320">
        <v>1</v>
      </c>
      <c r="G103" s="320">
        <v>4</v>
      </c>
      <c r="H103" s="320">
        <v>4</v>
      </c>
      <c r="I103" s="320" t="s">
        <v>320</v>
      </c>
      <c r="J103" s="320">
        <v>1979</v>
      </c>
      <c r="K103" s="320" t="s">
        <v>856</v>
      </c>
      <c r="L103" s="320">
        <v>1983</v>
      </c>
      <c r="M103" s="731">
        <v>-9999</v>
      </c>
      <c r="N103" s="731">
        <v>-9999</v>
      </c>
      <c r="P103" s="731">
        <v>50</v>
      </c>
      <c r="Q103" s="731">
        <v>-9999</v>
      </c>
      <c r="R103" s="731"/>
      <c r="S103" s="731"/>
      <c r="T103" s="731">
        <v>12.5</v>
      </c>
      <c r="U103" s="731">
        <v>19.099999999999998</v>
      </c>
      <c r="V103" s="731"/>
      <c r="W103" s="731">
        <v>19.099999999999998</v>
      </c>
      <c r="X103" s="731">
        <v>-9999</v>
      </c>
      <c r="Y103" s="731"/>
      <c r="Z103" s="320" t="s">
        <v>67</v>
      </c>
      <c r="AA103" s="320">
        <v>6944</v>
      </c>
      <c r="AB103" s="731">
        <v>0.74399999999999999</v>
      </c>
      <c r="AC103" s="320">
        <v>-9999</v>
      </c>
      <c r="AD103" s="320">
        <v>-9999</v>
      </c>
      <c r="AE103" s="320" t="s">
        <v>1095</v>
      </c>
      <c r="AF103" s="320">
        <v>5</v>
      </c>
      <c r="AG103" s="320" t="s">
        <v>1087</v>
      </c>
      <c r="AH103" s="320" t="s">
        <v>567</v>
      </c>
      <c r="AI103" s="320" t="s">
        <v>1103</v>
      </c>
      <c r="AJ103" s="320" t="s">
        <v>1100</v>
      </c>
      <c r="AK103" s="320" t="s">
        <v>626</v>
      </c>
      <c r="AL103" s="320" t="s">
        <v>1099</v>
      </c>
      <c r="AN103" s="320" t="s">
        <v>626</v>
      </c>
      <c r="AO103" s="320" t="s">
        <v>1092</v>
      </c>
      <c r="AP103" s="320" t="s">
        <v>577</v>
      </c>
      <c r="AQ103" s="320" t="s">
        <v>626</v>
      </c>
      <c r="AR103" s="730">
        <v>225</v>
      </c>
      <c r="AS103" s="320" t="s">
        <v>1101</v>
      </c>
      <c r="AT103" s="320" t="s">
        <v>738</v>
      </c>
      <c r="AU103" s="730">
        <v>0</v>
      </c>
      <c r="AV103" s="320">
        <v>-9999</v>
      </c>
      <c r="AW103" s="320">
        <v>-9999</v>
      </c>
      <c r="AX103" s="730">
        <v>0</v>
      </c>
      <c r="AY103" s="320">
        <v>-9999</v>
      </c>
      <c r="AZ103" s="320">
        <v>-9999</v>
      </c>
      <c r="BA103" s="320" t="s">
        <v>1102</v>
      </c>
      <c r="BB103" s="320" t="s">
        <v>631</v>
      </c>
      <c r="BC103" s="320">
        <v>-9999</v>
      </c>
      <c r="BD103" s="320">
        <v>-9999</v>
      </c>
      <c r="BE103" s="320">
        <v>-9999</v>
      </c>
      <c r="BF103" s="320">
        <v>-9999</v>
      </c>
      <c r="BG103" s="320">
        <v>-9999</v>
      </c>
      <c r="BH103" s="320">
        <v>-9999</v>
      </c>
      <c r="BI103" s="320">
        <v>-9999</v>
      </c>
      <c r="BJ103" s="320">
        <v>21.5</v>
      </c>
      <c r="BK103" s="320">
        <v>-9999</v>
      </c>
      <c r="BL103" s="320">
        <v>10.3</v>
      </c>
      <c r="BM103" s="320">
        <v>-9999</v>
      </c>
      <c r="BN103" s="320">
        <v>6.5</v>
      </c>
      <c r="BO103" s="320">
        <v>-9999</v>
      </c>
      <c r="BP103" s="320">
        <v>-9999</v>
      </c>
      <c r="BQ103" s="320">
        <v>-9999</v>
      </c>
      <c r="BR103" s="320">
        <v>-9999</v>
      </c>
      <c r="BS103" s="320">
        <v>1357.17</v>
      </c>
      <c r="BT103" s="320">
        <v>95</v>
      </c>
      <c r="BU103" s="320">
        <v>-9999</v>
      </c>
      <c r="BV103" s="320">
        <v>-9999</v>
      </c>
      <c r="BX103" s="320">
        <v>-9999</v>
      </c>
      <c r="BY103" s="320">
        <v>-9999</v>
      </c>
      <c r="BZ103" s="320">
        <v>-9999</v>
      </c>
      <c r="CA103" s="320" t="s">
        <v>1096</v>
      </c>
      <c r="CC103" s="320">
        <v>1</v>
      </c>
      <c r="CD103" s="320">
        <v>4</v>
      </c>
      <c r="CE103" s="731">
        <v>12.5</v>
      </c>
      <c r="CF103" s="731">
        <v>19.099999999999998</v>
      </c>
      <c r="CG103" s="320">
        <v>4</v>
      </c>
      <c r="CH103" s="301" t="s">
        <v>2121</v>
      </c>
      <c r="CI103" s="320" t="s">
        <v>2125</v>
      </c>
      <c r="CJ103" s="320" t="s">
        <v>878</v>
      </c>
      <c r="CK103" s="88" t="s">
        <v>1300</v>
      </c>
      <c r="CL103" s="88" t="s">
        <v>1301</v>
      </c>
      <c r="CM103" s="270">
        <v>47.15</v>
      </c>
      <c r="CN103" s="270">
        <v>122.1</v>
      </c>
    </row>
    <row r="104" spans="1:96" s="320" customFormat="1" x14ac:dyDescent="0.2">
      <c r="A104" s="320" t="s">
        <v>932</v>
      </c>
      <c r="B104" s="320" t="s">
        <v>1169</v>
      </c>
      <c r="C104" s="320" t="s">
        <v>1207</v>
      </c>
      <c r="D104" s="320" t="s">
        <v>619</v>
      </c>
      <c r="E104" s="320" t="s">
        <v>1505</v>
      </c>
      <c r="F104" s="320">
        <v>1</v>
      </c>
      <c r="G104" s="320">
        <v>4</v>
      </c>
      <c r="H104" s="320">
        <v>4</v>
      </c>
      <c r="I104" s="320" t="s">
        <v>955</v>
      </c>
      <c r="J104" s="320">
        <v>1987</v>
      </c>
      <c r="K104" s="320" t="s">
        <v>1211</v>
      </c>
      <c r="L104" s="320">
        <v>1990</v>
      </c>
      <c r="M104" s="731">
        <v>-9999</v>
      </c>
      <c r="N104" s="731">
        <v>-9999</v>
      </c>
      <c r="P104" s="731">
        <v>-9999</v>
      </c>
      <c r="Q104" s="731">
        <v>-9999</v>
      </c>
      <c r="R104" s="731"/>
      <c r="S104" s="731"/>
      <c r="T104" s="731">
        <v>25.9</v>
      </c>
      <c r="U104" s="731">
        <v>-9999</v>
      </c>
      <c r="V104" s="731"/>
      <c r="W104" s="731">
        <v>-9999</v>
      </c>
      <c r="X104" s="731">
        <v>-9999</v>
      </c>
      <c r="Y104" s="731"/>
      <c r="Z104" s="320" t="s">
        <v>1220</v>
      </c>
      <c r="AA104" s="320">
        <v>2222</v>
      </c>
      <c r="AB104" s="731">
        <v>1</v>
      </c>
      <c r="AC104" s="320">
        <v>-9999</v>
      </c>
      <c r="AD104" s="320" t="s">
        <v>1237</v>
      </c>
      <c r="AE104" s="320" t="s">
        <v>1955</v>
      </c>
      <c r="AF104" s="320">
        <v>3</v>
      </c>
      <c r="AG104" s="320">
        <v>2</v>
      </c>
      <c r="AH104" s="320" t="s">
        <v>623</v>
      </c>
      <c r="AI104" s="320" t="s">
        <v>834</v>
      </c>
      <c r="AJ104" s="320" t="s">
        <v>1235</v>
      </c>
      <c r="AK104" s="320" t="s">
        <v>1236</v>
      </c>
      <c r="AL104" s="320">
        <v>-9999</v>
      </c>
      <c r="AM104" s="320">
        <v>-9999</v>
      </c>
      <c r="AN104" s="320" t="s">
        <v>631</v>
      </c>
      <c r="AO104" s="320">
        <v>-9999</v>
      </c>
      <c r="AP104" s="320">
        <v>-9999</v>
      </c>
      <c r="AQ104" s="320" t="s">
        <v>631</v>
      </c>
      <c r="AR104" s="730">
        <v>0</v>
      </c>
      <c r="AS104" s="320">
        <v>0</v>
      </c>
      <c r="AT104" s="320">
        <v>-9999</v>
      </c>
      <c r="AU104" s="730">
        <v>0</v>
      </c>
      <c r="AV104" s="320">
        <v>-9999</v>
      </c>
      <c r="AW104" s="320">
        <v>-9999</v>
      </c>
      <c r="AX104" s="730">
        <v>0</v>
      </c>
      <c r="AY104" s="320">
        <v>-9999</v>
      </c>
      <c r="AZ104" s="320">
        <v>-9999</v>
      </c>
      <c r="BA104" s="320">
        <v>-9999</v>
      </c>
      <c r="BB104" s="320" t="s">
        <v>626</v>
      </c>
      <c r="BC104" s="320" t="s">
        <v>881</v>
      </c>
      <c r="BD104" s="320" t="s">
        <v>1229</v>
      </c>
      <c r="BE104" s="320" t="s">
        <v>1231</v>
      </c>
      <c r="BF104" s="320" t="s">
        <v>1230</v>
      </c>
      <c r="BG104" s="320" t="s">
        <v>1232</v>
      </c>
      <c r="BH104" s="320" t="s">
        <v>1233</v>
      </c>
      <c r="BI104" s="320" t="s">
        <v>1234</v>
      </c>
      <c r="BJ104" s="320">
        <v>19.7</v>
      </c>
      <c r="BK104" s="320">
        <v>-9999</v>
      </c>
      <c r="BL104" s="320">
        <v>13.8</v>
      </c>
      <c r="BM104" s="320">
        <v>-9999</v>
      </c>
      <c r="BN104" s="320">
        <v>4.4000000000000004</v>
      </c>
      <c r="BO104" s="320">
        <v>-9999</v>
      </c>
      <c r="BP104" s="320">
        <v>-9999</v>
      </c>
      <c r="BQ104" s="320">
        <v>-9999</v>
      </c>
      <c r="BR104" s="320">
        <v>-9999</v>
      </c>
      <c r="BS104" s="320">
        <v>341.43539999999996</v>
      </c>
      <c r="BT104" s="320">
        <v>23.9</v>
      </c>
      <c r="BU104" s="320">
        <v>-9999</v>
      </c>
      <c r="BV104" s="320">
        <v>-9999</v>
      </c>
      <c r="BX104" s="320">
        <v>-9999</v>
      </c>
      <c r="BY104" s="320">
        <v>-9999</v>
      </c>
      <c r="BZ104" s="320">
        <v>-9999</v>
      </c>
      <c r="CA104" s="320" t="s">
        <v>524</v>
      </c>
      <c r="CB104" s="320" t="s">
        <v>0</v>
      </c>
      <c r="CC104" s="320">
        <v>1</v>
      </c>
      <c r="CD104" s="320" t="s">
        <v>1596</v>
      </c>
      <c r="CE104" s="731">
        <v>25.9</v>
      </c>
      <c r="CF104" s="731">
        <v>-9999</v>
      </c>
      <c r="CG104" s="320">
        <v>4</v>
      </c>
      <c r="CH104" s="301" t="s">
        <v>2119</v>
      </c>
      <c r="CI104" s="301" t="s">
        <v>2126</v>
      </c>
      <c r="CJ104" s="320" t="s">
        <v>878</v>
      </c>
      <c r="CK104" s="88" t="s">
        <v>1300</v>
      </c>
      <c r="CL104" s="88" t="s">
        <v>1301</v>
      </c>
      <c r="CM104" s="270">
        <v>47.15</v>
      </c>
      <c r="CN104" s="270">
        <v>122.1</v>
      </c>
      <c r="CO104" s="320" t="s">
        <v>1595</v>
      </c>
      <c r="CR104" s="320" t="s">
        <v>1603</v>
      </c>
    </row>
    <row r="105" spans="1:96" s="320" customFormat="1" x14ac:dyDescent="0.2">
      <c r="A105" s="320" t="s">
        <v>932</v>
      </c>
      <c r="B105" s="320" t="s">
        <v>1169</v>
      </c>
      <c r="C105" s="320" t="s">
        <v>1205</v>
      </c>
      <c r="D105" s="320" t="s">
        <v>619</v>
      </c>
      <c r="E105" s="320" t="s">
        <v>1530</v>
      </c>
      <c r="F105" s="320">
        <v>1</v>
      </c>
      <c r="G105" s="320">
        <v>4</v>
      </c>
      <c r="H105" s="320">
        <v>4</v>
      </c>
      <c r="I105" s="320" t="s">
        <v>955</v>
      </c>
      <c r="J105" s="320">
        <v>1987</v>
      </c>
      <c r="K105" s="320" t="s">
        <v>1211</v>
      </c>
      <c r="L105" s="320">
        <v>1990</v>
      </c>
      <c r="M105" s="731">
        <v>-9999</v>
      </c>
      <c r="N105" s="731">
        <v>-9999</v>
      </c>
      <c r="P105" s="731">
        <v>-9999</v>
      </c>
      <c r="Q105" s="731">
        <v>-9999</v>
      </c>
      <c r="R105" s="731"/>
      <c r="S105" s="731"/>
      <c r="T105" s="731">
        <v>27.5</v>
      </c>
      <c r="U105" s="731">
        <v>-9999</v>
      </c>
      <c r="V105" s="731"/>
      <c r="W105" s="731">
        <v>-9999</v>
      </c>
      <c r="X105" s="731">
        <v>-9999</v>
      </c>
      <c r="Y105" s="731"/>
      <c r="Z105" s="320" t="s">
        <v>1220</v>
      </c>
      <c r="AA105" s="320">
        <v>2222</v>
      </c>
      <c r="AB105" s="731">
        <v>1</v>
      </c>
      <c r="AC105" s="320">
        <v>-9999</v>
      </c>
      <c r="AD105" s="320" t="s">
        <v>1237</v>
      </c>
      <c r="AE105" s="320" t="s">
        <v>1955</v>
      </c>
      <c r="AF105" s="320">
        <v>3</v>
      </c>
      <c r="AG105" s="320">
        <v>2</v>
      </c>
      <c r="AH105" s="320" t="s">
        <v>623</v>
      </c>
      <c r="AI105" s="320" t="s">
        <v>834</v>
      </c>
      <c r="AJ105" s="320" t="s">
        <v>1235</v>
      </c>
      <c r="AK105" s="320" t="s">
        <v>1236</v>
      </c>
      <c r="AL105" s="320">
        <v>-9999</v>
      </c>
      <c r="AM105" s="320">
        <v>-9999</v>
      </c>
      <c r="AN105" s="320" t="s">
        <v>631</v>
      </c>
      <c r="AO105" s="320">
        <v>-9999</v>
      </c>
      <c r="AP105" s="320">
        <v>-9999</v>
      </c>
      <c r="AQ105" s="320" t="s">
        <v>631</v>
      </c>
      <c r="AR105" s="730">
        <v>0</v>
      </c>
      <c r="AS105" s="320">
        <v>0</v>
      </c>
      <c r="AT105" s="320">
        <v>-9999</v>
      </c>
      <c r="AU105" s="730">
        <v>0</v>
      </c>
      <c r="AV105" s="320">
        <v>-9999</v>
      </c>
      <c r="AW105" s="320">
        <v>-9999</v>
      </c>
      <c r="AX105" s="730">
        <v>0</v>
      </c>
      <c r="AY105" s="320">
        <v>-9999</v>
      </c>
      <c r="AZ105" s="320">
        <v>-9999</v>
      </c>
      <c r="BA105" s="320">
        <v>-9999</v>
      </c>
      <c r="BB105" s="320" t="s">
        <v>626</v>
      </c>
      <c r="BC105" s="320" t="s">
        <v>881</v>
      </c>
      <c r="BD105" s="320" t="s">
        <v>1229</v>
      </c>
      <c r="BE105" s="320" t="s">
        <v>1231</v>
      </c>
      <c r="BF105" s="320" t="s">
        <v>1230</v>
      </c>
      <c r="BG105" s="320" t="s">
        <v>1232</v>
      </c>
      <c r="BH105" s="320" t="s">
        <v>1233</v>
      </c>
      <c r="BI105" s="320" t="s">
        <v>1234</v>
      </c>
      <c r="BJ105" s="320">
        <v>20.2</v>
      </c>
      <c r="BK105" s="320">
        <v>-9999</v>
      </c>
      <c r="BL105" s="320">
        <v>13.7</v>
      </c>
      <c r="BM105" s="320">
        <v>-9999</v>
      </c>
      <c r="BN105" s="320">
        <v>4.4000000000000004</v>
      </c>
      <c r="BO105" s="320">
        <v>-9999</v>
      </c>
      <c r="BP105" s="320">
        <v>-9999</v>
      </c>
      <c r="BQ105" s="320">
        <v>-9999</v>
      </c>
      <c r="BR105" s="320">
        <v>-9999</v>
      </c>
      <c r="BS105" s="320">
        <v>350.00700000000001</v>
      </c>
      <c r="BT105" s="320">
        <v>24.5</v>
      </c>
      <c r="BU105" s="320">
        <v>-9999</v>
      </c>
      <c r="BV105" s="320">
        <v>-9999</v>
      </c>
      <c r="BX105" s="320">
        <v>-9999</v>
      </c>
      <c r="BY105" s="320">
        <v>-9999</v>
      </c>
      <c r="BZ105" s="320">
        <v>-9999</v>
      </c>
      <c r="CA105" s="320" t="s">
        <v>524</v>
      </c>
      <c r="CB105" s="320" t="s">
        <v>0</v>
      </c>
      <c r="CC105" s="320">
        <v>1</v>
      </c>
      <c r="CD105" s="320" t="s">
        <v>1597</v>
      </c>
      <c r="CE105" s="731">
        <v>27.5</v>
      </c>
      <c r="CF105" s="731">
        <v>-9999</v>
      </c>
      <c r="CG105" s="320">
        <v>4</v>
      </c>
      <c r="CH105" s="301" t="s">
        <v>2119</v>
      </c>
      <c r="CI105" s="301" t="s">
        <v>2126</v>
      </c>
      <c r="CJ105" s="320" t="s">
        <v>878</v>
      </c>
      <c r="CK105" s="88" t="s">
        <v>1300</v>
      </c>
      <c r="CL105" s="88" t="s">
        <v>1301</v>
      </c>
      <c r="CM105" s="270">
        <v>47.15</v>
      </c>
      <c r="CN105" s="270">
        <v>122.1</v>
      </c>
      <c r="CO105" s="320" t="s">
        <v>1604</v>
      </c>
    </row>
    <row r="106" spans="1:96" s="320" customFormat="1" x14ac:dyDescent="0.2">
      <c r="A106" s="320" t="s">
        <v>932</v>
      </c>
      <c r="B106" s="320" t="s">
        <v>1169</v>
      </c>
      <c r="C106" s="320" t="s">
        <v>1204</v>
      </c>
      <c r="D106" s="320" t="s">
        <v>619</v>
      </c>
      <c r="E106" s="320" t="s">
        <v>1531</v>
      </c>
      <c r="F106" s="320">
        <v>1</v>
      </c>
      <c r="G106" s="320">
        <v>4</v>
      </c>
      <c r="H106" s="320">
        <v>4</v>
      </c>
      <c r="I106" s="320" t="s">
        <v>955</v>
      </c>
      <c r="J106" s="320">
        <v>1987</v>
      </c>
      <c r="K106" s="320" t="s">
        <v>1211</v>
      </c>
      <c r="L106" s="320">
        <v>1990</v>
      </c>
      <c r="M106" s="731">
        <v>-9999</v>
      </c>
      <c r="N106" s="731">
        <v>-9999</v>
      </c>
      <c r="P106" s="731">
        <v>-9999</v>
      </c>
      <c r="Q106" s="731">
        <v>-9999</v>
      </c>
      <c r="R106" s="731"/>
      <c r="S106" s="731"/>
      <c r="T106" s="731">
        <v>24.6</v>
      </c>
      <c r="U106" s="731">
        <v>-9999</v>
      </c>
      <c r="V106" s="731"/>
      <c r="W106" s="731">
        <v>-9999</v>
      </c>
      <c r="X106" s="731">
        <v>-9999</v>
      </c>
      <c r="Y106" s="731"/>
      <c r="Z106" s="320" t="s">
        <v>1220</v>
      </c>
      <c r="AA106" s="320">
        <v>2222</v>
      </c>
      <c r="AB106" s="731">
        <v>1</v>
      </c>
      <c r="AC106" s="320">
        <v>-9999</v>
      </c>
      <c r="AD106" s="320" t="s">
        <v>1237</v>
      </c>
      <c r="AE106" s="320" t="s">
        <v>1955</v>
      </c>
      <c r="AF106" s="320">
        <v>3</v>
      </c>
      <c r="AG106" s="320">
        <v>2</v>
      </c>
      <c r="AH106" s="320" t="s">
        <v>623</v>
      </c>
      <c r="AI106" s="320" t="s">
        <v>834</v>
      </c>
      <c r="AJ106" s="320" t="s">
        <v>1235</v>
      </c>
      <c r="AK106" s="320" t="s">
        <v>1236</v>
      </c>
      <c r="AL106" s="320">
        <v>-9999</v>
      </c>
      <c r="AM106" s="320">
        <v>-9999</v>
      </c>
      <c r="AN106" s="320" t="s">
        <v>631</v>
      </c>
      <c r="AO106" s="320">
        <v>-9999</v>
      </c>
      <c r="AP106" s="320">
        <v>-9999</v>
      </c>
      <c r="AQ106" s="320" t="s">
        <v>631</v>
      </c>
      <c r="AR106" s="730">
        <v>0</v>
      </c>
      <c r="AS106" s="320">
        <v>0</v>
      </c>
      <c r="AT106" s="320">
        <v>-9999</v>
      </c>
      <c r="AU106" s="730">
        <v>0</v>
      </c>
      <c r="AV106" s="320">
        <v>-9999</v>
      </c>
      <c r="AW106" s="320">
        <v>-9999</v>
      </c>
      <c r="AX106" s="730">
        <v>0</v>
      </c>
      <c r="AY106" s="320">
        <v>-9999</v>
      </c>
      <c r="AZ106" s="320">
        <v>-9999</v>
      </c>
      <c r="BA106" s="320">
        <v>-9999</v>
      </c>
      <c r="BB106" s="320" t="s">
        <v>626</v>
      </c>
      <c r="BC106" s="320" t="s">
        <v>881</v>
      </c>
      <c r="BD106" s="320" t="s">
        <v>1229</v>
      </c>
      <c r="BE106" s="320" t="s">
        <v>1231</v>
      </c>
      <c r="BF106" s="320" t="s">
        <v>1230</v>
      </c>
      <c r="BG106" s="320" t="s">
        <v>1232</v>
      </c>
      <c r="BH106" s="320" t="s">
        <v>1233</v>
      </c>
      <c r="BI106" s="320" t="s">
        <v>1234</v>
      </c>
      <c r="BJ106" s="320">
        <v>21.1</v>
      </c>
      <c r="BK106" s="320">
        <v>-9999</v>
      </c>
      <c r="BL106" s="320">
        <v>13.6</v>
      </c>
      <c r="BM106" s="320">
        <v>-9999</v>
      </c>
      <c r="BN106" s="320">
        <v>4.5999999999999996</v>
      </c>
      <c r="BO106" s="320">
        <v>-9999</v>
      </c>
      <c r="BP106" s="320">
        <v>-9999</v>
      </c>
      <c r="BQ106" s="320">
        <v>-9999</v>
      </c>
      <c r="BR106" s="320">
        <v>-9999</v>
      </c>
      <c r="BS106" s="320">
        <v>325.7208</v>
      </c>
      <c r="BT106" s="320">
        <v>22.8</v>
      </c>
      <c r="BU106" s="320">
        <v>-9999</v>
      </c>
      <c r="BV106" s="320">
        <v>-9999</v>
      </c>
      <c r="BX106" s="320">
        <v>-9999</v>
      </c>
      <c r="BY106" s="320">
        <v>-9999</v>
      </c>
      <c r="BZ106" s="320">
        <v>-9999</v>
      </c>
      <c r="CA106" s="320" t="s">
        <v>524</v>
      </c>
      <c r="CB106" s="320" t="s">
        <v>0</v>
      </c>
      <c r="CC106" s="320">
        <v>1</v>
      </c>
      <c r="CD106" s="320" t="s">
        <v>1598</v>
      </c>
      <c r="CE106" s="731">
        <v>24.6</v>
      </c>
      <c r="CF106" s="731">
        <v>-9999</v>
      </c>
      <c r="CG106" s="320">
        <v>4</v>
      </c>
      <c r="CH106" s="301" t="s">
        <v>2119</v>
      </c>
      <c r="CI106" s="301" t="s">
        <v>2126</v>
      </c>
      <c r="CK106" s="88" t="s">
        <v>1300</v>
      </c>
      <c r="CL106" s="88" t="s">
        <v>1301</v>
      </c>
      <c r="CM106" s="270">
        <v>47.15</v>
      </c>
      <c r="CN106" s="270">
        <v>122.1</v>
      </c>
    </row>
    <row r="107" spans="1:96" s="320" customFormat="1" x14ac:dyDescent="0.2">
      <c r="A107" s="320" t="s">
        <v>932</v>
      </c>
      <c r="B107" s="320" t="s">
        <v>1169</v>
      </c>
      <c r="C107" s="320" t="s">
        <v>1206</v>
      </c>
      <c r="D107" s="320" t="s">
        <v>619</v>
      </c>
      <c r="E107" s="320" t="s">
        <v>1505</v>
      </c>
      <c r="F107" s="320">
        <v>1</v>
      </c>
      <c r="G107" s="320">
        <v>4</v>
      </c>
      <c r="H107" s="320">
        <v>4</v>
      </c>
      <c r="I107" s="320" t="s">
        <v>955</v>
      </c>
      <c r="J107" s="320">
        <v>1987</v>
      </c>
      <c r="K107" s="320" t="s">
        <v>1211</v>
      </c>
      <c r="L107" s="320">
        <v>1990</v>
      </c>
      <c r="M107" s="731">
        <v>-9999</v>
      </c>
      <c r="N107" s="731">
        <v>-9999</v>
      </c>
      <c r="P107" s="731">
        <v>-9999</v>
      </c>
      <c r="Q107" s="731">
        <v>-9999</v>
      </c>
      <c r="R107" s="731"/>
      <c r="S107" s="731"/>
      <c r="T107" s="731">
        <v>30.5</v>
      </c>
      <c r="U107" s="731">
        <v>-9999</v>
      </c>
      <c r="V107" s="731"/>
      <c r="W107" s="731">
        <v>-9999</v>
      </c>
      <c r="X107" s="731">
        <v>-9999</v>
      </c>
      <c r="Y107" s="731"/>
      <c r="Z107" s="320" t="s">
        <v>1220</v>
      </c>
      <c r="AA107" s="320">
        <v>2222</v>
      </c>
      <c r="AB107" s="731">
        <v>1</v>
      </c>
      <c r="AC107" s="320">
        <v>-9999</v>
      </c>
      <c r="AD107" s="320" t="s">
        <v>1237</v>
      </c>
      <c r="AE107" s="320" t="s">
        <v>1955</v>
      </c>
      <c r="AF107" s="320">
        <v>3</v>
      </c>
      <c r="AG107" s="320">
        <v>2</v>
      </c>
      <c r="AH107" s="320" t="s">
        <v>623</v>
      </c>
      <c r="AI107" s="320" t="s">
        <v>834</v>
      </c>
      <c r="AJ107" s="320" t="s">
        <v>1235</v>
      </c>
      <c r="AK107" s="320" t="s">
        <v>1236</v>
      </c>
      <c r="AL107" s="320">
        <v>-9999</v>
      </c>
      <c r="AM107" s="320">
        <v>-9999</v>
      </c>
      <c r="AN107" s="320" t="s">
        <v>631</v>
      </c>
      <c r="AO107" s="320">
        <v>-9999</v>
      </c>
      <c r="AP107" s="320">
        <v>-9999</v>
      </c>
      <c r="AQ107" s="320" t="s">
        <v>626</v>
      </c>
      <c r="AR107" s="730">
        <v>500</v>
      </c>
      <c r="AS107" s="320" t="s">
        <v>1101</v>
      </c>
      <c r="AT107" s="320" t="s">
        <v>688</v>
      </c>
      <c r="AU107" s="730">
        <v>0</v>
      </c>
      <c r="AV107" s="320">
        <v>-9999</v>
      </c>
      <c r="AW107" s="320">
        <v>-9999</v>
      </c>
      <c r="AX107" s="730">
        <v>0</v>
      </c>
      <c r="AY107" s="320">
        <v>-9999</v>
      </c>
      <c r="AZ107" s="320">
        <v>-9999</v>
      </c>
      <c r="BA107" s="320">
        <v>-9999</v>
      </c>
      <c r="BB107" s="320" t="s">
        <v>626</v>
      </c>
      <c r="BC107" s="320" t="s">
        <v>881</v>
      </c>
      <c r="BD107" s="320" t="s">
        <v>1229</v>
      </c>
      <c r="BE107" s="320" t="s">
        <v>1231</v>
      </c>
      <c r="BF107" s="320" t="s">
        <v>1230</v>
      </c>
      <c r="BG107" s="320" t="s">
        <v>1232</v>
      </c>
      <c r="BH107" s="320" t="s">
        <v>1233</v>
      </c>
      <c r="BI107" s="320" t="s">
        <v>1234</v>
      </c>
      <c r="BJ107" s="320">
        <v>23.2</v>
      </c>
      <c r="BK107" s="320">
        <v>-9999</v>
      </c>
      <c r="BL107" s="320">
        <v>14</v>
      </c>
      <c r="BM107" s="320">
        <v>-9999</v>
      </c>
      <c r="BN107" s="320">
        <v>4.5999999999999996</v>
      </c>
      <c r="BO107" s="320">
        <v>-9999</v>
      </c>
      <c r="BP107" s="320">
        <v>-9999</v>
      </c>
      <c r="BQ107" s="320">
        <v>-9999</v>
      </c>
      <c r="BR107" s="320">
        <v>-9999</v>
      </c>
      <c r="BS107" s="320">
        <v>401.4366</v>
      </c>
      <c r="BT107" s="320">
        <v>28.1</v>
      </c>
      <c r="BU107" s="320">
        <v>-9999</v>
      </c>
      <c r="BV107" s="320">
        <v>-9999</v>
      </c>
      <c r="BX107" s="320">
        <v>-9999</v>
      </c>
      <c r="BY107" s="320">
        <v>-9999</v>
      </c>
      <c r="BZ107" s="320">
        <v>-9999</v>
      </c>
      <c r="CA107" s="320" t="s">
        <v>524</v>
      </c>
      <c r="CB107" s="320" t="s">
        <v>0</v>
      </c>
      <c r="CC107" s="320">
        <v>1</v>
      </c>
      <c r="CD107" s="320" t="s">
        <v>1596</v>
      </c>
      <c r="CE107" s="731">
        <v>30.5</v>
      </c>
      <c r="CF107" s="731">
        <v>-9999</v>
      </c>
      <c r="CG107" s="320">
        <v>4</v>
      </c>
      <c r="CH107" s="301" t="s">
        <v>2119</v>
      </c>
      <c r="CI107" s="301" t="s">
        <v>2126</v>
      </c>
      <c r="CJ107" s="320" t="s">
        <v>878</v>
      </c>
      <c r="CK107" s="88" t="s">
        <v>1300</v>
      </c>
      <c r="CL107" s="88" t="s">
        <v>1301</v>
      </c>
      <c r="CM107" s="270">
        <v>47.15</v>
      </c>
      <c r="CN107" s="270">
        <v>122.1</v>
      </c>
    </row>
    <row r="108" spans="1:96" s="320" customFormat="1" x14ac:dyDescent="0.2">
      <c r="A108" s="320" t="s">
        <v>932</v>
      </c>
      <c r="B108" s="320" t="s">
        <v>1169</v>
      </c>
      <c r="C108" s="320" t="s">
        <v>1131</v>
      </c>
      <c r="D108" s="320" t="s">
        <v>619</v>
      </c>
      <c r="E108" s="320" t="s">
        <v>1530</v>
      </c>
      <c r="F108" s="320">
        <v>1</v>
      </c>
      <c r="G108" s="320">
        <v>4</v>
      </c>
      <c r="H108" s="320">
        <v>4</v>
      </c>
      <c r="I108" s="320" t="s">
        <v>955</v>
      </c>
      <c r="J108" s="320">
        <v>1987</v>
      </c>
      <c r="K108" s="320" t="s">
        <v>1211</v>
      </c>
      <c r="L108" s="320">
        <v>1990</v>
      </c>
      <c r="M108" s="731">
        <v>-9999</v>
      </c>
      <c r="N108" s="731">
        <v>-9999</v>
      </c>
      <c r="P108" s="731">
        <v>-9999</v>
      </c>
      <c r="Q108" s="731">
        <v>-9999</v>
      </c>
      <c r="R108" s="731"/>
      <c r="S108" s="731"/>
      <c r="T108" s="731">
        <v>31.2</v>
      </c>
      <c r="U108" s="731">
        <v>-9999</v>
      </c>
      <c r="V108" s="731"/>
      <c r="W108" s="731">
        <v>-9999</v>
      </c>
      <c r="X108" s="731">
        <v>-9999</v>
      </c>
      <c r="Y108" s="731"/>
      <c r="Z108" s="320" t="s">
        <v>1220</v>
      </c>
      <c r="AA108" s="320">
        <v>2222</v>
      </c>
      <c r="AB108" s="731">
        <v>1</v>
      </c>
      <c r="AC108" s="320">
        <v>-9999</v>
      </c>
      <c r="AD108" s="320" t="s">
        <v>1237</v>
      </c>
      <c r="AE108" s="320" t="s">
        <v>1955</v>
      </c>
      <c r="AF108" s="320">
        <v>3</v>
      </c>
      <c r="AG108" s="320">
        <v>2</v>
      </c>
      <c r="AH108" s="320" t="s">
        <v>623</v>
      </c>
      <c r="AI108" s="320" t="s">
        <v>834</v>
      </c>
      <c r="AJ108" s="320" t="s">
        <v>1235</v>
      </c>
      <c r="AK108" s="320" t="s">
        <v>1236</v>
      </c>
      <c r="AL108" s="320">
        <v>-9999</v>
      </c>
      <c r="AM108" s="320">
        <v>-9999</v>
      </c>
      <c r="AN108" s="320" t="s">
        <v>631</v>
      </c>
      <c r="AO108" s="320">
        <v>-9999</v>
      </c>
      <c r="AP108" s="320">
        <v>-9999</v>
      </c>
      <c r="AQ108" s="320" t="s">
        <v>626</v>
      </c>
      <c r="AR108" s="730">
        <v>500</v>
      </c>
      <c r="AS108" s="320" t="s">
        <v>1101</v>
      </c>
      <c r="AT108" s="320" t="s">
        <v>688</v>
      </c>
      <c r="AU108" s="730">
        <v>0</v>
      </c>
      <c r="AV108" s="320">
        <v>-9999</v>
      </c>
      <c r="AW108" s="320">
        <v>-9999</v>
      </c>
      <c r="AX108" s="730">
        <v>0</v>
      </c>
      <c r="AY108" s="320">
        <v>-9999</v>
      </c>
      <c r="AZ108" s="320">
        <v>-9999</v>
      </c>
      <c r="BA108" s="320">
        <v>-9999</v>
      </c>
      <c r="BB108" s="320" t="s">
        <v>626</v>
      </c>
      <c r="BC108" s="320" t="s">
        <v>881</v>
      </c>
      <c r="BD108" s="320" t="s">
        <v>1229</v>
      </c>
      <c r="BE108" s="320" t="s">
        <v>1231</v>
      </c>
      <c r="BF108" s="320" t="s">
        <v>1230</v>
      </c>
      <c r="BG108" s="320" t="s">
        <v>1232</v>
      </c>
      <c r="BH108" s="320" t="s">
        <v>1233</v>
      </c>
      <c r="BI108" s="320" t="s">
        <v>1234</v>
      </c>
      <c r="BJ108" s="320">
        <v>23</v>
      </c>
      <c r="BK108" s="320">
        <v>-9999</v>
      </c>
      <c r="BL108" s="320">
        <v>14.4</v>
      </c>
      <c r="BM108" s="320">
        <v>-9999</v>
      </c>
      <c r="BN108" s="320">
        <v>4.5999999999999996</v>
      </c>
      <c r="BO108" s="320">
        <v>-9999</v>
      </c>
      <c r="BP108" s="320">
        <v>-9999</v>
      </c>
      <c r="BQ108" s="320">
        <v>-9999</v>
      </c>
      <c r="BR108" s="320">
        <v>-9999</v>
      </c>
      <c r="BS108" s="320">
        <v>397.1508</v>
      </c>
      <c r="BT108" s="320">
        <v>27.8</v>
      </c>
      <c r="BU108" s="320">
        <v>-9999</v>
      </c>
      <c r="BV108" s="320">
        <v>-9999</v>
      </c>
      <c r="BX108" s="320">
        <v>-9999</v>
      </c>
      <c r="BY108" s="320">
        <v>-9999</v>
      </c>
      <c r="BZ108" s="320">
        <v>-9999</v>
      </c>
      <c r="CA108" s="320" t="s">
        <v>524</v>
      </c>
      <c r="CB108" s="320" t="s">
        <v>0</v>
      </c>
      <c r="CC108" s="320">
        <v>1</v>
      </c>
      <c r="CD108" s="320" t="s">
        <v>1597</v>
      </c>
      <c r="CE108" s="731">
        <v>31.2</v>
      </c>
      <c r="CF108" s="731">
        <v>-9999</v>
      </c>
      <c r="CG108" s="320">
        <v>4</v>
      </c>
      <c r="CH108" s="301" t="s">
        <v>2119</v>
      </c>
      <c r="CI108" s="301" t="s">
        <v>2126</v>
      </c>
      <c r="CJ108" s="320" t="s">
        <v>878</v>
      </c>
      <c r="CK108" s="88" t="s">
        <v>1300</v>
      </c>
      <c r="CL108" s="88" t="s">
        <v>1301</v>
      </c>
      <c r="CM108" s="270">
        <v>47.15</v>
      </c>
      <c r="CN108" s="270">
        <v>122.1</v>
      </c>
    </row>
    <row r="109" spans="1:96" s="320" customFormat="1" x14ac:dyDescent="0.2">
      <c r="A109" s="320" t="s">
        <v>932</v>
      </c>
      <c r="B109" s="320" t="s">
        <v>1169</v>
      </c>
      <c r="C109" s="320" t="s">
        <v>1213</v>
      </c>
      <c r="D109" s="320" t="s">
        <v>619</v>
      </c>
      <c r="E109" s="320" t="s">
        <v>1531</v>
      </c>
      <c r="F109" s="320">
        <v>1</v>
      </c>
      <c r="G109" s="320">
        <v>4</v>
      </c>
      <c r="H109" s="320">
        <v>4</v>
      </c>
      <c r="I109" s="320" t="s">
        <v>955</v>
      </c>
      <c r="J109" s="320">
        <v>1987</v>
      </c>
      <c r="K109" s="320" t="s">
        <v>1211</v>
      </c>
      <c r="L109" s="320">
        <v>1990</v>
      </c>
      <c r="M109" s="731">
        <v>-9999</v>
      </c>
      <c r="N109" s="731">
        <v>-9999</v>
      </c>
      <c r="P109" s="731">
        <v>-9999</v>
      </c>
      <c r="Q109" s="731">
        <v>-9999</v>
      </c>
      <c r="R109" s="731"/>
      <c r="S109" s="731"/>
      <c r="T109" s="731">
        <v>26.8</v>
      </c>
      <c r="U109" s="731">
        <v>-9999</v>
      </c>
      <c r="V109" s="731"/>
      <c r="W109" s="731">
        <v>-9999</v>
      </c>
      <c r="X109" s="731">
        <v>-9999</v>
      </c>
      <c r="Y109" s="731"/>
      <c r="Z109" s="320" t="s">
        <v>1220</v>
      </c>
      <c r="AA109" s="320">
        <v>2222</v>
      </c>
      <c r="AB109" s="731">
        <v>1</v>
      </c>
      <c r="AC109" s="320">
        <v>-9999</v>
      </c>
      <c r="AD109" s="320" t="s">
        <v>1237</v>
      </c>
      <c r="AE109" s="320" t="s">
        <v>1955</v>
      </c>
      <c r="AF109" s="320">
        <v>3</v>
      </c>
      <c r="AG109" s="320">
        <v>2</v>
      </c>
      <c r="AH109" s="320" t="s">
        <v>623</v>
      </c>
      <c r="AI109" s="320" t="s">
        <v>834</v>
      </c>
      <c r="AJ109" s="320" t="s">
        <v>1235</v>
      </c>
      <c r="AK109" s="320" t="s">
        <v>1236</v>
      </c>
      <c r="AL109" s="320">
        <v>-9999</v>
      </c>
      <c r="AM109" s="320">
        <v>-9999</v>
      </c>
      <c r="AN109" s="320" t="s">
        <v>631</v>
      </c>
      <c r="AO109" s="320">
        <v>-9999</v>
      </c>
      <c r="AP109" s="320">
        <v>-9999</v>
      </c>
      <c r="AQ109" s="320" t="s">
        <v>626</v>
      </c>
      <c r="AR109" s="730">
        <v>500</v>
      </c>
      <c r="AS109" s="320" t="s">
        <v>1101</v>
      </c>
      <c r="AT109" s="320" t="s">
        <v>688</v>
      </c>
      <c r="AU109" s="730">
        <v>0</v>
      </c>
      <c r="AV109" s="320">
        <v>-9999</v>
      </c>
      <c r="AW109" s="320">
        <v>-9999</v>
      </c>
      <c r="AX109" s="730">
        <v>0</v>
      </c>
      <c r="AY109" s="320">
        <v>-9999</v>
      </c>
      <c r="AZ109" s="320">
        <v>-9999</v>
      </c>
      <c r="BA109" s="320">
        <v>-9999</v>
      </c>
      <c r="BB109" s="320" t="s">
        <v>626</v>
      </c>
      <c r="BC109" s="320" t="s">
        <v>881</v>
      </c>
      <c r="BD109" s="320" t="s">
        <v>1229</v>
      </c>
      <c r="BE109" s="320" t="s">
        <v>1231</v>
      </c>
      <c r="BF109" s="320" t="s">
        <v>1230</v>
      </c>
      <c r="BG109" s="320" t="s">
        <v>1232</v>
      </c>
      <c r="BH109" s="320" t="s">
        <v>1233</v>
      </c>
      <c r="BI109" s="320" t="s">
        <v>1234</v>
      </c>
      <c r="BJ109" s="320">
        <v>23</v>
      </c>
      <c r="BK109" s="320">
        <v>-9999</v>
      </c>
      <c r="BL109" s="320">
        <v>13.4</v>
      </c>
      <c r="BM109" s="320">
        <v>-9999</v>
      </c>
      <c r="BN109" s="320">
        <v>4.3</v>
      </c>
      <c r="BO109" s="320">
        <v>-9999</v>
      </c>
      <c r="BP109" s="320">
        <v>-9999</v>
      </c>
      <c r="BQ109" s="320">
        <v>-9999</v>
      </c>
      <c r="BR109" s="320">
        <v>-9999</v>
      </c>
      <c r="BS109" s="320">
        <v>354.2928</v>
      </c>
      <c r="BT109" s="320">
        <v>24.8</v>
      </c>
      <c r="BU109" s="320">
        <v>-9999</v>
      </c>
      <c r="BV109" s="320">
        <v>-9999</v>
      </c>
      <c r="BX109" s="320">
        <v>-9999</v>
      </c>
      <c r="BY109" s="320">
        <v>-9999</v>
      </c>
      <c r="BZ109" s="320">
        <v>-9999</v>
      </c>
      <c r="CA109" s="320" t="s">
        <v>524</v>
      </c>
      <c r="CB109" s="320" t="s">
        <v>0</v>
      </c>
      <c r="CC109" s="320">
        <v>1</v>
      </c>
      <c r="CD109" s="320" t="s">
        <v>1598</v>
      </c>
      <c r="CE109" s="731">
        <v>26.8</v>
      </c>
      <c r="CF109" s="731">
        <v>-9999</v>
      </c>
      <c r="CG109" s="320">
        <v>4</v>
      </c>
      <c r="CH109" s="301" t="s">
        <v>2119</v>
      </c>
      <c r="CI109" s="301" t="s">
        <v>2126</v>
      </c>
      <c r="CK109" s="88" t="s">
        <v>1300</v>
      </c>
      <c r="CL109" s="88" t="s">
        <v>1301</v>
      </c>
      <c r="CM109" s="270">
        <v>47.15</v>
      </c>
      <c r="CN109" s="270">
        <v>122.1</v>
      </c>
    </row>
    <row r="110" spans="1:96" s="320" customFormat="1" x14ac:dyDescent="0.2">
      <c r="A110" s="320" t="s">
        <v>1221</v>
      </c>
      <c r="B110" s="320" t="s">
        <v>1169</v>
      </c>
      <c r="C110" s="320" t="s">
        <v>1174</v>
      </c>
      <c r="D110" s="320" t="s">
        <v>619</v>
      </c>
      <c r="E110" s="320" t="s">
        <v>1506</v>
      </c>
      <c r="F110" s="320">
        <v>1</v>
      </c>
      <c r="G110" s="320">
        <v>4</v>
      </c>
      <c r="H110" s="320">
        <v>4</v>
      </c>
      <c r="I110" s="320" t="s">
        <v>842</v>
      </c>
      <c r="J110" s="320">
        <v>1985</v>
      </c>
      <c r="K110" s="320" t="s">
        <v>1211</v>
      </c>
      <c r="L110" s="320">
        <v>1988</v>
      </c>
      <c r="M110" s="731">
        <v>-9999</v>
      </c>
      <c r="N110" s="731">
        <v>-9999</v>
      </c>
      <c r="P110" s="731">
        <v>96.8</v>
      </c>
      <c r="Q110" s="731">
        <v>-9999</v>
      </c>
      <c r="R110" s="731"/>
      <c r="S110" s="731"/>
      <c r="T110" s="731">
        <v>24.2</v>
      </c>
      <c r="U110" s="731">
        <v>-9999</v>
      </c>
      <c r="V110" s="731"/>
      <c r="W110" s="731">
        <v>-9999</v>
      </c>
      <c r="X110" s="731">
        <v>-9999</v>
      </c>
      <c r="Y110" s="731"/>
      <c r="Z110" s="320" t="s">
        <v>793</v>
      </c>
      <c r="AA110" s="320">
        <v>10000</v>
      </c>
      <c r="AB110" s="731">
        <v>1</v>
      </c>
      <c r="AC110" s="320">
        <v>0.36</v>
      </c>
      <c r="AD110" s="320">
        <v>88</v>
      </c>
      <c r="AE110" s="320" t="s">
        <v>1955</v>
      </c>
      <c r="AF110" s="320">
        <v>3</v>
      </c>
      <c r="AG110" s="320">
        <v>1</v>
      </c>
      <c r="AH110" s="320" t="s">
        <v>623</v>
      </c>
      <c r="AI110" s="320" t="s">
        <v>624</v>
      </c>
      <c r="AJ110" s="320">
        <v>-9999</v>
      </c>
      <c r="AK110" s="320" t="s">
        <v>626</v>
      </c>
      <c r="AL110" s="320">
        <v>-9999</v>
      </c>
      <c r="AM110" s="320">
        <v>-9999</v>
      </c>
      <c r="AN110" s="320" t="s">
        <v>626</v>
      </c>
      <c r="AO110" s="320" t="s">
        <v>847</v>
      </c>
      <c r="AP110" s="320" t="s">
        <v>1195</v>
      </c>
      <c r="AQ110" s="320" t="s">
        <v>631</v>
      </c>
      <c r="AR110" s="730">
        <v>0</v>
      </c>
      <c r="AS110" s="320">
        <v>-9999</v>
      </c>
      <c r="AT110" s="320">
        <v>-9999</v>
      </c>
      <c r="AU110" s="730">
        <v>0</v>
      </c>
      <c r="AV110" s="320">
        <v>-9999</v>
      </c>
      <c r="AW110" s="320">
        <v>-9999</v>
      </c>
      <c r="AX110" s="730">
        <v>0</v>
      </c>
      <c r="AY110" s="320">
        <v>-9999</v>
      </c>
      <c r="AZ110" s="320">
        <v>-9999</v>
      </c>
      <c r="BA110" s="320" t="s">
        <v>631</v>
      </c>
      <c r="BB110" s="320" t="s">
        <v>626</v>
      </c>
      <c r="BC110" s="320" t="s">
        <v>848</v>
      </c>
      <c r="BD110" s="320" t="s">
        <v>849</v>
      </c>
      <c r="BI110" s="320" t="s">
        <v>1190</v>
      </c>
      <c r="BJ110" s="320">
        <v>-9999</v>
      </c>
      <c r="BK110" s="320">
        <v>-9999</v>
      </c>
      <c r="BL110" s="320">
        <v>11.73</v>
      </c>
      <c r="BM110" s="320">
        <v>-9999</v>
      </c>
      <c r="BN110" s="320">
        <v>-9999</v>
      </c>
      <c r="BO110" s="320">
        <v>-9999</v>
      </c>
      <c r="BP110" s="320">
        <v>-9999</v>
      </c>
      <c r="BQ110" s="320">
        <v>-9999</v>
      </c>
      <c r="BR110" s="320">
        <v>82.67</v>
      </c>
      <c r="BS110" s="320">
        <v>-9999</v>
      </c>
      <c r="BT110" s="320">
        <v>-9999</v>
      </c>
      <c r="BU110" s="320">
        <v>89</v>
      </c>
      <c r="BV110" s="320">
        <v>-9999</v>
      </c>
      <c r="BX110" s="320">
        <v>-9999</v>
      </c>
      <c r="BY110" s="320">
        <v>-9999</v>
      </c>
      <c r="BZ110" s="320">
        <v>-9999</v>
      </c>
      <c r="CA110" s="320" t="s">
        <v>850</v>
      </c>
      <c r="CB110" s="320" t="s">
        <v>1602</v>
      </c>
      <c r="CC110" s="320">
        <v>1</v>
      </c>
      <c r="CD110" s="320" t="s">
        <v>1607</v>
      </c>
      <c r="CE110" s="731">
        <v>24.2</v>
      </c>
      <c r="CF110" s="731">
        <v>-9999</v>
      </c>
      <c r="CG110" s="320">
        <v>4</v>
      </c>
      <c r="CH110" s="301" t="s">
        <v>2119</v>
      </c>
      <c r="CI110" s="301" t="s">
        <v>2126</v>
      </c>
      <c r="CJ110" s="320" t="s">
        <v>878</v>
      </c>
      <c r="CK110" s="88" t="s">
        <v>1300</v>
      </c>
      <c r="CL110" s="88" t="s">
        <v>1301</v>
      </c>
      <c r="CM110" s="270">
        <v>47.15</v>
      </c>
      <c r="CN110" s="270">
        <v>122.1</v>
      </c>
      <c r="CO110" s="320" t="s">
        <v>1612</v>
      </c>
    </row>
    <row r="111" spans="1:96" s="320" customFormat="1" x14ac:dyDescent="0.2">
      <c r="A111" s="320" t="s">
        <v>1221</v>
      </c>
      <c r="B111" s="320" t="s">
        <v>1169</v>
      </c>
      <c r="C111" s="320" t="s">
        <v>157</v>
      </c>
      <c r="D111" s="320" t="s">
        <v>619</v>
      </c>
      <c r="E111" s="320" t="s">
        <v>1507</v>
      </c>
      <c r="F111" s="320">
        <v>1</v>
      </c>
      <c r="G111" s="320">
        <v>4</v>
      </c>
      <c r="H111" s="320">
        <v>4</v>
      </c>
      <c r="I111" s="320" t="s">
        <v>842</v>
      </c>
      <c r="J111" s="320">
        <v>1985</v>
      </c>
      <c r="K111" s="320" t="s">
        <v>1211</v>
      </c>
      <c r="L111" s="320">
        <v>1988</v>
      </c>
      <c r="M111" s="731">
        <v>-9999</v>
      </c>
      <c r="N111" s="731">
        <v>-9999</v>
      </c>
      <c r="P111" s="731">
        <v>117.6</v>
      </c>
      <c r="Q111" s="731">
        <v>-9999</v>
      </c>
      <c r="R111" s="731"/>
      <c r="S111" s="731"/>
      <c r="T111" s="731">
        <v>29.4</v>
      </c>
      <c r="U111" s="731">
        <v>-9999</v>
      </c>
      <c r="V111" s="731"/>
      <c r="W111" s="731">
        <v>-9999</v>
      </c>
      <c r="X111" s="731">
        <v>-9999</v>
      </c>
      <c r="Y111" s="731"/>
      <c r="Z111" s="320" t="s">
        <v>793</v>
      </c>
      <c r="AA111" s="320">
        <v>10000</v>
      </c>
      <c r="AB111" s="731">
        <v>1</v>
      </c>
      <c r="AC111" s="320">
        <v>0.36</v>
      </c>
      <c r="AD111" s="320">
        <v>88</v>
      </c>
      <c r="AE111" s="320" t="s">
        <v>1955</v>
      </c>
      <c r="AF111" s="320">
        <v>3</v>
      </c>
      <c r="AG111" s="320">
        <v>1</v>
      </c>
      <c r="AH111" s="320" t="s">
        <v>623</v>
      </c>
      <c r="AI111" s="320" t="s">
        <v>624</v>
      </c>
      <c r="AJ111" s="320">
        <v>-9999</v>
      </c>
      <c r="AK111" s="320" t="s">
        <v>626</v>
      </c>
      <c r="AL111" s="320">
        <v>-9999</v>
      </c>
      <c r="AM111" s="320">
        <v>-9999</v>
      </c>
      <c r="AN111" s="320" t="s">
        <v>626</v>
      </c>
      <c r="AO111" s="320" t="s">
        <v>847</v>
      </c>
      <c r="AP111" s="320" t="s">
        <v>1195</v>
      </c>
      <c r="AQ111" s="320" t="s">
        <v>631</v>
      </c>
      <c r="AR111" s="730">
        <v>0</v>
      </c>
      <c r="AS111" s="320">
        <v>-9999</v>
      </c>
      <c r="AT111" s="320">
        <v>-9999</v>
      </c>
      <c r="AU111" s="730">
        <v>0</v>
      </c>
      <c r="AV111" s="320">
        <v>-9999</v>
      </c>
      <c r="AW111" s="320">
        <v>-9999</v>
      </c>
      <c r="AX111" s="730">
        <v>0</v>
      </c>
      <c r="AY111" s="320">
        <v>-9999</v>
      </c>
      <c r="AZ111" s="320">
        <v>-9999</v>
      </c>
      <c r="BA111" s="320" t="s">
        <v>631</v>
      </c>
      <c r="BB111" s="320" t="s">
        <v>626</v>
      </c>
      <c r="BC111" s="320" t="s">
        <v>848</v>
      </c>
      <c r="BD111" s="320" t="s">
        <v>849</v>
      </c>
      <c r="BI111" s="320" t="s">
        <v>1190</v>
      </c>
      <c r="BJ111" s="320">
        <v>-9999</v>
      </c>
      <c r="BK111" s="320">
        <v>-9999</v>
      </c>
      <c r="BL111" s="320">
        <v>13.04</v>
      </c>
      <c r="BM111" s="320">
        <v>-9999</v>
      </c>
      <c r="BN111" s="320">
        <v>-9999</v>
      </c>
      <c r="BO111" s="320">
        <v>-9999</v>
      </c>
      <c r="BP111" s="320">
        <v>-9999</v>
      </c>
      <c r="BQ111" s="320">
        <v>-9999</v>
      </c>
      <c r="BR111" s="320">
        <v>95.98</v>
      </c>
      <c r="BS111" s="320">
        <v>-9999</v>
      </c>
      <c r="BT111" s="320">
        <v>-9999</v>
      </c>
      <c r="BU111" s="320">
        <v>129.34</v>
      </c>
      <c r="BV111" s="320">
        <v>-9999</v>
      </c>
      <c r="BX111" s="320">
        <v>-9999</v>
      </c>
      <c r="BY111" s="320">
        <v>-9999</v>
      </c>
      <c r="BZ111" s="320">
        <v>-9999</v>
      </c>
      <c r="CA111" s="320" t="s">
        <v>850</v>
      </c>
      <c r="CB111" s="320" t="s">
        <v>1602</v>
      </c>
      <c r="CC111" s="320">
        <v>1</v>
      </c>
      <c r="CD111" s="320" t="s">
        <v>1608</v>
      </c>
      <c r="CE111" s="731">
        <v>29.4</v>
      </c>
      <c r="CF111" s="731">
        <v>-9999</v>
      </c>
      <c r="CG111" s="320">
        <v>4</v>
      </c>
      <c r="CH111" s="301" t="s">
        <v>2119</v>
      </c>
      <c r="CI111" s="301" t="s">
        <v>2126</v>
      </c>
      <c r="CJ111" s="320" t="s">
        <v>878</v>
      </c>
      <c r="CK111" s="88" t="s">
        <v>1300</v>
      </c>
      <c r="CL111" s="88" t="s">
        <v>1301</v>
      </c>
      <c r="CM111" s="270">
        <v>47.15</v>
      </c>
      <c r="CN111" s="270">
        <v>122.1</v>
      </c>
      <c r="CO111" s="320" t="s">
        <v>1613</v>
      </c>
    </row>
    <row r="112" spans="1:96" s="320" customFormat="1" x14ac:dyDescent="0.2">
      <c r="A112" s="320" t="s">
        <v>1221</v>
      </c>
      <c r="B112" s="320" t="s">
        <v>1169</v>
      </c>
      <c r="C112" s="320" t="s">
        <v>156</v>
      </c>
      <c r="D112" s="320" t="s">
        <v>619</v>
      </c>
      <c r="E112" s="320" t="s">
        <v>1508</v>
      </c>
      <c r="F112" s="320">
        <v>1</v>
      </c>
      <c r="G112" s="320">
        <v>4</v>
      </c>
      <c r="H112" s="320">
        <v>4</v>
      </c>
      <c r="I112" s="320" t="s">
        <v>842</v>
      </c>
      <c r="J112" s="320">
        <v>1985</v>
      </c>
      <c r="K112" s="320" t="s">
        <v>1211</v>
      </c>
      <c r="L112" s="320">
        <v>1988</v>
      </c>
      <c r="M112" s="731">
        <v>-9999</v>
      </c>
      <c r="N112" s="731">
        <v>-9999</v>
      </c>
      <c r="P112" s="731">
        <v>92.4</v>
      </c>
      <c r="Q112" s="731">
        <v>-9999</v>
      </c>
      <c r="R112" s="731"/>
      <c r="S112" s="731"/>
      <c r="T112" s="731">
        <v>23.1</v>
      </c>
      <c r="U112" s="731">
        <v>-9999</v>
      </c>
      <c r="V112" s="731"/>
      <c r="W112" s="731">
        <v>-9999</v>
      </c>
      <c r="X112" s="731">
        <v>-9999</v>
      </c>
      <c r="Y112" s="731"/>
      <c r="Z112" s="320" t="s">
        <v>793</v>
      </c>
      <c r="AA112" s="320">
        <v>10000</v>
      </c>
      <c r="AB112" s="731">
        <v>1</v>
      </c>
      <c r="AC112" s="320">
        <v>0.36</v>
      </c>
      <c r="AD112" s="320">
        <v>88</v>
      </c>
      <c r="AE112" s="320" t="s">
        <v>1955</v>
      </c>
      <c r="AF112" s="320">
        <v>3</v>
      </c>
      <c r="AG112" s="320">
        <v>1</v>
      </c>
      <c r="AH112" s="320" t="s">
        <v>623</v>
      </c>
      <c r="AI112" s="320" t="s">
        <v>624</v>
      </c>
      <c r="AJ112" s="320">
        <v>-9999</v>
      </c>
      <c r="AK112" s="320" t="s">
        <v>626</v>
      </c>
      <c r="AL112" s="320">
        <v>-9999</v>
      </c>
      <c r="AM112" s="320">
        <v>-9999</v>
      </c>
      <c r="AN112" s="320" t="s">
        <v>626</v>
      </c>
      <c r="AO112" s="320" t="s">
        <v>847</v>
      </c>
      <c r="AP112" s="320" t="s">
        <v>1195</v>
      </c>
      <c r="AQ112" s="320" t="s">
        <v>631</v>
      </c>
      <c r="AR112" s="730">
        <v>0</v>
      </c>
      <c r="AS112" s="320">
        <v>-9999</v>
      </c>
      <c r="AT112" s="320">
        <v>-9999</v>
      </c>
      <c r="AU112" s="730">
        <v>0</v>
      </c>
      <c r="AV112" s="320">
        <v>-9999</v>
      </c>
      <c r="AW112" s="320">
        <v>-9999</v>
      </c>
      <c r="AX112" s="730">
        <v>0</v>
      </c>
      <c r="AY112" s="320">
        <v>-9999</v>
      </c>
      <c r="AZ112" s="320">
        <v>-9999</v>
      </c>
      <c r="BA112" s="320" t="s">
        <v>631</v>
      </c>
      <c r="BB112" s="320" t="s">
        <v>626</v>
      </c>
      <c r="BC112" s="320" t="s">
        <v>848</v>
      </c>
      <c r="BD112" s="320" t="s">
        <v>849</v>
      </c>
      <c r="BI112" s="320" t="s">
        <v>1190</v>
      </c>
      <c r="BJ112" s="320">
        <v>-9999</v>
      </c>
      <c r="BK112" s="320">
        <v>-9999</v>
      </c>
      <c r="BL112" s="320">
        <v>13.45</v>
      </c>
      <c r="BM112" s="320">
        <v>-9999</v>
      </c>
      <c r="BN112" s="320">
        <v>-9999</v>
      </c>
      <c r="BO112" s="320">
        <v>-9999</v>
      </c>
      <c r="BP112" s="320">
        <v>-9999</v>
      </c>
      <c r="BQ112" s="320">
        <v>-9999</v>
      </c>
      <c r="BR112" s="320">
        <v>98.63</v>
      </c>
      <c r="BS112" s="320">
        <v>-9999</v>
      </c>
      <c r="BT112" s="320">
        <v>-9999</v>
      </c>
      <c r="BU112" s="320">
        <v>136.25</v>
      </c>
      <c r="BV112" s="320">
        <v>-9999</v>
      </c>
      <c r="BX112" s="320">
        <v>-9999</v>
      </c>
      <c r="BY112" s="320">
        <v>-9999</v>
      </c>
      <c r="BZ112" s="320">
        <v>-9999</v>
      </c>
      <c r="CA112" s="320" t="s">
        <v>850</v>
      </c>
      <c r="CB112" s="320" t="s">
        <v>1602</v>
      </c>
      <c r="CC112" s="320">
        <v>1</v>
      </c>
      <c r="CD112" s="320" t="s">
        <v>1609</v>
      </c>
      <c r="CE112" s="731">
        <v>23.1</v>
      </c>
      <c r="CF112" s="731">
        <v>-9999</v>
      </c>
      <c r="CG112" s="320">
        <v>4</v>
      </c>
      <c r="CH112" s="301" t="s">
        <v>2119</v>
      </c>
      <c r="CI112" s="301" t="s">
        <v>2126</v>
      </c>
      <c r="CJ112" s="320" t="s">
        <v>878</v>
      </c>
      <c r="CK112" s="88" t="s">
        <v>1300</v>
      </c>
      <c r="CL112" s="88" t="s">
        <v>1301</v>
      </c>
      <c r="CM112" s="270">
        <v>47.15</v>
      </c>
      <c r="CN112" s="270">
        <v>122.1</v>
      </c>
    </row>
    <row r="113" spans="1:106" s="320" customFormat="1" x14ac:dyDescent="0.2">
      <c r="A113" s="320" t="s">
        <v>1221</v>
      </c>
      <c r="B113" s="320" t="s">
        <v>1169</v>
      </c>
      <c r="C113" s="320" t="s">
        <v>158</v>
      </c>
      <c r="D113" s="320" t="s">
        <v>619</v>
      </c>
      <c r="E113" s="320" t="s">
        <v>1509</v>
      </c>
      <c r="F113" s="320">
        <v>1</v>
      </c>
      <c r="G113" s="320">
        <v>4</v>
      </c>
      <c r="H113" s="320">
        <v>4</v>
      </c>
      <c r="I113" s="320" t="s">
        <v>842</v>
      </c>
      <c r="J113" s="320">
        <v>1985</v>
      </c>
      <c r="K113" s="320" t="s">
        <v>1211</v>
      </c>
      <c r="L113" s="320">
        <v>1988</v>
      </c>
      <c r="M113" s="731">
        <v>-9999</v>
      </c>
      <c r="N113" s="731">
        <v>-9999</v>
      </c>
      <c r="P113" s="731">
        <v>92.8</v>
      </c>
      <c r="Q113" s="731">
        <v>-9999</v>
      </c>
      <c r="R113" s="731"/>
      <c r="S113" s="731"/>
      <c r="T113" s="731">
        <v>23.2</v>
      </c>
      <c r="U113" s="731">
        <v>-9999</v>
      </c>
      <c r="V113" s="731"/>
      <c r="W113" s="731">
        <v>-9999</v>
      </c>
      <c r="X113" s="731">
        <v>-9999</v>
      </c>
      <c r="Y113" s="731"/>
      <c r="Z113" s="320" t="s">
        <v>793</v>
      </c>
      <c r="AA113" s="320">
        <v>10000</v>
      </c>
      <c r="AB113" s="731">
        <v>1</v>
      </c>
      <c r="AC113" s="320">
        <v>0.36</v>
      </c>
      <c r="AD113" s="320">
        <v>88</v>
      </c>
      <c r="AE113" s="320" t="s">
        <v>1955</v>
      </c>
      <c r="AF113" s="320">
        <v>3</v>
      </c>
      <c r="AG113" s="320">
        <v>1</v>
      </c>
      <c r="AH113" s="320" t="s">
        <v>623</v>
      </c>
      <c r="AI113" s="320" t="s">
        <v>624</v>
      </c>
      <c r="AJ113" s="320">
        <v>-9999</v>
      </c>
      <c r="AK113" s="320" t="s">
        <v>626</v>
      </c>
      <c r="AL113" s="320">
        <v>-9999</v>
      </c>
      <c r="AM113" s="320">
        <v>-9999</v>
      </c>
      <c r="AN113" s="320" t="s">
        <v>626</v>
      </c>
      <c r="AO113" s="320" t="s">
        <v>847</v>
      </c>
      <c r="AP113" s="320" t="s">
        <v>1195</v>
      </c>
      <c r="AQ113" s="320" t="s">
        <v>631</v>
      </c>
      <c r="AR113" s="730">
        <v>0</v>
      </c>
      <c r="AS113" s="320">
        <v>-9999</v>
      </c>
      <c r="AT113" s="320">
        <v>-9999</v>
      </c>
      <c r="AU113" s="730">
        <v>0</v>
      </c>
      <c r="AV113" s="320">
        <v>-9999</v>
      </c>
      <c r="AW113" s="320">
        <v>-9999</v>
      </c>
      <c r="AX113" s="730">
        <v>0</v>
      </c>
      <c r="AY113" s="320">
        <v>-9999</v>
      </c>
      <c r="AZ113" s="320">
        <v>-9999</v>
      </c>
      <c r="BA113" s="320" t="s">
        <v>631</v>
      </c>
      <c r="BB113" s="320" t="s">
        <v>626</v>
      </c>
      <c r="BC113" s="320" t="s">
        <v>848</v>
      </c>
      <c r="BD113" s="320" t="s">
        <v>849</v>
      </c>
      <c r="BI113" s="320" t="s">
        <v>1190</v>
      </c>
      <c r="BJ113" s="320">
        <v>-9999</v>
      </c>
      <c r="BK113" s="320">
        <v>-9999</v>
      </c>
      <c r="BL113" s="320">
        <v>11.36</v>
      </c>
      <c r="BM113" s="320">
        <v>-9999</v>
      </c>
      <c r="BN113" s="320">
        <v>-9999</v>
      </c>
      <c r="BO113" s="320">
        <v>-9999</v>
      </c>
      <c r="BP113" s="320">
        <v>-9999</v>
      </c>
      <c r="BQ113" s="320">
        <v>-9999</v>
      </c>
      <c r="BR113" s="320">
        <v>78.77</v>
      </c>
      <c r="BS113" s="320">
        <v>-9999</v>
      </c>
      <c r="BT113" s="320">
        <v>-9999</v>
      </c>
      <c r="BU113" s="320">
        <v>84.9</v>
      </c>
      <c r="BV113" s="320">
        <v>-9999</v>
      </c>
      <c r="BX113" s="320">
        <v>-9999</v>
      </c>
      <c r="BY113" s="320">
        <v>-9999</v>
      </c>
      <c r="BZ113" s="320">
        <v>-9999</v>
      </c>
      <c r="CA113" s="320" t="s">
        <v>850</v>
      </c>
      <c r="CB113" s="320" t="s">
        <v>1602</v>
      </c>
      <c r="CC113" s="320">
        <v>1</v>
      </c>
      <c r="CD113" s="320" t="s">
        <v>1610</v>
      </c>
      <c r="CE113" s="731">
        <v>23.2</v>
      </c>
      <c r="CF113" s="731">
        <v>-9999</v>
      </c>
      <c r="CG113" s="320">
        <v>4</v>
      </c>
      <c r="CH113" s="301" t="s">
        <v>2119</v>
      </c>
      <c r="CI113" s="301" t="s">
        <v>2126</v>
      </c>
      <c r="CJ113" s="320" t="s">
        <v>878</v>
      </c>
      <c r="CK113" s="88" t="s">
        <v>1300</v>
      </c>
      <c r="CL113" s="88" t="s">
        <v>1301</v>
      </c>
      <c r="CM113" s="270">
        <v>47.15</v>
      </c>
      <c r="CN113" s="270">
        <v>122.1</v>
      </c>
    </row>
    <row r="114" spans="1:106" s="320" customFormat="1" x14ac:dyDescent="0.2">
      <c r="A114" s="320" t="s">
        <v>1221</v>
      </c>
      <c r="B114" s="320" t="s">
        <v>1169</v>
      </c>
      <c r="C114" s="320" t="s">
        <v>1176</v>
      </c>
      <c r="D114" s="320" t="s">
        <v>619</v>
      </c>
      <c r="E114" s="320" t="s">
        <v>1510</v>
      </c>
      <c r="F114" s="320">
        <v>1</v>
      </c>
      <c r="G114" s="320">
        <v>4</v>
      </c>
      <c r="H114" s="320">
        <v>4</v>
      </c>
      <c r="I114" s="320" t="s">
        <v>842</v>
      </c>
      <c r="J114" s="320">
        <v>1985</v>
      </c>
      <c r="K114" s="320" t="s">
        <v>1211</v>
      </c>
      <c r="L114" s="320">
        <v>1988</v>
      </c>
      <c r="M114" s="731">
        <v>-9999</v>
      </c>
      <c r="N114" s="731">
        <v>-9999</v>
      </c>
      <c r="P114" s="731">
        <v>116.8</v>
      </c>
      <c r="Q114" s="731">
        <v>-9999</v>
      </c>
      <c r="R114" s="731"/>
      <c r="S114" s="731"/>
      <c r="T114" s="731">
        <v>29.2</v>
      </c>
      <c r="U114" s="731">
        <v>-9999</v>
      </c>
      <c r="V114" s="731"/>
      <c r="W114" s="731">
        <v>-9999</v>
      </c>
      <c r="X114" s="731">
        <v>-9999</v>
      </c>
      <c r="Y114" s="731"/>
      <c r="Z114" s="320" t="s">
        <v>793</v>
      </c>
      <c r="AA114" s="320">
        <v>10000</v>
      </c>
      <c r="AB114" s="731">
        <v>1</v>
      </c>
      <c r="AC114" s="320">
        <v>0.36</v>
      </c>
      <c r="AD114" s="320">
        <v>88</v>
      </c>
      <c r="AE114" s="320" t="s">
        <v>1955</v>
      </c>
      <c r="AF114" s="320">
        <v>3</v>
      </c>
      <c r="AG114" s="320">
        <v>1</v>
      </c>
      <c r="AH114" s="320" t="s">
        <v>623</v>
      </c>
      <c r="AI114" s="320" t="s">
        <v>624</v>
      </c>
      <c r="AJ114" s="320">
        <v>-9999</v>
      </c>
      <c r="AK114" s="320" t="s">
        <v>626</v>
      </c>
      <c r="AL114" s="320">
        <v>-9999</v>
      </c>
      <c r="AM114" s="320">
        <v>-9999</v>
      </c>
      <c r="AN114" s="320" t="s">
        <v>626</v>
      </c>
      <c r="AO114" s="320" t="s">
        <v>847</v>
      </c>
      <c r="AP114" s="320" t="s">
        <v>1195</v>
      </c>
      <c r="AQ114" s="320" t="s">
        <v>631</v>
      </c>
      <c r="AR114" s="730">
        <v>0</v>
      </c>
      <c r="AS114" s="320">
        <v>-9999</v>
      </c>
      <c r="AT114" s="320">
        <v>-9999</v>
      </c>
      <c r="AU114" s="730">
        <v>0</v>
      </c>
      <c r="AV114" s="320">
        <v>-9999</v>
      </c>
      <c r="AW114" s="320">
        <v>-9999</v>
      </c>
      <c r="AX114" s="730">
        <v>0</v>
      </c>
      <c r="AY114" s="320">
        <v>-9999</v>
      </c>
      <c r="AZ114" s="320">
        <v>-9999</v>
      </c>
      <c r="BA114" s="320" t="s">
        <v>631</v>
      </c>
      <c r="BB114" s="320" t="s">
        <v>626</v>
      </c>
      <c r="BC114" s="320" t="s">
        <v>848</v>
      </c>
      <c r="BD114" s="320" t="s">
        <v>849</v>
      </c>
      <c r="BI114" s="320" t="s">
        <v>1190</v>
      </c>
      <c r="BJ114" s="320">
        <v>-9999</v>
      </c>
      <c r="BK114" s="320">
        <v>-9999</v>
      </c>
      <c r="BL114" s="320">
        <v>13.65</v>
      </c>
      <c r="BM114" s="320">
        <v>-9999</v>
      </c>
      <c r="BN114" s="320">
        <v>-9999</v>
      </c>
      <c r="BO114" s="320">
        <v>-9999</v>
      </c>
      <c r="BP114" s="320">
        <v>-9999</v>
      </c>
      <c r="BQ114" s="320">
        <v>-9999</v>
      </c>
      <c r="BR114" s="320">
        <v>102.06</v>
      </c>
      <c r="BS114" s="320">
        <v>-9999</v>
      </c>
      <c r="BT114" s="320">
        <v>-9999</v>
      </c>
      <c r="BU114" s="320">
        <v>152.37</v>
      </c>
      <c r="BV114" s="320">
        <v>-9999</v>
      </c>
      <c r="BX114" s="320">
        <v>-9999</v>
      </c>
      <c r="BY114" s="320">
        <v>-9999</v>
      </c>
      <c r="BZ114" s="320">
        <v>-9999</v>
      </c>
      <c r="CA114" s="320" t="s">
        <v>850</v>
      </c>
      <c r="CB114" s="320" t="s">
        <v>1602</v>
      </c>
      <c r="CC114" s="320">
        <v>1</v>
      </c>
      <c r="CD114" s="320" t="s">
        <v>1611</v>
      </c>
      <c r="CE114" s="731">
        <v>29.2</v>
      </c>
      <c r="CF114" s="731">
        <v>-9999</v>
      </c>
      <c r="CG114" s="320">
        <v>4</v>
      </c>
      <c r="CH114" s="301" t="s">
        <v>2119</v>
      </c>
      <c r="CI114" s="301" t="s">
        <v>2126</v>
      </c>
      <c r="CJ114" s="320" t="s">
        <v>878</v>
      </c>
      <c r="CK114" s="88" t="s">
        <v>1300</v>
      </c>
      <c r="CL114" s="88" t="s">
        <v>1301</v>
      </c>
      <c r="CM114" s="270">
        <v>47.15</v>
      </c>
      <c r="CN114" s="270">
        <v>122.1</v>
      </c>
    </row>
    <row r="115" spans="1:106" s="320" customFormat="1" x14ac:dyDescent="0.2">
      <c r="A115" s="320" t="s">
        <v>1428</v>
      </c>
      <c r="M115" s="731"/>
      <c r="N115" s="731"/>
      <c r="P115" s="731"/>
      <c r="Q115" s="731"/>
      <c r="R115" s="731"/>
      <c r="S115" s="731"/>
      <c r="T115" s="731"/>
      <c r="U115" s="731"/>
      <c r="V115" s="731"/>
      <c r="W115" s="731"/>
      <c r="X115" s="731"/>
      <c r="Y115" s="731"/>
      <c r="AR115" s="730"/>
      <c r="AU115" s="730"/>
      <c r="AX115" s="730"/>
      <c r="CE115" s="731"/>
      <c r="CF115" s="731"/>
      <c r="CH115" s="322"/>
    </row>
    <row r="116" spans="1:106" s="320" customFormat="1" x14ac:dyDescent="0.2">
      <c r="A116" s="320" t="s">
        <v>560</v>
      </c>
      <c r="B116" s="320" t="s">
        <v>1268</v>
      </c>
      <c r="C116" s="320" t="s">
        <v>96</v>
      </c>
      <c r="D116" s="320" t="s">
        <v>1400</v>
      </c>
      <c r="E116" s="320" t="s">
        <v>855</v>
      </c>
      <c r="F116" s="320">
        <v>1</v>
      </c>
      <c r="G116" s="320">
        <v>5</v>
      </c>
      <c r="H116" s="320">
        <v>5</v>
      </c>
      <c r="I116" s="320" t="s">
        <v>856</v>
      </c>
      <c r="J116" s="320">
        <v>1982</v>
      </c>
      <c r="K116" s="320" t="s">
        <v>1211</v>
      </c>
      <c r="L116" s="320">
        <v>1986</v>
      </c>
      <c r="M116" s="731">
        <v>-9999</v>
      </c>
      <c r="N116" s="731">
        <v>-9999</v>
      </c>
      <c r="P116" s="731">
        <v>51.2</v>
      </c>
      <c r="Q116" s="731">
        <v>-9999</v>
      </c>
      <c r="R116" s="731"/>
      <c r="S116" s="731"/>
      <c r="T116" s="731">
        <v>10.24</v>
      </c>
      <c r="U116" s="731">
        <v>-9999</v>
      </c>
      <c r="V116" s="731"/>
      <c r="W116" s="731">
        <v>25.390000000000004</v>
      </c>
      <c r="X116" s="731">
        <v>-9999</v>
      </c>
      <c r="Y116" s="731"/>
      <c r="Z116" s="320" t="s">
        <v>1706</v>
      </c>
      <c r="AA116" s="320">
        <v>5382</v>
      </c>
      <c r="AB116" s="320">
        <v>0.87</v>
      </c>
      <c r="AC116" s="320">
        <v>10.3</v>
      </c>
      <c r="AD116" s="320">
        <v>966</v>
      </c>
      <c r="AE116" s="320" t="s">
        <v>97</v>
      </c>
      <c r="AF116" s="320">
        <v>6</v>
      </c>
      <c r="AG116" s="320">
        <v>2</v>
      </c>
      <c r="AH116" s="320" t="s">
        <v>98</v>
      </c>
      <c r="AI116" s="320" t="s">
        <v>985</v>
      </c>
      <c r="AJ116" s="320">
        <v>-9999</v>
      </c>
      <c r="AK116" s="320" t="s">
        <v>99</v>
      </c>
      <c r="AL116" s="320" t="s">
        <v>828</v>
      </c>
      <c r="AM116" s="320">
        <v>-9999</v>
      </c>
      <c r="AN116" s="320" t="s">
        <v>631</v>
      </c>
      <c r="AO116" s="320">
        <v>-9999</v>
      </c>
      <c r="AP116" s="320">
        <v>-9999</v>
      </c>
      <c r="AQ116" s="320" t="s">
        <v>631</v>
      </c>
      <c r="AR116" s="730">
        <v>0</v>
      </c>
      <c r="AS116" s="320">
        <v>-9999</v>
      </c>
      <c r="AT116" s="320">
        <v>-9999</v>
      </c>
      <c r="AU116" s="730">
        <v>0</v>
      </c>
      <c r="AV116" s="320">
        <v>-9999</v>
      </c>
      <c r="AX116" s="730">
        <v>0</v>
      </c>
      <c r="AY116" s="320">
        <v>-9999</v>
      </c>
      <c r="AZ116" s="320">
        <v>-9999</v>
      </c>
      <c r="BA116" s="320" t="s">
        <v>100</v>
      </c>
      <c r="BB116" s="320" t="s">
        <v>626</v>
      </c>
      <c r="BC116" s="320" t="s">
        <v>101</v>
      </c>
      <c r="BD116" s="320" t="s">
        <v>102</v>
      </c>
      <c r="BE116" s="320" t="s">
        <v>103</v>
      </c>
      <c r="BF116" s="320" t="s">
        <v>104</v>
      </c>
      <c r="BG116" s="320" t="s">
        <v>105</v>
      </c>
      <c r="BH116" s="320" t="s">
        <v>106</v>
      </c>
      <c r="BI116" s="320">
        <v>-9999</v>
      </c>
      <c r="BJ116" s="320">
        <v>-9999</v>
      </c>
      <c r="BK116" s="320">
        <v>-9999</v>
      </c>
      <c r="BL116" s="320">
        <v>6.9</v>
      </c>
      <c r="BM116" s="320">
        <v>-9999</v>
      </c>
      <c r="BN116" s="320">
        <v>6.1</v>
      </c>
      <c r="BO116" s="320">
        <v>-9999</v>
      </c>
      <c r="BP116" s="320">
        <v>-9999</v>
      </c>
      <c r="BQ116" s="320">
        <v>-9999</v>
      </c>
      <c r="BR116" s="320">
        <v>-9999</v>
      </c>
      <c r="BS116" s="320">
        <v>-9999</v>
      </c>
      <c r="BT116" s="320">
        <v>-9999</v>
      </c>
      <c r="BU116" s="320">
        <v>-9999</v>
      </c>
      <c r="BV116" s="320">
        <v>-9999</v>
      </c>
      <c r="BX116" s="320">
        <v>-9999</v>
      </c>
      <c r="BY116" s="320">
        <v>-9999</v>
      </c>
      <c r="BZ116" s="320">
        <v>-9999</v>
      </c>
      <c r="CA116" s="320" t="s">
        <v>107</v>
      </c>
      <c r="CB116" s="320" t="s">
        <v>2022</v>
      </c>
      <c r="CC116" s="320">
        <v>1</v>
      </c>
      <c r="CD116" s="320">
        <v>5</v>
      </c>
      <c r="CE116" s="731">
        <v>10.24</v>
      </c>
      <c r="CF116" s="731">
        <v>25.390000000000004</v>
      </c>
      <c r="CG116" s="320">
        <v>5</v>
      </c>
      <c r="CH116" s="301" t="s">
        <v>2118</v>
      </c>
      <c r="CI116" s="320" t="s">
        <v>2125</v>
      </c>
      <c r="CJ116" s="320" t="s">
        <v>878</v>
      </c>
      <c r="CK116" s="257" t="s">
        <v>1294</v>
      </c>
      <c r="CL116" s="257" t="s">
        <v>1296</v>
      </c>
      <c r="CM116" s="413">
        <v>31.582999999999998</v>
      </c>
      <c r="CN116" s="413">
        <v>87.316999999999993</v>
      </c>
    </row>
    <row r="117" spans="1:106" s="320" customFormat="1" x14ac:dyDescent="0.2">
      <c r="A117" s="320" t="s">
        <v>560</v>
      </c>
      <c r="B117" s="320" t="s">
        <v>1268</v>
      </c>
      <c r="C117" s="320" t="s">
        <v>115</v>
      </c>
      <c r="D117" s="320" t="s">
        <v>1257</v>
      </c>
      <c r="E117" s="320" t="s">
        <v>116</v>
      </c>
      <c r="F117" s="320">
        <v>1</v>
      </c>
      <c r="G117" s="320">
        <v>5</v>
      </c>
      <c r="H117" s="320">
        <v>5</v>
      </c>
      <c r="I117" s="320" t="s">
        <v>856</v>
      </c>
      <c r="J117" s="320">
        <v>1982</v>
      </c>
      <c r="K117" s="320" t="s">
        <v>1211</v>
      </c>
      <c r="L117" s="320">
        <v>1986</v>
      </c>
      <c r="M117" s="731">
        <v>-9999</v>
      </c>
      <c r="N117" s="731">
        <v>-9999</v>
      </c>
      <c r="P117" s="731">
        <v>47.3</v>
      </c>
      <c r="Q117" s="731">
        <v>-9999</v>
      </c>
      <c r="R117" s="731"/>
      <c r="S117" s="731"/>
      <c r="T117" s="731">
        <v>9.4600000000000009</v>
      </c>
      <c r="U117" s="731">
        <v>-9999</v>
      </c>
      <c r="V117" s="731"/>
      <c r="W117" s="731">
        <v>18.709999999999997</v>
      </c>
      <c r="X117" s="731">
        <v>-9999</v>
      </c>
      <c r="Y117" s="731"/>
      <c r="Z117" s="320" t="s">
        <v>1706</v>
      </c>
      <c r="AA117" s="320">
        <v>5382</v>
      </c>
      <c r="AB117" s="320">
        <v>0.96</v>
      </c>
      <c r="AC117" s="320">
        <v>10.3</v>
      </c>
      <c r="AD117" s="320">
        <v>966</v>
      </c>
      <c r="AE117" s="320" t="s">
        <v>97</v>
      </c>
      <c r="AF117" s="320">
        <v>6</v>
      </c>
      <c r="AG117" s="320">
        <v>2</v>
      </c>
      <c r="AH117" s="320" t="s">
        <v>98</v>
      </c>
      <c r="AI117" s="320" t="s">
        <v>985</v>
      </c>
      <c r="AJ117" s="320">
        <v>-9999</v>
      </c>
      <c r="AK117" s="320" t="s">
        <v>99</v>
      </c>
      <c r="AL117" s="320" t="s">
        <v>828</v>
      </c>
      <c r="AM117" s="320">
        <v>-9999</v>
      </c>
      <c r="AN117" s="320" t="s">
        <v>631</v>
      </c>
      <c r="AO117" s="320">
        <v>-9999</v>
      </c>
      <c r="AP117" s="320">
        <v>-9999</v>
      </c>
      <c r="AQ117" s="320" t="s">
        <v>631</v>
      </c>
      <c r="AR117" s="730">
        <v>0</v>
      </c>
      <c r="AS117" s="320">
        <v>-9999</v>
      </c>
      <c r="AT117" s="320">
        <v>-9999</v>
      </c>
      <c r="AU117" s="730">
        <v>0</v>
      </c>
      <c r="AV117" s="320">
        <v>-9999</v>
      </c>
      <c r="AX117" s="730">
        <v>0</v>
      </c>
      <c r="AY117" s="320">
        <v>-9999</v>
      </c>
      <c r="AZ117" s="320">
        <v>-9999</v>
      </c>
      <c r="BA117" s="320" t="s">
        <v>100</v>
      </c>
      <c r="BB117" s="320" t="s">
        <v>626</v>
      </c>
      <c r="BC117" s="320" t="s">
        <v>101</v>
      </c>
      <c r="BD117" s="320" t="s">
        <v>102</v>
      </c>
      <c r="BE117" s="320" t="s">
        <v>103</v>
      </c>
      <c r="BF117" s="320" t="s">
        <v>104</v>
      </c>
      <c r="BG117" s="320" t="s">
        <v>105</v>
      </c>
      <c r="BH117" s="320" t="s">
        <v>106</v>
      </c>
      <c r="BI117" s="320">
        <v>-9999</v>
      </c>
      <c r="BJ117" s="320">
        <v>-9999</v>
      </c>
      <c r="BK117" s="320">
        <v>-9999</v>
      </c>
      <c r="BL117" s="320">
        <v>5.5</v>
      </c>
      <c r="BM117" s="320">
        <v>-9999</v>
      </c>
      <c r="BN117" s="320">
        <v>4.5999999999999996</v>
      </c>
      <c r="BO117" s="320">
        <v>-9999</v>
      </c>
      <c r="BP117" s="320">
        <v>-9999</v>
      </c>
      <c r="BQ117" s="320">
        <v>-9999</v>
      </c>
      <c r="BR117" s="320">
        <v>-9999</v>
      </c>
      <c r="BS117" s="320">
        <v>-9999</v>
      </c>
      <c r="BT117" s="320">
        <v>-9999</v>
      </c>
      <c r="BU117" s="320">
        <v>-9999</v>
      </c>
      <c r="BV117" s="320">
        <v>-9999</v>
      </c>
      <c r="BX117" s="320">
        <v>-9999</v>
      </c>
      <c r="BY117" s="320">
        <v>-9999</v>
      </c>
      <c r="BZ117" s="320">
        <v>-9999</v>
      </c>
      <c r="CA117" s="320" t="s">
        <v>107</v>
      </c>
      <c r="CB117" s="320" t="s">
        <v>2022</v>
      </c>
      <c r="CC117" s="320">
        <v>1</v>
      </c>
      <c r="CD117" s="320">
        <v>5</v>
      </c>
      <c r="CE117" s="731">
        <v>9.4600000000000009</v>
      </c>
      <c r="CF117" s="731">
        <v>18.709999999999997</v>
      </c>
      <c r="CG117" s="320">
        <v>5</v>
      </c>
      <c r="CH117" s="301" t="s">
        <v>2118</v>
      </c>
      <c r="CI117" s="320" t="s">
        <v>2125</v>
      </c>
      <c r="CJ117" s="320" t="s">
        <v>878</v>
      </c>
      <c r="CK117" s="257" t="s">
        <v>1294</v>
      </c>
      <c r="CL117" s="257" t="s">
        <v>1296</v>
      </c>
      <c r="CM117" s="413">
        <v>31.582999999999998</v>
      </c>
      <c r="CN117" s="413">
        <v>87.316999999999993</v>
      </c>
    </row>
    <row r="118" spans="1:106" s="320" customFormat="1" x14ac:dyDescent="0.2">
      <c r="A118" s="320" t="s">
        <v>560</v>
      </c>
      <c r="B118" s="320" t="s">
        <v>1268</v>
      </c>
      <c r="C118" s="320" t="s">
        <v>115</v>
      </c>
      <c r="D118" s="320" t="s">
        <v>1257</v>
      </c>
      <c r="E118" s="320" t="s">
        <v>116</v>
      </c>
      <c r="F118" s="320">
        <v>2</v>
      </c>
      <c r="G118" s="320">
        <v>2</v>
      </c>
      <c r="H118" s="320">
        <v>5</v>
      </c>
      <c r="I118" s="320" t="s">
        <v>856</v>
      </c>
      <c r="J118" s="320">
        <v>1982</v>
      </c>
      <c r="K118" s="320" t="s">
        <v>1211</v>
      </c>
      <c r="L118" s="320">
        <v>1986</v>
      </c>
      <c r="M118" s="731">
        <v>-9999</v>
      </c>
      <c r="N118" s="731">
        <v>-9999</v>
      </c>
      <c r="P118" s="731">
        <v>21.7</v>
      </c>
      <c r="Q118" s="731">
        <v>-9999</v>
      </c>
      <c r="R118" s="731"/>
      <c r="S118" s="731"/>
      <c r="T118" s="731">
        <v>10.85</v>
      </c>
      <c r="U118" s="731">
        <v>-9999</v>
      </c>
      <c r="V118" s="731"/>
      <c r="W118" s="731">
        <v>21.7</v>
      </c>
      <c r="X118" s="731">
        <v>-9999</v>
      </c>
      <c r="Y118" s="731"/>
      <c r="Z118" s="320" t="s">
        <v>1706</v>
      </c>
      <c r="AA118" s="320">
        <v>5382</v>
      </c>
      <c r="AB118" s="320">
        <v>0.83</v>
      </c>
      <c r="AC118" s="320">
        <v>10.3</v>
      </c>
      <c r="AD118" s="320">
        <v>966</v>
      </c>
      <c r="AE118" s="320" t="s">
        <v>97</v>
      </c>
      <c r="AF118" s="320">
        <v>0</v>
      </c>
      <c r="AG118" s="320">
        <v>2</v>
      </c>
      <c r="AH118" s="320" t="s">
        <v>98</v>
      </c>
      <c r="AI118" s="320" t="s">
        <v>985</v>
      </c>
      <c r="AJ118" s="320">
        <v>-9999</v>
      </c>
      <c r="AK118" s="320" t="s">
        <v>99</v>
      </c>
      <c r="AL118" s="320" t="s">
        <v>828</v>
      </c>
      <c r="AM118" s="320">
        <v>-9999</v>
      </c>
      <c r="AN118" s="320" t="s">
        <v>631</v>
      </c>
      <c r="AO118" s="320">
        <v>-9999</v>
      </c>
      <c r="AP118" s="320">
        <v>-9999</v>
      </c>
      <c r="AQ118" s="320" t="s">
        <v>631</v>
      </c>
      <c r="AR118" s="730">
        <v>0</v>
      </c>
      <c r="AS118" s="320">
        <v>-9999</v>
      </c>
      <c r="AT118" s="320">
        <v>-9999</v>
      </c>
      <c r="AU118" s="730">
        <v>0</v>
      </c>
      <c r="AV118" s="320">
        <v>-9999</v>
      </c>
      <c r="AX118" s="730">
        <v>0</v>
      </c>
      <c r="AY118" s="320">
        <v>-9999</v>
      </c>
      <c r="AZ118" s="320">
        <v>-9999</v>
      </c>
      <c r="BA118" s="320" t="s">
        <v>100</v>
      </c>
      <c r="BB118" s="320" t="s">
        <v>626</v>
      </c>
      <c r="BC118" s="320" t="s">
        <v>101</v>
      </c>
      <c r="BD118" s="320" t="s">
        <v>102</v>
      </c>
      <c r="BE118" s="320" t="s">
        <v>103</v>
      </c>
      <c r="BF118" s="320" t="s">
        <v>104</v>
      </c>
      <c r="BG118" s="320" t="s">
        <v>105</v>
      </c>
      <c r="BH118" s="320" t="s">
        <v>106</v>
      </c>
      <c r="BI118" s="320">
        <v>-9999</v>
      </c>
      <c r="BJ118" s="320">
        <v>-9999</v>
      </c>
      <c r="BK118" s="320">
        <v>-9999</v>
      </c>
      <c r="BL118" s="320">
        <v>2.6</v>
      </c>
      <c r="BM118" s="320">
        <v>-9999</v>
      </c>
      <c r="BN118" s="320">
        <v>1.5</v>
      </c>
      <c r="BO118" s="320">
        <v>-9999</v>
      </c>
      <c r="BP118" s="320">
        <v>-9999</v>
      </c>
      <c r="BQ118" s="320">
        <v>-9999</v>
      </c>
      <c r="BR118" s="320">
        <v>-9999</v>
      </c>
      <c r="BS118" s="320">
        <v>-9999</v>
      </c>
      <c r="BT118" s="320">
        <v>-9999</v>
      </c>
      <c r="BU118" s="320">
        <v>-9999</v>
      </c>
      <c r="BV118" s="320">
        <v>-9999</v>
      </c>
      <c r="BX118" s="320">
        <v>-9999</v>
      </c>
      <c r="BY118" s="320">
        <v>-9999</v>
      </c>
      <c r="BZ118" s="320">
        <v>-9999</v>
      </c>
      <c r="CA118" s="320" t="s">
        <v>107</v>
      </c>
      <c r="CB118" s="320" t="s">
        <v>2022</v>
      </c>
      <c r="CC118" s="320">
        <v>2</v>
      </c>
      <c r="CD118" s="320">
        <v>2</v>
      </c>
      <c r="CE118" s="731">
        <v>10.85</v>
      </c>
      <c r="CF118" s="731">
        <v>21.7</v>
      </c>
      <c r="CG118" s="320">
        <v>5</v>
      </c>
      <c r="CH118" s="301" t="s">
        <v>2121</v>
      </c>
      <c r="CI118" s="320" t="s">
        <v>2125</v>
      </c>
      <c r="CJ118" s="320" t="s">
        <v>878</v>
      </c>
      <c r="CK118" s="257" t="s">
        <v>1294</v>
      </c>
      <c r="CL118" s="257" t="s">
        <v>1296</v>
      </c>
      <c r="CM118" s="413">
        <v>31.582999999999998</v>
      </c>
      <c r="CN118" s="413">
        <v>87.316999999999993</v>
      </c>
    </row>
    <row r="119" spans="1:106" s="320" customFormat="1" x14ac:dyDescent="0.2">
      <c r="A119" s="320" t="s">
        <v>569</v>
      </c>
      <c r="B119" s="320" t="s">
        <v>570</v>
      </c>
      <c r="C119" s="320" t="s">
        <v>573</v>
      </c>
      <c r="D119" s="320" t="s">
        <v>1254</v>
      </c>
      <c r="E119" s="320" t="s">
        <v>882</v>
      </c>
      <c r="F119" s="320">
        <v>1</v>
      </c>
      <c r="G119" s="320">
        <v>3</v>
      </c>
      <c r="H119" s="320">
        <v>3</v>
      </c>
      <c r="I119" s="320" t="s">
        <v>575</v>
      </c>
      <c r="J119" s="320">
        <v>1988</v>
      </c>
      <c r="K119" s="320" t="s">
        <v>575</v>
      </c>
      <c r="L119" s="320">
        <v>1991</v>
      </c>
      <c r="M119" s="731">
        <v>-9999</v>
      </c>
      <c r="N119" s="731">
        <v>-9999</v>
      </c>
      <c r="P119" s="731">
        <v>35.93</v>
      </c>
      <c r="Q119" s="731">
        <v>6.95</v>
      </c>
      <c r="R119" s="731"/>
      <c r="S119" s="731"/>
      <c r="T119" s="731">
        <v>11.976666666666667</v>
      </c>
      <c r="U119" s="731">
        <v>-9999</v>
      </c>
      <c r="V119" s="731"/>
      <c r="W119" s="731">
        <v>16.309999999999999</v>
      </c>
      <c r="X119" s="731">
        <v>-9999</v>
      </c>
      <c r="Y119" s="731"/>
      <c r="Z119" s="320" t="s">
        <v>576</v>
      </c>
      <c r="AA119" s="320">
        <v>3333</v>
      </c>
      <c r="AB119" s="320">
        <v>-9999</v>
      </c>
      <c r="AC119" s="320">
        <v>0.94</v>
      </c>
      <c r="AD119" s="320">
        <v>625</v>
      </c>
      <c r="AE119" s="320" t="s">
        <v>280</v>
      </c>
      <c r="AF119" s="320">
        <v>3</v>
      </c>
      <c r="AG119" s="320">
        <v>2</v>
      </c>
      <c r="AH119" s="320" t="s">
        <v>876</v>
      </c>
      <c r="AI119" s="320" t="s">
        <v>985</v>
      </c>
      <c r="AJ119" s="320">
        <v>-9999</v>
      </c>
      <c r="AK119" s="320">
        <v>-9999</v>
      </c>
      <c r="AL119" s="320">
        <v>-9999</v>
      </c>
      <c r="AM119" s="320">
        <v>-9999</v>
      </c>
      <c r="AN119" s="320">
        <v>-9999</v>
      </c>
      <c r="AO119" s="320">
        <v>-9999</v>
      </c>
      <c r="AP119" s="320">
        <v>-9999</v>
      </c>
      <c r="AQ119" s="320" t="s">
        <v>626</v>
      </c>
      <c r="AR119" s="730">
        <v>450</v>
      </c>
      <c r="AS119" s="320" t="s">
        <v>562</v>
      </c>
      <c r="AT119" s="320" t="s">
        <v>563</v>
      </c>
      <c r="AU119" s="730">
        <v>50</v>
      </c>
      <c r="AV119" s="320" t="s">
        <v>1198</v>
      </c>
      <c r="AW119" s="320" t="s">
        <v>1199</v>
      </c>
      <c r="AX119" s="730">
        <v>0</v>
      </c>
      <c r="AY119" s="320">
        <v>-9999</v>
      </c>
      <c r="AZ119" s="320" t="s">
        <v>563</v>
      </c>
      <c r="BA119" s="320">
        <v>-9999</v>
      </c>
      <c r="BB119" s="320" t="s">
        <v>626</v>
      </c>
      <c r="BC119" s="320" t="s">
        <v>881</v>
      </c>
      <c r="BD119" s="320" t="s">
        <v>577</v>
      </c>
      <c r="BE119" s="320" t="s">
        <v>578</v>
      </c>
      <c r="BF119" s="320">
        <v>-9999</v>
      </c>
      <c r="BG119" s="320">
        <v>-9999</v>
      </c>
      <c r="BH119" s="320">
        <v>-9999</v>
      </c>
      <c r="BI119" s="320">
        <v>-9999</v>
      </c>
      <c r="BJ119" s="320">
        <v>-9999</v>
      </c>
      <c r="BK119" s="320">
        <v>-9999</v>
      </c>
      <c r="BL119" s="320">
        <v>-9999</v>
      </c>
      <c r="BM119" s="320">
        <v>-9999</v>
      </c>
      <c r="BN119" s="320">
        <v>-9999</v>
      </c>
      <c r="BO119" s="320">
        <v>-9999</v>
      </c>
      <c r="BP119" s="320">
        <v>-9999</v>
      </c>
      <c r="BQ119" s="320">
        <v>-9999</v>
      </c>
      <c r="BR119" s="320">
        <v>-9999</v>
      </c>
      <c r="BS119" s="320">
        <v>-9999</v>
      </c>
      <c r="BT119" s="320">
        <v>-9999</v>
      </c>
      <c r="BU119" s="320">
        <v>-9999</v>
      </c>
      <c r="BV119" s="320">
        <v>-9999</v>
      </c>
      <c r="BX119" s="320">
        <v>-9999</v>
      </c>
      <c r="BY119" s="320">
        <v>-9999</v>
      </c>
      <c r="BZ119" s="320">
        <v>-9999</v>
      </c>
      <c r="CA119" s="320" t="s">
        <v>895</v>
      </c>
      <c r="CC119" s="320">
        <v>1</v>
      </c>
      <c r="CD119" s="320">
        <v>3</v>
      </c>
      <c r="CE119" s="731">
        <v>11.976666666666667</v>
      </c>
      <c r="CF119" s="731">
        <v>16.309999999999999</v>
      </c>
      <c r="CG119" s="320">
        <v>3</v>
      </c>
      <c r="CH119" s="301" t="s">
        <v>2121</v>
      </c>
      <c r="CI119" s="320" t="s">
        <v>2125</v>
      </c>
      <c r="CK119" s="257" t="s">
        <v>1279</v>
      </c>
      <c r="CL119" s="257" t="s">
        <v>1280</v>
      </c>
      <c r="CM119" s="413">
        <v>35.9</v>
      </c>
      <c r="CN119" s="413">
        <v>84.316999999999993</v>
      </c>
    </row>
    <row r="120" spans="1:106" s="320" customFormat="1" x14ac:dyDescent="0.2">
      <c r="A120" s="320" t="s">
        <v>569</v>
      </c>
      <c r="B120" s="320" t="s">
        <v>570</v>
      </c>
      <c r="C120" s="320" t="s">
        <v>574</v>
      </c>
      <c r="D120" s="320" t="s">
        <v>1254</v>
      </c>
      <c r="E120" s="320" t="s">
        <v>882</v>
      </c>
      <c r="F120" s="320">
        <v>1</v>
      </c>
      <c r="G120" s="320">
        <v>3</v>
      </c>
      <c r="H120" s="320">
        <v>3</v>
      </c>
      <c r="I120" s="320" t="s">
        <v>575</v>
      </c>
      <c r="J120" s="320">
        <v>1988</v>
      </c>
      <c r="K120" s="320" t="s">
        <v>575</v>
      </c>
      <c r="L120" s="320">
        <v>1991</v>
      </c>
      <c r="M120" s="731">
        <v>-9999</v>
      </c>
      <c r="N120" s="731">
        <v>-9999</v>
      </c>
      <c r="P120" s="731">
        <v>43.44</v>
      </c>
      <c r="Q120" s="731">
        <v>5.75</v>
      </c>
      <c r="R120" s="731"/>
      <c r="S120" s="731"/>
      <c r="T120" s="731">
        <v>14.479999999999999</v>
      </c>
      <c r="U120" s="731">
        <v>-9999</v>
      </c>
      <c r="V120" s="731"/>
      <c r="W120" s="731">
        <v>19.749999999999996</v>
      </c>
      <c r="X120" s="731">
        <v>-9999</v>
      </c>
      <c r="Y120" s="731"/>
      <c r="Z120" s="320" t="s">
        <v>576</v>
      </c>
      <c r="AA120" s="320">
        <v>3333</v>
      </c>
      <c r="AB120" s="320">
        <v>-9999</v>
      </c>
      <c r="AC120" s="320">
        <v>0.94</v>
      </c>
      <c r="AD120" s="320">
        <v>625</v>
      </c>
      <c r="AE120" s="320" t="s">
        <v>280</v>
      </c>
      <c r="AF120" s="320">
        <v>3</v>
      </c>
      <c r="AG120" s="320">
        <v>2</v>
      </c>
      <c r="AH120" s="320" t="s">
        <v>876</v>
      </c>
      <c r="AI120" s="320" t="s">
        <v>985</v>
      </c>
      <c r="AJ120" s="320">
        <v>-9999</v>
      </c>
      <c r="AK120" s="320">
        <v>-9999</v>
      </c>
      <c r="AL120" s="320">
        <v>-9999</v>
      </c>
      <c r="AM120" s="320">
        <v>-9999</v>
      </c>
      <c r="AN120" s="320">
        <v>-9999</v>
      </c>
      <c r="AO120" s="320">
        <v>-9999</v>
      </c>
      <c r="AP120" s="320">
        <v>-9999</v>
      </c>
      <c r="AQ120" s="320" t="s">
        <v>626</v>
      </c>
      <c r="AR120" s="730">
        <v>450</v>
      </c>
      <c r="AS120" s="320" t="s">
        <v>562</v>
      </c>
      <c r="AT120" s="320" t="s">
        <v>943</v>
      </c>
      <c r="AU120" s="730">
        <v>50</v>
      </c>
      <c r="AV120" s="320" t="s">
        <v>1198</v>
      </c>
      <c r="AW120" s="320" t="s">
        <v>1199</v>
      </c>
      <c r="AX120" s="730">
        <v>0</v>
      </c>
      <c r="AY120" s="320">
        <v>-9999</v>
      </c>
      <c r="AZ120" s="320" t="s">
        <v>1200</v>
      </c>
      <c r="BA120" s="320">
        <v>-9999</v>
      </c>
      <c r="BB120" s="320" t="s">
        <v>626</v>
      </c>
      <c r="BC120" s="320" t="s">
        <v>881</v>
      </c>
      <c r="BD120" s="320" t="s">
        <v>577</v>
      </c>
      <c r="BE120" s="320" t="s">
        <v>578</v>
      </c>
      <c r="BF120" s="320">
        <v>-9999</v>
      </c>
      <c r="BG120" s="320">
        <v>-9999</v>
      </c>
      <c r="BH120" s="320">
        <v>-9999</v>
      </c>
      <c r="BI120" s="320">
        <v>-9999</v>
      </c>
      <c r="BJ120" s="320">
        <v>-9999</v>
      </c>
      <c r="BK120" s="320">
        <v>-9999</v>
      </c>
      <c r="BL120" s="320">
        <v>-9999</v>
      </c>
      <c r="BM120" s="320">
        <v>-9999</v>
      </c>
      <c r="BN120" s="320">
        <v>-9999</v>
      </c>
      <c r="BO120" s="320">
        <v>-9999</v>
      </c>
      <c r="BP120" s="320">
        <v>-9999</v>
      </c>
      <c r="BQ120" s="320">
        <v>-9999</v>
      </c>
      <c r="BR120" s="320">
        <v>-9999</v>
      </c>
      <c r="BS120" s="320">
        <v>-9999</v>
      </c>
      <c r="BT120" s="320">
        <v>-9999</v>
      </c>
      <c r="BU120" s="320">
        <v>-9999</v>
      </c>
      <c r="BV120" s="320">
        <v>-9999</v>
      </c>
      <c r="BX120" s="320">
        <v>-9999</v>
      </c>
      <c r="BY120" s="320">
        <v>-9999</v>
      </c>
      <c r="BZ120" s="320">
        <v>-9999</v>
      </c>
      <c r="CA120" s="320" t="s">
        <v>895</v>
      </c>
      <c r="CC120" s="320">
        <v>1</v>
      </c>
      <c r="CD120" s="320">
        <v>3</v>
      </c>
      <c r="CE120" s="731">
        <v>14.479999999999999</v>
      </c>
      <c r="CF120" s="731">
        <v>19.749999999999996</v>
      </c>
      <c r="CG120" s="320">
        <v>3</v>
      </c>
      <c r="CH120" s="301" t="s">
        <v>2121</v>
      </c>
      <c r="CI120" s="320" t="s">
        <v>2125</v>
      </c>
      <c r="CJ120" s="320" t="s">
        <v>878</v>
      </c>
      <c r="CK120" s="257" t="s">
        <v>1279</v>
      </c>
      <c r="CL120" s="257" t="s">
        <v>1280</v>
      </c>
      <c r="CM120" s="413">
        <v>35.9</v>
      </c>
      <c r="CN120" s="413">
        <v>84.316999999999993</v>
      </c>
    </row>
    <row r="121" spans="1:106" s="320" customFormat="1" x14ac:dyDescent="0.2">
      <c r="A121" s="320" t="s">
        <v>2023</v>
      </c>
      <c r="M121" s="731"/>
      <c r="N121" s="731"/>
      <c r="P121" s="731"/>
      <c r="Q121" s="731"/>
      <c r="R121" s="731"/>
      <c r="S121" s="731"/>
      <c r="T121" s="731"/>
      <c r="U121" s="731"/>
      <c r="V121" s="731"/>
      <c r="W121" s="731"/>
      <c r="X121" s="731"/>
      <c r="Y121" s="731"/>
      <c r="AR121" s="730"/>
      <c r="AU121" s="730"/>
      <c r="AX121" s="730"/>
      <c r="CE121" s="731"/>
      <c r="CF121" s="731"/>
      <c r="CH121" s="322"/>
    </row>
    <row r="122" spans="1:106" s="320" customFormat="1" x14ac:dyDescent="0.2">
      <c r="A122" s="320" t="s">
        <v>887</v>
      </c>
      <c r="B122" s="320" t="s">
        <v>159</v>
      </c>
      <c r="C122" s="320" t="s">
        <v>888</v>
      </c>
      <c r="D122" s="320" t="s">
        <v>317</v>
      </c>
      <c r="E122" s="320" t="s">
        <v>1497</v>
      </c>
      <c r="F122" s="320">
        <v>1</v>
      </c>
      <c r="G122" s="320">
        <v>2.5</v>
      </c>
      <c r="H122" s="320">
        <v>2.5</v>
      </c>
      <c r="I122" s="320" t="s">
        <v>807</v>
      </c>
      <c r="J122" s="320">
        <v>1980</v>
      </c>
      <c r="K122" s="320" t="s">
        <v>1001</v>
      </c>
      <c r="L122" s="320">
        <v>1982</v>
      </c>
      <c r="M122" s="731">
        <v>-9999</v>
      </c>
      <c r="N122" s="731">
        <v>-9999</v>
      </c>
      <c r="P122" s="731">
        <v>36.1</v>
      </c>
      <c r="Q122" s="731">
        <v>-9999</v>
      </c>
      <c r="R122" s="731"/>
      <c r="S122" s="731"/>
      <c r="T122" s="731">
        <v>14.440000000000001</v>
      </c>
      <c r="U122" s="731">
        <v>-9999</v>
      </c>
      <c r="V122" s="731"/>
      <c r="W122" s="731"/>
      <c r="X122" s="731">
        <v>-9999</v>
      </c>
      <c r="Y122" s="731"/>
      <c r="Z122" s="320" t="s">
        <v>889</v>
      </c>
      <c r="AA122" s="320">
        <v>1600</v>
      </c>
      <c r="AB122" s="320">
        <v>0.81</v>
      </c>
      <c r="AC122" s="320">
        <v>2.9</v>
      </c>
      <c r="AD122" s="320">
        <v>630</v>
      </c>
      <c r="AE122" s="320" t="s">
        <v>1959</v>
      </c>
      <c r="AF122" s="320">
        <v>5</v>
      </c>
      <c r="AG122" s="320">
        <v>0</v>
      </c>
      <c r="AH122" s="320" t="s">
        <v>890</v>
      </c>
      <c r="AI122" s="320" t="s">
        <v>891</v>
      </c>
      <c r="AJ122" s="320" t="s">
        <v>892</v>
      </c>
      <c r="AK122" s="320" t="s">
        <v>893</v>
      </c>
      <c r="AL122" s="320" t="s">
        <v>828</v>
      </c>
      <c r="AN122" s="320" t="s">
        <v>631</v>
      </c>
      <c r="AO122" s="320">
        <v>-9999</v>
      </c>
      <c r="AP122" s="320">
        <v>-9999</v>
      </c>
      <c r="AQ122" s="320" t="s">
        <v>631</v>
      </c>
      <c r="AR122" s="730">
        <v>0</v>
      </c>
      <c r="AS122" s="320">
        <v>-9999</v>
      </c>
      <c r="AU122" s="730">
        <v>0</v>
      </c>
      <c r="AV122" s="320">
        <v>-9999</v>
      </c>
      <c r="AW122" s="320">
        <v>-9999</v>
      </c>
      <c r="AX122" s="730">
        <v>0</v>
      </c>
      <c r="AY122" s="320">
        <v>-9999</v>
      </c>
      <c r="AZ122" s="320">
        <v>-9999</v>
      </c>
      <c r="BA122" s="320">
        <v>-9999</v>
      </c>
      <c r="BB122" s="320" t="s">
        <v>631</v>
      </c>
      <c r="BC122" s="320">
        <v>-9999</v>
      </c>
      <c r="BD122" s="320">
        <v>-9999</v>
      </c>
      <c r="BE122" s="320">
        <v>-9999</v>
      </c>
      <c r="BF122" s="320">
        <v>-9999</v>
      </c>
      <c r="BG122" s="320">
        <v>-9999</v>
      </c>
      <c r="BH122" s="320">
        <v>-9999</v>
      </c>
      <c r="BI122" s="320" t="s">
        <v>894</v>
      </c>
      <c r="BJ122" s="320">
        <v>-9999</v>
      </c>
      <c r="BK122" s="320">
        <v>-9999</v>
      </c>
      <c r="BL122" s="320">
        <v>13.6</v>
      </c>
      <c r="BM122" s="320">
        <v>-9999</v>
      </c>
      <c r="BN122" s="320">
        <v>12.3</v>
      </c>
      <c r="BO122" s="320">
        <v>-9999</v>
      </c>
      <c r="BP122" s="320">
        <v>-9999</v>
      </c>
      <c r="BQ122" s="320">
        <v>-9999</v>
      </c>
      <c r="BR122" s="320">
        <v>-9999</v>
      </c>
      <c r="BS122" s="320">
        <v>949.44755999999984</v>
      </c>
      <c r="BT122" s="320">
        <v>66.459999999999994</v>
      </c>
      <c r="BU122" s="320">
        <v>-9999</v>
      </c>
      <c r="BV122" s="320">
        <v>-9999</v>
      </c>
      <c r="BX122" s="320">
        <v>-9999</v>
      </c>
      <c r="BY122" s="320">
        <v>-9999</v>
      </c>
      <c r="BZ122" s="320">
        <v>-9999</v>
      </c>
      <c r="CA122" s="320" t="s">
        <v>895</v>
      </c>
      <c r="CB122" s="320" t="s">
        <v>1573</v>
      </c>
      <c r="CC122" s="320">
        <v>1</v>
      </c>
      <c r="CD122" s="320">
        <v>2.5</v>
      </c>
      <c r="CE122" s="731">
        <v>14.440000000000001</v>
      </c>
      <c r="CF122" s="731"/>
      <c r="CG122" s="320">
        <v>2.5</v>
      </c>
      <c r="CH122" s="301" t="s">
        <v>2118</v>
      </c>
      <c r="CI122" s="301" t="s">
        <v>2126</v>
      </c>
      <c r="CJ122" s="320" t="s">
        <v>878</v>
      </c>
      <c r="CK122" s="257" t="s">
        <v>1269</v>
      </c>
      <c r="CL122" s="255" t="s">
        <v>1270</v>
      </c>
      <c r="CM122" s="413">
        <v>26.683</v>
      </c>
      <c r="CN122" s="413">
        <v>80.650000000000006</v>
      </c>
      <c r="CZ122" s="320">
        <v>4</v>
      </c>
      <c r="DA122" s="320">
        <v>7.0250000000000004</v>
      </c>
      <c r="DB122" s="320">
        <v>9.6000000000000014</v>
      </c>
    </row>
    <row r="123" spans="1:106" s="320" customFormat="1" x14ac:dyDescent="0.2">
      <c r="A123" s="320" t="s">
        <v>887</v>
      </c>
      <c r="B123" s="320" t="s">
        <v>159</v>
      </c>
      <c r="C123" s="320" t="s">
        <v>896</v>
      </c>
      <c r="D123" s="320" t="s">
        <v>317</v>
      </c>
      <c r="E123" s="320" t="s">
        <v>1497</v>
      </c>
      <c r="F123" s="320">
        <v>1</v>
      </c>
      <c r="G123" s="320">
        <v>1.5</v>
      </c>
      <c r="H123" s="320">
        <v>1.5</v>
      </c>
      <c r="I123" s="320" t="s">
        <v>807</v>
      </c>
      <c r="J123" s="320">
        <v>1980</v>
      </c>
      <c r="K123" s="320" t="s">
        <v>1001</v>
      </c>
      <c r="L123" s="320">
        <v>1981</v>
      </c>
      <c r="M123" s="731">
        <v>-9999</v>
      </c>
      <c r="N123" s="731">
        <v>-9999</v>
      </c>
      <c r="P123" s="731">
        <v>35.700000000000003</v>
      </c>
      <c r="Q123" s="731">
        <v>-9999</v>
      </c>
      <c r="R123" s="731"/>
      <c r="S123" s="731"/>
      <c r="T123" s="731">
        <v>23.8</v>
      </c>
      <c r="U123" s="731">
        <v>-9999</v>
      </c>
      <c r="V123" s="731"/>
      <c r="W123" s="731"/>
      <c r="X123" s="731">
        <v>-9999</v>
      </c>
      <c r="Y123" s="731"/>
      <c r="Z123" s="320" t="s">
        <v>793</v>
      </c>
      <c r="AA123" s="320">
        <v>10000</v>
      </c>
      <c r="AB123" s="320">
        <v>0.87</v>
      </c>
      <c r="AC123" s="320">
        <v>2.9</v>
      </c>
      <c r="AD123" s="320">
        <v>100</v>
      </c>
      <c r="AE123" s="320" t="s">
        <v>1959</v>
      </c>
      <c r="AF123" s="320">
        <v>5</v>
      </c>
      <c r="AG123" s="320">
        <v>0</v>
      </c>
      <c r="AH123" s="320" t="s">
        <v>890</v>
      </c>
      <c r="AI123" s="320" t="s">
        <v>891</v>
      </c>
      <c r="AJ123" s="320" t="s">
        <v>892</v>
      </c>
      <c r="AK123" s="320" t="s">
        <v>893</v>
      </c>
      <c r="AL123" s="320" t="s">
        <v>828</v>
      </c>
      <c r="AN123" s="320" t="s">
        <v>631</v>
      </c>
      <c r="AO123" s="320">
        <v>-9999</v>
      </c>
      <c r="AP123" s="320">
        <v>-9999</v>
      </c>
      <c r="AQ123" s="320" t="s">
        <v>631</v>
      </c>
      <c r="AR123" s="730">
        <v>0</v>
      </c>
      <c r="AS123" s="320">
        <v>-9999</v>
      </c>
      <c r="AU123" s="730">
        <v>0</v>
      </c>
      <c r="AV123" s="320">
        <v>-9999</v>
      </c>
      <c r="AW123" s="320">
        <v>-9999</v>
      </c>
      <c r="AX123" s="730">
        <v>0</v>
      </c>
      <c r="AY123" s="320">
        <v>-9999</v>
      </c>
      <c r="AZ123" s="320">
        <v>-9999</v>
      </c>
      <c r="BA123" s="320">
        <v>-9999</v>
      </c>
      <c r="BB123" s="320" t="s">
        <v>631</v>
      </c>
      <c r="BC123" s="320">
        <v>-9999</v>
      </c>
      <c r="BD123" s="320">
        <v>-9999</v>
      </c>
      <c r="BE123" s="320">
        <v>-9999</v>
      </c>
      <c r="BF123" s="320">
        <v>-9999</v>
      </c>
      <c r="BG123" s="320">
        <v>-9999</v>
      </c>
      <c r="BH123" s="320">
        <v>-9999</v>
      </c>
      <c r="BI123" s="320" t="s">
        <v>566</v>
      </c>
      <c r="BJ123" s="320">
        <v>-9999</v>
      </c>
      <c r="BK123" s="320">
        <v>-9999</v>
      </c>
      <c r="BL123" s="320">
        <v>11.2</v>
      </c>
      <c r="BM123" s="320">
        <v>-9999</v>
      </c>
      <c r="BN123" s="320">
        <v>6.5</v>
      </c>
      <c r="BO123" s="320">
        <v>-9999</v>
      </c>
      <c r="BP123" s="320">
        <v>-9999</v>
      </c>
      <c r="BQ123" s="320">
        <v>-9999</v>
      </c>
      <c r="BR123" s="320">
        <v>-9999</v>
      </c>
      <c r="BS123" s="320">
        <v>937.8759</v>
      </c>
      <c r="BT123" s="320">
        <v>65.650000000000006</v>
      </c>
      <c r="BU123" s="320">
        <v>-9999</v>
      </c>
      <c r="BV123" s="320">
        <v>-9999</v>
      </c>
      <c r="BX123" s="320">
        <v>-9999</v>
      </c>
      <c r="BY123" s="320">
        <v>-9999</v>
      </c>
      <c r="BZ123" s="320">
        <v>-9999</v>
      </c>
      <c r="CA123" s="320" t="s">
        <v>895</v>
      </c>
      <c r="CB123" s="320" t="s">
        <v>1573</v>
      </c>
      <c r="CC123" s="320">
        <v>1</v>
      </c>
      <c r="CD123" s="320">
        <v>1.5</v>
      </c>
      <c r="CE123" s="731">
        <v>23.8</v>
      </c>
      <c r="CF123" s="731"/>
      <c r="CG123" s="320">
        <v>1.5</v>
      </c>
      <c r="CH123" s="301" t="s">
        <v>2118</v>
      </c>
      <c r="CI123" s="301" t="s">
        <v>2126</v>
      </c>
      <c r="CJ123" s="320" t="s">
        <v>878</v>
      </c>
      <c r="CK123" s="257" t="s">
        <v>1269</v>
      </c>
      <c r="CL123" s="255" t="s">
        <v>1270</v>
      </c>
      <c r="CM123" s="413">
        <v>26.683</v>
      </c>
      <c r="CN123" s="413">
        <v>80.650000000000006</v>
      </c>
      <c r="CZ123" s="320">
        <v>2</v>
      </c>
      <c r="DA123" s="320">
        <v>10.75</v>
      </c>
      <c r="DB123" s="320">
        <v>16.8</v>
      </c>
    </row>
    <row r="124" spans="1:106" s="320" customFormat="1" x14ac:dyDescent="0.2">
      <c r="A124" s="320" t="s">
        <v>1333</v>
      </c>
      <c r="B124" s="320" t="s">
        <v>659</v>
      </c>
      <c r="C124" s="320" t="s">
        <v>664</v>
      </c>
      <c r="D124" s="320" t="s">
        <v>317</v>
      </c>
      <c r="E124" s="320" t="s">
        <v>1511</v>
      </c>
      <c r="F124" s="320">
        <v>1</v>
      </c>
      <c r="G124" s="320">
        <v>3.2</v>
      </c>
      <c r="H124" s="320">
        <v>3.2</v>
      </c>
      <c r="I124" s="320" t="s">
        <v>468</v>
      </c>
      <c r="J124" s="320">
        <v>2001</v>
      </c>
      <c r="K124" s="320" t="s">
        <v>672</v>
      </c>
      <c r="L124" s="320">
        <v>2004</v>
      </c>
      <c r="M124" s="731">
        <v>54.5</v>
      </c>
      <c r="N124" s="731">
        <v>-9999</v>
      </c>
      <c r="O124" s="320">
        <v>1.7</v>
      </c>
      <c r="P124" s="731">
        <v>92.649999999999991</v>
      </c>
      <c r="Q124" s="731">
        <v>-9999</v>
      </c>
      <c r="R124" s="731"/>
      <c r="S124" s="731"/>
      <c r="T124" s="731">
        <v>28.953124999999996</v>
      </c>
      <c r="U124" s="731">
        <v>-9999</v>
      </c>
      <c r="V124" s="731"/>
      <c r="W124" s="731">
        <v>64.089999999999989</v>
      </c>
      <c r="X124" s="731">
        <v>-9999</v>
      </c>
      <c r="Y124" s="731"/>
      <c r="Z124" s="320" t="s">
        <v>172</v>
      </c>
      <c r="AA124" s="320">
        <v>8400</v>
      </c>
      <c r="AB124" s="320">
        <v>0.88</v>
      </c>
      <c r="AC124" s="320">
        <v>0.15</v>
      </c>
      <c r="AD124" s="320">
        <v>225</v>
      </c>
      <c r="AE124" s="320" t="s">
        <v>280</v>
      </c>
      <c r="AF124" s="320">
        <v>-9999</v>
      </c>
      <c r="AG124" s="320">
        <v>-9999</v>
      </c>
      <c r="AH124" s="320" t="s">
        <v>857</v>
      </c>
      <c r="AI124" s="320">
        <v>-9999</v>
      </c>
      <c r="AJ124" s="320">
        <v>10</v>
      </c>
      <c r="AK124" s="320" t="s">
        <v>671</v>
      </c>
      <c r="AL124" s="320" t="s">
        <v>828</v>
      </c>
      <c r="AM124" s="320" t="s">
        <v>262</v>
      </c>
      <c r="AN124" s="320" t="s">
        <v>631</v>
      </c>
      <c r="AO124" s="320">
        <v>-9999</v>
      </c>
      <c r="AP124" s="320">
        <v>-9999</v>
      </c>
      <c r="AQ124" s="320" t="s">
        <v>631</v>
      </c>
      <c r="AR124" s="730">
        <v>0</v>
      </c>
      <c r="AS124" s="320">
        <v>-9999</v>
      </c>
      <c r="AU124" s="730">
        <v>0</v>
      </c>
      <c r="AV124" s="320">
        <v>-9999</v>
      </c>
      <c r="AW124" s="320">
        <v>-9999</v>
      </c>
      <c r="AX124" s="730">
        <v>0</v>
      </c>
      <c r="AY124" s="320">
        <v>-9999</v>
      </c>
      <c r="AZ124" s="320">
        <v>-9999</v>
      </c>
      <c r="BA124" s="320">
        <v>-9999</v>
      </c>
      <c r="BB124" s="320">
        <v>-9999</v>
      </c>
      <c r="BC124" s="320">
        <v>-9999</v>
      </c>
      <c r="BD124" s="320">
        <v>-9999</v>
      </c>
      <c r="BE124" s="320">
        <v>-9999</v>
      </c>
      <c r="BF124" s="320">
        <v>-9999</v>
      </c>
      <c r="BG124" s="320">
        <v>-9999</v>
      </c>
      <c r="BH124" s="320">
        <v>-9999</v>
      </c>
      <c r="BI124" s="320">
        <v>-9999</v>
      </c>
      <c r="BJ124" s="320">
        <v>-9999</v>
      </c>
      <c r="BK124" s="320">
        <v>-9999</v>
      </c>
      <c r="BL124" s="320">
        <v>-9999</v>
      </c>
      <c r="BM124" s="320">
        <v>-9999</v>
      </c>
      <c r="BN124" s="320">
        <v>-9999</v>
      </c>
      <c r="BO124" s="320">
        <v>-9999</v>
      </c>
      <c r="BP124" s="320">
        <v>-9999</v>
      </c>
      <c r="BQ124" s="320">
        <v>-9999</v>
      </c>
      <c r="BR124" s="320">
        <v>-9999</v>
      </c>
      <c r="BS124" s="320">
        <v>-9999</v>
      </c>
      <c r="BT124" s="320">
        <v>-9999</v>
      </c>
      <c r="BU124" s="320">
        <v>-9999</v>
      </c>
      <c r="BV124" s="320">
        <v>-9999</v>
      </c>
      <c r="BX124" s="320">
        <v>-9999</v>
      </c>
      <c r="BY124" s="320">
        <v>-9999</v>
      </c>
      <c r="BZ124" s="320">
        <v>-9999</v>
      </c>
      <c r="CA124" s="320">
        <v>-9999</v>
      </c>
      <c r="CC124" s="320">
        <v>1</v>
      </c>
      <c r="CD124" s="320">
        <v>3.2</v>
      </c>
      <c r="CE124" s="731">
        <v>28.953124999999996</v>
      </c>
      <c r="CF124" s="731">
        <v>64.089999999999989</v>
      </c>
      <c r="CG124" s="320">
        <v>3.2</v>
      </c>
      <c r="CH124" s="301" t="s">
        <v>2118</v>
      </c>
      <c r="CI124" s="301" t="s">
        <v>2126</v>
      </c>
      <c r="CJ124" s="320" t="s">
        <v>878</v>
      </c>
      <c r="CK124" s="257" t="s">
        <v>1277</v>
      </c>
      <c r="CL124" s="257" t="s">
        <v>1278</v>
      </c>
      <c r="CM124" s="413">
        <v>28</v>
      </c>
      <c r="CN124" s="413">
        <v>81.867000000000004</v>
      </c>
    </row>
    <row r="125" spans="1:106" s="320" customFormat="1" x14ac:dyDescent="0.2">
      <c r="A125" s="320" t="s">
        <v>1333</v>
      </c>
      <c r="B125" s="320" t="s">
        <v>659</v>
      </c>
      <c r="C125" s="320" t="s">
        <v>664</v>
      </c>
      <c r="D125" s="320" t="s">
        <v>317</v>
      </c>
      <c r="E125" s="320" t="s">
        <v>1512</v>
      </c>
      <c r="F125" s="320">
        <v>1</v>
      </c>
      <c r="G125" s="320">
        <v>3.2</v>
      </c>
      <c r="H125" s="320">
        <v>3.2</v>
      </c>
      <c r="I125" s="320" t="s">
        <v>468</v>
      </c>
      <c r="J125" s="320">
        <v>2001</v>
      </c>
      <c r="K125" s="320" t="s">
        <v>672</v>
      </c>
      <c r="L125" s="320">
        <v>2004</v>
      </c>
      <c r="M125" s="731">
        <v>42.9</v>
      </c>
      <c r="N125" s="731">
        <v>-9999</v>
      </c>
      <c r="O125" s="320">
        <v>1.7</v>
      </c>
      <c r="P125" s="731">
        <v>72.929999999999993</v>
      </c>
      <c r="Q125" s="731">
        <v>-9999</v>
      </c>
      <c r="R125" s="731"/>
      <c r="S125" s="731"/>
      <c r="T125" s="731">
        <v>22.790624999999995</v>
      </c>
      <c r="U125" s="731">
        <v>-9999</v>
      </c>
      <c r="V125" s="731"/>
      <c r="W125" s="731">
        <v>45.389999999999986</v>
      </c>
      <c r="X125" s="731">
        <v>-9999</v>
      </c>
      <c r="Y125" s="731"/>
      <c r="Z125" s="320" t="s">
        <v>172</v>
      </c>
      <c r="AA125" s="320">
        <v>8400</v>
      </c>
      <c r="AB125" s="320">
        <v>0.7</v>
      </c>
      <c r="AC125" s="320">
        <v>0.15</v>
      </c>
      <c r="AD125" s="320">
        <v>225</v>
      </c>
      <c r="AE125" s="320" t="s">
        <v>280</v>
      </c>
      <c r="AF125" s="320">
        <v>-9999</v>
      </c>
      <c r="AG125" s="320">
        <v>-9999</v>
      </c>
      <c r="AH125" s="320" t="s">
        <v>857</v>
      </c>
      <c r="AI125" s="320">
        <v>-9999</v>
      </c>
      <c r="AJ125" s="320">
        <v>10</v>
      </c>
      <c r="AK125" s="320" t="s">
        <v>671</v>
      </c>
      <c r="AL125" s="320" t="s">
        <v>828</v>
      </c>
      <c r="AM125" s="320" t="s">
        <v>262</v>
      </c>
      <c r="AN125" s="320" t="s">
        <v>631</v>
      </c>
      <c r="AO125" s="320">
        <v>-9999</v>
      </c>
      <c r="AP125" s="320">
        <v>-9999</v>
      </c>
      <c r="AQ125" s="320" t="s">
        <v>631</v>
      </c>
      <c r="AR125" s="730">
        <v>0</v>
      </c>
      <c r="AS125" s="320">
        <v>-9999</v>
      </c>
      <c r="AU125" s="730">
        <v>0</v>
      </c>
      <c r="AV125" s="320">
        <v>-9999</v>
      </c>
      <c r="AW125" s="320">
        <v>-9999</v>
      </c>
      <c r="AX125" s="730">
        <v>0</v>
      </c>
      <c r="AY125" s="320">
        <v>-9999</v>
      </c>
      <c r="AZ125" s="320">
        <v>-9999</v>
      </c>
      <c r="BA125" s="320">
        <v>-9999</v>
      </c>
      <c r="BB125" s="320">
        <v>-9999</v>
      </c>
      <c r="BC125" s="320">
        <v>-9999</v>
      </c>
      <c r="BD125" s="320">
        <v>-9999</v>
      </c>
      <c r="BE125" s="320">
        <v>-9999</v>
      </c>
      <c r="BF125" s="320">
        <v>-9999</v>
      </c>
      <c r="BG125" s="320">
        <v>-9999</v>
      </c>
      <c r="BH125" s="320">
        <v>-9999</v>
      </c>
      <c r="BI125" s="320">
        <v>-9999</v>
      </c>
      <c r="BJ125" s="320">
        <v>-9999</v>
      </c>
      <c r="BK125" s="320">
        <v>-9999</v>
      </c>
      <c r="BL125" s="320">
        <v>-9999</v>
      </c>
      <c r="BM125" s="320">
        <v>-9999</v>
      </c>
      <c r="BN125" s="320">
        <v>-9999</v>
      </c>
      <c r="BO125" s="320">
        <v>-9999</v>
      </c>
      <c r="BP125" s="320">
        <v>-9999</v>
      </c>
      <c r="BQ125" s="320">
        <v>-9999</v>
      </c>
      <c r="BR125" s="320">
        <v>-9999</v>
      </c>
      <c r="BS125" s="320">
        <v>-9999</v>
      </c>
      <c r="BT125" s="320">
        <v>-9999</v>
      </c>
      <c r="BU125" s="320">
        <v>-9999</v>
      </c>
      <c r="BV125" s="320">
        <v>-9999</v>
      </c>
      <c r="BX125" s="320">
        <v>-9999</v>
      </c>
      <c r="BY125" s="320">
        <v>-9999</v>
      </c>
      <c r="BZ125" s="320">
        <v>-9999</v>
      </c>
      <c r="CA125" s="320">
        <v>-9999</v>
      </c>
      <c r="CC125" s="320">
        <v>1</v>
      </c>
      <c r="CD125" s="320">
        <v>3.2</v>
      </c>
      <c r="CE125" s="731">
        <v>22.790624999999995</v>
      </c>
      <c r="CF125" s="731">
        <v>45.389999999999986</v>
      </c>
      <c r="CG125" s="320">
        <v>3.2</v>
      </c>
      <c r="CH125" s="301" t="s">
        <v>2118</v>
      </c>
      <c r="CI125" s="301" t="s">
        <v>2126</v>
      </c>
      <c r="CJ125" s="320" t="s">
        <v>878</v>
      </c>
      <c r="CK125" s="257" t="s">
        <v>1277</v>
      </c>
      <c r="CL125" s="257" t="s">
        <v>1278</v>
      </c>
      <c r="CM125" s="413">
        <v>28</v>
      </c>
      <c r="CN125" s="413">
        <v>81.867000000000004</v>
      </c>
    </row>
    <row r="126" spans="1:106" s="320" customFormat="1" x14ac:dyDescent="0.2">
      <c r="A126" s="320" t="s">
        <v>1333</v>
      </c>
      <c r="B126" s="320" t="s">
        <v>659</v>
      </c>
      <c r="C126" s="320" t="s">
        <v>660</v>
      </c>
      <c r="D126" s="320" t="s">
        <v>317</v>
      </c>
      <c r="E126" s="320" t="s">
        <v>1513</v>
      </c>
      <c r="F126" s="320">
        <v>1</v>
      </c>
      <c r="G126" s="320">
        <v>3.2</v>
      </c>
      <c r="H126" s="320">
        <v>3.2</v>
      </c>
      <c r="I126" s="320" t="s">
        <v>468</v>
      </c>
      <c r="J126" s="320">
        <v>2001</v>
      </c>
      <c r="K126" s="320" t="s">
        <v>672</v>
      </c>
      <c r="L126" s="320">
        <v>2004</v>
      </c>
      <c r="M126" s="731">
        <v>59.4</v>
      </c>
      <c r="N126" s="731">
        <v>-9999</v>
      </c>
      <c r="O126" s="320">
        <v>1.7</v>
      </c>
      <c r="P126" s="731">
        <v>100.97999999999999</v>
      </c>
      <c r="Q126" s="731">
        <v>-9999</v>
      </c>
      <c r="R126" s="731"/>
      <c r="S126" s="731"/>
      <c r="T126" s="731">
        <v>31.556249999999995</v>
      </c>
      <c r="U126" s="731">
        <v>-9999</v>
      </c>
      <c r="V126" s="731"/>
      <c r="W126" s="731">
        <v>64.089999999999989</v>
      </c>
      <c r="X126" s="731">
        <v>-9999</v>
      </c>
      <c r="Y126" s="731"/>
      <c r="Z126" s="320" t="s">
        <v>172</v>
      </c>
      <c r="AA126" s="320">
        <v>8400</v>
      </c>
      <c r="AB126" s="320">
        <v>0.89</v>
      </c>
      <c r="AC126" s="320">
        <v>0.15</v>
      </c>
      <c r="AD126" s="320">
        <v>225</v>
      </c>
      <c r="AE126" s="320" t="s">
        <v>280</v>
      </c>
      <c r="AF126" s="320">
        <v>-9999</v>
      </c>
      <c r="AG126" s="320">
        <v>-9999</v>
      </c>
      <c r="AH126" s="320" t="s">
        <v>857</v>
      </c>
      <c r="AI126" s="320">
        <v>-9999</v>
      </c>
      <c r="AJ126" s="320">
        <v>10</v>
      </c>
      <c r="AK126" s="320" t="s">
        <v>671</v>
      </c>
      <c r="AL126" s="320" t="s">
        <v>828</v>
      </c>
      <c r="AM126" s="320" t="s">
        <v>262</v>
      </c>
      <c r="AN126" s="320" t="s">
        <v>631</v>
      </c>
      <c r="AO126" s="320">
        <v>-9999</v>
      </c>
      <c r="AP126" s="320">
        <v>-9999</v>
      </c>
      <c r="AQ126" s="320" t="s">
        <v>626</v>
      </c>
      <c r="AR126" s="730">
        <v>52.5</v>
      </c>
      <c r="AS126" s="320" t="s">
        <v>161</v>
      </c>
      <c r="AT126" s="320" t="s">
        <v>160</v>
      </c>
      <c r="AU126" s="730">
        <v>0</v>
      </c>
      <c r="AV126" s="320">
        <v>-9999</v>
      </c>
      <c r="AW126" s="320">
        <v>-9999</v>
      </c>
      <c r="AX126" s="730">
        <v>0</v>
      </c>
      <c r="AY126" s="320">
        <v>-9999</v>
      </c>
      <c r="AZ126" s="320">
        <v>-9999</v>
      </c>
      <c r="BA126" s="320">
        <v>-9999</v>
      </c>
      <c r="BB126" s="320">
        <v>-9999</v>
      </c>
      <c r="BC126" s="320">
        <v>-9999</v>
      </c>
      <c r="BD126" s="320">
        <v>-9999</v>
      </c>
      <c r="BE126" s="320">
        <v>-9999</v>
      </c>
      <c r="BF126" s="320">
        <v>-9999</v>
      </c>
      <c r="BG126" s="320">
        <v>-9999</v>
      </c>
      <c r="BH126" s="320">
        <v>-9999</v>
      </c>
      <c r="BI126" s="320">
        <v>-9999</v>
      </c>
      <c r="BJ126" s="320">
        <v>-9999</v>
      </c>
      <c r="BK126" s="320">
        <v>-9999</v>
      </c>
      <c r="BL126" s="320">
        <v>-9999</v>
      </c>
      <c r="BM126" s="320">
        <v>-9999</v>
      </c>
      <c r="BN126" s="320">
        <v>-9999</v>
      </c>
      <c r="BO126" s="320">
        <v>-9999</v>
      </c>
      <c r="BP126" s="320">
        <v>-9999</v>
      </c>
      <c r="BQ126" s="320">
        <v>-9999</v>
      </c>
      <c r="BR126" s="320">
        <v>-9999</v>
      </c>
      <c r="BS126" s="320">
        <v>-9999</v>
      </c>
      <c r="BT126" s="320">
        <v>-9999</v>
      </c>
      <c r="BU126" s="320">
        <v>-9999</v>
      </c>
      <c r="BV126" s="320">
        <v>-9999</v>
      </c>
      <c r="BX126" s="320">
        <v>-9999</v>
      </c>
      <c r="BY126" s="320">
        <v>-9999</v>
      </c>
      <c r="BZ126" s="320">
        <v>-9999</v>
      </c>
      <c r="CA126" s="320">
        <v>-9999</v>
      </c>
      <c r="CC126" s="320">
        <v>1</v>
      </c>
      <c r="CD126" s="320">
        <v>3.2</v>
      </c>
      <c r="CE126" s="731">
        <v>31.556249999999995</v>
      </c>
      <c r="CF126" s="731">
        <v>64.089999999999989</v>
      </c>
      <c r="CG126" s="320">
        <v>3.2</v>
      </c>
      <c r="CH126" s="301" t="s">
        <v>2118</v>
      </c>
      <c r="CI126" s="301" t="s">
        <v>2126</v>
      </c>
      <c r="CJ126" s="320" t="s">
        <v>878</v>
      </c>
      <c r="CK126" s="257" t="s">
        <v>1277</v>
      </c>
      <c r="CL126" s="257" t="s">
        <v>1278</v>
      </c>
      <c r="CM126" s="413">
        <v>28</v>
      </c>
      <c r="CN126" s="413">
        <v>81.867000000000004</v>
      </c>
    </row>
    <row r="127" spans="1:106" s="320" customFormat="1" x14ac:dyDescent="0.2">
      <c r="A127" s="320" t="s">
        <v>1333</v>
      </c>
      <c r="B127" s="320" t="s">
        <v>659</v>
      </c>
      <c r="C127" s="320" t="s">
        <v>660</v>
      </c>
      <c r="D127" s="320" t="s">
        <v>317</v>
      </c>
      <c r="E127" s="320" t="s">
        <v>1514</v>
      </c>
      <c r="F127" s="320">
        <v>1</v>
      </c>
      <c r="G127" s="320">
        <v>3.2</v>
      </c>
      <c r="H127" s="320">
        <v>3.2</v>
      </c>
      <c r="I127" s="320" t="s">
        <v>468</v>
      </c>
      <c r="J127" s="320">
        <v>2001</v>
      </c>
      <c r="K127" s="320" t="s">
        <v>672</v>
      </c>
      <c r="L127" s="320">
        <v>2004</v>
      </c>
      <c r="M127" s="731">
        <v>53.7</v>
      </c>
      <c r="N127" s="731">
        <v>-9999</v>
      </c>
      <c r="O127" s="320">
        <v>1.7</v>
      </c>
      <c r="P127" s="731">
        <v>91.29</v>
      </c>
      <c r="Q127" s="731">
        <v>-9999</v>
      </c>
      <c r="R127" s="731"/>
      <c r="S127" s="731"/>
      <c r="T127" s="731">
        <v>28.528124999999999</v>
      </c>
      <c r="U127" s="731">
        <v>-9999</v>
      </c>
      <c r="V127" s="731"/>
      <c r="W127" s="731">
        <v>64.089999999999989</v>
      </c>
      <c r="X127" s="731">
        <v>-9999</v>
      </c>
      <c r="Y127" s="731"/>
      <c r="Z127" s="320" t="s">
        <v>172</v>
      </c>
      <c r="AA127" s="320">
        <v>8400</v>
      </c>
      <c r="AB127" s="320">
        <v>0.56000000000000005</v>
      </c>
      <c r="AC127" s="320">
        <v>0.15</v>
      </c>
      <c r="AD127" s="320">
        <v>225</v>
      </c>
      <c r="AE127" s="320" t="s">
        <v>280</v>
      </c>
      <c r="AF127" s="320">
        <v>-9999</v>
      </c>
      <c r="AG127" s="320">
        <v>-9999</v>
      </c>
      <c r="AH127" s="320" t="s">
        <v>857</v>
      </c>
      <c r="AI127" s="320">
        <v>-9999</v>
      </c>
      <c r="AJ127" s="320">
        <v>10</v>
      </c>
      <c r="AK127" s="320" t="s">
        <v>671</v>
      </c>
      <c r="AL127" s="320" t="s">
        <v>828</v>
      </c>
      <c r="AM127" s="320" t="s">
        <v>262</v>
      </c>
      <c r="AN127" s="320" t="s">
        <v>631</v>
      </c>
      <c r="AO127" s="320">
        <v>-9999</v>
      </c>
      <c r="AP127" s="320">
        <v>-9999</v>
      </c>
      <c r="AQ127" s="320" t="s">
        <v>626</v>
      </c>
      <c r="AR127" s="730">
        <v>52.5</v>
      </c>
      <c r="AS127" s="320" t="s">
        <v>161</v>
      </c>
      <c r="AT127" s="320" t="s">
        <v>160</v>
      </c>
      <c r="AU127" s="730">
        <v>0</v>
      </c>
      <c r="AV127" s="320">
        <v>-9999</v>
      </c>
      <c r="AW127" s="320">
        <v>-9999</v>
      </c>
      <c r="AX127" s="730">
        <v>0</v>
      </c>
      <c r="AY127" s="320">
        <v>-9999</v>
      </c>
      <c r="AZ127" s="320">
        <v>-9999</v>
      </c>
      <c r="BA127" s="320">
        <v>-9999</v>
      </c>
      <c r="BB127" s="320">
        <v>-9999</v>
      </c>
      <c r="BC127" s="320">
        <v>-9999</v>
      </c>
      <c r="BD127" s="320">
        <v>-9999</v>
      </c>
      <c r="BE127" s="320">
        <v>-9999</v>
      </c>
      <c r="BF127" s="320">
        <v>-9999</v>
      </c>
      <c r="BG127" s="320">
        <v>-9999</v>
      </c>
      <c r="BH127" s="320">
        <v>-9999</v>
      </c>
      <c r="BI127" s="320">
        <v>-9999</v>
      </c>
      <c r="BJ127" s="320">
        <v>-9999</v>
      </c>
      <c r="BK127" s="320">
        <v>-9999</v>
      </c>
      <c r="BL127" s="320">
        <v>-9999</v>
      </c>
      <c r="BM127" s="320">
        <v>-9999</v>
      </c>
      <c r="BN127" s="320">
        <v>-9999</v>
      </c>
      <c r="BO127" s="320">
        <v>-9999</v>
      </c>
      <c r="BP127" s="320">
        <v>-9999</v>
      </c>
      <c r="BQ127" s="320">
        <v>-9999</v>
      </c>
      <c r="BR127" s="320">
        <v>-9999</v>
      </c>
      <c r="BS127" s="320">
        <v>-9999</v>
      </c>
      <c r="BT127" s="320">
        <v>-9999</v>
      </c>
      <c r="BU127" s="320">
        <v>-9999</v>
      </c>
      <c r="BV127" s="320">
        <v>-9999</v>
      </c>
      <c r="BX127" s="320">
        <v>-9999</v>
      </c>
      <c r="BY127" s="320">
        <v>-9999</v>
      </c>
      <c r="BZ127" s="320">
        <v>-9999</v>
      </c>
      <c r="CA127" s="320">
        <v>-9999</v>
      </c>
      <c r="CC127" s="320">
        <v>1</v>
      </c>
      <c r="CD127" s="320">
        <v>3.2</v>
      </c>
      <c r="CE127" s="731">
        <v>28.528124999999999</v>
      </c>
      <c r="CF127" s="731">
        <v>64.089999999999989</v>
      </c>
      <c r="CG127" s="320">
        <v>3.2</v>
      </c>
      <c r="CH127" s="301" t="s">
        <v>2118</v>
      </c>
      <c r="CI127" s="301" t="s">
        <v>2126</v>
      </c>
      <c r="CJ127" s="320" t="s">
        <v>878</v>
      </c>
      <c r="CK127" s="257" t="s">
        <v>1277</v>
      </c>
      <c r="CL127" s="257" t="s">
        <v>1278</v>
      </c>
      <c r="CM127" s="413">
        <v>28</v>
      </c>
      <c r="CN127" s="413">
        <v>81.867000000000004</v>
      </c>
    </row>
    <row r="128" spans="1:106" s="320" customFormat="1" x14ac:dyDescent="0.2">
      <c r="A128" s="320" t="s">
        <v>897</v>
      </c>
      <c r="C128" s="320" t="s">
        <v>127</v>
      </c>
      <c r="M128" s="731"/>
      <c r="N128" s="731"/>
      <c r="P128" s="731"/>
      <c r="Q128" s="731"/>
      <c r="R128" s="731"/>
      <c r="S128" s="731"/>
      <c r="T128" s="731"/>
      <c r="U128" s="731"/>
      <c r="V128" s="731"/>
      <c r="W128" s="731"/>
      <c r="X128" s="731"/>
      <c r="Y128" s="731"/>
      <c r="AR128" s="730"/>
      <c r="AU128" s="730"/>
      <c r="AX128" s="730"/>
      <c r="CE128" s="731"/>
      <c r="CF128" s="731"/>
      <c r="CH128" s="322"/>
    </row>
    <row r="129" spans="1:92" s="320" customFormat="1" x14ac:dyDescent="0.2">
      <c r="A129" s="320" t="s">
        <v>898</v>
      </c>
      <c r="B129" s="320" t="s">
        <v>899</v>
      </c>
      <c r="C129" s="320" t="s">
        <v>900</v>
      </c>
      <c r="D129" s="320" t="s">
        <v>553</v>
      </c>
      <c r="E129" s="320" t="s">
        <v>901</v>
      </c>
      <c r="F129" s="320">
        <v>1</v>
      </c>
      <c r="G129" s="320">
        <v>5</v>
      </c>
      <c r="H129" s="320">
        <v>5</v>
      </c>
      <c r="I129" s="320" t="s">
        <v>856</v>
      </c>
      <c r="J129" s="320">
        <v>2000</v>
      </c>
      <c r="K129" s="320" t="s">
        <v>856</v>
      </c>
      <c r="L129" s="320">
        <v>2005</v>
      </c>
      <c r="M129" s="731">
        <v>-9999</v>
      </c>
      <c r="N129" s="731">
        <v>-9999</v>
      </c>
      <c r="P129" s="731">
        <v>69.237799999999993</v>
      </c>
      <c r="Q129" s="731">
        <v>-9999</v>
      </c>
      <c r="R129" s="731"/>
      <c r="S129" s="731"/>
      <c r="T129" s="731">
        <v>13.847559999999998</v>
      </c>
      <c r="U129" s="731">
        <v>-9999</v>
      </c>
      <c r="V129" s="731"/>
      <c r="W129" s="731">
        <v>-9999</v>
      </c>
      <c r="X129" s="731">
        <v>-9999</v>
      </c>
      <c r="Y129" s="731"/>
      <c r="Z129" s="320" t="s">
        <v>902</v>
      </c>
      <c r="AA129" s="320">
        <v>2990</v>
      </c>
      <c r="AB129" s="320">
        <v>0.92</v>
      </c>
      <c r="AC129" s="320">
        <v>-9999</v>
      </c>
      <c r="AD129" s="320">
        <v>429.4</v>
      </c>
      <c r="AE129" s="320" t="s">
        <v>1950</v>
      </c>
      <c r="AF129" s="320">
        <v>8</v>
      </c>
      <c r="AG129" s="320">
        <v>2</v>
      </c>
      <c r="AH129" s="320" t="s">
        <v>809</v>
      </c>
      <c r="AI129" s="320">
        <v>-9999</v>
      </c>
      <c r="AJ129" s="320">
        <v>-9999</v>
      </c>
      <c r="AK129" s="320" t="s">
        <v>172</v>
      </c>
      <c r="AL129" s="320" t="s">
        <v>828</v>
      </c>
      <c r="AM129" s="320" t="s">
        <v>871</v>
      </c>
      <c r="AN129" s="320" t="s">
        <v>631</v>
      </c>
      <c r="AO129" s="320">
        <v>-9999</v>
      </c>
      <c r="AP129" s="320">
        <v>-9999</v>
      </c>
      <c r="AQ129" s="320" t="s">
        <v>626</v>
      </c>
      <c r="AR129" s="730">
        <v>370</v>
      </c>
      <c r="AS129" s="320" t="s">
        <v>1498</v>
      </c>
      <c r="AT129" s="320" t="s">
        <v>766</v>
      </c>
      <c r="AU129" s="730">
        <v>128.44565217391306</v>
      </c>
      <c r="AV129" s="320" t="s">
        <v>1498</v>
      </c>
      <c r="AW129" s="320" t="s">
        <v>766</v>
      </c>
      <c r="AX129" s="730">
        <v>120.78</v>
      </c>
      <c r="AY129" s="320" t="s">
        <v>1498</v>
      </c>
      <c r="AZ129" s="320" t="s">
        <v>766</v>
      </c>
      <c r="BA129" s="320" t="s">
        <v>767</v>
      </c>
      <c r="BB129" s="320" t="s">
        <v>626</v>
      </c>
      <c r="BC129" s="320" t="s">
        <v>906</v>
      </c>
      <c r="BD129" s="320" t="s">
        <v>907</v>
      </c>
      <c r="BE129" s="320" t="s">
        <v>908</v>
      </c>
      <c r="BF129" s="320" t="s">
        <v>909</v>
      </c>
      <c r="BG129" s="320" t="s">
        <v>910</v>
      </c>
      <c r="BH129" s="320" t="s">
        <v>911</v>
      </c>
      <c r="BI129" s="320" t="s">
        <v>912</v>
      </c>
      <c r="BJ129" s="320">
        <v>-9999</v>
      </c>
      <c r="BK129" s="320">
        <v>-9999</v>
      </c>
      <c r="BL129" s="320">
        <v>-9999</v>
      </c>
      <c r="BM129" s="320">
        <v>-9999</v>
      </c>
      <c r="BN129" s="320">
        <v>-9999</v>
      </c>
      <c r="BO129" s="320">
        <v>-9999</v>
      </c>
      <c r="BP129" s="320">
        <v>-9999</v>
      </c>
      <c r="BQ129" s="320">
        <v>-9999</v>
      </c>
      <c r="BR129" s="320">
        <v>-9999</v>
      </c>
      <c r="BS129" s="320">
        <v>-9999</v>
      </c>
      <c r="BT129" s="320" t="s">
        <v>1130</v>
      </c>
      <c r="BU129" s="320">
        <v>-9999</v>
      </c>
      <c r="BV129" s="320">
        <v>-9999</v>
      </c>
      <c r="BX129" s="320">
        <v>-9999</v>
      </c>
      <c r="BY129" s="320">
        <v>-9999</v>
      </c>
      <c r="BZ129" s="320">
        <v>-9999</v>
      </c>
      <c r="CA129" s="320" t="s">
        <v>974</v>
      </c>
      <c r="CB129" s="320" t="s">
        <v>1687</v>
      </c>
      <c r="CC129" s="320">
        <v>1</v>
      </c>
      <c r="CD129" s="320">
        <v>5</v>
      </c>
      <c r="CE129" s="731">
        <v>13.847559999999998</v>
      </c>
      <c r="CF129" s="731">
        <v>-9999</v>
      </c>
      <c r="CG129" s="320">
        <v>5</v>
      </c>
      <c r="CH129" s="301" t="s">
        <v>2119</v>
      </c>
      <c r="CI129" s="320" t="s">
        <v>2125</v>
      </c>
      <c r="CJ129" s="320" t="s">
        <v>878</v>
      </c>
      <c r="CK129" s="95" t="s">
        <v>420</v>
      </c>
      <c r="CL129" s="43" t="s">
        <v>1302</v>
      </c>
      <c r="CM129" s="271">
        <v>31.216000000000001</v>
      </c>
      <c r="CN129" s="271">
        <v>81.75</v>
      </c>
    </row>
    <row r="130" spans="1:92" s="320" customFormat="1" x14ac:dyDescent="0.2">
      <c r="A130" s="320" t="s">
        <v>898</v>
      </c>
      <c r="B130" s="320" t="s">
        <v>899</v>
      </c>
      <c r="C130" s="320" t="s">
        <v>913</v>
      </c>
      <c r="D130" s="320" t="s">
        <v>553</v>
      </c>
      <c r="E130" s="320" t="s">
        <v>901</v>
      </c>
      <c r="F130" s="320">
        <v>1</v>
      </c>
      <c r="G130" s="320">
        <v>5</v>
      </c>
      <c r="H130" s="320">
        <v>5</v>
      </c>
      <c r="I130" s="320" t="s">
        <v>856</v>
      </c>
      <c r="J130" s="320">
        <v>2000</v>
      </c>
      <c r="K130" s="320" t="s">
        <v>856</v>
      </c>
      <c r="L130" s="320">
        <v>2005</v>
      </c>
      <c r="M130" s="731">
        <v>-9999</v>
      </c>
      <c r="N130" s="731">
        <v>-9999</v>
      </c>
      <c r="P130" s="731">
        <v>57.425400000000003</v>
      </c>
      <c r="Q130" s="731">
        <v>-9999</v>
      </c>
      <c r="R130" s="731"/>
      <c r="S130" s="731"/>
      <c r="T130" s="731">
        <v>11.48508</v>
      </c>
      <c r="U130" s="731">
        <v>-9999</v>
      </c>
      <c r="V130" s="731"/>
      <c r="W130" s="731">
        <v>-9999</v>
      </c>
      <c r="X130" s="731">
        <v>-9999</v>
      </c>
      <c r="Y130" s="731"/>
      <c r="Z130" s="320" t="s">
        <v>902</v>
      </c>
      <c r="AA130" s="320">
        <v>2990</v>
      </c>
      <c r="AB130" s="320">
        <v>0.93</v>
      </c>
      <c r="AC130" s="320">
        <v>-9999</v>
      </c>
      <c r="AD130" s="320">
        <v>429.4</v>
      </c>
      <c r="AE130" s="320" t="s">
        <v>1950</v>
      </c>
      <c r="AF130" s="320">
        <v>8</v>
      </c>
      <c r="AG130" s="320">
        <v>2</v>
      </c>
      <c r="AH130" s="320" t="s">
        <v>809</v>
      </c>
      <c r="AI130" s="320">
        <v>-9999</v>
      </c>
      <c r="AJ130" s="320">
        <v>-9999</v>
      </c>
      <c r="AK130" s="320" t="s">
        <v>172</v>
      </c>
      <c r="AL130" s="320" t="s">
        <v>828</v>
      </c>
      <c r="AM130" s="320" t="s">
        <v>871</v>
      </c>
      <c r="AN130" s="320" t="s">
        <v>631</v>
      </c>
      <c r="AO130" s="320">
        <v>-9999</v>
      </c>
      <c r="AP130" s="320">
        <v>-9999</v>
      </c>
      <c r="AQ130" s="320" t="s">
        <v>626</v>
      </c>
      <c r="AR130" s="730">
        <v>50</v>
      </c>
      <c r="AS130" s="320" t="s">
        <v>765</v>
      </c>
      <c r="AT130" s="320" t="s">
        <v>905</v>
      </c>
      <c r="AU130" s="730">
        <v>56</v>
      </c>
      <c r="AV130" s="320" t="s">
        <v>765</v>
      </c>
      <c r="AW130" s="320" t="s">
        <v>905</v>
      </c>
      <c r="AX130" s="730">
        <v>0</v>
      </c>
      <c r="AY130" s="320">
        <v>-9999</v>
      </c>
      <c r="AZ130" s="320">
        <v>-9999</v>
      </c>
      <c r="BB130" s="320" t="s">
        <v>626</v>
      </c>
      <c r="BC130" s="320" t="s">
        <v>906</v>
      </c>
      <c r="BD130" s="320" t="s">
        <v>907</v>
      </c>
      <c r="BE130" s="320" t="s">
        <v>908</v>
      </c>
      <c r="BF130" s="320">
        <v>-9999</v>
      </c>
      <c r="BG130" s="320">
        <v>-9999</v>
      </c>
      <c r="BH130" s="320">
        <v>-9999</v>
      </c>
      <c r="BI130" s="320" t="s">
        <v>968</v>
      </c>
      <c r="BJ130" s="320">
        <v>-9999</v>
      </c>
      <c r="BK130" s="320">
        <v>-9999</v>
      </c>
      <c r="BL130" s="320">
        <v>-9999</v>
      </c>
      <c r="BM130" s="320">
        <v>-9999</v>
      </c>
      <c r="BN130" s="320">
        <v>-9999</v>
      </c>
      <c r="BO130" s="320">
        <v>-9999</v>
      </c>
      <c r="BP130" s="320">
        <v>-9999</v>
      </c>
      <c r="BQ130" s="320">
        <v>-9999</v>
      </c>
      <c r="BR130" s="320">
        <v>-9999</v>
      </c>
      <c r="BS130" s="320">
        <v>-9999</v>
      </c>
      <c r="BT130" s="320" t="s">
        <v>1130</v>
      </c>
      <c r="BU130" s="320">
        <v>-9999</v>
      </c>
      <c r="BV130" s="320">
        <v>-9999</v>
      </c>
      <c r="BX130" s="320">
        <v>-9999</v>
      </c>
      <c r="BY130" s="320">
        <v>-9999</v>
      </c>
      <c r="BZ130" s="320">
        <v>-9999</v>
      </c>
      <c r="CA130" s="320" t="s">
        <v>974</v>
      </c>
      <c r="CB130" s="320" t="s">
        <v>1687</v>
      </c>
      <c r="CC130" s="320">
        <v>1</v>
      </c>
      <c r="CD130" s="320">
        <v>5</v>
      </c>
      <c r="CE130" s="731">
        <v>11.48508</v>
      </c>
      <c r="CF130" s="731">
        <v>-9999</v>
      </c>
      <c r="CG130" s="320">
        <v>5</v>
      </c>
      <c r="CH130" s="301" t="s">
        <v>2119</v>
      </c>
      <c r="CI130" s="320" t="s">
        <v>2125</v>
      </c>
      <c r="CK130" s="95" t="s">
        <v>420</v>
      </c>
      <c r="CL130" s="43" t="s">
        <v>1302</v>
      </c>
      <c r="CM130" s="271">
        <v>31.216000000000001</v>
      </c>
      <c r="CN130" s="271">
        <v>81.75</v>
      </c>
    </row>
    <row r="131" spans="1:92" s="320" customFormat="1" x14ac:dyDescent="0.2">
      <c r="A131" s="320" t="s">
        <v>898</v>
      </c>
      <c r="B131" s="320" t="s">
        <v>969</v>
      </c>
      <c r="C131" s="320" t="s">
        <v>900</v>
      </c>
      <c r="D131" s="320" t="s">
        <v>553</v>
      </c>
      <c r="E131" s="320" t="s">
        <v>901</v>
      </c>
      <c r="F131" s="320">
        <v>1</v>
      </c>
      <c r="G131" s="320">
        <v>5</v>
      </c>
      <c r="H131" s="320">
        <v>5</v>
      </c>
      <c r="I131" s="320" t="s">
        <v>856</v>
      </c>
      <c r="J131" s="320">
        <v>2000</v>
      </c>
      <c r="K131" s="320" t="s">
        <v>856</v>
      </c>
      <c r="L131" s="320">
        <v>2005</v>
      </c>
      <c r="M131" s="731">
        <v>-9999</v>
      </c>
      <c r="N131" s="731">
        <v>-9999</v>
      </c>
      <c r="P131" s="731">
        <v>65.936599999999999</v>
      </c>
      <c r="Q131" s="731">
        <v>-9999</v>
      </c>
      <c r="R131" s="731"/>
      <c r="S131" s="731"/>
      <c r="T131" s="731">
        <v>13.18732</v>
      </c>
      <c r="U131" s="731">
        <v>-9999</v>
      </c>
      <c r="V131" s="731"/>
      <c r="W131" s="731">
        <v>-9999</v>
      </c>
      <c r="X131" s="731">
        <v>-9999</v>
      </c>
      <c r="Y131" s="731"/>
      <c r="Z131" s="320" t="s">
        <v>902</v>
      </c>
      <c r="AA131" s="320">
        <v>2990</v>
      </c>
      <c r="AB131" s="320">
        <v>0.92</v>
      </c>
      <c r="AC131" s="320">
        <v>-9999</v>
      </c>
      <c r="AD131" s="320">
        <v>429.4</v>
      </c>
      <c r="AE131" s="320" t="s">
        <v>1950</v>
      </c>
      <c r="AF131" s="320">
        <v>8</v>
      </c>
      <c r="AG131" s="320">
        <v>2</v>
      </c>
      <c r="AH131" s="320" t="s">
        <v>809</v>
      </c>
      <c r="AI131" s="320">
        <v>-9999</v>
      </c>
      <c r="AJ131" s="320">
        <v>-9999</v>
      </c>
      <c r="AK131" s="320" t="s">
        <v>172</v>
      </c>
      <c r="AL131" s="320" t="s">
        <v>828</v>
      </c>
      <c r="AM131" s="320" t="s">
        <v>871</v>
      </c>
      <c r="AN131" s="320" t="s">
        <v>631</v>
      </c>
      <c r="AO131" s="320">
        <v>-9999</v>
      </c>
      <c r="AP131" s="320">
        <v>-9999</v>
      </c>
      <c r="AQ131" s="320" t="s">
        <v>626</v>
      </c>
      <c r="AR131" s="730">
        <v>370</v>
      </c>
      <c r="AS131" s="320" t="s">
        <v>1498</v>
      </c>
      <c r="AT131" s="320" t="s">
        <v>766</v>
      </c>
      <c r="AU131" s="730">
        <v>128.44565217391306</v>
      </c>
      <c r="AV131" s="320" t="s">
        <v>1498</v>
      </c>
      <c r="AW131" s="320" t="s">
        <v>766</v>
      </c>
      <c r="AX131" s="730">
        <v>120.78</v>
      </c>
      <c r="AY131" s="320" t="s">
        <v>1498</v>
      </c>
      <c r="AZ131" s="320" t="s">
        <v>766</v>
      </c>
      <c r="BA131" s="320" t="s">
        <v>979</v>
      </c>
      <c r="BB131" s="320" t="s">
        <v>626</v>
      </c>
      <c r="BC131" s="320" t="s">
        <v>906</v>
      </c>
      <c r="BD131" s="320" t="s">
        <v>907</v>
      </c>
      <c r="BE131" s="320" t="s">
        <v>908</v>
      </c>
      <c r="BF131" s="320" t="s">
        <v>909</v>
      </c>
      <c r="BG131" s="320" t="s">
        <v>910</v>
      </c>
      <c r="BH131" s="320" t="s">
        <v>911</v>
      </c>
      <c r="BI131" s="320" t="s">
        <v>912</v>
      </c>
      <c r="BJ131" s="320">
        <v>-9999</v>
      </c>
      <c r="BK131" s="320">
        <v>-9999</v>
      </c>
      <c r="BL131" s="320">
        <v>-9999</v>
      </c>
      <c r="BM131" s="320">
        <v>-9999</v>
      </c>
      <c r="BN131" s="320">
        <v>-9999</v>
      </c>
      <c r="BO131" s="320">
        <v>-9999</v>
      </c>
      <c r="BP131" s="320">
        <v>-9999</v>
      </c>
      <c r="BQ131" s="320">
        <v>-9999</v>
      </c>
      <c r="BR131" s="320">
        <v>-9999</v>
      </c>
      <c r="BS131" s="320">
        <v>-9999</v>
      </c>
      <c r="BT131" s="320" t="s">
        <v>1130</v>
      </c>
      <c r="BU131" s="320">
        <v>-9999</v>
      </c>
      <c r="BV131" s="320">
        <v>-9999</v>
      </c>
      <c r="BX131" s="320">
        <v>-9999</v>
      </c>
      <c r="BY131" s="320">
        <v>-9999</v>
      </c>
      <c r="BZ131" s="320">
        <v>-9999</v>
      </c>
      <c r="CA131" s="320" t="s">
        <v>974</v>
      </c>
      <c r="CB131" s="320" t="s">
        <v>1687</v>
      </c>
      <c r="CC131" s="320">
        <v>1</v>
      </c>
      <c r="CD131" s="320">
        <v>5</v>
      </c>
      <c r="CE131" s="731">
        <v>13.18732</v>
      </c>
      <c r="CF131" s="731">
        <v>-9999</v>
      </c>
      <c r="CG131" s="320">
        <v>5</v>
      </c>
      <c r="CH131" s="301" t="s">
        <v>2119</v>
      </c>
      <c r="CI131" s="320" t="s">
        <v>2125</v>
      </c>
      <c r="CJ131" s="320" t="s">
        <v>878</v>
      </c>
      <c r="CK131" s="95" t="s">
        <v>420</v>
      </c>
      <c r="CL131" s="43" t="s">
        <v>1302</v>
      </c>
      <c r="CM131" s="271">
        <v>31.216000000000001</v>
      </c>
      <c r="CN131" s="271">
        <v>81.75</v>
      </c>
    </row>
    <row r="132" spans="1:92" s="320" customFormat="1" x14ac:dyDescent="0.2">
      <c r="A132" s="320" t="s">
        <v>972</v>
      </c>
      <c r="B132" s="320" t="s">
        <v>1250</v>
      </c>
      <c r="C132" s="320" t="s">
        <v>854</v>
      </c>
      <c r="D132" s="320" t="s">
        <v>553</v>
      </c>
      <c r="E132" s="320" t="s">
        <v>901</v>
      </c>
      <c r="F132" s="320">
        <v>1</v>
      </c>
      <c r="G132" s="320">
        <v>11</v>
      </c>
      <c r="H132" s="320">
        <v>11</v>
      </c>
      <c r="I132" s="320" t="s">
        <v>856</v>
      </c>
      <c r="J132" s="320">
        <v>1995</v>
      </c>
      <c r="K132" s="320" t="s">
        <v>856</v>
      </c>
      <c r="L132" s="320">
        <v>2006</v>
      </c>
      <c r="M132" s="731">
        <v>-9999</v>
      </c>
      <c r="N132" s="731">
        <v>-9999</v>
      </c>
      <c r="O132" s="320">
        <v>1.2195121951219512</v>
      </c>
      <c r="P132" s="731">
        <v>202.14634146341464</v>
      </c>
      <c r="Q132" s="731">
        <v>-9999</v>
      </c>
      <c r="R132" s="731">
        <v>165.76000000000002</v>
      </c>
      <c r="S132" s="731"/>
      <c r="T132" s="731">
        <v>18.376940133037696</v>
      </c>
      <c r="U132" s="731">
        <v>-9999</v>
      </c>
      <c r="V132" s="731">
        <v>15.06909090909091</v>
      </c>
      <c r="W132" s="731">
        <v>28.414634146341463</v>
      </c>
      <c r="X132" s="731">
        <v>-9999</v>
      </c>
      <c r="Y132" s="731">
        <v>23.3</v>
      </c>
      <c r="Z132" s="320" t="s">
        <v>1709</v>
      </c>
      <c r="AA132" s="320">
        <v>1070</v>
      </c>
      <c r="AB132" s="731">
        <v>0.75981308411214954</v>
      </c>
      <c r="AC132" s="320">
        <v>0.2</v>
      </c>
      <c r="AD132" s="320">
        <v>2.5999999999999999E-2</v>
      </c>
      <c r="AE132" s="320" t="s">
        <v>963</v>
      </c>
      <c r="AF132" s="320">
        <v>3</v>
      </c>
      <c r="AG132" s="320" t="s">
        <v>878</v>
      </c>
      <c r="AH132" s="320" t="s">
        <v>857</v>
      </c>
      <c r="AI132" s="320" t="s">
        <v>858</v>
      </c>
      <c r="AJ132" s="320" t="s">
        <v>859</v>
      </c>
      <c r="AK132" s="320" t="s">
        <v>860</v>
      </c>
      <c r="AL132" s="320" t="s">
        <v>828</v>
      </c>
      <c r="AM132" s="320" t="s">
        <v>861</v>
      </c>
      <c r="AN132" s="320" t="s">
        <v>626</v>
      </c>
      <c r="AO132" s="320" t="s">
        <v>973</v>
      </c>
      <c r="AP132" s="320" t="s">
        <v>977</v>
      </c>
      <c r="AQ132" s="320" t="s">
        <v>626</v>
      </c>
      <c r="AR132" s="730">
        <v>980</v>
      </c>
      <c r="AS132" s="320" t="s">
        <v>2024</v>
      </c>
      <c r="AT132" s="320" t="s">
        <v>708</v>
      </c>
      <c r="AU132" s="730">
        <v>241</v>
      </c>
      <c r="AV132" s="320" t="s">
        <v>2025</v>
      </c>
      <c r="AW132" s="320" t="s">
        <v>708</v>
      </c>
      <c r="AX132" s="730">
        <v>953</v>
      </c>
      <c r="AY132" s="320" t="s">
        <v>2026</v>
      </c>
      <c r="AZ132" s="320" t="s">
        <v>708</v>
      </c>
      <c r="BA132" s="320" t="s">
        <v>869</v>
      </c>
      <c r="BB132" s="320" t="s">
        <v>779</v>
      </c>
      <c r="BC132" s="320" t="s">
        <v>864</v>
      </c>
      <c r="BE132" s="320" t="s">
        <v>865</v>
      </c>
      <c r="BF132" s="320" t="s">
        <v>863</v>
      </c>
      <c r="BG132" s="320">
        <v>-9999</v>
      </c>
      <c r="BH132" s="320">
        <v>-9999</v>
      </c>
      <c r="BI132" s="320" t="s">
        <v>866</v>
      </c>
      <c r="BJ132" s="320">
        <v>41.2</v>
      </c>
      <c r="BK132" s="320">
        <v>-9999</v>
      </c>
      <c r="BL132" s="320">
        <v>19</v>
      </c>
      <c r="BM132" s="320">
        <v>-9999</v>
      </c>
      <c r="BN132" s="320">
        <v>24.2</v>
      </c>
      <c r="BO132" s="320">
        <v>-9999</v>
      </c>
      <c r="BP132" s="320">
        <v>-9999</v>
      </c>
      <c r="BQ132" s="320">
        <v>-9999</v>
      </c>
      <c r="BR132" s="320">
        <v>-9999</v>
      </c>
      <c r="BS132" s="320">
        <v>-9999</v>
      </c>
      <c r="BT132" s="320">
        <v>-9999</v>
      </c>
      <c r="BU132" s="320">
        <v>-9999</v>
      </c>
      <c r="BV132" s="320">
        <v>-9999</v>
      </c>
      <c r="BX132" s="320">
        <v>-9999</v>
      </c>
      <c r="BY132" s="320">
        <v>-9999</v>
      </c>
      <c r="BZ132" s="320">
        <v>-9999</v>
      </c>
      <c r="CA132" s="320" t="s">
        <v>974</v>
      </c>
      <c r="CC132" s="320">
        <v>1</v>
      </c>
      <c r="CD132" s="320">
        <v>11</v>
      </c>
      <c r="CE132" s="731">
        <v>18.376940133037696</v>
      </c>
      <c r="CF132" s="731">
        <v>28.414634146341463</v>
      </c>
      <c r="CG132" s="320">
        <v>11</v>
      </c>
      <c r="CH132" s="301" t="s">
        <v>2121</v>
      </c>
      <c r="CI132" s="301" t="s">
        <v>2126</v>
      </c>
      <c r="CJ132" s="320" t="s">
        <v>878</v>
      </c>
      <c r="CK132" s="95" t="s">
        <v>426</v>
      </c>
      <c r="CL132" s="95" t="s">
        <v>427</v>
      </c>
      <c r="CM132" s="271">
        <v>30.8</v>
      </c>
      <c r="CN132" s="271">
        <v>84.65</v>
      </c>
    </row>
    <row r="133" spans="1:92" s="320" customFormat="1" x14ac:dyDescent="0.2">
      <c r="A133" s="320" t="s">
        <v>972</v>
      </c>
      <c r="B133" s="320" t="s">
        <v>1250</v>
      </c>
      <c r="C133" s="320" t="s">
        <v>868</v>
      </c>
      <c r="D133" s="320" t="s">
        <v>553</v>
      </c>
      <c r="E133" s="320" t="s">
        <v>901</v>
      </c>
      <c r="F133" s="320">
        <v>1</v>
      </c>
      <c r="G133" s="320">
        <v>11</v>
      </c>
      <c r="H133" s="320">
        <v>11</v>
      </c>
      <c r="I133" s="320" t="s">
        <v>856</v>
      </c>
      <c r="J133" s="320">
        <v>1995</v>
      </c>
      <c r="K133" s="320" t="s">
        <v>856</v>
      </c>
      <c r="L133" s="320">
        <v>2006</v>
      </c>
      <c r="M133" s="731">
        <v>-9999</v>
      </c>
      <c r="N133" s="731">
        <v>-9999</v>
      </c>
      <c r="O133" s="320">
        <v>1.2195121951219512</v>
      </c>
      <c r="P133" s="731">
        <v>210.76829268292681</v>
      </c>
      <c r="Q133" s="731">
        <v>-9999</v>
      </c>
      <c r="R133" s="731">
        <v>172.82999999999998</v>
      </c>
      <c r="S133" s="731"/>
      <c r="T133" s="731">
        <v>19.160753880266075</v>
      </c>
      <c r="U133" s="731">
        <v>-9999</v>
      </c>
      <c r="V133" s="731">
        <v>15.711818181818181</v>
      </c>
      <c r="W133" s="731">
        <v>34.512195121951223</v>
      </c>
      <c r="X133" s="731">
        <v>-9999</v>
      </c>
      <c r="Y133" s="731">
        <v>28.3</v>
      </c>
      <c r="Z133" s="320" t="s">
        <v>1709</v>
      </c>
      <c r="AA133" s="320">
        <v>1070</v>
      </c>
      <c r="AB133" s="731">
        <v>0.84392523364485983</v>
      </c>
      <c r="AC133" s="320">
        <v>0.2</v>
      </c>
      <c r="AD133" s="320">
        <v>2.5999999999999999E-2</v>
      </c>
      <c r="AE133" s="320" t="s">
        <v>963</v>
      </c>
      <c r="AF133" s="320">
        <v>3</v>
      </c>
      <c r="AG133" s="320" t="s">
        <v>878</v>
      </c>
      <c r="AH133" s="320" t="s">
        <v>857</v>
      </c>
      <c r="AI133" s="320" t="s">
        <v>858</v>
      </c>
      <c r="AJ133" s="320" t="s">
        <v>859</v>
      </c>
      <c r="AK133" s="320" t="s">
        <v>860</v>
      </c>
      <c r="AL133" s="320" t="s">
        <v>828</v>
      </c>
      <c r="AM133" s="320" t="s">
        <v>861</v>
      </c>
      <c r="AN133" s="320" t="s">
        <v>626</v>
      </c>
      <c r="AO133" s="320" t="s">
        <v>973</v>
      </c>
      <c r="AP133" s="320" t="s">
        <v>977</v>
      </c>
      <c r="AQ133" s="320" t="s">
        <v>626</v>
      </c>
      <c r="AR133" s="730">
        <v>980</v>
      </c>
      <c r="AS133" s="320" t="s">
        <v>2024</v>
      </c>
      <c r="AT133" s="320" t="s">
        <v>708</v>
      </c>
      <c r="AU133" s="730">
        <v>241</v>
      </c>
      <c r="AV133" s="320" t="s">
        <v>2025</v>
      </c>
      <c r="AW133" s="320" t="s">
        <v>708</v>
      </c>
      <c r="AX133" s="730">
        <v>953</v>
      </c>
      <c r="AY133" s="320" t="s">
        <v>2026</v>
      </c>
      <c r="AZ133" s="320" t="s">
        <v>708</v>
      </c>
      <c r="BA133" s="320" t="s">
        <v>869</v>
      </c>
      <c r="BB133" s="320" t="s">
        <v>626</v>
      </c>
      <c r="BC133" s="320" t="s">
        <v>864</v>
      </c>
      <c r="BE133" s="320" t="s">
        <v>865</v>
      </c>
      <c r="BF133" s="320">
        <v>-9999</v>
      </c>
      <c r="BG133" s="320">
        <v>-9999</v>
      </c>
      <c r="BH133" s="320">
        <v>-9999</v>
      </c>
      <c r="BI133" s="320" t="s">
        <v>866</v>
      </c>
      <c r="BJ133" s="320">
        <v>38.299999999999997</v>
      </c>
      <c r="BK133" s="320">
        <v>-9999</v>
      </c>
      <c r="BL133" s="320">
        <v>18</v>
      </c>
      <c r="BM133" s="320">
        <v>-9999</v>
      </c>
      <c r="BN133" s="320">
        <v>23.8</v>
      </c>
      <c r="BO133" s="320">
        <v>-9999</v>
      </c>
      <c r="BP133" s="320">
        <v>-9999</v>
      </c>
      <c r="BQ133" s="320">
        <v>-9999</v>
      </c>
      <c r="BR133" s="320">
        <v>-9999</v>
      </c>
      <c r="BS133" s="320">
        <v>-9999</v>
      </c>
      <c r="BT133" s="320">
        <v>-9999</v>
      </c>
      <c r="BU133" s="320">
        <v>-9999</v>
      </c>
      <c r="BV133" s="320">
        <v>-9999</v>
      </c>
      <c r="BX133" s="320">
        <v>-9999</v>
      </c>
      <c r="BY133" s="320">
        <v>-9999</v>
      </c>
      <c r="BZ133" s="320">
        <v>-9999</v>
      </c>
      <c r="CA133" s="320" t="s">
        <v>974</v>
      </c>
      <c r="CC133" s="320">
        <v>1</v>
      </c>
      <c r="CD133" s="320">
        <v>11</v>
      </c>
      <c r="CE133" s="731">
        <v>19.160753880266075</v>
      </c>
      <c r="CF133" s="731">
        <v>34.512195121951223</v>
      </c>
      <c r="CG133" s="320">
        <v>11</v>
      </c>
      <c r="CH133" s="301" t="s">
        <v>2121</v>
      </c>
      <c r="CI133" s="301" t="s">
        <v>2126</v>
      </c>
      <c r="CJ133" s="320" t="s">
        <v>878</v>
      </c>
      <c r="CK133" s="95" t="s">
        <v>426</v>
      </c>
      <c r="CL133" s="95" t="s">
        <v>427</v>
      </c>
      <c r="CM133" s="271">
        <v>30.8</v>
      </c>
      <c r="CN133" s="271">
        <v>84.65</v>
      </c>
    </row>
    <row r="134" spans="1:92" s="320" customFormat="1" x14ac:dyDescent="0.2">
      <c r="A134" s="320" t="s">
        <v>972</v>
      </c>
      <c r="B134" s="320" t="s">
        <v>1250</v>
      </c>
      <c r="C134" s="320" t="s">
        <v>978</v>
      </c>
      <c r="D134" s="320" t="s">
        <v>553</v>
      </c>
      <c r="E134" s="320" t="s">
        <v>901</v>
      </c>
      <c r="F134" s="320">
        <v>1</v>
      </c>
      <c r="G134" s="320">
        <v>11</v>
      </c>
      <c r="H134" s="320">
        <v>11</v>
      </c>
      <c r="I134" s="320" t="s">
        <v>856</v>
      </c>
      <c r="J134" s="320">
        <v>1995</v>
      </c>
      <c r="K134" s="320" t="s">
        <v>856</v>
      </c>
      <c r="L134" s="320">
        <v>2006</v>
      </c>
      <c r="M134" s="731">
        <v>-9999</v>
      </c>
      <c r="N134" s="731">
        <v>-9999</v>
      </c>
      <c r="O134" s="320">
        <v>1.2195121951219512</v>
      </c>
      <c r="P134" s="731">
        <v>177.39024390243898</v>
      </c>
      <c r="Q134" s="731">
        <v>-9999</v>
      </c>
      <c r="R134" s="731">
        <v>145.45999999999998</v>
      </c>
      <c r="S134" s="731"/>
      <c r="T134" s="731">
        <v>16.126385809312634</v>
      </c>
      <c r="U134" s="731">
        <v>-9999</v>
      </c>
      <c r="V134" s="731">
        <v>13.223636363636361</v>
      </c>
      <c r="W134" s="731">
        <v>30.121951219512194</v>
      </c>
      <c r="X134" s="731">
        <v>-9999</v>
      </c>
      <c r="Y134" s="731">
        <v>24.7</v>
      </c>
      <c r="Z134" s="320" t="s">
        <v>1709</v>
      </c>
      <c r="AA134" s="320">
        <v>1070</v>
      </c>
      <c r="AB134" s="731">
        <v>0.84579439252336452</v>
      </c>
      <c r="AC134" s="320">
        <v>0.2</v>
      </c>
      <c r="AD134" s="320">
        <v>2.5999999999999999E-2</v>
      </c>
      <c r="AE134" s="320" t="s">
        <v>963</v>
      </c>
      <c r="AF134" s="320">
        <v>3</v>
      </c>
      <c r="AG134" s="320" t="s">
        <v>878</v>
      </c>
      <c r="AH134" s="320" t="s">
        <v>857</v>
      </c>
      <c r="AI134" s="320" t="s">
        <v>858</v>
      </c>
      <c r="AJ134" s="320" t="s">
        <v>859</v>
      </c>
      <c r="AK134" s="320" t="s">
        <v>860</v>
      </c>
      <c r="AL134" s="320" t="s">
        <v>828</v>
      </c>
      <c r="AM134" s="320" t="s">
        <v>861</v>
      </c>
      <c r="AN134" s="320" t="s">
        <v>626</v>
      </c>
      <c r="AO134" s="320" t="s">
        <v>973</v>
      </c>
      <c r="AP134" s="320" t="s">
        <v>977</v>
      </c>
      <c r="AQ134" s="320" t="s">
        <v>631</v>
      </c>
      <c r="AR134" s="730">
        <v>0</v>
      </c>
      <c r="AS134" s="320">
        <v>-9999</v>
      </c>
      <c r="AU134" s="730">
        <v>0</v>
      </c>
      <c r="AV134" s="320">
        <v>-9999</v>
      </c>
      <c r="AW134" s="320">
        <v>-9999</v>
      </c>
      <c r="AX134" s="730">
        <v>0</v>
      </c>
      <c r="AY134" s="320">
        <v>-9999</v>
      </c>
      <c r="AZ134" s="320">
        <v>-9999</v>
      </c>
      <c r="BA134" s="320" t="s">
        <v>869</v>
      </c>
      <c r="BB134" s="320" t="s">
        <v>626</v>
      </c>
      <c r="BC134" s="320" t="s">
        <v>864</v>
      </c>
      <c r="BE134" s="320" t="s">
        <v>865</v>
      </c>
      <c r="BF134" s="320">
        <v>-9999</v>
      </c>
      <c r="BG134" s="320">
        <v>-9999</v>
      </c>
      <c r="BH134" s="320">
        <v>-9999</v>
      </c>
      <c r="BI134" s="320" t="s">
        <v>866</v>
      </c>
      <c r="BJ134" s="320">
        <v>36.4</v>
      </c>
      <c r="BK134" s="320">
        <v>-9999</v>
      </c>
      <c r="BL134" s="320">
        <v>18</v>
      </c>
      <c r="BM134" s="320">
        <v>-9999</v>
      </c>
      <c r="BN134" s="320">
        <v>22.1</v>
      </c>
      <c r="BO134" s="320">
        <v>-9999</v>
      </c>
      <c r="BP134" s="320">
        <v>-9999</v>
      </c>
      <c r="BQ134" s="320">
        <v>-9999</v>
      </c>
      <c r="BR134" s="320">
        <v>-9999</v>
      </c>
      <c r="BS134" s="320">
        <v>-9999</v>
      </c>
      <c r="BT134" s="320">
        <v>-9999</v>
      </c>
      <c r="BU134" s="320">
        <v>-9999</v>
      </c>
      <c r="BV134" s="320">
        <v>-9999</v>
      </c>
      <c r="BX134" s="320">
        <v>-9999</v>
      </c>
      <c r="BY134" s="320">
        <v>-9999</v>
      </c>
      <c r="BZ134" s="320">
        <v>-9999</v>
      </c>
      <c r="CA134" s="320" t="s">
        <v>974</v>
      </c>
      <c r="CC134" s="320">
        <v>1</v>
      </c>
      <c r="CD134" s="320">
        <v>11</v>
      </c>
      <c r="CE134" s="731">
        <v>16.126385809312634</v>
      </c>
      <c r="CF134" s="731">
        <v>30.121951219512194</v>
      </c>
      <c r="CG134" s="320">
        <v>11</v>
      </c>
      <c r="CH134" s="301" t="s">
        <v>2121</v>
      </c>
      <c r="CI134" s="301" t="s">
        <v>2126</v>
      </c>
      <c r="CJ134" s="320" t="s">
        <v>878</v>
      </c>
      <c r="CK134" s="95" t="s">
        <v>426</v>
      </c>
      <c r="CL134" s="95" t="s">
        <v>427</v>
      </c>
      <c r="CM134" s="271">
        <v>30.8</v>
      </c>
      <c r="CN134" s="271">
        <v>84.65</v>
      </c>
    </row>
    <row r="135" spans="1:92" s="320" customFormat="1" x14ac:dyDescent="0.2">
      <c r="A135" s="320" t="s">
        <v>972</v>
      </c>
      <c r="B135" s="320" t="s">
        <v>1250</v>
      </c>
      <c r="C135" s="320" t="s">
        <v>633</v>
      </c>
      <c r="D135" s="320" t="s">
        <v>553</v>
      </c>
      <c r="E135" s="320" t="s">
        <v>901</v>
      </c>
      <c r="F135" s="320">
        <v>1</v>
      </c>
      <c r="G135" s="320">
        <v>11</v>
      </c>
      <c r="H135" s="320">
        <v>11</v>
      </c>
      <c r="I135" s="320" t="s">
        <v>856</v>
      </c>
      <c r="J135" s="320">
        <v>1995</v>
      </c>
      <c r="K135" s="320" t="s">
        <v>856</v>
      </c>
      <c r="L135" s="320">
        <v>2006</v>
      </c>
      <c r="M135" s="731">
        <v>-9999</v>
      </c>
      <c r="N135" s="731">
        <v>-9999</v>
      </c>
      <c r="O135" s="320">
        <v>1.1990407673860912</v>
      </c>
      <c r="P135" s="731">
        <v>128.82494004796163</v>
      </c>
      <c r="Q135" s="731">
        <v>-9999</v>
      </c>
      <c r="R135" s="731">
        <v>107.44</v>
      </c>
      <c r="S135" s="731"/>
      <c r="T135" s="731">
        <v>11.71135818617833</v>
      </c>
      <c r="U135" s="731">
        <v>-9999</v>
      </c>
      <c r="V135" s="731">
        <v>9.7672727272727276</v>
      </c>
      <c r="W135" s="731">
        <v>24.46043165467626</v>
      </c>
      <c r="X135" s="731">
        <v>-9999</v>
      </c>
      <c r="Y135" s="731">
        <v>20.399999999999999</v>
      </c>
      <c r="Z135" s="320" t="s">
        <v>1709</v>
      </c>
      <c r="AA135" s="320">
        <v>1070</v>
      </c>
      <c r="AB135" s="731">
        <v>0.85607476635514024</v>
      </c>
      <c r="AC135" s="320">
        <v>0.2</v>
      </c>
      <c r="AD135" s="320">
        <v>2.5999999999999999E-2</v>
      </c>
      <c r="AE135" s="320" t="s">
        <v>963</v>
      </c>
      <c r="AF135" s="320">
        <v>3</v>
      </c>
      <c r="AG135" s="320" t="s">
        <v>878</v>
      </c>
      <c r="AH135" s="320" t="s">
        <v>857</v>
      </c>
      <c r="AI135" s="320" t="s">
        <v>858</v>
      </c>
      <c r="AJ135" s="320" t="s">
        <v>859</v>
      </c>
      <c r="AK135" s="320" t="s">
        <v>860</v>
      </c>
      <c r="AL135" s="320" t="s">
        <v>828</v>
      </c>
      <c r="AM135" s="320" t="s">
        <v>861</v>
      </c>
      <c r="AN135" s="320" t="s">
        <v>631</v>
      </c>
      <c r="AO135" s="320" t="s">
        <v>869</v>
      </c>
      <c r="AP135" s="320" t="s">
        <v>870</v>
      </c>
      <c r="AQ135" s="320" t="s">
        <v>631</v>
      </c>
      <c r="AR135" s="730">
        <v>0</v>
      </c>
      <c r="AS135" s="320">
        <v>-9999</v>
      </c>
      <c r="AU135" s="730">
        <v>0</v>
      </c>
      <c r="AV135" s="320">
        <v>-9999</v>
      </c>
      <c r="AW135" s="320">
        <v>-9999</v>
      </c>
      <c r="AX135" s="730">
        <v>0</v>
      </c>
      <c r="AY135" s="320">
        <v>-9999</v>
      </c>
      <c r="AZ135" s="320">
        <v>-9999</v>
      </c>
      <c r="BA135" s="320" t="s">
        <v>869</v>
      </c>
      <c r="BB135" s="320" t="s">
        <v>626</v>
      </c>
      <c r="BC135" s="320" t="s">
        <v>864</v>
      </c>
      <c r="BE135" s="320" t="s">
        <v>865</v>
      </c>
      <c r="BF135" s="320">
        <v>-9999</v>
      </c>
      <c r="BG135" s="320">
        <v>-9999</v>
      </c>
      <c r="BH135" s="320">
        <v>-9999</v>
      </c>
      <c r="BI135" s="320" t="s">
        <v>866</v>
      </c>
      <c r="BJ135" s="320">
        <v>30.5</v>
      </c>
      <c r="BK135" s="320">
        <v>-9999</v>
      </c>
      <c r="BL135" s="320">
        <v>16</v>
      </c>
      <c r="BM135" s="320">
        <v>-9999</v>
      </c>
      <c r="BN135" s="320">
        <v>21.1</v>
      </c>
      <c r="BO135" s="320">
        <v>-9999</v>
      </c>
      <c r="BP135" s="320">
        <v>-9999</v>
      </c>
      <c r="BQ135" s="320">
        <v>-9999</v>
      </c>
      <c r="BR135" s="320">
        <v>-9999</v>
      </c>
      <c r="BS135" s="320">
        <v>-9999</v>
      </c>
      <c r="BT135" s="320">
        <v>-9999</v>
      </c>
      <c r="BU135" s="320">
        <v>-9999</v>
      </c>
      <c r="BV135" s="320">
        <v>-9999</v>
      </c>
      <c r="BX135" s="320">
        <v>-9999</v>
      </c>
      <c r="BY135" s="320">
        <v>-9999</v>
      </c>
      <c r="BZ135" s="320">
        <v>-9999</v>
      </c>
      <c r="CA135" s="320" t="s">
        <v>974</v>
      </c>
      <c r="CC135" s="320">
        <v>1</v>
      </c>
      <c r="CD135" s="320">
        <v>11</v>
      </c>
      <c r="CE135" s="731">
        <v>11.71135818617833</v>
      </c>
      <c r="CF135" s="731">
        <v>24.46043165467626</v>
      </c>
      <c r="CG135" s="320">
        <v>11</v>
      </c>
      <c r="CH135" s="301" t="s">
        <v>2121</v>
      </c>
      <c r="CI135" s="320" t="s">
        <v>2125</v>
      </c>
      <c r="CJ135" s="320" t="s">
        <v>878</v>
      </c>
      <c r="CK135" s="95" t="s">
        <v>426</v>
      </c>
      <c r="CL135" s="95" t="s">
        <v>427</v>
      </c>
      <c r="CM135" s="271">
        <v>30.8</v>
      </c>
      <c r="CN135" s="271">
        <v>84.65</v>
      </c>
    </row>
    <row r="136" spans="1:92" s="320" customFormat="1" x14ac:dyDescent="0.2">
      <c r="A136" s="320" t="s">
        <v>852</v>
      </c>
      <c r="B136" s="320" t="s">
        <v>1250</v>
      </c>
      <c r="C136" s="320" t="s">
        <v>854</v>
      </c>
      <c r="D136" s="320" t="s">
        <v>553</v>
      </c>
      <c r="E136" s="320" t="s">
        <v>901</v>
      </c>
      <c r="F136" s="320">
        <v>1</v>
      </c>
      <c r="G136" s="320">
        <v>6</v>
      </c>
      <c r="H136" s="320">
        <v>6</v>
      </c>
      <c r="I136" s="320" t="s">
        <v>1943</v>
      </c>
      <c r="J136" s="320">
        <v>1995</v>
      </c>
      <c r="K136" s="320" t="s">
        <v>842</v>
      </c>
      <c r="L136" s="320">
        <v>2002</v>
      </c>
      <c r="M136" s="731">
        <v>-9999</v>
      </c>
      <c r="N136" s="731">
        <v>-9999</v>
      </c>
      <c r="P136" s="731">
        <v>91.4</v>
      </c>
      <c r="Q136" s="731">
        <v>-9999</v>
      </c>
      <c r="R136" s="731"/>
      <c r="S136" s="731"/>
      <c r="T136" s="731">
        <v>15.233333333333334</v>
      </c>
      <c r="U136" s="731">
        <v>-9999</v>
      </c>
      <c r="V136" s="731"/>
      <c r="W136" s="731">
        <v>-9999</v>
      </c>
      <c r="X136" s="731">
        <v>-9999</v>
      </c>
      <c r="Y136" s="731"/>
      <c r="Z136" s="320" t="s">
        <v>1949</v>
      </c>
      <c r="AA136" s="320">
        <v>1126</v>
      </c>
      <c r="AB136" s="320">
        <v>-9999</v>
      </c>
      <c r="AC136" s="320">
        <v>4.5</v>
      </c>
      <c r="AD136" s="320">
        <v>1866</v>
      </c>
      <c r="AE136" s="320" t="s">
        <v>1948</v>
      </c>
      <c r="AF136" s="320">
        <v>4</v>
      </c>
      <c r="AG136" s="320" t="s">
        <v>843</v>
      </c>
      <c r="AH136" s="320" t="s">
        <v>857</v>
      </c>
      <c r="AI136" s="320" t="s">
        <v>858</v>
      </c>
      <c r="AJ136" s="320" t="s">
        <v>859</v>
      </c>
      <c r="AK136" s="320" t="s">
        <v>860</v>
      </c>
      <c r="AL136" s="320" t="s">
        <v>828</v>
      </c>
      <c r="AM136" s="320" t="s">
        <v>861</v>
      </c>
      <c r="AN136" s="320" t="s">
        <v>626</v>
      </c>
      <c r="AO136" s="320" t="s">
        <v>826</v>
      </c>
      <c r="AP136" s="320" t="s">
        <v>862</v>
      </c>
      <c r="AQ136" s="320" t="s">
        <v>626</v>
      </c>
      <c r="AR136" s="730">
        <v>537</v>
      </c>
      <c r="AS136" s="320" t="s">
        <v>2019</v>
      </c>
      <c r="AT136" s="320" t="s">
        <v>541</v>
      </c>
      <c r="AU136" s="730">
        <v>126</v>
      </c>
      <c r="AV136" s="320" t="s">
        <v>2020</v>
      </c>
      <c r="AW136" s="320" t="s">
        <v>541</v>
      </c>
      <c r="AX136" s="730">
        <v>510</v>
      </c>
      <c r="AY136" s="320" t="s">
        <v>2021</v>
      </c>
      <c r="AZ136" s="320" t="s">
        <v>541</v>
      </c>
      <c r="BA136" s="320" t="s">
        <v>863</v>
      </c>
      <c r="BB136" s="320" t="s">
        <v>626</v>
      </c>
      <c r="BC136" s="320" t="s">
        <v>864</v>
      </c>
      <c r="BE136" s="320" t="s">
        <v>865</v>
      </c>
      <c r="BF136" s="320">
        <v>-9999</v>
      </c>
      <c r="BG136" s="320">
        <v>-9999</v>
      </c>
      <c r="BH136" s="320">
        <v>-9999</v>
      </c>
      <c r="BI136" s="320" t="s">
        <v>866</v>
      </c>
      <c r="BJ136" s="320">
        <v>-9999</v>
      </c>
      <c r="BK136" s="320">
        <v>-9999</v>
      </c>
      <c r="BL136" s="320">
        <v>10.26</v>
      </c>
      <c r="BM136" s="320">
        <v>0.06</v>
      </c>
      <c r="BN136" s="320">
        <v>17.68</v>
      </c>
      <c r="BO136" s="320">
        <v>0.2</v>
      </c>
      <c r="BP136" s="320">
        <v>-9999</v>
      </c>
      <c r="BQ136" s="320">
        <v>-9999</v>
      </c>
      <c r="BR136" s="320">
        <v>25.48</v>
      </c>
      <c r="BS136" s="320">
        <v>-9999</v>
      </c>
      <c r="BT136" s="320">
        <v>-9999</v>
      </c>
      <c r="BU136" s="320">
        <v>-9999</v>
      </c>
      <c r="BV136" s="320">
        <v>-9999</v>
      </c>
      <c r="BX136" s="320">
        <v>-9999</v>
      </c>
      <c r="BY136" s="320">
        <v>-9999</v>
      </c>
      <c r="BZ136" s="320">
        <v>-9999</v>
      </c>
      <c r="CA136" s="320" t="s">
        <v>867</v>
      </c>
      <c r="CC136" s="320">
        <v>1</v>
      </c>
      <c r="CD136" s="320" t="s">
        <v>854</v>
      </c>
      <c r="CE136" s="731">
        <v>15.233333333333334</v>
      </c>
      <c r="CF136" s="731">
        <v>-9999</v>
      </c>
      <c r="CG136" s="320">
        <v>6</v>
      </c>
      <c r="CH136" s="301" t="s">
        <v>2121</v>
      </c>
      <c r="CI136" s="301" t="s">
        <v>2126</v>
      </c>
      <c r="CJ136" s="320" t="s">
        <v>878</v>
      </c>
      <c r="CK136" s="135" t="s">
        <v>426</v>
      </c>
      <c r="CL136" s="135" t="s">
        <v>427</v>
      </c>
      <c r="CM136" s="271">
        <v>30.8</v>
      </c>
      <c r="CN136" s="271">
        <v>84.65</v>
      </c>
    </row>
    <row r="137" spans="1:92" s="320" customFormat="1" x14ac:dyDescent="0.2">
      <c r="A137" s="320" t="s">
        <v>872</v>
      </c>
      <c r="B137" s="320" t="s">
        <v>873</v>
      </c>
      <c r="C137" s="320" t="s">
        <v>1638</v>
      </c>
      <c r="D137" s="320" t="s">
        <v>553</v>
      </c>
      <c r="E137" s="320" t="s">
        <v>901</v>
      </c>
      <c r="F137" s="320">
        <v>1</v>
      </c>
      <c r="G137" s="320">
        <v>6</v>
      </c>
      <c r="H137" s="320">
        <v>6</v>
      </c>
      <c r="I137" s="320" t="s">
        <v>275</v>
      </c>
      <c r="J137" s="320">
        <v>1997</v>
      </c>
      <c r="K137" s="320" t="s">
        <v>1211</v>
      </c>
      <c r="L137" s="320">
        <v>2002</v>
      </c>
      <c r="M137" s="731">
        <v>-9999</v>
      </c>
      <c r="N137" s="731">
        <v>-9999</v>
      </c>
      <c r="P137" s="731">
        <v>79.16</v>
      </c>
      <c r="Q137" s="731">
        <v>-9999</v>
      </c>
      <c r="R137" s="731"/>
      <c r="S137" s="731"/>
      <c r="T137" s="731">
        <v>13.193333333333333</v>
      </c>
      <c r="U137" s="731">
        <v>-9999</v>
      </c>
      <c r="V137" s="731"/>
      <c r="W137" s="731">
        <v>-9999</v>
      </c>
      <c r="X137" s="731">
        <v>-9999</v>
      </c>
      <c r="Y137" s="731"/>
      <c r="Z137" s="320" t="s">
        <v>875</v>
      </c>
      <c r="AA137" s="320">
        <v>1794</v>
      </c>
      <c r="AB137" s="320">
        <v>0.99</v>
      </c>
      <c r="AC137" s="320">
        <v>11.7</v>
      </c>
      <c r="AD137" s="320">
        <v>943</v>
      </c>
      <c r="AE137" s="320" t="s">
        <v>1969</v>
      </c>
      <c r="AF137" s="320">
        <v>3</v>
      </c>
      <c r="AG137" s="320" t="s">
        <v>843</v>
      </c>
      <c r="AH137" s="320" t="s">
        <v>876</v>
      </c>
      <c r="AI137" s="320" t="s">
        <v>858</v>
      </c>
      <c r="AJ137" s="320">
        <v>-9999</v>
      </c>
      <c r="AK137" s="320" t="s">
        <v>877</v>
      </c>
      <c r="AL137" s="320" t="s">
        <v>828</v>
      </c>
      <c r="AM137" s="320">
        <v>-9999</v>
      </c>
      <c r="AN137" s="320" t="s">
        <v>626</v>
      </c>
      <c r="AO137" s="320" t="s">
        <v>826</v>
      </c>
      <c r="AP137" s="320" t="s">
        <v>879</v>
      </c>
      <c r="AQ137" s="320" t="s">
        <v>626</v>
      </c>
      <c r="AR137" s="730">
        <v>510</v>
      </c>
      <c r="AS137" s="320" t="s">
        <v>2027</v>
      </c>
      <c r="AT137" s="320" t="s">
        <v>546</v>
      </c>
      <c r="AU137" s="730">
        <v>74.699999999999989</v>
      </c>
      <c r="AV137" s="320" t="s">
        <v>2028</v>
      </c>
      <c r="AW137" s="320" t="s">
        <v>546</v>
      </c>
      <c r="AX137" s="730">
        <v>283.5</v>
      </c>
      <c r="AY137" s="320" t="s">
        <v>2029</v>
      </c>
      <c r="AZ137" s="320" t="s">
        <v>546</v>
      </c>
      <c r="BB137" s="320" t="s">
        <v>626</v>
      </c>
      <c r="BC137" s="320" t="s">
        <v>881</v>
      </c>
      <c r="BD137" s="320" t="s">
        <v>121</v>
      </c>
      <c r="BE137" s="320" t="s">
        <v>122</v>
      </c>
      <c r="BF137" s="320" t="s">
        <v>880</v>
      </c>
      <c r="BG137" s="320">
        <v>-9999</v>
      </c>
      <c r="BH137" s="320">
        <v>-9999</v>
      </c>
      <c r="BI137" s="320" t="s">
        <v>123</v>
      </c>
      <c r="BJ137" s="320">
        <v>26.33</v>
      </c>
      <c r="BK137" s="320">
        <v>1.76</v>
      </c>
      <c r="BL137" s="320">
        <v>10.86</v>
      </c>
      <c r="BM137" s="320">
        <v>0.36</v>
      </c>
      <c r="BN137" s="320">
        <v>13.7</v>
      </c>
      <c r="BO137" s="320">
        <v>0.6</v>
      </c>
      <c r="BP137" s="320">
        <v>-9999</v>
      </c>
      <c r="BQ137" s="320">
        <v>-9999</v>
      </c>
      <c r="BR137" s="320">
        <v>-9999</v>
      </c>
      <c r="BS137" s="320">
        <v>2031.8977799999998</v>
      </c>
      <c r="BT137" s="320">
        <v>142.22999999999999</v>
      </c>
      <c r="BU137" s="320">
        <v>-9999</v>
      </c>
      <c r="BV137" s="320">
        <v>13.03</v>
      </c>
      <c r="BX137" s="320">
        <v>-9999</v>
      </c>
      <c r="BY137" s="320">
        <v>-9999</v>
      </c>
      <c r="BZ137" s="320">
        <v>-9999</v>
      </c>
      <c r="CA137" s="320" t="s">
        <v>867</v>
      </c>
      <c r="CC137" s="320">
        <v>1</v>
      </c>
      <c r="CD137" s="320" t="s">
        <v>1638</v>
      </c>
      <c r="CE137" s="731">
        <v>13.193333333333333</v>
      </c>
      <c r="CF137" s="731">
        <v>-9999</v>
      </c>
      <c r="CG137" s="320">
        <v>6</v>
      </c>
      <c r="CH137" s="301" t="s">
        <v>2121</v>
      </c>
      <c r="CI137" s="320" t="s">
        <v>2125</v>
      </c>
      <c r="CJ137" s="320" t="s">
        <v>878</v>
      </c>
      <c r="CK137" s="43" t="s">
        <v>1274</v>
      </c>
      <c r="CL137" s="43" t="s">
        <v>1271</v>
      </c>
      <c r="CM137" s="271">
        <v>31.382999999999999</v>
      </c>
      <c r="CN137" s="271">
        <v>81.716999999999999</v>
      </c>
    </row>
    <row r="138" spans="1:92" s="320" customFormat="1" x14ac:dyDescent="0.2">
      <c r="A138" s="320" t="s">
        <v>872</v>
      </c>
      <c r="B138" s="320" t="s">
        <v>873</v>
      </c>
      <c r="C138" s="320" t="s">
        <v>1639</v>
      </c>
      <c r="D138" s="320" t="s">
        <v>553</v>
      </c>
      <c r="E138" s="320" t="s">
        <v>901</v>
      </c>
      <c r="F138" s="320">
        <v>1</v>
      </c>
      <c r="G138" s="320">
        <v>6</v>
      </c>
      <c r="H138" s="320">
        <v>6</v>
      </c>
      <c r="I138" s="320" t="s">
        <v>275</v>
      </c>
      <c r="J138" s="320">
        <v>1997</v>
      </c>
      <c r="K138" s="320" t="s">
        <v>1211</v>
      </c>
      <c r="L138" s="320">
        <v>2002</v>
      </c>
      <c r="M138" s="731">
        <v>-9999</v>
      </c>
      <c r="N138" s="731">
        <v>-9999</v>
      </c>
      <c r="P138" s="731">
        <v>72.2</v>
      </c>
      <c r="Q138" s="731">
        <v>-9999</v>
      </c>
      <c r="R138" s="731"/>
      <c r="S138" s="731"/>
      <c r="T138" s="731">
        <v>12.033333333333333</v>
      </c>
      <c r="U138" s="731">
        <v>-9999</v>
      </c>
      <c r="V138" s="731"/>
      <c r="W138" s="731">
        <v>-9999</v>
      </c>
      <c r="X138" s="731">
        <v>-9999</v>
      </c>
      <c r="Y138" s="731"/>
      <c r="Z138" s="320" t="s">
        <v>875</v>
      </c>
      <c r="AA138" s="320">
        <v>1794</v>
      </c>
      <c r="AB138" s="320">
        <v>0.99</v>
      </c>
      <c r="AC138" s="320">
        <v>11.7</v>
      </c>
      <c r="AD138" s="320">
        <v>943</v>
      </c>
      <c r="AE138" s="320" t="s">
        <v>1969</v>
      </c>
      <c r="AF138" s="320">
        <v>3</v>
      </c>
      <c r="AG138" s="320" t="s">
        <v>843</v>
      </c>
      <c r="AH138" s="320" t="s">
        <v>876</v>
      </c>
      <c r="AI138" s="320" t="s">
        <v>858</v>
      </c>
      <c r="AJ138" s="320">
        <v>-9999</v>
      </c>
      <c r="AK138" s="320" t="s">
        <v>877</v>
      </c>
      <c r="AL138" s="320" t="s">
        <v>828</v>
      </c>
      <c r="AM138" s="320">
        <v>-9999</v>
      </c>
      <c r="AN138" s="320" t="s">
        <v>626</v>
      </c>
      <c r="AO138" s="320" t="s">
        <v>826</v>
      </c>
      <c r="AP138" s="320" t="s">
        <v>879</v>
      </c>
      <c r="AQ138" s="320" t="s">
        <v>626</v>
      </c>
      <c r="AR138" s="730">
        <v>684</v>
      </c>
      <c r="AS138" s="320" t="s">
        <v>2027</v>
      </c>
      <c r="AT138" s="320" t="s">
        <v>546</v>
      </c>
      <c r="AU138" s="730">
        <v>99.600000000000009</v>
      </c>
      <c r="AV138" s="320" t="s">
        <v>2028</v>
      </c>
      <c r="AW138" s="320" t="s">
        <v>546</v>
      </c>
      <c r="AX138" s="730">
        <v>378</v>
      </c>
      <c r="AY138" s="320" t="s">
        <v>2029</v>
      </c>
      <c r="AZ138" s="320" t="s">
        <v>546</v>
      </c>
      <c r="BB138" s="320" t="s">
        <v>626</v>
      </c>
      <c r="BC138" s="320" t="s">
        <v>881</v>
      </c>
      <c r="BD138" s="320" t="s">
        <v>121</v>
      </c>
      <c r="BE138" s="320" t="s">
        <v>122</v>
      </c>
      <c r="BF138" s="320" t="s">
        <v>880</v>
      </c>
      <c r="BG138" s="320">
        <v>-9999</v>
      </c>
      <c r="BH138" s="320">
        <v>-9999</v>
      </c>
      <c r="BI138" s="320" t="s">
        <v>123</v>
      </c>
      <c r="BJ138" s="320">
        <v>24.78</v>
      </c>
      <c r="BK138" s="320">
        <v>1.85</v>
      </c>
      <c r="BL138" s="320">
        <v>10.37</v>
      </c>
      <c r="BM138" s="320">
        <v>0.32</v>
      </c>
      <c r="BN138" s="320">
        <v>13.3</v>
      </c>
      <c r="BO138" s="320">
        <v>0.5</v>
      </c>
      <c r="BP138" s="320">
        <v>-9999</v>
      </c>
      <c r="BQ138" s="320">
        <v>-9999</v>
      </c>
      <c r="BR138" s="320">
        <v>-9999</v>
      </c>
      <c r="BS138" s="320">
        <v>1849.8941400000001</v>
      </c>
      <c r="BT138" s="320">
        <v>129.49</v>
      </c>
      <c r="BU138" s="320">
        <v>-9999</v>
      </c>
      <c r="BV138" s="320">
        <v>11.67</v>
      </c>
      <c r="BX138" s="320">
        <v>-9999</v>
      </c>
      <c r="BY138" s="320">
        <v>-9999</v>
      </c>
      <c r="BZ138" s="320">
        <v>-9999</v>
      </c>
      <c r="CA138" s="320" t="s">
        <v>867</v>
      </c>
      <c r="CC138" s="320">
        <v>1</v>
      </c>
      <c r="CD138" s="320" t="s">
        <v>1639</v>
      </c>
      <c r="CE138" s="731">
        <v>12.033333333333333</v>
      </c>
      <c r="CF138" s="731">
        <v>-9999</v>
      </c>
      <c r="CG138" s="320">
        <v>6</v>
      </c>
      <c r="CH138" s="301" t="s">
        <v>2121</v>
      </c>
      <c r="CI138" s="320" t="s">
        <v>2125</v>
      </c>
      <c r="CJ138" s="320" t="s">
        <v>878</v>
      </c>
      <c r="CK138" s="43" t="s">
        <v>1274</v>
      </c>
      <c r="CL138" s="43" t="s">
        <v>1271</v>
      </c>
      <c r="CM138" s="271">
        <v>31.382999999999999</v>
      </c>
      <c r="CN138" s="271">
        <v>81.716999999999999</v>
      </c>
    </row>
    <row r="139" spans="1:92" s="320" customFormat="1" x14ac:dyDescent="0.2">
      <c r="A139" s="320" t="s">
        <v>981</v>
      </c>
      <c r="B139" s="320" t="s">
        <v>982</v>
      </c>
      <c r="C139" s="320" t="s">
        <v>992</v>
      </c>
      <c r="D139" s="320" t="s">
        <v>553</v>
      </c>
      <c r="E139" s="320" t="s">
        <v>901</v>
      </c>
      <c r="F139" s="320">
        <v>1</v>
      </c>
      <c r="G139" s="320">
        <v>15</v>
      </c>
      <c r="H139" s="320">
        <v>15</v>
      </c>
      <c r="I139" s="320" t="s">
        <v>783</v>
      </c>
      <c r="J139" s="320">
        <v>1987</v>
      </c>
      <c r="K139" s="320" t="s">
        <v>783</v>
      </c>
      <c r="L139" s="320">
        <v>2002</v>
      </c>
      <c r="M139" s="731">
        <v>-9999</v>
      </c>
      <c r="N139" s="731">
        <v>-9999</v>
      </c>
      <c r="O139" s="320">
        <v>1.3333333333333333</v>
      </c>
      <c r="P139" s="731">
        <v>244.91898666666668</v>
      </c>
      <c r="Q139" s="731">
        <v>-9999</v>
      </c>
      <c r="R139" s="731">
        <v>183.68924000000001</v>
      </c>
      <c r="S139" s="731"/>
      <c r="T139" s="731">
        <v>16.347573333333333</v>
      </c>
      <c r="U139" s="731">
        <v>-9999</v>
      </c>
      <c r="V139" s="731">
        <v>12.260680000000001</v>
      </c>
      <c r="W139" s="731">
        <v>23.073146666666666</v>
      </c>
      <c r="X139" s="731">
        <v>-9999</v>
      </c>
      <c r="Y139" s="731">
        <v>17.304860000000001</v>
      </c>
      <c r="Z139" s="320" t="s">
        <v>1707</v>
      </c>
      <c r="AA139" s="320">
        <v>1660</v>
      </c>
      <c r="AB139" s="320">
        <v>0.77</v>
      </c>
      <c r="AC139" s="320">
        <v>0.6</v>
      </c>
      <c r="AD139" s="320">
        <v>0.15</v>
      </c>
      <c r="AE139" s="320" t="s">
        <v>1970</v>
      </c>
      <c r="AF139" s="320">
        <v>4</v>
      </c>
      <c r="AG139" s="320" t="s">
        <v>843</v>
      </c>
      <c r="AH139" s="320" t="s">
        <v>876</v>
      </c>
      <c r="AI139" s="320" t="s">
        <v>985</v>
      </c>
      <c r="AJ139" s="320" t="s">
        <v>892</v>
      </c>
      <c r="AK139" s="320" t="s">
        <v>966</v>
      </c>
      <c r="AL139" s="320" t="s">
        <v>828</v>
      </c>
      <c r="AM139" s="320" t="s">
        <v>871</v>
      </c>
      <c r="AN139" s="320" t="s">
        <v>631</v>
      </c>
      <c r="AO139" s="320">
        <v>-9999</v>
      </c>
      <c r="AP139" s="320">
        <v>-9999</v>
      </c>
      <c r="AQ139" s="320" t="s">
        <v>626</v>
      </c>
      <c r="AR139" s="730">
        <v>1254.3999999999999</v>
      </c>
      <c r="AS139" s="320" t="s">
        <v>141</v>
      </c>
      <c r="AT139" s="320" t="s">
        <v>310</v>
      </c>
      <c r="AU139" s="730">
        <v>199.7296</v>
      </c>
      <c r="AV139" s="320">
        <v>-9999</v>
      </c>
      <c r="AW139" s="320">
        <v>-9999</v>
      </c>
      <c r="AX139" s="730">
        <v>180.88</v>
      </c>
      <c r="AY139" s="320">
        <v>-9999</v>
      </c>
      <c r="AZ139" s="320">
        <v>-9999</v>
      </c>
      <c r="BA139" s="320">
        <v>-9999</v>
      </c>
      <c r="BB139" s="320" t="s">
        <v>631</v>
      </c>
      <c r="BC139" s="320">
        <v>-9999</v>
      </c>
      <c r="BD139" s="320">
        <v>-9999</v>
      </c>
      <c r="BE139" s="320">
        <v>-9999</v>
      </c>
      <c r="BF139" s="320">
        <v>-9999</v>
      </c>
      <c r="BG139" s="320">
        <v>-9999</v>
      </c>
      <c r="BH139" s="320">
        <v>-9999</v>
      </c>
      <c r="BI139" s="320">
        <v>-9999</v>
      </c>
      <c r="BJ139" s="320">
        <v>43.546700000000001</v>
      </c>
      <c r="BK139" s="320">
        <v>-9999</v>
      </c>
      <c r="BL139" s="320">
        <v>14.970140000000001</v>
      </c>
      <c r="BM139" s="320">
        <v>-9999</v>
      </c>
      <c r="BN139" s="320">
        <v>20.2</v>
      </c>
      <c r="BO139" s="320">
        <v>-9999</v>
      </c>
      <c r="BP139" s="320">
        <v>-9999</v>
      </c>
      <c r="BQ139" s="320">
        <v>-9999</v>
      </c>
      <c r="BR139" s="320">
        <v>-9999</v>
      </c>
      <c r="BS139" s="320">
        <v>-9999</v>
      </c>
      <c r="BT139" s="320">
        <v>-9999</v>
      </c>
      <c r="BU139" s="320">
        <v>-9999</v>
      </c>
      <c r="BV139" s="320">
        <v>-9999</v>
      </c>
      <c r="BX139" s="320">
        <v>-9999</v>
      </c>
      <c r="BY139" s="320">
        <v>-9999</v>
      </c>
      <c r="BZ139" s="320">
        <v>-9999</v>
      </c>
      <c r="CA139" s="320">
        <v>-9999</v>
      </c>
      <c r="CC139" s="320">
        <v>1</v>
      </c>
      <c r="CD139" s="320">
        <v>15</v>
      </c>
      <c r="CE139" s="731">
        <v>16.347573333333333</v>
      </c>
      <c r="CF139" s="731">
        <v>23.073146666666666</v>
      </c>
      <c r="CG139" s="320">
        <v>15</v>
      </c>
      <c r="CH139" s="301" t="s">
        <v>2119</v>
      </c>
      <c r="CI139" s="301" t="s">
        <v>2126</v>
      </c>
      <c r="CJ139" s="320" t="s">
        <v>878</v>
      </c>
      <c r="CK139" s="43" t="s">
        <v>1273</v>
      </c>
      <c r="CL139" s="43" t="s">
        <v>1272</v>
      </c>
      <c r="CM139" s="271">
        <v>31.25</v>
      </c>
      <c r="CN139" s="271">
        <v>82.4</v>
      </c>
    </row>
    <row r="140" spans="1:92" s="320" customFormat="1" x14ac:dyDescent="0.2">
      <c r="A140" s="320" t="s">
        <v>981</v>
      </c>
      <c r="B140" s="320" t="s">
        <v>982</v>
      </c>
      <c r="C140" s="320" t="s">
        <v>994</v>
      </c>
      <c r="D140" s="320" t="s">
        <v>553</v>
      </c>
      <c r="E140" s="320" t="s">
        <v>901</v>
      </c>
      <c r="F140" s="320">
        <v>1</v>
      </c>
      <c r="G140" s="320">
        <v>15</v>
      </c>
      <c r="H140" s="320">
        <v>15</v>
      </c>
      <c r="I140" s="320" t="s">
        <v>783</v>
      </c>
      <c r="J140" s="320">
        <v>1987</v>
      </c>
      <c r="K140" s="320" t="s">
        <v>783</v>
      </c>
      <c r="L140" s="320">
        <v>2002</v>
      </c>
      <c r="M140" s="731">
        <v>-9999</v>
      </c>
      <c r="N140" s="731">
        <v>-9999</v>
      </c>
      <c r="O140" s="320">
        <v>1.3333333333333333</v>
      </c>
      <c r="P140" s="731">
        <v>254.49190666666658</v>
      </c>
      <c r="Q140" s="731">
        <v>-9999</v>
      </c>
      <c r="R140" s="731">
        <v>190.86892999999995</v>
      </c>
      <c r="S140" s="731"/>
      <c r="T140" s="731">
        <v>16.985759999999999</v>
      </c>
      <c r="U140" s="731">
        <v>-9999</v>
      </c>
      <c r="V140" s="731">
        <v>12.739319999999999</v>
      </c>
      <c r="W140" s="731">
        <v>23.564066666666665</v>
      </c>
      <c r="X140" s="731">
        <v>-9999</v>
      </c>
      <c r="Y140" s="731">
        <v>17.67305</v>
      </c>
      <c r="Z140" s="320" t="s">
        <v>1707</v>
      </c>
      <c r="AA140" s="320">
        <v>1660</v>
      </c>
      <c r="AB140" s="320">
        <v>0.77</v>
      </c>
      <c r="AC140" s="320">
        <v>0.6</v>
      </c>
      <c r="AD140" s="320">
        <v>0.15</v>
      </c>
      <c r="AE140" s="320" t="s">
        <v>1970</v>
      </c>
      <c r="AF140" s="320">
        <v>4</v>
      </c>
      <c r="AG140" s="320" t="s">
        <v>843</v>
      </c>
      <c r="AH140" s="320" t="s">
        <v>876</v>
      </c>
      <c r="AI140" s="320" t="s">
        <v>985</v>
      </c>
      <c r="AJ140" s="320" t="s">
        <v>892</v>
      </c>
      <c r="AK140" s="320" t="s">
        <v>966</v>
      </c>
      <c r="AL140" s="320" t="s">
        <v>828</v>
      </c>
      <c r="AM140" s="320" t="s">
        <v>871</v>
      </c>
      <c r="AN140" s="320" t="s">
        <v>631</v>
      </c>
      <c r="AO140" s="320">
        <v>-9999</v>
      </c>
      <c r="AP140" s="320">
        <v>-9999</v>
      </c>
      <c r="AQ140" s="320" t="s">
        <v>626</v>
      </c>
      <c r="AR140" s="730">
        <v>1254.3999999999999</v>
      </c>
      <c r="AS140" s="320" t="s">
        <v>141</v>
      </c>
      <c r="AT140" s="320" t="s">
        <v>310</v>
      </c>
      <c r="AU140" s="730">
        <v>199.7296</v>
      </c>
      <c r="AV140" s="320">
        <v>-9999</v>
      </c>
      <c r="AW140" s="320">
        <v>-9999</v>
      </c>
      <c r="AX140" s="730">
        <v>180.88</v>
      </c>
      <c r="AY140" s="320">
        <v>-9999</v>
      </c>
      <c r="AZ140" s="320">
        <v>-9999</v>
      </c>
      <c r="BA140" s="320">
        <v>-9999</v>
      </c>
      <c r="BB140" s="320" t="s">
        <v>626</v>
      </c>
      <c r="BC140" s="320" t="s">
        <v>987</v>
      </c>
      <c r="BD140" s="320" t="s">
        <v>988</v>
      </c>
      <c r="BE140" s="320" t="s">
        <v>989</v>
      </c>
      <c r="BF140" s="320" t="s">
        <v>881</v>
      </c>
      <c r="BG140" s="320" t="s">
        <v>990</v>
      </c>
      <c r="BH140" s="320" t="s">
        <v>991</v>
      </c>
      <c r="BI140" s="320">
        <v>-9999</v>
      </c>
      <c r="BJ140" s="320">
        <v>45.7836</v>
      </c>
      <c r="BK140" s="320">
        <v>-9999</v>
      </c>
      <c r="BL140" s="320">
        <v>21.9771</v>
      </c>
      <c r="BM140" s="320">
        <v>-9999</v>
      </c>
      <c r="BN140" s="320">
        <v>20.8</v>
      </c>
      <c r="BO140" s="320">
        <v>-9999</v>
      </c>
      <c r="BP140" s="320">
        <v>-9999</v>
      </c>
      <c r="BQ140" s="320">
        <v>-9999</v>
      </c>
      <c r="BR140" s="320">
        <v>-9999</v>
      </c>
      <c r="BS140" s="320">
        <v>-9999</v>
      </c>
      <c r="BT140" s="320">
        <v>-9999</v>
      </c>
      <c r="BU140" s="320">
        <v>-9999</v>
      </c>
      <c r="BV140" s="320">
        <v>-9999</v>
      </c>
      <c r="BX140" s="320">
        <v>-9999</v>
      </c>
      <c r="BY140" s="320">
        <v>-9999</v>
      </c>
      <c r="BZ140" s="320">
        <v>-9999</v>
      </c>
      <c r="CA140" s="320">
        <v>-9999</v>
      </c>
      <c r="CC140" s="320">
        <v>1</v>
      </c>
      <c r="CD140" s="320">
        <v>15</v>
      </c>
      <c r="CE140" s="731">
        <v>16.985759999999999</v>
      </c>
      <c r="CF140" s="731">
        <v>23.564066666666665</v>
      </c>
      <c r="CG140" s="320">
        <v>15</v>
      </c>
      <c r="CH140" s="301" t="s">
        <v>2119</v>
      </c>
      <c r="CI140" s="301" t="s">
        <v>2126</v>
      </c>
      <c r="CJ140" s="320" t="s">
        <v>878</v>
      </c>
      <c r="CK140" s="43" t="s">
        <v>1273</v>
      </c>
      <c r="CL140" s="43" t="s">
        <v>1272</v>
      </c>
      <c r="CM140" s="271">
        <v>31.25</v>
      </c>
      <c r="CN140" s="271">
        <v>82.4</v>
      </c>
    </row>
    <row r="141" spans="1:92" s="320" customFormat="1" x14ac:dyDescent="0.2">
      <c r="A141" s="320" t="s">
        <v>981</v>
      </c>
      <c r="B141" s="320" t="s">
        <v>982</v>
      </c>
      <c r="C141" s="320" t="s">
        <v>997</v>
      </c>
      <c r="D141" s="320" t="s">
        <v>553</v>
      </c>
      <c r="E141" s="320" t="s">
        <v>901</v>
      </c>
      <c r="F141" s="320">
        <v>1</v>
      </c>
      <c r="G141" s="320">
        <v>15</v>
      </c>
      <c r="H141" s="320">
        <v>15</v>
      </c>
      <c r="I141" s="320" t="s">
        <v>783</v>
      </c>
      <c r="J141" s="320">
        <v>1987</v>
      </c>
      <c r="K141" s="320" t="s">
        <v>783</v>
      </c>
      <c r="L141" s="320">
        <v>2002</v>
      </c>
      <c r="M141" s="731">
        <v>-9999</v>
      </c>
      <c r="N141" s="731">
        <v>-9999</v>
      </c>
      <c r="O141" s="320">
        <v>1.3333333333333333</v>
      </c>
      <c r="P141" s="731">
        <v>228.57517333333331</v>
      </c>
      <c r="Q141" s="731">
        <v>-9999</v>
      </c>
      <c r="R141" s="731">
        <v>171.43137999999999</v>
      </c>
      <c r="S141" s="731"/>
      <c r="T141" s="731">
        <v>15.172666666666666</v>
      </c>
      <c r="U141" s="731">
        <v>-9999</v>
      </c>
      <c r="V141" s="731">
        <v>11.3795</v>
      </c>
      <c r="W141" s="731">
        <v>28.299479999999996</v>
      </c>
      <c r="X141" s="731">
        <v>-9999</v>
      </c>
      <c r="Y141" s="731">
        <v>21.224609999999998</v>
      </c>
      <c r="Z141" s="320" t="s">
        <v>1707</v>
      </c>
      <c r="AA141" s="320">
        <v>1660</v>
      </c>
      <c r="AB141" s="320">
        <v>0.74</v>
      </c>
      <c r="AC141" s="320">
        <v>0.6</v>
      </c>
      <c r="AD141" s="320">
        <v>0.15</v>
      </c>
      <c r="AE141" s="320" t="s">
        <v>1970</v>
      </c>
      <c r="AF141" s="320">
        <v>4</v>
      </c>
      <c r="AG141" s="320" t="s">
        <v>843</v>
      </c>
      <c r="AH141" s="320" t="s">
        <v>876</v>
      </c>
      <c r="AI141" s="320" t="s">
        <v>985</v>
      </c>
      <c r="AJ141" s="320" t="s">
        <v>892</v>
      </c>
      <c r="AK141" s="320" t="s">
        <v>966</v>
      </c>
      <c r="AL141" s="320" t="s">
        <v>828</v>
      </c>
      <c r="AM141" s="320" t="s">
        <v>871</v>
      </c>
      <c r="AN141" s="320" t="s">
        <v>631</v>
      </c>
      <c r="AO141" s="320">
        <v>-9999</v>
      </c>
      <c r="AP141" s="320">
        <v>-9999</v>
      </c>
      <c r="AQ141" s="320" t="s">
        <v>626</v>
      </c>
      <c r="AR141" s="730">
        <v>1254.3999999999999</v>
      </c>
      <c r="AS141" s="320" t="s">
        <v>141</v>
      </c>
      <c r="AT141" s="320" t="s">
        <v>310</v>
      </c>
      <c r="AU141" s="730">
        <v>199.7296</v>
      </c>
      <c r="AV141" s="320">
        <v>-9999</v>
      </c>
      <c r="AW141" s="320">
        <v>-9999</v>
      </c>
      <c r="AX141" s="730">
        <v>180.88</v>
      </c>
      <c r="AY141" s="320">
        <v>-9999</v>
      </c>
      <c r="AZ141" s="320">
        <v>-9999</v>
      </c>
      <c r="BA141" s="320">
        <v>-9999</v>
      </c>
      <c r="BB141" s="320" t="s">
        <v>631</v>
      </c>
      <c r="BC141" s="320">
        <v>-9999</v>
      </c>
      <c r="BD141" s="320">
        <v>-9999</v>
      </c>
      <c r="BE141" s="320">
        <v>-9999</v>
      </c>
      <c r="BF141" s="320">
        <v>-9999</v>
      </c>
      <c r="BG141" s="320">
        <v>-9999</v>
      </c>
      <c r="BH141" s="320">
        <v>-9999</v>
      </c>
      <c r="BI141" s="320" t="s">
        <v>993</v>
      </c>
      <c r="BJ141" s="320">
        <v>42.921399999999998</v>
      </c>
      <c r="BK141" s="320">
        <v>-9999</v>
      </c>
      <c r="BL141" s="320">
        <v>20.725809999999999</v>
      </c>
      <c r="BM141" s="320">
        <v>-9999</v>
      </c>
      <c r="BN141" s="320">
        <v>20.399999999999999</v>
      </c>
      <c r="BO141" s="320">
        <v>-9999</v>
      </c>
      <c r="BP141" s="320">
        <v>-9999</v>
      </c>
      <c r="BQ141" s="320">
        <v>-9999</v>
      </c>
      <c r="BR141" s="320">
        <v>-9999</v>
      </c>
      <c r="BS141" s="320">
        <v>-9999</v>
      </c>
      <c r="BT141" s="320">
        <v>-9999</v>
      </c>
      <c r="BU141" s="320">
        <v>-9999</v>
      </c>
      <c r="BV141" s="320">
        <v>-9999</v>
      </c>
      <c r="BX141" s="320">
        <v>-9999</v>
      </c>
      <c r="BY141" s="320">
        <v>-9999</v>
      </c>
      <c r="BZ141" s="320">
        <v>-9999</v>
      </c>
      <c r="CA141" s="320">
        <v>-9999</v>
      </c>
      <c r="CC141" s="320">
        <v>1</v>
      </c>
      <c r="CD141" s="320">
        <v>15</v>
      </c>
      <c r="CE141" s="731">
        <v>15.172666666666666</v>
      </c>
      <c r="CF141" s="731">
        <v>28.299479999999996</v>
      </c>
      <c r="CG141" s="320">
        <v>15</v>
      </c>
      <c r="CH141" s="301" t="s">
        <v>2119</v>
      </c>
      <c r="CI141" s="301" t="s">
        <v>2126</v>
      </c>
      <c r="CJ141" s="320" t="s">
        <v>878</v>
      </c>
      <c r="CK141" s="43" t="s">
        <v>1273</v>
      </c>
      <c r="CL141" s="43" t="s">
        <v>1272</v>
      </c>
      <c r="CM141" s="271">
        <v>31.25</v>
      </c>
      <c r="CN141" s="271">
        <v>82.4</v>
      </c>
    </row>
    <row r="142" spans="1:92" s="320" customFormat="1" x14ac:dyDescent="0.2">
      <c r="A142" s="320" t="s">
        <v>981</v>
      </c>
      <c r="B142" s="320" t="s">
        <v>982</v>
      </c>
      <c r="C142" s="320" t="s">
        <v>998</v>
      </c>
      <c r="D142" s="320" t="s">
        <v>553</v>
      </c>
      <c r="E142" s="320" t="s">
        <v>901</v>
      </c>
      <c r="F142" s="320">
        <v>1</v>
      </c>
      <c r="G142" s="320">
        <v>15</v>
      </c>
      <c r="H142" s="320">
        <v>15</v>
      </c>
      <c r="I142" s="320" t="s">
        <v>783</v>
      </c>
      <c r="J142" s="320">
        <v>1987</v>
      </c>
      <c r="K142" s="320" t="s">
        <v>783</v>
      </c>
      <c r="L142" s="320">
        <v>2002</v>
      </c>
      <c r="M142" s="731">
        <v>-9999</v>
      </c>
      <c r="N142" s="731">
        <v>-9999</v>
      </c>
      <c r="O142" s="320">
        <v>1.3333333333333333</v>
      </c>
      <c r="P142" s="731">
        <v>248.14310666666668</v>
      </c>
      <c r="Q142" s="731">
        <v>-9999</v>
      </c>
      <c r="R142" s="731">
        <v>186.10733000000002</v>
      </c>
      <c r="S142" s="731"/>
      <c r="T142" s="731">
        <v>16.410959999999999</v>
      </c>
      <c r="U142" s="731">
        <v>-9999</v>
      </c>
      <c r="V142" s="731">
        <v>12.30822</v>
      </c>
      <c r="W142" s="731">
        <v>33.810400000000001</v>
      </c>
      <c r="X142" s="731">
        <v>-9999</v>
      </c>
      <c r="Y142" s="731">
        <v>25.357800000000001</v>
      </c>
      <c r="Z142" s="320" t="s">
        <v>1707</v>
      </c>
      <c r="AA142" s="320">
        <v>1660</v>
      </c>
      <c r="AB142" s="320">
        <v>0.85</v>
      </c>
      <c r="AC142" s="320">
        <v>0.6</v>
      </c>
      <c r="AD142" s="320">
        <v>0.15</v>
      </c>
      <c r="AE142" s="320" t="s">
        <v>1970</v>
      </c>
      <c r="AF142" s="320">
        <v>4</v>
      </c>
      <c r="AG142" s="320" t="s">
        <v>843</v>
      </c>
      <c r="AH142" s="320" t="s">
        <v>876</v>
      </c>
      <c r="AI142" s="320" t="s">
        <v>985</v>
      </c>
      <c r="AJ142" s="320" t="s">
        <v>892</v>
      </c>
      <c r="AK142" s="320" t="s">
        <v>966</v>
      </c>
      <c r="AL142" s="320" t="s">
        <v>828</v>
      </c>
      <c r="AM142" s="320" t="s">
        <v>871</v>
      </c>
      <c r="AN142" s="320" t="s">
        <v>631</v>
      </c>
      <c r="AO142" s="320">
        <v>-9999</v>
      </c>
      <c r="AP142" s="320">
        <v>-9999</v>
      </c>
      <c r="AQ142" s="320" t="s">
        <v>626</v>
      </c>
      <c r="AR142" s="730">
        <v>1254.3999999999999</v>
      </c>
      <c r="AS142" s="320" t="s">
        <v>141</v>
      </c>
      <c r="AT142" s="320" t="s">
        <v>310</v>
      </c>
      <c r="AU142" s="730">
        <v>199.7296</v>
      </c>
      <c r="AV142" s="320">
        <v>-9999</v>
      </c>
      <c r="AW142" s="320">
        <v>-9999</v>
      </c>
      <c r="AX142" s="730">
        <v>180.88</v>
      </c>
      <c r="AY142" s="320">
        <v>-9999</v>
      </c>
      <c r="AZ142" s="320">
        <v>-9999</v>
      </c>
      <c r="BB142" s="320" t="s">
        <v>626</v>
      </c>
      <c r="BC142" s="320" t="s">
        <v>987</v>
      </c>
      <c r="BD142" s="320" t="s">
        <v>988</v>
      </c>
      <c r="BE142" s="320" t="s">
        <v>989</v>
      </c>
      <c r="BF142" s="320" t="s">
        <v>881</v>
      </c>
      <c r="BG142" s="320" t="s">
        <v>990</v>
      </c>
      <c r="BH142" s="320" t="s">
        <v>991</v>
      </c>
      <c r="BI142" s="320" t="s">
        <v>993</v>
      </c>
      <c r="BJ142" s="320">
        <v>48</v>
      </c>
      <c r="BK142" s="320">
        <v>-9999</v>
      </c>
      <c r="BL142" s="320">
        <v>16.048390000000001</v>
      </c>
      <c r="BM142" s="320">
        <v>-9999</v>
      </c>
      <c r="BN142" s="320">
        <v>20.399999999999999</v>
      </c>
      <c r="BO142" s="320">
        <v>-9999</v>
      </c>
      <c r="BP142" s="320">
        <v>-9999</v>
      </c>
      <c r="BQ142" s="320">
        <v>-9999</v>
      </c>
      <c r="BR142" s="320">
        <v>-9999</v>
      </c>
      <c r="BS142" s="320">
        <v>-9999</v>
      </c>
      <c r="BT142" s="320">
        <v>-9999</v>
      </c>
      <c r="BU142" s="320">
        <v>-9999</v>
      </c>
      <c r="BV142" s="320">
        <v>-9999</v>
      </c>
      <c r="BX142" s="320">
        <v>-9999</v>
      </c>
      <c r="BY142" s="320">
        <v>-9999</v>
      </c>
      <c r="BZ142" s="320">
        <v>-9999</v>
      </c>
      <c r="CA142" s="320">
        <v>-9999</v>
      </c>
      <c r="CC142" s="320">
        <v>1</v>
      </c>
      <c r="CD142" s="320">
        <v>15</v>
      </c>
      <c r="CE142" s="731">
        <v>16.410959999999999</v>
      </c>
      <c r="CF142" s="731">
        <v>33.810400000000001</v>
      </c>
      <c r="CG142" s="320">
        <v>15</v>
      </c>
      <c r="CH142" s="301" t="s">
        <v>2119</v>
      </c>
      <c r="CI142" s="301" t="s">
        <v>2126</v>
      </c>
      <c r="CJ142" s="320" t="s">
        <v>878</v>
      </c>
      <c r="CK142" s="43" t="s">
        <v>1273</v>
      </c>
      <c r="CL142" s="43" t="s">
        <v>1272</v>
      </c>
      <c r="CM142" s="271">
        <v>31.25</v>
      </c>
      <c r="CN142" s="271">
        <v>82.4</v>
      </c>
    </row>
    <row r="143" spans="1:92" s="320" customFormat="1" x14ac:dyDescent="0.2">
      <c r="A143" s="320" t="s">
        <v>1012</v>
      </c>
      <c r="B143" s="320" t="s">
        <v>1013</v>
      </c>
      <c r="C143" s="320" t="s">
        <v>1014</v>
      </c>
      <c r="D143" s="320" t="s">
        <v>553</v>
      </c>
      <c r="E143" s="320" t="s">
        <v>901</v>
      </c>
      <c r="F143" s="320">
        <v>1</v>
      </c>
      <c r="G143" s="320">
        <v>11</v>
      </c>
      <c r="H143" s="320">
        <v>11</v>
      </c>
      <c r="I143" s="320" t="s">
        <v>856</v>
      </c>
      <c r="J143" s="320">
        <v>1983</v>
      </c>
      <c r="K143" s="320" t="s">
        <v>1211</v>
      </c>
      <c r="L143" s="320">
        <v>1993</v>
      </c>
      <c r="M143" s="731">
        <v>-9999</v>
      </c>
      <c r="N143" s="731">
        <v>-9999</v>
      </c>
      <c r="P143" s="731">
        <v>134.12700000000001</v>
      </c>
      <c r="Q143" s="731">
        <v>-9999</v>
      </c>
      <c r="R143" s="731">
        <v>-9999</v>
      </c>
      <c r="S143" s="731">
        <v>-9999</v>
      </c>
      <c r="T143" s="731">
        <v>12.193363636363637</v>
      </c>
      <c r="U143" s="731">
        <v>-9999</v>
      </c>
      <c r="V143" s="731">
        <v>-9999</v>
      </c>
      <c r="W143" s="731">
        <v>15.571500000000007</v>
      </c>
      <c r="X143" s="731">
        <v>-9999</v>
      </c>
      <c r="Y143" s="731">
        <v>-9999</v>
      </c>
      <c r="Z143" s="320" t="s">
        <v>1015</v>
      </c>
      <c r="AA143" s="320">
        <v>1495</v>
      </c>
      <c r="AB143" s="320">
        <v>-9999</v>
      </c>
      <c r="AC143" s="320">
        <v>-9999</v>
      </c>
      <c r="AD143" s="320">
        <v>820</v>
      </c>
      <c r="AE143" s="320" t="s">
        <v>281</v>
      </c>
      <c r="AF143" s="320">
        <v>3</v>
      </c>
      <c r="AG143" s="320" t="s">
        <v>843</v>
      </c>
      <c r="AH143" s="320" t="s">
        <v>876</v>
      </c>
      <c r="AI143" s="320" t="s">
        <v>886</v>
      </c>
      <c r="AJ143" s="320" t="s">
        <v>892</v>
      </c>
      <c r="AK143" s="320" t="s">
        <v>965</v>
      </c>
      <c r="AL143" s="320" t="s">
        <v>828</v>
      </c>
      <c r="AM143" s="320" t="s">
        <v>871</v>
      </c>
      <c r="AN143" s="320" t="s">
        <v>631</v>
      </c>
      <c r="AO143" s="320">
        <v>-9999</v>
      </c>
      <c r="AP143" s="320">
        <v>-9999</v>
      </c>
      <c r="AQ143" s="320" t="s">
        <v>626</v>
      </c>
      <c r="AR143" s="730">
        <v>360</v>
      </c>
      <c r="AS143" s="320" t="s">
        <v>144</v>
      </c>
      <c r="AT143" s="320" t="s">
        <v>149</v>
      </c>
      <c r="AU143" s="730">
        <v>143</v>
      </c>
      <c r="AV143" s="320" t="s">
        <v>143</v>
      </c>
      <c r="AW143" s="320" t="s">
        <v>149</v>
      </c>
      <c r="AX143" s="730">
        <v>317</v>
      </c>
      <c r="AY143" s="320" t="s">
        <v>145</v>
      </c>
      <c r="AZ143" s="320" t="s">
        <v>149</v>
      </c>
      <c r="BA143" s="320" t="s">
        <v>314</v>
      </c>
      <c r="BB143" s="320" t="s">
        <v>626</v>
      </c>
      <c r="BC143" s="320" t="s">
        <v>315</v>
      </c>
      <c r="BI143" s="320" t="s">
        <v>316</v>
      </c>
      <c r="BJ143" s="320">
        <v>36.6</v>
      </c>
      <c r="BK143" s="320">
        <v>-9999</v>
      </c>
      <c r="BL143" s="320">
        <v>-9999</v>
      </c>
      <c r="BM143" s="320">
        <v>-9999</v>
      </c>
      <c r="BN143" s="320">
        <v>-9999</v>
      </c>
      <c r="BO143" s="320">
        <v>-9999</v>
      </c>
      <c r="BP143" s="320">
        <v>-9999</v>
      </c>
      <c r="BQ143" s="320">
        <v>-9999</v>
      </c>
      <c r="BR143" s="320">
        <v>-9999</v>
      </c>
      <c r="BS143" s="320">
        <v>-9999</v>
      </c>
      <c r="BT143" s="320">
        <v>-9999</v>
      </c>
      <c r="BU143" s="320">
        <v>-9999</v>
      </c>
      <c r="BV143" s="320">
        <v>-9999</v>
      </c>
      <c r="BX143" s="320">
        <v>-9999</v>
      </c>
      <c r="BY143" s="320">
        <v>-9999</v>
      </c>
      <c r="BZ143" s="320">
        <v>-9999</v>
      </c>
      <c r="CA143" s="320">
        <v>-9999</v>
      </c>
      <c r="CC143" s="320">
        <v>1</v>
      </c>
      <c r="CD143" s="320">
        <v>11</v>
      </c>
      <c r="CE143" s="731">
        <v>12.193363636363637</v>
      </c>
      <c r="CF143" s="731">
        <v>15.571500000000007</v>
      </c>
      <c r="CG143" s="320">
        <v>11</v>
      </c>
      <c r="CH143" s="301" t="s">
        <v>2118</v>
      </c>
      <c r="CI143" s="320" t="s">
        <v>2125</v>
      </c>
      <c r="CJ143" s="320" t="s">
        <v>878</v>
      </c>
      <c r="CK143" s="43" t="s">
        <v>1275</v>
      </c>
      <c r="CL143" s="131" t="s">
        <v>1276</v>
      </c>
      <c r="CM143" s="271">
        <v>29.716999999999999</v>
      </c>
      <c r="CN143" s="271">
        <v>82.332999999999998</v>
      </c>
    </row>
    <row r="144" spans="1:92" s="320" customFormat="1" x14ac:dyDescent="0.2">
      <c r="A144" s="320" t="s">
        <v>1012</v>
      </c>
      <c r="B144" s="320" t="s">
        <v>1013</v>
      </c>
      <c r="C144" s="320" t="s">
        <v>1016</v>
      </c>
      <c r="D144" s="320" t="s">
        <v>553</v>
      </c>
      <c r="E144" s="320" t="s">
        <v>901</v>
      </c>
      <c r="F144" s="320">
        <v>1</v>
      </c>
      <c r="G144" s="320">
        <v>13</v>
      </c>
      <c r="H144" s="320">
        <v>13</v>
      </c>
      <c r="I144" s="320" t="s">
        <v>856</v>
      </c>
      <c r="J144" s="320">
        <v>1983</v>
      </c>
      <c r="K144" s="320" t="s">
        <v>1211</v>
      </c>
      <c r="L144" s="320">
        <v>1995</v>
      </c>
      <c r="M144" s="731">
        <v>-9999</v>
      </c>
      <c r="N144" s="731">
        <v>-9999</v>
      </c>
      <c r="P144" s="731">
        <v>133.80000000000001</v>
      </c>
      <c r="Q144" s="731">
        <v>-9999</v>
      </c>
      <c r="R144" s="731">
        <v>88.6</v>
      </c>
      <c r="S144" s="731">
        <v>12.5</v>
      </c>
      <c r="T144" s="731">
        <v>10.292307692307693</v>
      </c>
      <c r="U144" s="731">
        <v>-9999</v>
      </c>
      <c r="V144" s="731">
        <v>6.8153846153846152</v>
      </c>
      <c r="W144" s="731">
        <v>10.823500000000003</v>
      </c>
      <c r="X144" s="731">
        <v>-9999</v>
      </c>
      <c r="Y144" s="731">
        <v>-9999</v>
      </c>
      <c r="Z144" s="320" t="s">
        <v>1015</v>
      </c>
      <c r="AA144" s="320">
        <v>1495</v>
      </c>
      <c r="AB144" s="320">
        <v>-9999</v>
      </c>
      <c r="AC144" s="320">
        <v>-9999</v>
      </c>
      <c r="AD144" s="320">
        <v>820</v>
      </c>
      <c r="AE144" s="320" t="s">
        <v>281</v>
      </c>
      <c r="AF144" s="320">
        <v>3</v>
      </c>
      <c r="AG144" s="320" t="s">
        <v>843</v>
      </c>
      <c r="AH144" s="320" t="s">
        <v>876</v>
      </c>
      <c r="AI144" s="320" t="s">
        <v>886</v>
      </c>
      <c r="AJ144" s="320" t="s">
        <v>892</v>
      </c>
      <c r="AK144" s="320" t="s">
        <v>965</v>
      </c>
      <c r="AL144" s="320" t="s">
        <v>828</v>
      </c>
      <c r="AM144" s="320" t="s">
        <v>871</v>
      </c>
      <c r="AN144" s="320" t="s">
        <v>631</v>
      </c>
      <c r="AO144" s="320">
        <v>-9999</v>
      </c>
      <c r="AP144" s="320">
        <v>-9999</v>
      </c>
      <c r="AQ144" s="320" t="s">
        <v>626</v>
      </c>
      <c r="AR144" s="730">
        <v>360</v>
      </c>
      <c r="AS144" s="320" t="s">
        <v>144</v>
      </c>
      <c r="AT144" s="320" t="s">
        <v>149</v>
      </c>
      <c r="AU144" s="730">
        <v>143</v>
      </c>
      <c r="AV144" s="320" t="s">
        <v>143</v>
      </c>
      <c r="AW144" s="320" t="s">
        <v>149</v>
      </c>
      <c r="AX144" s="730">
        <v>317</v>
      </c>
      <c r="AY144" s="320" t="s">
        <v>145</v>
      </c>
      <c r="AZ144" s="320" t="s">
        <v>149</v>
      </c>
      <c r="BA144" s="320" t="s">
        <v>314</v>
      </c>
      <c r="BB144" s="320" t="s">
        <v>631</v>
      </c>
      <c r="BC144" s="320" t="s">
        <v>869</v>
      </c>
      <c r="BD144" s="320">
        <v>-9999</v>
      </c>
      <c r="BE144" s="320">
        <v>-9999</v>
      </c>
      <c r="BF144" s="320" t="s">
        <v>967</v>
      </c>
      <c r="BG144" s="320">
        <v>-9999</v>
      </c>
      <c r="BH144" s="320">
        <v>-9999</v>
      </c>
      <c r="BI144" s="320" t="s">
        <v>162</v>
      </c>
      <c r="BJ144" s="320">
        <v>35.799999999999997</v>
      </c>
      <c r="BK144" s="320">
        <v>-9999</v>
      </c>
      <c r="BL144" s="320">
        <v>-9999</v>
      </c>
      <c r="BM144" s="320">
        <v>-9999</v>
      </c>
      <c r="BN144" s="320">
        <v>-9999</v>
      </c>
      <c r="BO144" s="320">
        <v>-9999</v>
      </c>
      <c r="BP144" s="320">
        <v>-9999</v>
      </c>
      <c r="BQ144" s="320">
        <v>-9999</v>
      </c>
      <c r="BR144" s="320">
        <v>-9999</v>
      </c>
      <c r="BS144" s="320">
        <v>-9999</v>
      </c>
      <c r="BT144" s="320">
        <v>-9999</v>
      </c>
      <c r="BU144" s="320">
        <v>-9999</v>
      </c>
      <c r="BV144" s="320">
        <v>-9999</v>
      </c>
      <c r="BX144" s="320">
        <v>-9999</v>
      </c>
      <c r="BY144" s="320">
        <v>-9999</v>
      </c>
      <c r="BZ144" s="320">
        <v>-9999</v>
      </c>
      <c r="CA144" s="320">
        <v>-9999</v>
      </c>
      <c r="CC144" s="320">
        <v>1</v>
      </c>
      <c r="CD144" s="320">
        <v>13</v>
      </c>
      <c r="CE144" s="731">
        <v>10.292307692307693</v>
      </c>
      <c r="CF144" s="731">
        <v>10.823500000000003</v>
      </c>
      <c r="CG144" s="320">
        <v>13</v>
      </c>
      <c r="CH144" s="301" t="s">
        <v>2118</v>
      </c>
      <c r="CI144" s="320" t="s">
        <v>2125</v>
      </c>
      <c r="CK144" s="43" t="s">
        <v>1275</v>
      </c>
      <c r="CL144" s="131" t="s">
        <v>1276</v>
      </c>
      <c r="CM144" s="271">
        <v>29.716999999999999</v>
      </c>
      <c r="CN144" s="271">
        <v>82.332999999999998</v>
      </c>
    </row>
  </sheetData>
  <pageMargins left="0.7" right="0.7" top="0.75" bottom="0.75" header="0.3" footer="0.3"/>
  <pageSetup orientation="portrait" horizontalDpi="1200" verticalDpi="1200"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TA1676"/>
  <sheetViews>
    <sheetView topLeftCell="A13" workbookViewId="0">
      <pane xSplit="14880" ySplit="1740" topLeftCell="CC830" activePane="bottomLeft"/>
      <selection activeCell="E13" sqref="E13"/>
      <selection pane="topRight" activeCell="CG13" sqref="CG1:CG1048576"/>
      <selection pane="bottomLeft" activeCell="A865" sqref="A865"/>
      <selection pane="bottomRight" activeCell="CC896" sqref="CC896"/>
    </sheetView>
  </sheetViews>
  <sheetFormatPr defaultRowHeight="12.75" x14ac:dyDescent="0.2"/>
  <cols>
    <col min="1" max="1" width="18.5703125" customWidth="1"/>
    <col min="3" max="3" width="15.140625" customWidth="1"/>
    <col min="5" max="5" width="20.28515625" customWidth="1"/>
    <col min="13" max="13" width="8.85546875" style="386"/>
    <col min="16" max="16" width="8.85546875" style="386"/>
    <col min="18" max="18" width="8.85546875" style="386"/>
    <col min="20" max="20" width="8.85546875" style="386"/>
    <col min="23" max="23" width="8.85546875" style="386"/>
    <col min="80" max="80" width="54.7109375" customWidth="1"/>
  </cols>
  <sheetData>
    <row r="1" spans="1:86" s="61" customFormat="1" x14ac:dyDescent="0.2">
      <c r="A1" s="320" t="s">
        <v>1756</v>
      </c>
      <c r="B1" s="221"/>
      <c r="C1" s="221"/>
      <c r="D1"/>
      <c r="E1"/>
      <c r="F1"/>
      <c r="G1"/>
      <c r="H1"/>
      <c r="I1"/>
      <c r="J1"/>
      <c r="K1"/>
      <c r="L1"/>
      <c r="M1" s="386"/>
      <c r="N1"/>
      <c r="O1" s="104"/>
      <c r="P1" s="386"/>
      <c r="Q1"/>
      <c r="R1" s="386"/>
      <c r="S1"/>
      <c r="T1" s="386"/>
      <c r="U1"/>
      <c r="V1"/>
      <c r="W1" s="386"/>
      <c r="X1"/>
      <c r="Y1"/>
      <c r="Z1"/>
      <c r="AA1"/>
      <c r="AB1" s="386"/>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s="293"/>
      <c r="BT1"/>
      <c r="BU1"/>
      <c r="BV1"/>
      <c r="BW1"/>
      <c r="BX1"/>
      <c r="BY1"/>
      <c r="BZ1"/>
      <c r="CA1" s="109"/>
      <c r="CE1" s="340"/>
      <c r="CF1" s="340"/>
    </row>
    <row r="2" spans="1:86" s="61" customFormat="1" x14ac:dyDescent="0.2">
      <c r="A2" s="320" t="s">
        <v>1762</v>
      </c>
      <c r="B2" s="221"/>
      <c r="C2" s="221"/>
      <c r="D2"/>
      <c r="E2"/>
      <c r="F2"/>
      <c r="G2"/>
      <c r="H2"/>
      <c r="I2"/>
      <c r="J2"/>
      <c r="K2"/>
      <c r="L2"/>
      <c r="M2" s="386"/>
      <c r="N2"/>
      <c r="O2" s="104"/>
      <c r="P2" s="386"/>
      <c r="Q2"/>
      <c r="R2" s="386"/>
      <c r="S2"/>
      <c r="T2" s="386"/>
      <c r="U2"/>
      <c r="V2"/>
      <c r="W2" s="386"/>
      <c r="X2"/>
      <c r="Y2"/>
      <c r="Z2"/>
      <c r="AA2"/>
      <c r="AB2" s="386"/>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s="293"/>
      <c r="BT2"/>
      <c r="BU2"/>
      <c r="BV2"/>
      <c r="BW2"/>
      <c r="BX2"/>
      <c r="BY2"/>
      <c r="BZ2"/>
      <c r="CA2" s="109"/>
      <c r="CE2" s="340"/>
      <c r="CF2" s="340"/>
    </row>
    <row r="3" spans="1:86" s="61" customFormat="1" x14ac:dyDescent="0.2">
      <c r="A3" s="320" t="s">
        <v>1566</v>
      </c>
      <c r="B3" s="221"/>
      <c r="C3" s="221"/>
      <c r="D3"/>
      <c r="E3"/>
      <c r="F3"/>
      <c r="G3"/>
      <c r="H3"/>
      <c r="I3"/>
      <c r="J3"/>
      <c r="K3"/>
      <c r="L3"/>
      <c r="M3" s="386"/>
      <c r="N3"/>
      <c r="O3" s="104"/>
      <c r="P3" s="386"/>
      <c r="Q3"/>
      <c r="R3" s="386"/>
      <c r="S3"/>
      <c r="T3" s="386"/>
      <c r="U3"/>
      <c r="V3"/>
      <c r="W3" s="386"/>
      <c r="X3"/>
      <c r="Y3"/>
      <c r="Z3"/>
      <c r="AA3"/>
      <c r="AB3" s="386"/>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s="293"/>
      <c r="BT3"/>
      <c r="BU3"/>
      <c r="BV3"/>
      <c r="BW3"/>
      <c r="BX3"/>
      <c r="BY3"/>
      <c r="BZ3"/>
      <c r="CA3" s="109"/>
      <c r="CE3" s="340"/>
      <c r="CF3" s="340"/>
    </row>
    <row r="4" spans="1:86" s="61" customFormat="1" x14ac:dyDescent="0.2">
      <c r="A4" s="320" t="s">
        <v>2040</v>
      </c>
      <c r="B4" s="34"/>
      <c r="C4"/>
      <c r="D4"/>
      <c r="E4"/>
      <c r="F4"/>
      <c r="G4"/>
      <c r="H4"/>
      <c r="I4"/>
      <c r="J4"/>
      <c r="K4"/>
      <c r="L4"/>
      <c r="M4" s="386"/>
      <c r="N4"/>
      <c r="O4" s="104"/>
      <c r="P4" s="386"/>
      <c r="Q4"/>
      <c r="R4" s="386"/>
      <c r="S4"/>
      <c r="T4" s="386"/>
      <c r="U4"/>
      <c r="V4"/>
      <c r="W4" s="386"/>
      <c r="X4"/>
      <c r="Y4"/>
      <c r="Z4"/>
      <c r="AA4"/>
      <c r="AB4" s="386"/>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s="293"/>
      <c r="BT4"/>
      <c r="BU4"/>
      <c r="BV4"/>
      <c r="BW4"/>
      <c r="BX4"/>
      <c r="BY4"/>
      <c r="BZ4"/>
      <c r="CA4" s="109"/>
      <c r="CE4" s="340"/>
      <c r="CF4" s="340"/>
    </row>
    <row r="5" spans="1:86" s="61" customFormat="1" x14ac:dyDescent="0.2">
      <c r="A5" s="320" t="s">
        <v>2038</v>
      </c>
      <c r="B5" s="34"/>
      <c r="C5"/>
      <c r="D5"/>
      <c r="E5"/>
      <c r="F5"/>
      <c r="G5"/>
      <c r="H5"/>
      <c r="I5"/>
      <c r="J5"/>
      <c r="K5"/>
      <c r="L5"/>
      <c r="M5" s="386"/>
      <c r="N5"/>
      <c r="O5" s="104"/>
      <c r="P5" s="386"/>
      <c r="Q5"/>
      <c r="R5" s="386"/>
      <c r="S5"/>
      <c r="T5" s="386"/>
      <c r="U5"/>
      <c r="V5"/>
      <c r="W5" s="386"/>
      <c r="X5"/>
      <c r="Y5"/>
      <c r="Z5"/>
      <c r="AA5"/>
      <c r="AB5" s="386"/>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s="293"/>
      <c r="BT5"/>
      <c r="BU5"/>
      <c r="BV5"/>
      <c r="BW5"/>
      <c r="BX5"/>
      <c r="BY5"/>
      <c r="BZ5"/>
      <c r="CA5" s="109"/>
      <c r="CE5" s="340"/>
      <c r="CF5" s="340"/>
    </row>
    <row r="6" spans="1:86" s="61" customFormat="1" x14ac:dyDescent="0.2">
      <c r="A6" s="320" t="s">
        <v>2039</v>
      </c>
      <c r="B6" s="34"/>
      <c r="C6"/>
      <c r="D6"/>
      <c r="E6"/>
      <c r="F6"/>
      <c r="G6"/>
      <c r="H6"/>
      <c r="I6"/>
      <c r="J6"/>
      <c r="K6"/>
      <c r="L6"/>
      <c r="M6" s="386"/>
      <c r="N6"/>
      <c r="O6" s="104"/>
      <c r="P6" s="386"/>
      <c r="Q6"/>
      <c r="R6" s="386"/>
      <c r="S6"/>
      <c r="T6" s="386"/>
      <c r="U6"/>
      <c r="V6"/>
      <c r="W6" s="386"/>
      <c r="X6"/>
      <c r="Y6"/>
      <c r="Z6"/>
      <c r="AA6"/>
      <c r="AB6" s="38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s="293"/>
      <c r="BT6"/>
      <c r="BU6"/>
      <c r="BV6"/>
      <c r="BW6"/>
      <c r="BX6"/>
      <c r="BY6"/>
      <c r="BZ6"/>
      <c r="CA6" s="109"/>
      <c r="CE6" s="340"/>
      <c r="CF6" s="340"/>
    </row>
    <row r="7" spans="1:86" s="61" customFormat="1" x14ac:dyDescent="0.2">
      <c r="A7" s="320" t="s">
        <v>2041</v>
      </c>
      <c r="B7" s="34"/>
      <c r="C7"/>
      <c r="D7"/>
      <c r="E7"/>
      <c r="F7"/>
      <c r="G7"/>
      <c r="H7"/>
      <c r="I7"/>
      <c r="J7"/>
      <c r="K7"/>
      <c r="L7"/>
      <c r="M7" s="386"/>
      <c r="N7"/>
      <c r="O7" s="104"/>
      <c r="P7" s="386"/>
      <c r="Q7"/>
      <c r="R7" s="386"/>
      <c r="S7"/>
      <c r="T7" s="386"/>
      <c r="U7"/>
      <c r="V7"/>
      <c r="W7" s="386"/>
      <c r="X7"/>
      <c r="Y7"/>
      <c r="Z7"/>
      <c r="AA7"/>
      <c r="AB7" s="386"/>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s="293"/>
      <c r="BT7"/>
      <c r="BU7"/>
      <c r="BV7"/>
      <c r="BW7"/>
      <c r="BX7"/>
      <c r="BY7"/>
      <c r="BZ7"/>
      <c r="CA7" s="109"/>
      <c r="CE7" s="340"/>
      <c r="CF7" s="340"/>
    </row>
    <row r="8" spans="1:86" s="61" customFormat="1" x14ac:dyDescent="0.2">
      <c r="A8" s="320" t="s">
        <v>2016</v>
      </c>
      <c r="B8" s="34"/>
      <c r="C8"/>
      <c r="D8"/>
      <c r="E8"/>
      <c r="F8"/>
      <c r="G8"/>
      <c r="H8"/>
      <c r="I8"/>
      <c r="J8"/>
      <c r="K8"/>
      <c r="L8"/>
      <c r="M8" s="386"/>
      <c r="N8"/>
      <c r="O8" s="104"/>
      <c r="P8" s="386"/>
      <c r="Q8"/>
      <c r="R8" s="386"/>
      <c r="S8"/>
      <c r="T8" s="386"/>
      <c r="U8"/>
      <c r="V8"/>
      <c r="W8" s="386"/>
      <c r="X8"/>
      <c r="Y8"/>
      <c r="Z8"/>
      <c r="AA8"/>
      <c r="AB8" s="386"/>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s="293"/>
      <c r="BT8"/>
      <c r="BU8"/>
      <c r="BV8"/>
      <c r="BW8"/>
      <c r="BX8"/>
      <c r="BY8"/>
      <c r="BZ8"/>
      <c r="CA8" s="109"/>
      <c r="CE8" s="340"/>
      <c r="CF8" s="340"/>
    </row>
    <row r="9" spans="1:86" s="61" customFormat="1" x14ac:dyDescent="0.2">
      <c r="A9" s="320" t="s">
        <v>1760</v>
      </c>
      <c r="B9" s="34"/>
      <c r="C9"/>
      <c r="D9"/>
      <c r="E9"/>
      <c r="F9"/>
      <c r="G9"/>
      <c r="H9"/>
      <c r="I9"/>
      <c r="J9"/>
      <c r="K9"/>
      <c r="L9"/>
      <c r="M9" s="386"/>
      <c r="N9"/>
      <c r="O9" s="104"/>
      <c r="P9" s="386"/>
      <c r="Q9"/>
      <c r="R9" s="386"/>
      <c r="S9"/>
      <c r="T9" s="386"/>
      <c r="U9"/>
      <c r="V9"/>
      <c r="W9" s="386"/>
      <c r="X9"/>
      <c r="Y9"/>
      <c r="Z9"/>
      <c r="AA9"/>
      <c r="AB9" s="386"/>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s="293"/>
      <c r="BT9"/>
      <c r="BU9"/>
      <c r="BV9"/>
      <c r="BW9"/>
      <c r="BX9"/>
      <c r="BY9"/>
      <c r="BZ9"/>
      <c r="CA9" s="109"/>
      <c r="CE9" s="340"/>
      <c r="CF9" s="340"/>
    </row>
    <row r="10" spans="1:86" s="61" customFormat="1" x14ac:dyDescent="0.2">
      <c r="A10" s="320" t="s">
        <v>1761</v>
      </c>
      <c r="B10" s="34"/>
      <c r="C10"/>
      <c r="D10"/>
      <c r="E10"/>
      <c r="F10"/>
      <c r="G10"/>
      <c r="H10"/>
      <c r="I10"/>
      <c r="J10"/>
      <c r="K10"/>
      <c r="L10"/>
      <c r="M10" s="386"/>
      <c r="N10"/>
      <c r="O10" s="104"/>
      <c r="P10" s="386"/>
      <c r="Q10"/>
      <c r="R10" s="386"/>
      <c r="S10"/>
      <c r="T10" s="386"/>
      <c r="U10"/>
      <c r="V10"/>
      <c r="W10" s="386"/>
      <c r="X10"/>
      <c r="Y10"/>
      <c r="Z10"/>
      <c r="AA10"/>
      <c r="AB10" s="386"/>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s="293"/>
      <c r="BT10"/>
      <c r="BU10"/>
      <c r="BV10"/>
      <c r="BW10"/>
      <c r="BX10"/>
      <c r="BY10"/>
      <c r="BZ10"/>
      <c r="CA10" s="109"/>
      <c r="CE10" s="340"/>
      <c r="CF10" s="340"/>
    </row>
    <row r="11" spans="1:86" s="61" customFormat="1" x14ac:dyDescent="0.2">
      <c r="A11" s="320" t="s">
        <v>1574</v>
      </c>
      <c r="B11" s="34"/>
      <c r="C11"/>
      <c r="D11"/>
      <c r="E11"/>
      <c r="F11"/>
      <c r="G11"/>
      <c r="H11"/>
      <c r="I11"/>
      <c r="J11"/>
      <c r="K11"/>
      <c r="L11"/>
      <c r="M11" s="386"/>
      <c r="N11"/>
      <c r="O11" s="104"/>
      <c r="P11" s="386"/>
      <c r="Q11"/>
      <c r="R11" s="386"/>
      <c r="S11"/>
      <c r="T11" s="386"/>
      <c r="U11"/>
      <c r="V11"/>
      <c r="W11" s="386"/>
      <c r="X11"/>
      <c r="Y11"/>
      <c r="Z11"/>
      <c r="AA11"/>
      <c r="AB11" s="386"/>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s="293"/>
      <c r="BT11"/>
      <c r="BU11"/>
      <c r="BV11"/>
      <c r="BW11"/>
      <c r="BX11"/>
      <c r="BY11"/>
      <c r="BZ11"/>
      <c r="CA11" s="109"/>
      <c r="CE11" s="340"/>
      <c r="CF11" s="340"/>
    </row>
    <row r="12" spans="1:86" s="61" customFormat="1" x14ac:dyDescent="0.2">
      <c r="A12" s="322" t="s">
        <v>1567</v>
      </c>
      <c r="B12" s="34"/>
      <c r="C12"/>
      <c r="D12"/>
      <c r="E12"/>
      <c r="F12"/>
      <c r="G12"/>
      <c r="H12"/>
      <c r="I12"/>
      <c r="J12"/>
      <c r="K12"/>
      <c r="L12"/>
      <c r="M12" s="386"/>
      <c r="N12"/>
      <c r="O12" s="104"/>
      <c r="P12" s="386"/>
      <c r="Q12"/>
      <c r="R12" s="386"/>
      <c r="S12"/>
      <c r="T12" s="386"/>
      <c r="U12"/>
      <c r="V12"/>
      <c r="W12" s="386"/>
      <c r="X12"/>
      <c r="Y12"/>
      <c r="Z12"/>
      <c r="AA12"/>
      <c r="AB12" s="386"/>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s="293"/>
      <c r="BT12"/>
      <c r="BU12"/>
      <c r="BV12"/>
      <c r="BW12"/>
      <c r="BX12"/>
      <c r="BY12"/>
      <c r="BZ12"/>
      <c r="CA12" s="109"/>
      <c r="CE12" s="340"/>
      <c r="CF12" s="340"/>
    </row>
    <row r="13" spans="1:86" s="7" customFormat="1" ht="66.75" x14ac:dyDescent="0.2">
      <c r="A13" s="3" t="s">
        <v>579</v>
      </c>
      <c r="B13" s="3" t="s">
        <v>1017</v>
      </c>
      <c r="C13" s="3" t="s">
        <v>1018</v>
      </c>
      <c r="D13" s="3" t="s">
        <v>1267</v>
      </c>
      <c r="E13" s="3" t="s">
        <v>1436</v>
      </c>
      <c r="F13" s="3" t="s">
        <v>580</v>
      </c>
      <c r="G13" s="3" t="s">
        <v>928</v>
      </c>
      <c r="H13" s="46" t="s">
        <v>927</v>
      </c>
      <c r="I13" s="5" t="s">
        <v>581</v>
      </c>
      <c r="J13" s="5" t="s">
        <v>153</v>
      </c>
      <c r="K13" s="5" t="s">
        <v>467</v>
      </c>
      <c r="L13" s="5" t="s">
        <v>582</v>
      </c>
      <c r="M13" s="4" t="s">
        <v>583</v>
      </c>
      <c r="N13" s="4" t="s">
        <v>1019</v>
      </c>
      <c r="O13" s="728" t="s">
        <v>2018</v>
      </c>
      <c r="P13" s="6" t="s">
        <v>584</v>
      </c>
      <c r="Q13" s="5" t="s">
        <v>585</v>
      </c>
      <c r="R13" s="6" t="s">
        <v>1648</v>
      </c>
      <c r="S13" s="5" t="s">
        <v>1684</v>
      </c>
      <c r="T13" s="6" t="s">
        <v>1644</v>
      </c>
      <c r="U13" s="6" t="s">
        <v>1645</v>
      </c>
      <c r="V13" s="6" t="s">
        <v>1642</v>
      </c>
      <c r="W13" s="6" t="s">
        <v>1646</v>
      </c>
      <c r="X13" s="6" t="s">
        <v>1647</v>
      </c>
      <c r="Y13" s="6" t="s">
        <v>1643</v>
      </c>
      <c r="Z13" s="3" t="s">
        <v>586</v>
      </c>
      <c r="AA13" s="3" t="s">
        <v>1690</v>
      </c>
      <c r="AB13" s="4" t="s">
        <v>1021</v>
      </c>
      <c r="AC13" s="5" t="s">
        <v>1951</v>
      </c>
      <c r="AD13" s="3" t="s">
        <v>964</v>
      </c>
      <c r="AE13" s="3" t="s">
        <v>1968</v>
      </c>
      <c r="AF13" s="3" t="s">
        <v>587</v>
      </c>
      <c r="AG13" s="5" t="s">
        <v>588</v>
      </c>
      <c r="AH13" s="3" t="s">
        <v>1222</v>
      </c>
      <c r="AI13" s="3" t="s">
        <v>589</v>
      </c>
      <c r="AJ13" s="5" t="s">
        <v>590</v>
      </c>
      <c r="AK13" s="3" t="s">
        <v>1469</v>
      </c>
      <c r="AL13" s="3" t="s">
        <v>591</v>
      </c>
      <c r="AM13" s="3" t="s">
        <v>595</v>
      </c>
      <c r="AN13" s="3" t="s">
        <v>596</v>
      </c>
      <c r="AO13" s="3" t="s">
        <v>597</v>
      </c>
      <c r="AP13" s="3" t="s">
        <v>598</v>
      </c>
      <c r="AQ13" s="3" t="s">
        <v>599</v>
      </c>
      <c r="AR13" s="5" t="s">
        <v>933</v>
      </c>
      <c r="AS13" s="5" t="s">
        <v>1182</v>
      </c>
      <c r="AT13" s="5" t="s">
        <v>740</v>
      </c>
      <c r="AU13" s="5" t="s">
        <v>1691</v>
      </c>
      <c r="AV13" s="5" t="s">
        <v>1183</v>
      </c>
      <c r="AW13" s="5" t="s">
        <v>741</v>
      </c>
      <c r="AX13" s="5" t="s">
        <v>1692</v>
      </c>
      <c r="AY13" s="5" t="s">
        <v>1184</v>
      </c>
      <c r="AZ13" s="3" t="s">
        <v>744</v>
      </c>
      <c r="BA13" s="3" t="s">
        <v>600</v>
      </c>
      <c r="BB13" s="3" t="s">
        <v>601</v>
      </c>
      <c r="BC13" s="3" t="s">
        <v>602</v>
      </c>
      <c r="BD13" s="3" t="s">
        <v>603</v>
      </c>
      <c r="BE13" s="3" t="s">
        <v>604</v>
      </c>
      <c r="BF13" s="3" t="s">
        <v>762</v>
      </c>
      <c r="BG13" s="3" t="s">
        <v>763</v>
      </c>
      <c r="BH13" s="3" t="s">
        <v>764</v>
      </c>
      <c r="BI13" s="3" t="s">
        <v>605</v>
      </c>
      <c r="BJ13" s="5" t="s">
        <v>606</v>
      </c>
      <c r="BK13" s="5" t="s">
        <v>607</v>
      </c>
      <c r="BL13" s="3" t="s">
        <v>608</v>
      </c>
      <c r="BM13" s="3" t="s">
        <v>609</v>
      </c>
      <c r="BN13" s="3" t="s">
        <v>610</v>
      </c>
      <c r="BO13" s="3" t="s">
        <v>611</v>
      </c>
      <c r="BP13" s="3" t="s">
        <v>1022</v>
      </c>
      <c r="BQ13" s="3" t="s">
        <v>612</v>
      </c>
      <c r="BR13" s="3" t="s">
        <v>1023</v>
      </c>
      <c r="BS13" s="294" t="s">
        <v>271</v>
      </c>
      <c r="BT13" s="3" t="s">
        <v>270</v>
      </c>
      <c r="BU13" s="3" t="s">
        <v>1</v>
      </c>
      <c r="BV13" s="3" t="s">
        <v>613</v>
      </c>
      <c r="BW13" s="3" t="s">
        <v>1568</v>
      </c>
      <c r="BX13" s="3" t="s">
        <v>614</v>
      </c>
      <c r="BY13" s="3" t="s">
        <v>615</v>
      </c>
      <c r="BZ13" s="476" t="s">
        <v>1359</v>
      </c>
      <c r="CA13" s="476" t="s">
        <v>1360</v>
      </c>
      <c r="CB13" s="7" t="s">
        <v>605</v>
      </c>
      <c r="CC13" s="3" t="s">
        <v>580</v>
      </c>
      <c r="CD13" s="3" t="s">
        <v>928</v>
      </c>
      <c r="CE13" s="341" t="s">
        <v>1578</v>
      </c>
      <c r="CF13" s="341" t="s">
        <v>1020</v>
      </c>
      <c r="CG13" s="46" t="s">
        <v>927</v>
      </c>
    </row>
    <row r="14" spans="1:86" s="7" customFormat="1" x14ac:dyDescent="0.2">
      <c r="A14" s="671" t="s">
        <v>616</v>
      </c>
      <c r="B14" s="48"/>
      <c r="C14" s="48"/>
      <c r="D14" s="48"/>
      <c r="E14" s="48"/>
      <c r="F14" s="48"/>
      <c r="G14" s="48"/>
      <c r="H14" s="49"/>
      <c r="I14" s="48"/>
      <c r="J14" s="48"/>
      <c r="K14" s="48"/>
      <c r="L14" s="48"/>
      <c r="M14" s="50"/>
      <c r="N14" s="50"/>
      <c r="O14" s="52"/>
      <c r="P14" s="51"/>
      <c r="Q14" s="52"/>
      <c r="R14" s="51"/>
      <c r="S14" s="52"/>
      <c r="T14" s="51"/>
      <c r="U14" s="51"/>
      <c r="V14" s="51"/>
      <c r="W14" s="53"/>
      <c r="X14" s="53"/>
      <c r="Y14" s="53"/>
      <c r="Z14" s="48"/>
      <c r="AA14" s="48"/>
      <c r="AB14" s="50"/>
      <c r="AC14" s="52"/>
      <c r="AD14" s="48"/>
      <c r="AE14" s="48"/>
      <c r="AF14" s="48"/>
      <c r="AG14" s="52"/>
      <c r="AH14" s="48"/>
      <c r="AI14" s="48"/>
      <c r="AJ14" s="52"/>
      <c r="AK14" s="48"/>
      <c r="AL14" s="48"/>
      <c r="AM14" s="48"/>
      <c r="AN14" s="48"/>
      <c r="AO14" s="48"/>
      <c r="AP14" s="48"/>
      <c r="AQ14" s="48"/>
      <c r="AR14" s="48">
        <v>1.121</v>
      </c>
      <c r="AS14" s="48"/>
      <c r="AT14" s="48"/>
      <c r="AU14" s="48">
        <v>1.121</v>
      </c>
      <c r="AV14" s="48"/>
      <c r="AW14" s="48"/>
      <c r="AX14" s="48">
        <v>1.121</v>
      </c>
      <c r="AY14" s="48"/>
      <c r="AZ14" s="48"/>
      <c r="BA14" s="48"/>
      <c r="BB14" s="48"/>
      <c r="BC14" s="48"/>
      <c r="BD14" s="48"/>
      <c r="BE14" s="48"/>
      <c r="BF14" s="48"/>
      <c r="BG14" s="48"/>
      <c r="BH14" s="48"/>
      <c r="BI14" s="48"/>
      <c r="BJ14" s="18"/>
      <c r="BK14" s="18"/>
      <c r="BL14" s="48"/>
      <c r="BM14" s="48"/>
      <c r="BN14" s="48"/>
      <c r="BO14" s="48"/>
      <c r="BP14" s="48"/>
      <c r="BQ14" s="48"/>
      <c r="BR14" s="48"/>
      <c r="BS14" s="295"/>
      <c r="BT14" s="48"/>
      <c r="BU14" s="48"/>
      <c r="BV14" s="48"/>
      <c r="BW14" s="48"/>
      <c r="BX14" s="48"/>
      <c r="BY14" s="48"/>
      <c r="BZ14" s="54"/>
      <c r="CA14" s="476"/>
      <c r="CC14" s="48"/>
      <c r="CD14" s="48"/>
      <c r="CE14" s="341"/>
      <c r="CF14" s="341"/>
      <c r="CG14" s="49"/>
    </row>
    <row r="15" spans="1:86" s="7" customFormat="1" x14ac:dyDescent="0.2">
      <c r="A15" s="231" t="s">
        <v>552</v>
      </c>
      <c r="B15" s="481"/>
      <c r="C15" s="481"/>
      <c r="D15" s="481"/>
      <c r="E15" s="481"/>
      <c r="F15" s="481"/>
      <c r="G15" s="481"/>
      <c r="H15" s="482"/>
      <c r="I15" s="481"/>
      <c r="J15" s="481"/>
      <c r="K15" s="481"/>
      <c r="L15" s="481"/>
      <c r="M15" s="483"/>
      <c r="N15" s="483"/>
      <c r="O15" s="52"/>
      <c r="P15" s="483"/>
      <c r="Q15" s="481"/>
      <c r="R15" s="483"/>
      <c r="S15" s="481"/>
      <c r="T15" s="483"/>
      <c r="U15" s="483"/>
      <c r="V15" s="483"/>
      <c r="W15" s="484"/>
      <c r="X15" s="484"/>
      <c r="Y15" s="484"/>
      <c r="Z15" s="481"/>
      <c r="AA15" s="481"/>
      <c r="AB15" s="483"/>
      <c r="AC15" s="481"/>
      <c r="AD15" s="481"/>
      <c r="AE15" s="481"/>
      <c r="AF15" s="481"/>
      <c r="AG15" s="481"/>
      <c r="AH15" s="481"/>
      <c r="AI15" s="481"/>
      <c r="AJ15" s="481"/>
      <c r="AK15" s="481"/>
      <c r="AL15" s="481"/>
      <c r="AM15" s="481"/>
      <c r="AN15" s="481"/>
      <c r="AO15" s="481"/>
      <c r="AP15" s="481"/>
      <c r="AQ15" s="481"/>
      <c r="AR15" s="481"/>
      <c r="AS15" s="481"/>
      <c r="AT15" s="481"/>
      <c r="AU15" s="481"/>
      <c r="AV15" s="481"/>
      <c r="AW15" s="481"/>
      <c r="AX15" s="481"/>
      <c r="AY15" s="481"/>
      <c r="AZ15" s="481"/>
      <c r="BA15" s="481"/>
      <c r="BB15" s="481"/>
      <c r="BC15" s="481"/>
      <c r="BD15" s="481"/>
      <c r="BE15" s="481"/>
      <c r="BF15" s="481"/>
      <c r="BG15" s="481"/>
      <c r="BH15" s="481"/>
      <c r="BI15" s="481"/>
      <c r="BJ15" s="231"/>
      <c r="BK15" s="231"/>
      <c r="BL15" s="481"/>
      <c r="BM15" s="481"/>
      <c r="BN15" s="481"/>
      <c r="BO15" s="481"/>
      <c r="BP15" s="481"/>
      <c r="BQ15" s="481"/>
      <c r="BR15" s="481"/>
      <c r="BS15" s="482"/>
      <c r="BT15" s="481"/>
      <c r="BU15" s="481"/>
      <c r="BV15" s="481"/>
      <c r="BW15" s="481"/>
      <c r="BX15" s="481"/>
      <c r="BY15" s="481"/>
      <c r="BZ15" s="485"/>
      <c r="CA15" s="486"/>
      <c r="CB15" s="487"/>
      <c r="CC15" s="481"/>
      <c r="CD15" s="481"/>
      <c r="CE15" s="341"/>
      <c r="CF15" s="341"/>
      <c r="CG15" s="750"/>
    </row>
    <row r="16" spans="1:86" s="13" customFormat="1" x14ac:dyDescent="0.2">
      <c r="A16" s="231" t="s">
        <v>617</v>
      </c>
      <c r="B16" s="231" t="s">
        <v>618</v>
      </c>
      <c r="C16" s="231" t="s">
        <v>2</v>
      </c>
      <c r="D16" s="231" t="s">
        <v>619</v>
      </c>
      <c r="E16" s="232" t="s">
        <v>1515</v>
      </c>
      <c r="F16" s="488" t="s">
        <v>620</v>
      </c>
      <c r="G16" s="231">
        <v>1</v>
      </c>
      <c r="H16" s="488" t="s">
        <v>620</v>
      </c>
      <c r="I16" s="231" t="s">
        <v>621</v>
      </c>
      <c r="J16" s="231">
        <v>1987</v>
      </c>
      <c r="K16" s="231" t="s">
        <v>957</v>
      </c>
      <c r="L16" s="231" t="s">
        <v>958</v>
      </c>
      <c r="M16" s="235">
        <v>-9999</v>
      </c>
      <c r="N16" s="231">
        <v>-9999</v>
      </c>
      <c r="O16" s="18"/>
      <c r="P16" s="235">
        <v>-9999</v>
      </c>
      <c r="Q16" s="231">
        <v>-9999</v>
      </c>
      <c r="R16" s="235"/>
      <c r="S16" s="231"/>
      <c r="T16" s="235">
        <v>9.6999999999999993</v>
      </c>
      <c r="U16" s="235">
        <v>0</v>
      </c>
      <c r="V16" s="235"/>
      <c r="W16" s="235">
        <v>-9999</v>
      </c>
      <c r="X16" s="231">
        <v>-9999</v>
      </c>
      <c r="Y16" s="231"/>
      <c r="Z16" s="231" t="s">
        <v>622</v>
      </c>
      <c r="AA16" s="489">
        <v>111111</v>
      </c>
      <c r="AB16" s="235">
        <v>-9999</v>
      </c>
      <c r="AC16" s="231">
        <v>-9999</v>
      </c>
      <c r="AD16" s="231">
        <v>36</v>
      </c>
      <c r="AE16" s="231">
        <v>-9999</v>
      </c>
      <c r="AF16" s="231">
        <v>3</v>
      </c>
      <c r="AG16" s="231">
        <v>-9999</v>
      </c>
      <c r="AH16" s="231" t="s">
        <v>623</v>
      </c>
      <c r="AI16" s="231" t="s">
        <v>624</v>
      </c>
      <c r="AJ16" s="231">
        <v>-9999</v>
      </c>
      <c r="AK16" s="231" t="s">
        <v>625</v>
      </c>
      <c r="AL16" s="231">
        <v>-9999</v>
      </c>
      <c r="AM16" s="231">
        <v>-9999</v>
      </c>
      <c r="AN16" s="231" t="s">
        <v>626</v>
      </c>
      <c r="AO16" s="231" t="s">
        <v>627</v>
      </c>
      <c r="AP16" s="231" t="s">
        <v>628</v>
      </c>
      <c r="AQ16" s="231" t="s">
        <v>626</v>
      </c>
      <c r="AR16" s="231">
        <v>336</v>
      </c>
      <c r="AS16" s="231" t="s">
        <v>690</v>
      </c>
      <c r="AT16" s="231" t="s">
        <v>742</v>
      </c>
      <c r="AU16" s="231">
        <v>112</v>
      </c>
      <c r="AV16" s="231" t="s">
        <v>218</v>
      </c>
      <c r="AW16" s="231" t="s">
        <v>3</v>
      </c>
      <c r="AX16" s="231">
        <v>224</v>
      </c>
      <c r="AY16" s="231" t="s">
        <v>219</v>
      </c>
      <c r="AZ16" s="231" t="s">
        <v>3</v>
      </c>
      <c r="BA16" s="231" t="s">
        <v>319</v>
      </c>
      <c r="BB16" s="231">
        <v>-9999</v>
      </c>
      <c r="BC16" s="231">
        <v>-9999</v>
      </c>
      <c r="BD16" s="231">
        <v>-9999</v>
      </c>
      <c r="BE16" s="231">
        <v>-9999</v>
      </c>
      <c r="BF16" s="231">
        <v>-9999</v>
      </c>
      <c r="BG16" s="231">
        <v>-9999</v>
      </c>
      <c r="BH16" s="231">
        <v>-9999</v>
      </c>
      <c r="BI16" s="231" t="s">
        <v>632</v>
      </c>
      <c r="BJ16" s="233">
        <v>-9999</v>
      </c>
      <c r="BK16" s="233">
        <v>-9999</v>
      </c>
      <c r="BL16" s="231">
        <v>-9999</v>
      </c>
      <c r="BM16" s="231">
        <v>-9999</v>
      </c>
      <c r="BN16" s="231">
        <v>-9999</v>
      </c>
      <c r="BO16" s="231">
        <v>-9999</v>
      </c>
      <c r="BP16" s="231">
        <v>-9999</v>
      </c>
      <c r="BQ16" s="231">
        <v>-9999</v>
      </c>
      <c r="BR16" s="233">
        <v>-9999</v>
      </c>
      <c r="BS16" s="233">
        <v>-9999</v>
      </c>
      <c r="BT16" s="233">
        <v>-9999</v>
      </c>
      <c r="BU16" s="233">
        <v>-9999</v>
      </c>
      <c r="BV16" s="233">
        <v>-9999</v>
      </c>
      <c r="BW16" s="233"/>
      <c r="BX16" s="233">
        <v>-9999</v>
      </c>
      <c r="BY16" s="231">
        <v>-9999</v>
      </c>
      <c r="BZ16" s="238">
        <v>-9999</v>
      </c>
      <c r="CA16" s="490" t="s">
        <v>834</v>
      </c>
      <c r="CB16" s="239" t="s">
        <v>1434</v>
      </c>
      <c r="CC16" s="488" t="s">
        <v>620</v>
      </c>
      <c r="CD16" s="231">
        <v>1</v>
      </c>
      <c r="CE16" s="749">
        <v>9.6999999999999993</v>
      </c>
      <c r="CF16" s="99">
        <v>-9999</v>
      </c>
      <c r="CG16" s="751" t="s">
        <v>620</v>
      </c>
      <c r="CH16" s="13" t="s">
        <v>1757</v>
      </c>
    </row>
    <row r="17" spans="1:86" s="13" customFormat="1" x14ac:dyDescent="0.2">
      <c r="A17" s="231" t="s">
        <v>617</v>
      </c>
      <c r="B17" s="231" t="s">
        <v>618</v>
      </c>
      <c r="C17" s="231" t="s">
        <v>4</v>
      </c>
      <c r="D17" s="231" t="s">
        <v>619</v>
      </c>
      <c r="E17" s="232" t="s">
        <v>1515</v>
      </c>
      <c r="F17" s="488" t="s">
        <v>620</v>
      </c>
      <c r="G17" s="231">
        <v>1</v>
      </c>
      <c r="H17" s="488" t="s">
        <v>620</v>
      </c>
      <c r="I17" s="231" t="s">
        <v>621</v>
      </c>
      <c r="J17" s="231">
        <v>1987</v>
      </c>
      <c r="K17" s="231" t="s">
        <v>957</v>
      </c>
      <c r="L17" s="231" t="s">
        <v>958</v>
      </c>
      <c r="M17" s="235">
        <v>-9999</v>
      </c>
      <c r="N17" s="231">
        <v>-9999</v>
      </c>
      <c r="O17" s="18"/>
      <c r="P17" s="235">
        <v>-9999</v>
      </c>
      <c r="Q17" s="231">
        <v>-9999</v>
      </c>
      <c r="R17" s="235"/>
      <c r="S17" s="231"/>
      <c r="T17" s="235">
        <v>10.5</v>
      </c>
      <c r="U17" s="235">
        <v>0.4</v>
      </c>
      <c r="V17" s="235"/>
      <c r="W17" s="235">
        <v>-9999</v>
      </c>
      <c r="X17" s="231">
        <v>-9999</v>
      </c>
      <c r="Y17" s="231"/>
      <c r="Z17" s="231" t="s">
        <v>622</v>
      </c>
      <c r="AA17" s="489">
        <v>111111</v>
      </c>
      <c r="AB17" s="235">
        <v>-9999</v>
      </c>
      <c r="AC17" s="231">
        <v>-9999</v>
      </c>
      <c r="AD17" s="231">
        <v>36</v>
      </c>
      <c r="AE17" s="231">
        <v>-9999</v>
      </c>
      <c r="AF17" s="231">
        <v>3</v>
      </c>
      <c r="AG17" s="231">
        <v>-9999</v>
      </c>
      <c r="AH17" s="231" t="s">
        <v>623</v>
      </c>
      <c r="AI17" s="231" t="s">
        <v>624</v>
      </c>
      <c r="AJ17" s="231">
        <v>-9999</v>
      </c>
      <c r="AK17" s="231" t="s">
        <v>625</v>
      </c>
      <c r="AL17" s="231">
        <v>-9999</v>
      </c>
      <c r="AM17" s="231">
        <v>-9999</v>
      </c>
      <c r="AN17" s="231" t="s">
        <v>626</v>
      </c>
      <c r="AO17" s="231" t="s">
        <v>627</v>
      </c>
      <c r="AP17" s="231" t="s">
        <v>628</v>
      </c>
      <c r="AQ17" s="231" t="s">
        <v>631</v>
      </c>
      <c r="AR17" s="231">
        <v>0</v>
      </c>
      <c r="AS17" s="231">
        <v>-9999</v>
      </c>
      <c r="AT17" s="231">
        <v>-9999</v>
      </c>
      <c r="AU17" s="231">
        <v>0</v>
      </c>
      <c r="AV17" s="231">
        <v>-9999</v>
      </c>
      <c r="AW17" s="231">
        <v>-9999</v>
      </c>
      <c r="AX17" s="231">
        <v>0</v>
      </c>
      <c r="AY17" s="231">
        <v>-9999</v>
      </c>
      <c r="AZ17" s="231">
        <v>-9999</v>
      </c>
      <c r="BA17" s="231">
        <v>-9999</v>
      </c>
      <c r="BB17" s="231">
        <v>-9999</v>
      </c>
      <c r="BC17" s="231">
        <v>-9999</v>
      </c>
      <c r="BD17" s="231">
        <v>-9999</v>
      </c>
      <c r="BE17" s="231">
        <v>-9999</v>
      </c>
      <c r="BF17" s="231">
        <v>-9999</v>
      </c>
      <c r="BG17" s="231">
        <v>-9999</v>
      </c>
      <c r="BH17" s="231">
        <v>-9999</v>
      </c>
      <c r="BI17" s="231" t="s">
        <v>632</v>
      </c>
      <c r="BJ17" s="233">
        <v>-9999</v>
      </c>
      <c r="BK17" s="233">
        <v>-9999</v>
      </c>
      <c r="BL17" s="231">
        <v>-9999</v>
      </c>
      <c r="BM17" s="231">
        <v>-9999</v>
      </c>
      <c r="BN17" s="231">
        <v>-9999</v>
      </c>
      <c r="BO17" s="231">
        <v>-9999</v>
      </c>
      <c r="BP17" s="231">
        <v>-9999</v>
      </c>
      <c r="BQ17" s="231">
        <v>-9999</v>
      </c>
      <c r="BR17" s="233">
        <v>-9999</v>
      </c>
      <c r="BS17" s="233">
        <v>-9999</v>
      </c>
      <c r="BT17" s="233">
        <v>-9999</v>
      </c>
      <c r="BU17" s="233">
        <v>-9999</v>
      </c>
      <c r="BV17" s="233">
        <v>-9999</v>
      </c>
      <c r="BW17" s="233"/>
      <c r="BX17" s="233">
        <v>-9999</v>
      </c>
      <c r="BY17" s="231">
        <v>-9999</v>
      </c>
      <c r="BZ17" s="238">
        <v>-9999</v>
      </c>
      <c r="CA17" s="490" t="s">
        <v>834</v>
      </c>
      <c r="CB17" s="239" t="s">
        <v>1434</v>
      </c>
      <c r="CC17" s="488" t="s">
        <v>620</v>
      </c>
      <c r="CD17" s="231">
        <v>1</v>
      </c>
      <c r="CE17" s="749">
        <v>10.5</v>
      </c>
      <c r="CF17" s="99">
        <v>-9999</v>
      </c>
      <c r="CG17" s="751" t="s">
        <v>620</v>
      </c>
      <c r="CH17" s="13" t="s">
        <v>1757</v>
      </c>
    </row>
    <row r="18" spans="1:86" s="13" customFormat="1" x14ac:dyDescent="0.2">
      <c r="A18" s="231"/>
      <c r="B18" s="231"/>
      <c r="C18" s="231"/>
      <c r="D18" s="231"/>
      <c r="E18" s="232"/>
      <c r="F18" s="488"/>
      <c r="G18" s="231"/>
      <c r="H18" s="488"/>
      <c r="I18" s="231"/>
      <c r="J18" s="231"/>
      <c r="K18" s="231"/>
      <c r="L18" s="231"/>
      <c r="M18" s="235"/>
      <c r="N18" s="231"/>
      <c r="O18" s="18"/>
      <c r="P18" s="235"/>
      <c r="Q18" s="231"/>
      <c r="R18" s="235"/>
      <c r="S18" s="231"/>
      <c r="T18" s="235"/>
      <c r="U18" s="235"/>
      <c r="V18" s="235"/>
      <c r="W18" s="235"/>
      <c r="X18" s="231"/>
      <c r="Y18" s="231"/>
      <c r="Z18" s="231"/>
      <c r="AA18" s="489"/>
      <c r="AB18" s="235"/>
      <c r="AC18" s="231"/>
      <c r="AD18" s="231"/>
      <c r="AE18" s="231"/>
      <c r="AF18" s="231"/>
      <c r="AG18" s="231"/>
      <c r="AH18" s="231"/>
      <c r="AI18" s="231"/>
      <c r="AJ18" s="231"/>
      <c r="AK18" s="231"/>
      <c r="AL18" s="231"/>
      <c r="AM18" s="231"/>
      <c r="AN18" s="231"/>
      <c r="AO18" s="231"/>
      <c r="AP18" s="231"/>
      <c r="AQ18" s="231"/>
      <c r="AR18" s="231"/>
      <c r="AS18" s="492"/>
      <c r="AT18" s="231"/>
      <c r="AU18" s="231"/>
      <c r="AV18" s="231"/>
      <c r="AW18" s="231"/>
      <c r="AX18" s="231"/>
      <c r="AY18" s="231"/>
      <c r="AZ18" s="231"/>
      <c r="BA18" s="231"/>
      <c r="BB18" s="231"/>
      <c r="BC18" s="231"/>
      <c r="BD18" s="231"/>
      <c r="BE18" s="231"/>
      <c r="BF18" s="231"/>
      <c r="BG18" s="231"/>
      <c r="BH18" s="231"/>
      <c r="BI18" s="231"/>
      <c r="BJ18" s="233"/>
      <c r="BK18" s="233"/>
      <c r="BL18" s="231"/>
      <c r="BM18" s="231"/>
      <c r="BN18" s="231"/>
      <c r="BO18" s="231"/>
      <c r="BP18" s="231"/>
      <c r="BQ18" s="231"/>
      <c r="BR18" s="233"/>
      <c r="BS18" s="491"/>
      <c r="BT18" s="233"/>
      <c r="BU18" s="233"/>
      <c r="BV18" s="233"/>
      <c r="BW18" s="233"/>
      <c r="BX18" s="233"/>
      <c r="BY18" s="231"/>
      <c r="BZ18" s="238"/>
      <c r="CA18" s="490"/>
      <c r="CB18" s="239"/>
      <c r="CC18" s="488"/>
      <c r="CD18" s="231"/>
      <c r="CE18" s="99"/>
      <c r="CF18" s="99"/>
      <c r="CG18" s="751"/>
    </row>
    <row r="19" spans="1:86" s="13" customFormat="1" x14ac:dyDescent="0.2">
      <c r="A19" s="231" t="s">
        <v>617</v>
      </c>
      <c r="B19" s="231" t="s">
        <v>618</v>
      </c>
      <c r="C19" s="231" t="s">
        <v>2</v>
      </c>
      <c r="D19" s="231" t="s">
        <v>633</v>
      </c>
      <c r="E19" s="232" t="s">
        <v>5</v>
      </c>
      <c r="F19" s="488" t="s">
        <v>620</v>
      </c>
      <c r="G19" s="231">
        <v>1</v>
      </c>
      <c r="H19" s="488" t="s">
        <v>620</v>
      </c>
      <c r="I19" s="231" t="s">
        <v>621</v>
      </c>
      <c r="J19" s="231">
        <v>1987</v>
      </c>
      <c r="K19" s="231" t="s">
        <v>957</v>
      </c>
      <c r="L19" s="231" t="s">
        <v>958</v>
      </c>
      <c r="M19" s="235">
        <v>-9999</v>
      </c>
      <c r="N19" s="231">
        <v>-9999</v>
      </c>
      <c r="O19" s="18"/>
      <c r="P19" s="235">
        <v>-9999</v>
      </c>
      <c r="Q19" s="231">
        <v>-9999</v>
      </c>
      <c r="R19" s="235"/>
      <c r="S19" s="231"/>
      <c r="T19" s="235">
        <v>10.3</v>
      </c>
      <c r="U19" s="235">
        <v>0.1</v>
      </c>
      <c r="V19" s="235"/>
      <c r="W19" s="235">
        <v>-9999</v>
      </c>
      <c r="X19" s="231">
        <v>-9999</v>
      </c>
      <c r="Y19" s="231"/>
      <c r="Z19" s="231" t="s">
        <v>622</v>
      </c>
      <c r="AA19" s="489">
        <v>111111</v>
      </c>
      <c r="AB19" s="235">
        <v>-9999</v>
      </c>
      <c r="AC19" s="231">
        <v>-9999</v>
      </c>
      <c r="AD19" s="231">
        <v>36</v>
      </c>
      <c r="AE19" s="231">
        <v>-9999</v>
      </c>
      <c r="AF19" s="231">
        <v>3</v>
      </c>
      <c r="AG19" s="231">
        <v>-9999</v>
      </c>
      <c r="AH19" s="231" t="s">
        <v>623</v>
      </c>
      <c r="AI19" s="231" t="s">
        <v>624</v>
      </c>
      <c r="AJ19" s="231">
        <v>-9999</v>
      </c>
      <c r="AK19" s="231" t="s">
        <v>625</v>
      </c>
      <c r="AL19" s="231">
        <v>-9999</v>
      </c>
      <c r="AM19" s="231">
        <v>-9999</v>
      </c>
      <c r="AN19" s="231" t="s">
        <v>626</v>
      </c>
      <c r="AO19" s="231" t="s">
        <v>627</v>
      </c>
      <c r="AP19" s="231" t="s">
        <v>628</v>
      </c>
      <c r="AQ19" s="231" t="s">
        <v>626</v>
      </c>
      <c r="AR19" s="231">
        <v>336</v>
      </c>
      <c r="AS19" s="231" t="s">
        <v>690</v>
      </c>
      <c r="AT19" s="231" t="s">
        <v>742</v>
      </c>
      <c r="AU19" s="231">
        <v>112</v>
      </c>
      <c r="AV19" s="231" t="s">
        <v>218</v>
      </c>
      <c r="AW19" s="231" t="s">
        <v>630</v>
      </c>
      <c r="AX19" s="231">
        <v>224</v>
      </c>
      <c r="AY19" s="231" t="s">
        <v>219</v>
      </c>
      <c r="AZ19" s="231" t="s">
        <v>630</v>
      </c>
      <c r="BA19" s="231" t="s">
        <v>318</v>
      </c>
      <c r="BB19" s="231">
        <v>-9999</v>
      </c>
      <c r="BC19" s="231">
        <v>-9999</v>
      </c>
      <c r="BD19" s="231">
        <v>-9999</v>
      </c>
      <c r="BE19" s="231">
        <v>-9999</v>
      </c>
      <c r="BF19" s="231">
        <v>-9999</v>
      </c>
      <c r="BG19" s="231">
        <v>-9999</v>
      </c>
      <c r="BH19" s="231">
        <v>-9999</v>
      </c>
      <c r="BI19" s="231" t="s">
        <v>632</v>
      </c>
      <c r="BJ19" s="233">
        <v>-9999</v>
      </c>
      <c r="BK19" s="233">
        <v>-9999</v>
      </c>
      <c r="BL19" s="231">
        <v>-9999</v>
      </c>
      <c r="BM19" s="231">
        <v>-9999</v>
      </c>
      <c r="BN19" s="231">
        <v>-9999</v>
      </c>
      <c r="BO19" s="231">
        <v>-9999</v>
      </c>
      <c r="BP19" s="231">
        <v>-9999</v>
      </c>
      <c r="BQ19" s="231">
        <v>-9999</v>
      </c>
      <c r="BR19" s="233">
        <v>-9999</v>
      </c>
      <c r="BS19" s="233">
        <v>-9999</v>
      </c>
      <c r="BT19" s="233">
        <v>-9999</v>
      </c>
      <c r="BU19" s="233">
        <v>-9999</v>
      </c>
      <c r="BV19" s="233">
        <v>-9999</v>
      </c>
      <c r="BW19" s="233"/>
      <c r="BX19" s="233">
        <v>-9999</v>
      </c>
      <c r="BY19" s="231">
        <v>-9999</v>
      </c>
      <c r="BZ19" s="238">
        <v>-9999</v>
      </c>
      <c r="CA19" s="490" t="s">
        <v>834</v>
      </c>
      <c r="CB19" s="239" t="s">
        <v>1434</v>
      </c>
      <c r="CC19" s="488" t="s">
        <v>620</v>
      </c>
      <c r="CD19" s="231">
        <v>1</v>
      </c>
      <c r="CE19" s="99">
        <v>10.3</v>
      </c>
      <c r="CF19" s="99">
        <v>-9999</v>
      </c>
      <c r="CG19" s="751" t="s">
        <v>620</v>
      </c>
    </row>
    <row r="20" spans="1:86" s="23" customFormat="1" x14ac:dyDescent="0.2">
      <c r="A20" s="234" t="s">
        <v>617</v>
      </c>
      <c r="B20" s="234" t="s">
        <v>618</v>
      </c>
      <c r="C20" s="234" t="s">
        <v>4</v>
      </c>
      <c r="D20" s="234" t="s">
        <v>633</v>
      </c>
      <c r="E20" s="493" t="s">
        <v>5</v>
      </c>
      <c r="F20" s="494" t="s">
        <v>620</v>
      </c>
      <c r="G20" s="234">
        <v>1</v>
      </c>
      <c r="H20" s="494" t="s">
        <v>620</v>
      </c>
      <c r="I20" s="234" t="s">
        <v>621</v>
      </c>
      <c r="J20" s="234">
        <v>1987</v>
      </c>
      <c r="K20" s="234" t="s">
        <v>957</v>
      </c>
      <c r="L20" s="234" t="s">
        <v>958</v>
      </c>
      <c r="M20" s="389">
        <v>-9999</v>
      </c>
      <c r="N20" s="234">
        <v>-9999</v>
      </c>
      <c r="O20" s="29"/>
      <c r="P20" s="389">
        <v>-9999</v>
      </c>
      <c r="Q20" s="234">
        <v>-9999</v>
      </c>
      <c r="R20" s="389"/>
      <c r="S20" s="234"/>
      <c r="T20" s="389">
        <v>7.5</v>
      </c>
      <c r="U20" s="389">
        <v>0.9</v>
      </c>
      <c r="V20" s="389"/>
      <c r="W20" s="389">
        <v>-9999</v>
      </c>
      <c r="X20" s="234">
        <v>-9999</v>
      </c>
      <c r="Y20" s="234"/>
      <c r="Z20" s="234" t="s">
        <v>622</v>
      </c>
      <c r="AA20" s="495">
        <v>111111</v>
      </c>
      <c r="AB20" s="389">
        <v>-9999</v>
      </c>
      <c r="AC20" s="234">
        <v>-9999</v>
      </c>
      <c r="AD20" s="234">
        <v>36</v>
      </c>
      <c r="AE20" s="234">
        <v>-9999</v>
      </c>
      <c r="AF20" s="234">
        <v>3</v>
      </c>
      <c r="AG20" s="234">
        <v>-9999</v>
      </c>
      <c r="AH20" s="234" t="s">
        <v>623</v>
      </c>
      <c r="AI20" s="234" t="s">
        <v>624</v>
      </c>
      <c r="AJ20" s="234">
        <v>-9999</v>
      </c>
      <c r="AK20" s="234" t="s">
        <v>625</v>
      </c>
      <c r="AL20" s="234">
        <v>-9999</v>
      </c>
      <c r="AM20" s="234">
        <v>-9999</v>
      </c>
      <c r="AN20" s="234" t="s">
        <v>626</v>
      </c>
      <c r="AO20" s="234" t="s">
        <v>627</v>
      </c>
      <c r="AP20" s="234" t="s">
        <v>628</v>
      </c>
      <c r="AQ20" s="234" t="s">
        <v>631</v>
      </c>
      <c r="AR20" s="234">
        <v>0</v>
      </c>
      <c r="AS20" s="234">
        <v>-9999</v>
      </c>
      <c r="AT20" s="234">
        <v>-9999</v>
      </c>
      <c r="AU20" s="234">
        <v>0</v>
      </c>
      <c r="AV20" s="234">
        <v>-9999</v>
      </c>
      <c r="AW20" s="234">
        <v>-9999</v>
      </c>
      <c r="AX20" s="234">
        <v>0</v>
      </c>
      <c r="AY20" s="234">
        <v>-9999</v>
      </c>
      <c r="AZ20" s="234">
        <v>-9999</v>
      </c>
      <c r="BA20" s="234">
        <v>-9999</v>
      </c>
      <c r="BB20" s="234">
        <v>-9999</v>
      </c>
      <c r="BC20" s="234">
        <v>-9999</v>
      </c>
      <c r="BD20" s="234">
        <v>-9999</v>
      </c>
      <c r="BE20" s="234">
        <v>-9999</v>
      </c>
      <c r="BF20" s="234">
        <v>-9999</v>
      </c>
      <c r="BG20" s="234">
        <v>-9999</v>
      </c>
      <c r="BH20" s="234">
        <v>-9999</v>
      </c>
      <c r="BI20" s="234" t="s">
        <v>632</v>
      </c>
      <c r="BJ20" s="491">
        <v>-9999</v>
      </c>
      <c r="BK20" s="491">
        <v>-9999</v>
      </c>
      <c r="BL20" s="234">
        <v>-9999</v>
      </c>
      <c r="BM20" s="234">
        <v>-9999</v>
      </c>
      <c r="BN20" s="234">
        <v>-9999</v>
      </c>
      <c r="BO20" s="234">
        <v>-9999</v>
      </c>
      <c r="BP20" s="234">
        <v>-9999</v>
      </c>
      <c r="BQ20" s="234">
        <v>-9999</v>
      </c>
      <c r="BR20" s="491">
        <v>-9999</v>
      </c>
      <c r="BS20" s="491">
        <v>-9999</v>
      </c>
      <c r="BT20" s="491">
        <v>-9999</v>
      </c>
      <c r="BU20" s="491">
        <v>-9999</v>
      </c>
      <c r="BV20" s="491">
        <v>-9999</v>
      </c>
      <c r="BW20" s="491"/>
      <c r="BX20" s="491">
        <v>-9999</v>
      </c>
      <c r="BY20" s="234">
        <v>-9999</v>
      </c>
      <c r="BZ20" s="496">
        <v>-9999</v>
      </c>
      <c r="CA20" s="497" t="s">
        <v>834</v>
      </c>
      <c r="CB20" s="498" t="s">
        <v>1434</v>
      </c>
      <c r="CC20" s="494" t="s">
        <v>620</v>
      </c>
      <c r="CD20" s="234">
        <v>1</v>
      </c>
      <c r="CE20" s="292">
        <v>7.5</v>
      </c>
      <c r="CF20" s="292">
        <v>-9999</v>
      </c>
      <c r="CG20" s="752" t="s">
        <v>620</v>
      </c>
    </row>
    <row r="21" spans="1:86" s="23" customFormat="1" x14ac:dyDescent="0.2">
      <c r="A21" s="234"/>
      <c r="B21" s="234"/>
      <c r="C21" s="234"/>
      <c r="D21" s="234"/>
      <c r="E21" s="493"/>
      <c r="F21" s="494"/>
      <c r="G21" s="234"/>
      <c r="H21" s="494"/>
      <c r="I21" s="234"/>
      <c r="J21" s="234"/>
      <c r="K21" s="234"/>
      <c r="L21" s="234"/>
      <c r="M21" s="389"/>
      <c r="N21" s="234"/>
      <c r="O21" s="29"/>
      <c r="P21" s="389"/>
      <c r="Q21" s="234"/>
      <c r="R21" s="389"/>
      <c r="S21" s="234"/>
      <c r="T21" s="389"/>
      <c r="U21" s="389"/>
      <c r="V21" s="389"/>
      <c r="W21" s="389"/>
      <c r="X21" s="234"/>
      <c r="Y21" s="234"/>
      <c r="Z21" s="234"/>
      <c r="AA21" s="495"/>
      <c r="AB21" s="389"/>
      <c r="AC21" s="234"/>
      <c r="AD21" s="234"/>
      <c r="AE21" s="234"/>
      <c r="AF21" s="234"/>
      <c r="AG21" s="234"/>
      <c r="AH21" s="234"/>
      <c r="AI21" s="234"/>
      <c r="AJ21" s="234"/>
      <c r="AK21" s="234"/>
      <c r="AL21" s="234"/>
      <c r="AM21" s="234"/>
      <c r="AN21" s="234"/>
      <c r="AO21" s="234"/>
      <c r="AP21" s="234"/>
      <c r="AQ21" s="234"/>
      <c r="AR21" s="234"/>
      <c r="AS21" s="234"/>
      <c r="AT21" s="234"/>
      <c r="AU21" s="234"/>
      <c r="AV21" s="234"/>
      <c r="AW21" s="234"/>
      <c r="AX21" s="234"/>
      <c r="AY21" s="234"/>
      <c r="AZ21" s="234"/>
      <c r="BA21" s="234"/>
      <c r="BB21" s="234"/>
      <c r="BC21" s="234"/>
      <c r="BD21" s="234"/>
      <c r="BE21" s="234"/>
      <c r="BF21" s="234"/>
      <c r="BG21" s="234"/>
      <c r="BH21" s="234"/>
      <c r="BI21" s="234"/>
      <c r="BJ21" s="491"/>
      <c r="BK21" s="491"/>
      <c r="BL21" s="234"/>
      <c r="BM21" s="234"/>
      <c r="BN21" s="234"/>
      <c r="BO21" s="234"/>
      <c r="BP21" s="234"/>
      <c r="BQ21" s="234"/>
      <c r="BR21" s="491"/>
      <c r="BS21" s="491"/>
      <c r="BT21" s="491"/>
      <c r="BU21" s="491"/>
      <c r="BV21" s="491"/>
      <c r="BW21" s="491"/>
      <c r="BX21" s="491"/>
      <c r="BY21" s="234"/>
      <c r="BZ21" s="496"/>
      <c r="CA21" s="497"/>
      <c r="CB21" s="498"/>
      <c r="CC21" s="494"/>
      <c r="CD21" s="234"/>
      <c r="CE21" s="292"/>
      <c r="CF21" s="292"/>
      <c r="CG21" s="752"/>
    </row>
    <row r="22" spans="1:86" s="23" customFormat="1" x14ac:dyDescent="0.2">
      <c r="A22" s="234" t="s">
        <v>617</v>
      </c>
      <c r="B22" s="234" t="s">
        <v>618</v>
      </c>
      <c r="C22" s="234" t="s">
        <v>2</v>
      </c>
      <c r="D22" s="234" t="s">
        <v>633</v>
      </c>
      <c r="E22" s="493" t="s">
        <v>6</v>
      </c>
      <c r="F22" s="494" t="s">
        <v>620</v>
      </c>
      <c r="G22" s="234">
        <v>1</v>
      </c>
      <c r="H22" s="494" t="s">
        <v>620</v>
      </c>
      <c r="I22" s="234" t="s">
        <v>621</v>
      </c>
      <c r="J22" s="234">
        <v>1987</v>
      </c>
      <c r="K22" s="234" t="s">
        <v>957</v>
      </c>
      <c r="L22" s="234" t="s">
        <v>958</v>
      </c>
      <c r="M22" s="389">
        <v>-9999</v>
      </c>
      <c r="N22" s="234">
        <v>-9999</v>
      </c>
      <c r="O22" s="29"/>
      <c r="P22" s="389">
        <v>-9999</v>
      </c>
      <c r="Q22" s="234">
        <v>-9999</v>
      </c>
      <c r="R22" s="389"/>
      <c r="S22" s="234"/>
      <c r="T22" s="389">
        <v>6.6</v>
      </c>
      <c r="U22" s="389">
        <v>0.6</v>
      </c>
      <c r="V22" s="389"/>
      <c r="W22" s="389">
        <v>-9999</v>
      </c>
      <c r="X22" s="234">
        <v>-9999</v>
      </c>
      <c r="Y22" s="234"/>
      <c r="Z22" s="234" t="s">
        <v>622</v>
      </c>
      <c r="AA22" s="495">
        <v>111111</v>
      </c>
      <c r="AB22" s="389">
        <v>-9999</v>
      </c>
      <c r="AC22" s="234">
        <v>-9999</v>
      </c>
      <c r="AD22" s="234">
        <v>36</v>
      </c>
      <c r="AE22" s="234">
        <v>-9999</v>
      </c>
      <c r="AF22" s="234">
        <v>3</v>
      </c>
      <c r="AG22" s="234">
        <v>-9999</v>
      </c>
      <c r="AH22" s="234" t="s">
        <v>623</v>
      </c>
      <c r="AI22" s="234" t="s">
        <v>624</v>
      </c>
      <c r="AJ22" s="234">
        <v>-9999</v>
      </c>
      <c r="AK22" s="234" t="s">
        <v>625</v>
      </c>
      <c r="AL22" s="234">
        <v>-9999</v>
      </c>
      <c r="AM22" s="234">
        <v>-9999</v>
      </c>
      <c r="AN22" s="234" t="s">
        <v>626</v>
      </c>
      <c r="AO22" s="234" t="s">
        <v>627</v>
      </c>
      <c r="AP22" s="234" t="s">
        <v>628</v>
      </c>
      <c r="AQ22" s="234" t="s">
        <v>626</v>
      </c>
      <c r="AR22" s="234">
        <v>336</v>
      </c>
      <c r="AS22" s="234" t="s">
        <v>690</v>
      </c>
      <c r="AT22" s="234" t="s">
        <v>742</v>
      </c>
      <c r="AU22" s="234">
        <v>112</v>
      </c>
      <c r="AV22" s="234" t="s">
        <v>218</v>
      </c>
      <c r="AW22" s="234" t="s">
        <v>630</v>
      </c>
      <c r="AX22" s="234">
        <v>224</v>
      </c>
      <c r="AY22" s="234" t="s">
        <v>219</v>
      </c>
      <c r="AZ22" s="234" t="s">
        <v>630</v>
      </c>
      <c r="BA22" s="234" t="s">
        <v>318</v>
      </c>
      <c r="BB22" s="234">
        <v>-9999</v>
      </c>
      <c r="BC22" s="234">
        <v>-9999</v>
      </c>
      <c r="BD22" s="234">
        <v>-9999</v>
      </c>
      <c r="BE22" s="234">
        <v>-9999</v>
      </c>
      <c r="BF22" s="234">
        <v>-9999</v>
      </c>
      <c r="BG22" s="234">
        <v>-9999</v>
      </c>
      <c r="BH22" s="234">
        <v>-9999</v>
      </c>
      <c r="BI22" s="234" t="s">
        <v>632</v>
      </c>
      <c r="BJ22" s="491">
        <v>-9999</v>
      </c>
      <c r="BK22" s="491">
        <v>-9999</v>
      </c>
      <c r="BL22" s="234">
        <v>-9999</v>
      </c>
      <c r="BM22" s="234">
        <v>-9999</v>
      </c>
      <c r="BN22" s="234">
        <v>-9999</v>
      </c>
      <c r="BO22" s="234">
        <v>-9999</v>
      </c>
      <c r="BP22" s="234">
        <v>-9999</v>
      </c>
      <c r="BQ22" s="234">
        <v>-9999</v>
      </c>
      <c r="BR22" s="491">
        <v>-9999</v>
      </c>
      <c r="BS22" s="491">
        <v>-9999</v>
      </c>
      <c r="BT22" s="491">
        <v>-9999</v>
      </c>
      <c r="BU22" s="491">
        <v>-9999</v>
      </c>
      <c r="BV22" s="491">
        <v>-9999</v>
      </c>
      <c r="BW22" s="491"/>
      <c r="BX22" s="491">
        <v>-9999</v>
      </c>
      <c r="BY22" s="234">
        <v>-9999</v>
      </c>
      <c r="BZ22" s="496">
        <v>-9999</v>
      </c>
      <c r="CA22" s="497" t="s">
        <v>834</v>
      </c>
      <c r="CB22" s="498" t="s">
        <v>1434</v>
      </c>
      <c r="CC22" s="494" t="s">
        <v>620</v>
      </c>
      <c r="CD22" s="234">
        <v>1</v>
      </c>
      <c r="CE22" s="292">
        <v>6.6</v>
      </c>
      <c r="CF22" s="292">
        <v>-9999</v>
      </c>
      <c r="CG22" s="752" t="s">
        <v>620</v>
      </c>
    </row>
    <row r="23" spans="1:86" s="23" customFormat="1" x14ac:dyDescent="0.2">
      <c r="A23" s="234" t="s">
        <v>617</v>
      </c>
      <c r="B23" s="234" t="s">
        <v>618</v>
      </c>
      <c r="C23" s="234" t="s">
        <v>4</v>
      </c>
      <c r="D23" s="234" t="s">
        <v>633</v>
      </c>
      <c r="E23" s="493" t="s">
        <v>6</v>
      </c>
      <c r="F23" s="494" t="s">
        <v>620</v>
      </c>
      <c r="G23" s="234">
        <v>1</v>
      </c>
      <c r="H23" s="494" t="s">
        <v>620</v>
      </c>
      <c r="I23" s="234" t="s">
        <v>621</v>
      </c>
      <c r="J23" s="234">
        <v>1987</v>
      </c>
      <c r="K23" s="234" t="s">
        <v>957</v>
      </c>
      <c r="L23" s="234" t="s">
        <v>958</v>
      </c>
      <c r="M23" s="389">
        <v>-9999</v>
      </c>
      <c r="N23" s="234">
        <v>-9999</v>
      </c>
      <c r="O23" s="29"/>
      <c r="P23" s="389">
        <v>-9999</v>
      </c>
      <c r="Q23" s="234">
        <v>-9999</v>
      </c>
      <c r="R23" s="389"/>
      <c r="S23" s="234"/>
      <c r="T23" s="389">
        <v>4.5999999999999996</v>
      </c>
      <c r="U23" s="389">
        <v>0.3</v>
      </c>
      <c r="V23" s="389"/>
      <c r="W23" s="389">
        <v>-9999</v>
      </c>
      <c r="X23" s="234">
        <v>-9999</v>
      </c>
      <c r="Y23" s="234"/>
      <c r="Z23" s="234" t="s">
        <v>622</v>
      </c>
      <c r="AA23" s="495">
        <v>111111</v>
      </c>
      <c r="AB23" s="389">
        <v>-9999</v>
      </c>
      <c r="AC23" s="234">
        <v>-9999</v>
      </c>
      <c r="AD23" s="234">
        <v>36</v>
      </c>
      <c r="AE23" s="234">
        <v>-9999</v>
      </c>
      <c r="AF23" s="234">
        <v>3</v>
      </c>
      <c r="AG23" s="234">
        <v>-9999</v>
      </c>
      <c r="AH23" s="234" t="s">
        <v>623</v>
      </c>
      <c r="AI23" s="234" t="s">
        <v>624</v>
      </c>
      <c r="AJ23" s="234">
        <v>-9999</v>
      </c>
      <c r="AK23" s="234" t="s">
        <v>625</v>
      </c>
      <c r="AL23" s="234">
        <v>-9999</v>
      </c>
      <c r="AM23" s="234">
        <v>-9999</v>
      </c>
      <c r="AN23" s="234" t="s">
        <v>626</v>
      </c>
      <c r="AO23" s="234" t="s">
        <v>627</v>
      </c>
      <c r="AP23" s="234" t="s">
        <v>628</v>
      </c>
      <c r="AQ23" s="234" t="s">
        <v>631</v>
      </c>
      <c r="AR23" s="234">
        <v>0</v>
      </c>
      <c r="AS23" s="234">
        <v>-9999</v>
      </c>
      <c r="AT23" s="234">
        <v>-9999</v>
      </c>
      <c r="AU23" s="234">
        <v>0</v>
      </c>
      <c r="AV23" s="234">
        <v>-9999</v>
      </c>
      <c r="AW23" s="234">
        <v>-9999</v>
      </c>
      <c r="AX23" s="234">
        <v>0</v>
      </c>
      <c r="AY23" s="234">
        <v>-9999</v>
      </c>
      <c r="AZ23" s="234">
        <v>-9999</v>
      </c>
      <c r="BA23" s="234">
        <v>-9999</v>
      </c>
      <c r="BB23" s="234">
        <v>-9999</v>
      </c>
      <c r="BC23" s="234">
        <v>-9999</v>
      </c>
      <c r="BD23" s="234">
        <v>-9999</v>
      </c>
      <c r="BE23" s="234">
        <v>-9999</v>
      </c>
      <c r="BF23" s="234">
        <v>-9999</v>
      </c>
      <c r="BG23" s="234">
        <v>-9999</v>
      </c>
      <c r="BH23" s="234">
        <v>-9999</v>
      </c>
      <c r="BI23" s="234" t="s">
        <v>632</v>
      </c>
      <c r="BJ23" s="491">
        <v>-9999</v>
      </c>
      <c r="BK23" s="491">
        <v>-9999</v>
      </c>
      <c r="BL23" s="234">
        <v>-9999</v>
      </c>
      <c r="BM23" s="234">
        <v>-9999</v>
      </c>
      <c r="BN23" s="234">
        <v>-9999</v>
      </c>
      <c r="BO23" s="234">
        <v>-9999</v>
      </c>
      <c r="BP23" s="234">
        <v>-9999</v>
      </c>
      <c r="BQ23" s="234">
        <v>-9999</v>
      </c>
      <c r="BR23" s="491">
        <v>-9999</v>
      </c>
      <c r="BS23" s="491">
        <v>-9999</v>
      </c>
      <c r="BT23" s="491">
        <v>-9999</v>
      </c>
      <c r="BU23" s="491">
        <v>-9999</v>
      </c>
      <c r="BV23" s="491">
        <v>-9999</v>
      </c>
      <c r="BW23" s="491"/>
      <c r="BX23" s="491">
        <v>-9999</v>
      </c>
      <c r="BY23" s="234">
        <v>-9999</v>
      </c>
      <c r="BZ23" s="496">
        <v>-9999</v>
      </c>
      <c r="CA23" s="497" t="s">
        <v>834</v>
      </c>
      <c r="CB23" s="498" t="s">
        <v>1434</v>
      </c>
      <c r="CC23" s="494" t="s">
        <v>620</v>
      </c>
      <c r="CD23" s="234">
        <v>1</v>
      </c>
      <c r="CE23" s="292">
        <v>4.5999999999999996</v>
      </c>
      <c r="CF23" s="292">
        <v>-9999</v>
      </c>
      <c r="CG23" s="752" t="s">
        <v>620</v>
      </c>
    </row>
    <row r="24" spans="1:86" s="23" customFormat="1" x14ac:dyDescent="0.2">
      <c r="A24" s="234"/>
      <c r="B24" s="234"/>
      <c r="C24" s="234"/>
      <c r="D24" s="234"/>
      <c r="E24" s="493"/>
      <c r="F24" s="494"/>
      <c r="G24" s="234"/>
      <c r="H24" s="494"/>
      <c r="I24" s="234"/>
      <c r="J24" s="234"/>
      <c r="K24" s="234"/>
      <c r="L24" s="234"/>
      <c r="M24" s="389"/>
      <c r="N24" s="234"/>
      <c r="O24" s="29"/>
      <c r="P24" s="389"/>
      <c r="Q24" s="234"/>
      <c r="R24" s="389"/>
      <c r="S24" s="234"/>
      <c r="T24" s="389"/>
      <c r="U24" s="389"/>
      <c r="V24" s="389"/>
      <c r="W24" s="389"/>
      <c r="X24" s="234"/>
      <c r="Y24" s="234"/>
      <c r="Z24" s="234"/>
      <c r="AA24" s="495"/>
      <c r="AB24" s="389"/>
      <c r="AC24" s="234"/>
      <c r="AD24" s="234"/>
      <c r="AE24" s="234"/>
      <c r="AF24" s="234"/>
      <c r="AG24" s="234"/>
      <c r="AH24" s="234"/>
      <c r="AI24" s="234"/>
      <c r="AJ24" s="234"/>
      <c r="AK24" s="234"/>
      <c r="AL24" s="234"/>
      <c r="AM24" s="234"/>
      <c r="AN24" s="234"/>
      <c r="AO24" s="234"/>
      <c r="AP24" s="234"/>
      <c r="AQ24" s="234"/>
      <c r="AR24" s="234"/>
      <c r="AS24" s="234"/>
      <c r="AT24" s="234"/>
      <c r="AU24" s="234"/>
      <c r="AV24" s="234"/>
      <c r="AW24" s="234"/>
      <c r="AX24" s="234"/>
      <c r="AY24" s="234"/>
      <c r="AZ24" s="234"/>
      <c r="BA24" s="234"/>
      <c r="BB24" s="234"/>
      <c r="BC24" s="234"/>
      <c r="BD24" s="234"/>
      <c r="BE24" s="234"/>
      <c r="BF24" s="234"/>
      <c r="BG24" s="234"/>
      <c r="BH24" s="234"/>
      <c r="BI24" s="234"/>
      <c r="BJ24" s="491"/>
      <c r="BK24" s="491"/>
      <c r="BL24" s="234"/>
      <c r="BM24" s="234"/>
      <c r="BN24" s="234"/>
      <c r="BO24" s="234"/>
      <c r="BP24" s="234"/>
      <c r="BQ24" s="234"/>
      <c r="BR24" s="491"/>
      <c r="BS24" s="491"/>
      <c r="BT24" s="491"/>
      <c r="BU24" s="491"/>
      <c r="BV24" s="491"/>
      <c r="BW24" s="491"/>
      <c r="BX24" s="491"/>
      <c r="BY24" s="234"/>
      <c r="BZ24" s="496"/>
      <c r="CA24" s="497"/>
      <c r="CB24" s="498"/>
      <c r="CC24" s="494"/>
      <c r="CD24" s="234"/>
      <c r="CE24" s="292"/>
      <c r="CF24" s="292"/>
      <c r="CG24" s="752"/>
    </row>
    <row r="25" spans="1:86" s="23" customFormat="1" x14ac:dyDescent="0.2">
      <c r="A25" s="234" t="s">
        <v>617</v>
      </c>
      <c r="B25" s="234" t="s">
        <v>618</v>
      </c>
      <c r="C25" s="234" t="s">
        <v>2</v>
      </c>
      <c r="D25" s="234" t="s">
        <v>633</v>
      </c>
      <c r="E25" s="493" t="s">
        <v>7</v>
      </c>
      <c r="F25" s="494" t="s">
        <v>620</v>
      </c>
      <c r="G25" s="234">
        <v>1</v>
      </c>
      <c r="H25" s="494" t="s">
        <v>620</v>
      </c>
      <c r="I25" s="234" t="s">
        <v>621</v>
      </c>
      <c r="J25" s="234">
        <v>1987</v>
      </c>
      <c r="K25" s="234" t="s">
        <v>957</v>
      </c>
      <c r="L25" s="234" t="s">
        <v>958</v>
      </c>
      <c r="M25" s="389">
        <v>-9999</v>
      </c>
      <c r="N25" s="234">
        <v>-9999</v>
      </c>
      <c r="O25" s="29"/>
      <c r="P25" s="389">
        <v>-9999</v>
      </c>
      <c r="Q25" s="234">
        <v>-9999</v>
      </c>
      <c r="R25" s="389"/>
      <c r="S25" s="234"/>
      <c r="T25" s="389">
        <v>6.1</v>
      </c>
      <c r="U25" s="389">
        <v>0.7</v>
      </c>
      <c r="V25" s="389"/>
      <c r="W25" s="389">
        <v>-9999</v>
      </c>
      <c r="X25" s="234">
        <v>-9999</v>
      </c>
      <c r="Y25" s="234"/>
      <c r="Z25" s="234" t="s">
        <v>622</v>
      </c>
      <c r="AA25" s="495">
        <v>111111</v>
      </c>
      <c r="AB25" s="389">
        <v>-9999</v>
      </c>
      <c r="AC25" s="234">
        <v>-9999</v>
      </c>
      <c r="AD25" s="234">
        <v>36</v>
      </c>
      <c r="AE25" s="234">
        <v>-9999</v>
      </c>
      <c r="AF25" s="234">
        <v>3</v>
      </c>
      <c r="AG25" s="234">
        <v>-9999</v>
      </c>
      <c r="AH25" s="234" t="s">
        <v>623</v>
      </c>
      <c r="AI25" s="234" t="s">
        <v>624</v>
      </c>
      <c r="AJ25" s="234">
        <v>-9999</v>
      </c>
      <c r="AK25" s="234" t="s">
        <v>625</v>
      </c>
      <c r="AL25" s="234">
        <v>-9999</v>
      </c>
      <c r="AM25" s="234">
        <v>-9999</v>
      </c>
      <c r="AN25" s="234" t="s">
        <v>626</v>
      </c>
      <c r="AO25" s="234" t="s">
        <v>627</v>
      </c>
      <c r="AP25" s="234" t="s">
        <v>628</v>
      </c>
      <c r="AQ25" s="234" t="s">
        <v>626</v>
      </c>
      <c r="AR25" s="234">
        <v>336</v>
      </c>
      <c r="AS25" s="234" t="s">
        <v>690</v>
      </c>
      <c r="AT25" s="234" t="s">
        <v>742</v>
      </c>
      <c r="AU25" s="234">
        <v>112</v>
      </c>
      <c r="AV25" s="234" t="s">
        <v>218</v>
      </c>
      <c r="AW25" s="234" t="s">
        <v>630</v>
      </c>
      <c r="AX25" s="234">
        <v>224</v>
      </c>
      <c r="AY25" s="234" t="s">
        <v>219</v>
      </c>
      <c r="AZ25" s="234" t="s">
        <v>630</v>
      </c>
      <c r="BA25" s="234" t="s">
        <v>318</v>
      </c>
      <c r="BB25" s="234">
        <v>-9999</v>
      </c>
      <c r="BC25" s="234">
        <v>-9999</v>
      </c>
      <c r="BD25" s="234">
        <v>-9999</v>
      </c>
      <c r="BE25" s="234">
        <v>-9999</v>
      </c>
      <c r="BF25" s="234">
        <v>-9999</v>
      </c>
      <c r="BG25" s="234">
        <v>-9999</v>
      </c>
      <c r="BH25" s="234">
        <v>-9999</v>
      </c>
      <c r="BI25" s="234" t="s">
        <v>632</v>
      </c>
      <c r="BJ25" s="491">
        <v>-9999</v>
      </c>
      <c r="BK25" s="491">
        <v>-9999</v>
      </c>
      <c r="BL25" s="234">
        <v>-9999</v>
      </c>
      <c r="BM25" s="234">
        <v>-9999</v>
      </c>
      <c r="BN25" s="234">
        <v>-9999</v>
      </c>
      <c r="BO25" s="234">
        <v>-9999</v>
      </c>
      <c r="BP25" s="234">
        <v>-9999</v>
      </c>
      <c r="BQ25" s="234">
        <v>-9999</v>
      </c>
      <c r="BR25" s="491">
        <v>-9999</v>
      </c>
      <c r="BS25" s="491">
        <v>-9999</v>
      </c>
      <c r="BT25" s="491">
        <v>-9999</v>
      </c>
      <c r="BU25" s="491">
        <v>-9999</v>
      </c>
      <c r="BV25" s="491">
        <v>-9999</v>
      </c>
      <c r="BW25" s="491"/>
      <c r="BX25" s="491">
        <v>-9999</v>
      </c>
      <c r="BY25" s="234">
        <v>-9999</v>
      </c>
      <c r="BZ25" s="496">
        <v>-9999</v>
      </c>
      <c r="CA25" s="497" t="s">
        <v>834</v>
      </c>
      <c r="CB25" s="498" t="s">
        <v>1434</v>
      </c>
      <c r="CC25" s="494" t="s">
        <v>620</v>
      </c>
      <c r="CD25" s="234">
        <v>1</v>
      </c>
      <c r="CE25" s="292">
        <v>6.1</v>
      </c>
      <c r="CF25" s="292">
        <v>-9999</v>
      </c>
      <c r="CG25" s="752" t="s">
        <v>620</v>
      </c>
    </row>
    <row r="26" spans="1:86" s="23" customFormat="1" x14ac:dyDescent="0.2">
      <c r="A26" s="234" t="s">
        <v>617</v>
      </c>
      <c r="B26" s="234" t="s">
        <v>618</v>
      </c>
      <c r="C26" s="234" t="s">
        <v>4</v>
      </c>
      <c r="D26" s="234" t="s">
        <v>633</v>
      </c>
      <c r="E26" s="493" t="s">
        <v>7</v>
      </c>
      <c r="F26" s="494" t="s">
        <v>620</v>
      </c>
      <c r="G26" s="234">
        <v>1</v>
      </c>
      <c r="H26" s="494" t="s">
        <v>620</v>
      </c>
      <c r="I26" s="234" t="s">
        <v>621</v>
      </c>
      <c r="J26" s="234">
        <v>1987</v>
      </c>
      <c r="K26" s="234" t="s">
        <v>957</v>
      </c>
      <c r="L26" s="234" t="s">
        <v>958</v>
      </c>
      <c r="M26" s="389">
        <v>-9999</v>
      </c>
      <c r="N26" s="234">
        <v>-9999</v>
      </c>
      <c r="O26" s="29"/>
      <c r="P26" s="389">
        <v>-9999</v>
      </c>
      <c r="Q26" s="234">
        <v>-9999</v>
      </c>
      <c r="R26" s="389"/>
      <c r="S26" s="234"/>
      <c r="T26" s="389">
        <v>4.5</v>
      </c>
      <c r="U26" s="389">
        <v>0.3</v>
      </c>
      <c r="V26" s="389"/>
      <c r="W26" s="389">
        <v>-9999</v>
      </c>
      <c r="X26" s="234">
        <v>-9999</v>
      </c>
      <c r="Y26" s="234"/>
      <c r="Z26" s="234" t="s">
        <v>622</v>
      </c>
      <c r="AA26" s="495">
        <v>111111</v>
      </c>
      <c r="AB26" s="389">
        <v>-9999</v>
      </c>
      <c r="AC26" s="234">
        <v>-9999</v>
      </c>
      <c r="AD26" s="234">
        <v>36</v>
      </c>
      <c r="AE26" s="234">
        <v>-9999</v>
      </c>
      <c r="AF26" s="234">
        <v>3</v>
      </c>
      <c r="AG26" s="234">
        <v>-9999</v>
      </c>
      <c r="AH26" s="234" t="s">
        <v>623</v>
      </c>
      <c r="AI26" s="234" t="s">
        <v>624</v>
      </c>
      <c r="AJ26" s="234">
        <v>-9999</v>
      </c>
      <c r="AK26" s="234" t="s">
        <v>625</v>
      </c>
      <c r="AL26" s="234">
        <v>-9999</v>
      </c>
      <c r="AM26" s="234">
        <v>-9999</v>
      </c>
      <c r="AN26" s="234" t="s">
        <v>626</v>
      </c>
      <c r="AO26" s="234" t="s">
        <v>627</v>
      </c>
      <c r="AP26" s="234" t="s">
        <v>628</v>
      </c>
      <c r="AQ26" s="234" t="s">
        <v>631</v>
      </c>
      <c r="AR26" s="234">
        <v>0</v>
      </c>
      <c r="AS26" s="234">
        <v>-9999</v>
      </c>
      <c r="AT26" s="234">
        <v>-9999</v>
      </c>
      <c r="AU26" s="234">
        <v>0</v>
      </c>
      <c r="AV26" s="234">
        <v>-9999</v>
      </c>
      <c r="AW26" s="234">
        <v>-9999</v>
      </c>
      <c r="AX26" s="234">
        <v>0</v>
      </c>
      <c r="AY26" s="234">
        <v>-9999</v>
      </c>
      <c r="AZ26" s="234">
        <v>-9999</v>
      </c>
      <c r="BA26" s="234">
        <v>-9999</v>
      </c>
      <c r="BB26" s="234">
        <v>-9999</v>
      </c>
      <c r="BC26" s="234">
        <v>-9999</v>
      </c>
      <c r="BD26" s="234">
        <v>-9999</v>
      </c>
      <c r="BE26" s="234">
        <v>-9999</v>
      </c>
      <c r="BF26" s="234">
        <v>-9999</v>
      </c>
      <c r="BG26" s="234">
        <v>-9999</v>
      </c>
      <c r="BH26" s="234">
        <v>-9999</v>
      </c>
      <c r="BI26" s="234" t="s">
        <v>632</v>
      </c>
      <c r="BJ26" s="491">
        <v>-9999</v>
      </c>
      <c r="BK26" s="491">
        <v>-9999</v>
      </c>
      <c r="BL26" s="234">
        <v>-9999</v>
      </c>
      <c r="BM26" s="234">
        <v>-9999</v>
      </c>
      <c r="BN26" s="234">
        <v>-9999</v>
      </c>
      <c r="BO26" s="234">
        <v>-9999</v>
      </c>
      <c r="BP26" s="234">
        <v>-9999</v>
      </c>
      <c r="BQ26" s="234">
        <v>-9999</v>
      </c>
      <c r="BR26" s="491">
        <v>-9999</v>
      </c>
      <c r="BS26" s="491">
        <v>-9999</v>
      </c>
      <c r="BT26" s="491">
        <v>-9999</v>
      </c>
      <c r="BU26" s="491">
        <v>-9999</v>
      </c>
      <c r="BV26" s="491">
        <v>-9999</v>
      </c>
      <c r="BW26" s="491"/>
      <c r="BX26" s="491">
        <v>-9999</v>
      </c>
      <c r="BY26" s="234">
        <v>-9999</v>
      </c>
      <c r="BZ26" s="496">
        <v>-9999</v>
      </c>
      <c r="CA26" s="497" t="s">
        <v>834</v>
      </c>
      <c r="CB26" s="498" t="s">
        <v>1434</v>
      </c>
      <c r="CC26" s="494" t="s">
        <v>620</v>
      </c>
      <c r="CD26" s="234">
        <v>1</v>
      </c>
      <c r="CE26" s="292">
        <v>4.5</v>
      </c>
      <c r="CF26" s="292">
        <v>-9999</v>
      </c>
      <c r="CG26" s="752" t="s">
        <v>620</v>
      </c>
    </row>
    <row r="27" spans="1:86" s="23" customFormat="1" x14ac:dyDescent="0.2">
      <c r="A27" s="234"/>
      <c r="B27" s="234"/>
      <c r="C27" s="234"/>
      <c r="D27" s="234"/>
      <c r="E27" s="493"/>
      <c r="F27" s="494"/>
      <c r="G27" s="234"/>
      <c r="H27" s="494"/>
      <c r="I27" s="234"/>
      <c r="J27" s="234"/>
      <c r="K27" s="234"/>
      <c r="L27" s="234"/>
      <c r="M27" s="389"/>
      <c r="N27" s="234"/>
      <c r="O27" s="29"/>
      <c r="P27" s="389"/>
      <c r="Q27" s="234"/>
      <c r="R27" s="389"/>
      <c r="S27" s="234"/>
      <c r="T27" s="389"/>
      <c r="U27" s="389"/>
      <c r="V27" s="389"/>
      <c r="W27" s="389"/>
      <c r="X27" s="234"/>
      <c r="Y27" s="234"/>
      <c r="Z27" s="234"/>
      <c r="AA27" s="495"/>
      <c r="AB27" s="389"/>
      <c r="AC27" s="234"/>
      <c r="AD27" s="234"/>
      <c r="AE27" s="234"/>
      <c r="AF27" s="234"/>
      <c r="AG27" s="234"/>
      <c r="AH27" s="234"/>
      <c r="AI27" s="234"/>
      <c r="AJ27" s="234"/>
      <c r="AK27" s="234"/>
      <c r="AL27" s="234"/>
      <c r="AM27" s="234"/>
      <c r="AN27" s="234"/>
      <c r="AO27" s="234"/>
      <c r="AP27" s="234"/>
      <c r="AQ27" s="234"/>
      <c r="AR27" s="234"/>
      <c r="AS27" s="234"/>
      <c r="AT27" s="234"/>
      <c r="AU27" s="234"/>
      <c r="AV27" s="234"/>
      <c r="AW27" s="234"/>
      <c r="AX27" s="234"/>
      <c r="AY27" s="234"/>
      <c r="AZ27" s="234"/>
      <c r="BA27" s="234"/>
      <c r="BB27" s="234"/>
      <c r="BC27" s="234"/>
      <c r="BD27" s="234"/>
      <c r="BE27" s="234"/>
      <c r="BF27" s="234"/>
      <c r="BG27" s="234"/>
      <c r="BH27" s="234"/>
      <c r="BI27" s="234"/>
      <c r="BJ27" s="491"/>
      <c r="BK27" s="491"/>
      <c r="BL27" s="234"/>
      <c r="BM27" s="234"/>
      <c r="BN27" s="234"/>
      <c r="BO27" s="234"/>
      <c r="BP27" s="234"/>
      <c r="BQ27" s="234"/>
      <c r="BR27" s="491"/>
      <c r="BS27" s="491"/>
      <c r="BT27" s="491"/>
      <c r="BU27" s="491"/>
      <c r="BV27" s="491"/>
      <c r="BW27" s="491"/>
      <c r="BX27" s="491"/>
      <c r="BY27" s="234"/>
      <c r="BZ27" s="496"/>
      <c r="CA27" s="497"/>
      <c r="CB27" s="498"/>
      <c r="CC27" s="494"/>
      <c r="CD27" s="234"/>
      <c r="CE27" s="292"/>
      <c r="CF27" s="292"/>
      <c r="CG27" s="752"/>
    </row>
    <row r="28" spans="1:86" s="13" customFormat="1" x14ac:dyDescent="0.2">
      <c r="A28" s="231" t="s">
        <v>617</v>
      </c>
      <c r="B28" s="231" t="s">
        <v>618</v>
      </c>
      <c r="C28" s="231" t="s">
        <v>2</v>
      </c>
      <c r="D28" s="231" t="s">
        <v>633</v>
      </c>
      <c r="E28" s="232" t="s">
        <v>8</v>
      </c>
      <c r="F28" s="488" t="s">
        <v>620</v>
      </c>
      <c r="G28" s="231">
        <v>1</v>
      </c>
      <c r="H28" s="488" t="s">
        <v>620</v>
      </c>
      <c r="I28" s="231" t="s">
        <v>621</v>
      </c>
      <c r="J28" s="231">
        <v>1987</v>
      </c>
      <c r="K28" s="231" t="s">
        <v>957</v>
      </c>
      <c r="L28" s="231" t="s">
        <v>958</v>
      </c>
      <c r="M28" s="235">
        <v>-9999</v>
      </c>
      <c r="N28" s="231">
        <v>-9999</v>
      </c>
      <c r="O28" s="18"/>
      <c r="P28" s="235">
        <v>-9999</v>
      </c>
      <c r="Q28" s="231">
        <v>-9999</v>
      </c>
      <c r="R28" s="235"/>
      <c r="S28" s="231"/>
      <c r="T28" s="235">
        <v>9.8000000000000007</v>
      </c>
      <c r="U28" s="235">
        <v>0.4</v>
      </c>
      <c r="V28" s="235"/>
      <c r="W28" s="235">
        <v>-9999</v>
      </c>
      <c r="X28" s="231">
        <v>-9999</v>
      </c>
      <c r="Y28" s="231"/>
      <c r="Z28" s="231" t="s">
        <v>622</v>
      </c>
      <c r="AA28" s="489">
        <v>111111</v>
      </c>
      <c r="AB28" s="235">
        <v>-9999</v>
      </c>
      <c r="AC28" s="231">
        <v>-9999</v>
      </c>
      <c r="AD28" s="231">
        <v>36</v>
      </c>
      <c r="AE28" s="231">
        <v>-9999</v>
      </c>
      <c r="AF28" s="231">
        <v>3</v>
      </c>
      <c r="AG28" s="231">
        <v>-9999</v>
      </c>
      <c r="AH28" s="231" t="s">
        <v>623</v>
      </c>
      <c r="AI28" s="231" t="s">
        <v>624</v>
      </c>
      <c r="AJ28" s="231">
        <v>-9999</v>
      </c>
      <c r="AK28" s="231" t="s">
        <v>625</v>
      </c>
      <c r="AL28" s="231">
        <v>-9999</v>
      </c>
      <c r="AM28" s="231">
        <v>-9999</v>
      </c>
      <c r="AN28" s="231" t="s">
        <v>626</v>
      </c>
      <c r="AO28" s="231" t="s">
        <v>627</v>
      </c>
      <c r="AP28" s="231" t="s">
        <v>628</v>
      </c>
      <c r="AQ28" s="231" t="s">
        <v>626</v>
      </c>
      <c r="AR28" s="231">
        <v>336</v>
      </c>
      <c r="AS28" s="231" t="s">
        <v>690</v>
      </c>
      <c r="AT28" s="231" t="s">
        <v>742</v>
      </c>
      <c r="AU28" s="231">
        <v>112</v>
      </c>
      <c r="AV28" s="231" t="s">
        <v>218</v>
      </c>
      <c r="AW28" s="231" t="s">
        <v>630</v>
      </c>
      <c r="AX28" s="231">
        <v>224</v>
      </c>
      <c r="AY28" s="231" t="s">
        <v>219</v>
      </c>
      <c r="AZ28" s="231" t="s">
        <v>630</v>
      </c>
      <c r="BA28" s="231" t="s">
        <v>318</v>
      </c>
      <c r="BB28" s="231">
        <v>-9999</v>
      </c>
      <c r="BC28" s="231">
        <v>-9999</v>
      </c>
      <c r="BD28" s="231">
        <v>-9999</v>
      </c>
      <c r="BE28" s="231">
        <v>-9999</v>
      </c>
      <c r="BF28" s="231">
        <v>-9999</v>
      </c>
      <c r="BG28" s="231">
        <v>-9999</v>
      </c>
      <c r="BH28" s="231">
        <v>-9999</v>
      </c>
      <c r="BI28" s="231" t="s">
        <v>632</v>
      </c>
      <c r="BJ28" s="233">
        <v>-9999</v>
      </c>
      <c r="BK28" s="233">
        <v>-9999</v>
      </c>
      <c r="BL28" s="231">
        <v>-9999</v>
      </c>
      <c r="BM28" s="231">
        <v>-9999</v>
      </c>
      <c r="BN28" s="231">
        <v>-9999</v>
      </c>
      <c r="BO28" s="231">
        <v>-9999</v>
      </c>
      <c r="BP28" s="231">
        <v>-9999</v>
      </c>
      <c r="BQ28" s="231">
        <v>-9999</v>
      </c>
      <c r="BR28" s="233">
        <v>-9999</v>
      </c>
      <c r="BS28" s="233">
        <v>-9999</v>
      </c>
      <c r="BT28" s="233">
        <v>-9999</v>
      </c>
      <c r="BU28" s="233">
        <v>-9999</v>
      </c>
      <c r="BV28" s="233">
        <v>-9999</v>
      </c>
      <c r="BW28" s="233"/>
      <c r="BX28" s="233">
        <v>-9999</v>
      </c>
      <c r="BY28" s="231">
        <v>-9999</v>
      </c>
      <c r="BZ28" s="238">
        <v>-9999</v>
      </c>
      <c r="CA28" s="490" t="s">
        <v>834</v>
      </c>
      <c r="CB28" s="239" t="s">
        <v>1434</v>
      </c>
      <c r="CC28" s="488" t="s">
        <v>620</v>
      </c>
      <c r="CD28" s="231">
        <v>1</v>
      </c>
      <c r="CE28" s="99">
        <v>9.8000000000000007</v>
      </c>
      <c r="CF28" s="99">
        <v>-9999</v>
      </c>
      <c r="CG28" s="751" t="s">
        <v>620</v>
      </c>
    </row>
    <row r="29" spans="1:86" s="13" customFormat="1" x14ac:dyDescent="0.2">
      <c r="A29" s="231" t="s">
        <v>617</v>
      </c>
      <c r="B29" s="231" t="s">
        <v>618</v>
      </c>
      <c r="C29" s="231" t="s">
        <v>4</v>
      </c>
      <c r="D29" s="231" t="s">
        <v>633</v>
      </c>
      <c r="E29" s="232" t="s">
        <v>8</v>
      </c>
      <c r="F29" s="488" t="s">
        <v>620</v>
      </c>
      <c r="G29" s="231">
        <v>1</v>
      </c>
      <c r="H29" s="488" t="s">
        <v>620</v>
      </c>
      <c r="I29" s="231" t="s">
        <v>621</v>
      </c>
      <c r="J29" s="231">
        <v>1987</v>
      </c>
      <c r="K29" s="231" t="s">
        <v>957</v>
      </c>
      <c r="L29" s="231" t="s">
        <v>958</v>
      </c>
      <c r="M29" s="235">
        <v>-9999</v>
      </c>
      <c r="N29" s="231">
        <v>-9999</v>
      </c>
      <c r="O29" s="18"/>
      <c r="P29" s="235">
        <v>-9999</v>
      </c>
      <c r="Q29" s="231">
        <v>-9999</v>
      </c>
      <c r="R29" s="235"/>
      <c r="S29" s="231"/>
      <c r="T29" s="235">
        <v>9.6</v>
      </c>
      <c r="U29" s="235">
        <v>0.3</v>
      </c>
      <c r="V29" s="235"/>
      <c r="W29" s="235">
        <v>-9999</v>
      </c>
      <c r="X29" s="231">
        <v>-9999</v>
      </c>
      <c r="Y29" s="231"/>
      <c r="Z29" s="231" t="s">
        <v>622</v>
      </c>
      <c r="AA29" s="489">
        <v>111111</v>
      </c>
      <c r="AB29" s="235">
        <v>-9999</v>
      </c>
      <c r="AC29" s="231">
        <v>-9999</v>
      </c>
      <c r="AD29" s="231">
        <v>36</v>
      </c>
      <c r="AE29" s="231">
        <v>-9999</v>
      </c>
      <c r="AF29" s="231">
        <v>3</v>
      </c>
      <c r="AG29" s="231">
        <v>-9999</v>
      </c>
      <c r="AH29" s="231" t="s">
        <v>623</v>
      </c>
      <c r="AI29" s="231" t="s">
        <v>624</v>
      </c>
      <c r="AJ29" s="231">
        <v>-9999</v>
      </c>
      <c r="AK29" s="231" t="s">
        <v>625</v>
      </c>
      <c r="AL29" s="231">
        <v>-9999</v>
      </c>
      <c r="AM29" s="231">
        <v>-9999</v>
      </c>
      <c r="AN29" s="231" t="s">
        <v>626</v>
      </c>
      <c r="AO29" s="231" t="s">
        <v>627</v>
      </c>
      <c r="AP29" s="231" t="s">
        <v>628</v>
      </c>
      <c r="AQ29" s="231" t="s">
        <v>631</v>
      </c>
      <c r="AR29" s="231">
        <v>0</v>
      </c>
      <c r="AS29" s="231">
        <v>-9999</v>
      </c>
      <c r="AT29" s="231">
        <v>-9999</v>
      </c>
      <c r="AU29" s="231">
        <v>0</v>
      </c>
      <c r="AV29" s="231">
        <v>-9999</v>
      </c>
      <c r="AW29" s="231">
        <v>-9999</v>
      </c>
      <c r="AX29" s="231">
        <v>0</v>
      </c>
      <c r="AY29" s="231">
        <v>-9999</v>
      </c>
      <c r="AZ29" s="231">
        <v>-9999</v>
      </c>
      <c r="BA29" s="231">
        <v>-9999</v>
      </c>
      <c r="BB29" s="231">
        <v>-9999</v>
      </c>
      <c r="BC29" s="231">
        <v>-9999</v>
      </c>
      <c r="BD29" s="231">
        <v>-9999</v>
      </c>
      <c r="BE29" s="231">
        <v>-9999</v>
      </c>
      <c r="BF29" s="231">
        <v>-9999</v>
      </c>
      <c r="BG29" s="231">
        <v>-9999</v>
      </c>
      <c r="BH29" s="231">
        <v>-9999</v>
      </c>
      <c r="BI29" s="231" t="s">
        <v>632</v>
      </c>
      <c r="BJ29" s="233">
        <v>-9999</v>
      </c>
      <c r="BK29" s="233">
        <v>-9999</v>
      </c>
      <c r="BL29" s="231">
        <v>-9999</v>
      </c>
      <c r="BM29" s="231">
        <v>-9999</v>
      </c>
      <c r="BN29" s="231">
        <v>-9999</v>
      </c>
      <c r="BO29" s="231">
        <v>-9999</v>
      </c>
      <c r="BP29" s="231">
        <v>-9999</v>
      </c>
      <c r="BQ29" s="231">
        <v>-9999</v>
      </c>
      <c r="BR29" s="233">
        <v>-9999</v>
      </c>
      <c r="BS29" s="233">
        <v>-9999</v>
      </c>
      <c r="BT29" s="233">
        <v>-9999</v>
      </c>
      <c r="BU29" s="233">
        <v>-9999</v>
      </c>
      <c r="BV29" s="233">
        <v>-9999</v>
      </c>
      <c r="BW29" s="233"/>
      <c r="BX29" s="233">
        <v>-9999</v>
      </c>
      <c r="BY29" s="231">
        <v>-9999</v>
      </c>
      <c r="BZ29" s="238">
        <v>-9999</v>
      </c>
      <c r="CA29" s="490" t="s">
        <v>834</v>
      </c>
      <c r="CB29" s="239" t="s">
        <v>1434</v>
      </c>
      <c r="CC29" s="488" t="s">
        <v>620</v>
      </c>
      <c r="CD29" s="231">
        <v>1</v>
      </c>
      <c r="CE29" s="99">
        <v>9.6</v>
      </c>
      <c r="CF29" s="99">
        <v>-9999</v>
      </c>
      <c r="CG29" s="751" t="s">
        <v>620</v>
      </c>
    </row>
    <row r="30" spans="1:86" s="23" customFormat="1" x14ac:dyDescent="0.2">
      <c r="A30" s="234"/>
      <c r="B30" s="234"/>
      <c r="C30" s="234"/>
      <c r="D30" s="234"/>
      <c r="E30" s="493"/>
      <c r="F30" s="494"/>
      <c r="G30" s="234"/>
      <c r="H30" s="494"/>
      <c r="I30" s="234"/>
      <c r="J30" s="234"/>
      <c r="K30" s="234"/>
      <c r="L30" s="234"/>
      <c r="M30" s="389"/>
      <c r="N30" s="234"/>
      <c r="O30" s="29"/>
      <c r="P30" s="389"/>
      <c r="Q30" s="234"/>
      <c r="R30" s="389"/>
      <c r="S30" s="234"/>
      <c r="T30" s="389"/>
      <c r="U30" s="389"/>
      <c r="V30" s="389"/>
      <c r="W30" s="389"/>
      <c r="X30" s="234"/>
      <c r="Y30" s="234"/>
      <c r="Z30" s="234"/>
      <c r="AA30" s="495"/>
      <c r="AB30" s="389"/>
      <c r="AC30" s="234"/>
      <c r="AD30" s="234"/>
      <c r="AE30" s="234"/>
      <c r="AF30" s="234"/>
      <c r="AG30" s="234"/>
      <c r="AH30" s="234"/>
      <c r="AI30" s="234"/>
      <c r="AJ30" s="234"/>
      <c r="AK30" s="234"/>
      <c r="AL30" s="234"/>
      <c r="AM30" s="234"/>
      <c r="AN30" s="234"/>
      <c r="AO30" s="234"/>
      <c r="AP30" s="234"/>
      <c r="AQ30" s="234"/>
      <c r="AR30" s="234"/>
      <c r="AS30" s="234"/>
      <c r="AT30" s="234"/>
      <c r="AU30" s="234"/>
      <c r="AV30" s="234"/>
      <c r="AW30" s="234"/>
      <c r="AX30" s="234"/>
      <c r="AY30" s="234"/>
      <c r="AZ30" s="234"/>
      <c r="BA30" s="234"/>
      <c r="BB30" s="234"/>
      <c r="BC30" s="234"/>
      <c r="BD30" s="234"/>
      <c r="BE30" s="234"/>
      <c r="BF30" s="234"/>
      <c r="BG30" s="234"/>
      <c r="BH30" s="234"/>
      <c r="BI30" s="234"/>
      <c r="BJ30" s="491"/>
      <c r="BK30" s="491"/>
      <c r="BL30" s="234"/>
      <c r="BM30" s="234"/>
      <c r="BN30" s="234"/>
      <c r="BO30" s="234"/>
      <c r="BP30" s="234"/>
      <c r="BQ30" s="234"/>
      <c r="BR30" s="491"/>
      <c r="BS30" s="491"/>
      <c r="BT30" s="491"/>
      <c r="BU30" s="491"/>
      <c r="BV30" s="491"/>
      <c r="BW30" s="491"/>
      <c r="BX30" s="491"/>
      <c r="BY30" s="234"/>
      <c r="BZ30" s="496"/>
      <c r="CA30" s="497"/>
      <c r="CB30" s="239"/>
      <c r="CC30" s="494"/>
      <c r="CD30" s="234"/>
      <c r="CE30" s="292"/>
      <c r="CF30" s="292"/>
      <c r="CG30" s="752"/>
    </row>
    <row r="31" spans="1:86" s="13" customFormat="1" x14ac:dyDescent="0.2">
      <c r="A31" s="231" t="s">
        <v>617</v>
      </c>
      <c r="B31" s="231" t="s">
        <v>618</v>
      </c>
      <c r="C31" s="231" t="s">
        <v>2</v>
      </c>
      <c r="D31" s="231" t="s">
        <v>633</v>
      </c>
      <c r="E31" s="232" t="s">
        <v>634</v>
      </c>
      <c r="F31" s="488" t="s">
        <v>620</v>
      </c>
      <c r="G31" s="231">
        <v>1</v>
      </c>
      <c r="H31" s="488" t="s">
        <v>620</v>
      </c>
      <c r="I31" s="231" t="s">
        <v>621</v>
      </c>
      <c r="J31" s="231">
        <v>1987</v>
      </c>
      <c r="K31" s="231" t="s">
        <v>957</v>
      </c>
      <c r="L31" s="231" t="s">
        <v>958</v>
      </c>
      <c r="M31" s="235">
        <v>-9999</v>
      </c>
      <c r="N31" s="231">
        <v>-9999</v>
      </c>
      <c r="O31" s="18"/>
      <c r="P31" s="235">
        <v>-9999</v>
      </c>
      <c r="Q31" s="231">
        <v>-9999</v>
      </c>
      <c r="R31" s="235"/>
      <c r="S31" s="231"/>
      <c r="T31" s="235">
        <v>12.5</v>
      </c>
      <c r="U31" s="235">
        <v>0.4</v>
      </c>
      <c r="V31" s="235"/>
      <c r="W31" s="235">
        <v>-9999</v>
      </c>
      <c r="X31" s="231">
        <v>-9999</v>
      </c>
      <c r="Y31" s="231"/>
      <c r="Z31" s="231" t="s">
        <v>622</v>
      </c>
      <c r="AA31" s="489">
        <v>111111</v>
      </c>
      <c r="AB31" s="235">
        <v>-9999</v>
      </c>
      <c r="AC31" s="231">
        <v>-9999</v>
      </c>
      <c r="AD31" s="231">
        <v>36</v>
      </c>
      <c r="AE31" s="231">
        <v>-9999</v>
      </c>
      <c r="AF31" s="231">
        <v>3</v>
      </c>
      <c r="AG31" s="231">
        <v>-9999</v>
      </c>
      <c r="AH31" s="231" t="s">
        <v>623</v>
      </c>
      <c r="AI31" s="231" t="s">
        <v>624</v>
      </c>
      <c r="AJ31" s="231">
        <v>-9999</v>
      </c>
      <c r="AK31" s="231" t="s">
        <v>625</v>
      </c>
      <c r="AL31" s="231">
        <v>-9999</v>
      </c>
      <c r="AM31" s="231">
        <v>-9999</v>
      </c>
      <c r="AN31" s="231" t="s">
        <v>626</v>
      </c>
      <c r="AO31" s="231" t="s">
        <v>627</v>
      </c>
      <c r="AP31" s="231" t="s">
        <v>628</v>
      </c>
      <c r="AQ31" s="231" t="s">
        <v>626</v>
      </c>
      <c r="AR31" s="231">
        <v>336</v>
      </c>
      <c r="AS31" s="231" t="s">
        <v>690</v>
      </c>
      <c r="AT31" s="231" t="s">
        <v>742</v>
      </c>
      <c r="AU31" s="231">
        <v>112</v>
      </c>
      <c r="AV31" s="231" t="s">
        <v>218</v>
      </c>
      <c r="AW31" s="231" t="s">
        <v>630</v>
      </c>
      <c r="AX31" s="231">
        <v>224</v>
      </c>
      <c r="AY31" s="231" t="s">
        <v>219</v>
      </c>
      <c r="AZ31" s="231" t="s">
        <v>630</v>
      </c>
      <c r="BA31" s="231" t="s">
        <v>318</v>
      </c>
      <c r="BB31" s="231">
        <v>-9999</v>
      </c>
      <c r="BC31" s="231">
        <v>-9999</v>
      </c>
      <c r="BD31" s="231">
        <v>-9999</v>
      </c>
      <c r="BE31" s="231">
        <v>-9999</v>
      </c>
      <c r="BF31" s="231">
        <v>-9999</v>
      </c>
      <c r="BG31" s="231">
        <v>-9999</v>
      </c>
      <c r="BH31" s="231">
        <v>-9999</v>
      </c>
      <c r="BI31" s="231" t="s">
        <v>632</v>
      </c>
      <c r="BJ31" s="233">
        <v>-9999</v>
      </c>
      <c r="BK31" s="233">
        <v>-9999</v>
      </c>
      <c r="BL31" s="231">
        <v>-9999</v>
      </c>
      <c r="BM31" s="231">
        <v>-9999</v>
      </c>
      <c r="BN31" s="231">
        <v>-9999</v>
      </c>
      <c r="BO31" s="231">
        <v>-9999</v>
      </c>
      <c r="BP31" s="231">
        <v>-9999</v>
      </c>
      <c r="BQ31" s="231">
        <v>-9999</v>
      </c>
      <c r="BR31" s="233">
        <v>-9999</v>
      </c>
      <c r="BS31" s="233">
        <v>-9999</v>
      </c>
      <c r="BT31" s="233">
        <v>-9999</v>
      </c>
      <c r="BU31" s="233">
        <v>-9999</v>
      </c>
      <c r="BV31" s="233">
        <v>-9999</v>
      </c>
      <c r="BW31" s="233"/>
      <c r="BX31" s="233">
        <v>-9999</v>
      </c>
      <c r="BY31" s="231">
        <v>-9999</v>
      </c>
      <c r="BZ31" s="238">
        <v>-9999</v>
      </c>
      <c r="CA31" s="490" t="s">
        <v>834</v>
      </c>
      <c r="CB31" s="239" t="s">
        <v>1434</v>
      </c>
      <c r="CC31" s="488" t="s">
        <v>620</v>
      </c>
      <c r="CD31" s="231">
        <v>1</v>
      </c>
      <c r="CE31" s="749">
        <v>12.5</v>
      </c>
      <c r="CF31" s="99">
        <v>-9999</v>
      </c>
      <c r="CG31" s="751" t="s">
        <v>620</v>
      </c>
      <c r="CH31" s="13" t="s">
        <v>1757</v>
      </c>
    </row>
    <row r="32" spans="1:86" s="13" customFormat="1" x14ac:dyDescent="0.2">
      <c r="A32" s="231" t="s">
        <v>617</v>
      </c>
      <c r="B32" s="231" t="s">
        <v>618</v>
      </c>
      <c r="C32" s="231" t="s">
        <v>4</v>
      </c>
      <c r="D32" s="231" t="s">
        <v>633</v>
      </c>
      <c r="E32" s="232" t="s">
        <v>634</v>
      </c>
      <c r="F32" s="488" t="s">
        <v>620</v>
      </c>
      <c r="G32" s="231">
        <v>1</v>
      </c>
      <c r="H32" s="488" t="s">
        <v>620</v>
      </c>
      <c r="I32" s="231" t="s">
        <v>621</v>
      </c>
      <c r="J32" s="231">
        <v>1987</v>
      </c>
      <c r="K32" s="231" t="s">
        <v>957</v>
      </c>
      <c r="L32" s="231" t="s">
        <v>958</v>
      </c>
      <c r="M32" s="235">
        <v>-9999</v>
      </c>
      <c r="N32" s="231">
        <v>-9999</v>
      </c>
      <c r="O32" s="18"/>
      <c r="P32" s="235">
        <v>-9999</v>
      </c>
      <c r="Q32" s="231">
        <v>-9999</v>
      </c>
      <c r="R32" s="235"/>
      <c r="S32" s="231"/>
      <c r="T32" s="235">
        <v>10.8</v>
      </c>
      <c r="U32" s="235">
        <v>0.3</v>
      </c>
      <c r="V32" s="235"/>
      <c r="W32" s="235">
        <v>-9999</v>
      </c>
      <c r="X32" s="231">
        <v>-9999</v>
      </c>
      <c r="Y32" s="231"/>
      <c r="Z32" s="231" t="s">
        <v>622</v>
      </c>
      <c r="AA32" s="489">
        <v>111111</v>
      </c>
      <c r="AB32" s="235">
        <v>-9999</v>
      </c>
      <c r="AC32" s="231">
        <v>-9999</v>
      </c>
      <c r="AD32" s="231">
        <v>36</v>
      </c>
      <c r="AE32" s="231">
        <v>-9999</v>
      </c>
      <c r="AF32" s="231">
        <v>3</v>
      </c>
      <c r="AG32" s="231">
        <v>-9999</v>
      </c>
      <c r="AH32" s="231" t="s">
        <v>623</v>
      </c>
      <c r="AI32" s="231" t="s">
        <v>624</v>
      </c>
      <c r="AJ32" s="231">
        <v>-9999</v>
      </c>
      <c r="AK32" s="231" t="s">
        <v>625</v>
      </c>
      <c r="AL32" s="231">
        <v>-9999</v>
      </c>
      <c r="AM32" s="231">
        <v>-9999</v>
      </c>
      <c r="AN32" s="231" t="s">
        <v>626</v>
      </c>
      <c r="AO32" s="231" t="s">
        <v>627</v>
      </c>
      <c r="AP32" s="231" t="s">
        <v>628</v>
      </c>
      <c r="AQ32" s="231" t="s">
        <v>631</v>
      </c>
      <c r="AR32" s="231">
        <v>0</v>
      </c>
      <c r="AS32" s="231">
        <v>-9999</v>
      </c>
      <c r="AT32" s="231">
        <v>-9999</v>
      </c>
      <c r="AU32" s="231">
        <v>0</v>
      </c>
      <c r="AV32" s="231">
        <v>-9999</v>
      </c>
      <c r="AW32" s="231">
        <v>-9999</v>
      </c>
      <c r="AX32" s="231">
        <v>0</v>
      </c>
      <c r="AY32" s="231">
        <v>-9999</v>
      </c>
      <c r="AZ32" s="231">
        <v>-9999</v>
      </c>
      <c r="BA32" s="231">
        <v>-9999</v>
      </c>
      <c r="BB32" s="231">
        <v>-9999</v>
      </c>
      <c r="BC32" s="231">
        <v>-9999</v>
      </c>
      <c r="BD32" s="231">
        <v>-9999</v>
      </c>
      <c r="BE32" s="231">
        <v>-9999</v>
      </c>
      <c r="BF32" s="231">
        <v>-9999</v>
      </c>
      <c r="BG32" s="231">
        <v>-9999</v>
      </c>
      <c r="BH32" s="231">
        <v>-9999</v>
      </c>
      <c r="BI32" s="231" t="s">
        <v>632</v>
      </c>
      <c r="BJ32" s="233">
        <v>-9999</v>
      </c>
      <c r="BK32" s="233">
        <v>-9999</v>
      </c>
      <c r="BL32" s="231">
        <v>-9999</v>
      </c>
      <c r="BM32" s="231">
        <v>-9999</v>
      </c>
      <c r="BN32" s="231">
        <v>-9999</v>
      </c>
      <c r="BO32" s="231">
        <v>-9999</v>
      </c>
      <c r="BP32" s="231">
        <v>-9999</v>
      </c>
      <c r="BQ32" s="231">
        <v>-9999</v>
      </c>
      <c r="BR32" s="233">
        <v>-9999</v>
      </c>
      <c r="BS32" s="233">
        <v>-9999</v>
      </c>
      <c r="BT32" s="233">
        <v>-9999</v>
      </c>
      <c r="BU32" s="233">
        <v>-9999</v>
      </c>
      <c r="BV32" s="233">
        <v>-9999</v>
      </c>
      <c r="BW32" s="233"/>
      <c r="BX32" s="233">
        <v>-9999</v>
      </c>
      <c r="BY32" s="231">
        <v>-9999</v>
      </c>
      <c r="BZ32" s="238">
        <v>-9999</v>
      </c>
      <c r="CA32" s="490" t="s">
        <v>834</v>
      </c>
      <c r="CB32" s="239" t="s">
        <v>1434</v>
      </c>
      <c r="CC32" s="488" t="s">
        <v>620</v>
      </c>
      <c r="CD32" s="231">
        <v>1</v>
      </c>
      <c r="CE32" s="749">
        <v>10.8</v>
      </c>
      <c r="CF32" s="99">
        <v>-9999</v>
      </c>
      <c r="CG32" s="751" t="s">
        <v>620</v>
      </c>
      <c r="CH32" s="13" t="s">
        <v>1757</v>
      </c>
    </row>
    <row r="33" spans="1:86" s="13" customFormat="1" x14ac:dyDescent="0.2">
      <c r="A33" s="18"/>
      <c r="B33" s="18"/>
      <c r="C33" s="18"/>
      <c r="D33" s="18"/>
      <c r="E33" s="19"/>
      <c r="F33" s="511"/>
      <c r="G33" s="18"/>
      <c r="H33" s="512"/>
      <c r="I33" s="18"/>
      <c r="J33" s="18"/>
      <c r="K33" s="18"/>
      <c r="L33" s="18"/>
      <c r="M33" s="21"/>
      <c r="N33" s="65"/>
      <c r="O33" s="65"/>
      <c r="P33" s="21"/>
      <c r="Q33" s="18"/>
      <c r="R33" s="21"/>
      <c r="S33" s="18"/>
      <c r="T33" s="21"/>
      <c r="U33" s="21"/>
      <c r="V33" s="21"/>
      <c r="W33" s="67"/>
      <c r="X33" s="65"/>
      <c r="Y33" s="65"/>
      <c r="Z33" s="18"/>
      <c r="AA33" s="513"/>
      <c r="AB33" s="67"/>
      <c r="AC33" s="65"/>
      <c r="AD33" s="18"/>
      <c r="AE33" s="65"/>
      <c r="AF33" s="18"/>
      <c r="AG33" s="18"/>
      <c r="AH33" s="18"/>
      <c r="AI33" s="18"/>
      <c r="AJ33" s="18"/>
      <c r="AK33" s="29"/>
      <c r="AL33" s="18"/>
      <c r="AM33" s="18"/>
      <c r="AN33" s="18"/>
      <c r="AO33" s="18"/>
      <c r="AP33" s="18"/>
      <c r="AQ33" s="18"/>
      <c r="AR33" s="18"/>
      <c r="AS33" s="18"/>
      <c r="AT33" s="18"/>
      <c r="AU33" s="18"/>
      <c r="AV33" s="18"/>
      <c r="AW33" s="18"/>
      <c r="AX33" s="18"/>
      <c r="AY33" s="18"/>
      <c r="AZ33" s="18"/>
      <c r="BA33" s="18"/>
      <c r="BB33" s="18"/>
      <c r="BC33" s="18"/>
      <c r="BD33" s="18"/>
      <c r="BE33" s="18"/>
      <c r="BF33" s="18"/>
      <c r="BG33" s="18"/>
      <c r="BH33" s="18"/>
      <c r="BI33" s="18"/>
      <c r="BJ33" s="20"/>
      <c r="BK33" s="20"/>
      <c r="BL33" s="18"/>
      <c r="BM33" s="18"/>
      <c r="BN33" s="18"/>
      <c r="BO33" s="18"/>
      <c r="BP33" s="18"/>
      <c r="BQ33" s="18"/>
      <c r="BR33" s="20"/>
      <c r="BS33" s="30"/>
      <c r="BT33" s="20"/>
      <c r="BU33" s="20"/>
      <c r="BV33" s="20"/>
      <c r="BW33" s="20"/>
      <c r="BX33" s="20"/>
      <c r="BY33" s="18"/>
      <c r="BZ33" s="73"/>
      <c r="CA33" s="73"/>
      <c r="CC33" s="511"/>
      <c r="CD33" s="18"/>
      <c r="CE33" s="99"/>
      <c r="CF33" s="99"/>
      <c r="CG33" s="753"/>
    </row>
    <row r="34" spans="1:86" s="23" customFormat="1" x14ac:dyDescent="0.2">
      <c r="A34" s="57" t="s">
        <v>617</v>
      </c>
      <c r="B34" s="234" t="s">
        <v>618</v>
      </c>
      <c r="C34" s="234" t="s">
        <v>9</v>
      </c>
      <c r="D34" s="234" t="s">
        <v>633</v>
      </c>
      <c r="E34" s="493" t="s">
        <v>5</v>
      </c>
      <c r="F34" s="500" t="s">
        <v>1794</v>
      </c>
      <c r="G34" s="234">
        <v>1</v>
      </c>
      <c r="H34" s="501" t="s">
        <v>635</v>
      </c>
      <c r="I34" s="234" t="s">
        <v>621</v>
      </c>
      <c r="J34" s="234">
        <v>1990</v>
      </c>
      <c r="K34" s="234" t="s">
        <v>957</v>
      </c>
      <c r="L34" s="234" t="s">
        <v>959</v>
      </c>
      <c r="M34" s="389">
        <v>-9999</v>
      </c>
      <c r="N34" s="234">
        <v>-9999</v>
      </c>
      <c r="O34" s="29"/>
      <c r="P34" s="389">
        <v>-9999</v>
      </c>
      <c r="Q34" s="234">
        <v>-9999</v>
      </c>
      <c r="R34" s="389"/>
      <c r="S34" s="234"/>
      <c r="T34" s="389">
        <v>5.0999999999999996</v>
      </c>
      <c r="U34" s="389">
        <v>1</v>
      </c>
      <c r="V34" s="389"/>
      <c r="W34" s="389">
        <v>-9999</v>
      </c>
      <c r="X34" s="234">
        <v>-9999</v>
      </c>
      <c r="Y34" s="234"/>
      <c r="Z34" s="234" t="s">
        <v>622</v>
      </c>
      <c r="AA34" s="495">
        <v>111111</v>
      </c>
      <c r="AB34" s="389">
        <v>-9999</v>
      </c>
      <c r="AC34" s="234">
        <v>-9999</v>
      </c>
      <c r="AD34" s="234">
        <v>36</v>
      </c>
      <c r="AE34" s="234">
        <v>-9999</v>
      </c>
      <c r="AF34" s="234">
        <v>3</v>
      </c>
      <c r="AG34" s="234">
        <v>-9999</v>
      </c>
      <c r="AH34" s="234" t="s">
        <v>623</v>
      </c>
      <c r="AI34" s="234" t="s">
        <v>624</v>
      </c>
      <c r="AJ34" s="234">
        <v>-9999</v>
      </c>
      <c r="AK34" s="234" t="s">
        <v>625</v>
      </c>
      <c r="AL34" s="234">
        <v>-9999</v>
      </c>
      <c r="AM34" s="234">
        <v>-9999</v>
      </c>
      <c r="AN34" s="234" t="s">
        <v>626</v>
      </c>
      <c r="AO34" s="234" t="s">
        <v>627</v>
      </c>
      <c r="AP34" s="234" t="s">
        <v>628</v>
      </c>
      <c r="AQ34" s="234" t="s">
        <v>626</v>
      </c>
      <c r="AR34" s="234">
        <v>224</v>
      </c>
      <c r="AS34" s="234" t="s">
        <v>691</v>
      </c>
      <c r="AT34" s="234" t="s">
        <v>743</v>
      </c>
      <c r="AU34" s="234">
        <v>112</v>
      </c>
      <c r="AV34" s="234" t="s">
        <v>218</v>
      </c>
      <c r="AW34" s="234" t="s">
        <v>220</v>
      </c>
      <c r="AX34" s="234">
        <v>224</v>
      </c>
      <c r="AY34" s="234" t="s">
        <v>219</v>
      </c>
      <c r="AZ34" s="234" t="s">
        <v>220</v>
      </c>
      <c r="BA34" s="234">
        <v>-9999</v>
      </c>
      <c r="BB34" s="234">
        <v>-9999</v>
      </c>
      <c r="BC34" s="234">
        <v>-9999</v>
      </c>
      <c r="BD34" s="234">
        <v>-9999</v>
      </c>
      <c r="BE34" s="234">
        <v>-9999</v>
      </c>
      <c r="BF34" s="234">
        <v>-9999</v>
      </c>
      <c r="BG34" s="234">
        <v>-9999</v>
      </c>
      <c r="BH34" s="234">
        <v>-9999</v>
      </c>
      <c r="BI34" s="234" t="s">
        <v>632</v>
      </c>
      <c r="BJ34" s="491">
        <v>-9999</v>
      </c>
      <c r="BK34" s="491">
        <v>-9999</v>
      </c>
      <c r="BL34" s="234">
        <v>-9999</v>
      </c>
      <c r="BM34" s="234">
        <v>-9999</v>
      </c>
      <c r="BN34" s="234">
        <v>-9999</v>
      </c>
      <c r="BO34" s="234">
        <v>-9999</v>
      </c>
      <c r="BP34" s="234">
        <v>-9999</v>
      </c>
      <c r="BQ34" s="234">
        <v>-9999</v>
      </c>
      <c r="BR34" s="491">
        <v>-9999</v>
      </c>
      <c r="BS34" s="491">
        <v>-9999</v>
      </c>
      <c r="BT34" s="491">
        <v>-9999</v>
      </c>
      <c r="BU34" s="491">
        <v>-9999</v>
      </c>
      <c r="BV34" s="491">
        <v>-9999</v>
      </c>
      <c r="BW34" s="491"/>
      <c r="BX34" s="491">
        <v>-9999</v>
      </c>
      <c r="BY34" s="234">
        <v>-9999</v>
      </c>
      <c r="BZ34" s="496">
        <v>-9999</v>
      </c>
      <c r="CA34" s="497" t="s">
        <v>834</v>
      </c>
      <c r="CB34" s="498" t="s">
        <v>1434</v>
      </c>
      <c r="CC34" s="63" t="s">
        <v>638</v>
      </c>
      <c r="CD34" s="57">
        <v>1</v>
      </c>
      <c r="CE34" s="292">
        <v>5.0999999999999996</v>
      </c>
      <c r="CF34" s="292">
        <v>-9999</v>
      </c>
      <c r="CG34" s="754" t="s">
        <v>635</v>
      </c>
    </row>
    <row r="35" spans="1:86" s="23" customFormat="1" x14ac:dyDescent="0.2">
      <c r="A35" s="57" t="s">
        <v>617</v>
      </c>
      <c r="B35" s="234" t="s">
        <v>618</v>
      </c>
      <c r="C35" s="234" t="s">
        <v>10</v>
      </c>
      <c r="D35" s="234" t="s">
        <v>633</v>
      </c>
      <c r="E35" s="493" t="s">
        <v>5</v>
      </c>
      <c r="F35" s="500" t="s">
        <v>1794</v>
      </c>
      <c r="G35" s="234">
        <v>1</v>
      </c>
      <c r="H35" s="501" t="s">
        <v>635</v>
      </c>
      <c r="I35" s="234" t="s">
        <v>621</v>
      </c>
      <c r="J35" s="234">
        <v>1990</v>
      </c>
      <c r="K35" s="234" t="s">
        <v>957</v>
      </c>
      <c r="L35" s="234" t="s">
        <v>959</v>
      </c>
      <c r="M35" s="389">
        <v>-9999</v>
      </c>
      <c r="N35" s="234">
        <v>-9999</v>
      </c>
      <c r="O35" s="29"/>
      <c r="P35" s="389">
        <v>-9999</v>
      </c>
      <c r="Q35" s="234">
        <v>-9999</v>
      </c>
      <c r="R35" s="389"/>
      <c r="S35" s="234"/>
      <c r="T35" s="389">
        <v>5.5</v>
      </c>
      <c r="U35" s="389">
        <v>0.7</v>
      </c>
      <c r="V35" s="389"/>
      <c r="W35" s="389">
        <v>-9999</v>
      </c>
      <c r="X35" s="234">
        <v>-9999</v>
      </c>
      <c r="Y35" s="234"/>
      <c r="Z35" s="234" t="s">
        <v>636</v>
      </c>
      <c r="AA35" s="495">
        <v>37037</v>
      </c>
      <c r="AB35" s="389">
        <v>-9999</v>
      </c>
      <c r="AC35" s="234">
        <v>-9999</v>
      </c>
      <c r="AD35" s="234">
        <v>36</v>
      </c>
      <c r="AE35" s="234">
        <v>-9999</v>
      </c>
      <c r="AF35" s="234">
        <v>3</v>
      </c>
      <c r="AG35" s="234">
        <v>-9999</v>
      </c>
      <c r="AH35" s="234" t="s">
        <v>623</v>
      </c>
      <c r="AI35" s="234" t="s">
        <v>624</v>
      </c>
      <c r="AJ35" s="234">
        <v>-9999</v>
      </c>
      <c r="AK35" s="234" t="s">
        <v>625</v>
      </c>
      <c r="AL35" s="234">
        <v>-9999</v>
      </c>
      <c r="AM35" s="234">
        <v>-9999</v>
      </c>
      <c r="AN35" s="234" t="s">
        <v>626</v>
      </c>
      <c r="AO35" s="234" t="s">
        <v>627</v>
      </c>
      <c r="AP35" s="234" t="s">
        <v>628</v>
      </c>
      <c r="AQ35" s="234" t="s">
        <v>626</v>
      </c>
      <c r="AR35" s="234">
        <v>224</v>
      </c>
      <c r="AS35" s="234" t="s">
        <v>691</v>
      </c>
      <c r="AT35" s="234" t="s">
        <v>743</v>
      </c>
      <c r="AU35" s="234">
        <v>112</v>
      </c>
      <c r="AV35" s="234" t="s">
        <v>218</v>
      </c>
      <c r="AW35" s="234" t="s">
        <v>220</v>
      </c>
      <c r="AX35" s="234">
        <v>224</v>
      </c>
      <c r="AY35" s="234" t="s">
        <v>219</v>
      </c>
      <c r="AZ35" s="234" t="s">
        <v>220</v>
      </c>
      <c r="BA35" s="234">
        <v>-9999</v>
      </c>
      <c r="BB35" s="234">
        <v>-9999</v>
      </c>
      <c r="BC35" s="234">
        <v>-9999</v>
      </c>
      <c r="BD35" s="234">
        <v>-9999</v>
      </c>
      <c r="BE35" s="234">
        <v>-9999</v>
      </c>
      <c r="BF35" s="234">
        <v>-9999</v>
      </c>
      <c r="BG35" s="234">
        <v>-9999</v>
      </c>
      <c r="BH35" s="234">
        <v>-9999</v>
      </c>
      <c r="BI35" s="234" t="s">
        <v>632</v>
      </c>
      <c r="BJ35" s="491">
        <v>-9999</v>
      </c>
      <c r="BK35" s="491">
        <v>-9999</v>
      </c>
      <c r="BL35" s="234">
        <v>-9999</v>
      </c>
      <c r="BM35" s="234">
        <v>-9999</v>
      </c>
      <c r="BN35" s="234">
        <v>-9999</v>
      </c>
      <c r="BO35" s="234">
        <v>-9999</v>
      </c>
      <c r="BP35" s="234">
        <v>-9999</v>
      </c>
      <c r="BQ35" s="234">
        <v>-9999</v>
      </c>
      <c r="BR35" s="491">
        <v>-9999</v>
      </c>
      <c r="BS35" s="491">
        <v>-9999</v>
      </c>
      <c r="BT35" s="491">
        <v>-9999</v>
      </c>
      <c r="BU35" s="491">
        <v>-9999</v>
      </c>
      <c r="BV35" s="491">
        <v>-9999</v>
      </c>
      <c r="BW35" s="491"/>
      <c r="BX35" s="491">
        <v>-9999</v>
      </c>
      <c r="BY35" s="234">
        <v>-9999</v>
      </c>
      <c r="BZ35" s="496">
        <v>-9999</v>
      </c>
      <c r="CA35" s="497" t="s">
        <v>834</v>
      </c>
      <c r="CB35" s="498" t="s">
        <v>1434</v>
      </c>
      <c r="CC35" s="63" t="s">
        <v>638</v>
      </c>
      <c r="CD35" s="57">
        <v>1</v>
      </c>
      <c r="CE35" s="292">
        <v>5.5</v>
      </c>
      <c r="CF35" s="292">
        <v>-9999</v>
      </c>
      <c r="CG35" s="754" t="s">
        <v>635</v>
      </c>
    </row>
    <row r="36" spans="1:86" s="23" customFormat="1" x14ac:dyDescent="0.2">
      <c r="A36" s="57" t="s">
        <v>617</v>
      </c>
      <c r="B36" s="234" t="s">
        <v>618</v>
      </c>
      <c r="C36" s="234" t="s">
        <v>11</v>
      </c>
      <c r="D36" s="234" t="s">
        <v>633</v>
      </c>
      <c r="E36" s="493" t="s">
        <v>5</v>
      </c>
      <c r="F36" s="500" t="s">
        <v>1794</v>
      </c>
      <c r="G36" s="234">
        <v>1</v>
      </c>
      <c r="H36" s="501" t="s">
        <v>635</v>
      </c>
      <c r="I36" s="234" t="s">
        <v>621</v>
      </c>
      <c r="J36" s="234">
        <v>1990</v>
      </c>
      <c r="K36" s="234" t="s">
        <v>957</v>
      </c>
      <c r="L36" s="234" t="s">
        <v>959</v>
      </c>
      <c r="M36" s="389">
        <v>-9999</v>
      </c>
      <c r="N36" s="234">
        <v>-9999</v>
      </c>
      <c r="O36" s="29"/>
      <c r="P36" s="389">
        <v>-9999</v>
      </c>
      <c r="Q36" s="234">
        <v>-9999</v>
      </c>
      <c r="R36" s="389"/>
      <c r="S36" s="234"/>
      <c r="T36" s="389">
        <v>3</v>
      </c>
      <c r="U36" s="389">
        <v>0.6</v>
      </c>
      <c r="V36" s="389"/>
      <c r="W36" s="389">
        <v>-9999</v>
      </c>
      <c r="X36" s="234">
        <v>-9999</v>
      </c>
      <c r="Y36" s="234"/>
      <c r="Z36" s="234" t="s">
        <v>637</v>
      </c>
      <c r="AA36" s="495">
        <v>15152</v>
      </c>
      <c r="AB36" s="389">
        <v>-9999</v>
      </c>
      <c r="AC36" s="234">
        <v>-9999</v>
      </c>
      <c r="AD36" s="234">
        <v>36</v>
      </c>
      <c r="AE36" s="234">
        <v>-9999</v>
      </c>
      <c r="AF36" s="234">
        <v>3</v>
      </c>
      <c r="AG36" s="234">
        <v>-9999</v>
      </c>
      <c r="AH36" s="234" t="s">
        <v>623</v>
      </c>
      <c r="AI36" s="234" t="s">
        <v>624</v>
      </c>
      <c r="AJ36" s="234">
        <v>-9999</v>
      </c>
      <c r="AK36" s="234" t="s">
        <v>625</v>
      </c>
      <c r="AL36" s="234">
        <v>-9999</v>
      </c>
      <c r="AM36" s="234">
        <v>-9999</v>
      </c>
      <c r="AN36" s="234" t="s">
        <v>626</v>
      </c>
      <c r="AO36" s="234" t="s">
        <v>627</v>
      </c>
      <c r="AP36" s="234" t="s">
        <v>628</v>
      </c>
      <c r="AQ36" s="234" t="s">
        <v>626</v>
      </c>
      <c r="AR36" s="234">
        <v>224</v>
      </c>
      <c r="AS36" s="234" t="s">
        <v>691</v>
      </c>
      <c r="AT36" s="234" t="s">
        <v>743</v>
      </c>
      <c r="AU36" s="234">
        <v>112</v>
      </c>
      <c r="AV36" s="234" t="s">
        <v>218</v>
      </c>
      <c r="AW36" s="234" t="s">
        <v>220</v>
      </c>
      <c r="AX36" s="234">
        <v>224</v>
      </c>
      <c r="AY36" s="234" t="s">
        <v>219</v>
      </c>
      <c r="AZ36" s="234" t="s">
        <v>220</v>
      </c>
      <c r="BA36" s="234">
        <v>-9999</v>
      </c>
      <c r="BB36" s="234">
        <v>-9999</v>
      </c>
      <c r="BC36" s="234">
        <v>-9999</v>
      </c>
      <c r="BD36" s="234">
        <v>-9999</v>
      </c>
      <c r="BE36" s="234">
        <v>-9999</v>
      </c>
      <c r="BF36" s="234">
        <v>-9999</v>
      </c>
      <c r="BG36" s="234">
        <v>-9999</v>
      </c>
      <c r="BH36" s="234">
        <v>-9999</v>
      </c>
      <c r="BI36" s="234" t="s">
        <v>632</v>
      </c>
      <c r="BJ36" s="491">
        <v>-9999</v>
      </c>
      <c r="BK36" s="491">
        <v>-9999</v>
      </c>
      <c r="BL36" s="234">
        <v>-9999</v>
      </c>
      <c r="BM36" s="234">
        <v>-9999</v>
      </c>
      <c r="BN36" s="234">
        <v>-9999</v>
      </c>
      <c r="BO36" s="234">
        <v>-9999</v>
      </c>
      <c r="BP36" s="234">
        <v>-9999</v>
      </c>
      <c r="BQ36" s="234">
        <v>-9999</v>
      </c>
      <c r="BR36" s="491">
        <v>-9999</v>
      </c>
      <c r="BS36" s="491">
        <v>-9999</v>
      </c>
      <c r="BT36" s="491">
        <v>-9999</v>
      </c>
      <c r="BU36" s="491">
        <v>-9999</v>
      </c>
      <c r="BV36" s="491">
        <v>-9999</v>
      </c>
      <c r="BW36" s="491"/>
      <c r="BX36" s="491">
        <v>-9999</v>
      </c>
      <c r="BY36" s="234">
        <v>-9999</v>
      </c>
      <c r="BZ36" s="496">
        <v>-9999</v>
      </c>
      <c r="CA36" s="497" t="s">
        <v>834</v>
      </c>
      <c r="CB36" s="498" t="s">
        <v>1434</v>
      </c>
      <c r="CC36" s="63" t="s">
        <v>638</v>
      </c>
      <c r="CD36" s="57">
        <v>1</v>
      </c>
      <c r="CE36" s="292">
        <v>3</v>
      </c>
      <c r="CF36" s="292">
        <v>-9999</v>
      </c>
      <c r="CG36" s="74" t="s">
        <v>635</v>
      </c>
    </row>
    <row r="37" spans="1:86" s="23" customFormat="1" x14ac:dyDescent="0.2">
      <c r="A37" s="57"/>
      <c r="B37" s="234"/>
      <c r="C37" s="234"/>
      <c r="D37" s="234"/>
      <c r="E37" s="493"/>
      <c r="F37" s="500"/>
      <c r="G37" s="234"/>
      <c r="H37" s="501"/>
      <c r="I37" s="234"/>
      <c r="J37" s="234"/>
      <c r="K37" s="234"/>
      <c r="L37" s="234"/>
      <c r="M37" s="389"/>
      <c r="N37" s="234"/>
      <c r="O37" s="29"/>
      <c r="P37" s="389"/>
      <c r="Q37" s="234"/>
      <c r="R37" s="389"/>
      <c r="S37" s="234"/>
      <c r="T37" s="389"/>
      <c r="U37" s="389"/>
      <c r="V37" s="389"/>
      <c r="W37" s="389"/>
      <c r="X37" s="234"/>
      <c r="Y37" s="234"/>
      <c r="Z37" s="234"/>
      <c r="AA37" s="495"/>
      <c r="AB37" s="389"/>
      <c r="AC37" s="234"/>
      <c r="AD37" s="234"/>
      <c r="AE37" s="234"/>
      <c r="AF37" s="234"/>
      <c r="AG37" s="234"/>
      <c r="AH37" s="234"/>
      <c r="AI37" s="234"/>
      <c r="AJ37" s="234"/>
      <c r="AK37" s="234"/>
      <c r="AL37" s="234"/>
      <c r="AM37" s="234"/>
      <c r="AN37" s="234"/>
      <c r="AO37" s="234"/>
      <c r="AP37" s="234"/>
      <c r="AQ37" s="234"/>
      <c r="AR37" s="234"/>
      <c r="AS37" s="234"/>
      <c r="AT37" s="234"/>
      <c r="AU37" s="234"/>
      <c r="AV37" s="234"/>
      <c r="AW37" s="234"/>
      <c r="AX37" s="234"/>
      <c r="AY37" s="234"/>
      <c r="AZ37" s="234"/>
      <c r="BA37" s="234"/>
      <c r="BB37" s="234"/>
      <c r="BC37" s="234"/>
      <c r="BD37" s="234"/>
      <c r="BE37" s="234"/>
      <c r="BF37" s="234"/>
      <c r="BG37" s="234"/>
      <c r="BH37" s="234"/>
      <c r="BI37" s="234"/>
      <c r="BJ37" s="491"/>
      <c r="BK37" s="491"/>
      <c r="BL37" s="234"/>
      <c r="BM37" s="234"/>
      <c r="BN37" s="234"/>
      <c r="BO37" s="234"/>
      <c r="BP37" s="234"/>
      <c r="BQ37" s="234"/>
      <c r="BR37" s="491"/>
      <c r="BS37" s="491"/>
      <c r="BT37" s="491"/>
      <c r="BU37" s="491"/>
      <c r="BV37" s="491"/>
      <c r="BW37" s="491"/>
      <c r="BX37" s="491"/>
      <c r="BY37" s="234"/>
      <c r="BZ37" s="496"/>
      <c r="CA37" s="497"/>
      <c r="CB37" s="239"/>
      <c r="CC37" s="63"/>
      <c r="CD37" s="57"/>
      <c r="CE37" s="292"/>
      <c r="CF37" s="292"/>
      <c r="CG37" s="74"/>
    </row>
    <row r="38" spans="1:86" s="13" customFormat="1" x14ac:dyDescent="0.2">
      <c r="A38" s="11" t="s">
        <v>617</v>
      </c>
      <c r="B38" s="231" t="s">
        <v>618</v>
      </c>
      <c r="C38" s="231" t="s">
        <v>9</v>
      </c>
      <c r="D38" s="231" t="s">
        <v>633</v>
      </c>
      <c r="E38" s="232" t="s">
        <v>634</v>
      </c>
      <c r="F38" s="502" t="s">
        <v>1794</v>
      </c>
      <c r="G38" s="231">
        <v>1</v>
      </c>
      <c r="H38" s="222" t="s">
        <v>635</v>
      </c>
      <c r="I38" s="231" t="s">
        <v>621</v>
      </c>
      <c r="J38" s="231">
        <v>1990</v>
      </c>
      <c r="K38" s="231" t="s">
        <v>957</v>
      </c>
      <c r="L38" s="231" t="s">
        <v>959</v>
      </c>
      <c r="M38" s="235">
        <v>-9999</v>
      </c>
      <c r="N38" s="231">
        <v>-9999</v>
      </c>
      <c r="O38" s="18"/>
      <c r="P38" s="235">
        <v>-9999</v>
      </c>
      <c r="Q38" s="231">
        <v>-9999</v>
      </c>
      <c r="R38" s="235"/>
      <c r="S38" s="231"/>
      <c r="T38" s="235">
        <v>15.4</v>
      </c>
      <c r="U38" s="235">
        <v>1.2</v>
      </c>
      <c r="V38" s="235"/>
      <c r="W38" s="235">
        <v>-9999</v>
      </c>
      <c r="X38" s="231">
        <v>-9999</v>
      </c>
      <c r="Y38" s="231"/>
      <c r="Z38" s="231" t="s">
        <v>622</v>
      </c>
      <c r="AA38" s="489">
        <v>111111</v>
      </c>
      <c r="AB38" s="235">
        <v>-9999</v>
      </c>
      <c r="AC38" s="231">
        <v>-9999</v>
      </c>
      <c r="AD38" s="231">
        <v>36</v>
      </c>
      <c r="AE38" s="231">
        <v>-9999</v>
      </c>
      <c r="AF38" s="231">
        <v>3</v>
      </c>
      <c r="AG38" s="231">
        <v>-9999</v>
      </c>
      <c r="AH38" s="231" t="s">
        <v>623</v>
      </c>
      <c r="AI38" s="231" t="s">
        <v>624</v>
      </c>
      <c r="AJ38" s="231">
        <v>-9999</v>
      </c>
      <c r="AK38" s="231" t="s">
        <v>625</v>
      </c>
      <c r="AL38" s="231">
        <v>-9999</v>
      </c>
      <c r="AM38" s="231">
        <v>-9999</v>
      </c>
      <c r="AN38" s="231" t="s">
        <v>626</v>
      </c>
      <c r="AO38" s="231" t="s">
        <v>627</v>
      </c>
      <c r="AP38" s="231" t="s">
        <v>628</v>
      </c>
      <c r="AQ38" s="231" t="s">
        <v>626</v>
      </c>
      <c r="AR38" s="231">
        <v>224</v>
      </c>
      <c r="AS38" s="231" t="s">
        <v>691</v>
      </c>
      <c r="AT38" s="231" t="s">
        <v>743</v>
      </c>
      <c r="AU38" s="231">
        <v>112</v>
      </c>
      <c r="AV38" s="231" t="s">
        <v>218</v>
      </c>
      <c r="AW38" s="231" t="s">
        <v>220</v>
      </c>
      <c r="AX38" s="231">
        <v>224</v>
      </c>
      <c r="AY38" s="231" t="s">
        <v>219</v>
      </c>
      <c r="AZ38" s="231" t="s">
        <v>220</v>
      </c>
      <c r="BA38" s="231">
        <v>-9999</v>
      </c>
      <c r="BB38" s="231">
        <v>-9999</v>
      </c>
      <c r="BC38" s="231">
        <v>-9999</v>
      </c>
      <c r="BD38" s="231">
        <v>-9999</v>
      </c>
      <c r="BE38" s="231">
        <v>-9999</v>
      </c>
      <c r="BF38" s="231">
        <v>-9999</v>
      </c>
      <c r="BG38" s="231">
        <v>-9999</v>
      </c>
      <c r="BH38" s="231">
        <v>-9999</v>
      </c>
      <c r="BI38" s="231" t="s">
        <v>632</v>
      </c>
      <c r="BJ38" s="233">
        <v>-9999</v>
      </c>
      <c r="BK38" s="233">
        <v>-9999</v>
      </c>
      <c r="BL38" s="231">
        <v>-9999</v>
      </c>
      <c r="BM38" s="231">
        <v>-9999</v>
      </c>
      <c r="BN38" s="231">
        <v>-9999</v>
      </c>
      <c r="BO38" s="231">
        <v>-9999</v>
      </c>
      <c r="BP38" s="231">
        <v>-9999</v>
      </c>
      <c r="BQ38" s="231">
        <v>-9999</v>
      </c>
      <c r="BR38" s="233">
        <v>-9999</v>
      </c>
      <c r="BS38" s="233">
        <v>-9999</v>
      </c>
      <c r="BT38" s="233">
        <v>-9999</v>
      </c>
      <c r="BU38" s="233">
        <v>-9999</v>
      </c>
      <c r="BV38" s="233">
        <v>-9999</v>
      </c>
      <c r="BW38" s="233"/>
      <c r="BX38" s="233">
        <v>-9999</v>
      </c>
      <c r="BY38" s="231">
        <v>-9999</v>
      </c>
      <c r="BZ38" s="238">
        <v>-9999</v>
      </c>
      <c r="CA38" s="490" t="s">
        <v>834</v>
      </c>
      <c r="CB38" s="239" t="s">
        <v>1434</v>
      </c>
      <c r="CC38" s="64" t="s">
        <v>638</v>
      </c>
      <c r="CD38" s="11">
        <v>1</v>
      </c>
      <c r="CE38" s="393">
        <v>15.4</v>
      </c>
      <c r="CF38" s="99">
        <v>-9999</v>
      </c>
      <c r="CG38" s="62" t="s">
        <v>635</v>
      </c>
      <c r="CH38" s="436"/>
    </row>
    <row r="39" spans="1:86" s="13" customFormat="1" x14ac:dyDescent="0.2">
      <c r="A39" s="11" t="s">
        <v>617</v>
      </c>
      <c r="B39" s="231" t="s">
        <v>618</v>
      </c>
      <c r="C39" s="231" t="s">
        <v>10</v>
      </c>
      <c r="D39" s="231" t="s">
        <v>633</v>
      </c>
      <c r="E39" s="232" t="s">
        <v>634</v>
      </c>
      <c r="F39" s="502" t="s">
        <v>1794</v>
      </c>
      <c r="G39" s="231">
        <v>1</v>
      </c>
      <c r="H39" s="222" t="s">
        <v>635</v>
      </c>
      <c r="I39" s="231" t="s">
        <v>621</v>
      </c>
      <c r="J39" s="231">
        <v>1990</v>
      </c>
      <c r="K39" s="231" t="s">
        <v>957</v>
      </c>
      <c r="L39" s="231" t="s">
        <v>959</v>
      </c>
      <c r="M39" s="235">
        <v>-9999</v>
      </c>
      <c r="N39" s="231">
        <v>-9999</v>
      </c>
      <c r="O39" s="18"/>
      <c r="P39" s="235">
        <v>-9999</v>
      </c>
      <c r="Q39" s="231">
        <v>-9999</v>
      </c>
      <c r="R39" s="235"/>
      <c r="S39" s="231"/>
      <c r="T39" s="235">
        <v>18.5</v>
      </c>
      <c r="U39" s="235">
        <v>1.7</v>
      </c>
      <c r="V39" s="235"/>
      <c r="W39" s="235">
        <v>-9999</v>
      </c>
      <c r="X39" s="231">
        <v>-9999</v>
      </c>
      <c r="Y39" s="231"/>
      <c r="Z39" s="231" t="s">
        <v>636</v>
      </c>
      <c r="AA39" s="489">
        <v>37037</v>
      </c>
      <c r="AB39" s="235">
        <v>-9999</v>
      </c>
      <c r="AC39" s="231">
        <v>-9999</v>
      </c>
      <c r="AD39" s="231">
        <v>36</v>
      </c>
      <c r="AE39" s="231">
        <v>-9999</v>
      </c>
      <c r="AF39" s="231">
        <v>3</v>
      </c>
      <c r="AG39" s="231">
        <v>-9999</v>
      </c>
      <c r="AH39" s="231" t="s">
        <v>623</v>
      </c>
      <c r="AI39" s="231" t="s">
        <v>624</v>
      </c>
      <c r="AJ39" s="231">
        <v>-9999</v>
      </c>
      <c r="AK39" s="231" t="s">
        <v>625</v>
      </c>
      <c r="AL39" s="231">
        <v>-9999</v>
      </c>
      <c r="AM39" s="231">
        <v>-9999</v>
      </c>
      <c r="AN39" s="231" t="s">
        <v>626</v>
      </c>
      <c r="AO39" s="231" t="s">
        <v>627</v>
      </c>
      <c r="AP39" s="231" t="s">
        <v>628</v>
      </c>
      <c r="AQ39" s="231" t="s">
        <v>626</v>
      </c>
      <c r="AR39" s="231">
        <v>224</v>
      </c>
      <c r="AS39" s="231" t="s">
        <v>691</v>
      </c>
      <c r="AT39" s="231" t="s">
        <v>743</v>
      </c>
      <c r="AU39" s="231">
        <v>112</v>
      </c>
      <c r="AV39" s="231" t="s">
        <v>218</v>
      </c>
      <c r="AW39" s="231" t="s">
        <v>220</v>
      </c>
      <c r="AX39" s="231">
        <v>224</v>
      </c>
      <c r="AY39" s="231" t="s">
        <v>219</v>
      </c>
      <c r="AZ39" s="231" t="s">
        <v>220</v>
      </c>
      <c r="BA39" s="231">
        <v>-9999</v>
      </c>
      <c r="BB39" s="231">
        <v>-9999</v>
      </c>
      <c r="BC39" s="231">
        <v>-9999</v>
      </c>
      <c r="BD39" s="231">
        <v>-9999</v>
      </c>
      <c r="BE39" s="231">
        <v>-9999</v>
      </c>
      <c r="BF39" s="231">
        <v>-9999</v>
      </c>
      <c r="BG39" s="231">
        <v>-9999</v>
      </c>
      <c r="BH39" s="231">
        <v>-9999</v>
      </c>
      <c r="BI39" s="231" t="s">
        <v>632</v>
      </c>
      <c r="BJ39" s="233">
        <v>-9999</v>
      </c>
      <c r="BK39" s="233">
        <v>-9999</v>
      </c>
      <c r="BL39" s="231">
        <v>-9999</v>
      </c>
      <c r="BM39" s="231">
        <v>-9999</v>
      </c>
      <c r="BN39" s="231">
        <v>-9999</v>
      </c>
      <c r="BO39" s="231">
        <v>-9999</v>
      </c>
      <c r="BP39" s="231">
        <v>-9999</v>
      </c>
      <c r="BQ39" s="231">
        <v>-9999</v>
      </c>
      <c r="BR39" s="233">
        <v>-9999</v>
      </c>
      <c r="BS39" s="233">
        <v>-9999</v>
      </c>
      <c r="BT39" s="233">
        <v>-9999</v>
      </c>
      <c r="BU39" s="233">
        <v>-9999</v>
      </c>
      <c r="BV39" s="233">
        <v>-9999</v>
      </c>
      <c r="BW39" s="233"/>
      <c r="BX39" s="233">
        <v>-9999</v>
      </c>
      <c r="BY39" s="231">
        <v>-9999</v>
      </c>
      <c r="BZ39" s="238">
        <v>-9999</v>
      </c>
      <c r="CA39" s="490" t="s">
        <v>834</v>
      </c>
      <c r="CB39" s="239" t="s">
        <v>1434</v>
      </c>
      <c r="CC39" s="64" t="s">
        <v>638</v>
      </c>
      <c r="CD39" s="11">
        <v>1</v>
      </c>
      <c r="CE39" s="393">
        <v>18.5</v>
      </c>
      <c r="CF39" s="99">
        <v>-9999</v>
      </c>
      <c r="CG39" s="62" t="s">
        <v>635</v>
      </c>
      <c r="CH39" s="436"/>
    </row>
    <row r="40" spans="1:86" s="13" customFormat="1" x14ac:dyDescent="0.2">
      <c r="A40" s="11" t="s">
        <v>617</v>
      </c>
      <c r="B40" s="231" t="s">
        <v>618</v>
      </c>
      <c r="C40" s="231" t="s">
        <v>11</v>
      </c>
      <c r="D40" s="231" t="s">
        <v>633</v>
      </c>
      <c r="E40" s="232" t="s">
        <v>634</v>
      </c>
      <c r="F40" s="502" t="s">
        <v>1794</v>
      </c>
      <c r="G40" s="231">
        <v>1</v>
      </c>
      <c r="H40" s="222" t="s">
        <v>635</v>
      </c>
      <c r="I40" s="231" t="s">
        <v>621</v>
      </c>
      <c r="J40" s="231">
        <v>1990</v>
      </c>
      <c r="K40" s="231" t="s">
        <v>957</v>
      </c>
      <c r="L40" s="231" t="s">
        <v>959</v>
      </c>
      <c r="M40" s="235">
        <v>-9999</v>
      </c>
      <c r="N40" s="231">
        <v>-9999</v>
      </c>
      <c r="O40" s="18"/>
      <c r="P40" s="235">
        <v>-9999</v>
      </c>
      <c r="Q40" s="231">
        <v>-9999</v>
      </c>
      <c r="R40" s="235"/>
      <c r="S40" s="231"/>
      <c r="T40" s="235">
        <v>16.5</v>
      </c>
      <c r="U40" s="235">
        <v>1.9</v>
      </c>
      <c r="V40" s="235"/>
      <c r="W40" s="235">
        <v>-9999</v>
      </c>
      <c r="X40" s="231">
        <v>-9999</v>
      </c>
      <c r="Y40" s="231"/>
      <c r="Z40" s="231" t="s">
        <v>637</v>
      </c>
      <c r="AA40" s="489">
        <v>15152</v>
      </c>
      <c r="AB40" s="235">
        <v>-9999</v>
      </c>
      <c r="AC40" s="231">
        <v>-9999</v>
      </c>
      <c r="AD40" s="231">
        <v>36</v>
      </c>
      <c r="AE40" s="231">
        <v>-9999</v>
      </c>
      <c r="AF40" s="231">
        <v>3</v>
      </c>
      <c r="AG40" s="231">
        <v>-9999</v>
      </c>
      <c r="AH40" s="231" t="s">
        <v>623</v>
      </c>
      <c r="AI40" s="231" t="s">
        <v>624</v>
      </c>
      <c r="AJ40" s="231">
        <v>-9999</v>
      </c>
      <c r="AK40" s="231" t="s">
        <v>625</v>
      </c>
      <c r="AL40" s="231">
        <v>-9999</v>
      </c>
      <c r="AM40" s="231">
        <v>-9999</v>
      </c>
      <c r="AN40" s="231" t="s">
        <v>626</v>
      </c>
      <c r="AO40" s="231" t="s">
        <v>627</v>
      </c>
      <c r="AP40" s="231" t="s">
        <v>628</v>
      </c>
      <c r="AQ40" s="231" t="s">
        <v>626</v>
      </c>
      <c r="AR40" s="231">
        <v>224</v>
      </c>
      <c r="AS40" s="231" t="s">
        <v>691</v>
      </c>
      <c r="AT40" s="231" t="s">
        <v>743</v>
      </c>
      <c r="AU40" s="231">
        <v>112</v>
      </c>
      <c r="AV40" s="231" t="s">
        <v>218</v>
      </c>
      <c r="AW40" s="231" t="s">
        <v>220</v>
      </c>
      <c r="AX40" s="231">
        <v>224</v>
      </c>
      <c r="AY40" s="231" t="s">
        <v>219</v>
      </c>
      <c r="AZ40" s="231" t="s">
        <v>220</v>
      </c>
      <c r="BA40" s="231">
        <v>-9999</v>
      </c>
      <c r="BB40" s="231">
        <v>-9999</v>
      </c>
      <c r="BC40" s="231">
        <v>-9999</v>
      </c>
      <c r="BD40" s="231">
        <v>-9999</v>
      </c>
      <c r="BE40" s="231">
        <v>-9999</v>
      </c>
      <c r="BF40" s="231">
        <v>-9999</v>
      </c>
      <c r="BG40" s="231">
        <v>-9999</v>
      </c>
      <c r="BH40" s="231">
        <v>-9999</v>
      </c>
      <c r="BI40" s="231" t="s">
        <v>632</v>
      </c>
      <c r="BJ40" s="233">
        <v>-9999</v>
      </c>
      <c r="BK40" s="233">
        <v>-9999</v>
      </c>
      <c r="BL40" s="231">
        <v>-9999</v>
      </c>
      <c r="BM40" s="231">
        <v>-9999</v>
      </c>
      <c r="BN40" s="231">
        <v>-9999</v>
      </c>
      <c r="BO40" s="231">
        <v>-9999</v>
      </c>
      <c r="BP40" s="231">
        <v>-9999</v>
      </c>
      <c r="BQ40" s="231">
        <v>-9999</v>
      </c>
      <c r="BR40" s="233">
        <v>-9999</v>
      </c>
      <c r="BS40" s="233">
        <v>-9999</v>
      </c>
      <c r="BT40" s="233">
        <v>-9999</v>
      </c>
      <c r="BU40" s="233">
        <v>-9999</v>
      </c>
      <c r="BV40" s="233">
        <v>-9999</v>
      </c>
      <c r="BW40" s="233"/>
      <c r="BX40" s="233">
        <v>-9999</v>
      </c>
      <c r="BY40" s="231">
        <v>-9999</v>
      </c>
      <c r="BZ40" s="238">
        <v>-9999</v>
      </c>
      <c r="CA40" s="490" t="s">
        <v>834</v>
      </c>
      <c r="CB40" s="239" t="s">
        <v>1434</v>
      </c>
      <c r="CC40" s="64" t="s">
        <v>638</v>
      </c>
      <c r="CD40" s="11">
        <v>1</v>
      </c>
      <c r="CE40" s="393">
        <v>16.5</v>
      </c>
      <c r="CF40" s="99">
        <v>-9999</v>
      </c>
      <c r="CG40" s="62" t="s">
        <v>635</v>
      </c>
      <c r="CH40" s="436"/>
    </row>
    <row r="41" spans="1:86" s="13" customFormat="1" ht="12.6" customHeight="1" x14ac:dyDescent="0.2">
      <c r="A41" s="18"/>
      <c r="B41" s="29"/>
      <c r="C41" s="29"/>
      <c r="D41" s="18"/>
      <c r="E41" s="19"/>
      <c r="F41" s="514"/>
      <c r="G41" s="18"/>
      <c r="H41" s="75"/>
      <c r="I41" s="18"/>
      <c r="J41" s="18"/>
      <c r="K41" s="18"/>
      <c r="L41" s="18"/>
      <c r="M41" s="21"/>
      <c r="N41" s="65"/>
      <c r="O41" s="65"/>
      <c r="P41" s="21"/>
      <c r="Q41" s="18"/>
      <c r="R41" s="21"/>
      <c r="S41" s="18"/>
      <c r="T41" s="21"/>
      <c r="U41" s="21"/>
      <c r="V41" s="21"/>
      <c r="W41" s="67"/>
      <c r="X41" s="65"/>
      <c r="Y41" s="65"/>
      <c r="Z41" s="18"/>
      <c r="AA41" s="18"/>
      <c r="AB41" s="67"/>
      <c r="AC41" s="65"/>
      <c r="AD41" s="18"/>
      <c r="AE41" s="65"/>
      <c r="AF41" s="18"/>
      <c r="AG41" s="18"/>
      <c r="AH41" s="18"/>
      <c r="AI41" s="18"/>
      <c r="AJ41" s="18"/>
      <c r="AK41" s="29"/>
      <c r="AL41" s="18"/>
      <c r="AM41" s="18"/>
      <c r="AN41" s="18"/>
      <c r="AO41" s="18"/>
      <c r="AP41" s="18"/>
      <c r="AQ41" s="29"/>
      <c r="AR41" s="29"/>
      <c r="AS41" s="29"/>
      <c r="AT41" s="29"/>
      <c r="AU41" s="29"/>
      <c r="AV41" s="29"/>
      <c r="AW41" s="29"/>
      <c r="AX41" s="29"/>
      <c r="AY41" s="29"/>
      <c r="AZ41" s="29"/>
      <c r="BA41" s="18"/>
      <c r="BB41" s="18"/>
      <c r="BC41" s="18"/>
      <c r="BD41" s="18"/>
      <c r="BE41" s="18"/>
      <c r="BF41" s="18"/>
      <c r="BG41" s="18"/>
      <c r="BH41" s="18"/>
      <c r="BI41" s="18"/>
      <c r="BJ41" s="20"/>
      <c r="BK41" s="20"/>
      <c r="BL41" s="18"/>
      <c r="BM41" s="18"/>
      <c r="BN41" s="18"/>
      <c r="BO41" s="18"/>
      <c r="BP41" s="18"/>
      <c r="BQ41" s="18"/>
      <c r="BR41" s="20"/>
      <c r="BS41" s="30"/>
      <c r="BT41" s="20"/>
      <c r="BU41" s="20"/>
      <c r="BV41" s="20"/>
      <c r="BW41" s="20"/>
      <c r="BX41" s="20"/>
      <c r="BY41" s="18"/>
      <c r="BZ41" s="73"/>
      <c r="CA41" s="73"/>
      <c r="CC41" s="514"/>
      <c r="CD41" s="18"/>
      <c r="CE41" s="99"/>
      <c r="CF41" s="99"/>
      <c r="CG41" s="75"/>
    </row>
    <row r="42" spans="1:86" s="23" customFormat="1" x14ac:dyDescent="0.2">
      <c r="A42" s="57" t="s">
        <v>617</v>
      </c>
      <c r="B42" s="234" t="s">
        <v>618</v>
      </c>
      <c r="C42" s="234" t="s">
        <v>12</v>
      </c>
      <c r="D42" s="234" t="s">
        <v>633</v>
      </c>
      <c r="E42" s="493" t="s">
        <v>5</v>
      </c>
      <c r="F42" s="500" t="s">
        <v>1794</v>
      </c>
      <c r="G42" s="234">
        <v>1</v>
      </c>
      <c r="H42" s="503" t="s">
        <v>1798</v>
      </c>
      <c r="I42" s="234" t="s">
        <v>621</v>
      </c>
      <c r="J42" s="234">
        <v>1990</v>
      </c>
      <c r="K42" s="234" t="s">
        <v>957</v>
      </c>
      <c r="L42" s="234" t="s">
        <v>959</v>
      </c>
      <c r="M42" s="389">
        <v>-9999</v>
      </c>
      <c r="N42" s="234">
        <v>-9999</v>
      </c>
      <c r="O42" s="29"/>
      <c r="P42" s="389">
        <v>-9999</v>
      </c>
      <c r="Q42" s="234">
        <v>-9999</v>
      </c>
      <c r="R42" s="389"/>
      <c r="S42" s="234"/>
      <c r="T42" s="389">
        <v>4.9000000000000004</v>
      </c>
      <c r="U42" s="389">
        <v>0.7</v>
      </c>
      <c r="V42" s="389"/>
      <c r="W42" s="389">
        <v>-9999</v>
      </c>
      <c r="X42" s="234">
        <v>-9999</v>
      </c>
      <c r="Y42" s="234"/>
      <c r="Z42" s="234" t="s">
        <v>639</v>
      </c>
      <c r="AA42" s="234" t="s">
        <v>640</v>
      </c>
      <c r="AB42" s="389">
        <v>-9999</v>
      </c>
      <c r="AC42" s="234">
        <v>-9999</v>
      </c>
      <c r="AD42" s="234">
        <v>36</v>
      </c>
      <c r="AE42" s="234">
        <v>-9999</v>
      </c>
      <c r="AF42" s="234">
        <v>3</v>
      </c>
      <c r="AG42" s="234">
        <v>-9999</v>
      </c>
      <c r="AH42" s="234" t="s">
        <v>623</v>
      </c>
      <c r="AI42" s="234" t="s">
        <v>624</v>
      </c>
      <c r="AJ42" s="234">
        <v>-9999</v>
      </c>
      <c r="AK42" s="234" t="s">
        <v>625</v>
      </c>
      <c r="AL42" s="234">
        <v>-9999</v>
      </c>
      <c r="AM42" s="234">
        <v>-9999</v>
      </c>
      <c r="AN42" s="234" t="s">
        <v>626</v>
      </c>
      <c r="AO42" s="234" t="s">
        <v>627</v>
      </c>
      <c r="AP42" s="234" t="s">
        <v>628</v>
      </c>
      <c r="AQ42" s="234" t="s">
        <v>626</v>
      </c>
      <c r="AR42" s="234">
        <v>224</v>
      </c>
      <c r="AS42" s="234" t="s">
        <v>691</v>
      </c>
      <c r="AT42" s="234" t="s">
        <v>743</v>
      </c>
      <c r="AU42" s="234">
        <v>112</v>
      </c>
      <c r="AV42" s="234" t="s">
        <v>218</v>
      </c>
      <c r="AW42" s="234" t="s">
        <v>220</v>
      </c>
      <c r="AX42" s="234">
        <v>224</v>
      </c>
      <c r="AY42" s="234" t="s">
        <v>219</v>
      </c>
      <c r="AZ42" s="234" t="s">
        <v>220</v>
      </c>
      <c r="BA42" s="234">
        <v>-9999</v>
      </c>
      <c r="BB42" s="234">
        <v>-9999</v>
      </c>
      <c r="BC42" s="234">
        <v>-9999</v>
      </c>
      <c r="BD42" s="234">
        <v>-9999</v>
      </c>
      <c r="BE42" s="234">
        <v>-9999</v>
      </c>
      <c r="BF42" s="234">
        <v>-9999</v>
      </c>
      <c r="BG42" s="234">
        <v>-9999</v>
      </c>
      <c r="BH42" s="234">
        <v>-9999</v>
      </c>
      <c r="BI42" s="234" t="s">
        <v>13</v>
      </c>
      <c r="BJ42" s="491">
        <v>-9999</v>
      </c>
      <c r="BK42" s="491">
        <v>-9999</v>
      </c>
      <c r="BL42" s="234">
        <v>-9999</v>
      </c>
      <c r="BM42" s="234">
        <v>-9999</v>
      </c>
      <c r="BN42" s="234">
        <v>-9999</v>
      </c>
      <c r="BO42" s="234">
        <v>-9999</v>
      </c>
      <c r="BP42" s="234">
        <v>-9999</v>
      </c>
      <c r="BQ42" s="234">
        <v>-9999</v>
      </c>
      <c r="BR42" s="491">
        <v>-9999</v>
      </c>
      <c r="BS42" s="491">
        <v>-9999</v>
      </c>
      <c r="BT42" s="491">
        <v>-9999</v>
      </c>
      <c r="BU42" s="491">
        <v>-9999</v>
      </c>
      <c r="BV42" s="491">
        <v>-9999</v>
      </c>
      <c r="BW42" s="491"/>
      <c r="BX42" s="491">
        <v>-9999</v>
      </c>
      <c r="BY42" s="234">
        <v>-9999</v>
      </c>
      <c r="BZ42" s="496">
        <v>-9999</v>
      </c>
      <c r="CA42" s="497" t="s">
        <v>834</v>
      </c>
      <c r="CB42" s="498" t="s">
        <v>1434</v>
      </c>
      <c r="CC42" s="63" t="s">
        <v>638</v>
      </c>
      <c r="CD42" s="57">
        <v>1</v>
      </c>
      <c r="CE42" s="292">
        <v>4.9000000000000004</v>
      </c>
      <c r="CF42" s="292">
        <v>-9999</v>
      </c>
      <c r="CG42" s="60" t="s">
        <v>1357</v>
      </c>
    </row>
    <row r="43" spans="1:86" s="23" customFormat="1" x14ac:dyDescent="0.2">
      <c r="A43" s="57" t="s">
        <v>617</v>
      </c>
      <c r="B43" s="234" t="s">
        <v>618</v>
      </c>
      <c r="C43" s="234" t="s">
        <v>14</v>
      </c>
      <c r="D43" s="234" t="s">
        <v>633</v>
      </c>
      <c r="E43" s="493" t="s">
        <v>5</v>
      </c>
      <c r="F43" s="493" t="s">
        <v>645</v>
      </c>
      <c r="G43" s="234">
        <v>2</v>
      </c>
      <c r="H43" s="391" t="s">
        <v>1797</v>
      </c>
      <c r="I43" s="234" t="s">
        <v>621</v>
      </c>
      <c r="J43" s="234">
        <v>1990</v>
      </c>
      <c r="K43" s="234" t="s">
        <v>957</v>
      </c>
      <c r="L43" s="234" t="s">
        <v>960</v>
      </c>
      <c r="M43" s="389">
        <v>-9999</v>
      </c>
      <c r="N43" s="234">
        <v>-9999</v>
      </c>
      <c r="O43" s="29"/>
      <c r="P43" s="389">
        <v>-9999</v>
      </c>
      <c r="Q43" s="234">
        <v>-9999</v>
      </c>
      <c r="R43" s="389"/>
      <c r="S43" s="234"/>
      <c r="T43" s="389">
        <v>3.5</v>
      </c>
      <c r="U43" s="389">
        <v>0.5</v>
      </c>
      <c r="V43" s="389"/>
      <c r="W43" s="389">
        <v>-9999</v>
      </c>
      <c r="X43" s="234">
        <v>-9999</v>
      </c>
      <c r="Y43" s="234"/>
      <c r="Z43" s="234" t="s">
        <v>639</v>
      </c>
      <c r="AA43" s="234" t="s">
        <v>640</v>
      </c>
      <c r="AB43" s="389">
        <v>-9999</v>
      </c>
      <c r="AC43" s="234">
        <v>-9999</v>
      </c>
      <c r="AD43" s="234">
        <v>36</v>
      </c>
      <c r="AE43" s="234">
        <v>-9999</v>
      </c>
      <c r="AF43" s="234">
        <v>3</v>
      </c>
      <c r="AG43" s="234">
        <v>-9999</v>
      </c>
      <c r="AH43" s="234" t="s">
        <v>623</v>
      </c>
      <c r="AI43" s="234" t="s">
        <v>624</v>
      </c>
      <c r="AJ43" s="234">
        <v>-9999</v>
      </c>
      <c r="AK43" s="234" t="s">
        <v>625</v>
      </c>
      <c r="AL43" s="234">
        <v>-9999</v>
      </c>
      <c r="AM43" s="234">
        <v>-9999</v>
      </c>
      <c r="AN43" s="234" t="s">
        <v>626</v>
      </c>
      <c r="AO43" s="234" t="s">
        <v>627</v>
      </c>
      <c r="AP43" s="234" t="s">
        <v>628</v>
      </c>
      <c r="AQ43" s="234" t="s">
        <v>626</v>
      </c>
      <c r="AR43" s="234">
        <f>224*G43</f>
        <v>448</v>
      </c>
      <c r="AS43" s="234" t="s">
        <v>691</v>
      </c>
      <c r="AT43" s="234" t="s">
        <v>743</v>
      </c>
      <c r="AU43" s="234">
        <v>112</v>
      </c>
      <c r="AV43" s="234" t="s">
        <v>218</v>
      </c>
      <c r="AW43" s="234" t="s">
        <v>220</v>
      </c>
      <c r="AX43" s="234">
        <v>224</v>
      </c>
      <c r="AY43" s="234" t="s">
        <v>219</v>
      </c>
      <c r="AZ43" s="234" t="s">
        <v>220</v>
      </c>
      <c r="BA43" s="234">
        <v>-9999</v>
      </c>
      <c r="BB43" s="234">
        <v>-9999</v>
      </c>
      <c r="BC43" s="234">
        <v>-9999</v>
      </c>
      <c r="BD43" s="234">
        <v>-9999</v>
      </c>
      <c r="BE43" s="234">
        <v>-9999</v>
      </c>
      <c r="BF43" s="234">
        <v>-9999</v>
      </c>
      <c r="BG43" s="234">
        <v>-9999</v>
      </c>
      <c r="BH43" s="234">
        <v>-9999</v>
      </c>
      <c r="BI43" s="234" t="s">
        <v>15</v>
      </c>
      <c r="BJ43" s="491">
        <v>-9999</v>
      </c>
      <c r="BK43" s="491">
        <v>-9999</v>
      </c>
      <c r="BL43" s="234">
        <v>-9999</v>
      </c>
      <c r="BM43" s="234">
        <v>-9999</v>
      </c>
      <c r="BN43" s="234">
        <v>-9999</v>
      </c>
      <c r="BO43" s="234">
        <v>-9999</v>
      </c>
      <c r="BP43" s="234">
        <v>-9999</v>
      </c>
      <c r="BQ43" s="234">
        <v>-9999</v>
      </c>
      <c r="BR43" s="491">
        <v>-9999</v>
      </c>
      <c r="BS43" s="491">
        <v>-9999</v>
      </c>
      <c r="BT43" s="491">
        <v>-9999</v>
      </c>
      <c r="BU43" s="491">
        <v>-9999</v>
      </c>
      <c r="BV43" s="491">
        <v>-9999</v>
      </c>
      <c r="BW43" s="491"/>
      <c r="BX43" s="491">
        <v>-9999</v>
      </c>
      <c r="BY43" s="234">
        <v>-9999</v>
      </c>
      <c r="BZ43" s="496">
        <v>-9999</v>
      </c>
      <c r="CA43" s="497" t="s">
        <v>834</v>
      </c>
      <c r="CB43" s="498" t="s">
        <v>1434</v>
      </c>
      <c r="CC43" s="58" t="s">
        <v>645</v>
      </c>
      <c r="CD43" s="57">
        <v>2</v>
      </c>
      <c r="CE43" s="292">
        <v>3.5</v>
      </c>
      <c r="CF43" s="292">
        <v>-9999</v>
      </c>
      <c r="CG43" s="72" t="s">
        <v>1358</v>
      </c>
    </row>
    <row r="44" spans="1:86" s="23" customFormat="1" x14ac:dyDescent="0.2">
      <c r="A44" s="57" t="s">
        <v>617</v>
      </c>
      <c r="B44" s="234" t="s">
        <v>618</v>
      </c>
      <c r="C44" s="234" t="s">
        <v>16</v>
      </c>
      <c r="D44" s="234" t="s">
        <v>633</v>
      </c>
      <c r="E44" s="493" t="s">
        <v>5</v>
      </c>
      <c r="F44" s="494" t="s">
        <v>647</v>
      </c>
      <c r="G44" s="234">
        <v>3</v>
      </c>
      <c r="H44" s="504">
        <v>4</v>
      </c>
      <c r="I44" s="234" t="s">
        <v>621</v>
      </c>
      <c r="J44" s="234">
        <v>1990</v>
      </c>
      <c r="K44" s="234" t="s">
        <v>957</v>
      </c>
      <c r="L44" s="234">
        <v>1993</v>
      </c>
      <c r="M44" s="389">
        <v>-9999</v>
      </c>
      <c r="N44" s="234">
        <v>-9999</v>
      </c>
      <c r="O44" s="29"/>
      <c r="P44" s="389">
        <v>-9999</v>
      </c>
      <c r="Q44" s="234">
        <v>-9999</v>
      </c>
      <c r="R44" s="389"/>
      <c r="S44" s="234"/>
      <c r="T44" s="389">
        <v>5.5</v>
      </c>
      <c r="U44" s="389">
        <v>1.2</v>
      </c>
      <c r="V44" s="389"/>
      <c r="W44" s="389">
        <v>-9999</v>
      </c>
      <c r="X44" s="234">
        <v>-9999</v>
      </c>
      <c r="Y44" s="234"/>
      <c r="Z44" s="234" t="s">
        <v>639</v>
      </c>
      <c r="AA44" s="234" t="s">
        <v>640</v>
      </c>
      <c r="AB44" s="389">
        <v>-9999</v>
      </c>
      <c r="AC44" s="234">
        <v>-9999</v>
      </c>
      <c r="AD44" s="234">
        <v>36</v>
      </c>
      <c r="AE44" s="234">
        <v>-9999</v>
      </c>
      <c r="AF44" s="234">
        <v>3</v>
      </c>
      <c r="AG44" s="234">
        <v>-9999</v>
      </c>
      <c r="AH44" s="234" t="s">
        <v>623</v>
      </c>
      <c r="AI44" s="234" t="s">
        <v>624</v>
      </c>
      <c r="AJ44" s="234">
        <v>-9999</v>
      </c>
      <c r="AK44" s="234" t="s">
        <v>625</v>
      </c>
      <c r="AL44" s="234">
        <v>-9999</v>
      </c>
      <c r="AM44" s="234">
        <v>-9999</v>
      </c>
      <c r="AN44" s="234" t="s">
        <v>626</v>
      </c>
      <c r="AO44" s="234" t="s">
        <v>627</v>
      </c>
      <c r="AP44" s="234" t="s">
        <v>628</v>
      </c>
      <c r="AQ44" s="234" t="s">
        <v>626</v>
      </c>
      <c r="AR44" s="234">
        <f>224*G44</f>
        <v>672</v>
      </c>
      <c r="AS44" s="234" t="s">
        <v>691</v>
      </c>
      <c r="AT44" s="234" t="s">
        <v>743</v>
      </c>
      <c r="AU44" s="234">
        <v>112</v>
      </c>
      <c r="AV44" s="234" t="s">
        <v>218</v>
      </c>
      <c r="AW44" s="234" t="s">
        <v>220</v>
      </c>
      <c r="AX44" s="234">
        <v>224</v>
      </c>
      <c r="AY44" s="234" t="s">
        <v>219</v>
      </c>
      <c r="AZ44" s="234" t="s">
        <v>220</v>
      </c>
      <c r="BA44" s="234">
        <v>-9999</v>
      </c>
      <c r="BB44" s="234">
        <v>-9999</v>
      </c>
      <c r="BC44" s="234">
        <v>-9999</v>
      </c>
      <c r="BD44" s="234">
        <v>-9999</v>
      </c>
      <c r="BE44" s="234">
        <v>-9999</v>
      </c>
      <c r="BF44" s="234">
        <v>-9999</v>
      </c>
      <c r="BG44" s="234">
        <v>-9999</v>
      </c>
      <c r="BH44" s="234">
        <v>-9999</v>
      </c>
      <c r="BI44" s="234" t="s">
        <v>17</v>
      </c>
      <c r="BJ44" s="491">
        <v>-9999</v>
      </c>
      <c r="BK44" s="491">
        <v>-9999</v>
      </c>
      <c r="BL44" s="234">
        <v>-9999</v>
      </c>
      <c r="BM44" s="234">
        <v>-9999</v>
      </c>
      <c r="BN44" s="234">
        <v>-9999</v>
      </c>
      <c r="BO44" s="234">
        <v>-9999</v>
      </c>
      <c r="BP44" s="234">
        <v>-9999</v>
      </c>
      <c r="BQ44" s="234">
        <v>-9999</v>
      </c>
      <c r="BR44" s="491">
        <v>-9999</v>
      </c>
      <c r="BS44" s="491">
        <v>-9999</v>
      </c>
      <c r="BT44" s="491">
        <v>-9999</v>
      </c>
      <c r="BU44" s="491">
        <v>-9999</v>
      </c>
      <c r="BV44" s="491">
        <v>-9999</v>
      </c>
      <c r="BW44" s="491"/>
      <c r="BX44" s="491">
        <v>-9999</v>
      </c>
      <c r="BY44" s="234">
        <v>-9999</v>
      </c>
      <c r="BZ44" s="496">
        <v>-9999</v>
      </c>
      <c r="CA44" s="497" t="s">
        <v>834</v>
      </c>
      <c r="CB44" s="498" t="s">
        <v>1434</v>
      </c>
      <c r="CC44" s="59" t="s">
        <v>647</v>
      </c>
      <c r="CD44" s="57">
        <v>3</v>
      </c>
      <c r="CE44" s="292">
        <v>5.5</v>
      </c>
      <c r="CF44" s="292">
        <v>-9999</v>
      </c>
      <c r="CG44" s="139">
        <v>4</v>
      </c>
    </row>
    <row r="45" spans="1:86" s="23" customFormat="1" x14ac:dyDescent="0.2">
      <c r="A45" s="57"/>
      <c r="B45" s="234"/>
      <c r="C45" s="234"/>
      <c r="D45" s="234"/>
      <c r="E45" s="493"/>
      <c r="F45" s="494"/>
      <c r="G45" s="234"/>
      <c r="H45" s="504"/>
      <c r="I45" s="234"/>
      <c r="J45" s="234"/>
      <c r="K45" s="234"/>
      <c r="L45" s="234"/>
      <c r="M45" s="389"/>
      <c r="N45" s="234"/>
      <c r="O45" s="29"/>
      <c r="P45" s="389"/>
      <c r="Q45" s="234"/>
      <c r="R45" s="389"/>
      <c r="S45" s="234"/>
      <c r="T45" s="389"/>
      <c r="U45" s="389"/>
      <c r="V45" s="389"/>
      <c r="W45" s="389"/>
      <c r="X45" s="234"/>
      <c r="Y45" s="234"/>
      <c r="Z45" s="234"/>
      <c r="AA45" s="234"/>
      <c r="AB45" s="389"/>
      <c r="AC45" s="234"/>
      <c r="AD45" s="234"/>
      <c r="AE45" s="234"/>
      <c r="AF45" s="234"/>
      <c r="AG45" s="234"/>
      <c r="AH45" s="234"/>
      <c r="AI45" s="234"/>
      <c r="AJ45" s="234"/>
      <c r="AK45" s="234"/>
      <c r="AL45" s="234"/>
      <c r="AM45" s="234"/>
      <c r="AN45" s="234"/>
      <c r="AO45" s="234"/>
      <c r="AP45" s="234"/>
      <c r="AQ45" s="234"/>
      <c r="AR45" s="234"/>
      <c r="AS45" s="234"/>
      <c r="AT45" s="234"/>
      <c r="AU45" s="234"/>
      <c r="AV45" s="234"/>
      <c r="AW45" s="234"/>
      <c r="AX45" s="234"/>
      <c r="AY45" s="234"/>
      <c r="AZ45" s="234"/>
      <c r="BA45" s="234"/>
      <c r="BB45" s="234"/>
      <c r="BC45" s="234"/>
      <c r="BD45" s="234"/>
      <c r="BE45" s="234"/>
      <c r="BF45" s="234"/>
      <c r="BG45" s="234"/>
      <c r="BH45" s="234"/>
      <c r="BI45" s="234"/>
      <c r="BJ45" s="491"/>
      <c r="BK45" s="491"/>
      <c r="BL45" s="234"/>
      <c r="BM45" s="234"/>
      <c r="BN45" s="234"/>
      <c r="BO45" s="234"/>
      <c r="BP45" s="234"/>
      <c r="BQ45" s="234"/>
      <c r="BR45" s="491"/>
      <c r="BS45" s="491"/>
      <c r="BT45" s="491"/>
      <c r="BU45" s="491"/>
      <c r="BV45" s="491"/>
      <c r="BW45" s="491"/>
      <c r="BX45" s="491"/>
      <c r="BY45" s="234"/>
      <c r="BZ45" s="496"/>
      <c r="CA45" s="497"/>
      <c r="CB45" s="239"/>
      <c r="CC45" s="59"/>
      <c r="CD45" s="57"/>
      <c r="CE45" s="292"/>
      <c r="CF45" s="292"/>
      <c r="CG45" s="139"/>
    </row>
    <row r="46" spans="1:86" s="13" customFormat="1" x14ac:dyDescent="0.2">
      <c r="A46" s="11" t="s">
        <v>617</v>
      </c>
      <c r="B46" s="231" t="s">
        <v>618</v>
      </c>
      <c r="C46" s="231" t="s">
        <v>12</v>
      </c>
      <c r="D46" s="231" t="s">
        <v>633</v>
      </c>
      <c r="E46" s="232" t="s">
        <v>634</v>
      </c>
      <c r="F46" s="502" t="s">
        <v>1794</v>
      </c>
      <c r="G46" s="231">
        <v>1</v>
      </c>
      <c r="H46" s="505" t="s">
        <v>1798</v>
      </c>
      <c r="I46" s="231" t="s">
        <v>621</v>
      </c>
      <c r="J46" s="231">
        <v>1990</v>
      </c>
      <c r="K46" s="231" t="s">
        <v>957</v>
      </c>
      <c r="L46" s="231" t="s">
        <v>959</v>
      </c>
      <c r="M46" s="235">
        <v>-9999</v>
      </c>
      <c r="N46" s="231">
        <v>-9999</v>
      </c>
      <c r="O46" s="18"/>
      <c r="P46" s="235">
        <v>-9999</v>
      </c>
      <c r="Q46" s="231">
        <v>-9999</v>
      </c>
      <c r="R46" s="235"/>
      <c r="S46" s="231"/>
      <c r="T46" s="235">
        <v>12.5</v>
      </c>
      <c r="U46" s="235">
        <v>0.6</v>
      </c>
      <c r="V46" s="235"/>
      <c r="W46" s="235">
        <v>-9999</v>
      </c>
      <c r="X46" s="231">
        <v>-9999</v>
      </c>
      <c r="Y46" s="231"/>
      <c r="Z46" s="231" t="s">
        <v>639</v>
      </c>
      <c r="AA46" s="231" t="s">
        <v>640</v>
      </c>
      <c r="AB46" s="235">
        <v>-9999</v>
      </c>
      <c r="AC46" s="231">
        <v>-9999</v>
      </c>
      <c r="AD46" s="231">
        <v>36</v>
      </c>
      <c r="AE46" s="231">
        <v>-9999</v>
      </c>
      <c r="AF46" s="231">
        <v>3</v>
      </c>
      <c r="AG46" s="231">
        <v>-9999</v>
      </c>
      <c r="AH46" s="231" t="s">
        <v>623</v>
      </c>
      <c r="AI46" s="231" t="s">
        <v>624</v>
      </c>
      <c r="AJ46" s="231">
        <v>-9999</v>
      </c>
      <c r="AK46" s="231" t="s">
        <v>625</v>
      </c>
      <c r="AL46" s="231">
        <v>-9999</v>
      </c>
      <c r="AM46" s="231">
        <v>-9999</v>
      </c>
      <c r="AN46" s="231" t="s">
        <v>626</v>
      </c>
      <c r="AO46" s="231" t="s">
        <v>627</v>
      </c>
      <c r="AP46" s="231" t="s">
        <v>628</v>
      </c>
      <c r="AQ46" s="231" t="s">
        <v>626</v>
      </c>
      <c r="AR46" s="231">
        <v>224</v>
      </c>
      <c r="AS46" s="231" t="s">
        <v>691</v>
      </c>
      <c r="AT46" s="231" t="s">
        <v>743</v>
      </c>
      <c r="AU46" s="231">
        <v>112</v>
      </c>
      <c r="AV46" s="231" t="s">
        <v>218</v>
      </c>
      <c r="AW46" s="231" t="s">
        <v>220</v>
      </c>
      <c r="AX46" s="231">
        <v>224</v>
      </c>
      <c r="AY46" s="231" t="s">
        <v>219</v>
      </c>
      <c r="AZ46" s="231" t="s">
        <v>220</v>
      </c>
      <c r="BA46" s="231">
        <v>-9999</v>
      </c>
      <c r="BB46" s="231">
        <v>-9999</v>
      </c>
      <c r="BC46" s="231">
        <v>-9999</v>
      </c>
      <c r="BD46" s="231">
        <v>-9999</v>
      </c>
      <c r="BE46" s="231">
        <v>-9999</v>
      </c>
      <c r="BF46" s="231">
        <v>-9999</v>
      </c>
      <c r="BG46" s="231">
        <v>-9999</v>
      </c>
      <c r="BH46" s="231">
        <v>-9999</v>
      </c>
      <c r="BI46" s="231" t="s">
        <v>644</v>
      </c>
      <c r="BJ46" s="233">
        <v>-9999</v>
      </c>
      <c r="BK46" s="233">
        <v>-9999</v>
      </c>
      <c r="BL46" s="231">
        <v>-9999</v>
      </c>
      <c r="BM46" s="231">
        <v>-9999</v>
      </c>
      <c r="BN46" s="231">
        <v>-9999</v>
      </c>
      <c r="BO46" s="231">
        <v>-9999</v>
      </c>
      <c r="BP46" s="231">
        <v>-9999</v>
      </c>
      <c r="BQ46" s="231">
        <v>-9999</v>
      </c>
      <c r="BR46" s="233">
        <v>-9999</v>
      </c>
      <c r="BS46" s="233">
        <v>-9999</v>
      </c>
      <c r="BT46" s="233">
        <v>-9999</v>
      </c>
      <c r="BU46" s="233">
        <v>-9999</v>
      </c>
      <c r="BV46" s="233">
        <v>-9999</v>
      </c>
      <c r="BW46" s="233"/>
      <c r="BX46" s="233">
        <v>-9999</v>
      </c>
      <c r="BY46" s="231">
        <v>-9999</v>
      </c>
      <c r="BZ46" s="238">
        <v>-9999</v>
      </c>
      <c r="CA46" s="490" t="s">
        <v>834</v>
      </c>
      <c r="CB46" s="239" t="s">
        <v>1434</v>
      </c>
      <c r="CC46" s="64" t="s">
        <v>638</v>
      </c>
      <c r="CD46" s="11">
        <v>1</v>
      </c>
      <c r="CE46" s="393">
        <v>12.5</v>
      </c>
      <c r="CF46" s="99">
        <v>-9999</v>
      </c>
      <c r="CG46" s="140" t="s">
        <v>1357</v>
      </c>
      <c r="CH46" s="436"/>
    </row>
    <row r="47" spans="1:86" s="13" customFormat="1" x14ac:dyDescent="0.2">
      <c r="A47" s="11" t="s">
        <v>617</v>
      </c>
      <c r="B47" s="231" t="s">
        <v>618</v>
      </c>
      <c r="C47" s="231" t="s">
        <v>14</v>
      </c>
      <c r="D47" s="231" t="s">
        <v>633</v>
      </c>
      <c r="E47" s="232" t="s">
        <v>634</v>
      </c>
      <c r="F47" s="232" t="s">
        <v>645</v>
      </c>
      <c r="G47" s="231">
        <v>2</v>
      </c>
      <c r="H47" s="506" t="s">
        <v>1797</v>
      </c>
      <c r="I47" s="231" t="s">
        <v>621</v>
      </c>
      <c r="J47" s="231">
        <v>1990</v>
      </c>
      <c r="K47" s="231" t="s">
        <v>957</v>
      </c>
      <c r="L47" s="231" t="s">
        <v>960</v>
      </c>
      <c r="M47" s="235">
        <v>-9999</v>
      </c>
      <c r="N47" s="231">
        <v>-9999</v>
      </c>
      <c r="O47" s="18"/>
      <c r="P47" s="235">
        <v>-9999</v>
      </c>
      <c r="Q47" s="231">
        <v>-9999</v>
      </c>
      <c r="R47" s="235"/>
      <c r="S47" s="231"/>
      <c r="T47" s="235">
        <v>16.100000000000001</v>
      </c>
      <c r="U47" s="235">
        <v>0.9</v>
      </c>
      <c r="V47" s="235"/>
      <c r="W47" s="235">
        <v>-9999</v>
      </c>
      <c r="X47" s="231">
        <v>-9999</v>
      </c>
      <c r="Y47" s="231"/>
      <c r="Z47" s="231" t="s">
        <v>639</v>
      </c>
      <c r="AA47" s="231" t="s">
        <v>640</v>
      </c>
      <c r="AB47" s="235">
        <v>-9999</v>
      </c>
      <c r="AC47" s="231">
        <v>-9999</v>
      </c>
      <c r="AD47" s="231">
        <v>36</v>
      </c>
      <c r="AE47" s="231">
        <v>-9999</v>
      </c>
      <c r="AF47" s="231">
        <v>3</v>
      </c>
      <c r="AG47" s="231">
        <v>-9999</v>
      </c>
      <c r="AH47" s="231" t="s">
        <v>623</v>
      </c>
      <c r="AI47" s="231" t="s">
        <v>624</v>
      </c>
      <c r="AJ47" s="231">
        <v>-9999</v>
      </c>
      <c r="AK47" s="231" t="s">
        <v>625</v>
      </c>
      <c r="AL47" s="231">
        <v>-9999</v>
      </c>
      <c r="AM47" s="231">
        <v>-9999</v>
      </c>
      <c r="AN47" s="231" t="s">
        <v>626</v>
      </c>
      <c r="AO47" s="231" t="s">
        <v>627</v>
      </c>
      <c r="AP47" s="231" t="s">
        <v>628</v>
      </c>
      <c r="AQ47" s="231" t="s">
        <v>626</v>
      </c>
      <c r="AR47" s="231">
        <f>224*G47</f>
        <v>448</v>
      </c>
      <c r="AS47" s="231" t="s">
        <v>691</v>
      </c>
      <c r="AT47" s="231" t="s">
        <v>743</v>
      </c>
      <c r="AU47" s="231">
        <v>112</v>
      </c>
      <c r="AV47" s="231" t="s">
        <v>218</v>
      </c>
      <c r="AW47" s="231" t="s">
        <v>220</v>
      </c>
      <c r="AX47" s="231">
        <v>224</v>
      </c>
      <c r="AY47" s="231" t="s">
        <v>219</v>
      </c>
      <c r="AZ47" s="231" t="s">
        <v>220</v>
      </c>
      <c r="BA47" s="231">
        <v>-9999</v>
      </c>
      <c r="BB47" s="231">
        <v>-9999</v>
      </c>
      <c r="BC47" s="231">
        <v>-9999</v>
      </c>
      <c r="BD47" s="231">
        <v>-9999</v>
      </c>
      <c r="BE47" s="231">
        <v>-9999</v>
      </c>
      <c r="BF47" s="231">
        <v>-9999</v>
      </c>
      <c r="BG47" s="231">
        <v>-9999</v>
      </c>
      <c r="BH47" s="231">
        <v>-9999</v>
      </c>
      <c r="BI47" s="231" t="s">
        <v>646</v>
      </c>
      <c r="BJ47" s="233">
        <v>-9999</v>
      </c>
      <c r="BK47" s="233">
        <v>-9999</v>
      </c>
      <c r="BL47" s="231">
        <v>-9999</v>
      </c>
      <c r="BM47" s="231">
        <v>-9999</v>
      </c>
      <c r="BN47" s="231">
        <v>-9999</v>
      </c>
      <c r="BO47" s="231">
        <v>-9999</v>
      </c>
      <c r="BP47" s="231">
        <v>-9999</v>
      </c>
      <c r="BQ47" s="231">
        <v>-9999</v>
      </c>
      <c r="BR47" s="233">
        <v>-9999</v>
      </c>
      <c r="BS47" s="233">
        <v>-9999</v>
      </c>
      <c r="BT47" s="233">
        <v>-9999</v>
      </c>
      <c r="BU47" s="233">
        <v>-9999</v>
      </c>
      <c r="BV47" s="233">
        <v>-9999</v>
      </c>
      <c r="BW47" s="233"/>
      <c r="BX47" s="233">
        <v>-9999</v>
      </c>
      <c r="BY47" s="231">
        <v>-9999</v>
      </c>
      <c r="BZ47" s="238">
        <v>-9999</v>
      </c>
      <c r="CA47" s="490" t="s">
        <v>834</v>
      </c>
      <c r="CB47" s="239" t="s">
        <v>1434</v>
      </c>
      <c r="CC47" s="12" t="s">
        <v>645</v>
      </c>
      <c r="CD47" s="11">
        <v>2</v>
      </c>
      <c r="CE47" s="393">
        <v>16.100000000000001</v>
      </c>
      <c r="CF47" s="99">
        <v>-9999</v>
      </c>
      <c r="CG47" s="141" t="s">
        <v>1358</v>
      </c>
      <c r="CH47" s="436"/>
    </row>
    <row r="48" spans="1:86" s="13" customFormat="1" x14ac:dyDescent="0.2">
      <c r="A48" s="11" t="s">
        <v>617</v>
      </c>
      <c r="B48" s="231" t="s">
        <v>618</v>
      </c>
      <c r="C48" s="231" t="s">
        <v>16</v>
      </c>
      <c r="D48" s="231" t="s">
        <v>633</v>
      </c>
      <c r="E48" s="232" t="s">
        <v>634</v>
      </c>
      <c r="F48" s="488" t="s">
        <v>647</v>
      </c>
      <c r="G48" s="231">
        <v>3</v>
      </c>
      <c r="H48" s="507">
        <v>4</v>
      </c>
      <c r="I48" s="231" t="s">
        <v>621</v>
      </c>
      <c r="J48" s="231">
        <v>1990</v>
      </c>
      <c r="K48" s="231" t="s">
        <v>957</v>
      </c>
      <c r="L48" s="231">
        <v>1993</v>
      </c>
      <c r="M48" s="235">
        <v>-9999</v>
      </c>
      <c r="N48" s="231">
        <v>-9999</v>
      </c>
      <c r="O48" s="18"/>
      <c r="P48" s="235">
        <v>-9999</v>
      </c>
      <c r="Q48" s="231">
        <v>-9999</v>
      </c>
      <c r="R48" s="235"/>
      <c r="S48" s="231"/>
      <c r="T48" s="235">
        <v>21.7</v>
      </c>
      <c r="U48" s="235">
        <v>1.4</v>
      </c>
      <c r="V48" s="235"/>
      <c r="W48" s="235">
        <v>-9999</v>
      </c>
      <c r="X48" s="231">
        <v>-9999</v>
      </c>
      <c r="Y48" s="231"/>
      <c r="Z48" s="231" t="s">
        <v>639</v>
      </c>
      <c r="AA48" s="231" t="s">
        <v>640</v>
      </c>
      <c r="AB48" s="235">
        <v>-9999</v>
      </c>
      <c r="AC48" s="231">
        <v>-9999</v>
      </c>
      <c r="AD48" s="231">
        <v>36</v>
      </c>
      <c r="AE48" s="231">
        <v>-9999</v>
      </c>
      <c r="AF48" s="231">
        <v>3</v>
      </c>
      <c r="AG48" s="231">
        <v>-9999</v>
      </c>
      <c r="AH48" s="231" t="s">
        <v>623</v>
      </c>
      <c r="AI48" s="231" t="s">
        <v>624</v>
      </c>
      <c r="AJ48" s="231">
        <v>-9999</v>
      </c>
      <c r="AK48" s="231" t="s">
        <v>625</v>
      </c>
      <c r="AL48" s="231">
        <v>-9999</v>
      </c>
      <c r="AM48" s="231">
        <v>-9999</v>
      </c>
      <c r="AN48" s="231" t="s">
        <v>626</v>
      </c>
      <c r="AO48" s="231" t="s">
        <v>627</v>
      </c>
      <c r="AP48" s="231" t="s">
        <v>628</v>
      </c>
      <c r="AQ48" s="231" t="s">
        <v>626</v>
      </c>
      <c r="AR48" s="231">
        <f>224*G48</f>
        <v>672</v>
      </c>
      <c r="AS48" s="231" t="s">
        <v>691</v>
      </c>
      <c r="AT48" s="231" t="s">
        <v>743</v>
      </c>
      <c r="AU48" s="231">
        <v>112</v>
      </c>
      <c r="AV48" s="231" t="s">
        <v>218</v>
      </c>
      <c r="AW48" s="231" t="s">
        <v>220</v>
      </c>
      <c r="AX48" s="231">
        <v>224</v>
      </c>
      <c r="AY48" s="231" t="s">
        <v>219</v>
      </c>
      <c r="AZ48" s="231" t="s">
        <v>220</v>
      </c>
      <c r="BA48" s="231">
        <v>-9999</v>
      </c>
      <c r="BB48" s="231">
        <v>-9999</v>
      </c>
      <c r="BC48" s="231">
        <v>-9999</v>
      </c>
      <c r="BD48" s="231">
        <v>-9999</v>
      </c>
      <c r="BE48" s="231">
        <v>-9999</v>
      </c>
      <c r="BF48" s="231">
        <v>-9999</v>
      </c>
      <c r="BG48" s="231">
        <v>-9999</v>
      </c>
      <c r="BH48" s="231">
        <v>-9999</v>
      </c>
      <c r="BI48" s="231" t="s">
        <v>648</v>
      </c>
      <c r="BJ48" s="233">
        <v>-9999</v>
      </c>
      <c r="BK48" s="233">
        <v>-9999</v>
      </c>
      <c r="BL48" s="231">
        <v>-9999</v>
      </c>
      <c r="BM48" s="231">
        <v>-9999</v>
      </c>
      <c r="BN48" s="231">
        <v>-9999</v>
      </c>
      <c r="BO48" s="231">
        <v>-9999</v>
      </c>
      <c r="BP48" s="231">
        <v>-9999</v>
      </c>
      <c r="BQ48" s="231">
        <v>-9999</v>
      </c>
      <c r="BR48" s="233">
        <v>-9999</v>
      </c>
      <c r="BS48" s="233">
        <v>-9999</v>
      </c>
      <c r="BT48" s="233">
        <v>-9999</v>
      </c>
      <c r="BU48" s="233">
        <v>-9999</v>
      </c>
      <c r="BV48" s="233">
        <v>-9999</v>
      </c>
      <c r="BW48" s="233"/>
      <c r="BX48" s="233">
        <v>-9999</v>
      </c>
      <c r="BY48" s="231">
        <v>-9999</v>
      </c>
      <c r="BZ48" s="238">
        <v>-9999</v>
      </c>
      <c r="CA48" s="490" t="s">
        <v>834</v>
      </c>
      <c r="CB48" s="239" t="s">
        <v>1434</v>
      </c>
      <c r="CC48" s="55" t="s">
        <v>647</v>
      </c>
      <c r="CD48" s="11">
        <v>3</v>
      </c>
      <c r="CE48" s="393">
        <v>21.7</v>
      </c>
      <c r="CF48" s="99">
        <v>-9999</v>
      </c>
      <c r="CG48" s="142">
        <v>4</v>
      </c>
      <c r="CH48" s="436"/>
    </row>
    <row r="49" spans="1:1873" s="13" customFormat="1" x14ac:dyDescent="0.2">
      <c r="A49" s="18"/>
      <c r="B49" s="29"/>
      <c r="C49" s="29"/>
      <c r="D49" s="18"/>
      <c r="E49" s="19"/>
      <c r="F49" s="511"/>
      <c r="G49" s="18"/>
      <c r="H49" s="75"/>
      <c r="I49" s="18"/>
      <c r="J49" s="18"/>
      <c r="K49" s="18"/>
      <c r="L49" s="18"/>
      <c r="M49" s="21"/>
      <c r="N49" s="65"/>
      <c r="O49" s="65"/>
      <c r="P49" s="21"/>
      <c r="Q49" s="18"/>
      <c r="R49" s="21"/>
      <c r="S49" s="18"/>
      <c r="T49" s="21"/>
      <c r="U49" s="21"/>
      <c r="V49" s="21"/>
      <c r="W49" s="67"/>
      <c r="X49" s="65"/>
      <c r="Y49" s="65"/>
      <c r="Z49" s="18"/>
      <c r="AA49" s="18"/>
      <c r="AB49" s="67"/>
      <c r="AC49" s="65"/>
      <c r="AD49" s="18"/>
      <c r="AE49" s="65"/>
      <c r="AF49" s="18"/>
      <c r="AG49" s="18"/>
      <c r="AH49" s="18"/>
      <c r="AI49" s="18"/>
      <c r="AJ49" s="18"/>
      <c r="AK49" s="29"/>
      <c r="AL49" s="18"/>
      <c r="AM49" s="18"/>
      <c r="AN49" s="18"/>
      <c r="AO49" s="18"/>
      <c r="AP49" s="18"/>
      <c r="AQ49" s="29"/>
      <c r="AR49" s="29"/>
      <c r="AS49" s="29"/>
      <c r="AT49" s="29"/>
      <c r="AU49" s="29"/>
      <c r="AV49" s="29"/>
      <c r="AW49" s="29"/>
      <c r="AX49" s="29"/>
      <c r="AY49" s="29"/>
      <c r="AZ49" s="29"/>
      <c r="BA49" s="65"/>
      <c r="BB49" s="65"/>
      <c r="BC49" s="65"/>
      <c r="BD49" s="65"/>
      <c r="BE49" s="65"/>
      <c r="BF49" s="65"/>
      <c r="BG49" s="65"/>
      <c r="BH49" s="65"/>
      <c r="BI49" s="18"/>
      <c r="BJ49" s="20"/>
      <c r="BK49" s="20"/>
      <c r="BL49" s="18"/>
      <c r="BM49" s="18"/>
      <c r="BN49" s="18"/>
      <c r="BO49" s="18"/>
      <c r="BP49" s="18"/>
      <c r="BQ49" s="18"/>
      <c r="BR49" s="20"/>
      <c r="BS49" s="30"/>
      <c r="BT49" s="20"/>
      <c r="BU49" s="20"/>
      <c r="BV49" s="20"/>
      <c r="BW49" s="20"/>
      <c r="BX49" s="20"/>
      <c r="BY49" s="18"/>
      <c r="BZ49" s="73"/>
      <c r="CA49" s="73"/>
      <c r="CC49" s="511"/>
      <c r="CD49" s="18"/>
      <c r="CE49" s="99"/>
      <c r="CF49" s="99"/>
      <c r="CG49" s="75"/>
    </row>
    <row r="50" spans="1:1873" s="23" customFormat="1" x14ac:dyDescent="0.2">
      <c r="A50" s="57" t="s">
        <v>617</v>
      </c>
      <c r="B50" s="234" t="s">
        <v>618</v>
      </c>
      <c r="C50" s="234" t="s">
        <v>18</v>
      </c>
      <c r="D50" s="234" t="s">
        <v>633</v>
      </c>
      <c r="E50" s="493" t="s">
        <v>5</v>
      </c>
      <c r="F50" s="503">
        <v>1</v>
      </c>
      <c r="G50" s="234">
        <v>3</v>
      </c>
      <c r="H50" s="503">
        <v>4</v>
      </c>
      <c r="I50" s="234" t="s">
        <v>621</v>
      </c>
      <c r="J50" s="234">
        <v>1990</v>
      </c>
      <c r="K50" s="234" t="s">
        <v>957</v>
      </c>
      <c r="L50" s="234">
        <v>1993</v>
      </c>
      <c r="M50" s="389">
        <v>-9999</v>
      </c>
      <c r="N50" s="234">
        <v>-9999</v>
      </c>
      <c r="O50" s="29"/>
      <c r="P50" s="389">
        <v>-9999</v>
      </c>
      <c r="Q50" s="234">
        <v>-9999</v>
      </c>
      <c r="R50" s="389"/>
      <c r="S50" s="234"/>
      <c r="T50" s="389">
        <v>6.5</v>
      </c>
      <c r="U50" s="389">
        <v>2</v>
      </c>
      <c r="V50" s="389"/>
      <c r="W50" s="389">
        <v>-9999</v>
      </c>
      <c r="X50" s="234">
        <v>-9999</v>
      </c>
      <c r="Y50" s="234"/>
      <c r="Z50" s="234" t="s">
        <v>636</v>
      </c>
      <c r="AA50" s="495">
        <v>37037</v>
      </c>
      <c r="AB50" s="389">
        <v>-9999</v>
      </c>
      <c r="AC50" s="234">
        <v>-9999</v>
      </c>
      <c r="AD50" s="234">
        <v>36</v>
      </c>
      <c r="AE50" s="234">
        <v>-9999</v>
      </c>
      <c r="AF50" s="234">
        <v>3</v>
      </c>
      <c r="AG50" s="234">
        <v>-9999</v>
      </c>
      <c r="AH50" s="234" t="s">
        <v>623</v>
      </c>
      <c r="AI50" s="234" t="s">
        <v>624</v>
      </c>
      <c r="AJ50" s="234">
        <v>-9999</v>
      </c>
      <c r="AK50" s="234" t="s">
        <v>625</v>
      </c>
      <c r="AL50" s="234">
        <v>-9999</v>
      </c>
      <c r="AM50" s="234">
        <v>-9999</v>
      </c>
      <c r="AN50" s="234" t="s">
        <v>626</v>
      </c>
      <c r="AO50" s="234" t="s">
        <v>627</v>
      </c>
      <c r="AP50" s="234" t="s">
        <v>628</v>
      </c>
      <c r="AQ50" s="234" t="s">
        <v>626</v>
      </c>
      <c r="AR50" s="234">
        <f>224*G50</f>
        <v>672</v>
      </c>
      <c r="AS50" s="234" t="s">
        <v>691</v>
      </c>
      <c r="AT50" s="234" t="s">
        <v>743</v>
      </c>
      <c r="AU50" s="234">
        <v>112</v>
      </c>
      <c r="AV50" s="234" t="s">
        <v>218</v>
      </c>
      <c r="AW50" s="234" t="s">
        <v>220</v>
      </c>
      <c r="AX50" s="234">
        <v>224</v>
      </c>
      <c r="AY50" s="234" t="s">
        <v>219</v>
      </c>
      <c r="AZ50" s="234" t="s">
        <v>220</v>
      </c>
      <c r="BA50" s="234">
        <v>-9999</v>
      </c>
      <c r="BB50" s="234">
        <v>-9999</v>
      </c>
      <c r="BC50" s="234">
        <v>-9999</v>
      </c>
      <c r="BD50" s="234">
        <v>-9999</v>
      </c>
      <c r="BE50" s="234">
        <v>-9999</v>
      </c>
      <c r="BF50" s="234">
        <v>-9999</v>
      </c>
      <c r="BG50" s="234">
        <v>-9999</v>
      </c>
      <c r="BH50" s="234">
        <v>-9999</v>
      </c>
      <c r="BI50" s="234" t="s">
        <v>649</v>
      </c>
      <c r="BJ50" s="491">
        <v>-9999</v>
      </c>
      <c r="BK50" s="491">
        <v>-9999</v>
      </c>
      <c r="BL50" s="234">
        <v>-9999</v>
      </c>
      <c r="BM50" s="234">
        <v>-9999</v>
      </c>
      <c r="BN50" s="234">
        <v>-9999</v>
      </c>
      <c r="BO50" s="234">
        <v>-9999</v>
      </c>
      <c r="BP50" s="234">
        <v>-9999</v>
      </c>
      <c r="BQ50" s="234">
        <v>-9999</v>
      </c>
      <c r="BR50" s="491">
        <v>-9999</v>
      </c>
      <c r="BS50" s="491">
        <v>-9999</v>
      </c>
      <c r="BT50" s="491">
        <v>-9999</v>
      </c>
      <c r="BU50" s="491">
        <v>-9999</v>
      </c>
      <c r="BV50" s="491">
        <v>-9999</v>
      </c>
      <c r="BW50" s="491"/>
      <c r="BX50" s="491">
        <v>-9999</v>
      </c>
      <c r="BY50" s="234">
        <v>-9999</v>
      </c>
      <c r="BZ50" s="496">
        <v>-9999</v>
      </c>
      <c r="CA50" s="497" t="s">
        <v>834</v>
      </c>
      <c r="CB50" s="498" t="s">
        <v>1434</v>
      </c>
      <c r="CC50" s="60">
        <v>1</v>
      </c>
      <c r="CD50" s="57">
        <v>3</v>
      </c>
      <c r="CE50" s="292">
        <v>6.5</v>
      </c>
      <c r="CF50" s="292">
        <v>-9999</v>
      </c>
      <c r="CG50" s="60">
        <v>4</v>
      </c>
    </row>
    <row r="51" spans="1:1873" s="23" customFormat="1" x14ac:dyDescent="0.2">
      <c r="A51" s="57" t="s">
        <v>617</v>
      </c>
      <c r="B51" s="234" t="s">
        <v>618</v>
      </c>
      <c r="C51" s="234" t="s">
        <v>19</v>
      </c>
      <c r="D51" s="234" t="s">
        <v>633</v>
      </c>
      <c r="E51" s="493" t="s">
        <v>5</v>
      </c>
      <c r="F51" s="503">
        <v>1</v>
      </c>
      <c r="G51" s="234">
        <v>3</v>
      </c>
      <c r="H51" s="503">
        <v>4</v>
      </c>
      <c r="I51" s="234" t="s">
        <v>621</v>
      </c>
      <c r="J51" s="234">
        <v>1990</v>
      </c>
      <c r="K51" s="234" t="s">
        <v>957</v>
      </c>
      <c r="L51" s="234">
        <v>1993</v>
      </c>
      <c r="M51" s="389">
        <v>-9999</v>
      </c>
      <c r="N51" s="234">
        <v>-9999</v>
      </c>
      <c r="O51" s="29"/>
      <c r="P51" s="389">
        <v>-9999</v>
      </c>
      <c r="Q51" s="234">
        <v>-9999</v>
      </c>
      <c r="R51" s="389"/>
      <c r="S51" s="234"/>
      <c r="T51" s="389">
        <v>2.5</v>
      </c>
      <c r="U51" s="389">
        <v>0.8</v>
      </c>
      <c r="V51" s="389"/>
      <c r="W51" s="389">
        <v>-9999</v>
      </c>
      <c r="X51" s="234">
        <v>-9999</v>
      </c>
      <c r="Y51" s="234"/>
      <c r="Z51" s="234" t="s">
        <v>636</v>
      </c>
      <c r="AA51" s="495">
        <v>37037</v>
      </c>
      <c r="AB51" s="389">
        <v>-9999</v>
      </c>
      <c r="AC51" s="234">
        <v>-9999</v>
      </c>
      <c r="AD51" s="234">
        <v>36</v>
      </c>
      <c r="AE51" s="234">
        <v>-9999</v>
      </c>
      <c r="AF51" s="234">
        <v>3</v>
      </c>
      <c r="AG51" s="234">
        <v>-9999</v>
      </c>
      <c r="AH51" s="234" t="s">
        <v>623</v>
      </c>
      <c r="AI51" s="234" t="s">
        <v>624</v>
      </c>
      <c r="AJ51" s="234">
        <v>-9999</v>
      </c>
      <c r="AK51" s="234" t="s">
        <v>625</v>
      </c>
      <c r="AL51" s="234">
        <v>-9999</v>
      </c>
      <c r="AM51" s="234">
        <v>-9999</v>
      </c>
      <c r="AN51" s="234" t="s">
        <v>631</v>
      </c>
      <c r="AO51" s="234">
        <v>-9999</v>
      </c>
      <c r="AP51" s="234">
        <v>-9999</v>
      </c>
      <c r="AQ51" s="234" t="s">
        <v>626</v>
      </c>
      <c r="AR51" s="234">
        <f>224*G51</f>
        <v>672</v>
      </c>
      <c r="AS51" s="234" t="s">
        <v>691</v>
      </c>
      <c r="AT51" s="234" t="s">
        <v>743</v>
      </c>
      <c r="AU51" s="234">
        <v>112</v>
      </c>
      <c r="AV51" s="234" t="s">
        <v>218</v>
      </c>
      <c r="AW51" s="234" t="s">
        <v>220</v>
      </c>
      <c r="AX51" s="234">
        <v>224</v>
      </c>
      <c r="AY51" s="234" t="s">
        <v>219</v>
      </c>
      <c r="AZ51" s="234" t="s">
        <v>220</v>
      </c>
      <c r="BA51" s="234">
        <v>-9999</v>
      </c>
      <c r="BB51" s="234">
        <v>-9999</v>
      </c>
      <c r="BC51" s="234">
        <v>-9999</v>
      </c>
      <c r="BD51" s="234">
        <v>-9999</v>
      </c>
      <c r="BE51" s="234">
        <v>-9999</v>
      </c>
      <c r="BF51" s="234">
        <v>-9999</v>
      </c>
      <c r="BG51" s="234">
        <v>-9999</v>
      </c>
      <c r="BH51" s="234">
        <v>-9999</v>
      </c>
      <c r="BI51" s="234" t="s">
        <v>649</v>
      </c>
      <c r="BJ51" s="491">
        <v>-9999</v>
      </c>
      <c r="BK51" s="491">
        <v>-9999</v>
      </c>
      <c r="BL51" s="234">
        <v>-9999</v>
      </c>
      <c r="BM51" s="234">
        <v>-9999</v>
      </c>
      <c r="BN51" s="234">
        <v>-9999</v>
      </c>
      <c r="BO51" s="234">
        <v>-9999</v>
      </c>
      <c r="BP51" s="234">
        <v>-9999</v>
      </c>
      <c r="BQ51" s="234">
        <v>-9999</v>
      </c>
      <c r="BR51" s="491">
        <v>-9999</v>
      </c>
      <c r="BS51" s="491">
        <v>-9999</v>
      </c>
      <c r="BT51" s="491">
        <v>-9999</v>
      </c>
      <c r="BU51" s="491">
        <v>-9999</v>
      </c>
      <c r="BV51" s="491">
        <v>-9999</v>
      </c>
      <c r="BW51" s="491"/>
      <c r="BX51" s="491">
        <v>-9999</v>
      </c>
      <c r="BY51" s="234">
        <v>-9999</v>
      </c>
      <c r="BZ51" s="496">
        <v>-9999</v>
      </c>
      <c r="CA51" s="497" t="s">
        <v>834</v>
      </c>
      <c r="CB51" s="498" t="s">
        <v>1434</v>
      </c>
      <c r="CC51" s="60">
        <v>1</v>
      </c>
      <c r="CD51" s="57">
        <v>3</v>
      </c>
      <c r="CE51" s="292">
        <v>2.5</v>
      </c>
      <c r="CF51" s="292">
        <v>-9999</v>
      </c>
      <c r="CG51" s="60">
        <v>4</v>
      </c>
    </row>
    <row r="52" spans="1:1873" s="23" customFormat="1" x14ac:dyDescent="0.2">
      <c r="A52" s="57"/>
      <c r="B52" s="234"/>
      <c r="C52" s="234"/>
      <c r="D52" s="234"/>
      <c r="E52" s="493"/>
      <c r="F52" s="503"/>
      <c r="G52" s="234"/>
      <c r="H52" s="503"/>
      <c r="I52" s="234"/>
      <c r="J52" s="234"/>
      <c r="K52" s="234"/>
      <c r="L52" s="234"/>
      <c r="M52" s="389"/>
      <c r="N52" s="234"/>
      <c r="O52" s="29"/>
      <c r="P52" s="389"/>
      <c r="Q52" s="234"/>
      <c r="R52" s="389"/>
      <c r="S52" s="234"/>
      <c r="T52" s="389"/>
      <c r="U52" s="389"/>
      <c r="V52" s="389"/>
      <c r="W52" s="389"/>
      <c r="X52" s="234"/>
      <c r="Y52" s="234"/>
      <c r="Z52" s="234"/>
      <c r="AA52" s="495"/>
      <c r="AB52" s="389"/>
      <c r="AC52" s="234"/>
      <c r="AD52" s="234"/>
      <c r="AE52" s="234"/>
      <c r="AF52" s="234"/>
      <c r="AG52" s="234"/>
      <c r="AH52" s="234"/>
      <c r="AI52" s="234"/>
      <c r="AJ52" s="234"/>
      <c r="AK52" s="234"/>
      <c r="AL52" s="234"/>
      <c r="AM52" s="234"/>
      <c r="AN52" s="234"/>
      <c r="AO52" s="234"/>
      <c r="AP52" s="234"/>
      <c r="AQ52" s="234"/>
      <c r="AR52" s="234"/>
      <c r="AS52" s="234"/>
      <c r="AT52" s="234"/>
      <c r="AU52" s="234"/>
      <c r="AV52" s="234"/>
      <c r="AW52" s="234"/>
      <c r="AX52" s="234"/>
      <c r="AY52" s="234"/>
      <c r="AZ52" s="234"/>
      <c r="BA52" s="234"/>
      <c r="BB52" s="234"/>
      <c r="BC52" s="234"/>
      <c r="BD52" s="234"/>
      <c r="BE52" s="234"/>
      <c r="BF52" s="234"/>
      <c r="BG52" s="234"/>
      <c r="BH52" s="234"/>
      <c r="BI52" s="234"/>
      <c r="BJ52" s="491"/>
      <c r="BK52" s="491"/>
      <c r="BL52" s="234"/>
      <c r="BM52" s="234"/>
      <c r="BN52" s="234"/>
      <c r="BO52" s="234"/>
      <c r="BP52" s="234"/>
      <c r="BQ52" s="234"/>
      <c r="BR52" s="491"/>
      <c r="BS52" s="491"/>
      <c r="BT52" s="491"/>
      <c r="BU52" s="491"/>
      <c r="BV52" s="491"/>
      <c r="BW52" s="491"/>
      <c r="BX52" s="491"/>
      <c r="BY52" s="234"/>
      <c r="BZ52" s="496"/>
      <c r="CA52" s="497"/>
      <c r="CB52" s="239"/>
      <c r="CC52" s="60"/>
      <c r="CD52" s="57"/>
      <c r="CE52" s="292"/>
      <c r="CF52" s="292"/>
      <c r="CG52" s="60"/>
    </row>
    <row r="53" spans="1:1873" s="178" customFormat="1" x14ac:dyDescent="0.2">
      <c r="A53" s="231" t="s">
        <v>617</v>
      </c>
      <c r="B53" s="231" t="s">
        <v>618</v>
      </c>
      <c r="C53" s="231" t="s">
        <v>18</v>
      </c>
      <c r="D53" s="231" t="s">
        <v>633</v>
      </c>
      <c r="E53" s="232" t="s">
        <v>634</v>
      </c>
      <c r="F53" s="508">
        <v>1</v>
      </c>
      <c r="G53" s="231">
        <v>3</v>
      </c>
      <c r="H53" s="508">
        <v>4</v>
      </c>
      <c r="I53" s="231" t="s">
        <v>621</v>
      </c>
      <c r="J53" s="231">
        <v>1990</v>
      </c>
      <c r="K53" s="234" t="s">
        <v>957</v>
      </c>
      <c r="L53" s="231">
        <v>1993</v>
      </c>
      <c r="M53" s="235">
        <v>-9999</v>
      </c>
      <c r="N53" s="231">
        <v>-9999</v>
      </c>
      <c r="O53" s="18"/>
      <c r="P53" s="235">
        <v>-9999</v>
      </c>
      <c r="Q53" s="231">
        <v>-9999</v>
      </c>
      <c r="R53" s="235"/>
      <c r="S53" s="231"/>
      <c r="T53" s="235">
        <v>27.5</v>
      </c>
      <c r="U53" s="235">
        <v>1.8</v>
      </c>
      <c r="V53" s="235"/>
      <c r="W53" s="235">
        <v>-9999</v>
      </c>
      <c r="X53" s="231">
        <v>-9999</v>
      </c>
      <c r="Y53" s="231"/>
      <c r="Z53" s="231" t="s">
        <v>636</v>
      </c>
      <c r="AA53" s="489">
        <v>37037</v>
      </c>
      <c r="AB53" s="235">
        <v>-9999</v>
      </c>
      <c r="AC53" s="231">
        <v>-9999</v>
      </c>
      <c r="AD53" s="231">
        <v>36</v>
      </c>
      <c r="AE53" s="231">
        <v>-9999</v>
      </c>
      <c r="AF53" s="231">
        <v>3</v>
      </c>
      <c r="AG53" s="231">
        <v>-9999</v>
      </c>
      <c r="AH53" s="231" t="s">
        <v>623</v>
      </c>
      <c r="AI53" s="231" t="s">
        <v>624</v>
      </c>
      <c r="AJ53" s="231">
        <v>-9999</v>
      </c>
      <c r="AK53" s="231" t="s">
        <v>625</v>
      </c>
      <c r="AL53" s="231">
        <v>-9999</v>
      </c>
      <c r="AM53" s="231">
        <v>-9999</v>
      </c>
      <c r="AN53" s="231" t="s">
        <v>626</v>
      </c>
      <c r="AO53" s="231" t="s">
        <v>627</v>
      </c>
      <c r="AP53" s="231" t="s">
        <v>628</v>
      </c>
      <c r="AQ53" s="231" t="s">
        <v>626</v>
      </c>
      <c r="AR53" s="231">
        <f>224*G53</f>
        <v>672</v>
      </c>
      <c r="AS53" s="231" t="s">
        <v>691</v>
      </c>
      <c r="AT53" s="231" t="s">
        <v>743</v>
      </c>
      <c r="AU53" s="231">
        <v>224</v>
      </c>
      <c r="AV53" s="231" t="s">
        <v>218</v>
      </c>
      <c r="AW53" s="231" t="s">
        <v>592</v>
      </c>
      <c r="AX53" s="231">
        <v>224</v>
      </c>
      <c r="AY53" s="231" t="s">
        <v>219</v>
      </c>
      <c r="AZ53" s="231" t="s">
        <v>220</v>
      </c>
      <c r="BA53" s="231">
        <v>-9999</v>
      </c>
      <c r="BB53" s="231">
        <v>-9999</v>
      </c>
      <c r="BC53" s="231">
        <v>-9999</v>
      </c>
      <c r="BD53" s="231">
        <v>-9999</v>
      </c>
      <c r="BE53" s="231">
        <v>-9999</v>
      </c>
      <c r="BF53" s="231">
        <v>-9999</v>
      </c>
      <c r="BG53" s="231">
        <v>-9999</v>
      </c>
      <c r="BH53" s="231">
        <v>-9999</v>
      </c>
      <c r="BI53" s="231" t="s">
        <v>649</v>
      </c>
      <c r="BJ53" s="233">
        <v>-9999</v>
      </c>
      <c r="BK53" s="233">
        <v>-9999</v>
      </c>
      <c r="BL53" s="231">
        <v>-9999</v>
      </c>
      <c r="BM53" s="231">
        <v>-9999</v>
      </c>
      <c r="BN53" s="231">
        <v>-9999</v>
      </c>
      <c r="BO53" s="231">
        <v>-9999</v>
      </c>
      <c r="BP53" s="231">
        <v>-9999</v>
      </c>
      <c r="BQ53" s="231">
        <v>-9999</v>
      </c>
      <c r="BR53" s="233">
        <v>-9999</v>
      </c>
      <c r="BS53" s="491">
        <v>-9999</v>
      </c>
      <c r="BT53" s="233">
        <v>-9999</v>
      </c>
      <c r="BU53" s="233">
        <v>-9999</v>
      </c>
      <c r="BV53" s="233">
        <v>-9999</v>
      </c>
      <c r="BW53" s="233"/>
      <c r="BX53" s="233">
        <v>-9999</v>
      </c>
      <c r="BY53" s="231">
        <v>-9999</v>
      </c>
      <c r="BZ53" s="238">
        <v>-9999</v>
      </c>
      <c r="CA53" s="490" t="s">
        <v>834</v>
      </c>
      <c r="CB53" s="239" t="s">
        <v>1434</v>
      </c>
      <c r="CC53" s="176">
        <v>1</v>
      </c>
      <c r="CD53" s="174">
        <v>3</v>
      </c>
      <c r="CE53" s="393">
        <v>27.5</v>
      </c>
      <c r="CF53" s="99">
        <v>-9999</v>
      </c>
      <c r="CG53" s="176">
        <v>4</v>
      </c>
      <c r="CH53" s="436" t="s">
        <v>1757</v>
      </c>
      <c r="CI53" s="13"/>
      <c r="CJ53" s="13"/>
      <c r="CK53" s="13"/>
      <c r="CL53" s="13"/>
      <c r="CM53" s="13"/>
      <c r="CN53" s="13"/>
      <c r="CO53" s="13"/>
      <c r="CP53" s="13"/>
      <c r="CQ53" s="13"/>
      <c r="CR53" s="13"/>
      <c r="CS53" s="13"/>
      <c r="CT53" s="13"/>
      <c r="CU53" s="13"/>
      <c r="CV53" s="13"/>
      <c r="CW53" s="13"/>
      <c r="CX53" s="13"/>
      <c r="CY53" s="13"/>
      <c r="CZ53" s="13"/>
      <c r="DA53" s="13"/>
      <c r="DB53" s="13"/>
      <c r="DC53" s="13"/>
      <c r="DD53" s="13"/>
      <c r="DE53" s="13"/>
      <c r="DF53" s="13"/>
      <c r="DG53" s="13"/>
      <c r="DH53" s="13"/>
      <c r="DI53" s="13"/>
      <c r="DJ53" s="13"/>
      <c r="DK53" s="13"/>
      <c r="DL53" s="13"/>
      <c r="DM53" s="13"/>
      <c r="DN53" s="13"/>
      <c r="DO53" s="13"/>
      <c r="DP53" s="13"/>
      <c r="DQ53" s="13"/>
      <c r="DR53" s="13"/>
      <c r="DS53" s="13"/>
      <c r="DT53" s="13"/>
      <c r="DU53" s="13"/>
      <c r="DV53" s="13"/>
      <c r="DW53" s="13"/>
      <c r="DX53" s="13"/>
      <c r="DY53" s="13"/>
      <c r="DZ53" s="13"/>
      <c r="EA53" s="13"/>
      <c r="EB53" s="13"/>
      <c r="EC53" s="13"/>
      <c r="ED53" s="13"/>
      <c r="EE53" s="13"/>
      <c r="EF53" s="13"/>
      <c r="EG53" s="13"/>
      <c r="EH53" s="13"/>
      <c r="EI53" s="13"/>
      <c r="EJ53" s="13"/>
      <c r="EK53" s="13"/>
      <c r="EL53" s="13"/>
      <c r="EM53" s="13"/>
      <c r="EN53" s="13"/>
      <c r="EO53" s="13"/>
      <c r="EP53" s="13"/>
      <c r="EQ53" s="13"/>
      <c r="ER53" s="13"/>
      <c r="ES53" s="13"/>
      <c r="ET53" s="13"/>
      <c r="EU53" s="13"/>
      <c r="EV53" s="13"/>
      <c r="EW53" s="13"/>
      <c r="EX53" s="13"/>
      <c r="EY53" s="13"/>
      <c r="EZ53" s="13"/>
      <c r="FA53" s="13"/>
      <c r="FB53" s="13"/>
      <c r="FC53" s="13"/>
      <c r="FD53" s="13"/>
      <c r="FE53" s="13"/>
      <c r="FF53" s="13"/>
      <c r="FG53" s="13"/>
      <c r="FH53" s="13"/>
      <c r="FI53" s="13"/>
      <c r="FJ53" s="13"/>
      <c r="FK53" s="13"/>
      <c r="FL53" s="13"/>
      <c r="FM53" s="13"/>
      <c r="FN53" s="13"/>
      <c r="FO53" s="13"/>
      <c r="FP53" s="13"/>
      <c r="FQ53" s="13"/>
      <c r="FR53" s="13"/>
      <c r="FS53" s="13"/>
      <c r="FT53" s="13"/>
      <c r="FU53" s="13"/>
      <c r="FV53" s="13"/>
      <c r="FW53" s="13"/>
      <c r="FX53" s="13"/>
      <c r="FY53" s="13"/>
      <c r="FZ53" s="13"/>
      <c r="GA53" s="13"/>
      <c r="GB53" s="13"/>
      <c r="GC53" s="13"/>
      <c r="GD53" s="13"/>
      <c r="GE53" s="13"/>
      <c r="GF53" s="13"/>
      <c r="GG53" s="13"/>
      <c r="GH53" s="13"/>
      <c r="GI53" s="13"/>
      <c r="GJ53" s="13"/>
      <c r="GK53" s="13"/>
      <c r="GL53" s="13"/>
      <c r="GM53" s="13"/>
      <c r="GN53" s="13"/>
      <c r="GO53" s="13"/>
      <c r="GP53" s="13"/>
      <c r="GQ53" s="13"/>
      <c r="GR53" s="13"/>
      <c r="GS53" s="13"/>
      <c r="GT53" s="13"/>
      <c r="GU53" s="13"/>
      <c r="GV53" s="13"/>
      <c r="GW53" s="13"/>
      <c r="GX53" s="13"/>
      <c r="GY53" s="13"/>
      <c r="GZ53" s="13"/>
      <c r="HA53" s="13"/>
      <c r="HB53" s="13"/>
      <c r="HC53" s="13"/>
      <c r="HD53" s="13"/>
      <c r="HE53" s="13"/>
      <c r="HF53" s="13"/>
      <c r="HG53" s="13"/>
      <c r="HH53" s="13"/>
      <c r="HI53" s="13"/>
      <c r="HJ53" s="13"/>
      <c r="HK53" s="13"/>
      <c r="HL53" s="13"/>
      <c r="HM53" s="13"/>
      <c r="HN53" s="13"/>
      <c r="HO53" s="13"/>
      <c r="HP53" s="13"/>
      <c r="HQ53" s="13"/>
      <c r="HR53" s="13"/>
      <c r="HS53" s="13"/>
      <c r="HT53" s="13"/>
      <c r="HU53" s="13"/>
      <c r="HV53" s="13"/>
      <c r="HW53" s="13"/>
      <c r="HX53" s="13"/>
      <c r="HY53" s="13"/>
      <c r="HZ53" s="13"/>
      <c r="IA53" s="13"/>
      <c r="IB53" s="13"/>
      <c r="IC53" s="13"/>
      <c r="ID53" s="13"/>
      <c r="IE53" s="13"/>
      <c r="IF53" s="13"/>
      <c r="IG53" s="13"/>
      <c r="IH53" s="13"/>
      <c r="II53" s="13"/>
      <c r="IJ53" s="13"/>
      <c r="IK53" s="13"/>
      <c r="IL53" s="13"/>
      <c r="IM53" s="13"/>
      <c r="IN53" s="13"/>
      <c r="IO53" s="13"/>
      <c r="IP53" s="13"/>
      <c r="IQ53" s="13"/>
      <c r="IR53" s="13"/>
      <c r="IS53" s="13"/>
      <c r="IT53" s="13"/>
      <c r="IU53" s="13"/>
      <c r="IV53" s="13"/>
      <c r="IW53" s="13"/>
      <c r="IX53" s="13"/>
      <c r="IY53" s="13"/>
      <c r="IZ53" s="13"/>
      <c r="JA53" s="13"/>
      <c r="JB53" s="13"/>
      <c r="JC53" s="13"/>
      <c r="JD53" s="13"/>
      <c r="JE53" s="13"/>
      <c r="JF53" s="13"/>
      <c r="JG53" s="13"/>
      <c r="JH53" s="13"/>
      <c r="JI53" s="13"/>
      <c r="JJ53" s="13"/>
      <c r="JK53" s="13"/>
      <c r="JL53" s="13"/>
      <c r="JM53" s="13"/>
      <c r="JN53" s="13"/>
      <c r="JO53" s="13"/>
      <c r="JP53" s="13"/>
      <c r="JQ53" s="13"/>
      <c r="JR53" s="13"/>
      <c r="JS53" s="13"/>
      <c r="JT53" s="13"/>
      <c r="JU53" s="13"/>
      <c r="JV53" s="13"/>
      <c r="JW53" s="13"/>
      <c r="JX53" s="13"/>
      <c r="JY53" s="13"/>
      <c r="JZ53" s="13"/>
      <c r="KA53" s="13"/>
      <c r="KB53" s="13"/>
      <c r="KC53" s="13"/>
      <c r="KD53" s="13"/>
      <c r="KE53" s="13"/>
      <c r="KF53" s="13"/>
      <c r="KG53" s="13"/>
      <c r="KH53" s="13"/>
      <c r="KI53" s="13"/>
      <c r="KJ53" s="13"/>
      <c r="KK53" s="13"/>
      <c r="KL53" s="13"/>
      <c r="KM53" s="13"/>
      <c r="KN53" s="13"/>
      <c r="KO53" s="13"/>
      <c r="KP53" s="13"/>
      <c r="KQ53" s="13"/>
      <c r="KR53" s="13"/>
      <c r="KS53" s="13"/>
      <c r="KT53" s="13"/>
      <c r="KU53" s="13"/>
      <c r="KV53" s="13"/>
      <c r="KW53" s="13"/>
      <c r="KX53" s="13"/>
      <c r="KY53" s="13"/>
      <c r="KZ53" s="13"/>
      <c r="LA53" s="13"/>
      <c r="LB53" s="13"/>
      <c r="LC53" s="13"/>
      <c r="LD53" s="13"/>
      <c r="LE53" s="13"/>
      <c r="LF53" s="13"/>
      <c r="LG53" s="13"/>
      <c r="LH53" s="13"/>
      <c r="LI53" s="13"/>
      <c r="LJ53" s="13"/>
      <c r="LK53" s="13"/>
      <c r="LL53" s="13"/>
      <c r="LM53" s="13"/>
      <c r="LN53" s="13"/>
      <c r="LO53" s="13"/>
      <c r="LP53" s="13"/>
      <c r="LQ53" s="13"/>
      <c r="LR53" s="13"/>
      <c r="LS53" s="13"/>
      <c r="LT53" s="13"/>
      <c r="LU53" s="13"/>
      <c r="LV53" s="13"/>
      <c r="LW53" s="13"/>
      <c r="LX53" s="13"/>
      <c r="LY53" s="13"/>
      <c r="LZ53" s="13"/>
      <c r="MA53" s="13"/>
      <c r="MB53" s="13"/>
      <c r="MC53" s="13"/>
      <c r="MD53" s="13"/>
      <c r="ME53" s="13"/>
      <c r="MF53" s="13"/>
      <c r="MG53" s="13"/>
      <c r="MH53" s="13"/>
      <c r="MI53" s="13"/>
      <c r="MJ53" s="13"/>
      <c r="MK53" s="13"/>
      <c r="ML53" s="13"/>
      <c r="MM53" s="13"/>
      <c r="MN53" s="13"/>
      <c r="MO53" s="13"/>
      <c r="MP53" s="13"/>
      <c r="MQ53" s="13"/>
      <c r="MR53" s="13"/>
      <c r="MS53" s="13"/>
      <c r="MT53" s="13"/>
      <c r="MU53" s="13"/>
      <c r="MV53" s="13"/>
      <c r="MW53" s="13"/>
      <c r="MX53" s="13"/>
      <c r="MY53" s="13"/>
      <c r="MZ53" s="13"/>
      <c r="NA53" s="13"/>
      <c r="NB53" s="13"/>
      <c r="NC53" s="13"/>
      <c r="ND53" s="13"/>
      <c r="NE53" s="13"/>
      <c r="NF53" s="13"/>
      <c r="NG53" s="13"/>
      <c r="NH53" s="13"/>
      <c r="NI53" s="13"/>
      <c r="NJ53" s="13"/>
      <c r="NK53" s="13"/>
      <c r="NL53" s="13"/>
      <c r="NM53" s="13"/>
      <c r="NN53" s="13"/>
      <c r="NO53" s="13"/>
      <c r="NP53" s="13"/>
      <c r="NQ53" s="13"/>
      <c r="NR53" s="13"/>
      <c r="NS53" s="13"/>
      <c r="NT53" s="13"/>
      <c r="NU53" s="13"/>
      <c r="NV53" s="13"/>
      <c r="NW53" s="13"/>
      <c r="NX53" s="13"/>
      <c r="NY53" s="13"/>
      <c r="NZ53" s="13"/>
      <c r="OA53" s="13"/>
      <c r="OB53" s="13"/>
      <c r="OC53" s="13"/>
      <c r="OD53" s="13"/>
      <c r="OE53" s="13"/>
      <c r="OF53" s="13"/>
      <c r="OG53" s="13"/>
      <c r="OH53" s="13"/>
      <c r="OI53" s="13"/>
      <c r="OJ53" s="13"/>
      <c r="OK53" s="13"/>
      <c r="OL53" s="13"/>
      <c r="OM53" s="13"/>
      <c r="ON53" s="13"/>
      <c r="OO53" s="13"/>
      <c r="OP53" s="13"/>
      <c r="OQ53" s="13"/>
      <c r="OR53" s="13"/>
      <c r="OS53" s="13"/>
      <c r="OT53" s="13"/>
      <c r="OU53" s="13"/>
      <c r="OV53" s="13"/>
      <c r="OW53" s="13"/>
      <c r="OX53" s="13"/>
      <c r="OY53" s="13"/>
      <c r="OZ53" s="13"/>
      <c r="PA53" s="13"/>
      <c r="PB53" s="13"/>
      <c r="PC53" s="13"/>
      <c r="PD53" s="13"/>
      <c r="PE53" s="13"/>
      <c r="PF53" s="13"/>
      <c r="PG53" s="13"/>
      <c r="PH53" s="13"/>
      <c r="PI53" s="13"/>
      <c r="PJ53" s="13"/>
      <c r="PK53" s="13"/>
      <c r="PL53" s="13"/>
      <c r="PM53" s="13"/>
      <c r="PN53" s="13"/>
      <c r="PO53" s="13"/>
      <c r="PP53" s="13"/>
      <c r="PQ53" s="13"/>
      <c r="PR53" s="13"/>
      <c r="PS53" s="13"/>
      <c r="PT53" s="13"/>
      <c r="PU53" s="13"/>
      <c r="PV53" s="13"/>
      <c r="PW53" s="13"/>
      <c r="PX53" s="13"/>
      <c r="PY53" s="13"/>
      <c r="PZ53" s="13"/>
      <c r="QA53" s="13"/>
      <c r="QB53" s="13"/>
      <c r="QC53" s="13"/>
      <c r="QD53" s="13"/>
      <c r="QE53" s="13"/>
      <c r="QF53" s="13"/>
      <c r="QG53" s="13"/>
      <c r="QH53" s="13"/>
      <c r="QI53" s="13"/>
      <c r="QJ53" s="13"/>
      <c r="QK53" s="13"/>
      <c r="QL53" s="13"/>
      <c r="QM53" s="13"/>
      <c r="QN53" s="13"/>
      <c r="QO53" s="13"/>
      <c r="QP53" s="13"/>
      <c r="QQ53" s="13"/>
      <c r="QR53" s="13"/>
      <c r="QS53" s="13"/>
      <c r="QT53" s="13"/>
      <c r="QU53" s="13"/>
      <c r="QV53" s="13"/>
      <c r="QW53" s="13"/>
      <c r="QX53" s="13"/>
      <c r="QY53" s="13"/>
      <c r="QZ53" s="13"/>
      <c r="RA53" s="13"/>
      <c r="RB53" s="13"/>
      <c r="RC53" s="13"/>
      <c r="RD53" s="13"/>
      <c r="RE53" s="13"/>
      <c r="RF53" s="13"/>
      <c r="RG53" s="13"/>
      <c r="RH53" s="13"/>
      <c r="RI53" s="13"/>
      <c r="RJ53" s="13"/>
      <c r="RK53" s="13"/>
      <c r="RL53" s="13"/>
      <c r="RM53" s="13"/>
      <c r="RN53" s="13"/>
      <c r="RO53" s="13"/>
      <c r="RP53" s="13"/>
      <c r="RQ53" s="13"/>
      <c r="RR53" s="13"/>
      <c r="RS53" s="13"/>
      <c r="RT53" s="13"/>
      <c r="RU53" s="13"/>
      <c r="RV53" s="13"/>
      <c r="RW53" s="13"/>
      <c r="RX53" s="13"/>
      <c r="RY53" s="13"/>
      <c r="RZ53" s="13"/>
      <c r="SA53" s="13"/>
      <c r="SB53" s="13"/>
      <c r="SC53" s="13"/>
      <c r="SD53" s="13"/>
      <c r="SE53" s="13"/>
      <c r="SF53" s="13"/>
      <c r="SG53" s="13"/>
      <c r="SH53" s="13"/>
      <c r="SI53" s="13"/>
      <c r="SJ53" s="13"/>
      <c r="SK53" s="13"/>
      <c r="SL53" s="13"/>
      <c r="SM53" s="13"/>
      <c r="SN53" s="13"/>
      <c r="SO53" s="13"/>
      <c r="SP53" s="13"/>
      <c r="SQ53" s="13"/>
      <c r="SR53" s="13"/>
      <c r="SS53" s="13"/>
      <c r="ST53" s="13"/>
      <c r="SU53" s="13"/>
      <c r="SV53" s="13"/>
      <c r="SW53" s="13"/>
      <c r="SX53" s="13"/>
      <c r="SY53" s="13"/>
      <c r="SZ53" s="13"/>
      <c r="TA53" s="13"/>
      <c r="TB53" s="13"/>
      <c r="TC53" s="13"/>
      <c r="TD53" s="13"/>
      <c r="TE53" s="13"/>
      <c r="TF53" s="13"/>
      <c r="TG53" s="13"/>
      <c r="TH53" s="13"/>
      <c r="TI53" s="13"/>
      <c r="TJ53" s="13"/>
      <c r="TK53" s="13"/>
      <c r="TL53" s="13"/>
      <c r="TM53" s="13"/>
      <c r="TN53" s="13"/>
      <c r="TO53" s="13"/>
      <c r="TP53" s="13"/>
      <c r="TQ53" s="13"/>
      <c r="TR53" s="13"/>
      <c r="TS53" s="13"/>
      <c r="TT53" s="13"/>
      <c r="TU53" s="13"/>
      <c r="TV53" s="13"/>
      <c r="TW53" s="13"/>
      <c r="TX53" s="13"/>
      <c r="TY53" s="13"/>
      <c r="TZ53" s="13"/>
      <c r="UA53" s="13"/>
      <c r="UB53" s="13"/>
      <c r="UC53" s="13"/>
      <c r="UD53" s="13"/>
      <c r="UE53" s="13"/>
      <c r="UF53" s="13"/>
      <c r="UG53" s="13"/>
      <c r="UH53" s="13"/>
      <c r="UI53" s="13"/>
      <c r="UJ53" s="13"/>
      <c r="UK53" s="13"/>
      <c r="UL53" s="13"/>
      <c r="UM53" s="13"/>
      <c r="UN53" s="13"/>
      <c r="UO53" s="13"/>
      <c r="UP53" s="13"/>
      <c r="UQ53" s="13"/>
      <c r="UR53" s="13"/>
      <c r="US53" s="13"/>
      <c r="UT53" s="13"/>
      <c r="UU53" s="13"/>
      <c r="UV53" s="13"/>
      <c r="UW53" s="13"/>
      <c r="UX53" s="13"/>
      <c r="UY53" s="13"/>
      <c r="UZ53" s="13"/>
      <c r="VA53" s="13"/>
      <c r="VB53" s="13"/>
      <c r="VC53" s="13"/>
      <c r="VD53" s="13"/>
      <c r="VE53" s="13"/>
      <c r="VF53" s="13"/>
      <c r="VG53" s="13"/>
      <c r="VH53" s="13"/>
      <c r="VI53" s="13"/>
      <c r="VJ53" s="13"/>
      <c r="VK53" s="13"/>
      <c r="VL53" s="13"/>
      <c r="VM53" s="13"/>
      <c r="VN53" s="13"/>
      <c r="VO53" s="13"/>
      <c r="VP53" s="13"/>
      <c r="VQ53" s="13"/>
      <c r="VR53" s="13"/>
      <c r="VS53" s="13"/>
      <c r="VT53" s="13"/>
      <c r="VU53" s="13"/>
      <c r="VV53" s="13"/>
      <c r="VW53" s="13"/>
      <c r="VX53" s="13"/>
      <c r="VY53" s="13"/>
      <c r="VZ53" s="13"/>
      <c r="WA53" s="13"/>
      <c r="WB53" s="13"/>
      <c r="WC53" s="13"/>
      <c r="WD53" s="13"/>
      <c r="WE53" s="13"/>
      <c r="WF53" s="13"/>
      <c r="WG53" s="13"/>
      <c r="WH53" s="13"/>
      <c r="WI53" s="13"/>
      <c r="WJ53" s="13"/>
      <c r="WK53" s="13"/>
      <c r="WL53" s="13"/>
      <c r="WM53" s="13"/>
      <c r="WN53" s="13"/>
      <c r="WO53" s="13"/>
      <c r="WP53" s="13"/>
      <c r="WQ53" s="13"/>
      <c r="WR53" s="13"/>
      <c r="WS53" s="13"/>
      <c r="WT53" s="13"/>
      <c r="WU53" s="13"/>
      <c r="WV53" s="13"/>
      <c r="WW53" s="13"/>
      <c r="WX53" s="13"/>
      <c r="WY53" s="13"/>
      <c r="WZ53" s="13"/>
      <c r="XA53" s="13"/>
      <c r="XB53" s="13"/>
      <c r="XC53" s="13"/>
      <c r="XD53" s="13"/>
      <c r="XE53" s="13"/>
      <c r="XF53" s="13"/>
      <c r="XG53" s="13"/>
      <c r="XH53" s="13"/>
      <c r="XI53" s="13"/>
      <c r="XJ53" s="13"/>
      <c r="XK53" s="13"/>
      <c r="XL53" s="13"/>
      <c r="XM53" s="13"/>
      <c r="XN53" s="13"/>
      <c r="XO53" s="13"/>
      <c r="XP53" s="13"/>
      <c r="XQ53" s="13"/>
      <c r="XR53" s="13"/>
      <c r="XS53" s="13"/>
      <c r="XT53" s="13"/>
      <c r="XU53" s="13"/>
      <c r="XV53" s="13"/>
      <c r="XW53" s="13"/>
      <c r="XX53" s="13"/>
      <c r="XY53" s="13"/>
      <c r="XZ53" s="13"/>
      <c r="YA53" s="13"/>
      <c r="YB53" s="13"/>
      <c r="YC53" s="13"/>
      <c r="YD53" s="13"/>
      <c r="YE53" s="13"/>
      <c r="YF53" s="13"/>
      <c r="YG53" s="13"/>
      <c r="YH53" s="13"/>
      <c r="YI53" s="13"/>
      <c r="YJ53" s="13"/>
      <c r="YK53" s="13"/>
      <c r="YL53" s="13"/>
      <c r="YM53" s="13"/>
      <c r="YN53" s="13"/>
      <c r="YO53" s="13"/>
      <c r="YP53" s="13"/>
      <c r="YQ53" s="13"/>
      <c r="YR53" s="13"/>
      <c r="YS53" s="13"/>
      <c r="YT53" s="13"/>
      <c r="YU53" s="13"/>
      <c r="YV53" s="13"/>
      <c r="YW53" s="13"/>
      <c r="YX53" s="13"/>
      <c r="YY53" s="13"/>
      <c r="YZ53" s="13"/>
      <c r="ZA53" s="13"/>
      <c r="ZB53" s="13"/>
      <c r="ZC53" s="13"/>
      <c r="ZD53" s="13"/>
      <c r="ZE53" s="13"/>
      <c r="ZF53" s="13"/>
      <c r="ZG53" s="13"/>
      <c r="ZH53" s="13"/>
      <c r="ZI53" s="13"/>
      <c r="ZJ53" s="13"/>
      <c r="ZK53" s="13"/>
      <c r="ZL53" s="13"/>
      <c r="ZM53" s="13"/>
      <c r="ZN53" s="13"/>
      <c r="ZO53" s="13"/>
      <c r="ZP53" s="13"/>
      <c r="ZQ53" s="13"/>
      <c r="ZR53" s="13"/>
      <c r="ZS53" s="13"/>
      <c r="ZT53" s="13"/>
      <c r="ZU53" s="13"/>
      <c r="ZV53" s="13"/>
      <c r="ZW53" s="13"/>
      <c r="ZX53" s="13"/>
      <c r="ZY53" s="13"/>
      <c r="ZZ53" s="13"/>
      <c r="AAA53" s="13"/>
      <c r="AAB53" s="13"/>
      <c r="AAC53" s="13"/>
      <c r="AAD53" s="13"/>
      <c r="AAE53" s="13"/>
      <c r="AAF53" s="13"/>
      <c r="AAG53" s="13"/>
      <c r="AAH53" s="13"/>
      <c r="AAI53" s="13"/>
      <c r="AAJ53" s="13"/>
      <c r="AAK53" s="13"/>
      <c r="AAL53" s="13"/>
      <c r="AAM53" s="13"/>
      <c r="AAN53" s="13"/>
      <c r="AAO53" s="13"/>
      <c r="AAP53" s="13"/>
      <c r="AAQ53" s="13"/>
      <c r="AAR53" s="13"/>
      <c r="AAS53" s="13"/>
      <c r="AAT53" s="13"/>
      <c r="AAU53" s="13"/>
      <c r="AAV53" s="13"/>
      <c r="AAW53" s="13"/>
      <c r="AAX53" s="13"/>
      <c r="AAY53" s="13"/>
      <c r="AAZ53" s="13"/>
      <c r="ABA53" s="13"/>
      <c r="ABB53" s="13"/>
      <c r="ABC53" s="13"/>
      <c r="ABD53" s="13"/>
      <c r="ABE53" s="13"/>
      <c r="ABF53" s="13"/>
      <c r="ABG53" s="13"/>
      <c r="ABH53" s="13"/>
      <c r="ABI53" s="13"/>
      <c r="ABJ53" s="13"/>
      <c r="ABK53" s="13"/>
      <c r="ABL53" s="13"/>
      <c r="ABM53" s="13"/>
      <c r="ABN53" s="13"/>
      <c r="ABO53" s="13"/>
      <c r="ABP53" s="13"/>
      <c r="ABQ53" s="13"/>
      <c r="ABR53" s="13"/>
      <c r="ABS53" s="13"/>
      <c r="ABT53" s="13"/>
      <c r="ABU53" s="13"/>
      <c r="ABV53" s="13"/>
      <c r="ABW53" s="13"/>
      <c r="ABX53" s="13"/>
      <c r="ABY53" s="13"/>
      <c r="ABZ53" s="13"/>
      <c r="ACA53" s="13"/>
      <c r="ACB53" s="13"/>
      <c r="ACC53" s="13"/>
      <c r="ACD53" s="13"/>
      <c r="ACE53" s="13"/>
      <c r="ACF53" s="13"/>
      <c r="ACG53" s="13"/>
      <c r="ACH53" s="13"/>
      <c r="ACI53" s="13"/>
      <c r="ACJ53" s="13"/>
      <c r="ACK53" s="13"/>
      <c r="ACL53" s="13"/>
      <c r="ACM53" s="13"/>
      <c r="ACN53" s="13"/>
      <c r="ACO53" s="13"/>
      <c r="ACP53" s="13"/>
      <c r="ACQ53" s="13"/>
      <c r="ACR53" s="13"/>
      <c r="ACS53" s="13"/>
      <c r="ACT53" s="13"/>
      <c r="ACU53" s="13"/>
      <c r="ACV53" s="13"/>
      <c r="ACW53" s="13"/>
      <c r="ACX53" s="13"/>
      <c r="ACY53" s="13"/>
      <c r="ACZ53" s="13"/>
      <c r="ADA53" s="13"/>
      <c r="ADB53" s="13"/>
      <c r="ADC53" s="13"/>
      <c r="ADD53" s="13"/>
      <c r="ADE53" s="13"/>
      <c r="ADF53" s="13"/>
      <c r="ADG53" s="13"/>
      <c r="ADH53" s="13"/>
      <c r="ADI53" s="13"/>
      <c r="ADJ53" s="13"/>
      <c r="ADK53" s="13"/>
      <c r="ADL53" s="13"/>
      <c r="ADM53" s="13"/>
      <c r="ADN53" s="13"/>
      <c r="ADO53" s="13"/>
      <c r="ADP53" s="13"/>
      <c r="ADQ53" s="13"/>
      <c r="ADR53" s="13"/>
      <c r="ADS53" s="13"/>
      <c r="ADT53" s="13"/>
      <c r="ADU53" s="13"/>
      <c r="ADV53" s="13"/>
      <c r="ADW53" s="13"/>
      <c r="ADX53" s="13"/>
      <c r="ADY53" s="13"/>
      <c r="ADZ53" s="13"/>
      <c r="AEA53" s="13"/>
      <c r="AEB53" s="13"/>
      <c r="AEC53" s="13"/>
      <c r="AED53" s="13"/>
      <c r="AEE53" s="13"/>
      <c r="AEF53" s="13"/>
      <c r="AEG53" s="13"/>
      <c r="AEH53" s="13"/>
      <c r="AEI53" s="13"/>
      <c r="AEJ53" s="13"/>
      <c r="AEK53" s="13"/>
      <c r="AEL53" s="13"/>
      <c r="AEM53" s="13"/>
      <c r="AEN53" s="13"/>
      <c r="AEO53" s="13"/>
      <c r="AEP53" s="13"/>
      <c r="AEQ53" s="13"/>
      <c r="AER53" s="13"/>
      <c r="AES53" s="13"/>
      <c r="AET53" s="13"/>
      <c r="AEU53" s="13"/>
      <c r="AEV53" s="13"/>
      <c r="AEW53" s="13"/>
      <c r="AEX53" s="13"/>
      <c r="AEY53" s="13"/>
      <c r="AEZ53" s="13"/>
      <c r="AFA53" s="13"/>
      <c r="AFB53" s="13"/>
      <c r="AFC53" s="13"/>
      <c r="AFD53" s="13"/>
      <c r="AFE53" s="13"/>
      <c r="AFF53" s="13"/>
      <c r="AFG53" s="13"/>
      <c r="AFH53" s="13"/>
      <c r="AFI53" s="13"/>
      <c r="AFJ53" s="13"/>
      <c r="AFK53" s="13"/>
      <c r="AFL53" s="13"/>
      <c r="AFM53" s="13"/>
      <c r="AFN53" s="13"/>
      <c r="AFO53" s="13"/>
      <c r="AFP53" s="13"/>
      <c r="AFQ53" s="13"/>
      <c r="AFR53" s="13"/>
      <c r="AFS53" s="13"/>
      <c r="AFT53" s="13"/>
      <c r="AFU53" s="13"/>
      <c r="AFV53" s="13"/>
      <c r="AFW53" s="13"/>
      <c r="AFX53" s="13"/>
      <c r="AFY53" s="13"/>
      <c r="AFZ53" s="13"/>
      <c r="AGA53" s="13"/>
      <c r="AGB53" s="13"/>
      <c r="AGC53" s="13"/>
      <c r="AGD53" s="13"/>
      <c r="AGE53" s="13"/>
      <c r="AGF53" s="13"/>
      <c r="AGG53" s="13"/>
      <c r="AGH53" s="13"/>
      <c r="AGI53" s="13"/>
      <c r="AGJ53" s="13"/>
      <c r="AGK53" s="13"/>
      <c r="AGL53" s="13"/>
      <c r="AGM53" s="13"/>
      <c r="AGN53" s="13"/>
      <c r="AGO53" s="13"/>
      <c r="AGP53" s="13"/>
      <c r="AGQ53" s="13"/>
      <c r="AGR53" s="13"/>
      <c r="AGS53" s="13"/>
      <c r="AGT53" s="13"/>
      <c r="AGU53" s="13"/>
      <c r="AGV53" s="13"/>
      <c r="AGW53" s="13"/>
      <c r="AGX53" s="13"/>
      <c r="AGY53" s="13"/>
      <c r="AGZ53" s="13"/>
      <c r="AHA53" s="13"/>
      <c r="AHB53" s="13"/>
      <c r="AHC53" s="13"/>
      <c r="AHD53" s="13"/>
      <c r="AHE53" s="13"/>
      <c r="AHF53" s="13"/>
      <c r="AHG53" s="13"/>
      <c r="AHH53" s="13"/>
      <c r="AHI53" s="13"/>
      <c r="AHJ53" s="13"/>
      <c r="AHK53" s="13"/>
      <c r="AHL53" s="13"/>
      <c r="AHM53" s="13"/>
      <c r="AHN53" s="13"/>
      <c r="AHO53" s="13"/>
      <c r="AHP53" s="13"/>
      <c r="AHQ53" s="13"/>
      <c r="AHR53" s="13"/>
      <c r="AHS53" s="13"/>
      <c r="AHT53" s="13"/>
      <c r="AHU53" s="13"/>
      <c r="AHV53" s="13"/>
      <c r="AHW53" s="13"/>
      <c r="AHX53" s="13"/>
      <c r="AHY53" s="13"/>
      <c r="AHZ53" s="13"/>
      <c r="AIA53" s="13"/>
      <c r="AIB53" s="13"/>
      <c r="AIC53" s="13"/>
      <c r="AID53" s="13"/>
      <c r="AIE53" s="13"/>
      <c r="AIF53" s="13"/>
      <c r="AIG53" s="13"/>
      <c r="AIH53" s="13"/>
      <c r="AII53" s="13"/>
      <c r="AIJ53" s="13"/>
      <c r="AIK53" s="13"/>
      <c r="AIL53" s="13"/>
      <c r="AIM53" s="13"/>
      <c r="AIN53" s="13"/>
      <c r="AIO53" s="13"/>
      <c r="AIP53" s="13"/>
      <c r="AIQ53" s="13"/>
      <c r="AIR53" s="13"/>
      <c r="AIS53" s="13"/>
      <c r="AIT53" s="13"/>
      <c r="AIU53" s="13"/>
      <c r="AIV53" s="13"/>
      <c r="AIW53" s="13"/>
      <c r="AIX53" s="13"/>
      <c r="AIY53" s="13"/>
      <c r="AIZ53" s="13"/>
      <c r="AJA53" s="13"/>
      <c r="AJB53" s="13"/>
      <c r="AJC53" s="13"/>
      <c r="AJD53" s="13"/>
      <c r="AJE53" s="13"/>
      <c r="AJF53" s="13"/>
      <c r="AJG53" s="13"/>
      <c r="AJH53" s="13"/>
      <c r="AJI53" s="13"/>
      <c r="AJJ53" s="13"/>
      <c r="AJK53" s="13"/>
      <c r="AJL53" s="13"/>
      <c r="AJM53" s="13"/>
      <c r="AJN53" s="13"/>
      <c r="AJO53" s="13"/>
      <c r="AJP53" s="13"/>
      <c r="AJQ53" s="13"/>
      <c r="AJR53" s="13"/>
      <c r="AJS53" s="13"/>
      <c r="AJT53" s="13"/>
      <c r="AJU53" s="13"/>
      <c r="AJV53" s="13"/>
      <c r="AJW53" s="13"/>
      <c r="AJX53" s="13"/>
      <c r="AJY53" s="13"/>
      <c r="AJZ53" s="13"/>
      <c r="AKA53" s="13"/>
      <c r="AKB53" s="13"/>
      <c r="AKC53" s="13"/>
      <c r="AKD53" s="13"/>
      <c r="AKE53" s="13"/>
      <c r="AKF53" s="13"/>
      <c r="AKG53" s="13"/>
      <c r="AKH53" s="13"/>
      <c r="AKI53" s="13"/>
      <c r="AKJ53" s="13"/>
      <c r="AKK53" s="13"/>
      <c r="AKL53" s="13"/>
      <c r="AKM53" s="13"/>
      <c r="AKN53" s="13"/>
      <c r="AKO53" s="13"/>
      <c r="AKP53" s="13"/>
      <c r="AKQ53" s="13"/>
      <c r="AKR53" s="13"/>
      <c r="AKS53" s="13"/>
      <c r="AKT53" s="13"/>
      <c r="AKU53" s="13"/>
      <c r="AKV53" s="13"/>
      <c r="AKW53" s="13"/>
      <c r="AKX53" s="13"/>
      <c r="AKY53" s="13"/>
      <c r="AKZ53" s="13"/>
      <c r="ALA53" s="13"/>
      <c r="ALB53" s="13"/>
      <c r="ALC53" s="13"/>
      <c r="ALD53" s="13"/>
      <c r="ALE53" s="13"/>
      <c r="ALF53" s="13"/>
      <c r="ALG53" s="13"/>
      <c r="ALH53" s="13"/>
      <c r="ALI53" s="13"/>
      <c r="ALJ53" s="13"/>
      <c r="ALK53" s="13"/>
      <c r="ALL53" s="13"/>
      <c r="ALM53" s="13"/>
      <c r="ALN53" s="13"/>
      <c r="ALO53" s="13"/>
      <c r="ALP53" s="13"/>
      <c r="ALQ53" s="13"/>
      <c r="ALR53" s="13"/>
      <c r="ALS53" s="13"/>
      <c r="ALT53" s="13"/>
      <c r="ALU53" s="13"/>
      <c r="ALV53" s="13"/>
      <c r="ALW53" s="13"/>
      <c r="ALX53" s="13"/>
      <c r="ALY53" s="13"/>
      <c r="ALZ53" s="13"/>
      <c r="AMA53" s="13"/>
      <c r="AMB53" s="13"/>
      <c r="AMC53" s="13"/>
      <c r="AMD53" s="13"/>
      <c r="AME53" s="13"/>
      <c r="AMF53" s="13"/>
      <c r="AMG53" s="13"/>
      <c r="AMH53" s="13"/>
      <c r="AMI53" s="13"/>
      <c r="AMJ53" s="13"/>
      <c r="AMK53" s="13"/>
      <c r="AML53" s="13"/>
      <c r="AMM53" s="13"/>
      <c r="AMN53" s="13"/>
      <c r="AMO53" s="13"/>
      <c r="AMP53" s="13"/>
      <c r="AMQ53" s="13"/>
      <c r="AMR53" s="13"/>
      <c r="AMS53" s="13"/>
      <c r="AMT53" s="13"/>
      <c r="AMU53" s="13"/>
      <c r="AMV53" s="13"/>
      <c r="AMW53" s="13"/>
      <c r="AMX53" s="13"/>
      <c r="AMY53" s="13"/>
      <c r="AMZ53" s="13"/>
      <c r="ANA53" s="13"/>
      <c r="ANB53" s="13"/>
      <c r="ANC53" s="13"/>
      <c r="AND53" s="13"/>
      <c r="ANE53" s="13"/>
      <c r="ANF53" s="13"/>
      <c r="ANG53" s="13"/>
      <c r="ANH53" s="13"/>
      <c r="ANI53" s="13"/>
      <c r="ANJ53" s="13"/>
      <c r="ANK53" s="13"/>
      <c r="ANL53" s="13"/>
      <c r="ANM53" s="13"/>
      <c r="ANN53" s="13"/>
      <c r="ANO53" s="13"/>
      <c r="ANP53" s="13"/>
      <c r="ANQ53" s="13"/>
      <c r="ANR53" s="13"/>
      <c r="ANS53" s="13"/>
      <c r="ANT53" s="13"/>
      <c r="ANU53" s="13"/>
      <c r="ANV53" s="13"/>
      <c r="ANW53" s="13"/>
      <c r="ANX53" s="13"/>
      <c r="ANY53" s="13"/>
      <c r="ANZ53" s="13"/>
      <c r="AOA53" s="13"/>
      <c r="AOB53" s="13"/>
      <c r="AOC53" s="13"/>
      <c r="AOD53" s="13"/>
      <c r="AOE53" s="13"/>
      <c r="AOF53" s="13"/>
      <c r="AOG53" s="13"/>
      <c r="AOH53" s="13"/>
      <c r="AOI53" s="13"/>
      <c r="AOJ53" s="13"/>
      <c r="AOK53" s="13"/>
      <c r="AOL53" s="13"/>
      <c r="AOM53" s="13"/>
      <c r="AON53" s="13"/>
      <c r="AOO53" s="13"/>
      <c r="AOP53" s="13"/>
      <c r="AOQ53" s="13"/>
      <c r="AOR53" s="13"/>
      <c r="AOS53" s="13"/>
      <c r="AOT53" s="13"/>
      <c r="AOU53" s="13"/>
      <c r="AOV53" s="13"/>
      <c r="AOW53" s="13"/>
      <c r="AOX53" s="13"/>
      <c r="AOY53" s="13"/>
      <c r="AOZ53" s="13"/>
      <c r="APA53" s="13"/>
      <c r="APB53" s="13"/>
      <c r="APC53" s="13"/>
      <c r="APD53" s="13"/>
      <c r="APE53" s="13"/>
      <c r="APF53" s="13"/>
      <c r="APG53" s="13"/>
      <c r="APH53" s="13"/>
      <c r="API53" s="13"/>
      <c r="APJ53" s="13"/>
      <c r="APK53" s="13"/>
      <c r="APL53" s="13"/>
      <c r="APM53" s="13"/>
      <c r="APN53" s="13"/>
      <c r="APO53" s="13"/>
      <c r="APP53" s="13"/>
      <c r="APQ53" s="13"/>
      <c r="APR53" s="13"/>
      <c r="APS53" s="13"/>
      <c r="APT53" s="13"/>
      <c r="APU53" s="13"/>
      <c r="APV53" s="13"/>
      <c r="APW53" s="13"/>
      <c r="APX53" s="13"/>
      <c r="APY53" s="13"/>
      <c r="APZ53" s="13"/>
      <c r="AQA53" s="13"/>
      <c r="AQB53" s="13"/>
      <c r="AQC53" s="13"/>
      <c r="AQD53" s="13"/>
      <c r="AQE53" s="13"/>
      <c r="AQF53" s="13"/>
      <c r="AQG53" s="13"/>
      <c r="AQH53" s="13"/>
      <c r="AQI53" s="13"/>
      <c r="AQJ53" s="13"/>
      <c r="AQK53" s="13"/>
      <c r="AQL53" s="13"/>
      <c r="AQM53" s="13"/>
      <c r="AQN53" s="13"/>
      <c r="AQO53" s="13"/>
      <c r="AQP53" s="13"/>
      <c r="AQQ53" s="13"/>
      <c r="AQR53" s="13"/>
      <c r="AQS53" s="13"/>
      <c r="AQT53" s="13"/>
      <c r="AQU53" s="13"/>
      <c r="AQV53" s="13"/>
      <c r="AQW53" s="13"/>
      <c r="AQX53" s="13"/>
      <c r="AQY53" s="13"/>
      <c r="AQZ53" s="13"/>
      <c r="ARA53" s="13"/>
      <c r="ARB53" s="13"/>
      <c r="ARC53" s="13"/>
      <c r="ARD53" s="13"/>
      <c r="ARE53" s="13"/>
      <c r="ARF53" s="13"/>
      <c r="ARG53" s="13"/>
      <c r="ARH53" s="13"/>
      <c r="ARI53" s="13"/>
      <c r="ARJ53" s="13"/>
      <c r="ARK53" s="13"/>
      <c r="ARL53" s="13"/>
      <c r="ARM53" s="13"/>
      <c r="ARN53" s="13"/>
      <c r="ARO53" s="13"/>
      <c r="ARP53" s="13"/>
      <c r="ARQ53" s="13"/>
      <c r="ARR53" s="13"/>
      <c r="ARS53" s="13"/>
      <c r="ART53" s="13"/>
      <c r="ARU53" s="13"/>
      <c r="ARV53" s="13"/>
      <c r="ARW53" s="13"/>
      <c r="ARX53" s="13"/>
      <c r="ARY53" s="13"/>
      <c r="ARZ53" s="13"/>
      <c r="ASA53" s="13"/>
      <c r="ASB53" s="13"/>
      <c r="ASC53" s="13"/>
      <c r="ASD53" s="13"/>
      <c r="ASE53" s="13"/>
      <c r="ASF53" s="13"/>
      <c r="ASG53" s="13"/>
      <c r="ASH53" s="13"/>
      <c r="ASI53" s="13"/>
      <c r="ASJ53" s="13"/>
      <c r="ASK53" s="13"/>
      <c r="ASL53" s="13"/>
      <c r="ASM53" s="13"/>
      <c r="ASN53" s="13"/>
      <c r="ASO53" s="13"/>
      <c r="ASP53" s="13"/>
      <c r="ASQ53" s="13"/>
      <c r="ASR53" s="13"/>
      <c r="ASS53" s="13"/>
      <c r="AST53" s="13"/>
      <c r="ASU53" s="13"/>
      <c r="ASV53" s="13"/>
      <c r="ASW53" s="13"/>
      <c r="ASX53" s="13"/>
      <c r="ASY53" s="13"/>
      <c r="ASZ53" s="13"/>
      <c r="ATA53" s="13"/>
      <c r="ATB53" s="13"/>
      <c r="ATC53" s="13"/>
      <c r="ATD53" s="13"/>
      <c r="ATE53" s="13"/>
      <c r="ATF53" s="13"/>
      <c r="ATG53" s="13"/>
      <c r="ATH53" s="13"/>
      <c r="ATI53" s="13"/>
      <c r="ATJ53" s="13"/>
      <c r="ATK53" s="13"/>
      <c r="ATL53" s="13"/>
      <c r="ATM53" s="13"/>
      <c r="ATN53" s="13"/>
      <c r="ATO53" s="13"/>
      <c r="ATP53" s="13"/>
      <c r="ATQ53" s="13"/>
      <c r="ATR53" s="13"/>
      <c r="ATS53" s="13"/>
      <c r="ATT53" s="13"/>
      <c r="ATU53" s="13"/>
      <c r="ATV53" s="13"/>
      <c r="ATW53" s="13"/>
      <c r="ATX53" s="13"/>
      <c r="ATY53" s="13"/>
      <c r="ATZ53" s="13"/>
      <c r="AUA53" s="13"/>
      <c r="AUB53" s="13"/>
      <c r="AUC53" s="13"/>
      <c r="AUD53" s="13"/>
      <c r="AUE53" s="13"/>
      <c r="AUF53" s="13"/>
      <c r="AUG53" s="13"/>
      <c r="AUH53" s="13"/>
      <c r="AUI53" s="13"/>
      <c r="AUJ53" s="13"/>
      <c r="AUK53" s="13"/>
      <c r="AUL53" s="13"/>
      <c r="AUM53" s="13"/>
      <c r="AUN53" s="13"/>
      <c r="AUO53" s="13"/>
      <c r="AUP53" s="13"/>
      <c r="AUQ53" s="13"/>
      <c r="AUR53" s="13"/>
      <c r="AUS53" s="13"/>
      <c r="AUT53" s="13"/>
      <c r="AUU53" s="13"/>
      <c r="AUV53" s="13"/>
      <c r="AUW53" s="13"/>
      <c r="AUX53" s="13"/>
      <c r="AUY53" s="13"/>
      <c r="AUZ53" s="13"/>
      <c r="AVA53" s="13"/>
      <c r="AVB53" s="13"/>
      <c r="AVC53" s="13"/>
      <c r="AVD53" s="13"/>
      <c r="AVE53" s="13"/>
      <c r="AVF53" s="13"/>
      <c r="AVG53" s="13"/>
      <c r="AVH53" s="13"/>
      <c r="AVI53" s="13"/>
      <c r="AVJ53" s="13"/>
      <c r="AVK53" s="13"/>
      <c r="AVL53" s="13"/>
      <c r="AVM53" s="13"/>
      <c r="AVN53" s="13"/>
      <c r="AVO53" s="13"/>
      <c r="AVP53" s="13"/>
      <c r="AVQ53" s="13"/>
      <c r="AVR53" s="13"/>
      <c r="AVS53" s="13"/>
      <c r="AVT53" s="13"/>
      <c r="AVU53" s="13"/>
      <c r="AVV53" s="13"/>
      <c r="AVW53" s="13"/>
      <c r="AVX53" s="13"/>
      <c r="AVY53" s="13"/>
      <c r="AVZ53" s="13"/>
      <c r="AWA53" s="13"/>
      <c r="AWB53" s="13"/>
      <c r="AWC53" s="13"/>
      <c r="AWD53" s="13"/>
      <c r="AWE53" s="13"/>
      <c r="AWF53" s="13"/>
      <c r="AWG53" s="13"/>
      <c r="AWH53" s="13"/>
      <c r="AWI53" s="13"/>
      <c r="AWJ53" s="13"/>
      <c r="AWK53" s="13"/>
      <c r="AWL53" s="13"/>
      <c r="AWM53" s="13"/>
      <c r="AWN53" s="13"/>
      <c r="AWO53" s="13"/>
      <c r="AWP53" s="13"/>
      <c r="AWQ53" s="13"/>
      <c r="AWR53" s="13"/>
      <c r="AWS53" s="13"/>
      <c r="AWT53" s="13"/>
      <c r="AWU53" s="13"/>
      <c r="AWV53" s="13"/>
      <c r="AWW53" s="13"/>
      <c r="AWX53" s="13"/>
      <c r="AWY53" s="13"/>
      <c r="AWZ53" s="13"/>
      <c r="AXA53" s="13"/>
      <c r="AXB53" s="13"/>
      <c r="AXC53" s="13"/>
      <c r="AXD53" s="13"/>
      <c r="AXE53" s="13"/>
      <c r="AXF53" s="13"/>
      <c r="AXG53" s="13"/>
      <c r="AXH53" s="13"/>
      <c r="AXI53" s="13"/>
      <c r="AXJ53" s="13"/>
      <c r="AXK53" s="13"/>
      <c r="AXL53" s="13"/>
      <c r="AXM53" s="13"/>
      <c r="AXN53" s="13"/>
      <c r="AXO53" s="13"/>
      <c r="AXP53" s="13"/>
      <c r="AXQ53" s="13"/>
      <c r="AXR53" s="13"/>
      <c r="AXS53" s="13"/>
      <c r="AXT53" s="13"/>
      <c r="AXU53" s="13"/>
      <c r="AXV53" s="13"/>
      <c r="AXW53" s="13"/>
      <c r="AXX53" s="13"/>
      <c r="AXY53" s="13"/>
      <c r="AXZ53" s="13"/>
      <c r="AYA53" s="13"/>
      <c r="AYB53" s="13"/>
      <c r="AYC53" s="13"/>
      <c r="AYD53" s="13"/>
      <c r="AYE53" s="13"/>
      <c r="AYF53" s="13"/>
      <c r="AYG53" s="13"/>
      <c r="AYH53" s="13"/>
      <c r="AYI53" s="13"/>
      <c r="AYJ53" s="13"/>
      <c r="AYK53" s="13"/>
      <c r="AYL53" s="13"/>
      <c r="AYM53" s="13"/>
      <c r="AYN53" s="13"/>
      <c r="AYO53" s="13"/>
      <c r="AYP53" s="13"/>
      <c r="AYQ53" s="13"/>
      <c r="AYR53" s="13"/>
      <c r="AYS53" s="13"/>
      <c r="AYT53" s="13"/>
      <c r="AYU53" s="13"/>
      <c r="AYV53" s="13"/>
      <c r="AYW53" s="13"/>
      <c r="AYX53" s="13"/>
      <c r="AYY53" s="13"/>
      <c r="AYZ53" s="13"/>
      <c r="AZA53" s="13"/>
      <c r="AZB53" s="13"/>
      <c r="AZC53" s="13"/>
      <c r="AZD53" s="13"/>
      <c r="AZE53" s="13"/>
      <c r="AZF53" s="13"/>
      <c r="AZG53" s="13"/>
      <c r="AZH53" s="13"/>
      <c r="AZI53" s="13"/>
      <c r="AZJ53" s="13"/>
      <c r="AZK53" s="13"/>
      <c r="AZL53" s="13"/>
      <c r="AZM53" s="13"/>
      <c r="AZN53" s="13"/>
      <c r="AZO53" s="13"/>
      <c r="AZP53" s="13"/>
      <c r="AZQ53" s="13"/>
      <c r="AZR53" s="13"/>
      <c r="AZS53" s="13"/>
      <c r="AZT53" s="13"/>
      <c r="AZU53" s="13"/>
      <c r="AZV53" s="13"/>
      <c r="AZW53" s="13"/>
      <c r="AZX53" s="13"/>
      <c r="AZY53" s="13"/>
      <c r="AZZ53" s="13"/>
      <c r="BAA53" s="13"/>
      <c r="BAB53" s="13"/>
      <c r="BAC53" s="13"/>
      <c r="BAD53" s="13"/>
      <c r="BAE53" s="13"/>
      <c r="BAF53" s="13"/>
      <c r="BAG53" s="13"/>
      <c r="BAH53" s="13"/>
      <c r="BAI53" s="13"/>
      <c r="BAJ53" s="13"/>
      <c r="BAK53" s="13"/>
      <c r="BAL53" s="13"/>
      <c r="BAM53" s="13"/>
      <c r="BAN53" s="13"/>
      <c r="BAO53" s="13"/>
      <c r="BAP53" s="13"/>
      <c r="BAQ53" s="13"/>
      <c r="BAR53" s="13"/>
      <c r="BAS53" s="13"/>
      <c r="BAT53" s="13"/>
      <c r="BAU53" s="13"/>
      <c r="BAV53" s="13"/>
      <c r="BAW53" s="13"/>
      <c r="BAX53" s="13"/>
      <c r="BAY53" s="13"/>
      <c r="BAZ53" s="13"/>
      <c r="BBA53" s="13"/>
      <c r="BBB53" s="13"/>
      <c r="BBC53" s="13"/>
      <c r="BBD53" s="13"/>
      <c r="BBE53" s="13"/>
      <c r="BBF53" s="13"/>
      <c r="BBG53" s="13"/>
      <c r="BBH53" s="13"/>
      <c r="BBI53" s="13"/>
      <c r="BBJ53" s="13"/>
      <c r="BBK53" s="13"/>
      <c r="BBL53" s="13"/>
      <c r="BBM53" s="13"/>
      <c r="BBN53" s="13"/>
      <c r="BBO53" s="13"/>
      <c r="BBP53" s="13"/>
      <c r="BBQ53" s="13"/>
      <c r="BBR53" s="13"/>
      <c r="BBS53" s="13"/>
      <c r="BBT53" s="13"/>
      <c r="BBU53" s="13"/>
      <c r="BBV53" s="13"/>
      <c r="BBW53" s="13"/>
      <c r="BBX53" s="13"/>
      <c r="BBY53" s="13"/>
      <c r="BBZ53" s="13"/>
      <c r="BCA53" s="13"/>
      <c r="BCB53" s="13"/>
      <c r="BCC53" s="13"/>
      <c r="BCD53" s="13"/>
      <c r="BCE53" s="13"/>
      <c r="BCF53" s="13"/>
      <c r="BCG53" s="13"/>
      <c r="BCH53" s="13"/>
      <c r="BCI53" s="13"/>
      <c r="BCJ53" s="13"/>
      <c r="BCK53" s="13"/>
      <c r="BCL53" s="13"/>
      <c r="BCM53" s="13"/>
      <c r="BCN53" s="13"/>
      <c r="BCO53" s="13"/>
      <c r="BCP53" s="13"/>
      <c r="BCQ53" s="13"/>
      <c r="BCR53" s="13"/>
      <c r="BCS53" s="13"/>
      <c r="BCT53" s="13"/>
      <c r="BCU53" s="13"/>
      <c r="BCV53" s="13"/>
      <c r="BCW53" s="13"/>
      <c r="BCX53" s="13"/>
      <c r="BCY53" s="13"/>
      <c r="BCZ53" s="13"/>
      <c r="BDA53" s="13"/>
      <c r="BDB53" s="13"/>
      <c r="BDC53" s="13"/>
      <c r="BDD53" s="13"/>
      <c r="BDE53" s="13"/>
      <c r="BDF53" s="13"/>
      <c r="BDG53" s="13"/>
      <c r="BDH53" s="13"/>
      <c r="BDI53" s="13"/>
      <c r="BDJ53" s="13"/>
      <c r="BDK53" s="13"/>
      <c r="BDL53" s="13"/>
      <c r="BDM53" s="13"/>
      <c r="BDN53" s="13"/>
      <c r="BDO53" s="13"/>
      <c r="BDP53" s="13"/>
      <c r="BDQ53" s="13"/>
      <c r="BDR53" s="13"/>
      <c r="BDS53" s="13"/>
      <c r="BDT53" s="13"/>
      <c r="BDU53" s="13"/>
      <c r="BDV53" s="13"/>
      <c r="BDW53" s="13"/>
      <c r="BDX53" s="13"/>
      <c r="BDY53" s="13"/>
      <c r="BDZ53" s="13"/>
      <c r="BEA53" s="13"/>
      <c r="BEB53" s="13"/>
      <c r="BEC53" s="13"/>
      <c r="BED53" s="13"/>
      <c r="BEE53" s="13"/>
      <c r="BEF53" s="13"/>
      <c r="BEG53" s="13"/>
      <c r="BEH53" s="13"/>
      <c r="BEI53" s="13"/>
      <c r="BEJ53" s="13"/>
      <c r="BEK53" s="13"/>
      <c r="BEL53" s="13"/>
      <c r="BEM53" s="13"/>
      <c r="BEN53" s="13"/>
      <c r="BEO53" s="13"/>
      <c r="BEP53" s="13"/>
      <c r="BEQ53" s="13"/>
      <c r="BER53" s="13"/>
      <c r="BES53" s="13"/>
      <c r="BET53" s="13"/>
      <c r="BEU53" s="13"/>
      <c r="BEV53" s="13"/>
      <c r="BEW53" s="13"/>
      <c r="BEX53" s="13"/>
      <c r="BEY53" s="13"/>
      <c r="BEZ53" s="13"/>
      <c r="BFA53" s="13"/>
      <c r="BFB53" s="13"/>
      <c r="BFC53" s="13"/>
      <c r="BFD53" s="13"/>
      <c r="BFE53" s="13"/>
      <c r="BFF53" s="13"/>
      <c r="BFG53" s="13"/>
      <c r="BFH53" s="13"/>
      <c r="BFI53" s="13"/>
      <c r="BFJ53" s="13"/>
      <c r="BFK53" s="13"/>
      <c r="BFL53" s="13"/>
      <c r="BFM53" s="13"/>
      <c r="BFN53" s="13"/>
      <c r="BFO53" s="13"/>
      <c r="BFP53" s="13"/>
      <c r="BFQ53" s="13"/>
      <c r="BFR53" s="13"/>
      <c r="BFS53" s="13"/>
      <c r="BFT53" s="13"/>
      <c r="BFU53" s="13"/>
      <c r="BFV53" s="13"/>
      <c r="BFW53" s="13"/>
      <c r="BFX53" s="13"/>
      <c r="BFY53" s="13"/>
      <c r="BFZ53" s="13"/>
      <c r="BGA53" s="13"/>
      <c r="BGB53" s="13"/>
      <c r="BGC53" s="13"/>
      <c r="BGD53" s="13"/>
      <c r="BGE53" s="13"/>
      <c r="BGF53" s="13"/>
      <c r="BGG53" s="13"/>
      <c r="BGH53" s="13"/>
      <c r="BGI53" s="13"/>
      <c r="BGJ53" s="13"/>
      <c r="BGK53" s="13"/>
      <c r="BGL53" s="13"/>
      <c r="BGM53" s="13"/>
      <c r="BGN53" s="13"/>
      <c r="BGO53" s="13"/>
      <c r="BGP53" s="13"/>
      <c r="BGQ53" s="13"/>
      <c r="BGR53" s="13"/>
      <c r="BGS53" s="13"/>
      <c r="BGT53" s="13"/>
      <c r="BGU53" s="13"/>
      <c r="BGV53" s="13"/>
      <c r="BGW53" s="13"/>
      <c r="BGX53" s="13"/>
      <c r="BGY53" s="13"/>
      <c r="BGZ53" s="13"/>
      <c r="BHA53" s="13"/>
      <c r="BHB53" s="13"/>
      <c r="BHC53" s="13"/>
      <c r="BHD53" s="13"/>
      <c r="BHE53" s="13"/>
      <c r="BHF53" s="13"/>
      <c r="BHG53" s="13"/>
      <c r="BHH53" s="13"/>
      <c r="BHI53" s="13"/>
      <c r="BHJ53" s="13"/>
      <c r="BHK53" s="13"/>
      <c r="BHL53" s="13"/>
      <c r="BHM53" s="13"/>
      <c r="BHN53" s="13"/>
      <c r="BHO53" s="13"/>
      <c r="BHP53" s="13"/>
      <c r="BHQ53" s="13"/>
      <c r="BHR53" s="13"/>
      <c r="BHS53" s="13"/>
      <c r="BHT53" s="13"/>
      <c r="BHU53" s="13"/>
      <c r="BHV53" s="13"/>
      <c r="BHW53" s="13"/>
      <c r="BHX53" s="13"/>
      <c r="BHY53" s="13"/>
      <c r="BHZ53" s="13"/>
      <c r="BIA53" s="13"/>
      <c r="BIB53" s="13"/>
      <c r="BIC53" s="13"/>
      <c r="BID53" s="13"/>
      <c r="BIE53" s="13"/>
      <c r="BIF53" s="13"/>
      <c r="BIG53" s="13"/>
      <c r="BIH53" s="13"/>
      <c r="BII53" s="13"/>
      <c r="BIJ53" s="13"/>
      <c r="BIK53" s="13"/>
      <c r="BIL53" s="13"/>
      <c r="BIM53" s="13"/>
      <c r="BIN53" s="13"/>
      <c r="BIO53" s="13"/>
      <c r="BIP53" s="13"/>
      <c r="BIQ53" s="13"/>
      <c r="BIR53" s="13"/>
      <c r="BIS53" s="13"/>
      <c r="BIT53" s="13"/>
      <c r="BIU53" s="13"/>
      <c r="BIV53" s="13"/>
      <c r="BIW53" s="13"/>
      <c r="BIX53" s="13"/>
      <c r="BIY53" s="13"/>
      <c r="BIZ53" s="13"/>
      <c r="BJA53" s="13"/>
      <c r="BJB53" s="13"/>
      <c r="BJC53" s="13"/>
      <c r="BJD53" s="13"/>
      <c r="BJE53" s="13"/>
      <c r="BJF53" s="13"/>
      <c r="BJG53" s="13"/>
      <c r="BJH53" s="13"/>
      <c r="BJI53" s="13"/>
      <c r="BJJ53" s="13"/>
      <c r="BJK53" s="13"/>
      <c r="BJL53" s="13"/>
      <c r="BJM53" s="13"/>
      <c r="BJN53" s="13"/>
      <c r="BJO53" s="13"/>
      <c r="BJP53" s="13"/>
      <c r="BJQ53" s="13"/>
      <c r="BJR53" s="13"/>
      <c r="BJS53" s="13"/>
      <c r="BJT53" s="13"/>
      <c r="BJU53" s="13"/>
      <c r="BJV53" s="13"/>
      <c r="BJW53" s="13"/>
      <c r="BJX53" s="13"/>
      <c r="BJY53" s="13"/>
      <c r="BJZ53" s="13"/>
      <c r="BKA53" s="13"/>
      <c r="BKB53" s="13"/>
      <c r="BKC53" s="13"/>
      <c r="BKD53" s="13"/>
      <c r="BKE53" s="13"/>
      <c r="BKF53" s="13"/>
      <c r="BKG53" s="13"/>
      <c r="BKH53" s="13"/>
      <c r="BKI53" s="13"/>
      <c r="BKJ53" s="13"/>
      <c r="BKK53" s="13"/>
      <c r="BKL53" s="13"/>
      <c r="BKM53" s="13"/>
      <c r="BKN53" s="13"/>
      <c r="BKO53" s="13"/>
      <c r="BKP53" s="13"/>
      <c r="BKQ53" s="13"/>
      <c r="BKR53" s="13"/>
      <c r="BKS53" s="13"/>
      <c r="BKT53" s="13"/>
      <c r="BKU53" s="13"/>
      <c r="BKV53" s="13"/>
      <c r="BKW53" s="13"/>
      <c r="BKX53" s="13"/>
      <c r="BKY53" s="13"/>
      <c r="BKZ53" s="13"/>
      <c r="BLA53" s="13"/>
      <c r="BLB53" s="13"/>
      <c r="BLC53" s="13"/>
      <c r="BLD53" s="13"/>
      <c r="BLE53" s="13"/>
      <c r="BLF53" s="13"/>
      <c r="BLG53" s="13"/>
      <c r="BLH53" s="13"/>
      <c r="BLI53" s="13"/>
      <c r="BLJ53" s="13"/>
      <c r="BLK53" s="13"/>
      <c r="BLL53" s="13"/>
      <c r="BLM53" s="13"/>
      <c r="BLN53" s="13"/>
      <c r="BLO53" s="13"/>
      <c r="BLP53" s="13"/>
      <c r="BLQ53" s="13"/>
      <c r="BLR53" s="13"/>
      <c r="BLS53" s="13"/>
      <c r="BLT53" s="13"/>
      <c r="BLU53" s="13"/>
      <c r="BLV53" s="13"/>
      <c r="BLW53" s="13"/>
      <c r="BLX53" s="13"/>
      <c r="BLY53" s="13"/>
      <c r="BLZ53" s="13"/>
      <c r="BMA53" s="13"/>
      <c r="BMB53" s="13"/>
      <c r="BMC53" s="13"/>
      <c r="BMD53" s="13"/>
      <c r="BME53" s="13"/>
      <c r="BMF53" s="13"/>
      <c r="BMG53" s="13"/>
      <c r="BMH53" s="13"/>
      <c r="BMI53" s="13"/>
      <c r="BMJ53" s="13"/>
      <c r="BMK53" s="13"/>
      <c r="BML53" s="13"/>
      <c r="BMM53" s="13"/>
      <c r="BMN53" s="13"/>
      <c r="BMO53" s="13"/>
      <c r="BMP53" s="13"/>
      <c r="BMQ53" s="13"/>
      <c r="BMR53" s="13"/>
      <c r="BMS53" s="13"/>
      <c r="BMT53" s="13"/>
      <c r="BMU53" s="13"/>
      <c r="BMV53" s="13"/>
      <c r="BMW53" s="13"/>
      <c r="BMX53" s="13"/>
      <c r="BMY53" s="13"/>
      <c r="BMZ53" s="13"/>
      <c r="BNA53" s="13"/>
      <c r="BNB53" s="13"/>
      <c r="BNC53" s="13"/>
      <c r="BND53" s="13"/>
      <c r="BNE53" s="13"/>
      <c r="BNF53" s="13"/>
      <c r="BNG53" s="13"/>
      <c r="BNH53" s="13"/>
      <c r="BNI53" s="13"/>
      <c r="BNJ53" s="13"/>
      <c r="BNK53" s="13"/>
      <c r="BNL53" s="13"/>
      <c r="BNM53" s="13"/>
      <c r="BNN53" s="13"/>
      <c r="BNO53" s="13"/>
      <c r="BNP53" s="13"/>
      <c r="BNQ53" s="13"/>
      <c r="BNR53" s="13"/>
      <c r="BNS53" s="13"/>
      <c r="BNT53" s="13"/>
      <c r="BNU53" s="13"/>
      <c r="BNV53" s="13"/>
      <c r="BNW53" s="13"/>
      <c r="BNX53" s="13"/>
      <c r="BNY53" s="13"/>
      <c r="BNZ53" s="13"/>
      <c r="BOA53" s="13"/>
      <c r="BOB53" s="13"/>
      <c r="BOC53" s="13"/>
      <c r="BOD53" s="13"/>
      <c r="BOE53" s="13"/>
      <c r="BOF53" s="13"/>
      <c r="BOG53" s="13"/>
      <c r="BOH53" s="13"/>
      <c r="BOI53" s="13"/>
      <c r="BOJ53" s="13"/>
      <c r="BOK53" s="13"/>
      <c r="BOL53" s="13"/>
      <c r="BOM53" s="13"/>
      <c r="BON53" s="13"/>
      <c r="BOO53" s="13"/>
      <c r="BOP53" s="13"/>
      <c r="BOQ53" s="13"/>
      <c r="BOR53" s="13"/>
      <c r="BOS53" s="13"/>
      <c r="BOT53" s="13"/>
      <c r="BOU53" s="13"/>
      <c r="BOV53" s="13"/>
      <c r="BOW53" s="13"/>
      <c r="BOX53" s="13"/>
      <c r="BOY53" s="13"/>
      <c r="BOZ53" s="13"/>
      <c r="BPA53" s="13"/>
      <c r="BPB53" s="13"/>
      <c r="BPC53" s="13"/>
      <c r="BPD53" s="13"/>
      <c r="BPE53" s="13"/>
      <c r="BPF53" s="13"/>
      <c r="BPG53" s="13"/>
      <c r="BPH53" s="13"/>
      <c r="BPI53" s="13"/>
      <c r="BPJ53" s="13"/>
      <c r="BPK53" s="13"/>
      <c r="BPL53" s="13"/>
      <c r="BPM53" s="13"/>
      <c r="BPN53" s="13"/>
      <c r="BPO53" s="13"/>
      <c r="BPP53" s="13"/>
      <c r="BPQ53" s="13"/>
      <c r="BPR53" s="13"/>
      <c r="BPS53" s="13"/>
      <c r="BPT53" s="13"/>
      <c r="BPU53" s="13"/>
      <c r="BPV53" s="13"/>
      <c r="BPW53" s="13"/>
      <c r="BPX53" s="13"/>
      <c r="BPY53" s="13"/>
      <c r="BPZ53" s="13"/>
      <c r="BQA53" s="13"/>
      <c r="BQB53" s="13"/>
      <c r="BQC53" s="13"/>
      <c r="BQD53" s="13"/>
      <c r="BQE53" s="13"/>
      <c r="BQF53" s="13"/>
      <c r="BQG53" s="13"/>
      <c r="BQH53" s="13"/>
      <c r="BQI53" s="13"/>
      <c r="BQJ53" s="13"/>
      <c r="BQK53" s="13"/>
      <c r="BQL53" s="13"/>
      <c r="BQM53" s="13"/>
      <c r="BQN53" s="13"/>
      <c r="BQO53" s="13"/>
      <c r="BQP53" s="13"/>
      <c r="BQQ53" s="13"/>
      <c r="BQR53" s="13"/>
      <c r="BQS53" s="13"/>
      <c r="BQT53" s="13"/>
      <c r="BQU53" s="13"/>
      <c r="BQV53" s="13"/>
      <c r="BQW53" s="13"/>
      <c r="BQX53" s="13"/>
      <c r="BQY53" s="13"/>
      <c r="BQZ53" s="13"/>
      <c r="BRA53" s="13"/>
      <c r="BRB53" s="13"/>
      <c r="BRC53" s="13"/>
      <c r="BRD53" s="13"/>
      <c r="BRE53" s="13"/>
      <c r="BRF53" s="13"/>
      <c r="BRG53" s="13"/>
      <c r="BRH53" s="13"/>
      <c r="BRI53" s="13"/>
      <c r="BRJ53" s="13"/>
      <c r="BRK53" s="13"/>
      <c r="BRL53" s="13"/>
      <c r="BRM53" s="13"/>
      <c r="BRN53" s="13"/>
      <c r="BRO53" s="13"/>
      <c r="BRP53" s="13"/>
      <c r="BRQ53" s="13"/>
      <c r="BRR53" s="13"/>
      <c r="BRS53" s="13"/>
      <c r="BRT53" s="13"/>
      <c r="BRU53" s="13"/>
      <c r="BRV53" s="13"/>
      <c r="BRW53" s="13"/>
      <c r="BRX53" s="13"/>
      <c r="BRY53" s="13"/>
      <c r="BRZ53" s="13"/>
      <c r="BSA53" s="13"/>
      <c r="BSB53" s="13"/>
      <c r="BSC53" s="13"/>
      <c r="BSD53" s="13"/>
      <c r="BSE53" s="13"/>
      <c r="BSF53" s="13"/>
      <c r="BSG53" s="13"/>
      <c r="BSH53" s="13"/>
      <c r="BSI53" s="13"/>
      <c r="BSJ53" s="13"/>
      <c r="BSK53" s="13"/>
      <c r="BSL53" s="13"/>
      <c r="BSM53" s="13"/>
      <c r="BSN53" s="13"/>
      <c r="BSO53" s="13"/>
      <c r="BSP53" s="13"/>
      <c r="BSQ53" s="13"/>
      <c r="BSR53" s="13"/>
      <c r="BSS53" s="13"/>
      <c r="BST53" s="13"/>
      <c r="BSU53" s="13"/>
      <c r="BSV53" s="13"/>
      <c r="BSW53" s="13"/>
      <c r="BSX53" s="13"/>
      <c r="BSY53" s="13"/>
      <c r="BSZ53" s="13"/>
      <c r="BTA53" s="13"/>
    </row>
    <row r="54" spans="1:1873" s="397" customFormat="1" x14ac:dyDescent="0.2">
      <c r="A54" s="390" t="s">
        <v>617</v>
      </c>
      <c r="B54" s="390" t="s">
        <v>618</v>
      </c>
      <c r="C54" s="390" t="s">
        <v>19</v>
      </c>
      <c r="D54" s="390" t="s">
        <v>633</v>
      </c>
      <c r="E54" s="493" t="s">
        <v>634</v>
      </c>
      <c r="F54" s="503">
        <v>1</v>
      </c>
      <c r="G54" s="390">
        <v>3</v>
      </c>
      <c r="H54" s="503">
        <v>4</v>
      </c>
      <c r="I54" s="390" t="s">
        <v>621</v>
      </c>
      <c r="J54" s="390">
        <v>1990</v>
      </c>
      <c r="K54" s="390" t="s">
        <v>957</v>
      </c>
      <c r="L54" s="390">
        <v>1993</v>
      </c>
      <c r="M54" s="392">
        <v>-9999</v>
      </c>
      <c r="N54" s="390">
        <v>-9999</v>
      </c>
      <c r="O54" s="323"/>
      <c r="P54" s="392">
        <v>-9999</v>
      </c>
      <c r="Q54" s="390">
        <v>-9999</v>
      </c>
      <c r="R54" s="392"/>
      <c r="S54" s="390"/>
      <c r="T54" s="392">
        <v>8.9</v>
      </c>
      <c r="U54" s="392">
        <v>2.1</v>
      </c>
      <c r="V54" s="392"/>
      <c r="W54" s="392">
        <v>-9999</v>
      </c>
      <c r="X54" s="390">
        <v>-9999</v>
      </c>
      <c r="Y54" s="390"/>
      <c r="Z54" s="390" t="s">
        <v>636</v>
      </c>
      <c r="AA54" s="495">
        <v>37037</v>
      </c>
      <c r="AB54" s="392">
        <v>-9999</v>
      </c>
      <c r="AC54" s="390">
        <v>-9999</v>
      </c>
      <c r="AD54" s="390">
        <v>36</v>
      </c>
      <c r="AE54" s="390">
        <v>-9999</v>
      </c>
      <c r="AF54" s="390">
        <v>3</v>
      </c>
      <c r="AG54" s="390">
        <v>-9999</v>
      </c>
      <c r="AH54" s="390" t="s">
        <v>623</v>
      </c>
      <c r="AI54" s="390" t="s">
        <v>624</v>
      </c>
      <c r="AJ54" s="390">
        <v>-9999</v>
      </c>
      <c r="AK54" s="390" t="s">
        <v>625</v>
      </c>
      <c r="AL54" s="390">
        <v>-9999</v>
      </c>
      <c r="AM54" s="390">
        <v>-9999</v>
      </c>
      <c r="AN54" s="390" t="s">
        <v>631</v>
      </c>
      <c r="AO54" s="390">
        <v>-9999</v>
      </c>
      <c r="AP54" s="390">
        <v>-9999</v>
      </c>
      <c r="AQ54" s="390" t="s">
        <v>626</v>
      </c>
      <c r="AR54" s="390">
        <f>224*G54</f>
        <v>672</v>
      </c>
      <c r="AS54" s="390" t="s">
        <v>691</v>
      </c>
      <c r="AT54" s="390" t="s">
        <v>743</v>
      </c>
      <c r="AU54" s="390">
        <v>224</v>
      </c>
      <c r="AV54" s="390" t="s">
        <v>218</v>
      </c>
      <c r="AW54" s="390" t="s">
        <v>592</v>
      </c>
      <c r="AX54" s="390">
        <v>224</v>
      </c>
      <c r="AY54" s="390" t="s">
        <v>219</v>
      </c>
      <c r="AZ54" s="390" t="s">
        <v>220</v>
      </c>
      <c r="BA54" s="390">
        <v>-9999</v>
      </c>
      <c r="BB54" s="390">
        <v>-9999</v>
      </c>
      <c r="BC54" s="390">
        <v>-9999</v>
      </c>
      <c r="BD54" s="390">
        <v>-9999</v>
      </c>
      <c r="BE54" s="390">
        <v>-9999</v>
      </c>
      <c r="BF54" s="390">
        <v>-9999</v>
      </c>
      <c r="BG54" s="390">
        <v>-9999</v>
      </c>
      <c r="BH54" s="390">
        <v>-9999</v>
      </c>
      <c r="BI54" s="390" t="s">
        <v>649</v>
      </c>
      <c r="BJ54" s="391">
        <v>-9999</v>
      </c>
      <c r="BK54" s="391">
        <v>-9999</v>
      </c>
      <c r="BL54" s="390">
        <v>-9999</v>
      </c>
      <c r="BM54" s="390">
        <v>-9999</v>
      </c>
      <c r="BN54" s="390">
        <v>-9999</v>
      </c>
      <c r="BO54" s="390">
        <v>-9999</v>
      </c>
      <c r="BP54" s="390">
        <v>-9999</v>
      </c>
      <c r="BQ54" s="390">
        <v>-9999</v>
      </c>
      <c r="BR54" s="391">
        <v>-9999</v>
      </c>
      <c r="BS54" s="391">
        <v>-9999</v>
      </c>
      <c r="BT54" s="391">
        <v>-9999</v>
      </c>
      <c r="BU54" s="391">
        <v>-9999</v>
      </c>
      <c r="BV54" s="391">
        <v>-9999</v>
      </c>
      <c r="BW54" s="391"/>
      <c r="BX54" s="391">
        <v>-9999</v>
      </c>
      <c r="BY54" s="390">
        <v>-9999</v>
      </c>
      <c r="BZ54" s="509">
        <v>-9999</v>
      </c>
      <c r="CA54" s="510" t="s">
        <v>834</v>
      </c>
      <c r="CB54" s="498" t="s">
        <v>1434</v>
      </c>
      <c r="CC54" s="427">
        <v>1</v>
      </c>
      <c r="CD54" s="381">
        <v>3</v>
      </c>
      <c r="CE54" s="342">
        <v>8.9</v>
      </c>
      <c r="CF54" s="342">
        <v>-9999</v>
      </c>
      <c r="CG54" s="427">
        <v>4</v>
      </c>
      <c r="CH54" s="301" t="s">
        <v>1757</v>
      </c>
      <c r="CI54" s="301"/>
      <c r="CJ54" s="301"/>
      <c r="CK54" s="301"/>
      <c r="CL54" s="301"/>
      <c r="CM54" s="301"/>
      <c r="CN54" s="301"/>
      <c r="CO54" s="301"/>
      <c r="CP54" s="301"/>
      <c r="CQ54" s="301"/>
      <c r="CR54" s="301"/>
      <c r="CS54" s="301"/>
      <c r="CT54" s="301"/>
      <c r="CU54" s="301"/>
      <c r="CV54" s="301"/>
      <c r="CW54" s="301"/>
      <c r="CX54" s="301"/>
      <c r="CY54" s="301"/>
      <c r="CZ54" s="301"/>
      <c r="DA54" s="301"/>
      <c r="DB54" s="301"/>
      <c r="DC54" s="301"/>
      <c r="DD54" s="301"/>
      <c r="DE54" s="301"/>
      <c r="DF54" s="301"/>
      <c r="DG54" s="301"/>
      <c r="DH54" s="301"/>
      <c r="DI54" s="301"/>
      <c r="DJ54" s="301"/>
      <c r="DK54" s="301"/>
      <c r="DL54" s="301"/>
      <c r="DM54" s="301"/>
      <c r="DN54" s="301"/>
      <c r="DO54" s="301"/>
      <c r="DP54" s="301"/>
      <c r="DQ54" s="301"/>
      <c r="DR54" s="301"/>
      <c r="DS54" s="301"/>
      <c r="DT54" s="301"/>
      <c r="DU54" s="301"/>
      <c r="DV54" s="301"/>
      <c r="DW54" s="301"/>
      <c r="DX54" s="301"/>
      <c r="DY54" s="301"/>
      <c r="DZ54" s="301"/>
      <c r="EA54" s="301"/>
      <c r="EB54" s="301"/>
      <c r="EC54" s="301"/>
      <c r="ED54" s="301"/>
      <c r="EE54" s="301"/>
      <c r="EF54" s="301"/>
      <c r="EG54" s="301"/>
      <c r="EH54" s="301"/>
      <c r="EI54" s="301"/>
      <c r="EJ54" s="301"/>
      <c r="EK54" s="301"/>
      <c r="EL54" s="301"/>
      <c r="EM54" s="301"/>
      <c r="EN54" s="301"/>
      <c r="EO54" s="301"/>
      <c r="EP54" s="301"/>
      <c r="EQ54" s="301"/>
      <c r="ER54" s="301"/>
      <c r="ES54" s="301"/>
      <c r="ET54" s="301"/>
      <c r="EU54" s="301"/>
      <c r="EV54" s="301"/>
      <c r="EW54" s="301"/>
      <c r="EX54" s="301"/>
      <c r="EY54" s="301"/>
      <c r="EZ54" s="301"/>
      <c r="FA54" s="301"/>
      <c r="FB54" s="301"/>
      <c r="FC54" s="301"/>
      <c r="FD54" s="301"/>
      <c r="FE54" s="301"/>
      <c r="FF54" s="301"/>
      <c r="FG54" s="301"/>
      <c r="FH54" s="301"/>
      <c r="FI54" s="301"/>
      <c r="FJ54" s="301"/>
      <c r="FK54" s="301"/>
      <c r="FL54" s="301"/>
      <c r="FM54" s="301"/>
      <c r="FN54" s="301"/>
      <c r="FO54" s="301"/>
      <c r="FP54" s="301"/>
      <c r="FQ54" s="301"/>
      <c r="FR54" s="301"/>
      <c r="FS54" s="301"/>
      <c r="FT54" s="301"/>
      <c r="FU54" s="301"/>
      <c r="FV54" s="301"/>
      <c r="FW54" s="301"/>
      <c r="FX54" s="301"/>
      <c r="FY54" s="301"/>
      <c r="FZ54" s="301"/>
      <c r="GA54" s="301"/>
      <c r="GB54" s="301"/>
      <c r="GC54" s="301"/>
      <c r="GD54" s="301"/>
      <c r="GE54" s="301"/>
      <c r="GF54" s="301"/>
      <c r="GG54" s="301"/>
      <c r="GH54" s="301"/>
      <c r="GI54" s="301"/>
      <c r="GJ54" s="301"/>
      <c r="GK54" s="301"/>
      <c r="GL54" s="301"/>
      <c r="GM54" s="301"/>
      <c r="GN54" s="301"/>
      <c r="GO54" s="301"/>
      <c r="GP54" s="301"/>
      <c r="GQ54" s="301"/>
      <c r="GR54" s="301"/>
      <c r="GS54" s="301"/>
      <c r="GT54" s="301"/>
      <c r="GU54" s="301"/>
      <c r="GV54" s="301"/>
      <c r="GW54" s="301"/>
      <c r="GX54" s="301"/>
      <c r="GY54" s="301"/>
      <c r="GZ54" s="301"/>
      <c r="HA54" s="301"/>
      <c r="HB54" s="301"/>
      <c r="HC54" s="301"/>
      <c r="HD54" s="301"/>
      <c r="HE54" s="301"/>
      <c r="HF54" s="301"/>
      <c r="HG54" s="301"/>
      <c r="HH54" s="301"/>
      <c r="HI54" s="301"/>
      <c r="HJ54" s="301"/>
      <c r="HK54" s="301"/>
      <c r="HL54" s="301"/>
      <c r="HM54" s="301"/>
      <c r="HN54" s="301"/>
      <c r="HO54" s="301"/>
      <c r="HP54" s="301"/>
      <c r="HQ54" s="301"/>
      <c r="HR54" s="301"/>
      <c r="HS54" s="301"/>
      <c r="HT54" s="301"/>
      <c r="HU54" s="301"/>
      <c r="HV54" s="301"/>
      <c r="HW54" s="301"/>
      <c r="HX54" s="301"/>
      <c r="HY54" s="301"/>
      <c r="HZ54" s="301"/>
      <c r="IA54" s="301"/>
      <c r="IB54" s="301"/>
      <c r="IC54" s="301"/>
      <c r="ID54" s="301"/>
      <c r="IE54" s="301"/>
      <c r="IF54" s="301"/>
      <c r="IG54" s="301"/>
      <c r="IH54" s="301"/>
      <c r="II54" s="301"/>
      <c r="IJ54" s="301"/>
      <c r="IK54" s="301"/>
      <c r="IL54" s="301"/>
      <c r="IM54" s="301"/>
      <c r="IN54" s="301"/>
      <c r="IO54" s="301"/>
      <c r="IP54" s="301"/>
      <c r="IQ54" s="301"/>
      <c r="IR54" s="301"/>
      <c r="IS54" s="301"/>
      <c r="IT54" s="301"/>
      <c r="IU54" s="301"/>
      <c r="IV54" s="301"/>
      <c r="IW54" s="301"/>
      <c r="IX54" s="301"/>
      <c r="IY54" s="301"/>
      <c r="IZ54" s="301"/>
      <c r="JA54" s="301"/>
      <c r="JB54" s="301"/>
      <c r="JC54" s="301"/>
      <c r="JD54" s="301"/>
      <c r="JE54" s="301"/>
      <c r="JF54" s="301"/>
      <c r="JG54" s="301"/>
      <c r="JH54" s="301"/>
      <c r="JI54" s="301"/>
      <c r="JJ54" s="301"/>
      <c r="JK54" s="301"/>
      <c r="JL54" s="301"/>
      <c r="JM54" s="301"/>
      <c r="JN54" s="301"/>
      <c r="JO54" s="301"/>
      <c r="JP54" s="301"/>
      <c r="JQ54" s="301"/>
      <c r="JR54" s="301"/>
      <c r="JS54" s="301"/>
      <c r="JT54" s="301"/>
      <c r="JU54" s="301"/>
      <c r="JV54" s="301"/>
      <c r="JW54" s="301"/>
      <c r="JX54" s="301"/>
      <c r="JY54" s="301"/>
      <c r="JZ54" s="301"/>
      <c r="KA54" s="301"/>
      <c r="KB54" s="301"/>
      <c r="KC54" s="301"/>
      <c r="KD54" s="301"/>
      <c r="KE54" s="301"/>
      <c r="KF54" s="301"/>
      <c r="KG54" s="301"/>
      <c r="KH54" s="301"/>
      <c r="KI54" s="301"/>
      <c r="KJ54" s="301"/>
      <c r="KK54" s="301"/>
      <c r="KL54" s="301"/>
      <c r="KM54" s="301"/>
      <c r="KN54" s="301"/>
      <c r="KO54" s="301"/>
      <c r="KP54" s="301"/>
      <c r="KQ54" s="301"/>
      <c r="KR54" s="301"/>
      <c r="KS54" s="301"/>
      <c r="KT54" s="301"/>
      <c r="KU54" s="301"/>
      <c r="KV54" s="301"/>
      <c r="KW54" s="301"/>
      <c r="KX54" s="301"/>
      <c r="KY54" s="301"/>
      <c r="KZ54" s="301"/>
      <c r="LA54" s="301"/>
      <c r="LB54" s="301"/>
      <c r="LC54" s="301"/>
      <c r="LD54" s="301"/>
      <c r="LE54" s="301"/>
      <c r="LF54" s="301"/>
      <c r="LG54" s="301"/>
      <c r="LH54" s="301"/>
      <c r="LI54" s="301"/>
      <c r="LJ54" s="301"/>
      <c r="LK54" s="301"/>
      <c r="LL54" s="301"/>
      <c r="LM54" s="301"/>
      <c r="LN54" s="301"/>
      <c r="LO54" s="301"/>
      <c r="LP54" s="301"/>
      <c r="LQ54" s="301"/>
      <c r="LR54" s="301"/>
      <c r="LS54" s="301"/>
      <c r="LT54" s="301"/>
      <c r="LU54" s="301"/>
      <c r="LV54" s="301"/>
      <c r="LW54" s="301"/>
      <c r="LX54" s="301"/>
      <c r="LY54" s="301"/>
      <c r="LZ54" s="301"/>
      <c r="MA54" s="301"/>
      <c r="MB54" s="301"/>
      <c r="MC54" s="301"/>
      <c r="MD54" s="301"/>
      <c r="ME54" s="301"/>
      <c r="MF54" s="301"/>
      <c r="MG54" s="301"/>
      <c r="MH54" s="301"/>
      <c r="MI54" s="301"/>
      <c r="MJ54" s="301"/>
      <c r="MK54" s="301"/>
      <c r="ML54" s="301"/>
      <c r="MM54" s="301"/>
      <c r="MN54" s="301"/>
      <c r="MO54" s="301"/>
      <c r="MP54" s="301"/>
      <c r="MQ54" s="301"/>
      <c r="MR54" s="301"/>
      <c r="MS54" s="301"/>
      <c r="MT54" s="301"/>
      <c r="MU54" s="301"/>
      <c r="MV54" s="301"/>
      <c r="MW54" s="301"/>
      <c r="MX54" s="301"/>
      <c r="MY54" s="301"/>
      <c r="MZ54" s="301"/>
      <c r="NA54" s="301"/>
      <c r="NB54" s="301"/>
      <c r="NC54" s="301"/>
      <c r="ND54" s="301"/>
      <c r="NE54" s="301"/>
      <c r="NF54" s="301"/>
      <c r="NG54" s="301"/>
      <c r="NH54" s="301"/>
      <c r="NI54" s="301"/>
      <c r="NJ54" s="301"/>
      <c r="NK54" s="301"/>
      <c r="NL54" s="301"/>
      <c r="NM54" s="301"/>
      <c r="NN54" s="301"/>
      <c r="NO54" s="301"/>
      <c r="NP54" s="301"/>
      <c r="NQ54" s="301"/>
      <c r="NR54" s="301"/>
      <c r="NS54" s="301"/>
      <c r="NT54" s="301"/>
      <c r="NU54" s="301"/>
      <c r="NV54" s="301"/>
      <c r="NW54" s="301"/>
      <c r="NX54" s="301"/>
      <c r="NY54" s="301"/>
      <c r="NZ54" s="301"/>
      <c r="OA54" s="301"/>
      <c r="OB54" s="301"/>
      <c r="OC54" s="301"/>
      <c r="OD54" s="301"/>
      <c r="OE54" s="301"/>
      <c r="OF54" s="301"/>
      <c r="OG54" s="301"/>
      <c r="OH54" s="301"/>
      <c r="OI54" s="301"/>
      <c r="OJ54" s="301"/>
      <c r="OK54" s="301"/>
      <c r="OL54" s="301"/>
      <c r="OM54" s="301"/>
      <c r="ON54" s="301"/>
      <c r="OO54" s="301"/>
      <c r="OP54" s="301"/>
      <c r="OQ54" s="301"/>
      <c r="OR54" s="301"/>
      <c r="OS54" s="301"/>
      <c r="OT54" s="301"/>
      <c r="OU54" s="301"/>
      <c r="OV54" s="301"/>
      <c r="OW54" s="301"/>
      <c r="OX54" s="301"/>
      <c r="OY54" s="301"/>
      <c r="OZ54" s="301"/>
      <c r="PA54" s="301"/>
      <c r="PB54" s="301"/>
      <c r="PC54" s="301"/>
      <c r="PD54" s="301"/>
      <c r="PE54" s="301"/>
      <c r="PF54" s="301"/>
      <c r="PG54" s="301"/>
      <c r="PH54" s="301"/>
      <c r="PI54" s="301"/>
      <c r="PJ54" s="301"/>
      <c r="PK54" s="301"/>
      <c r="PL54" s="301"/>
      <c r="PM54" s="301"/>
      <c r="PN54" s="301"/>
      <c r="PO54" s="301"/>
      <c r="PP54" s="301"/>
      <c r="PQ54" s="301"/>
      <c r="PR54" s="301"/>
      <c r="PS54" s="301"/>
      <c r="PT54" s="301"/>
      <c r="PU54" s="301"/>
      <c r="PV54" s="301"/>
      <c r="PW54" s="301"/>
      <c r="PX54" s="301"/>
      <c r="PY54" s="301"/>
      <c r="PZ54" s="301"/>
      <c r="QA54" s="301"/>
      <c r="QB54" s="301"/>
      <c r="QC54" s="301"/>
      <c r="QD54" s="301"/>
      <c r="QE54" s="301"/>
      <c r="QF54" s="301"/>
      <c r="QG54" s="301"/>
      <c r="QH54" s="301"/>
      <c r="QI54" s="301"/>
      <c r="QJ54" s="301"/>
      <c r="QK54" s="301"/>
      <c r="QL54" s="301"/>
      <c r="QM54" s="301"/>
      <c r="QN54" s="301"/>
      <c r="QO54" s="301"/>
      <c r="QP54" s="301"/>
      <c r="QQ54" s="301"/>
      <c r="QR54" s="301"/>
      <c r="QS54" s="301"/>
      <c r="QT54" s="301"/>
      <c r="QU54" s="301"/>
      <c r="QV54" s="301"/>
      <c r="QW54" s="301"/>
      <c r="QX54" s="301"/>
      <c r="QY54" s="301"/>
      <c r="QZ54" s="301"/>
      <c r="RA54" s="301"/>
      <c r="RB54" s="301"/>
      <c r="RC54" s="301"/>
      <c r="RD54" s="301"/>
      <c r="RE54" s="301"/>
      <c r="RF54" s="301"/>
      <c r="RG54" s="301"/>
      <c r="RH54" s="301"/>
      <c r="RI54" s="301"/>
      <c r="RJ54" s="301"/>
      <c r="RK54" s="301"/>
      <c r="RL54" s="301"/>
      <c r="RM54" s="301"/>
      <c r="RN54" s="301"/>
      <c r="RO54" s="301"/>
      <c r="RP54" s="301"/>
      <c r="RQ54" s="301"/>
      <c r="RR54" s="301"/>
      <c r="RS54" s="301"/>
      <c r="RT54" s="301"/>
      <c r="RU54" s="301"/>
      <c r="RV54" s="301"/>
      <c r="RW54" s="301"/>
      <c r="RX54" s="301"/>
      <c r="RY54" s="301"/>
      <c r="RZ54" s="301"/>
      <c r="SA54" s="301"/>
      <c r="SB54" s="301"/>
      <c r="SC54" s="301"/>
      <c r="SD54" s="301"/>
      <c r="SE54" s="301"/>
      <c r="SF54" s="301"/>
      <c r="SG54" s="301"/>
      <c r="SH54" s="301"/>
      <c r="SI54" s="301"/>
      <c r="SJ54" s="301"/>
      <c r="SK54" s="301"/>
      <c r="SL54" s="301"/>
      <c r="SM54" s="301"/>
      <c r="SN54" s="301"/>
      <c r="SO54" s="301"/>
      <c r="SP54" s="301"/>
      <c r="SQ54" s="301"/>
      <c r="SR54" s="301"/>
      <c r="SS54" s="301"/>
      <c r="ST54" s="301"/>
      <c r="SU54" s="301"/>
      <c r="SV54" s="301"/>
      <c r="SW54" s="301"/>
      <c r="SX54" s="301"/>
      <c r="SY54" s="301"/>
      <c r="SZ54" s="301"/>
      <c r="TA54" s="301"/>
      <c r="TB54" s="301"/>
      <c r="TC54" s="301"/>
      <c r="TD54" s="301"/>
      <c r="TE54" s="301"/>
      <c r="TF54" s="301"/>
      <c r="TG54" s="301"/>
      <c r="TH54" s="301"/>
      <c r="TI54" s="301"/>
      <c r="TJ54" s="301"/>
      <c r="TK54" s="301"/>
      <c r="TL54" s="301"/>
      <c r="TM54" s="301"/>
      <c r="TN54" s="301"/>
      <c r="TO54" s="301"/>
      <c r="TP54" s="301"/>
      <c r="TQ54" s="301"/>
      <c r="TR54" s="301"/>
      <c r="TS54" s="301"/>
      <c r="TT54" s="301"/>
      <c r="TU54" s="301"/>
      <c r="TV54" s="301"/>
      <c r="TW54" s="301"/>
      <c r="TX54" s="301"/>
      <c r="TY54" s="301"/>
      <c r="TZ54" s="301"/>
      <c r="UA54" s="301"/>
      <c r="UB54" s="301"/>
      <c r="UC54" s="301"/>
      <c r="UD54" s="301"/>
      <c r="UE54" s="301"/>
      <c r="UF54" s="301"/>
      <c r="UG54" s="301"/>
      <c r="UH54" s="301"/>
      <c r="UI54" s="301"/>
      <c r="UJ54" s="301"/>
      <c r="UK54" s="301"/>
      <c r="UL54" s="301"/>
      <c r="UM54" s="301"/>
      <c r="UN54" s="301"/>
      <c r="UO54" s="301"/>
      <c r="UP54" s="301"/>
      <c r="UQ54" s="301"/>
      <c r="UR54" s="301"/>
      <c r="US54" s="301"/>
      <c r="UT54" s="301"/>
      <c r="UU54" s="301"/>
      <c r="UV54" s="301"/>
      <c r="UW54" s="301"/>
      <c r="UX54" s="301"/>
      <c r="UY54" s="301"/>
      <c r="UZ54" s="301"/>
      <c r="VA54" s="301"/>
      <c r="VB54" s="301"/>
      <c r="VC54" s="301"/>
      <c r="VD54" s="301"/>
      <c r="VE54" s="301"/>
      <c r="VF54" s="301"/>
      <c r="VG54" s="301"/>
      <c r="VH54" s="301"/>
      <c r="VI54" s="301"/>
      <c r="VJ54" s="301"/>
      <c r="VK54" s="301"/>
      <c r="VL54" s="301"/>
      <c r="VM54" s="301"/>
      <c r="VN54" s="301"/>
      <c r="VO54" s="301"/>
      <c r="VP54" s="301"/>
      <c r="VQ54" s="301"/>
      <c r="VR54" s="301"/>
      <c r="VS54" s="301"/>
      <c r="VT54" s="301"/>
      <c r="VU54" s="301"/>
      <c r="VV54" s="301"/>
      <c r="VW54" s="301"/>
      <c r="VX54" s="301"/>
      <c r="VY54" s="301"/>
      <c r="VZ54" s="301"/>
      <c r="WA54" s="301"/>
      <c r="WB54" s="301"/>
      <c r="WC54" s="301"/>
      <c r="WD54" s="301"/>
      <c r="WE54" s="301"/>
      <c r="WF54" s="301"/>
      <c r="WG54" s="301"/>
      <c r="WH54" s="301"/>
      <c r="WI54" s="301"/>
      <c r="WJ54" s="301"/>
      <c r="WK54" s="301"/>
      <c r="WL54" s="301"/>
      <c r="WM54" s="301"/>
      <c r="WN54" s="301"/>
      <c r="WO54" s="301"/>
      <c r="WP54" s="301"/>
      <c r="WQ54" s="301"/>
      <c r="WR54" s="301"/>
      <c r="WS54" s="301"/>
      <c r="WT54" s="301"/>
      <c r="WU54" s="301"/>
      <c r="WV54" s="301"/>
      <c r="WW54" s="301"/>
      <c r="WX54" s="301"/>
      <c r="WY54" s="301"/>
      <c r="WZ54" s="301"/>
      <c r="XA54" s="301"/>
      <c r="XB54" s="301"/>
      <c r="XC54" s="301"/>
      <c r="XD54" s="301"/>
      <c r="XE54" s="301"/>
      <c r="XF54" s="301"/>
      <c r="XG54" s="301"/>
      <c r="XH54" s="301"/>
      <c r="XI54" s="301"/>
      <c r="XJ54" s="301"/>
      <c r="XK54" s="301"/>
      <c r="XL54" s="301"/>
      <c r="XM54" s="301"/>
      <c r="XN54" s="301"/>
      <c r="XO54" s="301"/>
      <c r="XP54" s="301"/>
      <c r="XQ54" s="301"/>
      <c r="XR54" s="301"/>
      <c r="XS54" s="301"/>
      <c r="XT54" s="301"/>
      <c r="XU54" s="301"/>
      <c r="XV54" s="301"/>
      <c r="XW54" s="301"/>
      <c r="XX54" s="301"/>
      <c r="XY54" s="301"/>
      <c r="XZ54" s="301"/>
      <c r="YA54" s="301"/>
      <c r="YB54" s="301"/>
      <c r="YC54" s="301"/>
      <c r="YD54" s="301"/>
      <c r="YE54" s="301"/>
      <c r="YF54" s="301"/>
      <c r="YG54" s="301"/>
      <c r="YH54" s="301"/>
      <c r="YI54" s="301"/>
      <c r="YJ54" s="301"/>
      <c r="YK54" s="301"/>
      <c r="YL54" s="301"/>
      <c r="YM54" s="301"/>
      <c r="YN54" s="301"/>
      <c r="YO54" s="301"/>
      <c r="YP54" s="301"/>
      <c r="YQ54" s="301"/>
      <c r="YR54" s="301"/>
      <c r="YS54" s="301"/>
      <c r="YT54" s="301"/>
      <c r="YU54" s="301"/>
      <c r="YV54" s="301"/>
      <c r="YW54" s="301"/>
      <c r="YX54" s="301"/>
      <c r="YY54" s="301"/>
      <c r="YZ54" s="301"/>
      <c r="ZA54" s="301"/>
      <c r="ZB54" s="301"/>
      <c r="ZC54" s="301"/>
      <c r="ZD54" s="301"/>
      <c r="ZE54" s="301"/>
      <c r="ZF54" s="301"/>
      <c r="ZG54" s="301"/>
      <c r="ZH54" s="301"/>
      <c r="ZI54" s="301"/>
      <c r="ZJ54" s="301"/>
      <c r="ZK54" s="301"/>
      <c r="ZL54" s="301"/>
      <c r="ZM54" s="301"/>
      <c r="ZN54" s="301"/>
      <c r="ZO54" s="301"/>
      <c r="ZP54" s="301"/>
      <c r="ZQ54" s="301"/>
      <c r="ZR54" s="301"/>
      <c r="ZS54" s="301"/>
      <c r="ZT54" s="301"/>
      <c r="ZU54" s="301"/>
      <c r="ZV54" s="301"/>
      <c r="ZW54" s="301"/>
      <c r="ZX54" s="301"/>
      <c r="ZY54" s="301"/>
      <c r="ZZ54" s="301"/>
      <c r="AAA54" s="301"/>
      <c r="AAB54" s="301"/>
      <c r="AAC54" s="301"/>
      <c r="AAD54" s="301"/>
      <c r="AAE54" s="301"/>
      <c r="AAF54" s="301"/>
      <c r="AAG54" s="301"/>
      <c r="AAH54" s="301"/>
      <c r="AAI54" s="301"/>
      <c r="AAJ54" s="301"/>
      <c r="AAK54" s="301"/>
      <c r="AAL54" s="301"/>
      <c r="AAM54" s="301"/>
      <c r="AAN54" s="301"/>
      <c r="AAO54" s="301"/>
      <c r="AAP54" s="301"/>
      <c r="AAQ54" s="301"/>
      <c r="AAR54" s="301"/>
      <c r="AAS54" s="301"/>
      <c r="AAT54" s="301"/>
      <c r="AAU54" s="301"/>
      <c r="AAV54" s="301"/>
      <c r="AAW54" s="301"/>
      <c r="AAX54" s="301"/>
      <c r="AAY54" s="301"/>
      <c r="AAZ54" s="301"/>
      <c r="ABA54" s="301"/>
      <c r="ABB54" s="301"/>
      <c r="ABC54" s="301"/>
      <c r="ABD54" s="301"/>
      <c r="ABE54" s="301"/>
      <c r="ABF54" s="301"/>
      <c r="ABG54" s="301"/>
      <c r="ABH54" s="301"/>
      <c r="ABI54" s="301"/>
      <c r="ABJ54" s="301"/>
      <c r="ABK54" s="301"/>
      <c r="ABL54" s="301"/>
      <c r="ABM54" s="301"/>
      <c r="ABN54" s="301"/>
      <c r="ABO54" s="301"/>
      <c r="ABP54" s="301"/>
      <c r="ABQ54" s="301"/>
      <c r="ABR54" s="301"/>
      <c r="ABS54" s="301"/>
      <c r="ABT54" s="301"/>
      <c r="ABU54" s="301"/>
      <c r="ABV54" s="301"/>
      <c r="ABW54" s="301"/>
      <c r="ABX54" s="301"/>
      <c r="ABY54" s="301"/>
      <c r="ABZ54" s="301"/>
      <c r="ACA54" s="301"/>
      <c r="ACB54" s="301"/>
      <c r="ACC54" s="301"/>
      <c r="ACD54" s="301"/>
      <c r="ACE54" s="301"/>
      <c r="ACF54" s="301"/>
      <c r="ACG54" s="301"/>
      <c r="ACH54" s="301"/>
      <c r="ACI54" s="301"/>
      <c r="ACJ54" s="301"/>
      <c r="ACK54" s="301"/>
      <c r="ACL54" s="301"/>
      <c r="ACM54" s="301"/>
      <c r="ACN54" s="301"/>
      <c r="ACO54" s="301"/>
      <c r="ACP54" s="301"/>
      <c r="ACQ54" s="301"/>
      <c r="ACR54" s="301"/>
      <c r="ACS54" s="301"/>
      <c r="ACT54" s="301"/>
      <c r="ACU54" s="301"/>
      <c r="ACV54" s="301"/>
      <c r="ACW54" s="301"/>
      <c r="ACX54" s="301"/>
      <c r="ACY54" s="301"/>
      <c r="ACZ54" s="301"/>
      <c r="ADA54" s="301"/>
      <c r="ADB54" s="301"/>
      <c r="ADC54" s="301"/>
      <c r="ADD54" s="301"/>
      <c r="ADE54" s="301"/>
      <c r="ADF54" s="301"/>
      <c r="ADG54" s="301"/>
      <c r="ADH54" s="301"/>
      <c r="ADI54" s="301"/>
      <c r="ADJ54" s="301"/>
      <c r="ADK54" s="301"/>
      <c r="ADL54" s="301"/>
      <c r="ADM54" s="301"/>
      <c r="ADN54" s="301"/>
      <c r="ADO54" s="301"/>
      <c r="ADP54" s="301"/>
      <c r="ADQ54" s="301"/>
      <c r="ADR54" s="301"/>
      <c r="ADS54" s="301"/>
      <c r="ADT54" s="301"/>
      <c r="ADU54" s="301"/>
      <c r="ADV54" s="301"/>
      <c r="ADW54" s="301"/>
      <c r="ADX54" s="301"/>
      <c r="ADY54" s="301"/>
      <c r="ADZ54" s="301"/>
      <c r="AEA54" s="301"/>
      <c r="AEB54" s="301"/>
      <c r="AEC54" s="301"/>
      <c r="AED54" s="301"/>
      <c r="AEE54" s="301"/>
      <c r="AEF54" s="301"/>
      <c r="AEG54" s="301"/>
      <c r="AEH54" s="301"/>
      <c r="AEI54" s="301"/>
      <c r="AEJ54" s="301"/>
      <c r="AEK54" s="301"/>
      <c r="AEL54" s="301"/>
      <c r="AEM54" s="301"/>
      <c r="AEN54" s="301"/>
      <c r="AEO54" s="301"/>
      <c r="AEP54" s="301"/>
      <c r="AEQ54" s="301"/>
      <c r="AER54" s="301"/>
      <c r="AES54" s="301"/>
      <c r="AET54" s="301"/>
      <c r="AEU54" s="301"/>
      <c r="AEV54" s="301"/>
      <c r="AEW54" s="301"/>
      <c r="AEX54" s="301"/>
      <c r="AEY54" s="301"/>
      <c r="AEZ54" s="301"/>
      <c r="AFA54" s="301"/>
      <c r="AFB54" s="301"/>
      <c r="AFC54" s="301"/>
      <c r="AFD54" s="301"/>
      <c r="AFE54" s="301"/>
      <c r="AFF54" s="301"/>
      <c r="AFG54" s="301"/>
      <c r="AFH54" s="301"/>
      <c r="AFI54" s="301"/>
      <c r="AFJ54" s="301"/>
      <c r="AFK54" s="301"/>
      <c r="AFL54" s="301"/>
      <c r="AFM54" s="301"/>
      <c r="AFN54" s="301"/>
      <c r="AFO54" s="301"/>
      <c r="AFP54" s="301"/>
      <c r="AFQ54" s="301"/>
      <c r="AFR54" s="301"/>
      <c r="AFS54" s="301"/>
      <c r="AFT54" s="301"/>
      <c r="AFU54" s="301"/>
      <c r="AFV54" s="301"/>
      <c r="AFW54" s="301"/>
      <c r="AFX54" s="301"/>
      <c r="AFY54" s="301"/>
      <c r="AFZ54" s="301"/>
      <c r="AGA54" s="301"/>
      <c r="AGB54" s="301"/>
      <c r="AGC54" s="301"/>
      <c r="AGD54" s="301"/>
      <c r="AGE54" s="301"/>
      <c r="AGF54" s="301"/>
      <c r="AGG54" s="301"/>
      <c r="AGH54" s="301"/>
      <c r="AGI54" s="301"/>
      <c r="AGJ54" s="301"/>
      <c r="AGK54" s="301"/>
      <c r="AGL54" s="301"/>
      <c r="AGM54" s="301"/>
      <c r="AGN54" s="301"/>
      <c r="AGO54" s="301"/>
      <c r="AGP54" s="301"/>
      <c r="AGQ54" s="301"/>
      <c r="AGR54" s="301"/>
      <c r="AGS54" s="301"/>
      <c r="AGT54" s="301"/>
      <c r="AGU54" s="301"/>
      <c r="AGV54" s="301"/>
      <c r="AGW54" s="301"/>
      <c r="AGX54" s="301"/>
      <c r="AGY54" s="301"/>
      <c r="AGZ54" s="301"/>
      <c r="AHA54" s="301"/>
      <c r="AHB54" s="301"/>
      <c r="AHC54" s="301"/>
      <c r="AHD54" s="301"/>
      <c r="AHE54" s="301"/>
      <c r="AHF54" s="301"/>
      <c r="AHG54" s="301"/>
      <c r="AHH54" s="301"/>
      <c r="AHI54" s="301"/>
      <c r="AHJ54" s="301"/>
      <c r="AHK54" s="301"/>
      <c r="AHL54" s="301"/>
      <c r="AHM54" s="301"/>
      <c r="AHN54" s="301"/>
      <c r="AHO54" s="301"/>
      <c r="AHP54" s="301"/>
      <c r="AHQ54" s="301"/>
      <c r="AHR54" s="301"/>
      <c r="AHS54" s="301"/>
      <c r="AHT54" s="301"/>
      <c r="AHU54" s="301"/>
      <c r="AHV54" s="301"/>
      <c r="AHW54" s="301"/>
      <c r="AHX54" s="301"/>
      <c r="AHY54" s="301"/>
      <c r="AHZ54" s="301"/>
      <c r="AIA54" s="301"/>
      <c r="AIB54" s="301"/>
      <c r="AIC54" s="301"/>
      <c r="AID54" s="301"/>
      <c r="AIE54" s="301"/>
      <c r="AIF54" s="301"/>
      <c r="AIG54" s="301"/>
      <c r="AIH54" s="301"/>
      <c r="AII54" s="301"/>
      <c r="AIJ54" s="301"/>
      <c r="AIK54" s="301"/>
      <c r="AIL54" s="301"/>
      <c r="AIM54" s="301"/>
      <c r="AIN54" s="301"/>
      <c r="AIO54" s="301"/>
      <c r="AIP54" s="301"/>
      <c r="AIQ54" s="301"/>
      <c r="AIR54" s="301"/>
      <c r="AIS54" s="301"/>
      <c r="AIT54" s="301"/>
      <c r="AIU54" s="301"/>
      <c r="AIV54" s="301"/>
      <c r="AIW54" s="301"/>
      <c r="AIX54" s="301"/>
      <c r="AIY54" s="301"/>
      <c r="AIZ54" s="301"/>
      <c r="AJA54" s="301"/>
      <c r="AJB54" s="301"/>
      <c r="AJC54" s="301"/>
      <c r="AJD54" s="301"/>
      <c r="AJE54" s="301"/>
      <c r="AJF54" s="301"/>
      <c r="AJG54" s="301"/>
      <c r="AJH54" s="301"/>
      <c r="AJI54" s="301"/>
      <c r="AJJ54" s="301"/>
      <c r="AJK54" s="301"/>
      <c r="AJL54" s="301"/>
      <c r="AJM54" s="301"/>
      <c r="AJN54" s="301"/>
      <c r="AJO54" s="301"/>
      <c r="AJP54" s="301"/>
      <c r="AJQ54" s="301"/>
      <c r="AJR54" s="301"/>
      <c r="AJS54" s="301"/>
      <c r="AJT54" s="301"/>
      <c r="AJU54" s="301"/>
      <c r="AJV54" s="301"/>
      <c r="AJW54" s="301"/>
      <c r="AJX54" s="301"/>
      <c r="AJY54" s="301"/>
      <c r="AJZ54" s="301"/>
      <c r="AKA54" s="301"/>
      <c r="AKB54" s="301"/>
      <c r="AKC54" s="301"/>
      <c r="AKD54" s="301"/>
      <c r="AKE54" s="301"/>
      <c r="AKF54" s="301"/>
      <c r="AKG54" s="301"/>
      <c r="AKH54" s="301"/>
      <c r="AKI54" s="301"/>
      <c r="AKJ54" s="301"/>
      <c r="AKK54" s="301"/>
      <c r="AKL54" s="301"/>
      <c r="AKM54" s="301"/>
      <c r="AKN54" s="301"/>
      <c r="AKO54" s="301"/>
      <c r="AKP54" s="301"/>
      <c r="AKQ54" s="301"/>
      <c r="AKR54" s="301"/>
      <c r="AKS54" s="301"/>
      <c r="AKT54" s="301"/>
      <c r="AKU54" s="301"/>
      <c r="AKV54" s="301"/>
      <c r="AKW54" s="301"/>
      <c r="AKX54" s="301"/>
      <c r="AKY54" s="301"/>
      <c r="AKZ54" s="301"/>
      <c r="ALA54" s="301"/>
      <c r="ALB54" s="301"/>
      <c r="ALC54" s="301"/>
      <c r="ALD54" s="301"/>
      <c r="ALE54" s="301"/>
      <c r="ALF54" s="301"/>
      <c r="ALG54" s="301"/>
      <c r="ALH54" s="301"/>
      <c r="ALI54" s="301"/>
      <c r="ALJ54" s="301"/>
      <c r="ALK54" s="301"/>
      <c r="ALL54" s="301"/>
      <c r="ALM54" s="301"/>
      <c r="ALN54" s="301"/>
      <c r="ALO54" s="301"/>
      <c r="ALP54" s="301"/>
      <c r="ALQ54" s="301"/>
      <c r="ALR54" s="301"/>
      <c r="ALS54" s="301"/>
      <c r="ALT54" s="301"/>
      <c r="ALU54" s="301"/>
      <c r="ALV54" s="301"/>
      <c r="ALW54" s="301"/>
      <c r="ALX54" s="301"/>
      <c r="ALY54" s="301"/>
      <c r="ALZ54" s="301"/>
      <c r="AMA54" s="301"/>
      <c r="AMB54" s="301"/>
      <c r="AMC54" s="301"/>
      <c r="AMD54" s="301"/>
      <c r="AME54" s="301"/>
      <c r="AMF54" s="301"/>
      <c r="AMG54" s="301"/>
      <c r="AMH54" s="301"/>
      <c r="AMI54" s="301"/>
      <c r="AMJ54" s="301"/>
      <c r="AMK54" s="301"/>
      <c r="AML54" s="301"/>
      <c r="AMM54" s="301"/>
      <c r="AMN54" s="301"/>
      <c r="AMO54" s="301"/>
      <c r="AMP54" s="301"/>
      <c r="AMQ54" s="301"/>
      <c r="AMR54" s="301"/>
      <c r="AMS54" s="301"/>
      <c r="AMT54" s="301"/>
      <c r="AMU54" s="301"/>
      <c r="AMV54" s="301"/>
      <c r="AMW54" s="301"/>
      <c r="AMX54" s="301"/>
      <c r="AMY54" s="301"/>
      <c r="AMZ54" s="301"/>
      <c r="ANA54" s="301"/>
      <c r="ANB54" s="301"/>
      <c r="ANC54" s="301"/>
      <c r="AND54" s="301"/>
      <c r="ANE54" s="301"/>
      <c r="ANF54" s="301"/>
      <c r="ANG54" s="301"/>
      <c r="ANH54" s="301"/>
      <c r="ANI54" s="301"/>
      <c r="ANJ54" s="301"/>
      <c r="ANK54" s="301"/>
      <c r="ANL54" s="301"/>
      <c r="ANM54" s="301"/>
      <c r="ANN54" s="301"/>
      <c r="ANO54" s="301"/>
      <c r="ANP54" s="301"/>
      <c r="ANQ54" s="301"/>
      <c r="ANR54" s="301"/>
      <c r="ANS54" s="301"/>
      <c r="ANT54" s="301"/>
      <c r="ANU54" s="301"/>
      <c r="ANV54" s="301"/>
      <c r="ANW54" s="301"/>
      <c r="ANX54" s="301"/>
      <c r="ANY54" s="301"/>
      <c r="ANZ54" s="301"/>
      <c r="AOA54" s="301"/>
      <c r="AOB54" s="301"/>
      <c r="AOC54" s="301"/>
      <c r="AOD54" s="301"/>
      <c r="AOE54" s="301"/>
      <c r="AOF54" s="301"/>
      <c r="AOG54" s="301"/>
      <c r="AOH54" s="301"/>
      <c r="AOI54" s="301"/>
      <c r="AOJ54" s="301"/>
      <c r="AOK54" s="301"/>
      <c r="AOL54" s="301"/>
      <c r="AOM54" s="301"/>
      <c r="AON54" s="301"/>
      <c r="AOO54" s="301"/>
      <c r="AOP54" s="301"/>
      <c r="AOQ54" s="301"/>
      <c r="AOR54" s="301"/>
      <c r="AOS54" s="301"/>
      <c r="AOT54" s="301"/>
      <c r="AOU54" s="301"/>
      <c r="AOV54" s="301"/>
      <c r="AOW54" s="301"/>
      <c r="AOX54" s="301"/>
      <c r="AOY54" s="301"/>
      <c r="AOZ54" s="301"/>
      <c r="APA54" s="301"/>
      <c r="APB54" s="301"/>
      <c r="APC54" s="301"/>
      <c r="APD54" s="301"/>
      <c r="APE54" s="301"/>
      <c r="APF54" s="301"/>
      <c r="APG54" s="301"/>
      <c r="APH54" s="301"/>
      <c r="API54" s="301"/>
      <c r="APJ54" s="301"/>
      <c r="APK54" s="301"/>
      <c r="APL54" s="301"/>
      <c r="APM54" s="301"/>
      <c r="APN54" s="301"/>
      <c r="APO54" s="301"/>
      <c r="APP54" s="301"/>
      <c r="APQ54" s="301"/>
      <c r="APR54" s="301"/>
      <c r="APS54" s="301"/>
      <c r="APT54" s="301"/>
      <c r="APU54" s="301"/>
      <c r="APV54" s="301"/>
      <c r="APW54" s="301"/>
      <c r="APX54" s="301"/>
      <c r="APY54" s="301"/>
      <c r="APZ54" s="301"/>
      <c r="AQA54" s="301"/>
      <c r="AQB54" s="301"/>
      <c r="AQC54" s="301"/>
      <c r="AQD54" s="301"/>
      <c r="AQE54" s="301"/>
      <c r="AQF54" s="301"/>
      <c r="AQG54" s="301"/>
      <c r="AQH54" s="301"/>
      <c r="AQI54" s="301"/>
      <c r="AQJ54" s="301"/>
      <c r="AQK54" s="301"/>
      <c r="AQL54" s="301"/>
      <c r="AQM54" s="301"/>
      <c r="AQN54" s="301"/>
      <c r="AQO54" s="301"/>
      <c r="AQP54" s="301"/>
      <c r="AQQ54" s="301"/>
      <c r="AQR54" s="301"/>
      <c r="AQS54" s="301"/>
      <c r="AQT54" s="301"/>
      <c r="AQU54" s="301"/>
      <c r="AQV54" s="301"/>
      <c r="AQW54" s="301"/>
      <c r="AQX54" s="301"/>
      <c r="AQY54" s="301"/>
      <c r="AQZ54" s="301"/>
      <c r="ARA54" s="301"/>
      <c r="ARB54" s="301"/>
      <c r="ARC54" s="301"/>
      <c r="ARD54" s="301"/>
      <c r="ARE54" s="301"/>
      <c r="ARF54" s="301"/>
      <c r="ARG54" s="301"/>
      <c r="ARH54" s="301"/>
      <c r="ARI54" s="301"/>
      <c r="ARJ54" s="301"/>
      <c r="ARK54" s="301"/>
      <c r="ARL54" s="301"/>
      <c r="ARM54" s="301"/>
      <c r="ARN54" s="301"/>
      <c r="ARO54" s="301"/>
      <c r="ARP54" s="301"/>
      <c r="ARQ54" s="301"/>
      <c r="ARR54" s="301"/>
      <c r="ARS54" s="301"/>
      <c r="ART54" s="301"/>
      <c r="ARU54" s="301"/>
      <c r="ARV54" s="301"/>
      <c r="ARW54" s="301"/>
      <c r="ARX54" s="301"/>
      <c r="ARY54" s="301"/>
      <c r="ARZ54" s="301"/>
      <c r="ASA54" s="301"/>
      <c r="ASB54" s="301"/>
      <c r="ASC54" s="301"/>
      <c r="ASD54" s="301"/>
      <c r="ASE54" s="301"/>
      <c r="ASF54" s="301"/>
      <c r="ASG54" s="301"/>
      <c r="ASH54" s="301"/>
      <c r="ASI54" s="301"/>
      <c r="ASJ54" s="301"/>
      <c r="ASK54" s="301"/>
      <c r="ASL54" s="301"/>
      <c r="ASM54" s="301"/>
      <c r="ASN54" s="301"/>
      <c r="ASO54" s="301"/>
      <c r="ASP54" s="301"/>
      <c r="ASQ54" s="301"/>
      <c r="ASR54" s="301"/>
      <c r="ASS54" s="301"/>
      <c r="AST54" s="301"/>
      <c r="ASU54" s="301"/>
      <c r="ASV54" s="301"/>
      <c r="ASW54" s="301"/>
      <c r="ASX54" s="301"/>
      <c r="ASY54" s="301"/>
      <c r="ASZ54" s="301"/>
      <c r="ATA54" s="301"/>
      <c r="ATB54" s="301"/>
      <c r="ATC54" s="301"/>
      <c r="ATD54" s="301"/>
      <c r="ATE54" s="301"/>
      <c r="ATF54" s="301"/>
      <c r="ATG54" s="301"/>
      <c r="ATH54" s="301"/>
      <c r="ATI54" s="301"/>
      <c r="ATJ54" s="301"/>
      <c r="ATK54" s="301"/>
      <c r="ATL54" s="301"/>
      <c r="ATM54" s="301"/>
      <c r="ATN54" s="301"/>
      <c r="ATO54" s="301"/>
      <c r="ATP54" s="301"/>
      <c r="ATQ54" s="301"/>
      <c r="ATR54" s="301"/>
      <c r="ATS54" s="301"/>
      <c r="ATT54" s="301"/>
      <c r="ATU54" s="301"/>
      <c r="ATV54" s="301"/>
      <c r="ATW54" s="301"/>
      <c r="ATX54" s="301"/>
      <c r="ATY54" s="301"/>
      <c r="ATZ54" s="301"/>
      <c r="AUA54" s="301"/>
      <c r="AUB54" s="301"/>
      <c r="AUC54" s="301"/>
      <c r="AUD54" s="301"/>
      <c r="AUE54" s="301"/>
      <c r="AUF54" s="301"/>
      <c r="AUG54" s="301"/>
      <c r="AUH54" s="301"/>
      <c r="AUI54" s="301"/>
      <c r="AUJ54" s="301"/>
      <c r="AUK54" s="301"/>
      <c r="AUL54" s="301"/>
      <c r="AUM54" s="301"/>
      <c r="AUN54" s="301"/>
      <c r="AUO54" s="301"/>
      <c r="AUP54" s="301"/>
      <c r="AUQ54" s="301"/>
      <c r="AUR54" s="301"/>
      <c r="AUS54" s="301"/>
      <c r="AUT54" s="301"/>
      <c r="AUU54" s="301"/>
      <c r="AUV54" s="301"/>
      <c r="AUW54" s="301"/>
      <c r="AUX54" s="301"/>
      <c r="AUY54" s="301"/>
      <c r="AUZ54" s="301"/>
      <c r="AVA54" s="301"/>
      <c r="AVB54" s="301"/>
      <c r="AVC54" s="301"/>
      <c r="AVD54" s="301"/>
      <c r="AVE54" s="301"/>
      <c r="AVF54" s="301"/>
      <c r="AVG54" s="301"/>
      <c r="AVH54" s="301"/>
      <c r="AVI54" s="301"/>
      <c r="AVJ54" s="301"/>
      <c r="AVK54" s="301"/>
      <c r="AVL54" s="301"/>
      <c r="AVM54" s="301"/>
      <c r="AVN54" s="301"/>
      <c r="AVO54" s="301"/>
      <c r="AVP54" s="301"/>
      <c r="AVQ54" s="301"/>
      <c r="AVR54" s="301"/>
      <c r="AVS54" s="301"/>
      <c r="AVT54" s="301"/>
      <c r="AVU54" s="301"/>
      <c r="AVV54" s="301"/>
      <c r="AVW54" s="301"/>
      <c r="AVX54" s="301"/>
      <c r="AVY54" s="301"/>
      <c r="AVZ54" s="301"/>
      <c r="AWA54" s="301"/>
      <c r="AWB54" s="301"/>
      <c r="AWC54" s="301"/>
      <c r="AWD54" s="301"/>
      <c r="AWE54" s="301"/>
      <c r="AWF54" s="301"/>
      <c r="AWG54" s="301"/>
      <c r="AWH54" s="301"/>
      <c r="AWI54" s="301"/>
      <c r="AWJ54" s="301"/>
      <c r="AWK54" s="301"/>
      <c r="AWL54" s="301"/>
      <c r="AWM54" s="301"/>
      <c r="AWN54" s="301"/>
      <c r="AWO54" s="301"/>
      <c r="AWP54" s="301"/>
      <c r="AWQ54" s="301"/>
      <c r="AWR54" s="301"/>
      <c r="AWS54" s="301"/>
      <c r="AWT54" s="301"/>
      <c r="AWU54" s="301"/>
      <c r="AWV54" s="301"/>
      <c r="AWW54" s="301"/>
      <c r="AWX54" s="301"/>
      <c r="AWY54" s="301"/>
      <c r="AWZ54" s="301"/>
      <c r="AXA54" s="301"/>
      <c r="AXB54" s="301"/>
      <c r="AXC54" s="301"/>
      <c r="AXD54" s="301"/>
      <c r="AXE54" s="301"/>
      <c r="AXF54" s="301"/>
      <c r="AXG54" s="301"/>
      <c r="AXH54" s="301"/>
      <c r="AXI54" s="301"/>
      <c r="AXJ54" s="301"/>
      <c r="AXK54" s="301"/>
      <c r="AXL54" s="301"/>
      <c r="AXM54" s="301"/>
      <c r="AXN54" s="301"/>
      <c r="AXO54" s="301"/>
      <c r="AXP54" s="301"/>
      <c r="AXQ54" s="301"/>
      <c r="AXR54" s="301"/>
      <c r="AXS54" s="301"/>
      <c r="AXT54" s="301"/>
      <c r="AXU54" s="301"/>
      <c r="AXV54" s="301"/>
      <c r="AXW54" s="301"/>
      <c r="AXX54" s="301"/>
      <c r="AXY54" s="301"/>
      <c r="AXZ54" s="301"/>
      <c r="AYA54" s="301"/>
      <c r="AYB54" s="301"/>
      <c r="AYC54" s="301"/>
      <c r="AYD54" s="301"/>
      <c r="AYE54" s="301"/>
      <c r="AYF54" s="301"/>
      <c r="AYG54" s="301"/>
      <c r="AYH54" s="301"/>
      <c r="AYI54" s="301"/>
      <c r="AYJ54" s="301"/>
      <c r="AYK54" s="301"/>
      <c r="AYL54" s="301"/>
      <c r="AYM54" s="301"/>
      <c r="AYN54" s="301"/>
      <c r="AYO54" s="301"/>
      <c r="AYP54" s="301"/>
      <c r="AYQ54" s="301"/>
      <c r="AYR54" s="301"/>
      <c r="AYS54" s="301"/>
      <c r="AYT54" s="301"/>
      <c r="AYU54" s="301"/>
      <c r="AYV54" s="301"/>
      <c r="AYW54" s="301"/>
      <c r="AYX54" s="301"/>
      <c r="AYY54" s="301"/>
      <c r="AYZ54" s="301"/>
      <c r="AZA54" s="301"/>
      <c r="AZB54" s="301"/>
      <c r="AZC54" s="301"/>
      <c r="AZD54" s="301"/>
      <c r="AZE54" s="301"/>
      <c r="AZF54" s="301"/>
      <c r="AZG54" s="301"/>
      <c r="AZH54" s="301"/>
      <c r="AZI54" s="301"/>
      <c r="AZJ54" s="301"/>
      <c r="AZK54" s="301"/>
      <c r="AZL54" s="301"/>
      <c r="AZM54" s="301"/>
      <c r="AZN54" s="301"/>
      <c r="AZO54" s="301"/>
      <c r="AZP54" s="301"/>
      <c r="AZQ54" s="301"/>
      <c r="AZR54" s="301"/>
      <c r="AZS54" s="301"/>
      <c r="AZT54" s="301"/>
      <c r="AZU54" s="301"/>
      <c r="AZV54" s="301"/>
      <c r="AZW54" s="301"/>
      <c r="AZX54" s="301"/>
      <c r="AZY54" s="301"/>
      <c r="AZZ54" s="301"/>
      <c r="BAA54" s="301"/>
      <c r="BAB54" s="301"/>
      <c r="BAC54" s="301"/>
      <c r="BAD54" s="301"/>
      <c r="BAE54" s="301"/>
      <c r="BAF54" s="301"/>
      <c r="BAG54" s="301"/>
      <c r="BAH54" s="301"/>
      <c r="BAI54" s="301"/>
      <c r="BAJ54" s="301"/>
      <c r="BAK54" s="301"/>
      <c r="BAL54" s="301"/>
      <c r="BAM54" s="301"/>
      <c r="BAN54" s="301"/>
      <c r="BAO54" s="301"/>
      <c r="BAP54" s="301"/>
      <c r="BAQ54" s="301"/>
      <c r="BAR54" s="301"/>
      <c r="BAS54" s="301"/>
      <c r="BAT54" s="301"/>
      <c r="BAU54" s="301"/>
      <c r="BAV54" s="301"/>
      <c r="BAW54" s="301"/>
      <c r="BAX54" s="301"/>
      <c r="BAY54" s="301"/>
      <c r="BAZ54" s="301"/>
      <c r="BBA54" s="301"/>
      <c r="BBB54" s="301"/>
      <c r="BBC54" s="301"/>
      <c r="BBD54" s="301"/>
      <c r="BBE54" s="301"/>
      <c r="BBF54" s="301"/>
      <c r="BBG54" s="301"/>
      <c r="BBH54" s="301"/>
      <c r="BBI54" s="301"/>
      <c r="BBJ54" s="301"/>
      <c r="BBK54" s="301"/>
      <c r="BBL54" s="301"/>
      <c r="BBM54" s="301"/>
      <c r="BBN54" s="301"/>
      <c r="BBO54" s="301"/>
      <c r="BBP54" s="301"/>
      <c r="BBQ54" s="301"/>
      <c r="BBR54" s="301"/>
      <c r="BBS54" s="301"/>
      <c r="BBT54" s="301"/>
      <c r="BBU54" s="301"/>
      <c r="BBV54" s="301"/>
      <c r="BBW54" s="301"/>
      <c r="BBX54" s="301"/>
      <c r="BBY54" s="301"/>
      <c r="BBZ54" s="301"/>
      <c r="BCA54" s="301"/>
      <c r="BCB54" s="301"/>
      <c r="BCC54" s="301"/>
      <c r="BCD54" s="301"/>
      <c r="BCE54" s="301"/>
      <c r="BCF54" s="301"/>
      <c r="BCG54" s="301"/>
      <c r="BCH54" s="301"/>
      <c r="BCI54" s="301"/>
      <c r="BCJ54" s="301"/>
      <c r="BCK54" s="301"/>
      <c r="BCL54" s="301"/>
      <c r="BCM54" s="301"/>
      <c r="BCN54" s="301"/>
      <c r="BCO54" s="301"/>
      <c r="BCP54" s="301"/>
      <c r="BCQ54" s="301"/>
      <c r="BCR54" s="301"/>
      <c r="BCS54" s="301"/>
      <c r="BCT54" s="301"/>
      <c r="BCU54" s="301"/>
      <c r="BCV54" s="301"/>
      <c r="BCW54" s="301"/>
      <c r="BCX54" s="301"/>
      <c r="BCY54" s="301"/>
      <c r="BCZ54" s="301"/>
      <c r="BDA54" s="301"/>
      <c r="BDB54" s="301"/>
      <c r="BDC54" s="301"/>
      <c r="BDD54" s="301"/>
      <c r="BDE54" s="301"/>
      <c r="BDF54" s="301"/>
      <c r="BDG54" s="301"/>
      <c r="BDH54" s="301"/>
      <c r="BDI54" s="301"/>
      <c r="BDJ54" s="301"/>
      <c r="BDK54" s="301"/>
      <c r="BDL54" s="301"/>
      <c r="BDM54" s="301"/>
      <c r="BDN54" s="301"/>
      <c r="BDO54" s="301"/>
      <c r="BDP54" s="301"/>
      <c r="BDQ54" s="301"/>
      <c r="BDR54" s="301"/>
      <c r="BDS54" s="301"/>
      <c r="BDT54" s="301"/>
      <c r="BDU54" s="301"/>
      <c r="BDV54" s="301"/>
      <c r="BDW54" s="301"/>
      <c r="BDX54" s="301"/>
      <c r="BDY54" s="301"/>
      <c r="BDZ54" s="301"/>
      <c r="BEA54" s="301"/>
      <c r="BEB54" s="301"/>
      <c r="BEC54" s="301"/>
      <c r="BED54" s="301"/>
      <c r="BEE54" s="301"/>
      <c r="BEF54" s="301"/>
      <c r="BEG54" s="301"/>
      <c r="BEH54" s="301"/>
      <c r="BEI54" s="301"/>
      <c r="BEJ54" s="301"/>
      <c r="BEK54" s="301"/>
      <c r="BEL54" s="301"/>
      <c r="BEM54" s="301"/>
      <c r="BEN54" s="301"/>
      <c r="BEO54" s="301"/>
      <c r="BEP54" s="301"/>
      <c r="BEQ54" s="301"/>
      <c r="BER54" s="301"/>
      <c r="BES54" s="301"/>
      <c r="BET54" s="301"/>
      <c r="BEU54" s="301"/>
      <c r="BEV54" s="301"/>
      <c r="BEW54" s="301"/>
      <c r="BEX54" s="301"/>
      <c r="BEY54" s="301"/>
      <c r="BEZ54" s="301"/>
      <c r="BFA54" s="301"/>
      <c r="BFB54" s="301"/>
      <c r="BFC54" s="301"/>
      <c r="BFD54" s="301"/>
      <c r="BFE54" s="301"/>
      <c r="BFF54" s="301"/>
      <c r="BFG54" s="301"/>
      <c r="BFH54" s="301"/>
      <c r="BFI54" s="301"/>
      <c r="BFJ54" s="301"/>
      <c r="BFK54" s="301"/>
      <c r="BFL54" s="301"/>
      <c r="BFM54" s="301"/>
      <c r="BFN54" s="301"/>
      <c r="BFO54" s="301"/>
      <c r="BFP54" s="301"/>
      <c r="BFQ54" s="301"/>
      <c r="BFR54" s="301"/>
      <c r="BFS54" s="301"/>
      <c r="BFT54" s="301"/>
      <c r="BFU54" s="301"/>
      <c r="BFV54" s="301"/>
      <c r="BFW54" s="301"/>
      <c r="BFX54" s="301"/>
      <c r="BFY54" s="301"/>
      <c r="BFZ54" s="301"/>
      <c r="BGA54" s="301"/>
      <c r="BGB54" s="301"/>
      <c r="BGC54" s="301"/>
      <c r="BGD54" s="301"/>
      <c r="BGE54" s="301"/>
      <c r="BGF54" s="301"/>
      <c r="BGG54" s="301"/>
      <c r="BGH54" s="301"/>
      <c r="BGI54" s="301"/>
      <c r="BGJ54" s="301"/>
      <c r="BGK54" s="301"/>
      <c r="BGL54" s="301"/>
      <c r="BGM54" s="301"/>
      <c r="BGN54" s="301"/>
      <c r="BGO54" s="301"/>
      <c r="BGP54" s="301"/>
      <c r="BGQ54" s="301"/>
      <c r="BGR54" s="301"/>
      <c r="BGS54" s="301"/>
      <c r="BGT54" s="301"/>
      <c r="BGU54" s="301"/>
      <c r="BGV54" s="301"/>
      <c r="BGW54" s="301"/>
      <c r="BGX54" s="301"/>
      <c r="BGY54" s="301"/>
      <c r="BGZ54" s="301"/>
      <c r="BHA54" s="301"/>
      <c r="BHB54" s="301"/>
      <c r="BHC54" s="301"/>
      <c r="BHD54" s="301"/>
      <c r="BHE54" s="301"/>
      <c r="BHF54" s="301"/>
      <c r="BHG54" s="301"/>
      <c r="BHH54" s="301"/>
      <c r="BHI54" s="301"/>
      <c r="BHJ54" s="301"/>
      <c r="BHK54" s="301"/>
      <c r="BHL54" s="301"/>
      <c r="BHM54" s="301"/>
      <c r="BHN54" s="301"/>
      <c r="BHO54" s="301"/>
      <c r="BHP54" s="301"/>
      <c r="BHQ54" s="301"/>
      <c r="BHR54" s="301"/>
      <c r="BHS54" s="301"/>
      <c r="BHT54" s="301"/>
      <c r="BHU54" s="301"/>
      <c r="BHV54" s="301"/>
      <c r="BHW54" s="301"/>
      <c r="BHX54" s="301"/>
      <c r="BHY54" s="301"/>
      <c r="BHZ54" s="301"/>
      <c r="BIA54" s="301"/>
      <c r="BIB54" s="301"/>
      <c r="BIC54" s="301"/>
      <c r="BID54" s="301"/>
      <c r="BIE54" s="301"/>
      <c r="BIF54" s="301"/>
      <c r="BIG54" s="301"/>
      <c r="BIH54" s="301"/>
      <c r="BII54" s="301"/>
      <c r="BIJ54" s="301"/>
      <c r="BIK54" s="301"/>
      <c r="BIL54" s="301"/>
      <c r="BIM54" s="301"/>
      <c r="BIN54" s="301"/>
      <c r="BIO54" s="301"/>
      <c r="BIP54" s="301"/>
      <c r="BIQ54" s="301"/>
      <c r="BIR54" s="301"/>
      <c r="BIS54" s="301"/>
      <c r="BIT54" s="301"/>
      <c r="BIU54" s="301"/>
      <c r="BIV54" s="301"/>
      <c r="BIW54" s="301"/>
      <c r="BIX54" s="301"/>
      <c r="BIY54" s="301"/>
      <c r="BIZ54" s="301"/>
      <c r="BJA54" s="301"/>
      <c r="BJB54" s="301"/>
      <c r="BJC54" s="301"/>
      <c r="BJD54" s="301"/>
      <c r="BJE54" s="301"/>
      <c r="BJF54" s="301"/>
      <c r="BJG54" s="301"/>
      <c r="BJH54" s="301"/>
      <c r="BJI54" s="301"/>
      <c r="BJJ54" s="301"/>
      <c r="BJK54" s="301"/>
      <c r="BJL54" s="301"/>
      <c r="BJM54" s="301"/>
      <c r="BJN54" s="301"/>
      <c r="BJO54" s="301"/>
      <c r="BJP54" s="301"/>
      <c r="BJQ54" s="301"/>
      <c r="BJR54" s="301"/>
      <c r="BJS54" s="301"/>
      <c r="BJT54" s="301"/>
      <c r="BJU54" s="301"/>
      <c r="BJV54" s="301"/>
      <c r="BJW54" s="301"/>
      <c r="BJX54" s="301"/>
      <c r="BJY54" s="301"/>
      <c r="BJZ54" s="301"/>
      <c r="BKA54" s="301"/>
      <c r="BKB54" s="301"/>
      <c r="BKC54" s="301"/>
      <c r="BKD54" s="301"/>
      <c r="BKE54" s="301"/>
      <c r="BKF54" s="301"/>
      <c r="BKG54" s="301"/>
      <c r="BKH54" s="301"/>
      <c r="BKI54" s="301"/>
      <c r="BKJ54" s="301"/>
      <c r="BKK54" s="301"/>
      <c r="BKL54" s="301"/>
      <c r="BKM54" s="301"/>
      <c r="BKN54" s="301"/>
      <c r="BKO54" s="301"/>
      <c r="BKP54" s="301"/>
      <c r="BKQ54" s="301"/>
      <c r="BKR54" s="301"/>
      <c r="BKS54" s="301"/>
      <c r="BKT54" s="301"/>
      <c r="BKU54" s="301"/>
      <c r="BKV54" s="301"/>
      <c r="BKW54" s="301"/>
      <c r="BKX54" s="301"/>
      <c r="BKY54" s="301"/>
      <c r="BKZ54" s="301"/>
      <c r="BLA54" s="301"/>
      <c r="BLB54" s="301"/>
      <c r="BLC54" s="301"/>
      <c r="BLD54" s="301"/>
      <c r="BLE54" s="301"/>
      <c r="BLF54" s="301"/>
      <c r="BLG54" s="301"/>
      <c r="BLH54" s="301"/>
      <c r="BLI54" s="301"/>
      <c r="BLJ54" s="301"/>
      <c r="BLK54" s="301"/>
      <c r="BLL54" s="301"/>
      <c r="BLM54" s="301"/>
      <c r="BLN54" s="301"/>
      <c r="BLO54" s="301"/>
      <c r="BLP54" s="301"/>
      <c r="BLQ54" s="301"/>
      <c r="BLR54" s="301"/>
      <c r="BLS54" s="301"/>
      <c r="BLT54" s="301"/>
      <c r="BLU54" s="301"/>
      <c r="BLV54" s="301"/>
      <c r="BLW54" s="301"/>
      <c r="BLX54" s="301"/>
      <c r="BLY54" s="301"/>
      <c r="BLZ54" s="301"/>
      <c r="BMA54" s="301"/>
      <c r="BMB54" s="301"/>
      <c r="BMC54" s="301"/>
      <c r="BMD54" s="301"/>
      <c r="BME54" s="301"/>
      <c r="BMF54" s="301"/>
      <c r="BMG54" s="301"/>
      <c r="BMH54" s="301"/>
      <c r="BMI54" s="301"/>
      <c r="BMJ54" s="301"/>
      <c r="BMK54" s="301"/>
      <c r="BML54" s="301"/>
      <c r="BMM54" s="301"/>
      <c r="BMN54" s="301"/>
      <c r="BMO54" s="301"/>
      <c r="BMP54" s="301"/>
      <c r="BMQ54" s="301"/>
      <c r="BMR54" s="301"/>
      <c r="BMS54" s="301"/>
      <c r="BMT54" s="301"/>
      <c r="BMU54" s="301"/>
      <c r="BMV54" s="301"/>
      <c r="BMW54" s="301"/>
      <c r="BMX54" s="301"/>
      <c r="BMY54" s="301"/>
      <c r="BMZ54" s="301"/>
      <c r="BNA54" s="301"/>
      <c r="BNB54" s="301"/>
      <c r="BNC54" s="301"/>
      <c r="BND54" s="301"/>
      <c r="BNE54" s="301"/>
      <c r="BNF54" s="301"/>
      <c r="BNG54" s="301"/>
      <c r="BNH54" s="301"/>
      <c r="BNI54" s="301"/>
      <c r="BNJ54" s="301"/>
      <c r="BNK54" s="301"/>
      <c r="BNL54" s="301"/>
      <c r="BNM54" s="301"/>
      <c r="BNN54" s="301"/>
      <c r="BNO54" s="301"/>
      <c r="BNP54" s="301"/>
      <c r="BNQ54" s="301"/>
      <c r="BNR54" s="301"/>
      <c r="BNS54" s="301"/>
      <c r="BNT54" s="301"/>
      <c r="BNU54" s="301"/>
      <c r="BNV54" s="301"/>
      <c r="BNW54" s="301"/>
      <c r="BNX54" s="301"/>
      <c r="BNY54" s="301"/>
      <c r="BNZ54" s="301"/>
      <c r="BOA54" s="301"/>
      <c r="BOB54" s="301"/>
      <c r="BOC54" s="301"/>
      <c r="BOD54" s="301"/>
      <c r="BOE54" s="301"/>
      <c r="BOF54" s="301"/>
      <c r="BOG54" s="301"/>
      <c r="BOH54" s="301"/>
      <c r="BOI54" s="301"/>
      <c r="BOJ54" s="301"/>
      <c r="BOK54" s="301"/>
      <c r="BOL54" s="301"/>
      <c r="BOM54" s="301"/>
      <c r="BON54" s="301"/>
      <c r="BOO54" s="301"/>
      <c r="BOP54" s="301"/>
      <c r="BOQ54" s="301"/>
      <c r="BOR54" s="301"/>
      <c r="BOS54" s="301"/>
      <c r="BOT54" s="301"/>
      <c r="BOU54" s="301"/>
      <c r="BOV54" s="301"/>
      <c r="BOW54" s="301"/>
      <c r="BOX54" s="301"/>
      <c r="BOY54" s="301"/>
      <c r="BOZ54" s="301"/>
      <c r="BPA54" s="301"/>
      <c r="BPB54" s="301"/>
      <c r="BPC54" s="301"/>
      <c r="BPD54" s="301"/>
      <c r="BPE54" s="301"/>
      <c r="BPF54" s="301"/>
      <c r="BPG54" s="301"/>
      <c r="BPH54" s="301"/>
      <c r="BPI54" s="301"/>
      <c r="BPJ54" s="301"/>
      <c r="BPK54" s="301"/>
      <c r="BPL54" s="301"/>
      <c r="BPM54" s="301"/>
      <c r="BPN54" s="301"/>
      <c r="BPO54" s="301"/>
      <c r="BPP54" s="301"/>
      <c r="BPQ54" s="301"/>
      <c r="BPR54" s="301"/>
      <c r="BPS54" s="301"/>
      <c r="BPT54" s="301"/>
      <c r="BPU54" s="301"/>
      <c r="BPV54" s="301"/>
      <c r="BPW54" s="301"/>
      <c r="BPX54" s="301"/>
      <c r="BPY54" s="301"/>
      <c r="BPZ54" s="301"/>
      <c r="BQA54" s="301"/>
      <c r="BQB54" s="301"/>
      <c r="BQC54" s="301"/>
      <c r="BQD54" s="301"/>
      <c r="BQE54" s="301"/>
      <c r="BQF54" s="301"/>
      <c r="BQG54" s="301"/>
      <c r="BQH54" s="301"/>
      <c r="BQI54" s="301"/>
      <c r="BQJ54" s="301"/>
      <c r="BQK54" s="301"/>
      <c r="BQL54" s="301"/>
      <c r="BQM54" s="301"/>
      <c r="BQN54" s="301"/>
      <c r="BQO54" s="301"/>
      <c r="BQP54" s="301"/>
      <c r="BQQ54" s="301"/>
      <c r="BQR54" s="301"/>
      <c r="BQS54" s="301"/>
      <c r="BQT54" s="301"/>
      <c r="BQU54" s="301"/>
      <c r="BQV54" s="301"/>
      <c r="BQW54" s="301"/>
      <c r="BQX54" s="301"/>
      <c r="BQY54" s="301"/>
      <c r="BQZ54" s="301"/>
      <c r="BRA54" s="301"/>
      <c r="BRB54" s="301"/>
      <c r="BRC54" s="301"/>
      <c r="BRD54" s="301"/>
      <c r="BRE54" s="301"/>
      <c r="BRF54" s="301"/>
      <c r="BRG54" s="301"/>
      <c r="BRH54" s="301"/>
      <c r="BRI54" s="301"/>
      <c r="BRJ54" s="301"/>
      <c r="BRK54" s="301"/>
      <c r="BRL54" s="301"/>
      <c r="BRM54" s="301"/>
      <c r="BRN54" s="301"/>
      <c r="BRO54" s="301"/>
      <c r="BRP54" s="301"/>
      <c r="BRQ54" s="301"/>
      <c r="BRR54" s="301"/>
      <c r="BRS54" s="301"/>
      <c r="BRT54" s="301"/>
      <c r="BRU54" s="301"/>
      <c r="BRV54" s="301"/>
      <c r="BRW54" s="301"/>
      <c r="BRX54" s="301"/>
      <c r="BRY54" s="301"/>
      <c r="BRZ54" s="301"/>
      <c r="BSA54" s="301"/>
      <c r="BSB54" s="301"/>
      <c r="BSC54" s="301"/>
      <c r="BSD54" s="301"/>
      <c r="BSE54" s="301"/>
      <c r="BSF54" s="301"/>
      <c r="BSG54" s="301"/>
      <c r="BSH54" s="301"/>
      <c r="BSI54" s="301"/>
      <c r="BSJ54" s="301"/>
      <c r="BSK54" s="301"/>
      <c r="BSL54" s="301"/>
      <c r="BSM54" s="301"/>
      <c r="BSN54" s="301"/>
      <c r="BSO54" s="301"/>
      <c r="BSP54" s="301"/>
      <c r="BSQ54" s="301"/>
      <c r="BSR54" s="301"/>
      <c r="BSS54" s="301"/>
      <c r="BST54" s="301"/>
      <c r="BSU54" s="301"/>
      <c r="BSV54" s="301"/>
      <c r="BSW54" s="301"/>
      <c r="BSX54" s="301"/>
      <c r="BSY54" s="301"/>
      <c r="BSZ54" s="301"/>
      <c r="BTA54" s="301"/>
    </row>
    <row r="55" spans="1:1873" s="23" customFormat="1" x14ac:dyDescent="0.2">
      <c r="A55" s="29"/>
      <c r="B55" s="29"/>
      <c r="C55" s="29"/>
      <c r="D55" s="29"/>
      <c r="E55" s="66"/>
      <c r="F55" s="658"/>
      <c r="G55" s="29"/>
      <c r="H55" s="659"/>
      <c r="I55" s="29"/>
      <c r="J55" s="29"/>
      <c r="K55" s="29"/>
      <c r="L55" s="29"/>
      <c r="M55" s="31"/>
      <c r="N55" s="31"/>
      <c r="O55" s="30"/>
      <c r="P55" s="31"/>
      <c r="Q55" s="29"/>
      <c r="R55" s="31"/>
      <c r="S55" s="29"/>
      <c r="T55" s="31"/>
      <c r="U55" s="31"/>
      <c r="V55" s="31"/>
      <c r="W55" s="31"/>
      <c r="X55" s="31"/>
      <c r="Y55" s="31"/>
      <c r="Z55" s="29"/>
      <c r="AA55" s="275"/>
      <c r="AB55" s="31"/>
      <c r="AC55" s="29"/>
      <c r="AD55" s="29"/>
      <c r="AE55" s="29"/>
      <c r="AF55" s="29"/>
      <c r="AG55" s="29"/>
      <c r="AH55" s="29"/>
      <c r="AI55" s="29"/>
      <c r="AJ55" s="29"/>
      <c r="AK55" s="29"/>
      <c r="AL55" s="29"/>
      <c r="AM55" s="29"/>
      <c r="AN55" s="29"/>
      <c r="AO55" s="29"/>
      <c r="AP55" s="29"/>
      <c r="AQ55" s="29"/>
      <c r="AR55" s="29"/>
      <c r="AS55" s="29"/>
      <c r="AT55" s="29"/>
      <c r="AU55" s="29"/>
      <c r="AV55" s="29"/>
      <c r="AW55" s="29"/>
      <c r="AX55" s="29"/>
      <c r="AY55" s="29"/>
      <c r="AZ55" s="29"/>
      <c r="BA55" s="29"/>
      <c r="BB55" s="29"/>
      <c r="BC55" s="29"/>
      <c r="BD55" s="29"/>
      <c r="BE55" s="29"/>
      <c r="BF55" s="29"/>
      <c r="BG55" s="29"/>
      <c r="BH55" s="29"/>
      <c r="BI55" s="29"/>
      <c r="BJ55" s="30"/>
      <c r="BK55" s="30"/>
      <c r="BL55" s="29"/>
      <c r="BM55" s="29"/>
      <c r="BN55" s="29"/>
      <c r="BO55" s="29"/>
      <c r="BP55" s="29"/>
      <c r="BQ55" s="29"/>
      <c r="BR55" s="30"/>
      <c r="BS55" s="30"/>
      <c r="BT55" s="30"/>
      <c r="BU55" s="30"/>
      <c r="BV55" s="30"/>
      <c r="BW55" s="30"/>
      <c r="BX55" s="30"/>
      <c r="BY55" s="29"/>
      <c r="BZ55" s="98"/>
      <c r="CA55" s="98"/>
      <c r="CC55" s="658"/>
      <c r="CD55" s="29"/>
      <c r="CE55" s="342" t="s">
        <v>1576</v>
      </c>
      <c r="CF55" s="342" t="s">
        <v>1575</v>
      </c>
      <c r="CG55" s="659"/>
    </row>
    <row r="56" spans="1:1873" s="23" customFormat="1" x14ac:dyDescent="0.2">
      <c r="A56" s="234" t="s">
        <v>650</v>
      </c>
      <c r="B56" s="234" t="s">
        <v>618</v>
      </c>
      <c r="C56" s="234" t="s">
        <v>778</v>
      </c>
      <c r="D56" s="234" t="s">
        <v>633</v>
      </c>
      <c r="E56" s="493" t="s">
        <v>634</v>
      </c>
      <c r="F56" s="493">
        <v>1</v>
      </c>
      <c r="G56" s="234">
        <v>1</v>
      </c>
      <c r="H56" s="491">
        <v>2</v>
      </c>
      <c r="I56" s="234" t="s">
        <v>954</v>
      </c>
      <c r="J56" s="234" t="s">
        <v>651</v>
      </c>
      <c r="K56" s="234" t="s">
        <v>957</v>
      </c>
      <c r="L56" s="234">
        <v>1996</v>
      </c>
      <c r="M56" s="389">
        <v>-9999</v>
      </c>
      <c r="N56" s="491">
        <v>-9999</v>
      </c>
      <c r="O56" s="29"/>
      <c r="P56" s="389">
        <v>5.69</v>
      </c>
      <c r="Q56" s="234">
        <v>0.47</v>
      </c>
      <c r="R56" s="389"/>
      <c r="S56" s="234"/>
      <c r="T56" s="237">
        <f>P56/+G56</f>
        <v>5.69</v>
      </c>
      <c r="U56" s="237">
        <f>0.47/1</f>
        <v>0.47</v>
      </c>
      <c r="V56" s="237"/>
      <c r="W56" s="237">
        <f>+P56</f>
        <v>5.69</v>
      </c>
      <c r="X56" s="234">
        <v>-9999</v>
      </c>
      <c r="Y56" s="234"/>
      <c r="Z56" s="234" t="s">
        <v>20</v>
      </c>
      <c r="AA56" s="495">
        <v>15152</v>
      </c>
      <c r="AB56" s="389">
        <v>-9999</v>
      </c>
      <c r="AC56" s="234">
        <v>-9999</v>
      </c>
      <c r="AD56" s="234">
        <v>65</v>
      </c>
      <c r="AE56" s="390" t="s">
        <v>1952</v>
      </c>
      <c r="AF56" s="234">
        <v>3</v>
      </c>
      <c r="AG56" s="234" t="s">
        <v>652</v>
      </c>
      <c r="AH56" s="234" t="s">
        <v>623</v>
      </c>
      <c r="AI56" s="234">
        <v>-9999</v>
      </c>
      <c r="AJ56" s="491">
        <v>-9999</v>
      </c>
      <c r="AK56" s="234" t="s">
        <v>625</v>
      </c>
      <c r="AL56" s="234" t="s">
        <v>653</v>
      </c>
      <c r="AM56" s="234">
        <v>-9999</v>
      </c>
      <c r="AN56" s="234" t="s">
        <v>631</v>
      </c>
      <c r="AO56" s="234">
        <v>-9999</v>
      </c>
      <c r="AP56" s="234">
        <v>-9999</v>
      </c>
      <c r="AQ56" s="234" t="s">
        <v>631</v>
      </c>
      <c r="AR56" s="234">
        <v>0</v>
      </c>
      <c r="AS56" s="234">
        <v>-9999</v>
      </c>
      <c r="AT56" s="234">
        <v>-9999</v>
      </c>
      <c r="AU56" s="234">
        <v>0</v>
      </c>
      <c r="AV56" s="234">
        <v>-9999</v>
      </c>
      <c r="AW56" s="234">
        <v>-9999</v>
      </c>
      <c r="AX56" s="234">
        <v>0</v>
      </c>
      <c r="AY56" s="234">
        <v>-9999</v>
      </c>
      <c r="AZ56" s="234">
        <v>-9999</v>
      </c>
      <c r="BA56" s="234" t="s">
        <v>21</v>
      </c>
      <c r="BB56" s="234" t="s">
        <v>626</v>
      </c>
      <c r="BC56" s="234" t="s">
        <v>22</v>
      </c>
      <c r="BD56" s="234" t="s">
        <v>653</v>
      </c>
      <c r="BE56" s="234" t="s">
        <v>23</v>
      </c>
      <c r="BF56" s="234" t="s">
        <v>24</v>
      </c>
      <c r="BG56" s="234" t="s">
        <v>653</v>
      </c>
      <c r="BH56" s="234" t="s">
        <v>25</v>
      </c>
      <c r="BI56" s="234" t="s">
        <v>26</v>
      </c>
      <c r="BJ56" s="491">
        <v>-9999</v>
      </c>
      <c r="BK56" s="491">
        <v>-9999</v>
      </c>
      <c r="BL56" s="491">
        <v>-9999</v>
      </c>
      <c r="BM56" s="491">
        <v>-9999</v>
      </c>
      <c r="BN56" s="491">
        <v>-9999</v>
      </c>
      <c r="BO56" s="491">
        <v>-9999</v>
      </c>
      <c r="BP56" s="491">
        <v>-9999</v>
      </c>
      <c r="BQ56" s="491">
        <v>-9999</v>
      </c>
      <c r="BR56" s="491">
        <v>-9999</v>
      </c>
      <c r="BS56" s="491">
        <v>-9999</v>
      </c>
      <c r="BT56" s="491">
        <v>-9999</v>
      </c>
      <c r="BU56" s="491">
        <v>-9999</v>
      </c>
      <c r="BV56" s="491">
        <v>-9999</v>
      </c>
      <c r="BW56" s="491"/>
      <c r="BX56" s="491">
        <v>-9999</v>
      </c>
      <c r="BY56" s="491">
        <v>-9999</v>
      </c>
      <c r="BZ56" s="497">
        <v>-9999</v>
      </c>
      <c r="CA56" s="497" t="s">
        <v>834</v>
      </c>
      <c r="CB56" s="499"/>
      <c r="CC56" s="493">
        <v>1</v>
      </c>
      <c r="CD56" s="234">
        <v>1</v>
      </c>
      <c r="CE56" s="292">
        <v>5.69</v>
      </c>
      <c r="CF56" s="292">
        <v>5.69</v>
      </c>
      <c r="CG56" s="72">
        <v>2</v>
      </c>
    </row>
    <row r="57" spans="1:1873" s="23" customFormat="1" x14ac:dyDescent="0.2">
      <c r="A57" s="234" t="s">
        <v>650</v>
      </c>
      <c r="B57" s="234" t="s">
        <v>618</v>
      </c>
      <c r="C57" s="234" t="s">
        <v>778</v>
      </c>
      <c r="D57" s="234" t="s">
        <v>633</v>
      </c>
      <c r="E57" s="493" t="s">
        <v>634</v>
      </c>
      <c r="F57" s="493">
        <v>1</v>
      </c>
      <c r="G57" s="234">
        <v>2</v>
      </c>
      <c r="H57" s="491">
        <v>3</v>
      </c>
      <c r="I57" s="234" t="s">
        <v>954</v>
      </c>
      <c r="J57" s="234" t="s">
        <v>651</v>
      </c>
      <c r="K57" s="234" t="s">
        <v>957</v>
      </c>
      <c r="L57" s="234">
        <v>1997</v>
      </c>
      <c r="M57" s="389">
        <v>-9999</v>
      </c>
      <c r="N57" s="491">
        <v>-9999</v>
      </c>
      <c r="O57" s="29"/>
      <c r="P57" s="389">
        <v>13.42</v>
      </c>
      <c r="Q57" s="234">
        <v>1.34</v>
      </c>
      <c r="R57" s="389"/>
      <c r="S57" s="234"/>
      <c r="T57" s="237">
        <f>P57/+G57</f>
        <v>6.71</v>
      </c>
      <c r="U57" s="237">
        <f>1.34/2</f>
        <v>0.67</v>
      </c>
      <c r="V57" s="237"/>
      <c r="W57" s="237">
        <f>+P57-P56</f>
        <v>7.7299999999999995</v>
      </c>
      <c r="X57" s="234">
        <v>-9999</v>
      </c>
      <c r="Y57" s="234"/>
      <c r="Z57" s="234" t="s">
        <v>20</v>
      </c>
      <c r="AA57" s="495">
        <v>15152</v>
      </c>
      <c r="AB57" s="389">
        <v>-9999</v>
      </c>
      <c r="AC57" s="234">
        <v>-9999</v>
      </c>
      <c r="AD57" s="234">
        <v>65</v>
      </c>
      <c r="AE57" s="390" t="s">
        <v>1952</v>
      </c>
      <c r="AF57" s="234">
        <v>3</v>
      </c>
      <c r="AG57" s="234" t="s">
        <v>652</v>
      </c>
      <c r="AH57" s="234" t="s">
        <v>623</v>
      </c>
      <c r="AI57" s="234">
        <v>-9999</v>
      </c>
      <c r="AJ57" s="491">
        <v>-9999</v>
      </c>
      <c r="AK57" s="234" t="s">
        <v>625</v>
      </c>
      <c r="AL57" s="234" t="s">
        <v>653</v>
      </c>
      <c r="AM57" s="234">
        <v>-9999</v>
      </c>
      <c r="AN57" s="234" t="s">
        <v>631</v>
      </c>
      <c r="AO57" s="234">
        <v>-9999</v>
      </c>
      <c r="AP57" s="234">
        <v>-9999</v>
      </c>
      <c r="AQ57" s="234" t="s">
        <v>631</v>
      </c>
      <c r="AR57" s="234">
        <v>0</v>
      </c>
      <c r="AS57" s="234">
        <v>-9999</v>
      </c>
      <c r="AT57" s="234">
        <v>-9999</v>
      </c>
      <c r="AU57" s="234">
        <v>0</v>
      </c>
      <c r="AV57" s="234">
        <v>-9999</v>
      </c>
      <c r="AW57" s="234">
        <v>-9999</v>
      </c>
      <c r="AX57" s="234">
        <v>0</v>
      </c>
      <c r="AY57" s="234">
        <v>-9999</v>
      </c>
      <c r="AZ57" s="234">
        <v>-9999</v>
      </c>
      <c r="BA57" s="234" t="s">
        <v>21</v>
      </c>
      <c r="BB57" s="234" t="s">
        <v>626</v>
      </c>
      <c r="BC57" s="234" t="s">
        <v>22</v>
      </c>
      <c r="BD57" s="234" t="s">
        <v>653</v>
      </c>
      <c r="BE57" s="234" t="s">
        <v>23</v>
      </c>
      <c r="BF57" s="234" t="s">
        <v>24</v>
      </c>
      <c r="BG57" s="234" t="s">
        <v>653</v>
      </c>
      <c r="BH57" s="234" t="s">
        <v>25</v>
      </c>
      <c r="BI57" s="234" t="s">
        <v>26</v>
      </c>
      <c r="BJ57" s="491">
        <v>-9999</v>
      </c>
      <c r="BK57" s="491">
        <v>-9999</v>
      </c>
      <c r="BL57" s="491">
        <v>-9999</v>
      </c>
      <c r="BM57" s="491">
        <v>-9999</v>
      </c>
      <c r="BN57" s="491">
        <v>-9999</v>
      </c>
      <c r="BO57" s="491">
        <v>-9999</v>
      </c>
      <c r="BP57" s="491">
        <v>-9999</v>
      </c>
      <c r="BQ57" s="491">
        <v>-9999</v>
      </c>
      <c r="BR57" s="491">
        <v>-9999</v>
      </c>
      <c r="BS57" s="491">
        <v>-9999</v>
      </c>
      <c r="BT57" s="491">
        <v>-9999</v>
      </c>
      <c r="BU57" s="491">
        <v>-9999</v>
      </c>
      <c r="BV57" s="491">
        <v>-9999</v>
      </c>
      <c r="BW57" s="491"/>
      <c r="BX57" s="491">
        <v>-9999</v>
      </c>
      <c r="BY57" s="491">
        <v>-9999</v>
      </c>
      <c r="BZ57" s="497">
        <v>-9999</v>
      </c>
      <c r="CA57" s="497" t="s">
        <v>834</v>
      </c>
      <c r="CB57" s="499"/>
      <c r="CC57" s="493">
        <v>1</v>
      </c>
      <c r="CD57" s="234">
        <v>2</v>
      </c>
      <c r="CE57" s="292">
        <v>6.71</v>
      </c>
      <c r="CF57" s="292">
        <v>7.7299999999999995</v>
      </c>
      <c r="CG57" s="72">
        <v>3</v>
      </c>
    </row>
    <row r="58" spans="1:1873" s="179" customFormat="1" x14ac:dyDescent="0.2">
      <c r="A58" s="390" t="s">
        <v>650</v>
      </c>
      <c r="B58" s="234" t="s">
        <v>618</v>
      </c>
      <c r="C58" s="234" t="s">
        <v>778</v>
      </c>
      <c r="D58" s="234" t="s">
        <v>633</v>
      </c>
      <c r="E58" s="493" t="s">
        <v>634</v>
      </c>
      <c r="F58" s="493">
        <v>1</v>
      </c>
      <c r="G58" s="234">
        <v>3</v>
      </c>
      <c r="H58" s="491">
        <v>4</v>
      </c>
      <c r="I58" s="234" t="s">
        <v>954</v>
      </c>
      <c r="J58" s="234" t="s">
        <v>651</v>
      </c>
      <c r="K58" s="234" t="s">
        <v>957</v>
      </c>
      <c r="L58" s="234">
        <v>1998</v>
      </c>
      <c r="M58" s="389">
        <v>25.1</v>
      </c>
      <c r="N58" s="491">
        <v>-9999</v>
      </c>
      <c r="O58" s="29"/>
      <c r="P58" s="389">
        <v>25.1</v>
      </c>
      <c r="Q58" s="234">
        <v>1.26</v>
      </c>
      <c r="R58" s="389"/>
      <c r="S58" s="234"/>
      <c r="T58" s="237">
        <f>P58/G58</f>
        <v>8.3666666666666671</v>
      </c>
      <c r="U58" s="237">
        <f>1.26/3</f>
        <v>0.42</v>
      </c>
      <c r="V58" s="237"/>
      <c r="W58" s="237">
        <f>+P58-P57</f>
        <v>11.680000000000001</v>
      </c>
      <c r="X58" s="234">
        <v>-9999</v>
      </c>
      <c r="Y58" s="234"/>
      <c r="Z58" s="234" t="s">
        <v>20</v>
      </c>
      <c r="AA58" s="495">
        <v>15152</v>
      </c>
      <c r="AB58" s="389">
        <v>-9999</v>
      </c>
      <c r="AC58" s="234">
        <v>-9999</v>
      </c>
      <c r="AD58" s="234">
        <v>65</v>
      </c>
      <c r="AE58" s="390" t="s">
        <v>1952</v>
      </c>
      <c r="AF58" s="234">
        <v>3</v>
      </c>
      <c r="AG58" s="234" t="s">
        <v>652</v>
      </c>
      <c r="AH58" s="234" t="s">
        <v>623</v>
      </c>
      <c r="AI58" s="234">
        <v>-9999</v>
      </c>
      <c r="AJ58" s="491">
        <v>-9999</v>
      </c>
      <c r="AK58" s="234" t="s">
        <v>625</v>
      </c>
      <c r="AL58" s="234" t="s">
        <v>653</v>
      </c>
      <c r="AM58" s="234">
        <v>-9999</v>
      </c>
      <c r="AN58" s="234" t="s">
        <v>631</v>
      </c>
      <c r="AO58" s="234">
        <v>-9999</v>
      </c>
      <c r="AP58" s="234">
        <v>-9999</v>
      </c>
      <c r="AQ58" s="234" t="s">
        <v>631</v>
      </c>
      <c r="AR58" s="234">
        <v>0</v>
      </c>
      <c r="AS58" s="234">
        <v>-9999</v>
      </c>
      <c r="AT58" s="234">
        <v>-9999</v>
      </c>
      <c r="AU58" s="234">
        <v>0</v>
      </c>
      <c r="AV58" s="234">
        <v>-9999</v>
      </c>
      <c r="AW58" s="234">
        <v>-9999</v>
      </c>
      <c r="AX58" s="234">
        <v>0</v>
      </c>
      <c r="AY58" s="234">
        <v>-9999</v>
      </c>
      <c r="AZ58" s="234">
        <v>-9999</v>
      </c>
      <c r="BA58" s="234" t="s">
        <v>21</v>
      </c>
      <c r="BB58" s="234" t="s">
        <v>626</v>
      </c>
      <c r="BC58" s="234" t="s">
        <v>22</v>
      </c>
      <c r="BD58" s="234" t="s">
        <v>653</v>
      </c>
      <c r="BE58" s="234" t="s">
        <v>23</v>
      </c>
      <c r="BF58" s="234" t="s">
        <v>24</v>
      </c>
      <c r="BG58" s="234" t="s">
        <v>653</v>
      </c>
      <c r="BH58" s="234" t="s">
        <v>25</v>
      </c>
      <c r="BI58" s="234" t="s">
        <v>26</v>
      </c>
      <c r="BJ58" s="491">
        <v>-9999</v>
      </c>
      <c r="BK58" s="491">
        <v>-9999</v>
      </c>
      <c r="BL58" s="491">
        <v>-9999</v>
      </c>
      <c r="BM58" s="491">
        <v>-9999</v>
      </c>
      <c r="BN58" s="491">
        <v>-9999</v>
      </c>
      <c r="BO58" s="491">
        <v>-9999</v>
      </c>
      <c r="BP58" s="491">
        <v>-9999</v>
      </c>
      <c r="BQ58" s="491">
        <v>-9999</v>
      </c>
      <c r="BR58" s="491">
        <v>-9999</v>
      </c>
      <c r="BS58" s="491">
        <v>-9999</v>
      </c>
      <c r="BT58" s="491">
        <v>-9999</v>
      </c>
      <c r="BU58" s="491">
        <v>-9999</v>
      </c>
      <c r="BV58" s="491">
        <v>-9999</v>
      </c>
      <c r="BW58" s="491"/>
      <c r="BX58" s="491">
        <v>-9999</v>
      </c>
      <c r="BY58" s="491">
        <v>-9999</v>
      </c>
      <c r="BZ58" s="497">
        <v>-9999</v>
      </c>
      <c r="CA58" s="497" t="s">
        <v>834</v>
      </c>
      <c r="CB58" s="499"/>
      <c r="CC58" s="493">
        <v>1</v>
      </c>
      <c r="CD58" s="234">
        <v>3</v>
      </c>
      <c r="CE58" s="292">
        <v>8.3666666666666671</v>
      </c>
      <c r="CF58" s="292">
        <v>11.680000000000001</v>
      </c>
      <c r="CG58" s="491">
        <v>4</v>
      </c>
      <c r="CH58" s="301" t="s">
        <v>1757</v>
      </c>
      <c r="CI58" s="23"/>
      <c r="CJ58" s="23"/>
      <c r="CK58" s="23"/>
      <c r="CL58" s="23"/>
      <c r="CM58" s="23"/>
      <c r="CN58" s="23"/>
      <c r="CO58" s="23"/>
      <c r="CP58" s="23"/>
      <c r="CQ58" s="23"/>
      <c r="CR58" s="23"/>
      <c r="CS58" s="23"/>
      <c r="CT58" s="23"/>
      <c r="CU58" s="23"/>
      <c r="CV58" s="23"/>
      <c r="CW58" s="23"/>
      <c r="CX58" s="23"/>
      <c r="CY58" s="23"/>
      <c r="CZ58" s="23"/>
      <c r="DA58" s="23"/>
      <c r="DB58" s="23"/>
      <c r="DC58" s="23"/>
      <c r="DD58" s="23"/>
      <c r="DE58" s="23"/>
      <c r="DF58" s="23"/>
      <c r="DG58" s="23"/>
      <c r="DH58" s="23"/>
      <c r="DI58" s="23"/>
      <c r="DJ58" s="23"/>
      <c r="DK58" s="23"/>
      <c r="DL58" s="23"/>
      <c r="DM58" s="23"/>
      <c r="DN58" s="23"/>
      <c r="DO58" s="23"/>
      <c r="DP58" s="23"/>
      <c r="DQ58" s="23"/>
      <c r="DR58" s="23"/>
      <c r="DS58" s="23"/>
      <c r="DT58" s="23"/>
      <c r="DU58" s="23"/>
      <c r="DV58" s="23"/>
      <c r="DW58" s="23"/>
      <c r="DX58" s="23"/>
      <c r="DY58" s="23"/>
      <c r="DZ58" s="23"/>
      <c r="EA58" s="23"/>
      <c r="EB58" s="23"/>
      <c r="EC58" s="23"/>
      <c r="ED58" s="23"/>
      <c r="EE58" s="23"/>
      <c r="EF58" s="23"/>
      <c r="EG58" s="23"/>
      <c r="EH58" s="23"/>
      <c r="EI58" s="23"/>
      <c r="EJ58" s="23"/>
      <c r="EK58" s="23"/>
      <c r="EL58" s="23"/>
      <c r="EM58" s="23"/>
      <c r="EN58" s="23"/>
      <c r="EO58" s="23"/>
      <c r="EP58" s="23"/>
      <c r="EQ58" s="23"/>
      <c r="ER58" s="23"/>
      <c r="ES58" s="23"/>
      <c r="ET58" s="23"/>
      <c r="EU58" s="23"/>
      <c r="EV58" s="23"/>
      <c r="EW58" s="23"/>
      <c r="EX58" s="23"/>
      <c r="EY58" s="23"/>
      <c r="EZ58" s="23"/>
      <c r="FA58" s="23"/>
      <c r="FB58" s="23"/>
      <c r="FC58" s="23"/>
      <c r="FD58" s="23"/>
      <c r="FE58" s="23"/>
      <c r="FF58" s="23"/>
      <c r="FG58" s="23"/>
      <c r="FH58" s="23"/>
      <c r="FI58" s="23"/>
      <c r="FJ58" s="23"/>
      <c r="FK58" s="23"/>
      <c r="FL58" s="23"/>
      <c r="FM58" s="23"/>
      <c r="FN58" s="23"/>
      <c r="FO58" s="23"/>
      <c r="FP58" s="23"/>
      <c r="FQ58" s="23"/>
      <c r="FR58" s="23"/>
      <c r="FS58" s="23"/>
      <c r="FT58" s="23"/>
      <c r="FU58" s="23"/>
      <c r="FV58" s="23"/>
      <c r="FW58" s="23"/>
      <c r="FX58" s="23"/>
      <c r="FY58" s="23"/>
      <c r="FZ58" s="23"/>
      <c r="GA58" s="23"/>
      <c r="GB58" s="23"/>
      <c r="GC58" s="23"/>
      <c r="GD58" s="23"/>
      <c r="GE58" s="23"/>
      <c r="GF58" s="23"/>
      <c r="GG58" s="23"/>
      <c r="GH58" s="23"/>
      <c r="GI58" s="23"/>
      <c r="GJ58" s="23"/>
      <c r="GK58" s="23"/>
      <c r="GL58" s="23"/>
      <c r="GM58" s="23"/>
      <c r="GN58" s="23"/>
      <c r="GO58" s="23"/>
      <c r="GP58" s="23"/>
      <c r="GQ58" s="23"/>
      <c r="GR58" s="23"/>
      <c r="GS58" s="23"/>
      <c r="GT58" s="23"/>
      <c r="GU58" s="23"/>
      <c r="GV58" s="23"/>
      <c r="GW58" s="23"/>
      <c r="GX58" s="23"/>
      <c r="GY58" s="23"/>
      <c r="GZ58" s="23"/>
      <c r="HA58" s="23"/>
      <c r="HB58" s="23"/>
      <c r="HC58" s="23"/>
      <c r="HD58" s="23"/>
      <c r="HE58" s="23"/>
      <c r="HF58" s="23"/>
      <c r="HG58" s="23"/>
      <c r="HH58" s="23"/>
      <c r="HI58" s="23"/>
      <c r="HJ58" s="23"/>
      <c r="HK58" s="23"/>
      <c r="HL58" s="23"/>
      <c r="HM58" s="23"/>
      <c r="HN58" s="23"/>
      <c r="HO58" s="23"/>
      <c r="HP58" s="23"/>
      <c r="HQ58" s="23"/>
      <c r="HR58" s="23"/>
      <c r="HS58" s="23"/>
      <c r="HT58" s="23"/>
      <c r="HU58" s="23"/>
      <c r="HV58" s="23"/>
      <c r="HW58" s="23"/>
      <c r="HX58" s="23"/>
      <c r="HY58" s="23"/>
      <c r="HZ58" s="23"/>
      <c r="IA58" s="23"/>
      <c r="IB58" s="23"/>
      <c r="IC58" s="23"/>
      <c r="ID58" s="23"/>
      <c r="IE58" s="23"/>
      <c r="IF58" s="23"/>
      <c r="IG58" s="23"/>
      <c r="IH58" s="23"/>
      <c r="II58" s="23"/>
      <c r="IJ58" s="23"/>
      <c r="IK58" s="23"/>
      <c r="IL58" s="23"/>
      <c r="IM58" s="23"/>
      <c r="IN58" s="23"/>
      <c r="IO58" s="23"/>
      <c r="IP58" s="23"/>
      <c r="IQ58" s="23"/>
      <c r="IR58" s="23"/>
      <c r="IS58" s="23"/>
      <c r="IT58" s="23"/>
      <c r="IU58" s="23"/>
      <c r="IV58" s="23"/>
      <c r="IW58" s="23"/>
      <c r="IX58" s="23"/>
      <c r="IY58" s="23"/>
      <c r="IZ58" s="23"/>
      <c r="JA58" s="23"/>
      <c r="JB58" s="23"/>
      <c r="JC58" s="23"/>
      <c r="JD58" s="23"/>
      <c r="JE58" s="23"/>
      <c r="JF58" s="23"/>
      <c r="JG58" s="23"/>
      <c r="JH58" s="23"/>
      <c r="JI58" s="23"/>
      <c r="JJ58" s="23"/>
      <c r="JK58" s="23"/>
      <c r="JL58" s="23"/>
      <c r="JM58" s="23"/>
      <c r="JN58" s="23"/>
      <c r="JO58" s="23"/>
      <c r="JP58" s="23"/>
      <c r="JQ58" s="23"/>
      <c r="JR58" s="23"/>
      <c r="JS58" s="23"/>
      <c r="JT58" s="23"/>
      <c r="JU58" s="23"/>
      <c r="JV58" s="23"/>
      <c r="JW58" s="23"/>
      <c r="JX58" s="23"/>
      <c r="JY58" s="23"/>
      <c r="JZ58" s="23"/>
      <c r="KA58" s="23"/>
      <c r="KB58" s="23"/>
      <c r="KC58" s="23"/>
      <c r="KD58" s="23"/>
      <c r="KE58" s="23"/>
      <c r="KF58" s="23"/>
      <c r="KG58" s="23"/>
      <c r="KH58" s="23"/>
      <c r="KI58" s="23"/>
      <c r="KJ58" s="23"/>
      <c r="KK58" s="23"/>
      <c r="KL58" s="23"/>
      <c r="KM58" s="23"/>
      <c r="KN58" s="23"/>
      <c r="KO58" s="23"/>
      <c r="KP58" s="23"/>
      <c r="KQ58" s="23"/>
      <c r="KR58" s="23"/>
      <c r="KS58" s="23"/>
      <c r="KT58" s="23"/>
      <c r="KU58" s="23"/>
      <c r="KV58" s="23"/>
      <c r="KW58" s="23"/>
      <c r="KX58" s="23"/>
      <c r="KY58" s="23"/>
      <c r="KZ58" s="23"/>
      <c r="LA58" s="23"/>
      <c r="LB58" s="23"/>
      <c r="LC58" s="23"/>
      <c r="LD58" s="23"/>
      <c r="LE58" s="23"/>
      <c r="LF58" s="23"/>
      <c r="LG58" s="23"/>
      <c r="LH58" s="23"/>
      <c r="LI58" s="23"/>
      <c r="LJ58" s="23"/>
      <c r="LK58" s="23"/>
      <c r="LL58" s="23"/>
      <c r="LM58" s="23"/>
      <c r="LN58" s="23"/>
      <c r="LO58" s="23"/>
      <c r="LP58" s="23"/>
      <c r="LQ58" s="23"/>
      <c r="LR58" s="23"/>
      <c r="LS58" s="23"/>
      <c r="LT58" s="23"/>
      <c r="LU58" s="23"/>
      <c r="LV58" s="23"/>
      <c r="LW58" s="23"/>
      <c r="LX58" s="23"/>
      <c r="LY58" s="23"/>
      <c r="LZ58" s="23"/>
      <c r="MA58" s="23"/>
      <c r="MB58" s="23"/>
      <c r="MC58" s="23"/>
      <c r="MD58" s="23"/>
      <c r="ME58" s="23"/>
      <c r="MF58" s="23"/>
      <c r="MG58" s="23"/>
      <c r="MH58" s="23"/>
      <c r="MI58" s="23"/>
      <c r="MJ58" s="23"/>
      <c r="MK58" s="23"/>
      <c r="ML58" s="23"/>
      <c r="MM58" s="23"/>
      <c r="MN58" s="23"/>
      <c r="MO58" s="23"/>
      <c r="MP58" s="23"/>
      <c r="MQ58" s="23"/>
      <c r="MR58" s="23"/>
      <c r="MS58" s="23"/>
      <c r="MT58" s="23"/>
      <c r="MU58" s="23"/>
      <c r="MV58" s="23"/>
      <c r="MW58" s="23"/>
      <c r="MX58" s="23"/>
      <c r="MY58" s="23"/>
      <c r="MZ58" s="23"/>
      <c r="NA58" s="23"/>
      <c r="NB58" s="23"/>
      <c r="NC58" s="23"/>
      <c r="ND58" s="23"/>
      <c r="NE58" s="23"/>
      <c r="NF58" s="23"/>
      <c r="NG58" s="23"/>
      <c r="NH58" s="23"/>
      <c r="NI58" s="23"/>
      <c r="NJ58" s="23"/>
      <c r="NK58" s="23"/>
      <c r="NL58" s="23"/>
      <c r="NM58" s="23"/>
      <c r="NN58" s="23"/>
      <c r="NO58" s="23"/>
      <c r="NP58" s="23"/>
      <c r="NQ58" s="23"/>
      <c r="NR58" s="23"/>
      <c r="NS58" s="23"/>
      <c r="NT58" s="23"/>
      <c r="NU58" s="23"/>
      <c r="NV58" s="23"/>
      <c r="NW58" s="23"/>
      <c r="NX58" s="23"/>
      <c r="NY58" s="23"/>
      <c r="NZ58" s="23"/>
      <c r="OA58" s="23"/>
      <c r="OB58" s="23"/>
      <c r="OC58" s="23"/>
      <c r="OD58" s="23"/>
      <c r="OE58" s="23"/>
      <c r="OF58" s="23"/>
      <c r="OG58" s="23"/>
      <c r="OH58" s="23"/>
      <c r="OI58" s="23"/>
      <c r="OJ58" s="23"/>
      <c r="OK58" s="23"/>
      <c r="OL58" s="23"/>
      <c r="OM58" s="23"/>
      <c r="ON58" s="23"/>
      <c r="OO58" s="23"/>
      <c r="OP58" s="23"/>
      <c r="OQ58" s="23"/>
      <c r="OR58" s="23"/>
      <c r="OS58" s="23"/>
      <c r="OT58" s="23"/>
      <c r="OU58" s="23"/>
      <c r="OV58" s="23"/>
      <c r="OW58" s="23"/>
      <c r="OX58" s="23"/>
      <c r="OY58" s="23"/>
      <c r="OZ58" s="23"/>
      <c r="PA58" s="23"/>
      <c r="PB58" s="23"/>
      <c r="PC58" s="23"/>
      <c r="PD58" s="23"/>
      <c r="PE58" s="23"/>
      <c r="PF58" s="23"/>
      <c r="PG58" s="23"/>
      <c r="PH58" s="23"/>
      <c r="PI58" s="23"/>
      <c r="PJ58" s="23"/>
      <c r="PK58" s="23"/>
      <c r="PL58" s="23"/>
      <c r="PM58" s="23"/>
      <c r="PN58" s="23"/>
      <c r="PO58" s="23"/>
      <c r="PP58" s="23"/>
      <c r="PQ58" s="23"/>
      <c r="PR58" s="23"/>
      <c r="PS58" s="23"/>
      <c r="PT58" s="23"/>
      <c r="PU58" s="23"/>
      <c r="PV58" s="23"/>
      <c r="PW58" s="23"/>
      <c r="PX58" s="23"/>
      <c r="PY58" s="23"/>
      <c r="PZ58" s="23"/>
      <c r="QA58" s="23"/>
      <c r="QB58" s="23"/>
      <c r="QC58" s="23"/>
      <c r="QD58" s="23"/>
      <c r="QE58" s="23"/>
      <c r="QF58" s="23"/>
      <c r="QG58" s="23"/>
      <c r="QH58" s="23"/>
      <c r="QI58" s="23"/>
      <c r="QJ58" s="23"/>
      <c r="QK58" s="23"/>
      <c r="QL58" s="23"/>
      <c r="QM58" s="23"/>
      <c r="QN58" s="23"/>
      <c r="QO58" s="23"/>
      <c r="QP58" s="23"/>
      <c r="QQ58" s="23"/>
      <c r="QR58" s="23"/>
      <c r="QS58" s="23"/>
      <c r="QT58" s="23"/>
      <c r="QU58" s="23"/>
      <c r="QV58" s="23"/>
      <c r="QW58" s="23"/>
      <c r="QX58" s="23"/>
      <c r="QY58" s="23"/>
      <c r="QZ58" s="23"/>
      <c r="RA58" s="23"/>
      <c r="RB58" s="23"/>
      <c r="RC58" s="23"/>
      <c r="RD58" s="23"/>
      <c r="RE58" s="23"/>
      <c r="RF58" s="23"/>
      <c r="RG58" s="23"/>
      <c r="RH58" s="23"/>
      <c r="RI58" s="23"/>
      <c r="RJ58" s="23"/>
      <c r="RK58" s="23"/>
      <c r="RL58" s="23"/>
      <c r="RM58" s="23"/>
      <c r="RN58" s="23"/>
      <c r="RO58" s="23"/>
      <c r="RP58" s="23"/>
      <c r="RQ58" s="23"/>
      <c r="RR58" s="23"/>
      <c r="RS58" s="23"/>
      <c r="RT58" s="23"/>
      <c r="RU58" s="23"/>
      <c r="RV58" s="23"/>
      <c r="RW58" s="23"/>
      <c r="RX58" s="23"/>
      <c r="RY58" s="23"/>
      <c r="RZ58" s="23"/>
      <c r="SA58" s="23"/>
      <c r="SB58" s="23"/>
      <c r="SC58" s="23"/>
      <c r="SD58" s="23"/>
      <c r="SE58" s="23"/>
      <c r="SF58" s="23"/>
      <c r="SG58" s="23"/>
      <c r="SH58" s="23"/>
      <c r="SI58" s="23"/>
      <c r="SJ58" s="23"/>
      <c r="SK58" s="23"/>
      <c r="SL58" s="23"/>
      <c r="SM58" s="23"/>
      <c r="SN58" s="23"/>
      <c r="SO58" s="23"/>
      <c r="SP58" s="23"/>
      <c r="SQ58" s="23"/>
      <c r="SR58" s="23"/>
      <c r="SS58" s="23"/>
      <c r="ST58" s="23"/>
      <c r="SU58" s="23"/>
      <c r="SV58" s="23"/>
      <c r="SW58" s="23"/>
      <c r="SX58" s="23"/>
      <c r="SY58" s="23"/>
      <c r="SZ58" s="23"/>
      <c r="TA58" s="23"/>
      <c r="TB58" s="23"/>
      <c r="TC58" s="23"/>
      <c r="TD58" s="23"/>
      <c r="TE58" s="23"/>
      <c r="TF58" s="23"/>
      <c r="TG58" s="23"/>
      <c r="TH58" s="23"/>
      <c r="TI58" s="23"/>
      <c r="TJ58" s="23"/>
      <c r="TK58" s="23"/>
      <c r="TL58" s="23"/>
      <c r="TM58" s="23"/>
      <c r="TN58" s="23"/>
      <c r="TO58" s="23"/>
      <c r="TP58" s="23"/>
      <c r="TQ58" s="23"/>
      <c r="TR58" s="23"/>
      <c r="TS58" s="23"/>
      <c r="TT58" s="23"/>
      <c r="TU58" s="23"/>
      <c r="TV58" s="23"/>
      <c r="TW58" s="23"/>
      <c r="TX58" s="23"/>
      <c r="TY58" s="23"/>
      <c r="TZ58" s="23"/>
      <c r="UA58" s="23"/>
      <c r="UB58" s="23"/>
      <c r="UC58" s="23"/>
      <c r="UD58" s="23"/>
      <c r="UE58" s="23"/>
      <c r="UF58" s="23"/>
      <c r="UG58" s="23"/>
      <c r="UH58" s="23"/>
      <c r="UI58" s="23"/>
      <c r="UJ58" s="23"/>
      <c r="UK58" s="23"/>
      <c r="UL58" s="23"/>
      <c r="UM58" s="23"/>
      <c r="UN58" s="23"/>
      <c r="UO58" s="23"/>
      <c r="UP58" s="23"/>
      <c r="UQ58" s="23"/>
      <c r="UR58" s="23"/>
      <c r="US58" s="23"/>
      <c r="UT58" s="23"/>
      <c r="UU58" s="23"/>
      <c r="UV58" s="23"/>
      <c r="UW58" s="23"/>
      <c r="UX58" s="23"/>
      <c r="UY58" s="23"/>
      <c r="UZ58" s="23"/>
      <c r="VA58" s="23"/>
      <c r="VB58" s="23"/>
      <c r="VC58" s="23"/>
      <c r="VD58" s="23"/>
      <c r="VE58" s="23"/>
      <c r="VF58" s="23"/>
      <c r="VG58" s="23"/>
      <c r="VH58" s="23"/>
      <c r="VI58" s="23"/>
      <c r="VJ58" s="23"/>
      <c r="VK58" s="23"/>
      <c r="VL58" s="23"/>
      <c r="VM58" s="23"/>
      <c r="VN58" s="23"/>
      <c r="VO58" s="23"/>
      <c r="VP58" s="23"/>
      <c r="VQ58" s="23"/>
      <c r="VR58" s="23"/>
      <c r="VS58" s="23"/>
      <c r="VT58" s="23"/>
      <c r="VU58" s="23"/>
      <c r="VV58" s="23"/>
      <c r="VW58" s="23"/>
      <c r="VX58" s="23"/>
      <c r="VY58" s="23"/>
      <c r="VZ58" s="23"/>
      <c r="WA58" s="23"/>
      <c r="WB58" s="23"/>
      <c r="WC58" s="23"/>
      <c r="WD58" s="23"/>
      <c r="WE58" s="23"/>
      <c r="WF58" s="23"/>
      <c r="WG58" s="23"/>
      <c r="WH58" s="23"/>
      <c r="WI58" s="23"/>
      <c r="WJ58" s="23"/>
      <c r="WK58" s="23"/>
      <c r="WL58" s="23"/>
      <c r="WM58" s="23"/>
      <c r="WN58" s="23"/>
      <c r="WO58" s="23"/>
      <c r="WP58" s="23"/>
      <c r="WQ58" s="23"/>
      <c r="WR58" s="23"/>
      <c r="WS58" s="23"/>
      <c r="WT58" s="23"/>
      <c r="WU58" s="23"/>
      <c r="WV58" s="23"/>
      <c r="WW58" s="23"/>
      <c r="WX58" s="23"/>
      <c r="WY58" s="23"/>
      <c r="WZ58" s="23"/>
      <c r="XA58" s="23"/>
      <c r="XB58" s="23"/>
      <c r="XC58" s="23"/>
      <c r="XD58" s="23"/>
      <c r="XE58" s="23"/>
      <c r="XF58" s="23"/>
      <c r="XG58" s="23"/>
      <c r="XH58" s="23"/>
      <c r="XI58" s="23"/>
      <c r="XJ58" s="23"/>
      <c r="XK58" s="23"/>
      <c r="XL58" s="23"/>
      <c r="XM58" s="23"/>
      <c r="XN58" s="23"/>
      <c r="XO58" s="23"/>
      <c r="XP58" s="23"/>
      <c r="XQ58" s="23"/>
      <c r="XR58" s="23"/>
      <c r="XS58" s="23"/>
      <c r="XT58" s="23"/>
      <c r="XU58" s="23"/>
      <c r="XV58" s="23"/>
      <c r="XW58" s="23"/>
      <c r="XX58" s="23"/>
      <c r="XY58" s="23"/>
      <c r="XZ58" s="23"/>
      <c r="YA58" s="23"/>
      <c r="YB58" s="23"/>
      <c r="YC58" s="23"/>
      <c r="YD58" s="23"/>
      <c r="YE58" s="23"/>
      <c r="YF58" s="23"/>
      <c r="YG58" s="23"/>
      <c r="YH58" s="23"/>
      <c r="YI58" s="23"/>
      <c r="YJ58" s="23"/>
      <c r="YK58" s="23"/>
      <c r="YL58" s="23"/>
      <c r="YM58" s="23"/>
      <c r="YN58" s="23"/>
      <c r="YO58" s="23"/>
      <c r="YP58" s="23"/>
      <c r="YQ58" s="23"/>
      <c r="YR58" s="23"/>
      <c r="YS58" s="23"/>
      <c r="YT58" s="23"/>
      <c r="YU58" s="23"/>
      <c r="YV58" s="23"/>
      <c r="YW58" s="23"/>
      <c r="YX58" s="23"/>
      <c r="YY58" s="23"/>
      <c r="YZ58" s="23"/>
      <c r="ZA58" s="23"/>
      <c r="ZB58" s="23"/>
      <c r="ZC58" s="23"/>
      <c r="ZD58" s="23"/>
      <c r="ZE58" s="23"/>
      <c r="ZF58" s="23"/>
      <c r="ZG58" s="23"/>
      <c r="ZH58" s="23"/>
      <c r="ZI58" s="23"/>
      <c r="ZJ58" s="23"/>
      <c r="ZK58" s="23"/>
      <c r="ZL58" s="23"/>
      <c r="ZM58" s="23"/>
      <c r="ZN58" s="23"/>
      <c r="ZO58" s="23"/>
      <c r="ZP58" s="23"/>
      <c r="ZQ58" s="23"/>
      <c r="ZR58" s="23"/>
      <c r="ZS58" s="23"/>
      <c r="ZT58" s="23"/>
      <c r="ZU58" s="23"/>
      <c r="ZV58" s="23"/>
      <c r="ZW58" s="23"/>
      <c r="ZX58" s="23"/>
      <c r="ZY58" s="23"/>
      <c r="ZZ58" s="23"/>
      <c r="AAA58" s="23"/>
      <c r="AAB58" s="23"/>
      <c r="AAC58" s="23"/>
      <c r="AAD58" s="23"/>
      <c r="AAE58" s="23"/>
      <c r="AAF58" s="23"/>
      <c r="AAG58" s="23"/>
      <c r="AAH58" s="23"/>
      <c r="AAI58" s="23"/>
      <c r="AAJ58" s="23"/>
      <c r="AAK58" s="23"/>
      <c r="AAL58" s="23"/>
      <c r="AAM58" s="23"/>
      <c r="AAN58" s="23"/>
      <c r="AAO58" s="23"/>
      <c r="AAP58" s="23"/>
      <c r="AAQ58" s="23"/>
      <c r="AAR58" s="23"/>
      <c r="AAS58" s="23"/>
      <c r="AAT58" s="23"/>
      <c r="AAU58" s="23"/>
      <c r="AAV58" s="23"/>
      <c r="AAW58" s="23"/>
      <c r="AAX58" s="23"/>
      <c r="AAY58" s="23"/>
      <c r="AAZ58" s="23"/>
      <c r="ABA58" s="23"/>
      <c r="ABB58" s="23"/>
      <c r="ABC58" s="23"/>
      <c r="ABD58" s="23"/>
      <c r="ABE58" s="23"/>
      <c r="ABF58" s="23"/>
      <c r="ABG58" s="23"/>
      <c r="ABH58" s="23"/>
      <c r="ABI58" s="23"/>
      <c r="ABJ58" s="23"/>
      <c r="ABK58" s="23"/>
      <c r="ABL58" s="23"/>
      <c r="ABM58" s="23"/>
      <c r="ABN58" s="23"/>
      <c r="ABO58" s="23"/>
      <c r="ABP58" s="23"/>
      <c r="ABQ58" s="23"/>
      <c r="ABR58" s="23"/>
      <c r="ABS58" s="23"/>
      <c r="ABT58" s="23"/>
      <c r="ABU58" s="23"/>
      <c r="ABV58" s="23"/>
      <c r="ABW58" s="23"/>
      <c r="ABX58" s="23"/>
      <c r="ABY58" s="23"/>
      <c r="ABZ58" s="23"/>
      <c r="ACA58" s="23"/>
      <c r="ACB58" s="23"/>
      <c r="ACC58" s="23"/>
      <c r="ACD58" s="23"/>
      <c r="ACE58" s="23"/>
      <c r="ACF58" s="23"/>
      <c r="ACG58" s="23"/>
      <c r="ACH58" s="23"/>
      <c r="ACI58" s="23"/>
      <c r="ACJ58" s="23"/>
      <c r="ACK58" s="23"/>
      <c r="ACL58" s="23"/>
      <c r="ACM58" s="23"/>
      <c r="ACN58" s="23"/>
      <c r="ACO58" s="23"/>
      <c r="ACP58" s="23"/>
      <c r="ACQ58" s="23"/>
      <c r="ACR58" s="23"/>
      <c r="ACS58" s="23"/>
      <c r="ACT58" s="23"/>
      <c r="ACU58" s="23"/>
      <c r="ACV58" s="23"/>
      <c r="ACW58" s="23"/>
      <c r="ACX58" s="23"/>
      <c r="ACY58" s="23"/>
      <c r="ACZ58" s="23"/>
      <c r="ADA58" s="23"/>
      <c r="ADB58" s="23"/>
      <c r="ADC58" s="23"/>
      <c r="ADD58" s="23"/>
      <c r="ADE58" s="23"/>
      <c r="ADF58" s="23"/>
      <c r="ADG58" s="23"/>
      <c r="ADH58" s="23"/>
      <c r="ADI58" s="23"/>
      <c r="ADJ58" s="23"/>
      <c r="ADK58" s="23"/>
      <c r="ADL58" s="23"/>
      <c r="ADM58" s="23"/>
      <c r="ADN58" s="23"/>
      <c r="ADO58" s="23"/>
      <c r="ADP58" s="23"/>
      <c r="ADQ58" s="23"/>
      <c r="ADR58" s="23"/>
      <c r="ADS58" s="23"/>
      <c r="ADT58" s="23"/>
      <c r="ADU58" s="23"/>
      <c r="ADV58" s="23"/>
      <c r="ADW58" s="23"/>
      <c r="ADX58" s="23"/>
      <c r="ADY58" s="23"/>
      <c r="ADZ58" s="23"/>
      <c r="AEA58" s="23"/>
      <c r="AEB58" s="23"/>
      <c r="AEC58" s="23"/>
      <c r="AED58" s="23"/>
      <c r="AEE58" s="23"/>
      <c r="AEF58" s="23"/>
      <c r="AEG58" s="23"/>
      <c r="AEH58" s="23"/>
      <c r="AEI58" s="23"/>
      <c r="AEJ58" s="23"/>
      <c r="AEK58" s="23"/>
      <c r="AEL58" s="23"/>
      <c r="AEM58" s="23"/>
      <c r="AEN58" s="23"/>
      <c r="AEO58" s="23"/>
      <c r="AEP58" s="23"/>
      <c r="AEQ58" s="23"/>
      <c r="AER58" s="23"/>
      <c r="AES58" s="23"/>
      <c r="AET58" s="23"/>
      <c r="AEU58" s="23"/>
      <c r="AEV58" s="23"/>
      <c r="AEW58" s="23"/>
      <c r="AEX58" s="23"/>
      <c r="AEY58" s="23"/>
      <c r="AEZ58" s="23"/>
      <c r="AFA58" s="23"/>
      <c r="AFB58" s="23"/>
      <c r="AFC58" s="23"/>
      <c r="AFD58" s="23"/>
      <c r="AFE58" s="23"/>
      <c r="AFF58" s="23"/>
      <c r="AFG58" s="23"/>
      <c r="AFH58" s="23"/>
      <c r="AFI58" s="23"/>
      <c r="AFJ58" s="23"/>
      <c r="AFK58" s="23"/>
      <c r="AFL58" s="23"/>
      <c r="AFM58" s="23"/>
      <c r="AFN58" s="23"/>
      <c r="AFO58" s="23"/>
      <c r="AFP58" s="23"/>
      <c r="AFQ58" s="23"/>
      <c r="AFR58" s="23"/>
      <c r="AFS58" s="23"/>
      <c r="AFT58" s="23"/>
      <c r="AFU58" s="23"/>
      <c r="AFV58" s="23"/>
      <c r="AFW58" s="23"/>
      <c r="AFX58" s="23"/>
      <c r="AFY58" s="23"/>
      <c r="AFZ58" s="23"/>
      <c r="AGA58" s="23"/>
      <c r="AGB58" s="23"/>
      <c r="AGC58" s="23"/>
      <c r="AGD58" s="23"/>
      <c r="AGE58" s="23"/>
      <c r="AGF58" s="23"/>
      <c r="AGG58" s="23"/>
      <c r="AGH58" s="23"/>
      <c r="AGI58" s="23"/>
      <c r="AGJ58" s="23"/>
      <c r="AGK58" s="23"/>
      <c r="AGL58" s="23"/>
      <c r="AGM58" s="23"/>
      <c r="AGN58" s="23"/>
      <c r="AGO58" s="23"/>
      <c r="AGP58" s="23"/>
      <c r="AGQ58" s="23"/>
      <c r="AGR58" s="23"/>
      <c r="AGS58" s="23"/>
      <c r="AGT58" s="23"/>
      <c r="AGU58" s="23"/>
      <c r="AGV58" s="23"/>
      <c r="AGW58" s="23"/>
      <c r="AGX58" s="23"/>
      <c r="AGY58" s="23"/>
      <c r="AGZ58" s="23"/>
      <c r="AHA58" s="23"/>
      <c r="AHB58" s="23"/>
      <c r="AHC58" s="23"/>
      <c r="AHD58" s="23"/>
      <c r="AHE58" s="23"/>
      <c r="AHF58" s="23"/>
      <c r="AHG58" s="23"/>
      <c r="AHH58" s="23"/>
      <c r="AHI58" s="23"/>
      <c r="AHJ58" s="23"/>
      <c r="AHK58" s="23"/>
      <c r="AHL58" s="23"/>
      <c r="AHM58" s="23"/>
      <c r="AHN58" s="23"/>
      <c r="AHO58" s="23"/>
      <c r="AHP58" s="23"/>
      <c r="AHQ58" s="23"/>
      <c r="AHR58" s="23"/>
      <c r="AHS58" s="23"/>
      <c r="AHT58" s="23"/>
      <c r="AHU58" s="23"/>
      <c r="AHV58" s="23"/>
      <c r="AHW58" s="23"/>
      <c r="AHX58" s="23"/>
      <c r="AHY58" s="23"/>
      <c r="AHZ58" s="23"/>
      <c r="AIA58" s="23"/>
      <c r="AIB58" s="23"/>
      <c r="AIC58" s="23"/>
      <c r="AID58" s="23"/>
      <c r="AIE58" s="23"/>
      <c r="AIF58" s="23"/>
      <c r="AIG58" s="23"/>
      <c r="AIH58" s="23"/>
      <c r="AII58" s="23"/>
      <c r="AIJ58" s="23"/>
      <c r="AIK58" s="23"/>
      <c r="AIL58" s="23"/>
      <c r="AIM58" s="23"/>
      <c r="AIN58" s="23"/>
      <c r="AIO58" s="23"/>
      <c r="AIP58" s="23"/>
      <c r="AIQ58" s="23"/>
      <c r="AIR58" s="23"/>
      <c r="AIS58" s="23"/>
      <c r="AIT58" s="23"/>
      <c r="AIU58" s="23"/>
      <c r="AIV58" s="23"/>
      <c r="AIW58" s="23"/>
      <c r="AIX58" s="23"/>
      <c r="AIY58" s="23"/>
      <c r="AIZ58" s="23"/>
      <c r="AJA58" s="23"/>
      <c r="AJB58" s="23"/>
      <c r="AJC58" s="23"/>
      <c r="AJD58" s="23"/>
      <c r="AJE58" s="23"/>
      <c r="AJF58" s="23"/>
      <c r="AJG58" s="23"/>
      <c r="AJH58" s="23"/>
      <c r="AJI58" s="23"/>
      <c r="AJJ58" s="23"/>
      <c r="AJK58" s="23"/>
      <c r="AJL58" s="23"/>
      <c r="AJM58" s="23"/>
      <c r="AJN58" s="23"/>
      <c r="AJO58" s="23"/>
      <c r="AJP58" s="23"/>
      <c r="AJQ58" s="23"/>
      <c r="AJR58" s="23"/>
      <c r="AJS58" s="23"/>
      <c r="AJT58" s="23"/>
      <c r="AJU58" s="23"/>
      <c r="AJV58" s="23"/>
      <c r="AJW58" s="23"/>
      <c r="AJX58" s="23"/>
      <c r="AJY58" s="23"/>
      <c r="AJZ58" s="23"/>
      <c r="AKA58" s="23"/>
      <c r="AKB58" s="23"/>
      <c r="AKC58" s="23"/>
      <c r="AKD58" s="23"/>
      <c r="AKE58" s="23"/>
      <c r="AKF58" s="23"/>
      <c r="AKG58" s="23"/>
      <c r="AKH58" s="23"/>
      <c r="AKI58" s="23"/>
      <c r="AKJ58" s="23"/>
      <c r="AKK58" s="23"/>
      <c r="AKL58" s="23"/>
      <c r="AKM58" s="23"/>
      <c r="AKN58" s="23"/>
      <c r="AKO58" s="23"/>
      <c r="AKP58" s="23"/>
      <c r="AKQ58" s="23"/>
      <c r="AKR58" s="23"/>
      <c r="AKS58" s="23"/>
      <c r="AKT58" s="23"/>
      <c r="AKU58" s="23"/>
      <c r="AKV58" s="23"/>
      <c r="AKW58" s="23"/>
      <c r="AKX58" s="23"/>
      <c r="AKY58" s="23"/>
      <c r="AKZ58" s="23"/>
      <c r="ALA58" s="23"/>
      <c r="ALB58" s="23"/>
      <c r="ALC58" s="23"/>
      <c r="ALD58" s="23"/>
      <c r="ALE58" s="23"/>
      <c r="ALF58" s="23"/>
      <c r="ALG58" s="23"/>
      <c r="ALH58" s="23"/>
      <c r="ALI58" s="23"/>
      <c r="ALJ58" s="23"/>
      <c r="ALK58" s="23"/>
      <c r="ALL58" s="23"/>
      <c r="ALM58" s="23"/>
      <c r="ALN58" s="23"/>
      <c r="ALO58" s="23"/>
      <c r="ALP58" s="23"/>
      <c r="ALQ58" s="23"/>
      <c r="ALR58" s="23"/>
      <c r="ALS58" s="23"/>
      <c r="ALT58" s="23"/>
      <c r="ALU58" s="23"/>
      <c r="ALV58" s="23"/>
      <c r="ALW58" s="23"/>
      <c r="ALX58" s="23"/>
      <c r="ALY58" s="23"/>
      <c r="ALZ58" s="23"/>
      <c r="AMA58" s="23"/>
      <c r="AMB58" s="23"/>
      <c r="AMC58" s="23"/>
      <c r="AMD58" s="23"/>
      <c r="AME58" s="23"/>
      <c r="AMF58" s="23"/>
      <c r="AMG58" s="23"/>
      <c r="AMH58" s="23"/>
      <c r="AMI58" s="23"/>
      <c r="AMJ58" s="23"/>
      <c r="AMK58" s="23"/>
      <c r="AML58" s="23"/>
      <c r="AMM58" s="23"/>
      <c r="AMN58" s="23"/>
      <c r="AMO58" s="23"/>
      <c r="AMP58" s="23"/>
      <c r="AMQ58" s="23"/>
      <c r="AMR58" s="23"/>
      <c r="AMS58" s="23"/>
      <c r="AMT58" s="23"/>
      <c r="AMU58" s="23"/>
      <c r="AMV58" s="23"/>
      <c r="AMW58" s="23"/>
      <c r="AMX58" s="23"/>
      <c r="AMY58" s="23"/>
      <c r="AMZ58" s="23"/>
      <c r="ANA58" s="23"/>
      <c r="ANB58" s="23"/>
      <c r="ANC58" s="23"/>
      <c r="AND58" s="23"/>
      <c r="ANE58" s="23"/>
      <c r="ANF58" s="23"/>
      <c r="ANG58" s="23"/>
      <c r="ANH58" s="23"/>
      <c r="ANI58" s="23"/>
      <c r="ANJ58" s="23"/>
      <c r="ANK58" s="23"/>
      <c r="ANL58" s="23"/>
      <c r="ANM58" s="23"/>
      <c r="ANN58" s="23"/>
      <c r="ANO58" s="23"/>
      <c r="ANP58" s="23"/>
      <c r="ANQ58" s="23"/>
      <c r="ANR58" s="23"/>
      <c r="ANS58" s="23"/>
      <c r="ANT58" s="23"/>
      <c r="ANU58" s="23"/>
      <c r="ANV58" s="23"/>
      <c r="ANW58" s="23"/>
      <c r="ANX58" s="23"/>
      <c r="ANY58" s="23"/>
      <c r="ANZ58" s="23"/>
      <c r="AOA58" s="23"/>
      <c r="AOB58" s="23"/>
      <c r="AOC58" s="23"/>
      <c r="AOD58" s="23"/>
      <c r="AOE58" s="23"/>
      <c r="AOF58" s="23"/>
      <c r="AOG58" s="23"/>
      <c r="AOH58" s="23"/>
      <c r="AOI58" s="23"/>
      <c r="AOJ58" s="23"/>
      <c r="AOK58" s="23"/>
      <c r="AOL58" s="23"/>
      <c r="AOM58" s="23"/>
      <c r="AON58" s="23"/>
      <c r="AOO58" s="23"/>
      <c r="AOP58" s="23"/>
      <c r="AOQ58" s="23"/>
      <c r="AOR58" s="23"/>
      <c r="AOS58" s="23"/>
      <c r="AOT58" s="23"/>
      <c r="AOU58" s="23"/>
      <c r="AOV58" s="23"/>
      <c r="AOW58" s="23"/>
      <c r="AOX58" s="23"/>
      <c r="AOY58" s="23"/>
      <c r="AOZ58" s="23"/>
      <c r="APA58" s="23"/>
      <c r="APB58" s="23"/>
      <c r="APC58" s="23"/>
      <c r="APD58" s="23"/>
      <c r="APE58" s="23"/>
      <c r="APF58" s="23"/>
      <c r="APG58" s="23"/>
      <c r="APH58" s="23"/>
      <c r="API58" s="23"/>
      <c r="APJ58" s="23"/>
      <c r="APK58" s="23"/>
      <c r="APL58" s="23"/>
      <c r="APM58" s="23"/>
      <c r="APN58" s="23"/>
      <c r="APO58" s="23"/>
      <c r="APP58" s="23"/>
      <c r="APQ58" s="23"/>
      <c r="APR58" s="23"/>
      <c r="APS58" s="23"/>
      <c r="APT58" s="23"/>
      <c r="APU58" s="23"/>
      <c r="APV58" s="23"/>
      <c r="APW58" s="23"/>
      <c r="APX58" s="23"/>
      <c r="APY58" s="23"/>
      <c r="APZ58" s="23"/>
      <c r="AQA58" s="23"/>
      <c r="AQB58" s="23"/>
      <c r="AQC58" s="23"/>
      <c r="AQD58" s="23"/>
      <c r="AQE58" s="23"/>
      <c r="AQF58" s="23"/>
      <c r="AQG58" s="23"/>
      <c r="AQH58" s="23"/>
      <c r="AQI58" s="23"/>
      <c r="AQJ58" s="23"/>
      <c r="AQK58" s="23"/>
      <c r="AQL58" s="23"/>
      <c r="AQM58" s="23"/>
      <c r="AQN58" s="23"/>
      <c r="AQO58" s="23"/>
      <c r="AQP58" s="23"/>
      <c r="AQQ58" s="23"/>
      <c r="AQR58" s="23"/>
      <c r="AQS58" s="23"/>
      <c r="AQT58" s="23"/>
      <c r="AQU58" s="23"/>
      <c r="AQV58" s="23"/>
      <c r="AQW58" s="23"/>
      <c r="AQX58" s="23"/>
      <c r="AQY58" s="23"/>
      <c r="AQZ58" s="23"/>
      <c r="ARA58" s="23"/>
      <c r="ARB58" s="23"/>
      <c r="ARC58" s="23"/>
      <c r="ARD58" s="23"/>
      <c r="ARE58" s="23"/>
      <c r="ARF58" s="23"/>
      <c r="ARG58" s="23"/>
      <c r="ARH58" s="23"/>
      <c r="ARI58" s="23"/>
      <c r="ARJ58" s="23"/>
      <c r="ARK58" s="23"/>
      <c r="ARL58" s="23"/>
      <c r="ARM58" s="23"/>
      <c r="ARN58" s="23"/>
      <c r="ARO58" s="23"/>
      <c r="ARP58" s="23"/>
      <c r="ARQ58" s="23"/>
      <c r="ARR58" s="23"/>
      <c r="ARS58" s="23"/>
      <c r="ART58" s="23"/>
      <c r="ARU58" s="23"/>
      <c r="ARV58" s="23"/>
      <c r="ARW58" s="23"/>
      <c r="ARX58" s="23"/>
      <c r="ARY58" s="23"/>
      <c r="ARZ58" s="23"/>
      <c r="ASA58" s="23"/>
      <c r="ASB58" s="23"/>
      <c r="ASC58" s="23"/>
      <c r="ASD58" s="23"/>
      <c r="ASE58" s="23"/>
      <c r="ASF58" s="23"/>
      <c r="ASG58" s="23"/>
      <c r="ASH58" s="23"/>
      <c r="ASI58" s="23"/>
      <c r="ASJ58" s="23"/>
      <c r="ASK58" s="23"/>
      <c r="ASL58" s="23"/>
      <c r="ASM58" s="23"/>
      <c r="ASN58" s="23"/>
      <c r="ASO58" s="23"/>
      <c r="ASP58" s="23"/>
      <c r="ASQ58" s="23"/>
      <c r="ASR58" s="23"/>
      <c r="ASS58" s="23"/>
      <c r="AST58" s="23"/>
      <c r="ASU58" s="23"/>
      <c r="ASV58" s="23"/>
      <c r="ASW58" s="23"/>
      <c r="ASX58" s="23"/>
      <c r="ASY58" s="23"/>
      <c r="ASZ58" s="23"/>
      <c r="ATA58" s="23"/>
      <c r="ATB58" s="23"/>
      <c r="ATC58" s="23"/>
      <c r="ATD58" s="23"/>
      <c r="ATE58" s="23"/>
      <c r="ATF58" s="23"/>
      <c r="ATG58" s="23"/>
      <c r="ATH58" s="23"/>
      <c r="ATI58" s="23"/>
      <c r="ATJ58" s="23"/>
      <c r="ATK58" s="23"/>
      <c r="ATL58" s="23"/>
      <c r="ATM58" s="23"/>
      <c r="ATN58" s="23"/>
      <c r="ATO58" s="23"/>
      <c r="ATP58" s="23"/>
      <c r="ATQ58" s="23"/>
      <c r="ATR58" s="23"/>
      <c r="ATS58" s="23"/>
      <c r="ATT58" s="23"/>
      <c r="ATU58" s="23"/>
      <c r="ATV58" s="23"/>
      <c r="ATW58" s="23"/>
      <c r="ATX58" s="23"/>
      <c r="ATY58" s="23"/>
      <c r="ATZ58" s="23"/>
      <c r="AUA58" s="23"/>
      <c r="AUB58" s="23"/>
      <c r="AUC58" s="23"/>
      <c r="AUD58" s="23"/>
      <c r="AUE58" s="23"/>
      <c r="AUF58" s="23"/>
      <c r="AUG58" s="23"/>
      <c r="AUH58" s="23"/>
      <c r="AUI58" s="23"/>
      <c r="AUJ58" s="23"/>
      <c r="AUK58" s="23"/>
      <c r="AUL58" s="23"/>
      <c r="AUM58" s="23"/>
      <c r="AUN58" s="23"/>
      <c r="AUO58" s="23"/>
      <c r="AUP58" s="23"/>
      <c r="AUQ58" s="23"/>
      <c r="AUR58" s="23"/>
      <c r="AUS58" s="23"/>
      <c r="AUT58" s="23"/>
      <c r="AUU58" s="23"/>
      <c r="AUV58" s="23"/>
      <c r="AUW58" s="23"/>
      <c r="AUX58" s="23"/>
      <c r="AUY58" s="23"/>
      <c r="AUZ58" s="23"/>
      <c r="AVA58" s="23"/>
      <c r="AVB58" s="23"/>
      <c r="AVC58" s="23"/>
      <c r="AVD58" s="23"/>
      <c r="AVE58" s="23"/>
      <c r="AVF58" s="23"/>
      <c r="AVG58" s="23"/>
      <c r="AVH58" s="23"/>
      <c r="AVI58" s="23"/>
      <c r="AVJ58" s="23"/>
      <c r="AVK58" s="23"/>
      <c r="AVL58" s="23"/>
      <c r="AVM58" s="23"/>
      <c r="AVN58" s="23"/>
      <c r="AVO58" s="23"/>
      <c r="AVP58" s="23"/>
      <c r="AVQ58" s="23"/>
      <c r="AVR58" s="23"/>
      <c r="AVS58" s="23"/>
      <c r="AVT58" s="23"/>
      <c r="AVU58" s="23"/>
      <c r="AVV58" s="23"/>
      <c r="AVW58" s="23"/>
      <c r="AVX58" s="23"/>
      <c r="AVY58" s="23"/>
      <c r="AVZ58" s="23"/>
      <c r="AWA58" s="23"/>
      <c r="AWB58" s="23"/>
      <c r="AWC58" s="23"/>
      <c r="AWD58" s="23"/>
      <c r="AWE58" s="23"/>
      <c r="AWF58" s="23"/>
      <c r="AWG58" s="23"/>
      <c r="AWH58" s="23"/>
      <c r="AWI58" s="23"/>
      <c r="AWJ58" s="23"/>
      <c r="AWK58" s="23"/>
      <c r="AWL58" s="23"/>
      <c r="AWM58" s="23"/>
      <c r="AWN58" s="23"/>
      <c r="AWO58" s="23"/>
      <c r="AWP58" s="23"/>
      <c r="AWQ58" s="23"/>
      <c r="AWR58" s="23"/>
      <c r="AWS58" s="23"/>
      <c r="AWT58" s="23"/>
      <c r="AWU58" s="23"/>
      <c r="AWV58" s="23"/>
      <c r="AWW58" s="23"/>
      <c r="AWX58" s="23"/>
      <c r="AWY58" s="23"/>
      <c r="AWZ58" s="23"/>
      <c r="AXA58" s="23"/>
      <c r="AXB58" s="23"/>
      <c r="AXC58" s="23"/>
      <c r="AXD58" s="23"/>
      <c r="AXE58" s="23"/>
      <c r="AXF58" s="23"/>
      <c r="AXG58" s="23"/>
      <c r="AXH58" s="23"/>
      <c r="AXI58" s="23"/>
      <c r="AXJ58" s="23"/>
      <c r="AXK58" s="23"/>
      <c r="AXL58" s="23"/>
      <c r="AXM58" s="23"/>
      <c r="AXN58" s="23"/>
      <c r="AXO58" s="23"/>
      <c r="AXP58" s="23"/>
      <c r="AXQ58" s="23"/>
      <c r="AXR58" s="23"/>
      <c r="AXS58" s="23"/>
      <c r="AXT58" s="23"/>
      <c r="AXU58" s="23"/>
      <c r="AXV58" s="23"/>
      <c r="AXW58" s="23"/>
      <c r="AXX58" s="23"/>
      <c r="AXY58" s="23"/>
      <c r="AXZ58" s="23"/>
      <c r="AYA58" s="23"/>
      <c r="AYB58" s="23"/>
      <c r="AYC58" s="23"/>
      <c r="AYD58" s="23"/>
      <c r="AYE58" s="23"/>
      <c r="AYF58" s="23"/>
      <c r="AYG58" s="23"/>
      <c r="AYH58" s="23"/>
      <c r="AYI58" s="23"/>
      <c r="AYJ58" s="23"/>
      <c r="AYK58" s="23"/>
      <c r="AYL58" s="23"/>
      <c r="AYM58" s="23"/>
      <c r="AYN58" s="23"/>
      <c r="AYO58" s="23"/>
      <c r="AYP58" s="23"/>
      <c r="AYQ58" s="23"/>
      <c r="AYR58" s="23"/>
      <c r="AYS58" s="23"/>
      <c r="AYT58" s="23"/>
      <c r="AYU58" s="23"/>
      <c r="AYV58" s="23"/>
      <c r="AYW58" s="23"/>
      <c r="AYX58" s="23"/>
      <c r="AYY58" s="23"/>
      <c r="AYZ58" s="23"/>
      <c r="AZA58" s="23"/>
      <c r="AZB58" s="23"/>
      <c r="AZC58" s="23"/>
      <c r="AZD58" s="23"/>
      <c r="AZE58" s="23"/>
      <c r="AZF58" s="23"/>
      <c r="AZG58" s="23"/>
      <c r="AZH58" s="23"/>
      <c r="AZI58" s="23"/>
      <c r="AZJ58" s="23"/>
      <c r="AZK58" s="23"/>
      <c r="AZL58" s="23"/>
      <c r="AZM58" s="23"/>
      <c r="AZN58" s="23"/>
      <c r="AZO58" s="23"/>
      <c r="AZP58" s="23"/>
      <c r="AZQ58" s="23"/>
      <c r="AZR58" s="23"/>
      <c r="AZS58" s="23"/>
      <c r="AZT58" s="23"/>
      <c r="AZU58" s="23"/>
      <c r="AZV58" s="23"/>
      <c r="AZW58" s="23"/>
      <c r="AZX58" s="23"/>
      <c r="AZY58" s="23"/>
      <c r="AZZ58" s="23"/>
      <c r="BAA58" s="23"/>
      <c r="BAB58" s="23"/>
      <c r="BAC58" s="23"/>
      <c r="BAD58" s="23"/>
      <c r="BAE58" s="23"/>
      <c r="BAF58" s="23"/>
      <c r="BAG58" s="23"/>
      <c r="BAH58" s="23"/>
      <c r="BAI58" s="23"/>
      <c r="BAJ58" s="23"/>
      <c r="BAK58" s="23"/>
      <c r="BAL58" s="23"/>
      <c r="BAM58" s="23"/>
      <c r="BAN58" s="23"/>
      <c r="BAO58" s="23"/>
      <c r="BAP58" s="23"/>
      <c r="BAQ58" s="23"/>
      <c r="BAR58" s="23"/>
      <c r="BAS58" s="23"/>
      <c r="BAT58" s="23"/>
      <c r="BAU58" s="23"/>
      <c r="BAV58" s="23"/>
      <c r="BAW58" s="23"/>
      <c r="BAX58" s="23"/>
      <c r="BAY58" s="23"/>
      <c r="BAZ58" s="23"/>
      <c r="BBA58" s="23"/>
      <c r="BBB58" s="23"/>
      <c r="BBC58" s="23"/>
      <c r="BBD58" s="23"/>
      <c r="BBE58" s="23"/>
      <c r="BBF58" s="23"/>
      <c r="BBG58" s="23"/>
      <c r="BBH58" s="23"/>
      <c r="BBI58" s="23"/>
      <c r="BBJ58" s="23"/>
      <c r="BBK58" s="23"/>
      <c r="BBL58" s="23"/>
      <c r="BBM58" s="23"/>
      <c r="BBN58" s="23"/>
      <c r="BBO58" s="23"/>
      <c r="BBP58" s="23"/>
      <c r="BBQ58" s="23"/>
      <c r="BBR58" s="23"/>
      <c r="BBS58" s="23"/>
      <c r="BBT58" s="23"/>
      <c r="BBU58" s="23"/>
      <c r="BBV58" s="23"/>
      <c r="BBW58" s="23"/>
      <c r="BBX58" s="23"/>
      <c r="BBY58" s="23"/>
      <c r="BBZ58" s="23"/>
      <c r="BCA58" s="23"/>
      <c r="BCB58" s="23"/>
      <c r="BCC58" s="23"/>
      <c r="BCD58" s="23"/>
      <c r="BCE58" s="23"/>
      <c r="BCF58" s="23"/>
      <c r="BCG58" s="23"/>
      <c r="BCH58" s="23"/>
      <c r="BCI58" s="23"/>
      <c r="BCJ58" s="23"/>
      <c r="BCK58" s="23"/>
      <c r="BCL58" s="23"/>
      <c r="BCM58" s="23"/>
      <c r="BCN58" s="23"/>
      <c r="BCO58" s="23"/>
      <c r="BCP58" s="23"/>
      <c r="BCQ58" s="23"/>
      <c r="BCR58" s="23"/>
      <c r="BCS58" s="23"/>
      <c r="BCT58" s="23"/>
      <c r="BCU58" s="23"/>
      <c r="BCV58" s="23"/>
      <c r="BCW58" s="23"/>
      <c r="BCX58" s="23"/>
      <c r="BCY58" s="23"/>
      <c r="BCZ58" s="23"/>
      <c r="BDA58" s="23"/>
      <c r="BDB58" s="23"/>
      <c r="BDC58" s="23"/>
      <c r="BDD58" s="23"/>
      <c r="BDE58" s="23"/>
      <c r="BDF58" s="23"/>
      <c r="BDG58" s="23"/>
      <c r="BDH58" s="23"/>
      <c r="BDI58" s="23"/>
      <c r="BDJ58" s="23"/>
      <c r="BDK58" s="23"/>
      <c r="BDL58" s="23"/>
      <c r="BDM58" s="23"/>
      <c r="BDN58" s="23"/>
      <c r="BDO58" s="23"/>
      <c r="BDP58" s="23"/>
      <c r="BDQ58" s="23"/>
      <c r="BDR58" s="23"/>
      <c r="BDS58" s="23"/>
      <c r="BDT58" s="23"/>
      <c r="BDU58" s="23"/>
      <c r="BDV58" s="23"/>
      <c r="BDW58" s="23"/>
      <c r="BDX58" s="23"/>
      <c r="BDY58" s="23"/>
      <c r="BDZ58" s="23"/>
      <c r="BEA58" s="23"/>
      <c r="BEB58" s="23"/>
      <c r="BEC58" s="23"/>
      <c r="BED58" s="23"/>
      <c r="BEE58" s="23"/>
      <c r="BEF58" s="23"/>
      <c r="BEG58" s="23"/>
      <c r="BEH58" s="23"/>
      <c r="BEI58" s="23"/>
      <c r="BEJ58" s="23"/>
      <c r="BEK58" s="23"/>
      <c r="BEL58" s="23"/>
      <c r="BEM58" s="23"/>
      <c r="BEN58" s="23"/>
      <c r="BEO58" s="23"/>
      <c r="BEP58" s="23"/>
      <c r="BEQ58" s="23"/>
      <c r="BER58" s="23"/>
      <c r="BES58" s="23"/>
      <c r="BET58" s="23"/>
      <c r="BEU58" s="23"/>
      <c r="BEV58" s="23"/>
      <c r="BEW58" s="23"/>
      <c r="BEX58" s="23"/>
      <c r="BEY58" s="23"/>
      <c r="BEZ58" s="23"/>
      <c r="BFA58" s="23"/>
      <c r="BFB58" s="23"/>
      <c r="BFC58" s="23"/>
      <c r="BFD58" s="23"/>
      <c r="BFE58" s="23"/>
      <c r="BFF58" s="23"/>
      <c r="BFG58" s="23"/>
      <c r="BFH58" s="23"/>
      <c r="BFI58" s="23"/>
      <c r="BFJ58" s="23"/>
      <c r="BFK58" s="23"/>
      <c r="BFL58" s="23"/>
      <c r="BFM58" s="23"/>
      <c r="BFN58" s="23"/>
      <c r="BFO58" s="23"/>
      <c r="BFP58" s="23"/>
      <c r="BFQ58" s="23"/>
      <c r="BFR58" s="23"/>
      <c r="BFS58" s="23"/>
      <c r="BFT58" s="23"/>
      <c r="BFU58" s="23"/>
      <c r="BFV58" s="23"/>
      <c r="BFW58" s="23"/>
      <c r="BFX58" s="23"/>
      <c r="BFY58" s="23"/>
      <c r="BFZ58" s="23"/>
      <c r="BGA58" s="23"/>
      <c r="BGB58" s="23"/>
      <c r="BGC58" s="23"/>
      <c r="BGD58" s="23"/>
      <c r="BGE58" s="23"/>
      <c r="BGF58" s="23"/>
      <c r="BGG58" s="23"/>
      <c r="BGH58" s="23"/>
      <c r="BGI58" s="23"/>
      <c r="BGJ58" s="23"/>
      <c r="BGK58" s="23"/>
      <c r="BGL58" s="23"/>
      <c r="BGM58" s="23"/>
      <c r="BGN58" s="23"/>
      <c r="BGO58" s="23"/>
      <c r="BGP58" s="23"/>
      <c r="BGQ58" s="23"/>
      <c r="BGR58" s="23"/>
      <c r="BGS58" s="23"/>
      <c r="BGT58" s="23"/>
      <c r="BGU58" s="23"/>
      <c r="BGV58" s="23"/>
      <c r="BGW58" s="23"/>
      <c r="BGX58" s="23"/>
      <c r="BGY58" s="23"/>
      <c r="BGZ58" s="23"/>
      <c r="BHA58" s="23"/>
      <c r="BHB58" s="23"/>
      <c r="BHC58" s="23"/>
      <c r="BHD58" s="23"/>
      <c r="BHE58" s="23"/>
      <c r="BHF58" s="23"/>
      <c r="BHG58" s="23"/>
      <c r="BHH58" s="23"/>
      <c r="BHI58" s="23"/>
      <c r="BHJ58" s="23"/>
      <c r="BHK58" s="23"/>
      <c r="BHL58" s="23"/>
      <c r="BHM58" s="23"/>
      <c r="BHN58" s="23"/>
      <c r="BHO58" s="23"/>
      <c r="BHP58" s="23"/>
      <c r="BHQ58" s="23"/>
      <c r="BHR58" s="23"/>
      <c r="BHS58" s="23"/>
      <c r="BHT58" s="23"/>
      <c r="BHU58" s="23"/>
      <c r="BHV58" s="23"/>
      <c r="BHW58" s="23"/>
      <c r="BHX58" s="23"/>
      <c r="BHY58" s="23"/>
      <c r="BHZ58" s="23"/>
      <c r="BIA58" s="23"/>
      <c r="BIB58" s="23"/>
      <c r="BIC58" s="23"/>
      <c r="BID58" s="23"/>
      <c r="BIE58" s="23"/>
      <c r="BIF58" s="23"/>
      <c r="BIG58" s="23"/>
      <c r="BIH58" s="23"/>
      <c r="BII58" s="23"/>
      <c r="BIJ58" s="23"/>
      <c r="BIK58" s="23"/>
      <c r="BIL58" s="23"/>
      <c r="BIM58" s="23"/>
      <c r="BIN58" s="23"/>
      <c r="BIO58" s="23"/>
      <c r="BIP58" s="23"/>
      <c r="BIQ58" s="23"/>
      <c r="BIR58" s="23"/>
      <c r="BIS58" s="23"/>
      <c r="BIT58" s="23"/>
      <c r="BIU58" s="23"/>
      <c r="BIV58" s="23"/>
      <c r="BIW58" s="23"/>
      <c r="BIX58" s="23"/>
      <c r="BIY58" s="23"/>
      <c r="BIZ58" s="23"/>
      <c r="BJA58" s="23"/>
      <c r="BJB58" s="23"/>
      <c r="BJC58" s="23"/>
      <c r="BJD58" s="23"/>
      <c r="BJE58" s="23"/>
      <c r="BJF58" s="23"/>
      <c r="BJG58" s="23"/>
      <c r="BJH58" s="23"/>
      <c r="BJI58" s="23"/>
      <c r="BJJ58" s="23"/>
      <c r="BJK58" s="23"/>
      <c r="BJL58" s="23"/>
      <c r="BJM58" s="23"/>
      <c r="BJN58" s="23"/>
      <c r="BJO58" s="23"/>
      <c r="BJP58" s="23"/>
      <c r="BJQ58" s="23"/>
      <c r="BJR58" s="23"/>
      <c r="BJS58" s="23"/>
      <c r="BJT58" s="23"/>
      <c r="BJU58" s="23"/>
      <c r="BJV58" s="23"/>
      <c r="BJW58" s="23"/>
      <c r="BJX58" s="23"/>
      <c r="BJY58" s="23"/>
      <c r="BJZ58" s="23"/>
      <c r="BKA58" s="23"/>
      <c r="BKB58" s="23"/>
      <c r="BKC58" s="23"/>
      <c r="BKD58" s="23"/>
      <c r="BKE58" s="23"/>
      <c r="BKF58" s="23"/>
      <c r="BKG58" s="23"/>
      <c r="BKH58" s="23"/>
      <c r="BKI58" s="23"/>
      <c r="BKJ58" s="23"/>
      <c r="BKK58" s="23"/>
      <c r="BKL58" s="23"/>
      <c r="BKM58" s="23"/>
      <c r="BKN58" s="23"/>
      <c r="BKO58" s="23"/>
      <c r="BKP58" s="23"/>
      <c r="BKQ58" s="23"/>
      <c r="BKR58" s="23"/>
      <c r="BKS58" s="23"/>
      <c r="BKT58" s="23"/>
      <c r="BKU58" s="23"/>
      <c r="BKV58" s="23"/>
      <c r="BKW58" s="23"/>
      <c r="BKX58" s="23"/>
      <c r="BKY58" s="23"/>
      <c r="BKZ58" s="23"/>
      <c r="BLA58" s="23"/>
      <c r="BLB58" s="23"/>
      <c r="BLC58" s="23"/>
      <c r="BLD58" s="23"/>
      <c r="BLE58" s="23"/>
      <c r="BLF58" s="23"/>
      <c r="BLG58" s="23"/>
      <c r="BLH58" s="23"/>
      <c r="BLI58" s="23"/>
      <c r="BLJ58" s="23"/>
      <c r="BLK58" s="23"/>
      <c r="BLL58" s="23"/>
      <c r="BLM58" s="23"/>
      <c r="BLN58" s="23"/>
      <c r="BLO58" s="23"/>
      <c r="BLP58" s="23"/>
      <c r="BLQ58" s="23"/>
      <c r="BLR58" s="23"/>
      <c r="BLS58" s="23"/>
      <c r="BLT58" s="23"/>
      <c r="BLU58" s="23"/>
      <c r="BLV58" s="23"/>
      <c r="BLW58" s="23"/>
      <c r="BLX58" s="23"/>
      <c r="BLY58" s="23"/>
      <c r="BLZ58" s="23"/>
      <c r="BMA58" s="23"/>
      <c r="BMB58" s="23"/>
      <c r="BMC58" s="23"/>
      <c r="BMD58" s="23"/>
      <c r="BME58" s="23"/>
      <c r="BMF58" s="23"/>
      <c r="BMG58" s="23"/>
      <c r="BMH58" s="23"/>
      <c r="BMI58" s="23"/>
      <c r="BMJ58" s="23"/>
      <c r="BMK58" s="23"/>
      <c r="BML58" s="23"/>
      <c r="BMM58" s="23"/>
      <c r="BMN58" s="23"/>
      <c r="BMO58" s="23"/>
      <c r="BMP58" s="23"/>
      <c r="BMQ58" s="23"/>
      <c r="BMR58" s="23"/>
      <c r="BMS58" s="23"/>
      <c r="BMT58" s="23"/>
      <c r="BMU58" s="23"/>
      <c r="BMV58" s="23"/>
      <c r="BMW58" s="23"/>
      <c r="BMX58" s="23"/>
      <c r="BMY58" s="23"/>
      <c r="BMZ58" s="23"/>
      <c r="BNA58" s="23"/>
      <c r="BNB58" s="23"/>
      <c r="BNC58" s="23"/>
      <c r="BND58" s="23"/>
      <c r="BNE58" s="23"/>
      <c r="BNF58" s="23"/>
      <c r="BNG58" s="23"/>
      <c r="BNH58" s="23"/>
      <c r="BNI58" s="23"/>
      <c r="BNJ58" s="23"/>
      <c r="BNK58" s="23"/>
      <c r="BNL58" s="23"/>
      <c r="BNM58" s="23"/>
      <c r="BNN58" s="23"/>
      <c r="BNO58" s="23"/>
      <c r="BNP58" s="23"/>
      <c r="BNQ58" s="23"/>
      <c r="BNR58" s="23"/>
      <c r="BNS58" s="23"/>
      <c r="BNT58" s="23"/>
      <c r="BNU58" s="23"/>
      <c r="BNV58" s="23"/>
      <c r="BNW58" s="23"/>
      <c r="BNX58" s="23"/>
      <c r="BNY58" s="23"/>
      <c r="BNZ58" s="23"/>
      <c r="BOA58" s="23"/>
      <c r="BOB58" s="23"/>
      <c r="BOC58" s="23"/>
      <c r="BOD58" s="23"/>
      <c r="BOE58" s="23"/>
      <c r="BOF58" s="23"/>
      <c r="BOG58" s="23"/>
      <c r="BOH58" s="23"/>
      <c r="BOI58" s="23"/>
      <c r="BOJ58" s="23"/>
      <c r="BOK58" s="23"/>
      <c r="BOL58" s="23"/>
      <c r="BOM58" s="23"/>
      <c r="BON58" s="23"/>
      <c r="BOO58" s="23"/>
      <c r="BOP58" s="23"/>
      <c r="BOQ58" s="23"/>
      <c r="BOR58" s="23"/>
      <c r="BOS58" s="23"/>
      <c r="BOT58" s="23"/>
      <c r="BOU58" s="23"/>
      <c r="BOV58" s="23"/>
      <c r="BOW58" s="23"/>
      <c r="BOX58" s="23"/>
      <c r="BOY58" s="23"/>
      <c r="BOZ58" s="23"/>
      <c r="BPA58" s="23"/>
      <c r="BPB58" s="23"/>
      <c r="BPC58" s="23"/>
      <c r="BPD58" s="23"/>
      <c r="BPE58" s="23"/>
      <c r="BPF58" s="23"/>
      <c r="BPG58" s="23"/>
      <c r="BPH58" s="23"/>
      <c r="BPI58" s="23"/>
      <c r="BPJ58" s="23"/>
      <c r="BPK58" s="23"/>
      <c r="BPL58" s="23"/>
      <c r="BPM58" s="23"/>
      <c r="BPN58" s="23"/>
      <c r="BPO58" s="23"/>
      <c r="BPP58" s="23"/>
      <c r="BPQ58" s="23"/>
      <c r="BPR58" s="23"/>
      <c r="BPS58" s="23"/>
      <c r="BPT58" s="23"/>
      <c r="BPU58" s="23"/>
      <c r="BPV58" s="23"/>
      <c r="BPW58" s="23"/>
      <c r="BPX58" s="23"/>
      <c r="BPY58" s="23"/>
      <c r="BPZ58" s="23"/>
      <c r="BQA58" s="23"/>
      <c r="BQB58" s="23"/>
      <c r="BQC58" s="23"/>
      <c r="BQD58" s="23"/>
      <c r="BQE58" s="23"/>
      <c r="BQF58" s="23"/>
      <c r="BQG58" s="23"/>
      <c r="BQH58" s="23"/>
      <c r="BQI58" s="23"/>
      <c r="BQJ58" s="23"/>
      <c r="BQK58" s="23"/>
      <c r="BQL58" s="23"/>
      <c r="BQM58" s="23"/>
      <c r="BQN58" s="23"/>
      <c r="BQO58" s="23"/>
      <c r="BQP58" s="23"/>
      <c r="BQQ58" s="23"/>
      <c r="BQR58" s="23"/>
      <c r="BQS58" s="23"/>
      <c r="BQT58" s="23"/>
      <c r="BQU58" s="23"/>
      <c r="BQV58" s="23"/>
      <c r="BQW58" s="23"/>
      <c r="BQX58" s="23"/>
      <c r="BQY58" s="23"/>
      <c r="BQZ58" s="23"/>
      <c r="BRA58" s="23"/>
      <c r="BRB58" s="23"/>
      <c r="BRC58" s="23"/>
      <c r="BRD58" s="23"/>
      <c r="BRE58" s="23"/>
      <c r="BRF58" s="23"/>
      <c r="BRG58" s="23"/>
      <c r="BRH58" s="23"/>
      <c r="BRI58" s="23"/>
      <c r="BRJ58" s="23"/>
      <c r="BRK58" s="23"/>
      <c r="BRL58" s="23"/>
      <c r="BRM58" s="23"/>
      <c r="BRN58" s="23"/>
      <c r="BRO58" s="23"/>
      <c r="BRP58" s="23"/>
      <c r="BRQ58" s="23"/>
      <c r="BRR58" s="23"/>
      <c r="BRS58" s="23"/>
      <c r="BRT58" s="23"/>
      <c r="BRU58" s="23"/>
      <c r="BRV58" s="23"/>
      <c r="BRW58" s="23"/>
      <c r="BRX58" s="23"/>
      <c r="BRY58" s="23"/>
      <c r="BRZ58" s="23"/>
      <c r="BSA58" s="23"/>
      <c r="BSB58" s="23"/>
      <c r="BSC58" s="23"/>
      <c r="BSD58" s="23"/>
      <c r="BSE58" s="23"/>
      <c r="BSF58" s="23"/>
      <c r="BSG58" s="23"/>
      <c r="BSH58" s="23"/>
      <c r="BSI58" s="23"/>
      <c r="BSJ58" s="23"/>
      <c r="BSK58" s="23"/>
      <c r="BSL58" s="23"/>
      <c r="BSM58" s="23"/>
      <c r="BSN58" s="23"/>
      <c r="BSO58" s="23"/>
      <c r="BSP58" s="23"/>
      <c r="BSQ58" s="23"/>
      <c r="BSR58" s="23"/>
      <c r="BSS58" s="23"/>
      <c r="BST58" s="23"/>
      <c r="BSU58" s="23"/>
      <c r="BSV58" s="23"/>
      <c r="BSW58" s="23"/>
      <c r="BSX58" s="23"/>
      <c r="BSY58" s="23"/>
      <c r="BSZ58" s="23"/>
      <c r="BTA58" s="23"/>
    </row>
    <row r="59" spans="1:1873" s="23" customFormat="1" x14ac:dyDescent="0.2">
      <c r="A59" s="234"/>
      <c r="B59" s="234"/>
      <c r="C59" s="234"/>
      <c r="D59" s="234"/>
      <c r="E59" s="493"/>
      <c r="F59" s="493"/>
      <c r="G59" s="234"/>
      <c r="H59" s="491"/>
      <c r="I59" s="234"/>
      <c r="J59" s="234"/>
      <c r="K59" s="234"/>
      <c r="L59" s="234"/>
      <c r="M59" s="389"/>
      <c r="N59" s="491"/>
      <c r="O59" s="29"/>
      <c r="P59" s="389"/>
      <c r="Q59" s="234"/>
      <c r="R59" s="389"/>
      <c r="S59" s="234"/>
      <c r="T59" s="237"/>
      <c r="U59" s="237"/>
      <c r="V59" s="237"/>
      <c r="W59" s="237"/>
      <c r="X59" s="234"/>
      <c r="Y59" s="234"/>
      <c r="Z59" s="234"/>
      <c r="AA59" s="495"/>
      <c r="AB59" s="389"/>
      <c r="AC59" s="234"/>
      <c r="AD59" s="234"/>
      <c r="AE59" s="234"/>
      <c r="AF59" s="234"/>
      <c r="AG59" s="234"/>
      <c r="AH59" s="234"/>
      <c r="AI59" s="234"/>
      <c r="AJ59" s="491"/>
      <c r="AK59" s="234"/>
      <c r="AL59" s="234"/>
      <c r="AM59" s="234"/>
      <c r="AN59" s="234"/>
      <c r="AO59" s="234"/>
      <c r="AP59" s="234"/>
      <c r="AQ59" s="234"/>
      <c r="AR59" s="234"/>
      <c r="AS59" s="234"/>
      <c r="AT59" s="234"/>
      <c r="AU59" s="234"/>
      <c r="AV59" s="234"/>
      <c r="AW59" s="234"/>
      <c r="AX59" s="234"/>
      <c r="AY59" s="234"/>
      <c r="AZ59" s="234"/>
      <c r="BA59" s="234"/>
      <c r="BB59" s="234"/>
      <c r="BC59" s="234"/>
      <c r="BD59" s="234"/>
      <c r="BE59" s="234"/>
      <c r="BF59" s="234"/>
      <c r="BG59" s="234"/>
      <c r="BH59" s="234"/>
      <c r="BI59" s="234"/>
      <c r="BJ59" s="491"/>
      <c r="BK59" s="491"/>
      <c r="BL59" s="491"/>
      <c r="BM59" s="491"/>
      <c r="BN59" s="491"/>
      <c r="BO59" s="491"/>
      <c r="BP59" s="491"/>
      <c r="BQ59" s="491"/>
      <c r="BR59" s="491"/>
      <c r="BS59" s="491"/>
      <c r="BT59" s="491"/>
      <c r="BU59" s="491"/>
      <c r="BV59" s="491"/>
      <c r="BW59" s="491"/>
      <c r="BX59" s="491"/>
      <c r="BY59" s="491"/>
      <c r="BZ59" s="497"/>
      <c r="CA59" s="497"/>
      <c r="CB59" s="499"/>
      <c r="CC59" s="493"/>
      <c r="CD59" s="234"/>
      <c r="CE59" s="342" t="s">
        <v>1576</v>
      </c>
      <c r="CF59" s="342" t="s">
        <v>1575</v>
      </c>
      <c r="CG59" s="72"/>
    </row>
    <row r="60" spans="1:1873" s="23" customFormat="1" x14ac:dyDescent="0.2">
      <c r="A60" s="234" t="s">
        <v>650</v>
      </c>
      <c r="B60" s="234" t="s">
        <v>618</v>
      </c>
      <c r="C60" s="234" t="s">
        <v>27</v>
      </c>
      <c r="D60" s="234" t="s">
        <v>633</v>
      </c>
      <c r="E60" s="493" t="s">
        <v>634</v>
      </c>
      <c r="F60" s="493">
        <v>1</v>
      </c>
      <c r="G60" s="234">
        <v>1</v>
      </c>
      <c r="H60" s="491">
        <v>2</v>
      </c>
      <c r="I60" s="234" t="s">
        <v>954</v>
      </c>
      <c r="J60" s="234" t="s">
        <v>651</v>
      </c>
      <c r="K60" s="234" t="s">
        <v>957</v>
      </c>
      <c r="L60" s="234">
        <v>1996</v>
      </c>
      <c r="M60" s="389">
        <v>-9999</v>
      </c>
      <c r="N60" s="491">
        <v>-9999</v>
      </c>
      <c r="O60" s="29"/>
      <c r="P60" s="389">
        <v>6.24</v>
      </c>
      <c r="Q60" s="234">
        <v>1.26</v>
      </c>
      <c r="R60" s="389"/>
      <c r="S60" s="234"/>
      <c r="T60" s="237">
        <f>P60/+G60</f>
        <v>6.24</v>
      </c>
      <c r="U60" s="237">
        <f>1.26/1</f>
        <v>1.26</v>
      </c>
      <c r="V60" s="237"/>
      <c r="W60" s="237">
        <f>+P60</f>
        <v>6.24</v>
      </c>
      <c r="X60" s="234">
        <v>-9999</v>
      </c>
      <c r="Y60" s="234"/>
      <c r="Z60" s="234" t="s">
        <v>20</v>
      </c>
      <c r="AA60" s="495">
        <v>15152</v>
      </c>
      <c r="AB60" s="389">
        <v>-9999</v>
      </c>
      <c r="AC60" s="234">
        <v>-9999</v>
      </c>
      <c r="AD60" s="234">
        <v>65</v>
      </c>
      <c r="AE60" s="390" t="s">
        <v>1952</v>
      </c>
      <c r="AF60" s="234">
        <v>3</v>
      </c>
      <c r="AG60" s="234" t="s">
        <v>652</v>
      </c>
      <c r="AH60" s="234" t="s">
        <v>623</v>
      </c>
      <c r="AI60" s="234">
        <v>-9999</v>
      </c>
      <c r="AJ60" s="491">
        <v>-9999</v>
      </c>
      <c r="AK60" s="234" t="s">
        <v>625</v>
      </c>
      <c r="AL60" s="234" t="s">
        <v>653</v>
      </c>
      <c r="AM60" s="234">
        <v>-9999</v>
      </c>
      <c r="AN60" s="234" t="s">
        <v>631</v>
      </c>
      <c r="AO60" s="234">
        <v>-9999</v>
      </c>
      <c r="AP60" s="234">
        <v>-9999</v>
      </c>
      <c r="AQ60" s="234" t="s">
        <v>631</v>
      </c>
      <c r="AR60" s="234">
        <v>0</v>
      </c>
      <c r="AS60" s="234">
        <v>-9999</v>
      </c>
      <c r="AT60" s="234">
        <v>-9999</v>
      </c>
      <c r="AU60" s="234">
        <v>0</v>
      </c>
      <c r="AV60" s="234">
        <v>-9999</v>
      </c>
      <c r="AW60" s="234">
        <v>-9999</v>
      </c>
      <c r="AX60" s="234">
        <v>0</v>
      </c>
      <c r="AY60" s="234">
        <v>-9999</v>
      </c>
      <c r="AZ60" s="234">
        <v>-9999</v>
      </c>
      <c r="BA60" s="234" t="s">
        <v>28</v>
      </c>
      <c r="BB60" s="234" t="s">
        <v>626</v>
      </c>
      <c r="BC60" s="234" t="s">
        <v>22</v>
      </c>
      <c r="BD60" s="234" t="s">
        <v>653</v>
      </c>
      <c r="BE60" s="234" t="s">
        <v>23</v>
      </c>
      <c r="BF60" s="234" t="s">
        <v>24</v>
      </c>
      <c r="BG60" s="234" t="s">
        <v>653</v>
      </c>
      <c r="BH60" s="234" t="s">
        <v>25</v>
      </c>
      <c r="BI60" s="234" t="s">
        <v>26</v>
      </c>
      <c r="BJ60" s="491">
        <v>-9999</v>
      </c>
      <c r="BK60" s="491">
        <v>-9999</v>
      </c>
      <c r="BL60" s="491">
        <v>-9999</v>
      </c>
      <c r="BM60" s="491">
        <v>-9999</v>
      </c>
      <c r="BN60" s="491">
        <v>-9999</v>
      </c>
      <c r="BO60" s="491">
        <v>-9999</v>
      </c>
      <c r="BP60" s="491">
        <v>-9999</v>
      </c>
      <c r="BQ60" s="491">
        <v>-9999</v>
      </c>
      <c r="BR60" s="491">
        <v>-9999</v>
      </c>
      <c r="BS60" s="491">
        <v>-9999</v>
      </c>
      <c r="BT60" s="491">
        <v>-9999</v>
      </c>
      <c r="BU60" s="491">
        <v>-9999</v>
      </c>
      <c r="BV60" s="491">
        <v>-9999</v>
      </c>
      <c r="BW60" s="491"/>
      <c r="BX60" s="491">
        <v>-9999</v>
      </c>
      <c r="BY60" s="491">
        <v>-9999</v>
      </c>
      <c r="BZ60" s="497">
        <v>-9999</v>
      </c>
      <c r="CA60" s="497" t="s">
        <v>834</v>
      </c>
      <c r="CB60" s="499"/>
      <c r="CC60" s="493">
        <v>1</v>
      </c>
      <c r="CD60" s="234">
        <v>1</v>
      </c>
      <c r="CE60" s="292">
        <v>6.24</v>
      </c>
      <c r="CF60" s="292">
        <v>6.24</v>
      </c>
      <c r="CG60" s="72">
        <v>2</v>
      </c>
    </row>
    <row r="61" spans="1:1873" s="23" customFormat="1" x14ac:dyDescent="0.2">
      <c r="A61" s="234" t="s">
        <v>650</v>
      </c>
      <c r="B61" s="234" t="s">
        <v>618</v>
      </c>
      <c r="C61" s="234" t="s">
        <v>27</v>
      </c>
      <c r="D61" s="234" t="s">
        <v>633</v>
      </c>
      <c r="E61" s="493" t="s">
        <v>634</v>
      </c>
      <c r="F61" s="493">
        <v>1</v>
      </c>
      <c r="G61" s="234">
        <v>2</v>
      </c>
      <c r="H61" s="491">
        <v>3</v>
      </c>
      <c r="I61" s="234" t="s">
        <v>954</v>
      </c>
      <c r="J61" s="234" t="s">
        <v>651</v>
      </c>
      <c r="K61" s="234" t="s">
        <v>957</v>
      </c>
      <c r="L61" s="234">
        <v>1997</v>
      </c>
      <c r="M61" s="389">
        <v>-9999</v>
      </c>
      <c r="N61" s="491">
        <v>-9999</v>
      </c>
      <c r="O61" s="29"/>
      <c r="P61" s="389">
        <v>14.61</v>
      </c>
      <c r="Q61" s="234">
        <v>2.2799999999999998</v>
      </c>
      <c r="R61" s="389"/>
      <c r="S61" s="234"/>
      <c r="T61" s="237">
        <f>P61/+G61</f>
        <v>7.3049999999999997</v>
      </c>
      <c r="U61" s="237">
        <f>2.28/2</f>
        <v>1.1399999999999999</v>
      </c>
      <c r="V61" s="237"/>
      <c r="W61" s="237">
        <f>+P61-P60</f>
        <v>8.3699999999999992</v>
      </c>
      <c r="X61" s="234">
        <v>-9999</v>
      </c>
      <c r="Y61" s="234"/>
      <c r="Z61" s="234" t="s">
        <v>20</v>
      </c>
      <c r="AA61" s="495">
        <v>15152</v>
      </c>
      <c r="AB61" s="389">
        <v>-9999</v>
      </c>
      <c r="AC61" s="234">
        <v>-9999</v>
      </c>
      <c r="AD61" s="234">
        <v>65</v>
      </c>
      <c r="AE61" s="390" t="s">
        <v>1952</v>
      </c>
      <c r="AF61" s="234">
        <v>3</v>
      </c>
      <c r="AG61" s="234" t="s">
        <v>652</v>
      </c>
      <c r="AH61" s="234" t="s">
        <v>623</v>
      </c>
      <c r="AI61" s="234">
        <v>-9999</v>
      </c>
      <c r="AJ61" s="491">
        <v>-9999</v>
      </c>
      <c r="AK61" s="234" t="s">
        <v>625</v>
      </c>
      <c r="AL61" s="234" t="s">
        <v>653</v>
      </c>
      <c r="AM61" s="234">
        <v>-9999</v>
      </c>
      <c r="AN61" s="234" t="s">
        <v>631</v>
      </c>
      <c r="AO61" s="234">
        <v>-9999</v>
      </c>
      <c r="AP61" s="234">
        <v>-9999</v>
      </c>
      <c r="AQ61" s="234" t="s">
        <v>631</v>
      </c>
      <c r="AR61" s="234">
        <v>0</v>
      </c>
      <c r="AS61" s="234">
        <v>-9999</v>
      </c>
      <c r="AT61" s="234">
        <v>-9999</v>
      </c>
      <c r="AU61" s="234">
        <v>0</v>
      </c>
      <c r="AV61" s="234">
        <v>-9999</v>
      </c>
      <c r="AW61" s="234">
        <v>-9999</v>
      </c>
      <c r="AX61" s="234">
        <v>0</v>
      </c>
      <c r="AY61" s="234">
        <v>-9999</v>
      </c>
      <c r="AZ61" s="234">
        <v>-9999</v>
      </c>
      <c r="BA61" s="234" t="s">
        <v>28</v>
      </c>
      <c r="BB61" s="234" t="s">
        <v>626</v>
      </c>
      <c r="BC61" s="234" t="s">
        <v>22</v>
      </c>
      <c r="BD61" s="234" t="s">
        <v>653</v>
      </c>
      <c r="BE61" s="234" t="s">
        <v>23</v>
      </c>
      <c r="BF61" s="234" t="s">
        <v>24</v>
      </c>
      <c r="BG61" s="234" t="s">
        <v>653</v>
      </c>
      <c r="BH61" s="234" t="s">
        <v>25</v>
      </c>
      <c r="BI61" s="234" t="s">
        <v>26</v>
      </c>
      <c r="BJ61" s="491">
        <v>-9999</v>
      </c>
      <c r="BK61" s="491">
        <v>-9999</v>
      </c>
      <c r="BL61" s="491">
        <v>-9999</v>
      </c>
      <c r="BM61" s="491">
        <v>-9999</v>
      </c>
      <c r="BN61" s="491">
        <v>-9999</v>
      </c>
      <c r="BO61" s="491">
        <v>-9999</v>
      </c>
      <c r="BP61" s="491">
        <v>-9999</v>
      </c>
      <c r="BQ61" s="491">
        <v>-9999</v>
      </c>
      <c r="BR61" s="491">
        <v>-9999</v>
      </c>
      <c r="BS61" s="491">
        <v>-9999</v>
      </c>
      <c r="BT61" s="491">
        <v>-9999</v>
      </c>
      <c r="BU61" s="491">
        <v>-9999</v>
      </c>
      <c r="BV61" s="491">
        <v>-9999</v>
      </c>
      <c r="BW61" s="491"/>
      <c r="BX61" s="491">
        <v>-9999</v>
      </c>
      <c r="BY61" s="491">
        <v>-9999</v>
      </c>
      <c r="BZ61" s="497">
        <v>-9999</v>
      </c>
      <c r="CA61" s="497" t="s">
        <v>834</v>
      </c>
      <c r="CB61" s="499"/>
      <c r="CC61" s="493">
        <v>1</v>
      </c>
      <c r="CD61" s="234">
        <v>2</v>
      </c>
      <c r="CE61" s="292">
        <v>7.3049999999999997</v>
      </c>
      <c r="CF61" s="292">
        <v>8.3699999999999992</v>
      </c>
      <c r="CG61" s="72">
        <v>3</v>
      </c>
    </row>
    <row r="62" spans="1:1873" s="23" customFormat="1" x14ac:dyDescent="0.2">
      <c r="A62" s="234" t="s">
        <v>650</v>
      </c>
      <c r="B62" s="234" t="s">
        <v>618</v>
      </c>
      <c r="C62" s="234" t="s">
        <v>27</v>
      </c>
      <c r="D62" s="234" t="s">
        <v>633</v>
      </c>
      <c r="E62" s="493" t="s">
        <v>634</v>
      </c>
      <c r="F62" s="493">
        <v>1</v>
      </c>
      <c r="G62" s="234">
        <v>3</v>
      </c>
      <c r="H62" s="491">
        <v>4</v>
      </c>
      <c r="I62" s="234" t="s">
        <v>954</v>
      </c>
      <c r="J62" s="234" t="s">
        <v>651</v>
      </c>
      <c r="K62" s="234" t="s">
        <v>957</v>
      </c>
      <c r="L62" s="234">
        <v>1998</v>
      </c>
      <c r="M62" s="389">
        <f>+P62</f>
        <v>24.07</v>
      </c>
      <c r="N62" s="491">
        <v>-9999</v>
      </c>
      <c r="O62" s="29"/>
      <c r="P62" s="389">
        <v>24.07</v>
      </c>
      <c r="Q62" s="234">
        <v>2.6749999999999998</v>
      </c>
      <c r="R62" s="389"/>
      <c r="S62" s="234"/>
      <c r="T62" s="237">
        <f>P62/G62</f>
        <v>8.0233333333333334</v>
      </c>
      <c r="U62" s="237">
        <f>2.675/3</f>
        <v>0.89166666666666661</v>
      </c>
      <c r="V62" s="237"/>
      <c r="W62" s="237">
        <f>+P62-P61</f>
        <v>9.4600000000000009</v>
      </c>
      <c r="X62" s="234">
        <v>-9999</v>
      </c>
      <c r="Y62" s="234"/>
      <c r="Z62" s="234" t="s">
        <v>20</v>
      </c>
      <c r="AA62" s="495">
        <v>15152</v>
      </c>
      <c r="AB62" s="389">
        <v>-9999</v>
      </c>
      <c r="AC62" s="234">
        <v>-9999</v>
      </c>
      <c r="AD62" s="234">
        <v>65</v>
      </c>
      <c r="AE62" s="390" t="s">
        <v>1952</v>
      </c>
      <c r="AF62" s="234">
        <v>3</v>
      </c>
      <c r="AG62" s="234" t="s">
        <v>652</v>
      </c>
      <c r="AH62" s="234" t="s">
        <v>623</v>
      </c>
      <c r="AI62" s="234">
        <v>-9999</v>
      </c>
      <c r="AJ62" s="491">
        <v>-9999</v>
      </c>
      <c r="AK62" s="234" t="s">
        <v>625</v>
      </c>
      <c r="AL62" s="234" t="s">
        <v>653</v>
      </c>
      <c r="AM62" s="234">
        <v>-9999</v>
      </c>
      <c r="AN62" s="234" t="s">
        <v>631</v>
      </c>
      <c r="AO62" s="234">
        <v>-9999</v>
      </c>
      <c r="AP62" s="234">
        <v>-9999</v>
      </c>
      <c r="AQ62" s="234" t="s">
        <v>631</v>
      </c>
      <c r="AR62" s="234">
        <v>0</v>
      </c>
      <c r="AS62" s="234">
        <v>-9999</v>
      </c>
      <c r="AT62" s="234">
        <v>-9999</v>
      </c>
      <c r="AU62" s="234">
        <v>0</v>
      </c>
      <c r="AV62" s="234">
        <v>-9999</v>
      </c>
      <c r="AW62" s="234">
        <v>-9999</v>
      </c>
      <c r="AX62" s="234">
        <v>0</v>
      </c>
      <c r="AY62" s="234">
        <v>-9999</v>
      </c>
      <c r="AZ62" s="234">
        <v>-9999</v>
      </c>
      <c r="BA62" s="234" t="s">
        <v>28</v>
      </c>
      <c r="BB62" s="234" t="s">
        <v>626</v>
      </c>
      <c r="BC62" s="234" t="s">
        <v>22</v>
      </c>
      <c r="BD62" s="234" t="s">
        <v>653</v>
      </c>
      <c r="BE62" s="234" t="s">
        <v>23</v>
      </c>
      <c r="BF62" s="234" t="s">
        <v>24</v>
      </c>
      <c r="BG62" s="234" t="s">
        <v>653</v>
      </c>
      <c r="BH62" s="234" t="s">
        <v>25</v>
      </c>
      <c r="BI62" s="234" t="s">
        <v>26</v>
      </c>
      <c r="BJ62" s="491">
        <v>-9999</v>
      </c>
      <c r="BK62" s="491">
        <v>-9999</v>
      </c>
      <c r="BL62" s="491">
        <v>-9999</v>
      </c>
      <c r="BM62" s="491">
        <v>-9999</v>
      </c>
      <c r="BN62" s="491">
        <v>-9999</v>
      </c>
      <c r="BO62" s="491">
        <v>-9999</v>
      </c>
      <c r="BP62" s="491">
        <v>-9999</v>
      </c>
      <c r="BQ62" s="491">
        <v>-9999</v>
      </c>
      <c r="BR62" s="491">
        <v>-9999</v>
      </c>
      <c r="BS62" s="491">
        <v>-9999</v>
      </c>
      <c r="BT62" s="491">
        <v>-9999</v>
      </c>
      <c r="BU62" s="491">
        <v>-9999</v>
      </c>
      <c r="BV62" s="491">
        <v>-9999</v>
      </c>
      <c r="BW62" s="491"/>
      <c r="BX62" s="491">
        <v>-9999</v>
      </c>
      <c r="BY62" s="491">
        <v>-9999</v>
      </c>
      <c r="BZ62" s="497">
        <v>-9999</v>
      </c>
      <c r="CA62" s="497" t="s">
        <v>834</v>
      </c>
      <c r="CB62" s="499"/>
      <c r="CC62" s="493">
        <v>1</v>
      </c>
      <c r="CD62" s="234">
        <v>3</v>
      </c>
      <c r="CE62" s="292">
        <v>8.0233333333333334</v>
      </c>
      <c r="CF62" s="292">
        <v>9.4600000000000009</v>
      </c>
      <c r="CG62" s="72">
        <v>4</v>
      </c>
    </row>
    <row r="63" spans="1:1873" s="23" customFormat="1" x14ac:dyDescent="0.2">
      <c r="A63" s="234"/>
      <c r="B63" s="234"/>
      <c r="C63" s="234"/>
      <c r="D63" s="234"/>
      <c r="E63" s="493"/>
      <c r="F63" s="493"/>
      <c r="G63" s="234"/>
      <c r="H63" s="491"/>
      <c r="I63" s="234"/>
      <c r="J63" s="234"/>
      <c r="K63" s="234"/>
      <c r="L63" s="234"/>
      <c r="M63" s="389"/>
      <c r="N63" s="491"/>
      <c r="O63" s="29"/>
      <c r="P63" s="389"/>
      <c r="Q63" s="234"/>
      <c r="R63" s="389"/>
      <c r="S63" s="234"/>
      <c r="T63" s="237"/>
      <c r="U63" s="237"/>
      <c r="V63" s="237"/>
      <c r="W63" s="237"/>
      <c r="X63" s="234"/>
      <c r="Y63" s="234"/>
      <c r="Z63" s="234"/>
      <c r="AA63" s="495"/>
      <c r="AB63" s="389"/>
      <c r="AC63" s="234"/>
      <c r="AD63" s="234"/>
      <c r="AE63" s="234"/>
      <c r="AF63" s="234"/>
      <c r="AG63" s="234"/>
      <c r="AH63" s="234"/>
      <c r="AI63" s="234"/>
      <c r="AJ63" s="491"/>
      <c r="AK63" s="234"/>
      <c r="AL63" s="234"/>
      <c r="AM63" s="234"/>
      <c r="AN63" s="234"/>
      <c r="AO63" s="234"/>
      <c r="AP63" s="234"/>
      <c r="AQ63" s="234"/>
      <c r="AR63" s="234"/>
      <c r="AS63" s="234"/>
      <c r="AT63" s="234"/>
      <c r="AU63" s="234"/>
      <c r="AV63" s="234"/>
      <c r="AW63" s="234"/>
      <c r="AX63" s="234"/>
      <c r="AY63" s="234"/>
      <c r="AZ63" s="234"/>
      <c r="BA63" s="234"/>
      <c r="BB63" s="234"/>
      <c r="BC63" s="234"/>
      <c r="BD63" s="234"/>
      <c r="BE63" s="234"/>
      <c r="BF63" s="234"/>
      <c r="BG63" s="234"/>
      <c r="BH63" s="234"/>
      <c r="BI63" s="234"/>
      <c r="BJ63" s="491"/>
      <c r="BK63" s="491"/>
      <c r="BL63" s="491"/>
      <c r="BM63" s="491"/>
      <c r="BN63" s="491"/>
      <c r="BO63" s="491"/>
      <c r="BP63" s="491"/>
      <c r="BQ63" s="491"/>
      <c r="BR63" s="491"/>
      <c r="BS63" s="491"/>
      <c r="BT63" s="491"/>
      <c r="BU63" s="491"/>
      <c r="BV63" s="491"/>
      <c r="BW63" s="491"/>
      <c r="BX63" s="491"/>
      <c r="BY63" s="491"/>
      <c r="BZ63" s="497"/>
      <c r="CA63" s="497"/>
      <c r="CB63" s="499"/>
      <c r="CC63" s="493"/>
      <c r="CD63" s="234"/>
      <c r="CE63" s="342" t="s">
        <v>1576</v>
      </c>
      <c r="CF63" s="342" t="s">
        <v>1575</v>
      </c>
      <c r="CG63" s="72"/>
    </row>
    <row r="64" spans="1:1873" s="23" customFormat="1" x14ac:dyDescent="0.2">
      <c r="A64" s="234" t="s">
        <v>650</v>
      </c>
      <c r="B64" s="234" t="s">
        <v>618</v>
      </c>
      <c r="C64" s="234" t="s">
        <v>29</v>
      </c>
      <c r="D64" s="234" t="s">
        <v>633</v>
      </c>
      <c r="E64" s="493" t="s">
        <v>634</v>
      </c>
      <c r="F64" s="493">
        <v>1</v>
      </c>
      <c r="G64" s="234">
        <v>1</v>
      </c>
      <c r="H64" s="491">
        <v>2</v>
      </c>
      <c r="I64" s="234" t="s">
        <v>954</v>
      </c>
      <c r="J64" s="234" t="s">
        <v>651</v>
      </c>
      <c r="K64" s="234" t="s">
        <v>957</v>
      </c>
      <c r="L64" s="234">
        <v>1996</v>
      </c>
      <c r="M64" s="389">
        <v>-9999</v>
      </c>
      <c r="N64" s="491">
        <v>-9999</v>
      </c>
      <c r="O64" s="29"/>
      <c r="P64" s="389">
        <v>10.89</v>
      </c>
      <c r="Q64" s="234">
        <v>1.4950000000000001</v>
      </c>
      <c r="R64" s="389"/>
      <c r="S64" s="234"/>
      <c r="T64" s="237">
        <f>P64/+G64</f>
        <v>10.89</v>
      </c>
      <c r="U64" s="237">
        <f>1.495/1</f>
        <v>1.4950000000000001</v>
      </c>
      <c r="V64" s="237"/>
      <c r="W64" s="237">
        <f>+P64</f>
        <v>10.89</v>
      </c>
      <c r="X64" s="234">
        <v>-9999</v>
      </c>
      <c r="Y64" s="234"/>
      <c r="Z64" s="234" t="s">
        <v>20</v>
      </c>
      <c r="AA64" s="495">
        <v>15152</v>
      </c>
      <c r="AB64" s="389">
        <v>-9999</v>
      </c>
      <c r="AC64" s="234">
        <v>-9999</v>
      </c>
      <c r="AD64" s="234">
        <v>65</v>
      </c>
      <c r="AE64" s="390" t="s">
        <v>1952</v>
      </c>
      <c r="AF64" s="234">
        <v>3</v>
      </c>
      <c r="AG64" s="234" t="s">
        <v>652</v>
      </c>
      <c r="AH64" s="234" t="s">
        <v>623</v>
      </c>
      <c r="AI64" s="234">
        <v>-9999</v>
      </c>
      <c r="AJ64" s="491">
        <v>-9999</v>
      </c>
      <c r="AK64" s="234" t="s">
        <v>625</v>
      </c>
      <c r="AL64" s="234" t="s">
        <v>653</v>
      </c>
      <c r="AM64" s="234">
        <v>-9999</v>
      </c>
      <c r="AN64" s="234" t="s">
        <v>631</v>
      </c>
      <c r="AO64" s="234">
        <v>-9999</v>
      </c>
      <c r="AP64" s="234">
        <v>-9999</v>
      </c>
      <c r="AQ64" s="234" t="s">
        <v>626</v>
      </c>
      <c r="AR64" s="234">
        <v>1000</v>
      </c>
      <c r="AS64" s="234" t="s">
        <v>1185</v>
      </c>
      <c r="AT64" s="234" t="s">
        <v>654</v>
      </c>
      <c r="AU64" s="234">
        <v>0</v>
      </c>
      <c r="AV64" s="234">
        <v>-9999</v>
      </c>
      <c r="AW64" s="234">
        <v>-9999</v>
      </c>
      <c r="AX64" s="234">
        <v>0</v>
      </c>
      <c r="AY64" s="234">
        <v>-9999</v>
      </c>
      <c r="AZ64" s="234">
        <v>-9999</v>
      </c>
      <c r="BA64" s="234" t="s">
        <v>31</v>
      </c>
      <c r="BB64" s="234" t="s">
        <v>626</v>
      </c>
      <c r="BC64" s="234" t="s">
        <v>22</v>
      </c>
      <c r="BD64" s="234" t="s">
        <v>653</v>
      </c>
      <c r="BE64" s="234" t="s">
        <v>23</v>
      </c>
      <c r="BF64" s="234" t="s">
        <v>24</v>
      </c>
      <c r="BG64" s="234" t="s">
        <v>653</v>
      </c>
      <c r="BH64" s="234" t="s">
        <v>25</v>
      </c>
      <c r="BI64" s="234" t="s">
        <v>26</v>
      </c>
      <c r="BJ64" s="491">
        <v>-9999</v>
      </c>
      <c r="BK64" s="491">
        <v>-9999</v>
      </c>
      <c r="BL64" s="491">
        <v>-9999</v>
      </c>
      <c r="BM64" s="491">
        <v>-9999</v>
      </c>
      <c r="BN64" s="491">
        <v>-9999</v>
      </c>
      <c r="BO64" s="491">
        <v>-9999</v>
      </c>
      <c r="BP64" s="491">
        <v>-9999</v>
      </c>
      <c r="BQ64" s="491">
        <v>-9999</v>
      </c>
      <c r="BR64" s="491">
        <v>-9999</v>
      </c>
      <c r="BS64" s="491">
        <v>-9999</v>
      </c>
      <c r="BT64" s="491">
        <v>-9999</v>
      </c>
      <c r="BU64" s="491">
        <v>-9999</v>
      </c>
      <c r="BV64" s="491">
        <v>-9999</v>
      </c>
      <c r="BW64" s="491"/>
      <c r="BX64" s="491">
        <v>-9999</v>
      </c>
      <c r="BY64" s="491">
        <v>-9999</v>
      </c>
      <c r="BZ64" s="497">
        <v>-9999</v>
      </c>
      <c r="CA64" s="497" t="s">
        <v>834</v>
      </c>
      <c r="CB64" s="499"/>
      <c r="CC64" s="493">
        <v>1</v>
      </c>
      <c r="CD64" s="234">
        <v>1</v>
      </c>
      <c r="CE64" s="401">
        <v>10.89</v>
      </c>
      <c r="CF64" s="292">
        <v>10.89</v>
      </c>
      <c r="CG64" s="72">
        <v>2</v>
      </c>
      <c r="CH64" s="479"/>
    </row>
    <row r="65" spans="1:95" s="23" customFormat="1" x14ac:dyDescent="0.2">
      <c r="A65" s="234" t="s">
        <v>650</v>
      </c>
      <c r="B65" s="234" t="s">
        <v>618</v>
      </c>
      <c r="C65" s="234" t="s">
        <v>29</v>
      </c>
      <c r="D65" s="234" t="s">
        <v>633</v>
      </c>
      <c r="E65" s="493" t="s">
        <v>634</v>
      </c>
      <c r="F65" s="493">
        <v>1</v>
      </c>
      <c r="G65" s="234">
        <v>2</v>
      </c>
      <c r="H65" s="491">
        <v>3</v>
      </c>
      <c r="I65" s="234" t="s">
        <v>954</v>
      </c>
      <c r="J65" s="234" t="s">
        <v>651</v>
      </c>
      <c r="K65" s="234" t="s">
        <v>957</v>
      </c>
      <c r="L65" s="234">
        <v>1997</v>
      </c>
      <c r="M65" s="389">
        <v>-9999</v>
      </c>
      <c r="N65" s="491">
        <v>-9999</v>
      </c>
      <c r="O65" s="29"/>
      <c r="P65" s="389">
        <v>19.57</v>
      </c>
      <c r="Q65" s="234">
        <v>1.65</v>
      </c>
      <c r="R65" s="389"/>
      <c r="S65" s="234"/>
      <c r="T65" s="237">
        <f>P65/+G65</f>
        <v>9.7850000000000001</v>
      </c>
      <c r="U65" s="237">
        <f>1.65/2</f>
        <v>0.82499999999999996</v>
      </c>
      <c r="V65" s="237"/>
      <c r="W65" s="237">
        <f>+P65-P64</f>
        <v>8.68</v>
      </c>
      <c r="X65" s="234">
        <v>-9999</v>
      </c>
      <c r="Y65" s="234"/>
      <c r="Z65" s="234" t="s">
        <v>20</v>
      </c>
      <c r="AA65" s="495">
        <v>15152</v>
      </c>
      <c r="AB65" s="389">
        <v>-9999</v>
      </c>
      <c r="AC65" s="234">
        <v>-9999</v>
      </c>
      <c r="AD65" s="234">
        <v>65</v>
      </c>
      <c r="AE65" s="390" t="s">
        <v>1952</v>
      </c>
      <c r="AF65" s="234">
        <v>3</v>
      </c>
      <c r="AG65" s="234" t="s">
        <v>652</v>
      </c>
      <c r="AH65" s="234" t="s">
        <v>623</v>
      </c>
      <c r="AI65" s="234">
        <v>-9999</v>
      </c>
      <c r="AJ65" s="491">
        <v>-9999</v>
      </c>
      <c r="AK65" s="234" t="s">
        <v>625</v>
      </c>
      <c r="AL65" s="234" t="s">
        <v>653</v>
      </c>
      <c r="AM65" s="234">
        <v>-9999</v>
      </c>
      <c r="AN65" s="234" t="s">
        <v>631</v>
      </c>
      <c r="AO65" s="234">
        <v>-9999</v>
      </c>
      <c r="AP65" s="234">
        <v>-9999</v>
      </c>
      <c r="AQ65" s="234" t="s">
        <v>626</v>
      </c>
      <c r="AR65" s="234">
        <v>1000</v>
      </c>
      <c r="AS65" s="234" t="s">
        <v>1185</v>
      </c>
      <c r="AT65" s="234" t="s">
        <v>654</v>
      </c>
      <c r="AU65" s="234">
        <v>0</v>
      </c>
      <c r="AV65" s="234">
        <v>-9999</v>
      </c>
      <c r="AW65" s="234">
        <v>-9999</v>
      </c>
      <c r="AX65" s="234">
        <v>0</v>
      </c>
      <c r="AY65" s="234">
        <v>-9999</v>
      </c>
      <c r="AZ65" s="234">
        <v>-9999</v>
      </c>
      <c r="BA65" s="234" t="s">
        <v>31</v>
      </c>
      <c r="BB65" s="234" t="s">
        <v>626</v>
      </c>
      <c r="BC65" s="234" t="s">
        <v>22</v>
      </c>
      <c r="BD65" s="234" t="s">
        <v>653</v>
      </c>
      <c r="BE65" s="234" t="s">
        <v>23</v>
      </c>
      <c r="BF65" s="234" t="s">
        <v>24</v>
      </c>
      <c r="BG65" s="234" t="s">
        <v>653</v>
      </c>
      <c r="BH65" s="234" t="s">
        <v>25</v>
      </c>
      <c r="BI65" s="234" t="s">
        <v>26</v>
      </c>
      <c r="BJ65" s="491">
        <v>-9999</v>
      </c>
      <c r="BK65" s="491">
        <v>-9999</v>
      </c>
      <c r="BL65" s="491">
        <v>-9999</v>
      </c>
      <c r="BM65" s="491">
        <v>-9999</v>
      </c>
      <c r="BN65" s="491">
        <v>-9999</v>
      </c>
      <c r="BO65" s="491">
        <v>-9999</v>
      </c>
      <c r="BP65" s="491">
        <v>-9999</v>
      </c>
      <c r="BQ65" s="491">
        <v>-9999</v>
      </c>
      <c r="BR65" s="491">
        <v>-9999</v>
      </c>
      <c r="BS65" s="491">
        <v>-9999</v>
      </c>
      <c r="BT65" s="491">
        <v>-9999</v>
      </c>
      <c r="BU65" s="491">
        <v>-9999</v>
      </c>
      <c r="BV65" s="491">
        <v>-9999</v>
      </c>
      <c r="BW65" s="491"/>
      <c r="BX65" s="491">
        <v>-9999</v>
      </c>
      <c r="BY65" s="491">
        <v>-9999</v>
      </c>
      <c r="BZ65" s="497">
        <v>-9999</v>
      </c>
      <c r="CA65" s="497" t="s">
        <v>834</v>
      </c>
      <c r="CB65" s="499"/>
      <c r="CC65" s="493">
        <v>1</v>
      </c>
      <c r="CD65" s="234">
        <v>2</v>
      </c>
      <c r="CE65" s="292">
        <v>9.7850000000000001</v>
      </c>
      <c r="CF65" s="292">
        <v>8.68</v>
      </c>
      <c r="CG65" s="72">
        <v>3</v>
      </c>
    </row>
    <row r="66" spans="1:95" s="23" customFormat="1" x14ac:dyDescent="0.2">
      <c r="A66" s="234" t="s">
        <v>650</v>
      </c>
      <c r="B66" s="234" t="s">
        <v>618</v>
      </c>
      <c r="C66" s="234" t="s">
        <v>29</v>
      </c>
      <c r="D66" s="234" t="s">
        <v>633</v>
      </c>
      <c r="E66" s="493" t="s">
        <v>634</v>
      </c>
      <c r="F66" s="493">
        <v>1</v>
      </c>
      <c r="G66" s="234">
        <v>3</v>
      </c>
      <c r="H66" s="491">
        <v>4</v>
      </c>
      <c r="I66" s="234" t="s">
        <v>954</v>
      </c>
      <c r="J66" s="234" t="s">
        <v>651</v>
      </c>
      <c r="K66" s="234" t="s">
        <v>957</v>
      </c>
      <c r="L66" s="234">
        <v>1998</v>
      </c>
      <c r="M66" s="389">
        <f>+P66</f>
        <v>31.55</v>
      </c>
      <c r="N66" s="491">
        <v>-9999</v>
      </c>
      <c r="O66" s="29"/>
      <c r="P66" s="389">
        <v>31.55</v>
      </c>
      <c r="Q66" s="234">
        <v>2.44</v>
      </c>
      <c r="R66" s="389"/>
      <c r="S66" s="234"/>
      <c r="T66" s="237">
        <f>P66/G66</f>
        <v>10.516666666666667</v>
      </c>
      <c r="U66" s="237">
        <f>2.44/3</f>
        <v>0.81333333333333335</v>
      </c>
      <c r="V66" s="237"/>
      <c r="W66" s="237">
        <f>+P66-P65</f>
        <v>11.98</v>
      </c>
      <c r="X66" s="234">
        <v>-9999</v>
      </c>
      <c r="Y66" s="234"/>
      <c r="Z66" s="234" t="s">
        <v>20</v>
      </c>
      <c r="AA66" s="495">
        <v>15152</v>
      </c>
      <c r="AB66" s="389">
        <v>-9999</v>
      </c>
      <c r="AC66" s="234">
        <v>-9999</v>
      </c>
      <c r="AD66" s="234">
        <v>65</v>
      </c>
      <c r="AE66" s="390" t="s">
        <v>1952</v>
      </c>
      <c r="AF66" s="234">
        <v>3</v>
      </c>
      <c r="AG66" s="234" t="s">
        <v>652</v>
      </c>
      <c r="AH66" s="234" t="s">
        <v>623</v>
      </c>
      <c r="AI66" s="234">
        <v>-9999</v>
      </c>
      <c r="AJ66" s="491">
        <v>-9999</v>
      </c>
      <c r="AK66" s="234" t="s">
        <v>625</v>
      </c>
      <c r="AL66" s="234" t="s">
        <v>653</v>
      </c>
      <c r="AM66" s="234">
        <v>-9999</v>
      </c>
      <c r="AN66" s="234" t="s">
        <v>631</v>
      </c>
      <c r="AO66" s="234">
        <v>-9999</v>
      </c>
      <c r="AP66" s="234">
        <v>-9999</v>
      </c>
      <c r="AQ66" s="234" t="s">
        <v>626</v>
      </c>
      <c r="AR66" s="234">
        <v>1000</v>
      </c>
      <c r="AS66" s="234" t="s">
        <v>1185</v>
      </c>
      <c r="AT66" s="234" t="s">
        <v>654</v>
      </c>
      <c r="AU66" s="234">
        <v>0</v>
      </c>
      <c r="AV66" s="234">
        <v>-9999</v>
      </c>
      <c r="AW66" s="234">
        <v>-9999</v>
      </c>
      <c r="AX66" s="234">
        <v>0</v>
      </c>
      <c r="AY66" s="234">
        <v>-9999</v>
      </c>
      <c r="AZ66" s="234">
        <v>-9999</v>
      </c>
      <c r="BA66" s="234" t="s">
        <v>31</v>
      </c>
      <c r="BB66" s="234" t="s">
        <v>626</v>
      </c>
      <c r="BC66" s="234" t="s">
        <v>22</v>
      </c>
      <c r="BD66" s="234" t="s">
        <v>653</v>
      </c>
      <c r="BE66" s="234" t="s">
        <v>23</v>
      </c>
      <c r="BF66" s="234" t="s">
        <v>24</v>
      </c>
      <c r="BG66" s="234" t="s">
        <v>653</v>
      </c>
      <c r="BH66" s="234" t="s">
        <v>25</v>
      </c>
      <c r="BI66" s="234" t="s">
        <v>26</v>
      </c>
      <c r="BJ66" s="491">
        <v>-9999</v>
      </c>
      <c r="BK66" s="491">
        <v>-9999</v>
      </c>
      <c r="BL66" s="491">
        <v>-9999</v>
      </c>
      <c r="BM66" s="491">
        <v>-9999</v>
      </c>
      <c r="BN66" s="491">
        <v>-9999</v>
      </c>
      <c r="BO66" s="491">
        <v>-9999</v>
      </c>
      <c r="BP66" s="491">
        <v>-9999</v>
      </c>
      <c r="BQ66" s="491">
        <v>-9999</v>
      </c>
      <c r="BR66" s="491">
        <v>-9999</v>
      </c>
      <c r="BS66" s="491">
        <v>-9999</v>
      </c>
      <c r="BT66" s="491">
        <v>-9999</v>
      </c>
      <c r="BU66" s="491">
        <v>-9999</v>
      </c>
      <c r="BV66" s="491">
        <v>-9999</v>
      </c>
      <c r="BW66" s="491"/>
      <c r="BX66" s="491">
        <v>-9999</v>
      </c>
      <c r="BY66" s="491">
        <v>-9999</v>
      </c>
      <c r="BZ66" s="497">
        <v>-9999</v>
      </c>
      <c r="CA66" s="497" t="s">
        <v>834</v>
      </c>
      <c r="CB66" s="499"/>
      <c r="CC66" s="493">
        <v>1</v>
      </c>
      <c r="CD66" s="234">
        <v>3</v>
      </c>
      <c r="CE66" s="292">
        <v>10.516666666666667</v>
      </c>
      <c r="CF66" s="292">
        <v>11.98</v>
      </c>
      <c r="CG66" s="72">
        <v>4</v>
      </c>
    </row>
    <row r="67" spans="1:95" s="23" customFormat="1" x14ac:dyDescent="0.2">
      <c r="A67" s="234"/>
      <c r="B67" s="234"/>
      <c r="C67" s="234"/>
      <c r="D67" s="234"/>
      <c r="E67" s="493"/>
      <c r="F67" s="493"/>
      <c r="G67" s="234"/>
      <c r="H67" s="491"/>
      <c r="I67" s="234"/>
      <c r="J67" s="234"/>
      <c r="K67" s="234"/>
      <c r="L67" s="234"/>
      <c r="M67" s="389"/>
      <c r="N67" s="491"/>
      <c r="O67" s="29"/>
      <c r="P67" s="389"/>
      <c r="Q67" s="234"/>
      <c r="R67" s="389"/>
      <c r="S67" s="234"/>
      <c r="T67" s="237"/>
      <c r="U67" s="237"/>
      <c r="V67" s="237"/>
      <c r="W67" s="237"/>
      <c r="X67" s="234"/>
      <c r="Y67" s="234"/>
      <c r="Z67" s="234"/>
      <c r="AA67" s="495"/>
      <c r="AB67" s="389"/>
      <c r="AC67" s="234"/>
      <c r="AD67" s="234"/>
      <c r="AE67" s="234"/>
      <c r="AF67" s="234"/>
      <c r="AG67" s="234"/>
      <c r="AH67" s="234"/>
      <c r="AI67" s="234"/>
      <c r="AJ67" s="491"/>
      <c r="AK67" s="234"/>
      <c r="AL67" s="234"/>
      <c r="AM67" s="234"/>
      <c r="AN67" s="234"/>
      <c r="AO67" s="234"/>
      <c r="AP67" s="234"/>
      <c r="AQ67" s="234"/>
      <c r="AR67" s="234"/>
      <c r="AS67" s="234"/>
      <c r="AT67" s="234"/>
      <c r="AU67" s="234"/>
      <c r="AV67" s="234"/>
      <c r="AW67" s="234"/>
      <c r="AX67" s="234"/>
      <c r="AY67" s="234"/>
      <c r="AZ67" s="234"/>
      <c r="BA67" s="234"/>
      <c r="BB67" s="234"/>
      <c r="BC67" s="234"/>
      <c r="BD67" s="234"/>
      <c r="BE67" s="234"/>
      <c r="BF67" s="234"/>
      <c r="BG67" s="234"/>
      <c r="BH67" s="234"/>
      <c r="BI67" s="234"/>
      <c r="BJ67" s="491"/>
      <c r="BK67" s="491"/>
      <c r="BL67" s="491"/>
      <c r="BM67" s="491"/>
      <c r="BN67" s="491"/>
      <c r="BO67" s="491"/>
      <c r="BP67" s="491"/>
      <c r="BQ67" s="491"/>
      <c r="BR67" s="491"/>
      <c r="BS67" s="491"/>
      <c r="BT67" s="491"/>
      <c r="BU67" s="491"/>
      <c r="BV67" s="491"/>
      <c r="BW67" s="491"/>
      <c r="BX67" s="491"/>
      <c r="BY67" s="491"/>
      <c r="BZ67" s="497"/>
      <c r="CA67" s="497"/>
      <c r="CB67" s="499"/>
      <c r="CC67" s="493"/>
      <c r="CD67" s="234"/>
      <c r="CE67" s="342" t="s">
        <v>1576</v>
      </c>
      <c r="CF67" s="342" t="s">
        <v>1575</v>
      </c>
      <c r="CG67" s="72"/>
    </row>
    <row r="68" spans="1:95" s="23" customFormat="1" x14ac:dyDescent="0.2">
      <c r="A68" s="234" t="s">
        <v>650</v>
      </c>
      <c r="B68" s="234" t="s">
        <v>618</v>
      </c>
      <c r="C68" s="234" t="s">
        <v>187</v>
      </c>
      <c r="D68" s="234" t="s">
        <v>633</v>
      </c>
      <c r="E68" s="493" t="s">
        <v>634</v>
      </c>
      <c r="F68" s="493">
        <v>1</v>
      </c>
      <c r="G68" s="234">
        <v>1</v>
      </c>
      <c r="H68" s="491">
        <v>2</v>
      </c>
      <c r="I68" s="234" t="s">
        <v>954</v>
      </c>
      <c r="J68" s="234" t="s">
        <v>651</v>
      </c>
      <c r="K68" s="234" t="s">
        <v>957</v>
      </c>
      <c r="L68" s="234">
        <v>1996</v>
      </c>
      <c r="M68" s="389">
        <v>-9999</v>
      </c>
      <c r="N68" s="491">
        <v>-9999</v>
      </c>
      <c r="O68" s="29"/>
      <c r="P68" s="389">
        <v>9.5500000000000007</v>
      </c>
      <c r="Q68" s="234">
        <v>1.26</v>
      </c>
      <c r="R68" s="389"/>
      <c r="S68" s="234"/>
      <c r="T68" s="237">
        <f>P68/+G68</f>
        <v>9.5500000000000007</v>
      </c>
      <c r="U68" s="237">
        <f>1.26/1</f>
        <v>1.26</v>
      </c>
      <c r="V68" s="237"/>
      <c r="W68" s="237">
        <f>+P68</f>
        <v>9.5500000000000007</v>
      </c>
      <c r="X68" s="234">
        <v>-9999</v>
      </c>
      <c r="Y68" s="234"/>
      <c r="Z68" s="234" t="s">
        <v>20</v>
      </c>
      <c r="AA68" s="495">
        <v>15152</v>
      </c>
      <c r="AB68" s="389">
        <v>-9999</v>
      </c>
      <c r="AC68" s="234">
        <v>-9999</v>
      </c>
      <c r="AD68" s="234">
        <v>65</v>
      </c>
      <c r="AE68" s="390" t="s">
        <v>1952</v>
      </c>
      <c r="AF68" s="234">
        <v>3</v>
      </c>
      <c r="AG68" s="234" t="s">
        <v>652</v>
      </c>
      <c r="AH68" s="234" t="s">
        <v>623</v>
      </c>
      <c r="AI68" s="234">
        <v>-9999</v>
      </c>
      <c r="AJ68" s="491">
        <v>-9999</v>
      </c>
      <c r="AK68" s="234" t="s">
        <v>625</v>
      </c>
      <c r="AL68" s="234" t="s">
        <v>653</v>
      </c>
      <c r="AM68" s="234">
        <v>-9999</v>
      </c>
      <c r="AN68" s="234" t="s">
        <v>631</v>
      </c>
      <c r="AO68" s="234">
        <v>-9999</v>
      </c>
      <c r="AP68" s="234">
        <v>-9999</v>
      </c>
      <c r="AQ68" s="234" t="s">
        <v>626</v>
      </c>
      <c r="AR68" s="234">
        <v>1200</v>
      </c>
      <c r="AS68" s="234" t="s">
        <v>1186</v>
      </c>
      <c r="AT68" s="234" t="s">
        <v>654</v>
      </c>
      <c r="AU68" s="234">
        <v>0</v>
      </c>
      <c r="AV68" s="234">
        <v>-9999</v>
      </c>
      <c r="AW68" s="234">
        <v>-9999</v>
      </c>
      <c r="AX68" s="234">
        <v>0</v>
      </c>
      <c r="AY68" s="234">
        <v>-9999</v>
      </c>
      <c r="AZ68" s="234">
        <v>-9999</v>
      </c>
      <c r="BA68" s="234" t="s">
        <v>188</v>
      </c>
      <c r="BB68" s="234" t="s">
        <v>626</v>
      </c>
      <c r="BC68" s="234" t="s">
        <v>22</v>
      </c>
      <c r="BD68" s="234" t="s">
        <v>653</v>
      </c>
      <c r="BE68" s="234" t="s">
        <v>23</v>
      </c>
      <c r="BF68" s="234" t="s">
        <v>24</v>
      </c>
      <c r="BG68" s="234" t="s">
        <v>653</v>
      </c>
      <c r="BH68" s="234" t="s">
        <v>25</v>
      </c>
      <c r="BI68" s="234" t="s">
        <v>26</v>
      </c>
      <c r="BJ68" s="491">
        <v>-9999</v>
      </c>
      <c r="BK68" s="491">
        <v>-9999</v>
      </c>
      <c r="BL68" s="491">
        <v>-9999</v>
      </c>
      <c r="BM68" s="491">
        <v>-9999</v>
      </c>
      <c r="BN68" s="491">
        <v>-9999</v>
      </c>
      <c r="BO68" s="491">
        <v>-9999</v>
      </c>
      <c r="BP68" s="491">
        <v>-9999</v>
      </c>
      <c r="BQ68" s="491">
        <v>-9999</v>
      </c>
      <c r="BR68" s="491">
        <v>-9999</v>
      </c>
      <c r="BS68" s="491">
        <v>-9999</v>
      </c>
      <c r="BT68" s="491">
        <v>-9999</v>
      </c>
      <c r="BU68" s="491">
        <v>-9999</v>
      </c>
      <c r="BV68" s="491">
        <v>-9999</v>
      </c>
      <c r="BW68" s="491"/>
      <c r="BX68" s="491">
        <v>-9999</v>
      </c>
      <c r="BY68" s="491">
        <v>-9999</v>
      </c>
      <c r="BZ68" s="497">
        <v>-9999</v>
      </c>
      <c r="CA68" s="497" t="s">
        <v>834</v>
      </c>
      <c r="CB68" s="499"/>
      <c r="CC68" s="493">
        <v>1</v>
      </c>
      <c r="CD68" s="234">
        <v>1</v>
      </c>
      <c r="CE68" s="401">
        <v>9.5500000000000007</v>
      </c>
      <c r="CF68" s="292">
        <v>9.5500000000000007</v>
      </c>
      <c r="CG68" s="72">
        <v>2</v>
      </c>
      <c r="CH68" s="479"/>
    </row>
    <row r="69" spans="1:95" s="23" customFormat="1" x14ac:dyDescent="0.2">
      <c r="A69" s="234" t="s">
        <v>650</v>
      </c>
      <c r="B69" s="234" t="s">
        <v>618</v>
      </c>
      <c r="C69" s="234" t="s">
        <v>187</v>
      </c>
      <c r="D69" s="234" t="s">
        <v>633</v>
      </c>
      <c r="E69" s="493" t="s">
        <v>634</v>
      </c>
      <c r="F69" s="493">
        <v>1</v>
      </c>
      <c r="G69" s="234">
        <v>2</v>
      </c>
      <c r="H69" s="491">
        <v>3</v>
      </c>
      <c r="I69" s="234" t="s">
        <v>954</v>
      </c>
      <c r="J69" s="234" t="s">
        <v>651</v>
      </c>
      <c r="K69" s="234" t="s">
        <v>957</v>
      </c>
      <c r="L69" s="234">
        <v>1997</v>
      </c>
      <c r="M69" s="389">
        <v>-9999</v>
      </c>
      <c r="N69" s="491">
        <v>-9999</v>
      </c>
      <c r="O69" s="29"/>
      <c r="P69" s="389">
        <v>17.91</v>
      </c>
      <c r="Q69" s="234">
        <v>0.71</v>
      </c>
      <c r="R69" s="389"/>
      <c r="S69" s="234"/>
      <c r="T69" s="237">
        <f>P69/+G69</f>
        <v>8.9550000000000001</v>
      </c>
      <c r="U69" s="237">
        <f>0.71/2</f>
        <v>0.35499999999999998</v>
      </c>
      <c r="V69" s="237"/>
      <c r="W69" s="237">
        <f>+P69-P68</f>
        <v>8.36</v>
      </c>
      <c r="X69" s="234">
        <v>-9999</v>
      </c>
      <c r="Y69" s="234"/>
      <c r="Z69" s="234" t="s">
        <v>20</v>
      </c>
      <c r="AA69" s="495">
        <v>15152</v>
      </c>
      <c r="AB69" s="389">
        <v>-9999</v>
      </c>
      <c r="AC69" s="234">
        <v>-9999</v>
      </c>
      <c r="AD69" s="234">
        <v>65</v>
      </c>
      <c r="AE69" s="390" t="s">
        <v>1952</v>
      </c>
      <c r="AF69" s="234">
        <v>3</v>
      </c>
      <c r="AG69" s="234" t="s">
        <v>652</v>
      </c>
      <c r="AH69" s="234" t="s">
        <v>623</v>
      </c>
      <c r="AI69" s="234">
        <v>-9999</v>
      </c>
      <c r="AJ69" s="491">
        <v>-9999</v>
      </c>
      <c r="AK69" s="234" t="s">
        <v>625</v>
      </c>
      <c r="AL69" s="234" t="s">
        <v>653</v>
      </c>
      <c r="AM69" s="234">
        <v>-9999</v>
      </c>
      <c r="AN69" s="234" t="s">
        <v>631</v>
      </c>
      <c r="AO69" s="234">
        <v>-9999</v>
      </c>
      <c r="AP69" s="234">
        <v>-9999</v>
      </c>
      <c r="AQ69" s="234" t="s">
        <v>626</v>
      </c>
      <c r="AR69" s="234">
        <v>1200</v>
      </c>
      <c r="AS69" s="234" t="s">
        <v>1186</v>
      </c>
      <c r="AT69" s="234" t="s">
        <v>654</v>
      </c>
      <c r="AU69" s="234">
        <v>0</v>
      </c>
      <c r="AV69" s="234">
        <v>-9999</v>
      </c>
      <c r="AW69" s="234">
        <v>-9999</v>
      </c>
      <c r="AX69" s="234">
        <v>0</v>
      </c>
      <c r="AY69" s="234">
        <v>-9999</v>
      </c>
      <c r="AZ69" s="234">
        <v>-9999</v>
      </c>
      <c r="BA69" s="234" t="s">
        <v>188</v>
      </c>
      <c r="BB69" s="234" t="s">
        <v>626</v>
      </c>
      <c r="BC69" s="234" t="s">
        <v>22</v>
      </c>
      <c r="BD69" s="234" t="s">
        <v>653</v>
      </c>
      <c r="BE69" s="234" t="s">
        <v>23</v>
      </c>
      <c r="BF69" s="234" t="s">
        <v>24</v>
      </c>
      <c r="BG69" s="234" t="s">
        <v>653</v>
      </c>
      <c r="BH69" s="234" t="s">
        <v>25</v>
      </c>
      <c r="BI69" s="234" t="s">
        <v>26</v>
      </c>
      <c r="BJ69" s="491">
        <v>-9999</v>
      </c>
      <c r="BK69" s="491">
        <v>-9999</v>
      </c>
      <c r="BL69" s="491">
        <v>-9999</v>
      </c>
      <c r="BM69" s="491">
        <v>-9999</v>
      </c>
      <c r="BN69" s="491">
        <v>-9999</v>
      </c>
      <c r="BO69" s="491">
        <v>-9999</v>
      </c>
      <c r="BP69" s="491">
        <v>-9999</v>
      </c>
      <c r="BQ69" s="491">
        <v>-9999</v>
      </c>
      <c r="BR69" s="491">
        <v>-9999</v>
      </c>
      <c r="BS69" s="491">
        <v>-9999</v>
      </c>
      <c r="BT69" s="491">
        <v>-9999</v>
      </c>
      <c r="BU69" s="491">
        <v>-9999</v>
      </c>
      <c r="BV69" s="491">
        <v>-9999</v>
      </c>
      <c r="BW69" s="491"/>
      <c r="BX69" s="491">
        <v>-9999</v>
      </c>
      <c r="BY69" s="491">
        <v>-9999</v>
      </c>
      <c r="BZ69" s="497">
        <v>-9999</v>
      </c>
      <c r="CA69" s="497" t="s">
        <v>834</v>
      </c>
      <c r="CB69" s="499"/>
      <c r="CC69" s="493">
        <v>1</v>
      </c>
      <c r="CD69" s="234">
        <v>2</v>
      </c>
      <c r="CE69" s="292">
        <v>8.9550000000000001</v>
      </c>
      <c r="CF69" s="292">
        <v>8.36</v>
      </c>
      <c r="CG69" s="72">
        <v>3</v>
      </c>
    </row>
    <row r="70" spans="1:95" s="23" customFormat="1" x14ac:dyDescent="0.2">
      <c r="A70" s="234" t="s">
        <v>650</v>
      </c>
      <c r="B70" s="234" t="s">
        <v>618</v>
      </c>
      <c r="C70" s="234" t="s">
        <v>187</v>
      </c>
      <c r="D70" s="234" t="s">
        <v>633</v>
      </c>
      <c r="E70" s="493" t="s">
        <v>634</v>
      </c>
      <c r="F70" s="493">
        <v>1</v>
      </c>
      <c r="G70" s="234">
        <v>3</v>
      </c>
      <c r="H70" s="491">
        <v>4</v>
      </c>
      <c r="I70" s="234" t="s">
        <v>954</v>
      </c>
      <c r="J70" s="234" t="s">
        <v>651</v>
      </c>
      <c r="K70" s="234" t="s">
        <v>957</v>
      </c>
      <c r="L70" s="234">
        <v>1998</v>
      </c>
      <c r="M70" s="389">
        <f>+P70</f>
        <v>27.06</v>
      </c>
      <c r="N70" s="491">
        <v>-9999</v>
      </c>
      <c r="O70" s="29"/>
      <c r="P70" s="389">
        <v>27.06</v>
      </c>
      <c r="Q70" s="234">
        <v>1.1000000000000001</v>
      </c>
      <c r="R70" s="389"/>
      <c r="S70" s="234"/>
      <c r="T70" s="237">
        <f>P70/G70</f>
        <v>9.02</v>
      </c>
      <c r="U70" s="237">
        <f>1.1/3</f>
        <v>0.3666666666666667</v>
      </c>
      <c r="V70" s="237"/>
      <c r="W70" s="237">
        <f>+P70-P69</f>
        <v>9.1499999999999986</v>
      </c>
      <c r="X70" s="234">
        <v>-9999</v>
      </c>
      <c r="Y70" s="234"/>
      <c r="Z70" s="234" t="s">
        <v>20</v>
      </c>
      <c r="AA70" s="495">
        <v>15152</v>
      </c>
      <c r="AB70" s="389">
        <v>-9999</v>
      </c>
      <c r="AC70" s="234">
        <v>-9999</v>
      </c>
      <c r="AD70" s="234">
        <v>65</v>
      </c>
      <c r="AE70" s="390" t="s">
        <v>1952</v>
      </c>
      <c r="AF70" s="234">
        <v>3</v>
      </c>
      <c r="AG70" s="234" t="s">
        <v>652</v>
      </c>
      <c r="AH70" s="234" t="s">
        <v>623</v>
      </c>
      <c r="AI70" s="234">
        <v>-9999</v>
      </c>
      <c r="AJ70" s="491">
        <v>-9999</v>
      </c>
      <c r="AK70" s="234" t="s">
        <v>625</v>
      </c>
      <c r="AL70" s="234" t="s">
        <v>653</v>
      </c>
      <c r="AM70" s="234">
        <v>-9999</v>
      </c>
      <c r="AN70" s="234" t="s">
        <v>631</v>
      </c>
      <c r="AO70" s="234">
        <v>-9999</v>
      </c>
      <c r="AP70" s="234">
        <v>-9999</v>
      </c>
      <c r="AQ70" s="234" t="s">
        <v>626</v>
      </c>
      <c r="AR70" s="234">
        <v>1200</v>
      </c>
      <c r="AS70" s="234" t="s">
        <v>1186</v>
      </c>
      <c r="AT70" s="234" t="s">
        <v>654</v>
      </c>
      <c r="AU70" s="234">
        <v>0</v>
      </c>
      <c r="AV70" s="234">
        <v>-9999</v>
      </c>
      <c r="AW70" s="234">
        <v>-9999</v>
      </c>
      <c r="AX70" s="234">
        <v>0</v>
      </c>
      <c r="AY70" s="234">
        <v>-9999</v>
      </c>
      <c r="AZ70" s="234">
        <v>-9999</v>
      </c>
      <c r="BA70" s="234" t="s">
        <v>188</v>
      </c>
      <c r="BB70" s="234" t="s">
        <v>626</v>
      </c>
      <c r="BC70" s="234" t="s">
        <v>22</v>
      </c>
      <c r="BD70" s="234" t="s">
        <v>653</v>
      </c>
      <c r="BE70" s="234" t="s">
        <v>23</v>
      </c>
      <c r="BF70" s="234" t="s">
        <v>24</v>
      </c>
      <c r="BG70" s="234" t="s">
        <v>653</v>
      </c>
      <c r="BH70" s="234" t="s">
        <v>25</v>
      </c>
      <c r="BI70" s="234" t="s">
        <v>26</v>
      </c>
      <c r="BJ70" s="491">
        <v>-9999</v>
      </c>
      <c r="BK70" s="491">
        <v>-9999</v>
      </c>
      <c r="BL70" s="491">
        <v>-9999</v>
      </c>
      <c r="BM70" s="491">
        <v>-9999</v>
      </c>
      <c r="BN70" s="491">
        <v>-9999</v>
      </c>
      <c r="BO70" s="491">
        <v>-9999</v>
      </c>
      <c r="BP70" s="491">
        <v>-9999</v>
      </c>
      <c r="BQ70" s="491">
        <v>-9999</v>
      </c>
      <c r="BR70" s="491">
        <v>-9999</v>
      </c>
      <c r="BS70" s="491">
        <v>-9999</v>
      </c>
      <c r="BT70" s="491">
        <v>-9999</v>
      </c>
      <c r="BU70" s="491">
        <v>-9999</v>
      </c>
      <c r="BV70" s="491">
        <v>-9999</v>
      </c>
      <c r="BW70" s="491"/>
      <c r="BX70" s="491">
        <v>-9999</v>
      </c>
      <c r="BY70" s="491">
        <v>-9999</v>
      </c>
      <c r="BZ70" s="497">
        <v>-9999</v>
      </c>
      <c r="CA70" s="497" t="s">
        <v>834</v>
      </c>
      <c r="CB70" s="499"/>
      <c r="CC70" s="493">
        <v>1</v>
      </c>
      <c r="CD70" s="234">
        <v>3</v>
      </c>
      <c r="CE70" s="292">
        <v>9.02</v>
      </c>
      <c r="CF70" s="292">
        <v>9.1499999999999986</v>
      </c>
      <c r="CG70" s="72">
        <v>4</v>
      </c>
    </row>
    <row r="71" spans="1:95" s="23" customFormat="1" x14ac:dyDescent="0.2">
      <c r="A71" s="234"/>
      <c r="B71" s="234"/>
      <c r="C71" s="234"/>
      <c r="D71" s="234"/>
      <c r="E71" s="493"/>
      <c r="F71" s="493"/>
      <c r="G71" s="234"/>
      <c r="H71" s="491"/>
      <c r="I71" s="234"/>
      <c r="J71" s="234"/>
      <c r="K71" s="234"/>
      <c r="L71" s="234"/>
      <c r="M71" s="389"/>
      <c r="N71" s="491"/>
      <c r="O71" s="29"/>
      <c r="P71" s="389"/>
      <c r="Q71" s="234"/>
      <c r="R71" s="389"/>
      <c r="S71" s="234"/>
      <c r="T71" s="237"/>
      <c r="U71" s="237"/>
      <c r="V71" s="237"/>
      <c r="W71" s="237"/>
      <c r="X71" s="234"/>
      <c r="Y71" s="234"/>
      <c r="Z71" s="234"/>
      <c r="AA71" s="495"/>
      <c r="AB71" s="389"/>
      <c r="AC71" s="234"/>
      <c r="AD71" s="234"/>
      <c r="AE71" s="234"/>
      <c r="AF71" s="234"/>
      <c r="AG71" s="234"/>
      <c r="AH71" s="234"/>
      <c r="AI71" s="234"/>
      <c r="AJ71" s="491"/>
      <c r="AK71" s="234"/>
      <c r="AL71" s="234"/>
      <c r="AM71" s="234"/>
      <c r="AN71" s="234"/>
      <c r="AO71" s="234"/>
      <c r="AP71" s="234"/>
      <c r="AQ71" s="234"/>
      <c r="AR71" s="234"/>
      <c r="AS71" s="234"/>
      <c r="AT71" s="234"/>
      <c r="AU71" s="234"/>
      <c r="AV71" s="234"/>
      <c r="AW71" s="234"/>
      <c r="AX71" s="234"/>
      <c r="AY71" s="234"/>
      <c r="AZ71" s="234"/>
      <c r="BA71" s="234"/>
      <c r="BB71" s="234"/>
      <c r="BC71" s="234"/>
      <c r="BD71" s="234"/>
      <c r="BE71" s="234"/>
      <c r="BF71" s="234"/>
      <c r="BG71" s="234"/>
      <c r="BH71" s="234"/>
      <c r="BI71" s="234"/>
      <c r="BJ71" s="491"/>
      <c r="BK71" s="491"/>
      <c r="BL71" s="491"/>
      <c r="BM71" s="491"/>
      <c r="BN71" s="491"/>
      <c r="BO71" s="491"/>
      <c r="BP71" s="491"/>
      <c r="BQ71" s="491"/>
      <c r="BR71" s="491"/>
      <c r="BS71" s="491"/>
      <c r="BT71" s="491"/>
      <c r="BU71" s="491"/>
      <c r="BV71" s="491"/>
      <c r="BW71" s="491"/>
      <c r="BX71" s="491"/>
      <c r="BY71" s="491"/>
      <c r="BZ71" s="497"/>
      <c r="CA71" s="497"/>
      <c r="CB71" s="499"/>
      <c r="CC71" s="493"/>
      <c r="CD71" s="234"/>
      <c r="CE71" s="342" t="s">
        <v>1576</v>
      </c>
      <c r="CF71" s="342" t="s">
        <v>1575</v>
      </c>
      <c r="CG71" s="72"/>
    </row>
    <row r="72" spans="1:95" s="13" customFormat="1" x14ac:dyDescent="0.2">
      <c r="A72" s="231" t="s">
        <v>650</v>
      </c>
      <c r="B72" s="231" t="s">
        <v>618</v>
      </c>
      <c r="C72" s="231" t="s">
        <v>30</v>
      </c>
      <c r="D72" s="231" t="s">
        <v>633</v>
      </c>
      <c r="E72" s="232" t="s">
        <v>634</v>
      </c>
      <c r="F72" s="232">
        <v>1</v>
      </c>
      <c r="G72" s="231">
        <v>1</v>
      </c>
      <c r="H72" s="233">
        <v>2</v>
      </c>
      <c r="I72" s="231" t="s">
        <v>954</v>
      </c>
      <c r="J72" s="231" t="s">
        <v>651</v>
      </c>
      <c r="K72" s="231" t="s">
        <v>957</v>
      </c>
      <c r="L72" s="231">
        <v>1996</v>
      </c>
      <c r="M72" s="235">
        <v>-9999</v>
      </c>
      <c r="N72" s="233">
        <v>-9999</v>
      </c>
      <c r="O72" s="18"/>
      <c r="P72" s="235">
        <v>13.25</v>
      </c>
      <c r="Q72" s="231">
        <v>0.47</v>
      </c>
      <c r="R72" s="235"/>
      <c r="S72" s="231"/>
      <c r="T72" s="236">
        <f>P72/+G72</f>
        <v>13.25</v>
      </c>
      <c r="U72" s="236">
        <f>0.47/1</f>
        <v>0.47</v>
      </c>
      <c r="V72" s="236"/>
      <c r="W72" s="236">
        <f>+P72</f>
        <v>13.25</v>
      </c>
      <c r="X72" s="231">
        <v>-9999</v>
      </c>
      <c r="Y72" s="231"/>
      <c r="Z72" s="231" t="s">
        <v>20</v>
      </c>
      <c r="AA72" s="489">
        <v>15152</v>
      </c>
      <c r="AB72" s="235">
        <v>-9999</v>
      </c>
      <c r="AC72" s="231">
        <v>-9999</v>
      </c>
      <c r="AD72" s="231">
        <v>65</v>
      </c>
      <c r="AE72" s="231" t="s">
        <v>1952</v>
      </c>
      <c r="AF72" s="231">
        <v>3</v>
      </c>
      <c r="AG72" s="231" t="s">
        <v>652</v>
      </c>
      <c r="AH72" s="231" t="s">
        <v>623</v>
      </c>
      <c r="AI72" s="231">
        <v>-9999</v>
      </c>
      <c r="AJ72" s="233">
        <v>-9999</v>
      </c>
      <c r="AK72" s="231" t="s">
        <v>625</v>
      </c>
      <c r="AL72" s="231" t="s">
        <v>653</v>
      </c>
      <c r="AM72" s="231">
        <v>-9999</v>
      </c>
      <c r="AN72" s="231" t="s">
        <v>631</v>
      </c>
      <c r="AO72" s="231">
        <v>-9999</v>
      </c>
      <c r="AP72" s="231">
        <v>-9999</v>
      </c>
      <c r="AQ72" s="231" t="s">
        <v>626</v>
      </c>
      <c r="AR72" s="231">
        <v>1200</v>
      </c>
      <c r="AS72" s="231" t="s">
        <v>1186</v>
      </c>
      <c r="AT72" s="231" t="s">
        <v>654</v>
      </c>
      <c r="AU72" s="231">
        <v>0</v>
      </c>
      <c r="AV72" s="231">
        <v>-9999</v>
      </c>
      <c r="AW72" s="231">
        <v>-9999</v>
      </c>
      <c r="AX72" s="231">
        <v>0</v>
      </c>
      <c r="AY72" s="231">
        <v>-9999</v>
      </c>
      <c r="AZ72" s="231">
        <v>-9999</v>
      </c>
      <c r="BA72" s="231" t="s">
        <v>188</v>
      </c>
      <c r="BB72" s="231" t="s">
        <v>626</v>
      </c>
      <c r="BC72" s="231" t="s">
        <v>22</v>
      </c>
      <c r="BD72" s="231" t="s">
        <v>653</v>
      </c>
      <c r="BE72" s="231" t="s">
        <v>23</v>
      </c>
      <c r="BF72" s="231" t="s">
        <v>24</v>
      </c>
      <c r="BG72" s="231" t="s">
        <v>653</v>
      </c>
      <c r="BH72" s="231" t="s">
        <v>25</v>
      </c>
      <c r="BI72" s="231" t="s">
        <v>26</v>
      </c>
      <c r="BJ72" s="233">
        <v>-9999</v>
      </c>
      <c r="BK72" s="233">
        <v>-9999</v>
      </c>
      <c r="BL72" s="233">
        <v>-9999</v>
      </c>
      <c r="BM72" s="233">
        <v>-9999</v>
      </c>
      <c r="BN72" s="233">
        <v>-9999</v>
      </c>
      <c r="BO72" s="233">
        <v>-9999</v>
      </c>
      <c r="BP72" s="233">
        <v>-9999</v>
      </c>
      <c r="BQ72" s="233">
        <v>-9999</v>
      </c>
      <c r="BR72" s="233">
        <v>-9999</v>
      </c>
      <c r="BS72" s="233">
        <v>-9999</v>
      </c>
      <c r="BT72" s="233">
        <v>-9999</v>
      </c>
      <c r="BU72" s="233">
        <v>-9999</v>
      </c>
      <c r="BV72" s="233">
        <v>-9999</v>
      </c>
      <c r="BW72" s="233"/>
      <c r="BX72" s="233">
        <v>-9999</v>
      </c>
      <c r="BY72" s="233">
        <v>-9999</v>
      </c>
      <c r="BZ72" s="490">
        <v>-9999</v>
      </c>
      <c r="CA72" s="490" t="s">
        <v>834</v>
      </c>
      <c r="CB72" s="239"/>
      <c r="CC72" s="232">
        <v>1</v>
      </c>
      <c r="CD72" s="231">
        <v>1</v>
      </c>
      <c r="CE72" s="393">
        <v>13.25</v>
      </c>
      <c r="CF72" s="99">
        <v>13.25</v>
      </c>
      <c r="CG72" s="233">
        <v>2</v>
      </c>
      <c r="CH72" s="436" t="s">
        <v>1757</v>
      </c>
      <c r="CP72" s="13" t="s">
        <v>1579</v>
      </c>
      <c r="CQ72" s="13" t="s">
        <v>1579</v>
      </c>
    </row>
    <row r="73" spans="1:95" s="23" customFormat="1" x14ac:dyDescent="0.2">
      <c r="A73" s="234" t="s">
        <v>650</v>
      </c>
      <c r="B73" s="234" t="s">
        <v>618</v>
      </c>
      <c r="C73" s="234" t="s">
        <v>30</v>
      </c>
      <c r="D73" s="234" t="s">
        <v>633</v>
      </c>
      <c r="E73" s="493" t="s">
        <v>634</v>
      </c>
      <c r="F73" s="493">
        <v>1</v>
      </c>
      <c r="G73" s="234">
        <v>2</v>
      </c>
      <c r="H73" s="491">
        <v>3</v>
      </c>
      <c r="I73" s="234" t="s">
        <v>954</v>
      </c>
      <c r="J73" s="234" t="s">
        <v>651</v>
      </c>
      <c r="K73" s="234" t="s">
        <v>957</v>
      </c>
      <c r="L73" s="234">
        <v>1997</v>
      </c>
      <c r="M73" s="389">
        <v>-9999</v>
      </c>
      <c r="N73" s="491">
        <v>-9999</v>
      </c>
      <c r="O73" s="29"/>
      <c r="P73" s="389">
        <v>23.35</v>
      </c>
      <c r="Q73" s="234">
        <v>0.86499999999999999</v>
      </c>
      <c r="R73" s="389"/>
      <c r="S73" s="234"/>
      <c r="T73" s="237">
        <f>P73/+G73</f>
        <v>11.675000000000001</v>
      </c>
      <c r="U73" s="237">
        <f>0.865/2</f>
        <v>0.4325</v>
      </c>
      <c r="V73" s="237"/>
      <c r="W73" s="237">
        <f>+P73-P72</f>
        <v>10.100000000000001</v>
      </c>
      <c r="X73" s="234">
        <v>-9999</v>
      </c>
      <c r="Y73" s="234"/>
      <c r="Z73" s="234" t="s">
        <v>20</v>
      </c>
      <c r="AA73" s="495">
        <v>15152</v>
      </c>
      <c r="AB73" s="389">
        <v>-9999</v>
      </c>
      <c r="AC73" s="234">
        <v>-9999</v>
      </c>
      <c r="AD73" s="234">
        <v>65</v>
      </c>
      <c r="AE73" s="390" t="s">
        <v>1952</v>
      </c>
      <c r="AF73" s="234">
        <v>3</v>
      </c>
      <c r="AG73" s="234" t="s">
        <v>652</v>
      </c>
      <c r="AH73" s="234" t="s">
        <v>623</v>
      </c>
      <c r="AI73" s="234">
        <v>-9999</v>
      </c>
      <c r="AJ73" s="491">
        <v>-9999</v>
      </c>
      <c r="AK73" s="234" t="s">
        <v>625</v>
      </c>
      <c r="AL73" s="234" t="s">
        <v>653</v>
      </c>
      <c r="AM73" s="234">
        <v>-9999</v>
      </c>
      <c r="AN73" s="234" t="s">
        <v>631</v>
      </c>
      <c r="AO73" s="234">
        <v>-9999</v>
      </c>
      <c r="AP73" s="234">
        <v>-9999</v>
      </c>
      <c r="AQ73" s="234" t="s">
        <v>626</v>
      </c>
      <c r="AR73" s="234">
        <v>1200</v>
      </c>
      <c r="AS73" s="234" t="s">
        <v>1186</v>
      </c>
      <c r="AT73" s="234" t="s">
        <v>654</v>
      </c>
      <c r="AU73" s="234">
        <v>0</v>
      </c>
      <c r="AV73" s="234">
        <v>-9999</v>
      </c>
      <c r="AW73" s="234">
        <v>-9999</v>
      </c>
      <c r="AX73" s="234">
        <v>0</v>
      </c>
      <c r="AY73" s="234">
        <v>-9999</v>
      </c>
      <c r="AZ73" s="234">
        <v>-9999</v>
      </c>
      <c r="BA73" s="234" t="s">
        <v>188</v>
      </c>
      <c r="BB73" s="234" t="s">
        <v>626</v>
      </c>
      <c r="BC73" s="234" t="s">
        <v>22</v>
      </c>
      <c r="BD73" s="234" t="s">
        <v>653</v>
      </c>
      <c r="BE73" s="234" t="s">
        <v>23</v>
      </c>
      <c r="BF73" s="234" t="s">
        <v>24</v>
      </c>
      <c r="BG73" s="234" t="s">
        <v>653</v>
      </c>
      <c r="BH73" s="234" t="s">
        <v>25</v>
      </c>
      <c r="BI73" s="234" t="s">
        <v>26</v>
      </c>
      <c r="BJ73" s="491">
        <v>-9999</v>
      </c>
      <c r="BK73" s="491">
        <v>-9999</v>
      </c>
      <c r="BL73" s="491">
        <v>-9999</v>
      </c>
      <c r="BM73" s="491">
        <v>-9999</v>
      </c>
      <c r="BN73" s="491">
        <v>-9999</v>
      </c>
      <c r="BO73" s="491">
        <v>-9999</v>
      </c>
      <c r="BP73" s="491">
        <v>-9999</v>
      </c>
      <c r="BQ73" s="491">
        <v>-9999</v>
      </c>
      <c r="BR73" s="491">
        <v>-9999</v>
      </c>
      <c r="BS73" s="491">
        <v>-9999</v>
      </c>
      <c r="BT73" s="491">
        <v>-9999</v>
      </c>
      <c r="BU73" s="491">
        <v>-9999</v>
      </c>
      <c r="BV73" s="491">
        <v>-9999</v>
      </c>
      <c r="BW73" s="491"/>
      <c r="BX73" s="491">
        <v>-9999</v>
      </c>
      <c r="BY73" s="491">
        <v>-9999</v>
      </c>
      <c r="BZ73" s="497">
        <v>-9999</v>
      </c>
      <c r="CA73" s="497" t="s">
        <v>834</v>
      </c>
      <c r="CB73" s="499"/>
      <c r="CC73" s="493">
        <v>1</v>
      </c>
      <c r="CD73" s="234">
        <v>2</v>
      </c>
      <c r="CE73" s="292">
        <v>11.675000000000001</v>
      </c>
      <c r="CF73" s="292">
        <v>10.100000000000001</v>
      </c>
      <c r="CG73" s="72">
        <v>3</v>
      </c>
    </row>
    <row r="74" spans="1:95" s="23" customFormat="1" x14ac:dyDescent="0.2">
      <c r="A74" s="234" t="s">
        <v>650</v>
      </c>
      <c r="B74" s="234" t="s">
        <v>618</v>
      </c>
      <c r="C74" s="234" t="s">
        <v>30</v>
      </c>
      <c r="D74" s="234" t="s">
        <v>633</v>
      </c>
      <c r="E74" s="493" t="s">
        <v>634</v>
      </c>
      <c r="F74" s="493">
        <v>1</v>
      </c>
      <c r="G74" s="234">
        <v>3</v>
      </c>
      <c r="H74" s="491">
        <v>4</v>
      </c>
      <c r="I74" s="234" t="s">
        <v>954</v>
      </c>
      <c r="J74" s="234" t="s">
        <v>651</v>
      </c>
      <c r="K74" s="234" t="s">
        <v>957</v>
      </c>
      <c r="L74" s="234">
        <v>1998</v>
      </c>
      <c r="M74" s="389">
        <f>+P74</f>
        <v>33.44</v>
      </c>
      <c r="N74" s="491">
        <v>-9999</v>
      </c>
      <c r="O74" s="29"/>
      <c r="P74" s="389">
        <v>33.44</v>
      </c>
      <c r="Q74" s="234">
        <v>2.91</v>
      </c>
      <c r="R74" s="389"/>
      <c r="S74" s="234"/>
      <c r="T74" s="237">
        <f>P74/G74</f>
        <v>11.146666666666667</v>
      </c>
      <c r="U74" s="237">
        <f>2.91/3</f>
        <v>0.97000000000000008</v>
      </c>
      <c r="V74" s="237"/>
      <c r="W74" s="237">
        <f>+P74-P73</f>
        <v>10.089999999999996</v>
      </c>
      <c r="X74" s="234">
        <v>-9999</v>
      </c>
      <c r="Y74" s="234"/>
      <c r="Z74" s="234" t="s">
        <v>20</v>
      </c>
      <c r="AA74" s="495">
        <v>15152</v>
      </c>
      <c r="AB74" s="389">
        <v>-9999</v>
      </c>
      <c r="AC74" s="234">
        <v>-9999</v>
      </c>
      <c r="AD74" s="234">
        <v>65</v>
      </c>
      <c r="AE74" s="390" t="s">
        <v>1952</v>
      </c>
      <c r="AF74" s="234">
        <v>3</v>
      </c>
      <c r="AG74" s="234" t="s">
        <v>652</v>
      </c>
      <c r="AH74" s="234" t="s">
        <v>623</v>
      </c>
      <c r="AI74" s="234">
        <v>-9999</v>
      </c>
      <c r="AJ74" s="491">
        <v>-9999</v>
      </c>
      <c r="AK74" s="234" t="s">
        <v>625</v>
      </c>
      <c r="AL74" s="234" t="s">
        <v>653</v>
      </c>
      <c r="AM74" s="234">
        <v>-9999</v>
      </c>
      <c r="AN74" s="234" t="s">
        <v>631</v>
      </c>
      <c r="AO74" s="234">
        <v>-9999</v>
      </c>
      <c r="AP74" s="234">
        <v>-9999</v>
      </c>
      <c r="AQ74" s="234" t="s">
        <v>626</v>
      </c>
      <c r="AR74" s="234">
        <v>1200</v>
      </c>
      <c r="AS74" s="234" t="s">
        <v>1186</v>
      </c>
      <c r="AT74" s="234" t="s">
        <v>654</v>
      </c>
      <c r="AU74" s="234">
        <v>0</v>
      </c>
      <c r="AV74" s="234">
        <v>-9999</v>
      </c>
      <c r="AW74" s="234">
        <v>-9999</v>
      </c>
      <c r="AX74" s="234">
        <v>0</v>
      </c>
      <c r="AY74" s="234">
        <v>-9999</v>
      </c>
      <c r="AZ74" s="234">
        <v>-9999</v>
      </c>
      <c r="BA74" s="234" t="s">
        <v>188</v>
      </c>
      <c r="BB74" s="234" t="s">
        <v>626</v>
      </c>
      <c r="BC74" s="234" t="s">
        <v>22</v>
      </c>
      <c r="BD74" s="234" t="s">
        <v>653</v>
      </c>
      <c r="BE74" s="234" t="s">
        <v>23</v>
      </c>
      <c r="BF74" s="234" t="s">
        <v>24</v>
      </c>
      <c r="BG74" s="234" t="s">
        <v>653</v>
      </c>
      <c r="BH74" s="234" t="s">
        <v>25</v>
      </c>
      <c r="BI74" s="234" t="s">
        <v>26</v>
      </c>
      <c r="BJ74" s="491">
        <v>-9999</v>
      </c>
      <c r="BK74" s="491">
        <v>-9999</v>
      </c>
      <c r="BL74" s="491">
        <v>-9999</v>
      </c>
      <c r="BM74" s="491">
        <v>-9999</v>
      </c>
      <c r="BN74" s="491">
        <v>-9999</v>
      </c>
      <c r="BO74" s="491">
        <v>-9999</v>
      </c>
      <c r="BP74" s="491">
        <v>-9999</v>
      </c>
      <c r="BQ74" s="491">
        <v>-9999</v>
      </c>
      <c r="BR74" s="491">
        <v>-9999</v>
      </c>
      <c r="BS74" s="491">
        <v>-9999</v>
      </c>
      <c r="BT74" s="491">
        <v>-9999</v>
      </c>
      <c r="BU74" s="491">
        <v>-9999</v>
      </c>
      <c r="BV74" s="491">
        <v>-9999</v>
      </c>
      <c r="BW74" s="491"/>
      <c r="BX74" s="491">
        <v>-9999</v>
      </c>
      <c r="BY74" s="491">
        <v>-9999</v>
      </c>
      <c r="BZ74" s="497">
        <v>-9999</v>
      </c>
      <c r="CA74" s="497" t="s">
        <v>834</v>
      </c>
      <c r="CB74" s="499"/>
      <c r="CC74" s="493">
        <v>1</v>
      </c>
      <c r="CD74" s="234">
        <v>3</v>
      </c>
      <c r="CE74" s="292">
        <v>11.146666666666667</v>
      </c>
      <c r="CF74" s="292">
        <v>10.089999999999996</v>
      </c>
      <c r="CG74" s="72">
        <v>4</v>
      </c>
    </row>
    <row r="75" spans="1:95" s="23" customFormat="1" x14ac:dyDescent="0.2">
      <c r="A75" s="234"/>
      <c r="B75" s="234"/>
      <c r="C75" s="234"/>
      <c r="D75" s="234"/>
      <c r="E75" s="493"/>
      <c r="F75" s="493"/>
      <c r="G75" s="234"/>
      <c r="H75" s="491"/>
      <c r="I75" s="234"/>
      <c r="J75" s="234"/>
      <c r="K75" s="234"/>
      <c r="L75" s="234"/>
      <c r="M75" s="389"/>
      <c r="N75" s="491"/>
      <c r="O75" s="29"/>
      <c r="P75" s="389"/>
      <c r="Q75" s="234"/>
      <c r="R75" s="389"/>
      <c r="S75" s="234"/>
      <c r="T75" s="237"/>
      <c r="U75" s="237"/>
      <c r="V75" s="237"/>
      <c r="W75" s="237"/>
      <c r="X75" s="234"/>
      <c r="Y75" s="234"/>
      <c r="Z75" s="234"/>
      <c r="AA75" s="495"/>
      <c r="AB75" s="389"/>
      <c r="AC75" s="234"/>
      <c r="AD75" s="234"/>
      <c r="AE75" s="234"/>
      <c r="AF75" s="234"/>
      <c r="AG75" s="234"/>
      <c r="AH75" s="234"/>
      <c r="AI75" s="234"/>
      <c r="AJ75" s="491"/>
      <c r="AK75" s="234"/>
      <c r="AL75" s="234"/>
      <c r="AM75" s="234"/>
      <c r="AN75" s="234"/>
      <c r="AO75" s="234"/>
      <c r="AP75" s="234"/>
      <c r="AQ75" s="234"/>
      <c r="AR75" s="234"/>
      <c r="AS75" s="234"/>
      <c r="AT75" s="234"/>
      <c r="AU75" s="234"/>
      <c r="AV75" s="234"/>
      <c r="AW75" s="234"/>
      <c r="AX75" s="234"/>
      <c r="AY75" s="234"/>
      <c r="AZ75" s="234"/>
      <c r="BA75" s="234"/>
      <c r="BB75" s="234"/>
      <c r="BC75" s="234"/>
      <c r="BD75" s="234"/>
      <c r="BE75" s="234"/>
      <c r="BF75" s="234"/>
      <c r="BG75" s="234"/>
      <c r="BH75" s="234"/>
      <c r="BI75" s="234"/>
      <c r="BJ75" s="491"/>
      <c r="BK75" s="491"/>
      <c r="BL75" s="491"/>
      <c r="BM75" s="491"/>
      <c r="BN75" s="491"/>
      <c r="BO75" s="491"/>
      <c r="BP75" s="491"/>
      <c r="BQ75" s="491"/>
      <c r="BR75" s="491"/>
      <c r="BS75" s="491"/>
      <c r="BT75" s="491"/>
      <c r="BU75" s="491"/>
      <c r="BV75" s="491"/>
      <c r="BW75" s="491"/>
      <c r="BX75" s="491"/>
      <c r="BY75" s="491"/>
      <c r="BZ75" s="497"/>
      <c r="CA75" s="497"/>
      <c r="CB75" s="499"/>
      <c r="CC75" s="493"/>
      <c r="CD75" s="234"/>
      <c r="CE75" s="342" t="s">
        <v>1576</v>
      </c>
      <c r="CF75" s="342" t="s">
        <v>1575</v>
      </c>
      <c r="CG75" s="72"/>
    </row>
    <row r="76" spans="1:95" s="23" customFormat="1" x14ac:dyDescent="0.2">
      <c r="A76" s="234" t="s">
        <v>650</v>
      </c>
      <c r="B76" s="234" t="s">
        <v>618</v>
      </c>
      <c r="C76" s="234" t="s">
        <v>32</v>
      </c>
      <c r="D76" s="234" t="s">
        <v>633</v>
      </c>
      <c r="E76" s="493" t="s">
        <v>634</v>
      </c>
      <c r="F76" s="493">
        <v>1</v>
      </c>
      <c r="G76" s="234">
        <v>1</v>
      </c>
      <c r="H76" s="491">
        <v>2</v>
      </c>
      <c r="I76" s="234" t="s">
        <v>954</v>
      </c>
      <c r="J76" s="234" t="s">
        <v>651</v>
      </c>
      <c r="K76" s="234" t="s">
        <v>957</v>
      </c>
      <c r="L76" s="234">
        <v>1996</v>
      </c>
      <c r="M76" s="389">
        <v>-9999</v>
      </c>
      <c r="N76" s="491">
        <v>-9999</v>
      </c>
      <c r="O76" s="29"/>
      <c r="P76" s="389">
        <v>11.44</v>
      </c>
      <c r="Q76" s="234">
        <v>0.79</v>
      </c>
      <c r="R76" s="389"/>
      <c r="S76" s="234"/>
      <c r="T76" s="237">
        <f>P76/+G76</f>
        <v>11.44</v>
      </c>
      <c r="U76" s="237">
        <f>0.79/1</f>
        <v>0.79</v>
      </c>
      <c r="V76" s="237"/>
      <c r="W76" s="237">
        <f>+P76</f>
        <v>11.44</v>
      </c>
      <c r="X76" s="234">
        <v>-9999</v>
      </c>
      <c r="Y76" s="234"/>
      <c r="Z76" s="234" t="s">
        <v>20</v>
      </c>
      <c r="AA76" s="495">
        <v>15152</v>
      </c>
      <c r="AB76" s="389">
        <v>-9999</v>
      </c>
      <c r="AC76" s="234">
        <v>-9999</v>
      </c>
      <c r="AD76" s="234">
        <v>65</v>
      </c>
      <c r="AE76" s="390" t="s">
        <v>1952</v>
      </c>
      <c r="AF76" s="234">
        <v>3</v>
      </c>
      <c r="AG76" s="234" t="s">
        <v>652</v>
      </c>
      <c r="AH76" s="234" t="s">
        <v>623</v>
      </c>
      <c r="AI76" s="234">
        <v>-9999</v>
      </c>
      <c r="AJ76" s="491">
        <v>-9999</v>
      </c>
      <c r="AK76" s="234" t="s">
        <v>625</v>
      </c>
      <c r="AL76" s="234" t="s">
        <v>653</v>
      </c>
      <c r="AM76" s="234">
        <v>-9999</v>
      </c>
      <c r="AN76" s="234" t="s">
        <v>631</v>
      </c>
      <c r="AO76" s="234">
        <v>-9999</v>
      </c>
      <c r="AP76" s="234">
        <v>-9999</v>
      </c>
      <c r="AQ76" s="234" t="s">
        <v>626</v>
      </c>
      <c r="AR76" s="234">
        <v>100</v>
      </c>
      <c r="AS76" s="234" t="s">
        <v>221</v>
      </c>
      <c r="AT76" s="234" t="s">
        <v>654</v>
      </c>
      <c r="AU76" s="234">
        <v>0</v>
      </c>
      <c r="AV76" s="234">
        <v>-9999</v>
      </c>
      <c r="AW76" s="234">
        <v>-9999</v>
      </c>
      <c r="AX76" s="234">
        <v>0</v>
      </c>
      <c r="AY76" s="234">
        <v>-9999</v>
      </c>
      <c r="AZ76" s="234">
        <v>-9999</v>
      </c>
      <c r="BA76" s="234" t="s">
        <v>222</v>
      </c>
      <c r="BB76" s="234" t="s">
        <v>626</v>
      </c>
      <c r="BC76" s="234" t="s">
        <v>22</v>
      </c>
      <c r="BD76" s="234" t="s">
        <v>653</v>
      </c>
      <c r="BE76" s="234" t="s">
        <v>23</v>
      </c>
      <c r="BF76" s="234" t="s">
        <v>24</v>
      </c>
      <c r="BG76" s="234" t="s">
        <v>653</v>
      </c>
      <c r="BH76" s="234" t="s">
        <v>25</v>
      </c>
      <c r="BI76" s="234" t="s">
        <v>26</v>
      </c>
      <c r="BJ76" s="491">
        <v>-9999</v>
      </c>
      <c r="BK76" s="491">
        <v>-9999</v>
      </c>
      <c r="BL76" s="491">
        <v>-9999</v>
      </c>
      <c r="BM76" s="491">
        <v>-9999</v>
      </c>
      <c r="BN76" s="491">
        <v>-9999</v>
      </c>
      <c r="BO76" s="491">
        <v>-9999</v>
      </c>
      <c r="BP76" s="491">
        <v>-9999</v>
      </c>
      <c r="BQ76" s="491">
        <v>-9999</v>
      </c>
      <c r="BR76" s="491">
        <v>-9999</v>
      </c>
      <c r="BS76" s="491">
        <v>-9999</v>
      </c>
      <c r="BT76" s="491">
        <v>-9999</v>
      </c>
      <c r="BU76" s="491">
        <v>-9999</v>
      </c>
      <c r="BV76" s="491">
        <v>-9999</v>
      </c>
      <c r="BW76" s="491"/>
      <c r="BX76" s="491">
        <v>-9999</v>
      </c>
      <c r="BY76" s="491">
        <v>-9999</v>
      </c>
      <c r="BZ76" s="497">
        <v>-9999</v>
      </c>
      <c r="CA76" s="497" t="s">
        <v>834</v>
      </c>
      <c r="CB76" s="499"/>
      <c r="CC76" s="493">
        <v>1</v>
      </c>
      <c r="CD76" s="234">
        <v>1</v>
      </c>
      <c r="CE76" s="292">
        <v>11.44</v>
      </c>
      <c r="CF76" s="292">
        <v>11.44</v>
      </c>
      <c r="CG76" s="72">
        <v>2</v>
      </c>
    </row>
    <row r="77" spans="1:95" s="13" customFormat="1" x14ac:dyDescent="0.2">
      <c r="A77" s="231" t="s">
        <v>650</v>
      </c>
      <c r="B77" s="231" t="s">
        <v>618</v>
      </c>
      <c r="C77" s="231" t="s">
        <v>32</v>
      </c>
      <c r="D77" s="231" t="s">
        <v>633</v>
      </c>
      <c r="E77" s="232" t="s">
        <v>634</v>
      </c>
      <c r="F77" s="232">
        <v>1</v>
      </c>
      <c r="G77" s="231">
        <v>2</v>
      </c>
      <c r="H77" s="233">
        <v>3</v>
      </c>
      <c r="I77" s="231" t="s">
        <v>954</v>
      </c>
      <c r="J77" s="231" t="s">
        <v>651</v>
      </c>
      <c r="K77" s="231" t="s">
        <v>957</v>
      </c>
      <c r="L77" s="231">
        <v>1997</v>
      </c>
      <c r="M77" s="235">
        <v>-9999</v>
      </c>
      <c r="N77" s="233">
        <v>-9999</v>
      </c>
      <c r="O77" s="18"/>
      <c r="P77" s="235">
        <v>23.27</v>
      </c>
      <c r="Q77" s="231">
        <v>1.42</v>
      </c>
      <c r="R77" s="235"/>
      <c r="S77" s="231"/>
      <c r="T77" s="236">
        <f>P77/+G77</f>
        <v>11.635</v>
      </c>
      <c r="U77" s="236">
        <f>1.42/2</f>
        <v>0.71</v>
      </c>
      <c r="V77" s="236"/>
      <c r="W77" s="236">
        <f>+P77-P76</f>
        <v>11.83</v>
      </c>
      <c r="X77" s="231">
        <v>-9999</v>
      </c>
      <c r="Y77" s="231"/>
      <c r="Z77" s="231" t="s">
        <v>20</v>
      </c>
      <c r="AA77" s="489">
        <v>15152</v>
      </c>
      <c r="AB77" s="235">
        <v>-9999</v>
      </c>
      <c r="AC77" s="231">
        <v>-9999</v>
      </c>
      <c r="AD77" s="231">
        <v>65</v>
      </c>
      <c r="AE77" s="231" t="s">
        <v>1952</v>
      </c>
      <c r="AF77" s="231">
        <v>3</v>
      </c>
      <c r="AG77" s="231" t="s">
        <v>652</v>
      </c>
      <c r="AH77" s="231" t="s">
        <v>623</v>
      </c>
      <c r="AI77" s="231">
        <v>-9999</v>
      </c>
      <c r="AJ77" s="233">
        <v>-9999</v>
      </c>
      <c r="AK77" s="231" t="s">
        <v>625</v>
      </c>
      <c r="AL77" s="231" t="s">
        <v>653</v>
      </c>
      <c r="AM77" s="231">
        <v>-9999</v>
      </c>
      <c r="AN77" s="231" t="s">
        <v>631</v>
      </c>
      <c r="AO77" s="231">
        <v>-9999</v>
      </c>
      <c r="AP77" s="231">
        <v>-9999</v>
      </c>
      <c r="AQ77" s="231" t="s">
        <v>626</v>
      </c>
      <c r="AR77" s="231">
        <v>100</v>
      </c>
      <c r="AS77" s="231" t="s">
        <v>221</v>
      </c>
      <c r="AT77" s="231" t="s">
        <v>654</v>
      </c>
      <c r="AU77" s="231">
        <v>0</v>
      </c>
      <c r="AV77" s="231">
        <v>-9999</v>
      </c>
      <c r="AW77" s="231">
        <v>-9999</v>
      </c>
      <c r="AX77" s="231">
        <v>0</v>
      </c>
      <c r="AY77" s="231">
        <v>-9999</v>
      </c>
      <c r="AZ77" s="231">
        <v>-9999</v>
      </c>
      <c r="BA77" s="231" t="s">
        <v>222</v>
      </c>
      <c r="BB77" s="231" t="s">
        <v>626</v>
      </c>
      <c r="BC77" s="231" t="s">
        <v>22</v>
      </c>
      <c r="BD77" s="231" t="s">
        <v>653</v>
      </c>
      <c r="BE77" s="231" t="s">
        <v>23</v>
      </c>
      <c r="BF77" s="231" t="s">
        <v>24</v>
      </c>
      <c r="BG77" s="231" t="s">
        <v>653</v>
      </c>
      <c r="BH77" s="231" t="s">
        <v>25</v>
      </c>
      <c r="BI77" s="231" t="s">
        <v>26</v>
      </c>
      <c r="BJ77" s="233">
        <v>-9999</v>
      </c>
      <c r="BK77" s="233">
        <v>-9999</v>
      </c>
      <c r="BL77" s="233">
        <v>-9999</v>
      </c>
      <c r="BM77" s="233">
        <v>-9999</v>
      </c>
      <c r="BN77" s="233">
        <v>-9999</v>
      </c>
      <c r="BO77" s="233">
        <v>-9999</v>
      </c>
      <c r="BP77" s="233">
        <v>-9999</v>
      </c>
      <c r="BQ77" s="233">
        <v>-9999</v>
      </c>
      <c r="BR77" s="233">
        <v>-9999</v>
      </c>
      <c r="BS77" s="233">
        <v>-9999</v>
      </c>
      <c r="BT77" s="233">
        <v>-9999</v>
      </c>
      <c r="BU77" s="233">
        <v>-9999</v>
      </c>
      <c r="BV77" s="233">
        <v>-9999</v>
      </c>
      <c r="BW77" s="233"/>
      <c r="BX77" s="233">
        <v>-9999</v>
      </c>
      <c r="BY77" s="233">
        <v>-9999</v>
      </c>
      <c r="BZ77" s="490">
        <v>-9999</v>
      </c>
      <c r="CA77" s="490" t="s">
        <v>834</v>
      </c>
      <c r="CB77" s="239"/>
      <c r="CC77" s="232">
        <v>1</v>
      </c>
      <c r="CD77" s="231">
        <v>2</v>
      </c>
      <c r="CE77" s="395">
        <v>11.635</v>
      </c>
      <c r="CF77" s="99">
        <v>11.83</v>
      </c>
      <c r="CG77" s="233">
        <v>3</v>
      </c>
      <c r="CH77" s="437" t="s">
        <v>1757</v>
      </c>
    </row>
    <row r="78" spans="1:95" s="23" customFormat="1" ht="12.6" customHeight="1" x14ac:dyDescent="0.2">
      <c r="A78" s="234" t="s">
        <v>650</v>
      </c>
      <c r="B78" s="234" t="s">
        <v>618</v>
      </c>
      <c r="C78" s="234" t="s">
        <v>32</v>
      </c>
      <c r="D78" s="234" t="s">
        <v>633</v>
      </c>
      <c r="E78" s="493" t="s">
        <v>634</v>
      </c>
      <c r="F78" s="493">
        <v>1</v>
      </c>
      <c r="G78" s="234">
        <v>3</v>
      </c>
      <c r="H78" s="491">
        <v>4</v>
      </c>
      <c r="I78" s="234" t="s">
        <v>954</v>
      </c>
      <c r="J78" s="234" t="s">
        <v>651</v>
      </c>
      <c r="K78" s="234" t="s">
        <v>957</v>
      </c>
      <c r="L78" s="234">
        <v>1998</v>
      </c>
      <c r="M78" s="389">
        <f>+P78</f>
        <v>34.78</v>
      </c>
      <c r="N78" s="491">
        <v>-9999</v>
      </c>
      <c r="O78" s="29"/>
      <c r="P78" s="389">
        <v>34.78</v>
      </c>
      <c r="Q78" s="234">
        <v>1.73</v>
      </c>
      <c r="R78" s="389"/>
      <c r="S78" s="234"/>
      <c r="T78" s="237">
        <f>P78/G78</f>
        <v>11.593333333333334</v>
      </c>
      <c r="U78" s="237">
        <f>1.73/3</f>
        <v>0.57666666666666666</v>
      </c>
      <c r="V78" s="237"/>
      <c r="W78" s="237">
        <f>+P78-P77</f>
        <v>11.510000000000002</v>
      </c>
      <c r="X78" s="234">
        <v>-9999</v>
      </c>
      <c r="Y78" s="234"/>
      <c r="Z78" s="234" t="s">
        <v>20</v>
      </c>
      <c r="AA78" s="495">
        <v>15152</v>
      </c>
      <c r="AB78" s="389">
        <v>-9999</v>
      </c>
      <c r="AC78" s="234">
        <v>-9999</v>
      </c>
      <c r="AD78" s="234">
        <v>65</v>
      </c>
      <c r="AE78" s="390" t="s">
        <v>1952</v>
      </c>
      <c r="AF78" s="234">
        <v>3</v>
      </c>
      <c r="AG78" s="234" t="s">
        <v>652</v>
      </c>
      <c r="AH78" s="234" t="s">
        <v>623</v>
      </c>
      <c r="AI78" s="234">
        <v>-9999</v>
      </c>
      <c r="AJ78" s="491">
        <v>-9999</v>
      </c>
      <c r="AK78" s="234" t="s">
        <v>625</v>
      </c>
      <c r="AL78" s="234" t="s">
        <v>653</v>
      </c>
      <c r="AM78" s="234">
        <v>-9999</v>
      </c>
      <c r="AN78" s="234" t="s">
        <v>631</v>
      </c>
      <c r="AO78" s="234">
        <v>-9999</v>
      </c>
      <c r="AP78" s="234">
        <v>-9999</v>
      </c>
      <c r="AQ78" s="234" t="s">
        <v>626</v>
      </c>
      <c r="AR78" s="234">
        <v>100</v>
      </c>
      <c r="AS78" s="234" t="s">
        <v>221</v>
      </c>
      <c r="AT78" s="234" t="s">
        <v>654</v>
      </c>
      <c r="AU78" s="234">
        <v>0</v>
      </c>
      <c r="AV78" s="234">
        <v>-9999</v>
      </c>
      <c r="AW78" s="234">
        <v>-9999</v>
      </c>
      <c r="AX78" s="234">
        <v>0</v>
      </c>
      <c r="AY78" s="234">
        <v>-9999</v>
      </c>
      <c r="AZ78" s="234">
        <v>-9999</v>
      </c>
      <c r="BA78" s="234" t="s">
        <v>222</v>
      </c>
      <c r="BB78" s="234" t="s">
        <v>626</v>
      </c>
      <c r="BC78" s="234" t="s">
        <v>22</v>
      </c>
      <c r="BD78" s="234" t="s">
        <v>653</v>
      </c>
      <c r="BE78" s="234" t="s">
        <v>23</v>
      </c>
      <c r="BF78" s="234" t="s">
        <v>24</v>
      </c>
      <c r="BG78" s="234" t="s">
        <v>653</v>
      </c>
      <c r="BH78" s="234" t="s">
        <v>25</v>
      </c>
      <c r="BI78" s="234" t="s">
        <v>26</v>
      </c>
      <c r="BJ78" s="491">
        <v>-9999</v>
      </c>
      <c r="BK78" s="491">
        <v>-9999</v>
      </c>
      <c r="BL78" s="491">
        <v>-9999</v>
      </c>
      <c r="BM78" s="491">
        <v>-9999</v>
      </c>
      <c r="BN78" s="491">
        <v>-9999</v>
      </c>
      <c r="BO78" s="491">
        <v>-9999</v>
      </c>
      <c r="BP78" s="491">
        <v>-9999</v>
      </c>
      <c r="BQ78" s="491">
        <v>-9999</v>
      </c>
      <c r="BR78" s="491">
        <v>-9999</v>
      </c>
      <c r="BS78" s="491">
        <v>-9999</v>
      </c>
      <c r="BT78" s="491">
        <v>-9999</v>
      </c>
      <c r="BU78" s="491">
        <v>-9999</v>
      </c>
      <c r="BV78" s="491">
        <v>-9999</v>
      </c>
      <c r="BW78" s="491"/>
      <c r="BX78" s="491">
        <v>-9999</v>
      </c>
      <c r="BY78" s="491">
        <v>-9999</v>
      </c>
      <c r="BZ78" s="497">
        <v>-9999</v>
      </c>
      <c r="CA78" s="497" t="s">
        <v>834</v>
      </c>
      <c r="CB78" s="499"/>
      <c r="CC78" s="493">
        <v>1</v>
      </c>
      <c r="CD78" s="234">
        <v>3</v>
      </c>
      <c r="CE78" s="292">
        <v>11.593333333333334</v>
      </c>
      <c r="CF78" s="292">
        <v>11.510000000000002</v>
      </c>
      <c r="CG78" s="72">
        <v>4</v>
      </c>
    </row>
    <row r="79" spans="1:95" s="23" customFormat="1" ht="12.6" customHeight="1" x14ac:dyDescent="0.2">
      <c r="A79" s="234"/>
      <c r="B79" s="234"/>
      <c r="C79" s="234"/>
      <c r="D79" s="234"/>
      <c r="E79" s="493"/>
      <c r="F79" s="493"/>
      <c r="G79" s="234"/>
      <c r="H79" s="491"/>
      <c r="I79" s="234"/>
      <c r="J79" s="234"/>
      <c r="K79" s="234"/>
      <c r="L79" s="234"/>
      <c r="M79" s="389"/>
      <c r="N79" s="491"/>
      <c r="O79" s="29"/>
      <c r="P79" s="389"/>
      <c r="Q79" s="234"/>
      <c r="R79" s="389"/>
      <c r="S79" s="234"/>
      <c r="T79" s="237"/>
      <c r="U79" s="237"/>
      <c r="V79" s="237"/>
      <c r="W79" s="237"/>
      <c r="X79" s="234"/>
      <c r="Y79" s="234"/>
      <c r="Z79" s="234"/>
      <c r="AA79" s="495"/>
      <c r="AB79" s="389"/>
      <c r="AC79" s="234"/>
      <c r="AD79" s="234"/>
      <c r="AE79" s="234"/>
      <c r="AF79" s="234"/>
      <c r="AG79" s="234"/>
      <c r="AH79" s="234"/>
      <c r="AI79" s="234"/>
      <c r="AJ79" s="491"/>
      <c r="AK79" s="234"/>
      <c r="AL79" s="234"/>
      <c r="AM79" s="234"/>
      <c r="AN79" s="234"/>
      <c r="AO79" s="234"/>
      <c r="AP79" s="234"/>
      <c r="AQ79" s="234"/>
      <c r="AR79" s="234"/>
      <c r="AS79" s="234"/>
      <c r="AT79" s="234"/>
      <c r="AU79" s="234"/>
      <c r="AV79" s="234"/>
      <c r="AW79" s="234"/>
      <c r="AX79" s="234"/>
      <c r="AY79" s="234"/>
      <c r="AZ79" s="234"/>
      <c r="BA79" s="234"/>
      <c r="BB79" s="234"/>
      <c r="BC79" s="234"/>
      <c r="BD79" s="234"/>
      <c r="BE79" s="234"/>
      <c r="BF79" s="234"/>
      <c r="BG79" s="234"/>
      <c r="BH79" s="234"/>
      <c r="BI79" s="234"/>
      <c r="BJ79" s="491"/>
      <c r="BK79" s="491"/>
      <c r="BL79" s="491"/>
      <c r="BM79" s="491"/>
      <c r="BN79" s="491"/>
      <c r="BO79" s="491"/>
      <c r="BP79" s="491"/>
      <c r="BQ79" s="491"/>
      <c r="BR79" s="491"/>
      <c r="BS79" s="491"/>
      <c r="BT79" s="491"/>
      <c r="BU79" s="491"/>
      <c r="BV79" s="491"/>
      <c r="BW79" s="491"/>
      <c r="BX79" s="491"/>
      <c r="BY79" s="491"/>
      <c r="BZ79" s="497"/>
      <c r="CA79" s="497"/>
      <c r="CB79" s="499"/>
      <c r="CC79" s="493"/>
      <c r="CD79" s="234"/>
      <c r="CE79" s="342" t="s">
        <v>1576</v>
      </c>
      <c r="CF79" s="342" t="s">
        <v>1575</v>
      </c>
      <c r="CG79" s="72"/>
    </row>
    <row r="80" spans="1:95" s="23" customFormat="1" x14ac:dyDescent="0.2">
      <c r="A80" s="234" t="s">
        <v>650</v>
      </c>
      <c r="B80" s="234" t="s">
        <v>618</v>
      </c>
      <c r="C80" s="234" t="s">
        <v>33</v>
      </c>
      <c r="D80" s="234" t="s">
        <v>633</v>
      </c>
      <c r="E80" s="493" t="s">
        <v>634</v>
      </c>
      <c r="F80" s="493">
        <v>1</v>
      </c>
      <c r="G80" s="234">
        <v>1</v>
      </c>
      <c r="H80" s="491">
        <v>2</v>
      </c>
      <c r="I80" s="234" t="s">
        <v>954</v>
      </c>
      <c r="J80" s="234" t="s">
        <v>651</v>
      </c>
      <c r="K80" s="234" t="s">
        <v>957</v>
      </c>
      <c r="L80" s="234">
        <v>1996</v>
      </c>
      <c r="M80" s="389">
        <v>-9999</v>
      </c>
      <c r="N80" s="491">
        <v>-9999</v>
      </c>
      <c r="O80" s="29"/>
      <c r="P80" s="389">
        <v>11.67</v>
      </c>
      <c r="Q80" s="234">
        <v>1.42</v>
      </c>
      <c r="R80" s="389"/>
      <c r="S80" s="234"/>
      <c r="T80" s="237">
        <f>P80/+G80</f>
        <v>11.67</v>
      </c>
      <c r="U80" s="237">
        <f>1.42/1</f>
        <v>1.42</v>
      </c>
      <c r="V80" s="237"/>
      <c r="W80" s="237">
        <f>+P80</f>
        <v>11.67</v>
      </c>
      <c r="X80" s="234">
        <v>-9999</v>
      </c>
      <c r="Y80" s="234"/>
      <c r="Z80" s="234" t="s">
        <v>20</v>
      </c>
      <c r="AA80" s="495">
        <v>15152</v>
      </c>
      <c r="AB80" s="389">
        <v>-9999</v>
      </c>
      <c r="AC80" s="234">
        <v>-9999</v>
      </c>
      <c r="AD80" s="234">
        <v>65</v>
      </c>
      <c r="AE80" s="390" t="s">
        <v>1952</v>
      </c>
      <c r="AF80" s="234">
        <v>3</v>
      </c>
      <c r="AG80" s="234" t="s">
        <v>652</v>
      </c>
      <c r="AH80" s="234" t="s">
        <v>623</v>
      </c>
      <c r="AI80" s="234">
        <v>-9999</v>
      </c>
      <c r="AJ80" s="491">
        <v>-9999</v>
      </c>
      <c r="AK80" s="234" t="s">
        <v>625</v>
      </c>
      <c r="AL80" s="234" t="s">
        <v>653</v>
      </c>
      <c r="AM80" s="234">
        <v>-9999</v>
      </c>
      <c r="AN80" s="234" t="s">
        <v>631</v>
      </c>
      <c r="AO80" s="234">
        <v>-9999</v>
      </c>
      <c r="AP80" s="234">
        <v>-9999</v>
      </c>
      <c r="AQ80" s="234" t="s">
        <v>626</v>
      </c>
      <c r="AR80" s="234">
        <v>200</v>
      </c>
      <c r="AS80" s="234" t="s">
        <v>221</v>
      </c>
      <c r="AT80" s="234" t="s">
        <v>654</v>
      </c>
      <c r="AU80" s="234">
        <v>0</v>
      </c>
      <c r="AV80" s="234">
        <v>-9999</v>
      </c>
      <c r="AW80" s="234">
        <v>-9999</v>
      </c>
      <c r="AX80" s="234">
        <v>0</v>
      </c>
      <c r="AY80" s="234">
        <v>-9999</v>
      </c>
      <c r="AZ80" s="234">
        <v>-9999</v>
      </c>
      <c r="BA80" s="234" t="s">
        <v>222</v>
      </c>
      <c r="BB80" s="234" t="s">
        <v>626</v>
      </c>
      <c r="BC80" s="234" t="s">
        <v>22</v>
      </c>
      <c r="BD80" s="234" t="s">
        <v>653</v>
      </c>
      <c r="BE80" s="234" t="s">
        <v>23</v>
      </c>
      <c r="BF80" s="234" t="s">
        <v>24</v>
      </c>
      <c r="BG80" s="234" t="s">
        <v>653</v>
      </c>
      <c r="BH80" s="234" t="s">
        <v>25</v>
      </c>
      <c r="BI80" s="234" t="s">
        <v>26</v>
      </c>
      <c r="BJ80" s="491">
        <v>-9999</v>
      </c>
      <c r="BK80" s="491">
        <v>-9999</v>
      </c>
      <c r="BL80" s="491">
        <v>-9999</v>
      </c>
      <c r="BM80" s="491">
        <v>-9999</v>
      </c>
      <c r="BN80" s="491">
        <v>-9999</v>
      </c>
      <c r="BO80" s="491">
        <v>-9999</v>
      </c>
      <c r="BP80" s="491">
        <v>-9999</v>
      </c>
      <c r="BQ80" s="491">
        <v>-9999</v>
      </c>
      <c r="BR80" s="491">
        <v>-9999</v>
      </c>
      <c r="BS80" s="491">
        <v>-9999</v>
      </c>
      <c r="BT80" s="491">
        <v>-9999</v>
      </c>
      <c r="BU80" s="491">
        <v>-9999</v>
      </c>
      <c r="BV80" s="491">
        <v>-9999</v>
      </c>
      <c r="BW80" s="491"/>
      <c r="BX80" s="491">
        <v>-9999</v>
      </c>
      <c r="BY80" s="491">
        <v>-9999</v>
      </c>
      <c r="BZ80" s="497">
        <v>-9999</v>
      </c>
      <c r="CA80" s="497" t="s">
        <v>834</v>
      </c>
      <c r="CB80" s="499"/>
      <c r="CC80" s="493">
        <v>1</v>
      </c>
      <c r="CD80" s="234">
        <v>1</v>
      </c>
      <c r="CE80" s="401">
        <v>11.67</v>
      </c>
      <c r="CF80" s="292">
        <v>11.67</v>
      </c>
      <c r="CG80" s="72">
        <v>2</v>
      </c>
      <c r="CH80" s="479"/>
    </row>
    <row r="81" spans="1:86" s="23" customFormat="1" x14ac:dyDescent="0.2">
      <c r="A81" s="234" t="s">
        <v>650</v>
      </c>
      <c r="B81" s="234" t="s">
        <v>618</v>
      </c>
      <c r="C81" s="234" t="s">
        <v>33</v>
      </c>
      <c r="D81" s="234" t="s">
        <v>633</v>
      </c>
      <c r="E81" s="493" t="s">
        <v>634</v>
      </c>
      <c r="F81" s="493">
        <v>1</v>
      </c>
      <c r="G81" s="234">
        <v>2</v>
      </c>
      <c r="H81" s="491">
        <v>3</v>
      </c>
      <c r="I81" s="234" t="s">
        <v>954</v>
      </c>
      <c r="J81" s="234" t="s">
        <v>651</v>
      </c>
      <c r="K81" s="234" t="s">
        <v>957</v>
      </c>
      <c r="L81" s="234">
        <v>1997</v>
      </c>
      <c r="M81" s="389">
        <v>-9999</v>
      </c>
      <c r="N81" s="491">
        <v>-9999</v>
      </c>
      <c r="O81" s="29"/>
      <c r="P81" s="389">
        <v>21.77</v>
      </c>
      <c r="Q81" s="234">
        <v>1.97</v>
      </c>
      <c r="R81" s="389"/>
      <c r="S81" s="234"/>
      <c r="T81" s="237">
        <f>P81/+G81</f>
        <v>10.885</v>
      </c>
      <c r="U81" s="237">
        <f>1.97/2</f>
        <v>0.98499999999999999</v>
      </c>
      <c r="V81" s="237"/>
      <c r="W81" s="237">
        <f>+P81-P80</f>
        <v>10.1</v>
      </c>
      <c r="X81" s="234">
        <v>-9999</v>
      </c>
      <c r="Y81" s="234"/>
      <c r="Z81" s="234" t="s">
        <v>20</v>
      </c>
      <c r="AA81" s="495">
        <v>15152</v>
      </c>
      <c r="AB81" s="389">
        <v>-9999</v>
      </c>
      <c r="AC81" s="234">
        <v>-9999</v>
      </c>
      <c r="AD81" s="234">
        <v>65</v>
      </c>
      <c r="AE81" s="390" t="s">
        <v>1952</v>
      </c>
      <c r="AF81" s="234">
        <v>3</v>
      </c>
      <c r="AG81" s="234" t="s">
        <v>652</v>
      </c>
      <c r="AH81" s="234" t="s">
        <v>623</v>
      </c>
      <c r="AI81" s="234">
        <v>-9999</v>
      </c>
      <c r="AJ81" s="491">
        <v>-9999</v>
      </c>
      <c r="AK81" s="234" t="s">
        <v>625</v>
      </c>
      <c r="AL81" s="234" t="s">
        <v>653</v>
      </c>
      <c r="AM81" s="234">
        <v>-9999</v>
      </c>
      <c r="AN81" s="234" t="s">
        <v>631</v>
      </c>
      <c r="AO81" s="234">
        <v>-9999</v>
      </c>
      <c r="AP81" s="234">
        <v>-9999</v>
      </c>
      <c r="AQ81" s="234" t="s">
        <v>626</v>
      </c>
      <c r="AR81" s="234">
        <v>200</v>
      </c>
      <c r="AS81" s="234" t="s">
        <v>221</v>
      </c>
      <c r="AT81" s="234" t="s">
        <v>654</v>
      </c>
      <c r="AU81" s="234">
        <v>0</v>
      </c>
      <c r="AV81" s="234">
        <v>-9999</v>
      </c>
      <c r="AW81" s="234">
        <v>-9999</v>
      </c>
      <c r="AX81" s="234">
        <v>0</v>
      </c>
      <c r="AY81" s="234">
        <v>-9999</v>
      </c>
      <c r="AZ81" s="234">
        <v>-9999</v>
      </c>
      <c r="BA81" s="234" t="s">
        <v>222</v>
      </c>
      <c r="BB81" s="234" t="s">
        <v>626</v>
      </c>
      <c r="BC81" s="234" t="s">
        <v>22</v>
      </c>
      <c r="BD81" s="234" t="s">
        <v>653</v>
      </c>
      <c r="BE81" s="234" t="s">
        <v>23</v>
      </c>
      <c r="BF81" s="234" t="s">
        <v>24</v>
      </c>
      <c r="BG81" s="234" t="s">
        <v>653</v>
      </c>
      <c r="BH81" s="234" t="s">
        <v>25</v>
      </c>
      <c r="BI81" s="234" t="s">
        <v>26</v>
      </c>
      <c r="BJ81" s="491">
        <v>-9999</v>
      </c>
      <c r="BK81" s="491">
        <v>-9999</v>
      </c>
      <c r="BL81" s="491">
        <v>-9999</v>
      </c>
      <c r="BM81" s="491">
        <v>-9999</v>
      </c>
      <c r="BN81" s="491">
        <v>-9999</v>
      </c>
      <c r="BO81" s="491">
        <v>-9999</v>
      </c>
      <c r="BP81" s="491">
        <v>-9999</v>
      </c>
      <c r="BQ81" s="491">
        <v>-9999</v>
      </c>
      <c r="BR81" s="491">
        <v>-9999</v>
      </c>
      <c r="BS81" s="491">
        <v>-9999</v>
      </c>
      <c r="BT81" s="491">
        <v>-9999</v>
      </c>
      <c r="BU81" s="491">
        <v>-9999</v>
      </c>
      <c r="BV81" s="491">
        <v>-9999</v>
      </c>
      <c r="BW81" s="491"/>
      <c r="BX81" s="491">
        <v>-9999</v>
      </c>
      <c r="BY81" s="491">
        <v>-9999</v>
      </c>
      <c r="BZ81" s="497">
        <v>-9999</v>
      </c>
      <c r="CA81" s="497" t="s">
        <v>834</v>
      </c>
      <c r="CB81" s="499"/>
      <c r="CC81" s="493">
        <v>1</v>
      </c>
      <c r="CD81" s="234">
        <v>2</v>
      </c>
      <c r="CE81" s="292">
        <v>10.885</v>
      </c>
      <c r="CF81" s="292">
        <v>10.1</v>
      </c>
      <c r="CG81" s="72">
        <v>3</v>
      </c>
    </row>
    <row r="82" spans="1:86" s="23" customFormat="1" ht="12" customHeight="1" x14ac:dyDescent="0.2">
      <c r="A82" s="234" t="s">
        <v>650</v>
      </c>
      <c r="B82" s="234" t="s">
        <v>618</v>
      </c>
      <c r="C82" s="234" t="s">
        <v>33</v>
      </c>
      <c r="D82" s="234" t="s">
        <v>633</v>
      </c>
      <c r="E82" s="493" t="s">
        <v>634</v>
      </c>
      <c r="F82" s="493">
        <v>1</v>
      </c>
      <c r="G82" s="234">
        <v>3</v>
      </c>
      <c r="H82" s="491">
        <v>4</v>
      </c>
      <c r="I82" s="234" t="s">
        <v>954</v>
      </c>
      <c r="J82" s="234" t="s">
        <v>651</v>
      </c>
      <c r="K82" s="234" t="s">
        <v>957</v>
      </c>
      <c r="L82" s="234">
        <v>1998</v>
      </c>
      <c r="M82" s="389">
        <f>+P82</f>
        <v>32.81</v>
      </c>
      <c r="N82" s="491">
        <v>-9999</v>
      </c>
      <c r="O82" s="29"/>
      <c r="P82" s="389">
        <v>32.81</v>
      </c>
      <c r="Q82" s="234">
        <v>3.15</v>
      </c>
      <c r="R82" s="389"/>
      <c r="S82" s="234"/>
      <c r="T82" s="237">
        <f>P82/G82</f>
        <v>10.936666666666667</v>
      </c>
      <c r="U82" s="237">
        <f>+Q82/3</f>
        <v>1.05</v>
      </c>
      <c r="V82" s="237"/>
      <c r="W82" s="237">
        <f>+P82-P81</f>
        <v>11.040000000000003</v>
      </c>
      <c r="X82" s="234">
        <v>-9999</v>
      </c>
      <c r="Y82" s="234"/>
      <c r="Z82" s="234" t="s">
        <v>20</v>
      </c>
      <c r="AA82" s="495">
        <v>15152</v>
      </c>
      <c r="AB82" s="389">
        <v>-9999</v>
      </c>
      <c r="AC82" s="234">
        <v>-9999</v>
      </c>
      <c r="AD82" s="234">
        <v>65</v>
      </c>
      <c r="AE82" s="390" t="s">
        <v>1952</v>
      </c>
      <c r="AF82" s="234">
        <v>3</v>
      </c>
      <c r="AG82" s="234" t="s">
        <v>652</v>
      </c>
      <c r="AH82" s="234" t="s">
        <v>623</v>
      </c>
      <c r="AI82" s="234">
        <v>-9999</v>
      </c>
      <c r="AJ82" s="491">
        <v>-9999</v>
      </c>
      <c r="AK82" s="234" t="s">
        <v>625</v>
      </c>
      <c r="AL82" s="234" t="s">
        <v>653</v>
      </c>
      <c r="AM82" s="234">
        <v>-9999</v>
      </c>
      <c r="AN82" s="234" t="s">
        <v>631</v>
      </c>
      <c r="AO82" s="234">
        <v>-9999</v>
      </c>
      <c r="AP82" s="234">
        <v>-9999</v>
      </c>
      <c r="AQ82" s="234" t="s">
        <v>626</v>
      </c>
      <c r="AR82" s="234">
        <v>200</v>
      </c>
      <c r="AS82" s="234" t="s">
        <v>221</v>
      </c>
      <c r="AT82" s="234" t="s">
        <v>654</v>
      </c>
      <c r="AU82" s="234">
        <v>0</v>
      </c>
      <c r="AV82" s="234">
        <v>-9999</v>
      </c>
      <c r="AW82" s="234">
        <v>-9999</v>
      </c>
      <c r="AX82" s="234">
        <v>0</v>
      </c>
      <c r="AY82" s="234">
        <v>-9999</v>
      </c>
      <c r="AZ82" s="234">
        <v>-9999</v>
      </c>
      <c r="BA82" s="234" t="s">
        <v>222</v>
      </c>
      <c r="BB82" s="234" t="s">
        <v>626</v>
      </c>
      <c r="BC82" s="234" t="s">
        <v>22</v>
      </c>
      <c r="BD82" s="234" t="s">
        <v>653</v>
      </c>
      <c r="BE82" s="234" t="s">
        <v>23</v>
      </c>
      <c r="BF82" s="234" t="s">
        <v>24</v>
      </c>
      <c r="BG82" s="234" t="s">
        <v>653</v>
      </c>
      <c r="BH82" s="234" t="s">
        <v>25</v>
      </c>
      <c r="BI82" s="234" t="s">
        <v>26</v>
      </c>
      <c r="BJ82" s="491">
        <v>-9999</v>
      </c>
      <c r="BK82" s="491">
        <v>-9999</v>
      </c>
      <c r="BL82" s="491">
        <v>-9999</v>
      </c>
      <c r="BM82" s="491">
        <v>-9999</v>
      </c>
      <c r="BN82" s="491">
        <v>-9999</v>
      </c>
      <c r="BO82" s="491">
        <v>-9999</v>
      </c>
      <c r="BP82" s="491">
        <v>-9999</v>
      </c>
      <c r="BQ82" s="491">
        <v>-9999</v>
      </c>
      <c r="BR82" s="491">
        <v>-9999</v>
      </c>
      <c r="BS82" s="491">
        <v>-9999</v>
      </c>
      <c r="BT82" s="491">
        <v>-9999</v>
      </c>
      <c r="BU82" s="491">
        <v>-9999</v>
      </c>
      <c r="BV82" s="491">
        <v>-9999</v>
      </c>
      <c r="BW82" s="491"/>
      <c r="BX82" s="491">
        <v>-9999</v>
      </c>
      <c r="BY82" s="491">
        <v>-9999</v>
      </c>
      <c r="BZ82" s="497">
        <v>-9999</v>
      </c>
      <c r="CA82" s="497" t="s">
        <v>834</v>
      </c>
      <c r="CB82" s="499"/>
      <c r="CC82" s="493">
        <v>1</v>
      </c>
      <c r="CD82" s="234">
        <v>3</v>
      </c>
      <c r="CE82" s="292">
        <v>10.936666666666667</v>
      </c>
      <c r="CF82" s="292">
        <v>11.040000000000003</v>
      </c>
      <c r="CG82" s="72">
        <v>4</v>
      </c>
    </row>
    <row r="83" spans="1:86" s="23" customFormat="1" ht="12" customHeight="1" x14ac:dyDescent="0.2">
      <c r="A83" s="234"/>
      <c r="B83" s="234"/>
      <c r="C83" s="234"/>
      <c r="D83" s="234"/>
      <c r="E83" s="493"/>
      <c r="F83" s="493"/>
      <c r="G83" s="234"/>
      <c r="H83" s="491"/>
      <c r="I83" s="234"/>
      <c r="J83" s="234"/>
      <c r="K83" s="234"/>
      <c r="L83" s="234"/>
      <c r="M83" s="389"/>
      <c r="N83" s="491"/>
      <c r="O83" s="29"/>
      <c r="P83" s="389"/>
      <c r="Q83" s="234"/>
      <c r="R83" s="389"/>
      <c r="S83" s="234"/>
      <c r="T83" s="237"/>
      <c r="U83" s="237"/>
      <c r="V83" s="237"/>
      <c r="W83" s="237"/>
      <c r="X83" s="234"/>
      <c r="Y83" s="234"/>
      <c r="Z83" s="234"/>
      <c r="AA83" s="495"/>
      <c r="AB83" s="389"/>
      <c r="AC83" s="234"/>
      <c r="AD83" s="234"/>
      <c r="AE83" s="234"/>
      <c r="AF83" s="234"/>
      <c r="AG83" s="234"/>
      <c r="AH83" s="234"/>
      <c r="AI83" s="234"/>
      <c r="AJ83" s="491"/>
      <c r="AK83" s="234"/>
      <c r="AL83" s="234"/>
      <c r="AM83" s="234"/>
      <c r="AN83" s="234"/>
      <c r="AO83" s="234"/>
      <c r="AP83" s="234"/>
      <c r="AQ83" s="234"/>
      <c r="AR83" s="234"/>
      <c r="AS83" s="234"/>
      <c r="AT83" s="234"/>
      <c r="AU83" s="234"/>
      <c r="AV83" s="234"/>
      <c r="AW83" s="234"/>
      <c r="AX83" s="234"/>
      <c r="AY83" s="234"/>
      <c r="AZ83" s="234"/>
      <c r="BA83" s="234"/>
      <c r="BB83" s="234"/>
      <c r="BC83" s="234"/>
      <c r="BD83" s="234"/>
      <c r="BE83" s="234"/>
      <c r="BF83" s="234"/>
      <c r="BG83" s="234"/>
      <c r="BH83" s="234"/>
      <c r="BI83" s="234"/>
      <c r="BJ83" s="491"/>
      <c r="BK83" s="491"/>
      <c r="BL83" s="491"/>
      <c r="BM83" s="491"/>
      <c r="BN83" s="491"/>
      <c r="BO83" s="491"/>
      <c r="BP83" s="491"/>
      <c r="BQ83" s="491"/>
      <c r="BR83" s="491"/>
      <c r="BS83" s="491"/>
      <c r="BT83" s="491"/>
      <c r="BU83" s="491"/>
      <c r="BV83" s="491"/>
      <c r="BW83" s="491"/>
      <c r="BX83" s="491"/>
      <c r="BY83" s="491"/>
      <c r="BZ83" s="497"/>
      <c r="CA83" s="497"/>
      <c r="CB83" s="499"/>
      <c r="CC83" s="493"/>
      <c r="CD83" s="234"/>
      <c r="CE83" s="342" t="s">
        <v>1576</v>
      </c>
      <c r="CF83" s="342" t="s">
        <v>1575</v>
      </c>
      <c r="CG83" s="72"/>
    </row>
    <row r="84" spans="1:86" s="23" customFormat="1" x14ac:dyDescent="0.2">
      <c r="A84" s="234" t="s">
        <v>650</v>
      </c>
      <c r="B84" s="234" t="s">
        <v>618</v>
      </c>
      <c r="C84" s="234" t="s">
        <v>34</v>
      </c>
      <c r="D84" s="234" t="s">
        <v>633</v>
      </c>
      <c r="E84" s="493" t="s">
        <v>634</v>
      </c>
      <c r="F84" s="493">
        <v>1</v>
      </c>
      <c r="G84" s="234">
        <v>1</v>
      </c>
      <c r="H84" s="491">
        <v>2</v>
      </c>
      <c r="I84" s="234" t="s">
        <v>954</v>
      </c>
      <c r="J84" s="234" t="s">
        <v>651</v>
      </c>
      <c r="K84" s="234" t="s">
        <v>957</v>
      </c>
      <c r="L84" s="234">
        <v>1996</v>
      </c>
      <c r="M84" s="389">
        <v>-9999</v>
      </c>
      <c r="N84" s="491">
        <v>-9999</v>
      </c>
      <c r="O84" s="29"/>
      <c r="P84" s="389">
        <v>11.44</v>
      </c>
      <c r="Q84" s="234">
        <v>0.94</v>
      </c>
      <c r="R84" s="389"/>
      <c r="S84" s="234"/>
      <c r="T84" s="237">
        <f>P84/+G84</f>
        <v>11.44</v>
      </c>
      <c r="U84" s="237">
        <f>0.94/1</f>
        <v>0.94</v>
      </c>
      <c r="V84" s="237"/>
      <c r="W84" s="237">
        <f>+P84</f>
        <v>11.44</v>
      </c>
      <c r="X84" s="234">
        <v>-9999</v>
      </c>
      <c r="Y84" s="234"/>
      <c r="Z84" s="234" t="s">
        <v>20</v>
      </c>
      <c r="AA84" s="495">
        <v>15152</v>
      </c>
      <c r="AB84" s="389">
        <v>-9999</v>
      </c>
      <c r="AC84" s="234">
        <v>-9999</v>
      </c>
      <c r="AD84" s="234">
        <v>65</v>
      </c>
      <c r="AE84" s="390" t="s">
        <v>1952</v>
      </c>
      <c r="AF84" s="234">
        <v>3</v>
      </c>
      <c r="AG84" s="234" t="s">
        <v>652</v>
      </c>
      <c r="AH84" s="234" t="s">
        <v>623</v>
      </c>
      <c r="AI84" s="234">
        <v>-9999</v>
      </c>
      <c r="AJ84" s="491">
        <v>-9999</v>
      </c>
      <c r="AK84" s="234" t="s">
        <v>625</v>
      </c>
      <c r="AL84" s="234" t="s">
        <v>653</v>
      </c>
      <c r="AM84" s="234">
        <v>-9999</v>
      </c>
      <c r="AN84" s="234" t="s">
        <v>631</v>
      </c>
      <c r="AO84" s="234">
        <v>-9999</v>
      </c>
      <c r="AP84" s="234">
        <v>-9999</v>
      </c>
      <c r="AQ84" s="234" t="s">
        <v>626</v>
      </c>
      <c r="AR84" s="234">
        <v>300</v>
      </c>
      <c r="AS84" s="234" t="s">
        <v>221</v>
      </c>
      <c r="AT84" s="234" t="s">
        <v>654</v>
      </c>
      <c r="AU84" s="234">
        <v>0</v>
      </c>
      <c r="AV84" s="234">
        <v>-9999</v>
      </c>
      <c r="AW84" s="234">
        <v>-9999</v>
      </c>
      <c r="AX84" s="234">
        <v>0</v>
      </c>
      <c r="AY84" s="234">
        <v>-9999</v>
      </c>
      <c r="AZ84" s="234">
        <v>-9999</v>
      </c>
      <c r="BA84" s="234" t="s">
        <v>222</v>
      </c>
      <c r="BB84" s="234" t="s">
        <v>626</v>
      </c>
      <c r="BC84" s="234" t="s">
        <v>22</v>
      </c>
      <c r="BD84" s="234" t="s">
        <v>653</v>
      </c>
      <c r="BE84" s="234" t="s">
        <v>23</v>
      </c>
      <c r="BF84" s="234" t="s">
        <v>24</v>
      </c>
      <c r="BG84" s="234" t="s">
        <v>653</v>
      </c>
      <c r="BH84" s="234" t="s">
        <v>25</v>
      </c>
      <c r="BI84" s="234" t="s">
        <v>26</v>
      </c>
      <c r="BJ84" s="491">
        <v>-9999</v>
      </c>
      <c r="BK84" s="491">
        <v>-9999</v>
      </c>
      <c r="BL84" s="491">
        <v>-9999</v>
      </c>
      <c r="BM84" s="491">
        <v>-9999</v>
      </c>
      <c r="BN84" s="491">
        <v>-9999</v>
      </c>
      <c r="BO84" s="491">
        <v>-9999</v>
      </c>
      <c r="BP84" s="491">
        <v>-9999</v>
      </c>
      <c r="BQ84" s="491">
        <v>-9999</v>
      </c>
      <c r="BR84" s="491">
        <v>-9999</v>
      </c>
      <c r="BS84" s="491">
        <v>-9999</v>
      </c>
      <c r="BT84" s="491">
        <v>-9999</v>
      </c>
      <c r="BU84" s="491">
        <v>-9999</v>
      </c>
      <c r="BV84" s="491">
        <v>-9999</v>
      </c>
      <c r="BW84" s="491"/>
      <c r="BX84" s="491">
        <v>-9999</v>
      </c>
      <c r="BY84" s="491">
        <v>-9999</v>
      </c>
      <c r="BZ84" s="497">
        <v>-9999</v>
      </c>
      <c r="CA84" s="497" t="s">
        <v>834</v>
      </c>
      <c r="CB84" s="499"/>
      <c r="CC84" s="493">
        <v>1</v>
      </c>
      <c r="CD84" s="234">
        <v>1</v>
      </c>
      <c r="CE84" s="292">
        <v>11.44</v>
      </c>
      <c r="CF84" s="292">
        <v>11.44</v>
      </c>
      <c r="CG84" s="72">
        <v>2</v>
      </c>
    </row>
    <row r="85" spans="1:86" s="23" customFormat="1" x14ac:dyDescent="0.2">
      <c r="A85" s="234" t="s">
        <v>650</v>
      </c>
      <c r="B85" s="234" t="s">
        <v>618</v>
      </c>
      <c r="C85" s="234" t="s">
        <v>34</v>
      </c>
      <c r="D85" s="234" t="s">
        <v>633</v>
      </c>
      <c r="E85" s="493" t="s">
        <v>634</v>
      </c>
      <c r="F85" s="493">
        <v>1</v>
      </c>
      <c r="G85" s="234">
        <v>2</v>
      </c>
      <c r="H85" s="491">
        <v>3</v>
      </c>
      <c r="I85" s="234" t="s">
        <v>954</v>
      </c>
      <c r="J85" s="234" t="s">
        <v>651</v>
      </c>
      <c r="K85" s="234" t="s">
        <v>957</v>
      </c>
      <c r="L85" s="234">
        <v>1997</v>
      </c>
      <c r="M85" s="389">
        <v>-9999</v>
      </c>
      <c r="N85" s="491">
        <v>-9999</v>
      </c>
      <c r="O85" s="29"/>
      <c r="P85" s="389">
        <v>21.54</v>
      </c>
      <c r="Q85" s="234">
        <v>0.86499999999999999</v>
      </c>
      <c r="R85" s="389"/>
      <c r="S85" s="234"/>
      <c r="T85" s="237">
        <f>P85/+G85</f>
        <v>10.77</v>
      </c>
      <c r="U85" s="237">
        <f>0.865/2</f>
        <v>0.4325</v>
      </c>
      <c r="V85" s="237"/>
      <c r="W85" s="237">
        <f>+P85-P84</f>
        <v>10.1</v>
      </c>
      <c r="X85" s="234">
        <v>-9999</v>
      </c>
      <c r="Y85" s="234"/>
      <c r="Z85" s="234" t="s">
        <v>20</v>
      </c>
      <c r="AA85" s="495">
        <v>15152</v>
      </c>
      <c r="AB85" s="389">
        <v>-9999</v>
      </c>
      <c r="AC85" s="234">
        <v>-9999</v>
      </c>
      <c r="AD85" s="234">
        <v>65</v>
      </c>
      <c r="AE85" s="390" t="s">
        <v>1952</v>
      </c>
      <c r="AF85" s="234">
        <v>3</v>
      </c>
      <c r="AG85" s="234" t="s">
        <v>652</v>
      </c>
      <c r="AH85" s="234" t="s">
        <v>623</v>
      </c>
      <c r="AI85" s="234">
        <v>-9999</v>
      </c>
      <c r="AJ85" s="491">
        <v>-9999</v>
      </c>
      <c r="AK85" s="234" t="s">
        <v>625</v>
      </c>
      <c r="AL85" s="234" t="s">
        <v>653</v>
      </c>
      <c r="AM85" s="234">
        <v>-9999</v>
      </c>
      <c r="AN85" s="234" t="s">
        <v>631</v>
      </c>
      <c r="AO85" s="234">
        <v>-9999</v>
      </c>
      <c r="AP85" s="234">
        <v>-9999</v>
      </c>
      <c r="AQ85" s="234" t="s">
        <v>626</v>
      </c>
      <c r="AR85" s="234">
        <v>300</v>
      </c>
      <c r="AS85" s="234" t="s">
        <v>221</v>
      </c>
      <c r="AT85" s="234" t="s">
        <v>654</v>
      </c>
      <c r="AU85" s="234">
        <v>0</v>
      </c>
      <c r="AV85" s="234">
        <v>-9999</v>
      </c>
      <c r="AW85" s="234">
        <v>-9999</v>
      </c>
      <c r="AX85" s="234">
        <v>0</v>
      </c>
      <c r="AY85" s="234">
        <v>-9999</v>
      </c>
      <c r="AZ85" s="234">
        <v>-9999</v>
      </c>
      <c r="BA85" s="234" t="s">
        <v>222</v>
      </c>
      <c r="BB85" s="234" t="s">
        <v>626</v>
      </c>
      <c r="BC85" s="234" t="s">
        <v>22</v>
      </c>
      <c r="BD85" s="234" t="s">
        <v>653</v>
      </c>
      <c r="BE85" s="234" t="s">
        <v>23</v>
      </c>
      <c r="BF85" s="234" t="s">
        <v>24</v>
      </c>
      <c r="BG85" s="234" t="s">
        <v>653</v>
      </c>
      <c r="BH85" s="234" t="s">
        <v>25</v>
      </c>
      <c r="BI85" s="234" t="s">
        <v>26</v>
      </c>
      <c r="BJ85" s="491">
        <v>-9999</v>
      </c>
      <c r="BK85" s="491">
        <v>-9999</v>
      </c>
      <c r="BL85" s="491">
        <v>-9999</v>
      </c>
      <c r="BM85" s="491">
        <v>-9999</v>
      </c>
      <c r="BN85" s="491">
        <v>-9999</v>
      </c>
      <c r="BO85" s="491">
        <v>-9999</v>
      </c>
      <c r="BP85" s="491">
        <v>-9999</v>
      </c>
      <c r="BQ85" s="491">
        <v>-9999</v>
      </c>
      <c r="BR85" s="491">
        <v>-9999</v>
      </c>
      <c r="BS85" s="491">
        <v>-9999</v>
      </c>
      <c r="BT85" s="491">
        <v>-9999</v>
      </c>
      <c r="BU85" s="491">
        <v>-9999</v>
      </c>
      <c r="BV85" s="491">
        <v>-9999</v>
      </c>
      <c r="BW85" s="491"/>
      <c r="BX85" s="491">
        <v>-9999</v>
      </c>
      <c r="BY85" s="491">
        <v>-9999</v>
      </c>
      <c r="BZ85" s="497">
        <v>-9999</v>
      </c>
      <c r="CA85" s="497" t="s">
        <v>834</v>
      </c>
      <c r="CB85" s="499"/>
      <c r="CC85" s="493">
        <v>1</v>
      </c>
      <c r="CD85" s="234">
        <v>2</v>
      </c>
      <c r="CE85" s="292">
        <v>10.77</v>
      </c>
      <c r="CF85" s="292">
        <v>10.1</v>
      </c>
      <c r="CG85" s="72">
        <v>3</v>
      </c>
    </row>
    <row r="86" spans="1:86" s="23" customFormat="1" x14ac:dyDescent="0.2">
      <c r="A86" s="234" t="s">
        <v>650</v>
      </c>
      <c r="B86" s="234" t="s">
        <v>618</v>
      </c>
      <c r="C86" s="234" t="s">
        <v>34</v>
      </c>
      <c r="D86" s="234" t="s">
        <v>633</v>
      </c>
      <c r="E86" s="493" t="s">
        <v>634</v>
      </c>
      <c r="F86" s="493">
        <v>1</v>
      </c>
      <c r="G86" s="234">
        <v>3</v>
      </c>
      <c r="H86" s="491">
        <v>4</v>
      </c>
      <c r="I86" s="234" t="s">
        <v>954</v>
      </c>
      <c r="J86" s="234" t="s">
        <v>651</v>
      </c>
      <c r="K86" s="234" t="s">
        <v>957</v>
      </c>
      <c r="L86" s="234">
        <v>1998</v>
      </c>
      <c r="M86" s="389">
        <f>+P86</f>
        <v>34.78</v>
      </c>
      <c r="N86" s="491">
        <v>-9999</v>
      </c>
      <c r="O86" s="29"/>
      <c r="P86" s="389">
        <v>34.78</v>
      </c>
      <c r="Q86" s="234">
        <v>1.81</v>
      </c>
      <c r="R86" s="389"/>
      <c r="S86" s="234"/>
      <c r="T86" s="237">
        <f>P86/G86</f>
        <v>11.593333333333334</v>
      </c>
      <c r="U86" s="237">
        <f>1.81/3</f>
        <v>0.60333333333333339</v>
      </c>
      <c r="V86" s="237"/>
      <c r="W86" s="237">
        <f>+P86-P85</f>
        <v>13.240000000000002</v>
      </c>
      <c r="X86" s="234">
        <v>-9999</v>
      </c>
      <c r="Y86" s="234"/>
      <c r="Z86" s="234" t="s">
        <v>20</v>
      </c>
      <c r="AA86" s="495">
        <v>15152</v>
      </c>
      <c r="AB86" s="389">
        <v>-9999</v>
      </c>
      <c r="AC86" s="234">
        <v>-9999</v>
      </c>
      <c r="AD86" s="234">
        <v>65</v>
      </c>
      <c r="AE86" s="390" t="s">
        <v>1952</v>
      </c>
      <c r="AF86" s="234">
        <v>3</v>
      </c>
      <c r="AG86" s="234" t="s">
        <v>652</v>
      </c>
      <c r="AH86" s="234" t="s">
        <v>623</v>
      </c>
      <c r="AI86" s="234">
        <v>-9999</v>
      </c>
      <c r="AJ86" s="491">
        <v>-9999</v>
      </c>
      <c r="AK86" s="234" t="s">
        <v>625</v>
      </c>
      <c r="AL86" s="234" t="s">
        <v>653</v>
      </c>
      <c r="AM86" s="234">
        <v>-9999</v>
      </c>
      <c r="AN86" s="234" t="s">
        <v>631</v>
      </c>
      <c r="AO86" s="234">
        <v>-9999</v>
      </c>
      <c r="AP86" s="234">
        <v>-9999</v>
      </c>
      <c r="AQ86" s="234" t="s">
        <v>626</v>
      </c>
      <c r="AR86" s="234">
        <v>300</v>
      </c>
      <c r="AS86" s="234" t="s">
        <v>221</v>
      </c>
      <c r="AT86" s="234" t="s">
        <v>654</v>
      </c>
      <c r="AU86" s="234">
        <v>0</v>
      </c>
      <c r="AV86" s="234">
        <v>-9999</v>
      </c>
      <c r="AW86" s="234">
        <v>-9999</v>
      </c>
      <c r="AX86" s="234">
        <v>0</v>
      </c>
      <c r="AY86" s="234">
        <v>-9999</v>
      </c>
      <c r="AZ86" s="234">
        <v>-9999</v>
      </c>
      <c r="BA86" s="234" t="s">
        <v>222</v>
      </c>
      <c r="BB86" s="234" t="s">
        <v>626</v>
      </c>
      <c r="BC86" s="234" t="s">
        <v>22</v>
      </c>
      <c r="BD86" s="234" t="s">
        <v>653</v>
      </c>
      <c r="BE86" s="234" t="s">
        <v>23</v>
      </c>
      <c r="BF86" s="234" t="s">
        <v>24</v>
      </c>
      <c r="BG86" s="234" t="s">
        <v>653</v>
      </c>
      <c r="BH86" s="234" t="s">
        <v>25</v>
      </c>
      <c r="BI86" s="234" t="s">
        <v>26</v>
      </c>
      <c r="BJ86" s="491">
        <v>-9999</v>
      </c>
      <c r="BK86" s="491">
        <v>-9999</v>
      </c>
      <c r="BL86" s="491">
        <v>-9999</v>
      </c>
      <c r="BM86" s="491">
        <v>-9999</v>
      </c>
      <c r="BN86" s="491">
        <v>-9999</v>
      </c>
      <c r="BO86" s="491">
        <v>-9999</v>
      </c>
      <c r="BP86" s="491">
        <v>-9999</v>
      </c>
      <c r="BQ86" s="491">
        <v>-9999</v>
      </c>
      <c r="BR86" s="491">
        <v>-9999</v>
      </c>
      <c r="BS86" s="491">
        <v>-9999</v>
      </c>
      <c r="BT86" s="491">
        <v>-9999</v>
      </c>
      <c r="BU86" s="491">
        <v>-9999</v>
      </c>
      <c r="BV86" s="491">
        <v>-9999</v>
      </c>
      <c r="BW86" s="491"/>
      <c r="BX86" s="491">
        <v>-9999</v>
      </c>
      <c r="BY86" s="491">
        <v>-9999</v>
      </c>
      <c r="BZ86" s="497">
        <v>-9999</v>
      </c>
      <c r="CA86" s="497" t="s">
        <v>834</v>
      </c>
      <c r="CB86" s="499"/>
      <c r="CC86" s="493">
        <v>1</v>
      </c>
      <c r="CD86" s="234">
        <v>3</v>
      </c>
      <c r="CE86" s="401">
        <v>11.593333333333334</v>
      </c>
      <c r="CF86" s="292">
        <v>13.240000000000002</v>
      </c>
      <c r="CG86" s="72">
        <v>4</v>
      </c>
      <c r="CH86" s="479"/>
    </row>
    <row r="87" spans="1:86" s="23" customFormat="1" ht="13.9" customHeight="1" x14ac:dyDescent="0.2">
      <c r="A87" s="29"/>
      <c r="B87" s="29"/>
      <c r="C87" s="29"/>
      <c r="D87" s="29"/>
      <c r="E87" s="66"/>
      <c r="F87" s="66"/>
      <c r="G87" s="29"/>
      <c r="H87" s="30"/>
      <c r="I87" s="29"/>
      <c r="J87" s="29"/>
      <c r="K87" s="29"/>
      <c r="L87" s="29"/>
      <c r="M87" s="31"/>
      <c r="N87" s="31"/>
      <c r="O87" s="30"/>
      <c r="P87" s="31"/>
      <c r="Q87" s="29"/>
      <c r="R87" s="31"/>
      <c r="S87" s="29"/>
      <c r="T87" s="70"/>
      <c r="U87" s="70"/>
      <c r="V87" s="70"/>
      <c r="W87" s="70"/>
      <c r="X87" s="71"/>
      <c r="Y87" s="71"/>
      <c r="Z87" s="29"/>
      <c r="AA87" s="275"/>
      <c r="AB87" s="31"/>
      <c r="AC87" s="29"/>
      <c r="AD87" s="29"/>
      <c r="AE87" s="29"/>
      <c r="AF87" s="29"/>
      <c r="AG87" s="29"/>
      <c r="AH87" s="29"/>
      <c r="AI87" s="29"/>
      <c r="AJ87" s="30"/>
      <c r="AK87" s="29"/>
      <c r="AL87" s="29"/>
      <c r="AM87" s="29"/>
      <c r="AN87" s="29"/>
      <c r="AO87" s="29"/>
      <c r="AP87" s="29"/>
      <c r="AQ87" s="29"/>
      <c r="AR87" s="29"/>
      <c r="AS87" s="29"/>
      <c r="AT87" s="29"/>
      <c r="AU87" s="29"/>
      <c r="AV87" s="29"/>
      <c r="AW87" s="29"/>
      <c r="AX87" s="29"/>
      <c r="AY87" s="29"/>
      <c r="AZ87" s="29"/>
      <c r="BA87" s="29"/>
      <c r="BB87" s="29"/>
      <c r="BC87" s="29"/>
      <c r="BD87" s="29"/>
      <c r="BE87" s="29"/>
      <c r="BF87" s="29"/>
      <c r="BG87" s="29"/>
      <c r="BH87" s="29"/>
      <c r="BI87" s="29"/>
      <c r="BJ87" s="29"/>
      <c r="BK87" s="29"/>
      <c r="BL87" s="30"/>
      <c r="BM87" s="30"/>
      <c r="BN87" s="30"/>
      <c r="BO87" s="30"/>
      <c r="BP87" s="30"/>
      <c r="BQ87" s="30"/>
      <c r="BR87" s="30"/>
      <c r="BS87" s="30"/>
      <c r="BT87" s="30"/>
      <c r="BU87" s="30"/>
      <c r="BV87" s="30"/>
      <c r="BW87" s="30"/>
      <c r="BX87" s="30"/>
      <c r="BY87" s="30"/>
      <c r="BZ87" s="154"/>
      <c r="CA87" s="154"/>
      <c r="CC87" s="66"/>
      <c r="CD87" s="29"/>
      <c r="CE87" s="342" t="s">
        <v>1576</v>
      </c>
      <c r="CF87" s="342" t="s">
        <v>1575</v>
      </c>
      <c r="CG87" s="30"/>
    </row>
    <row r="88" spans="1:86" s="23" customFormat="1" x14ac:dyDescent="0.2">
      <c r="A88" s="234" t="s">
        <v>655</v>
      </c>
      <c r="B88" s="234" t="s">
        <v>618</v>
      </c>
      <c r="C88" s="234" t="s">
        <v>447</v>
      </c>
      <c r="D88" s="234" t="s">
        <v>633</v>
      </c>
      <c r="E88" s="493" t="s">
        <v>656</v>
      </c>
      <c r="F88" s="234">
        <v>1</v>
      </c>
      <c r="G88" s="234">
        <v>1</v>
      </c>
      <c r="H88" s="234">
        <v>1</v>
      </c>
      <c r="I88" s="234" t="s">
        <v>621</v>
      </c>
      <c r="J88" s="234">
        <v>1987</v>
      </c>
      <c r="K88" s="234" t="s">
        <v>1211</v>
      </c>
      <c r="L88" s="234">
        <v>1987</v>
      </c>
      <c r="M88" s="389">
        <v>2.2000000000000002</v>
      </c>
      <c r="N88" s="389">
        <v>0.2</v>
      </c>
      <c r="O88" s="29"/>
      <c r="P88" s="237">
        <f>+M88</f>
        <v>2.2000000000000002</v>
      </c>
      <c r="Q88" s="234">
        <v>-9999</v>
      </c>
      <c r="R88" s="389"/>
      <c r="S88" s="234"/>
      <c r="T88" s="237">
        <f>+P88/H88</f>
        <v>2.2000000000000002</v>
      </c>
      <c r="U88" s="234">
        <v>-9999</v>
      </c>
      <c r="V88" s="234"/>
      <c r="W88" s="389">
        <v>2.2000000000000002</v>
      </c>
      <c r="X88" s="389">
        <v>0.2</v>
      </c>
      <c r="Y88" s="389"/>
      <c r="Z88" s="234" t="s">
        <v>35</v>
      </c>
      <c r="AA88" s="515">
        <v>444444</v>
      </c>
      <c r="AB88" s="389">
        <v>1</v>
      </c>
      <c r="AC88" s="676">
        <v>6.4799999999999996E-2</v>
      </c>
      <c r="AD88" s="234">
        <v>36</v>
      </c>
      <c r="AE88" s="392" t="s">
        <v>1977</v>
      </c>
      <c r="AF88" s="234">
        <v>3</v>
      </c>
      <c r="AG88" s="234">
        <v>2</v>
      </c>
      <c r="AH88" s="234" t="s">
        <v>623</v>
      </c>
      <c r="AI88" s="234" t="s">
        <v>624</v>
      </c>
      <c r="AJ88" s="234" t="s">
        <v>624</v>
      </c>
      <c r="AK88" s="234" t="s">
        <v>626</v>
      </c>
      <c r="AL88" s="234" t="s">
        <v>653</v>
      </c>
      <c r="AM88" s="234">
        <v>-9999</v>
      </c>
      <c r="AN88" s="234" t="s">
        <v>626</v>
      </c>
      <c r="AO88" s="234" t="s">
        <v>627</v>
      </c>
      <c r="AP88" s="234" t="s">
        <v>658</v>
      </c>
      <c r="AQ88" s="234" t="s">
        <v>626</v>
      </c>
      <c r="AR88" s="234">
        <v>336</v>
      </c>
      <c r="AS88" s="234" t="s">
        <v>593</v>
      </c>
      <c r="AT88" s="234" t="s">
        <v>594</v>
      </c>
      <c r="AU88" s="234">
        <v>112</v>
      </c>
      <c r="AV88" s="234" t="s">
        <v>218</v>
      </c>
      <c r="AW88" s="234" t="s">
        <v>1412</v>
      </c>
      <c r="AX88" s="234">
        <v>224</v>
      </c>
      <c r="AY88" s="234" t="s">
        <v>219</v>
      </c>
      <c r="AZ88" s="234" t="s">
        <v>1412</v>
      </c>
      <c r="BA88" s="234" t="s">
        <v>223</v>
      </c>
      <c r="BB88" s="234" t="s">
        <v>626</v>
      </c>
      <c r="BC88" s="234" t="s">
        <v>673</v>
      </c>
      <c r="BD88" s="234" t="s">
        <v>444</v>
      </c>
      <c r="BE88" s="234" t="s">
        <v>443</v>
      </c>
      <c r="BF88" s="234" t="s">
        <v>37</v>
      </c>
      <c r="BG88" s="234" t="s">
        <v>445</v>
      </c>
      <c r="BH88" s="234"/>
      <c r="BI88" s="234" t="s">
        <v>492</v>
      </c>
      <c r="BJ88" s="234">
        <v>-9999</v>
      </c>
      <c r="BK88" s="234">
        <v>-9999</v>
      </c>
      <c r="BL88" s="234">
        <v>-9999</v>
      </c>
      <c r="BM88" s="234">
        <v>-9999</v>
      </c>
      <c r="BN88" s="234">
        <v>-9999</v>
      </c>
      <c r="BO88" s="234">
        <v>-9999</v>
      </c>
      <c r="BP88" s="234">
        <v>-9999</v>
      </c>
      <c r="BQ88" s="234">
        <v>-9999</v>
      </c>
      <c r="BR88" s="234">
        <v>-9999</v>
      </c>
      <c r="BS88" s="491">
        <v>-9999</v>
      </c>
      <c r="BT88" s="234">
        <v>-9999</v>
      </c>
      <c r="BU88" s="234">
        <v>-9999</v>
      </c>
      <c r="BV88" s="234">
        <v>-9999</v>
      </c>
      <c r="BW88" s="234"/>
      <c r="BX88" s="234">
        <v>-9999</v>
      </c>
      <c r="BY88" s="234">
        <v>-9999</v>
      </c>
      <c r="BZ88" s="496">
        <v>-9999</v>
      </c>
      <c r="CA88" s="496">
        <v>-9999</v>
      </c>
      <c r="CB88" s="499" t="s">
        <v>446</v>
      </c>
      <c r="CC88" s="57">
        <v>1</v>
      </c>
      <c r="CD88" s="57">
        <v>1</v>
      </c>
      <c r="CE88" s="292">
        <v>2.2000000000000002</v>
      </c>
      <c r="CF88" s="292">
        <v>2.2000000000000002</v>
      </c>
      <c r="CG88" s="57">
        <v>1</v>
      </c>
    </row>
    <row r="89" spans="1:86" s="23" customFormat="1" x14ac:dyDescent="0.2">
      <c r="A89" s="234" t="s">
        <v>655</v>
      </c>
      <c r="B89" s="234" t="s">
        <v>618</v>
      </c>
      <c r="C89" s="234" t="s">
        <v>447</v>
      </c>
      <c r="D89" s="234" t="s">
        <v>633</v>
      </c>
      <c r="E89" s="493" t="s">
        <v>656</v>
      </c>
      <c r="F89" s="234">
        <v>2</v>
      </c>
      <c r="G89" s="234">
        <v>1</v>
      </c>
      <c r="H89" s="234">
        <v>2</v>
      </c>
      <c r="I89" s="234" t="s">
        <v>621</v>
      </c>
      <c r="J89" s="234">
        <v>1987</v>
      </c>
      <c r="K89" s="234" t="s">
        <v>1211</v>
      </c>
      <c r="L89" s="234">
        <v>1988</v>
      </c>
      <c r="M89" s="389">
        <v>5.5</v>
      </c>
      <c r="N89" s="389">
        <v>0.5</v>
      </c>
      <c r="O89" s="29"/>
      <c r="P89" s="237">
        <f>+P88+M89</f>
        <v>7.7</v>
      </c>
      <c r="Q89" s="234">
        <v>-9999</v>
      </c>
      <c r="R89" s="389"/>
      <c r="S89" s="234"/>
      <c r="T89" s="237">
        <f>+P89/H89</f>
        <v>3.85</v>
      </c>
      <c r="U89" s="234">
        <v>-9999</v>
      </c>
      <c r="V89" s="234"/>
      <c r="W89" s="389">
        <v>5.5</v>
      </c>
      <c r="X89" s="389">
        <v>0.5</v>
      </c>
      <c r="Y89" s="389"/>
      <c r="Z89" s="234" t="s">
        <v>35</v>
      </c>
      <c r="AA89" s="515">
        <v>444444</v>
      </c>
      <c r="AB89" s="389">
        <v>0.94</v>
      </c>
      <c r="AC89" s="676">
        <v>6.4799999999999996E-2</v>
      </c>
      <c r="AD89" s="234">
        <v>36</v>
      </c>
      <c r="AE89" s="392" t="s">
        <v>1977</v>
      </c>
      <c r="AF89" s="234">
        <v>3</v>
      </c>
      <c r="AG89" s="234">
        <v>2</v>
      </c>
      <c r="AH89" s="234" t="s">
        <v>623</v>
      </c>
      <c r="AI89" s="234" t="s">
        <v>624</v>
      </c>
      <c r="AJ89" s="234" t="s">
        <v>624</v>
      </c>
      <c r="AK89" s="234" t="s">
        <v>626</v>
      </c>
      <c r="AL89" s="234" t="s">
        <v>653</v>
      </c>
      <c r="AM89" s="234">
        <v>-9999</v>
      </c>
      <c r="AN89" s="234" t="s">
        <v>626</v>
      </c>
      <c r="AO89" s="234" t="s">
        <v>627</v>
      </c>
      <c r="AP89" s="234" t="s">
        <v>658</v>
      </c>
      <c r="AQ89" s="234" t="s">
        <v>626</v>
      </c>
      <c r="AR89" s="234">
        <v>336</v>
      </c>
      <c r="AS89" s="234" t="s">
        <v>593</v>
      </c>
      <c r="AT89" s="234" t="s">
        <v>594</v>
      </c>
      <c r="AU89" s="234">
        <v>112</v>
      </c>
      <c r="AV89" s="234" t="s">
        <v>218</v>
      </c>
      <c r="AW89" s="234" t="s">
        <v>1412</v>
      </c>
      <c r="AX89" s="234">
        <v>224</v>
      </c>
      <c r="AY89" s="234" t="s">
        <v>219</v>
      </c>
      <c r="AZ89" s="234" t="s">
        <v>1412</v>
      </c>
      <c r="BA89" s="234" t="s">
        <v>223</v>
      </c>
      <c r="BB89" s="234" t="s">
        <v>626</v>
      </c>
      <c r="BC89" s="234" t="s">
        <v>673</v>
      </c>
      <c r="BD89" s="234" t="s">
        <v>444</v>
      </c>
      <c r="BE89" s="234" t="s">
        <v>443</v>
      </c>
      <c r="BF89" s="234" t="s">
        <v>37</v>
      </c>
      <c r="BG89" s="234" t="s">
        <v>445</v>
      </c>
      <c r="BH89" s="234"/>
      <c r="BI89" s="234" t="s">
        <v>492</v>
      </c>
      <c r="BJ89" s="234">
        <v>-9999</v>
      </c>
      <c r="BK89" s="234">
        <v>-9999</v>
      </c>
      <c r="BL89" s="234">
        <v>-9999</v>
      </c>
      <c r="BM89" s="234">
        <v>-9999</v>
      </c>
      <c r="BN89" s="234">
        <v>-9999</v>
      </c>
      <c r="BO89" s="234">
        <v>-9999</v>
      </c>
      <c r="BP89" s="234">
        <v>-9999</v>
      </c>
      <c r="BQ89" s="234">
        <v>-9999</v>
      </c>
      <c r="BR89" s="234">
        <v>-9999</v>
      </c>
      <c r="BS89" s="491">
        <v>-9999</v>
      </c>
      <c r="BT89" s="234">
        <v>-9999</v>
      </c>
      <c r="BU89" s="234">
        <v>-9999</v>
      </c>
      <c r="BV89" s="234">
        <v>-9999</v>
      </c>
      <c r="BW89" s="234"/>
      <c r="BX89" s="234">
        <v>-9999</v>
      </c>
      <c r="BY89" s="234">
        <v>-9999</v>
      </c>
      <c r="BZ89" s="496">
        <v>-9999</v>
      </c>
      <c r="CA89" s="496">
        <v>-9999</v>
      </c>
      <c r="CB89" s="499" t="s">
        <v>446</v>
      </c>
      <c r="CC89" s="57">
        <v>2</v>
      </c>
      <c r="CD89" s="57">
        <v>1</v>
      </c>
      <c r="CE89" s="292">
        <v>3.85</v>
      </c>
      <c r="CF89" s="292">
        <v>5.5</v>
      </c>
      <c r="CG89" s="57">
        <v>2</v>
      </c>
    </row>
    <row r="90" spans="1:86" s="23" customFormat="1" x14ac:dyDescent="0.2">
      <c r="A90" s="234" t="s">
        <v>655</v>
      </c>
      <c r="B90" s="234" t="s">
        <v>618</v>
      </c>
      <c r="C90" s="234" t="s">
        <v>447</v>
      </c>
      <c r="D90" s="234" t="s">
        <v>633</v>
      </c>
      <c r="E90" s="493" t="s">
        <v>656</v>
      </c>
      <c r="F90" s="234">
        <v>3</v>
      </c>
      <c r="G90" s="234">
        <v>1</v>
      </c>
      <c r="H90" s="234">
        <v>3</v>
      </c>
      <c r="I90" s="234" t="s">
        <v>621</v>
      </c>
      <c r="J90" s="234">
        <v>1987</v>
      </c>
      <c r="K90" s="234" t="s">
        <v>1211</v>
      </c>
      <c r="L90" s="234">
        <v>1989</v>
      </c>
      <c r="M90" s="389">
        <v>10.8</v>
      </c>
      <c r="N90" s="389">
        <v>0.3</v>
      </c>
      <c r="O90" s="29"/>
      <c r="P90" s="237">
        <f>+P89+M90</f>
        <v>18.5</v>
      </c>
      <c r="Q90" s="234">
        <v>-9999</v>
      </c>
      <c r="R90" s="389"/>
      <c r="S90" s="234"/>
      <c r="T90" s="237">
        <f>+P90/H90</f>
        <v>6.166666666666667</v>
      </c>
      <c r="U90" s="234">
        <v>-9999</v>
      </c>
      <c r="V90" s="234"/>
      <c r="W90" s="389">
        <v>10.8</v>
      </c>
      <c r="X90" s="389">
        <v>0.3</v>
      </c>
      <c r="Y90" s="389"/>
      <c r="Z90" s="234" t="s">
        <v>35</v>
      </c>
      <c r="AA90" s="515">
        <v>444444</v>
      </c>
      <c r="AB90" s="495">
        <v>0.85</v>
      </c>
      <c r="AC90" s="676">
        <v>6.4799999999999996E-2</v>
      </c>
      <c r="AD90" s="234">
        <v>36</v>
      </c>
      <c r="AE90" s="392" t="s">
        <v>1977</v>
      </c>
      <c r="AF90" s="234">
        <v>3</v>
      </c>
      <c r="AG90" s="234">
        <v>2</v>
      </c>
      <c r="AH90" s="234" t="s">
        <v>623</v>
      </c>
      <c r="AI90" s="234" t="s">
        <v>624</v>
      </c>
      <c r="AJ90" s="234" t="s">
        <v>624</v>
      </c>
      <c r="AK90" s="234" t="s">
        <v>626</v>
      </c>
      <c r="AL90" s="234" t="s">
        <v>653</v>
      </c>
      <c r="AM90" s="234">
        <v>-9999</v>
      </c>
      <c r="AN90" s="234" t="s">
        <v>626</v>
      </c>
      <c r="AO90" s="234" t="s">
        <v>627</v>
      </c>
      <c r="AP90" s="234" t="s">
        <v>658</v>
      </c>
      <c r="AQ90" s="234" t="s">
        <v>626</v>
      </c>
      <c r="AR90" s="234">
        <v>336</v>
      </c>
      <c r="AS90" s="234" t="s">
        <v>593</v>
      </c>
      <c r="AT90" s="234" t="s">
        <v>594</v>
      </c>
      <c r="AU90" s="234">
        <v>112</v>
      </c>
      <c r="AV90" s="234" t="s">
        <v>218</v>
      </c>
      <c r="AW90" s="234" t="s">
        <v>1412</v>
      </c>
      <c r="AX90" s="234">
        <v>224</v>
      </c>
      <c r="AY90" s="234" t="s">
        <v>219</v>
      </c>
      <c r="AZ90" s="234" t="s">
        <v>1412</v>
      </c>
      <c r="BA90" s="234" t="s">
        <v>223</v>
      </c>
      <c r="BB90" s="234" t="s">
        <v>626</v>
      </c>
      <c r="BC90" s="234" t="s">
        <v>673</v>
      </c>
      <c r="BD90" s="234" t="s">
        <v>444</v>
      </c>
      <c r="BE90" s="234" t="s">
        <v>443</v>
      </c>
      <c r="BF90" s="234" t="s">
        <v>37</v>
      </c>
      <c r="BG90" s="234" t="s">
        <v>445</v>
      </c>
      <c r="BH90" s="234"/>
      <c r="BI90" s="234" t="s">
        <v>492</v>
      </c>
      <c r="BJ90" s="234">
        <v>-9999</v>
      </c>
      <c r="BK90" s="234">
        <v>-9999</v>
      </c>
      <c r="BL90" s="234">
        <v>-9999</v>
      </c>
      <c r="BM90" s="234">
        <v>-9999</v>
      </c>
      <c r="BN90" s="234">
        <v>-9999</v>
      </c>
      <c r="BO90" s="234">
        <v>-9999</v>
      </c>
      <c r="BP90" s="234">
        <v>-9999</v>
      </c>
      <c r="BQ90" s="234">
        <v>-9999</v>
      </c>
      <c r="BR90" s="234">
        <v>-9999</v>
      </c>
      <c r="BS90" s="491">
        <v>-9999</v>
      </c>
      <c r="BT90" s="234">
        <v>-9999</v>
      </c>
      <c r="BU90" s="234">
        <v>-9999</v>
      </c>
      <c r="BV90" s="234">
        <v>-9999</v>
      </c>
      <c r="BW90" s="234"/>
      <c r="BX90" s="234">
        <v>-9999</v>
      </c>
      <c r="BY90" s="234">
        <v>-9999</v>
      </c>
      <c r="BZ90" s="496">
        <v>-9999</v>
      </c>
      <c r="CA90" s="496">
        <v>-9999</v>
      </c>
      <c r="CB90" s="499" t="s">
        <v>446</v>
      </c>
      <c r="CC90" s="57">
        <v>3</v>
      </c>
      <c r="CD90" s="57">
        <v>1</v>
      </c>
      <c r="CE90" s="292">
        <v>6.166666666666667</v>
      </c>
      <c r="CF90" s="292">
        <v>10.8</v>
      </c>
      <c r="CG90" s="57">
        <v>3</v>
      </c>
    </row>
    <row r="91" spans="1:86" s="23" customFormat="1" x14ac:dyDescent="0.2">
      <c r="A91" s="234" t="s">
        <v>655</v>
      </c>
      <c r="B91" s="234" t="s">
        <v>618</v>
      </c>
      <c r="C91" s="234" t="s">
        <v>447</v>
      </c>
      <c r="D91" s="234" t="s">
        <v>633</v>
      </c>
      <c r="E91" s="493" t="s">
        <v>656</v>
      </c>
      <c r="F91" s="234">
        <v>4</v>
      </c>
      <c r="G91" s="234">
        <v>1</v>
      </c>
      <c r="H91" s="234">
        <v>4</v>
      </c>
      <c r="I91" s="234" t="s">
        <v>621</v>
      </c>
      <c r="J91" s="234">
        <v>1987</v>
      </c>
      <c r="K91" s="234" t="s">
        <v>1211</v>
      </c>
      <c r="L91" s="234">
        <v>1990</v>
      </c>
      <c r="M91" s="389">
        <v>10.7</v>
      </c>
      <c r="N91" s="389">
        <v>0.1</v>
      </c>
      <c r="O91" s="29"/>
      <c r="P91" s="237">
        <f>+P90+M91</f>
        <v>29.2</v>
      </c>
      <c r="Q91" s="234">
        <v>-9999</v>
      </c>
      <c r="R91" s="389"/>
      <c r="S91" s="234"/>
      <c r="T91" s="237">
        <f>+P91/H91</f>
        <v>7.3</v>
      </c>
      <c r="U91" s="234">
        <v>-9999</v>
      </c>
      <c r="V91" s="234"/>
      <c r="W91" s="389">
        <v>10.7</v>
      </c>
      <c r="X91" s="389">
        <v>0.1</v>
      </c>
      <c r="Y91" s="389"/>
      <c r="Z91" s="234" t="s">
        <v>35</v>
      </c>
      <c r="AA91" s="515">
        <v>444444</v>
      </c>
      <c r="AB91" s="389">
        <v>0.75</v>
      </c>
      <c r="AC91" s="676">
        <v>6.4799999999999996E-2</v>
      </c>
      <c r="AD91" s="234">
        <v>36</v>
      </c>
      <c r="AE91" s="392" t="s">
        <v>1977</v>
      </c>
      <c r="AF91" s="234">
        <v>3</v>
      </c>
      <c r="AG91" s="234">
        <v>2</v>
      </c>
      <c r="AH91" s="234" t="s">
        <v>623</v>
      </c>
      <c r="AI91" s="234" t="s">
        <v>624</v>
      </c>
      <c r="AJ91" s="234" t="s">
        <v>624</v>
      </c>
      <c r="AK91" s="234" t="s">
        <v>626</v>
      </c>
      <c r="AL91" s="234" t="s">
        <v>653</v>
      </c>
      <c r="AM91" s="234">
        <v>-9999</v>
      </c>
      <c r="AN91" s="234" t="s">
        <v>626</v>
      </c>
      <c r="AO91" s="234" t="s">
        <v>627</v>
      </c>
      <c r="AP91" s="234" t="s">
        <v>658</v>
      </c>
      <c r="AQ91" s="234" t="s">
        <v>626</v>
      </c>
      <c r="AR91" s="234">
        <v>336</v>
      </c>
      <c r="AS91" s="234" t="s">
        <v>1413</v>
      </c>
      <c r="AT91" s="234" t="s">
        <v>594</v>
      </c>
      <c r="AU91" s="234">
        <v>112</v>
      </c>
      <c r="AV91" s="234" t="s">
        <v>218</v>
      </c>
      <c r="AW91" s="234" t="s">
        <v>1412</v>
      </c>
      <c r="AX91" s="234">
        <v>224</v>
      </c>
      <c r="AY91" s="234" t="s">
        <v>219</v>
      </c>
      <c r="AZ91" s="234" t="s">
        <v>1412</v>
      </c>
      <c r="BA91" s="234" t="s">
        <v>223</v>
      </c>
      <c r="BB91" s="234" t="s">
        <v>626</v>
      </c>
      <c r="BC91" s="234" t="s">
        <v>673</v>
      </c>
      <c r="BD91" s="234" t="s">
        <v>444</v>
      </c>
      <c r="BE91" s="234" t="s">
        <v>443</v>
      </c>
      <c r="BF91" s="234" t="s">
        <v>37</v>
      </c>
      <c r="BG91" s="234" t="s">
        <v>445</v>
      </c>
      <c r="BH91" s="234"/>
      <c r="BI91" s="234" t="s">
        <v>492</v>
      </c>
      <c r="BJ91" s="234">
        <v>-9999</v>
      </c>
      <c r="BK91" s="234">
        <v>-9999</v>
      </c>
      <c r="BL91" s="234">
        <v>-9999</v>
      </c>
      <c r="BM91" s="234">
        <v>-9999</v>
      </c>
      <c r="BN91" s="234">
        <v>-9999</v>
      </c>
      <c r="BO91" s="234">
        <v>-9999</v>
      </c>
      <c r="BP91" s="234">
        <v>-9999</v>
      </c>
      <c r="BQ91" s="234">
        <v>-9999</v>
      </c>
      <c r="BR91" s="234">
        <v>-9999</v>
      </c>
      <c r="BS91" s="491">
        <v>-9999</v>
      </c>
      <c r="BT91" s="234">
        <v>-9999</v>
      </c>
      <c r="BU91" s="234">
        <v>-9999</v>
      </c>
      <c r="BV91" s="234">
        <v>-9999</v>
      </c>
      <c r="BW91" s="234"/>
      <c r="BX91" s="234">
        <v>-9999</v>
      </c>
      <c r="BY91" s="234">
        <v>-9999</v>
      </c>
      <c r="BZ91" s="496">
        <v>-9999</v>
      </c>
      <c r="CA91" s="496">
        <v>-9999</v>
      </c>
      <c r="CB91" s="499" t="s">
        <v>446</v>
      </c>
      <c r="CC91" s="57">
        <v>4</v>
      </c>
      <c r="CD91" s="57">
        <v>1</v>
      </c>
      <c r="CE91" s="292">
        <v>7.3</v>
      </c>
      <c r="CF91" s="292">
        <v>10.7</v>
      </c>
      <c r="CG91" s="57">
        <v>4</v>
      </c>
    </row>
    <row r="92" spans="1:86" s="23" customFormat="1" x14ac:dyDescent="0.2">
      <c r="A92" s="234" t="s">
        <v>655</v>
      </c>
      <c r="B92" s="234" t="s">
        <v>618</v>
      </c>
      <c r="C92" s="234" t="s">
        <v>447</v>
      </c>
      <c r="D92" s="234" t="s">
        <v>633</v>
      </c>
      <c r="E92" s="493" t="s">
        <v>656</v>
      </c>
      <c r="F92" s="234">
        <v>5</v>
      </c>
      <c r="G92" s="234">
        <v>1</v>
      </c>
      <c r="H92" s="234">
        <v>5</v>
      </c>
      <c r="I92" s="234" t="s">
        <v>621</v>
      </c>
      <c r="J92" s="234">
        <v>1987</v>
      </c>
      <c r="K92" s="234" t="s">
        <v>1211</v>
      </c>
      <c r="L92" s="234">
        <v>1991</v>
      </c>
      <c r="M92" s="389">
        <v>9.5</v>
      </c>
      <c r="N92" s="389">
        <v>1.7</v>
      </c>
      <c r="O92" s="29"/>
      <c r="P92" s="237">
        <f>+P91+M92</f>
        <v>38.700000000000003</v>
      </c>
      <c r="Q92" s="234">
        <v>-9999</v>
      </c>
      <c r="R92" s="389"/>
      <c r="S92" s="234"/>
      <c r="T92" s="237">
        <f>+P92/H92</f>
        <v>7.74</v>
      </c>
      <c r="U92" s="234">
        <v>-9999</v>
      </c>
      <c r="V92" s="234"/>
      <c r="W92" s="389">
        <v>9.5</v>
      </c>
      <c r="X92" s="389">
        <v>1.7</v>
      </c>
      <c r="Y92" s="389"/>
      <c r="Z92" s="234" t="s">
        <v>35</v>
      </c>
      <c r="AA92" s="515">
        <v>444444</v>
      </c>
      <c r="AB92" s="389">
        <v>0.67</v>
      </c>
      <c r="AC92" s="676">
        <v>6.4799999999999996E-2</v>
      </c>
      <c r="AD92" s="234">
        <v>36</v>
      </c>
      <c r="AE92" s="392" t="s">
        <v>1977</v>
      </c>
      <c r="AF92" s="234">
        <v>3</v>
      </c>
      <c r="AG92" s="234">
        <v>2</v>
      </c>
      <c r="AH92" s="234" t="s">
        <v>623</v>
      </c>
      <c r="AI92" s="234" t="s">
        <v>624</v>
      </c>
      <c r="AJ92" s="234" t="s">
        <v>624</v>
      </c>
      <c r="AK92" s="234" t="s">
        <v>626</v>
      </c>
      <c r="AL92" s="234" t="s">
        <v>653</v>
      </c>
      <c r="AM92" s="234">
        <v>-9999</v>
      </c>
      <c r="AN92" s="234" t="s">
        <v>626</v>
      </c>
      <c r="AO92" s="234" t="s">
        <v>627</v>
      </c>
      <c r="AP92" s="234" t="s">
        <v>658</v>
      </c>
      <c r="AQ92" s="234" t="s">
        <v>626</v>
      </c>
      <c r="AR92" s="234">
        <v>336</v>
      </c>
      <c r="AS92" s="234" t="s">
        <v>593</v>
      </c>
      <c r="AT92" s="234" t="s">
        <v>594</v>
      </c>
      <c r="AU92" s="234">
        <v>112</v>
      </c>
      <c r="AV92" s="234" t="s">
        <v>218</v>
      </c>
      <c r="AW92" s="234" t="s">
        <v>1412</v>
      </c>
      <c r="AX92" s="234">
        <v>224</v>
      </c>
      <c r="AY92" s="234" t="s">
        <v>219</v>
      </c>
      <c r="AZ92" s="234" t="s">
        <v>1412</v>
      </c>
      <c r="BA92" s="234" t="s">
        <v>223</v>
      </c>
      <c r="BB92" s="234" t="s">
        <v>626</v>
      </c>
      <c r="BC92" s="234" t="s">
        <v>673</v>
      </c>
      <c r="BD92" s="234" t="s">
        <v>444</v>
      </c>
      <c r="BE92" s="234" t="s">
        <v>443</v>
      </c>
      <c r="BF92" s="234" t="s">
        <v>37</v>
      </c>
      <c r="BG92" s="234" t="s">
        <v>445</v>
      </c>
      <c r="BH92" s="234"/>
      <c r="BI92" s="234" t="s">
        <v>492</v>
      </c>
      <c r="BJ92" s="234">
        <v>-9999</v>
      </c>
      <c r="BK92" s="234">
        <v>-9999</v>
      </c>
      <c r="BL92" s="234">
        <v>-9999</v>
      </c>
      <c r="BM92" s="234">
        <v>-9999</v>
      </c>
      <c r="BN92" s="234">
        <v>-9999</v>
      </c>
      <c r="BO92" s="234">
        <v>-9999</v>
      </c>
      <c r="BP92" s="234">
        <v>-9999</v>
      </c>
      <c r="BQ92" s="234">
        <v>-9999</v>
      </c>
      <c r="BR92" s="234">
        <v>-9999</v>
      </c>
      <c r="BS92" s="491">
        <v>-9999</v>
      </c>
      <c r="BT92" s="234">
        <v>-9999</v>
      </c>
      <c r="BU92" s="234">
        <v>-9999</v>
      </c>
      <c r="BV92" s="234">
        <v>-9999</v>
      </c>
      <c r="BW92" s="234"/>
      <c r="BX92" s="234">
        <v>-9999</v>
      </c>
      <c r="BY92" s="234">
        <v>-9999</v>
      </c>
      <c r="BZ92" s="496">
        <v>-9999</v>
      </c>
      <c r="CA92" s="496">
        <v>-9999</v>
      </c>
      <c r="CB92" s="499" t="s">
        <v>446</v>
      </c>
      <c r="CC92" s="57">
        <v>5</v>
      </c>
      <c r="CD92" s="57">
        <v>1</v>
      </c>
      <c r="CE92" s="401">
        <v>7.74</v>
      </c>
      <c r="CF92" s="292">
        <v>9.5</v>
      </c>
      <c r="CG92" s="57">
        <v>5</v>
      </c>
      <c r="CH92" s="479"/>
    </row>
    <row r="93" spans="1:86" s="23" customFormat="1" x14ac:dyDescent="0.2">
      <c r="A93" s="234"/>
      <c r="B93" s="234"/>
      <c r="C93" s="234"/>
      <c r="D93" s="234"/>
      <c r="E93" s="493"/>
      <c r="F93" s="234"/>
      <c r="G93" s="234"/>
      <c r="H93" s="234"/>
      <c r="I93" s="234"/>
      <c r="J93" s="234"/>
      <c r="K93" s="234"/>
      <c r="L93" s="234"/>
      <c r="M93" s="389"/>
      <c r="N93" s="389"/>
      <c r="O93" s="29"/>
      <c r="P93" s="237"/>
      <c r="Q93" s="234"/>
      <c r="R93" s="389"/>
      <c r="S93" s="234"/>
      <c r="T93" s="237"/>
      <c r="U93" s="234"/>
      <c r="V93" s="234"/>
      <c r="W93" s="389"/>
      <c r="X93" s="389"/>
      <c r="Y93" s="389"/>
      <c r="Z93" s="234"/>
      <c r="AA93" s="515"/>
      <c r="AB93" s="389"/>
      <c r="AC93" s="389"/>
      <c r="AD93" s="234"/>
      <c r="AE93" s="389"/>
      <c r="AF93" s="234"/>
      <c r="AG93" s="234"/>
      <c r="AH93" s="234"/>
      <c r="AI93" s="234"/>
      <c r="AJ93" s="234"/>
      <c r="AK93" s="234"/>
      <c r="AL93" s="234"/>
      <c r="AM93" s="234"/>
      <c r="AN93" s="234"/>
      <c r="AO93" s="234"/>
      <c r="AP93" s="234"/>
      <c r="AQ93" s="234"/>
      <c r="AR93" s="234"/>
      <c r="AS93" s="234"/>
      <c r="AT93" s="234"/>
      <c r="AU93" s="234"/>
      <c r="AV93" s="234"/>
      <c r="AW93" s="234"/>
      <c r="AX93" s="234"/>
      <c r="AY93" s="234"/>
      <c r="AZ93" s="234"/>
      <c r="BA93" s="234"/>
      <c r="BB93" s="234"/>
      <c r="BC93" s="234"/>
      <c r="BD93" s="234"/>
      <c r="BE93" s="234"/>
      <c r="BF93" s="234"/>
      <c r="BG93" s="234"/>
      <c r="BH93" s="234"/>
      <c r="BI93" s="234"/>
      <c r="BJ93" s="234"/>
      <c r="BK93" s="234"/>
      <c r="BL93" s="234"/>
      <c r="BM93" s="234"/>
      <c r="BN93" s="234"/>
      <c r="BO93" s="234"/>
      <c r="BP93" s="234"/>
      <c r="BQ93" s="234"/>
      <c r="BR93" s="234"/>
      <c r="BS93" s="491"/>
      <c r="BT93" s="234"/>
      <c r="BU93" s="234"/>
      <c r="BV93" s="234"/>
      <c r="BW93" s="234"/>
      <c r="BX93" s="234"/>
      <c r="BY93" s="234"/>
      <c r="BZ93" s="496"/>
      <c r="CA93" s="496"/>
      <c r="CB93" s="499"/>
      <c r="CC93" s="57"/>
      <c r="CD93" s="57"/>
      <c r="CE93" s="342" t="s">
        <v>1576</v>
      </c>
      <c r="CF93" s="342" t="s">
        <v>1575</v>
      </c>
      <c r="CG93" s="57"/>
    </row>
    <row r="94" spans="1:86" s="23" customFormat="1" x14ac:dyDescent="0.2">
      <c r="A94" s="234" t="s">
        <v>655</v>
      </c>
      <c r="B94" s="234" t="s">
        <v>618</v>
      </c>
      <c r="C94" s="234" t="s">
        <v>448</v>
      </c>
      <c r="D94" s="234" t="s">
        <v>633</v>
      </c>
      <c r="E94" s="493" t="s">
        <v>656</v>
      </c>
      <c r="F94" s="234">
        <v>1</v>
      </c>
      <c r="G94" s="234">
        <v>1</v>
      </c>
      <c r="H94" s="234">
        <v>1</v>
      </c>
      <c r="I94" s="234" t="s">
        <v>621</v>
      </c>
      <c r="J94" s="234">
        <v>1987</v>
      </c>
      <c r="K94" s="234" t="s">
        <v>1211</v>
      </c>
      <c r="L94" s="234">
        <v>1987</v>
      </c>
      <c r="M94" s="389">
        <v>1.5</v>
      </c>
      <c r="N94" s="389">
        <v>0.2</v>
      </c>
      <c r="O94" s="29"/>
      <c r="P94" s="237">
        <f>+M94</f>
        <v>1.5</v>
      </c>
      <c r="Q94" s="234">
        <v>-9999</v>
      </c>
      <c r="R94" s="389"/>
      <c r="S94" s="234"/>
      <c r="T94" s="237">
        <f>+P94/H94</f>
        <v>1.5</v>
      </c>
      <c r="U94" s="234">
        <v>-9999</v>
      </c>
      <c r="V94" s="234"/>
      <c r="W94" s="389">
        <v>1.5</v>
      </c>
      <c r="X94" s="389">
        <v>0.2</v>
      </c>
      <c r="Y94" s="389"/>
      <c r="Z94" s="234" t="s">
        <v>35</v>
      </c>
      <c r="AA94" s="515">
        <v>444444</v>
      </c>
      <c r="AB94" s="389">
        <v>1</v>
      </c>
      <c r="AC94" s="676">
        <v>6.4799999999999996E-2</v>
      </c>
      <c r="AD94" s="234">
        <v>36</v>
      </c>
      <c r="AE94" s="392" t="s">
        <v>1977</v>
      </c>
      <c r="AF94" s="234">
        <v>3</v>
      </c>
      <c r="AG94" s="234">
        <v>2</v>
      </c>
      <c r="AH94" s="234" t="s">
        <v>623</v>
      </c>
      <c r="AI94" s="234" t="s">
        <v>624</v>
      </c>
      <c r="AJ94" s="234" t="s">
        <v>624</v>
      </c>
      <c r="AK94" s="234" t="s">
        <v>626</v>
      </c>
      <c r="AL94" s="234" t="s">
        <v>653</v>
      </c>
      <c r="AM94" s="234">
        <v>-9999</v>
      </c>
      <c r="AN94" s="234" t="s">
        <v>626</v>
      </c>
      <c r="AO94" s="234" t="s">
        <v>627</v>
      </c>
      <c r="AP94" s="234" t="s">
        <v>658</v>
      </c>
      <c r="AQ94" s="234" t="s">
        <v>631</v>
      </c>
      <c r="AR94" s="234">
        <v>0</v>
      </c>
      <c r="AS94" s="234">
        <v>-9999</v>
      </c>
      <c r="AT94" s="234">
        <v>-9999</v>
      </c>
      <c r="AU94" s="234">
        <v>0</v>
      </c>
      <c r="AV94" s="234">
        <v>-9999</v>
      </c>
      <c r="AW94" s="234">
        <v>-9999</v>
      </c>
      <c r="AX94" s="234">
        <v>0</v>
      </c>
      <c r="AY94" s="234">
        <v>-9999</v>
      </c>
      <c r="AZ94" s="234">
        <v>-9999</v>
      </c>
      <c r="BA94" s="234">
        <v>-9999</v>
      </c>
      <c r="BB94" s="234" t="s">
        <v>626</v>
      </c>
      <c r="BC94" s="234" t="s">
        <v>673</v>
      </c>
      <c r="BD94" s="234" t="s">
        <v>444</v>
      </c>
      <c r="BE94" s="234" t="s">
        <v>443</v>
      </c>
      <c r="BF94" s="234" t="s">
        <v>37</v>
      </c>
      <c r="BG94" s="234" t="s">
        <v>445</v>
      </c>
      <c r="BH94" s="234"/>
      <c r="BI94" s="234" t="s">
        <v>492</v>
      </c>
      <c r="BJ94" s="234">
        <v>-9999</v>
      </c>
      <c r="BK94" s="234">
        <v>-9999</v>
      </c>
      <c r="BL94" s="234">
        <v>-9999</v>
      </c>
      <c r="BM94" s="234">
        <v>-9999</v>
      </c>
      <c r="BN94" s="234">
        <v>-9999</v>
      </c>
      <c r="BO94" s="234">
        <v>-9999</v>
      </c>
      <c r="BP94" s="234">
        <v>-9999</v>
      </c>
      <c r="BQ94" s="234">
        <v>-9999</v>
      </c>
      <c r="BR94" s="234">
        <v>-9999</v>
      </c>
      <c r="BS94" s="491">
        <v>-9999</v>
      </c>
      <c r="BT94" s="234">
        <v>-9999</v>
      </c>
      <c r="BU94" s="234">
        <v>-9999</v>
      </c>
      <c r="BV94" s="234">
        <v>-9999</v>
      </c>
      <c r="BW94" s="234"/>
      <c r="BX94" s="234">
        <v>-9999</v>
      </c>
      <c r="BY94" s="234">
        <v>-9999</v>
      </c>
      <c r="BZ94" s="496">
        <v>-9999</v>
      </c>
      <c r="CA94" s="496">
        <v>-9999</v>
      </c>
      <c r="CB94" s="499" t="s">
        <v>446</v>
      </c>
      <c r="CC94" s="57">
        <v>1</v>
      </c>
      <c r="CD94" s="57">
        <v>1</v>
      </c>
      <c r="CE94" s="292">
        <v>1.5</v>
      </c>
      <c r="CF94" s="292">
        <v>1.5</v>
      </c>
      <c r="CG94" s="57">
        <v>1</v>
      </c>
    </row>
    <row r="95" spans="1:86" s="23" customFormat="1" x14ac:dyDescent="0.2">
      <c r="A95" s="234" t="s">
        <v>655</v>
      </c>
      <c r="B95" s="234" t="s">
        <v>618</v>
      </c>
      <c r="C95" s="234" t="s">
        <v>448</v>
      </c>
      <c r="D95" s="234" t="s">
        <v>633</v>
      </c>
      <c r="E95" s="493" t="s">
        <v>656</v>
      </c>
      <c r="F95" s="234">
        <v>2</v>
      </c>
      <c r="G95" s="234">
        <v>1</v>
      </c>
      <c r="H95" s="234">
        <v>2</v>
      </c>
      <c r="I95" s="234" t="s">
        <v>621</v>
      </c>
      <c r="J95" s="234">
        <v>1987</v>
      </c>
      <c r="K95" s="234" t="s">
        <v>1211</v>
      </c>
      <c r="L95" s="234">
        <v>1988</v>
      </c>
      <c r="M95" s="389">
        <v>4.8</v>
      </c>
      <c r="N95" s="389">
        <v>0.2</v>
      </c>
      <c r="O95" s="29"/>
      <c r="P95" s="237">
        <f>+P94+M95</f>
        <v>6.3</v>
      </c>
      <c r="Q95" s="234">
        <v>-9999</v>
      </c>
      <c r="R95" s="389"/>
      <c r="S95" s="234"/>
      <c r="T95" s="237">
        <f>+P95/H95</f>
        <v>3.15</v>
      </c>
      <c r="U95" s="234">
        <v>-9999</v>
      </c>
      <c r="V95" s="234"/>
      <c r="W95" s="389">
        <v>4.8</v>
      </c>
      <c r="X95" s="389">
        <v>0.2</v>
      </c>
      <c r="Y95" s="389"/>
      <c r="Z95" s="234" t="s">
        <v>35</v>
      </c>
      <c r="AA95" s="515">
        <v>444444</v>
      </c>
      <c r="AB95" s="389">
        <v>0.92</v>
      </c>
      <c r="AC95" s="676">
        <v>6.4799999999999996E-2</v>
      </c>
      <c r="AD95" s="234">
        <v>36</v>
      </c>
      <c r="AE95" s="392" t="s">
        <v>1977</v>
      </c>
      <c r="AF95" s="234">
        <v>3</v>
      </c>
      <c r="AG95" s="234">
        <v>2</v>
      </c>
      <c r="AH95" s="234" t="s">
        <v>623</v>
      </c>
      <c r="AI95" s="234" t="s">
        <v>624</v>
      </c>
      <c r="AJ95" s="234" t="s">
        <v>624</v>
      </c>
      <c r="AK95" s="234" t="s">
        <v>626</v>
      </c>
      <c r="AL95" s="234" t="s">
        <v>653</v>
      </c>
      <c r="AM95" s="234">
        <v>-9999</v>
      </c>
      <c r="AN95" s="234" t="s">
        <v>626</v>
      </c>
      <c r="AO95" s="234" t="s">
        <v>627</v>
      </c>
      <c r="AP95" s="234" t="s">
        <v>658</v>
      </c>
      <c r="AQ95" s="234" t="s">
        <v>631</v>
      </c>
      <c r="AR95" s="234">
        <v>0</v>
      </c>
      <c r="AS95" s="234">
        <v>-9999</v>
      </c>
      <c r="AT95" s="234">
        <v>-9999</v>
      </c>
      <c r="AU95" s="234">
        <v>0</v>
      </c>
      <c r="AV95" s="234">
        <v>-9999</v>
      </c>
      <c r="AW95" s="234">
        <v>-9999</v>
      </c>
      <c r="AX95" s="234">
        <v>0</v>
      </c>
      <c r="AY95" s="234">
        <v>-9999</v>
      </c>
      <c r="AZ95" s="234">
        <v>-9999</v>
      </c>
      <c r="BA95" s="234">
        <v>-9999</v>
      </c>
      <c r="BB95" s="234" t="s">
        <v>626</v>
      </c>
      <c r="BC95" s="234" t="s">
        <v>673</v>
      </c>
      <c r="BD95" s="234" t="s">
        <v>444</v>
      </c>
      <c r="BE95" s="234" t="s">
        <v>443</v>
      </c>
      <c r="BF95" s="234" t="s">
        <v>37</v>
      </c>
      <c r="BG95" s="234" t="s">
        <v>445</v>
      </c>
      <c r="BH95" s="234"/>
      <c r="BI95" s="234" t="s">
        <v>492</v>
      </c>
      <c r="BJ95" s="234">
        <v>-9999</v>
      </c>
      <c r="BK95" s="234">
        <v>-9999</v>
      </c>
      <c r="BL95" s="234">
        <v>-9999</v>
      </c>
      <c r="BM95" s="234">
        <v>-9999</v>
      </c>
      <c r="BN95" s="234">
        <v>-9999</v>
      </c>
      <c r="BO95" s="234">
        <v>-9999</v>
      </c>
      <c r="BP95" s="234">
        <v>-9999</v>
      </c>
      <c r="BQ95" s="234">
        <v>-9999</v>
      </c>
      <c r="BR95" s="234">
        <v>-9999</v>
      </c>
      <c r="BS95" s="491">
        <v>-9999</v>
      </c>
      <c r="BT95" s="234">
        <v>-9999</v>
      </c>
      <c r="BU95" s="234">
        <v>-9999</v>
      </c>
      <c r="BV95" s="234">
        <v>-9999</v>
      </c>
      <c r="BW95" s="234"/>
      <c r="BX95" s="234">
        <v>-9999</v>
      </c>
      <c r="BY95" s="234">
        <v>-9999</v>
      </c>
      <c r="BZ95" s="496">
        <v>-9999</v>
      </c>
      <c r="CA95" s="496">
        <v>-9999</v>
      </c>
      <c r="CB95" s="499" t="s">
        <v>446</v>
      </c>
      <c r="CC95" s="57">
        <v>2</v>
      </c>
      <c r="CD95" s="57">
        <v>1</v>
      </c>
      <c r="CE95" s="292">
        <v>3.15</v>
      </c>
      <c r="CF95" s="292">
        <v>4.8</v>
      </c>
      <c r="CG95" s="57">
        <v>2</v>
      </c>
    </row>
    <row r="96" spans="1:86" s="23" customFormat="1" x14ac:dyDescent="0.2">
      <c r="A96" s="234" t="s">
        <v>655</v>
      </c>
      <c r="B96" s="234" t="s">
        <v>618</v>
      </c>
      <c r="C96" s="234" t="s">
        <v>448</v>
      </c>
      <c r="D96" s="234" t="s">
        <v>633</v>
      </c>
      <c r="E96" s="493" t="s">
        <v>656</v>
      </c>
      <c r="F96" s="234">
        <v>3</v>
      </c>
      <c r="G96" s="234">
        <v>1</v>
      </c>
      <c r="H96" s="234">
        <v>3</v>
      </c>
      <c r="I96" s="234" t="s">
        <v>621</v>
      </c>
      <c r="J96" s="234">
        <v>1987</v>
      </c>
      <c r="K96" s="234" t="s">
        <v>1211</v>
      </c>
      <c r="L96" s="234">
        <v>1989</v>
      </c>
      <c r="M96" s="389">
        <v>7.3</v>
      </c>
      <c r="N96" s="389">
        <v>0.3</v>
      </c>
      <c r="O96" s="29"/>
      <c r="P96" s="237">
        <f>+P95+M96</f>
        <v>13.6</v>
      </c>
      <c r="Q96" s="234">
        <v>-9999</v>
      </c>
      <c r="R96" s="389"/>
      <c r="S96" s="234"/>
      <c r="T96" s="237">
        <f>+P96/H96</f>
        <v>4.5333333333333332</v>
      </c>
      <c r="U96" s="234">
        <v>-9999</v>
      </c>
      <c r="V96" s="234"/>
      <c r="W96" s="389">
        <v>7.3</v>
      </c>
      <c r="X96" s="389">
        <v>0.3</v>
      </c>
      <c r="Y96" s="389"/>
      <c r="Z96" s="234" t="s">
        <v>35</v>
      </c>
      <c r="AA96" s="515">
        <v>444444</v>
      </c>
      <c r="AB96" s="495">
        <v>0.91</v>
      </c>
      <c r="AC96" s="676">
        <v>6.4799999999999996E-2</v>
      </c>
      <c r="AD96" s="234">
        <v>36</v>
      </c>
      <c r="AE96" s="392" t="s">
        <v>1977</v>
      </c>
      <c r="AF96" s="234">
        <v>3</v>
      </c>
      <c r="AG96" s="234">
        <v>2</v>
      </c>
      <c r="AH96" s="234" t="s">
        <v>623</v>
      </c>
      <c r="AI96" s="234" t="s">
        <v>624</v>
      </c>
      <c r="AJ96" s="234" t="s">
        <v>624</v>
      </c>
      <c r="AK96" s="234" t="s">
        <v>626</v>
      </c>
      <c r="AL96" s="234" t="s">
        <v>653</v>
      </c>
      <c r="AM96" s="234">
        <v>-9999</v>
      </c>
      <c r="AN96" s="234" t="s">
        <v>626</v>
      </c>
      <c r="AO96" s="234" t="s">
        <v>627</v>
      </c>
      <c r="AP96" s="234" t="s">
        <v>658</v>
      </c>
      <c r="AQ96" s="234" t="s">
        <v>631</v>
      </c>
      <c r="AR96" s="234">
        <v>0</v>
      </c>
      <c r="AS96" s="234">
        <v>-9999</v>
      </c>
      <c r="AT96" s="234">
        <v>-9999</v>
      </c>
      <c r="AU96" s="234">
        <v>0</v>
      </c>
      <c r="AV96" s="234">
        <v>-9999</v>
      </c>
      <c r="AW96" s="234">
        <v>-9999</v>
      </c>
      <c r="AX96" s="234">
        <v>0</v>
      </c>
      <c r="AY96" s="234">
        <v>-9999</v>
      </c>
      <c r="AZ96" s="234">
        <v>-9999</v>
      </c>
      <c r="BA96" s="234">
        <v>-9999</v>
      </c>
      <c r="BB96" s="234" t="s">
        <v>626</v>
      </c>
      <c r="BC96" s="234" t="s">
        <v>673</v>
      </c>
      <c r="BD96" s="234" t="s">
        <v>444</v>
      </c>
      <c r="BE96" s="234" t="s">
        <v>443</v>
      </c>
      <c r="BF96" s="234" t="s">
        <v>37</v>
      </c>
      <c r="BG96" s="234" t="s">
        <v>445</v>
      </c>
      <c r="BH96" s="234"/>
      <c r="BI96" s="234" t="s">
        <v>492</v>
      </c>
      <c r="BJ96" s="234">
        <v>-9999</v>
      </c>
      <c r="BK96" s="234">
        <v>-9999</v>
      </c>
      <c r="BL96" s="234">
        <v>-9999</v>
      </c>
      <c r="BM96" s="234">
        <v>-9999</v>
      </c>
      <c r="BN96" s="234">
        <v>-9999</v>
      </c>
      <c r="BO96" s="234">
        <v>-9999</v>
      </c>
      <c r="BP96" s="234">
        <v>-9999</v>
      </c>
      <c r="BQ96" s="234">
        <v>-9999</v>
      </c>
      <c r="BR96" s="234">
        <v>-9999</v>
      </c>
      <c r="BS96" s="491">
        <v>-9999</v>
      </c>
      <c r="BT96" s="234">
        <v>-9999</v>
      </c>
      <c r="BU96" s="234">
        <v>-9999</v>
      </c>
      <c r="BV96" s="234">
        <v>-9999</v>
      </c>
      <c r="BW96" s="234"/>
      <c r="BX96" s="234">
        <v>-9999</v>
      </c>
      <c r="BY96" s="234">
        <v>-9999</v>
      </c>
      <c r="BZ96" s="496">
        <v>-9999</v>
      </c>
      <c r="CA96" s="496">
        <v>-9999</v>
      </c>
      <c r="CB96" s="499" t="s">
        <v>446</v>
      </c>
      <c r="CC96" s="57">
        <v>3</v>
      </c>
      <c r="CD96" s="57">
        <v>1</v>
      </c>
      <c r="CE96" s="292">
        <v>4.5333333333333332</v>
      </c>
      <c r="CF96" s="292">
        <v>7.3</v>
      </c>
      <c r="CG96" s="57">
        <v>3</v>
      </c>
    </row>
    <row r="97" spans="1:85" s="23" customFormat="1" x14ac:dyDescent="0.2">
      <c r="A97" s="234" t="s">
        <v>655</v>
      </c>
      <c r="B97" s="234" t="s">
        <v>618</v>
      </c>
      <c r="C97" s="234" t="s">
        <v>448</v>
      </c>
      <c r="D97" s="234" t="s">
        <v>633</v>
      </c>
      <c r="E97" s="493" t="s">
        <v>656</v>
      </c>
      <c r="F97" s="234">
        <v>4</v>
      </c>
      <c r="G97" s="234">
        <v>1</v>
      </c>
      <c r="H97" s="234">
        <v>4</v>
      </c>
      <c r="I97" s="234" t="s">
        <v>621</v>
      </c>
      <c r="J97" s="234">
        <v>1987</v>
      </c>
      <c r="K97" s="234" t="s">
        <v>1211</v>
      </c>
      <c r="L97" s="234">
        <v>1990</v>
      </c>
      <c r="M97" s="389">
        <v>9.1999999999999993</v>
      </c>
      <c r="N97" s="389">
        <v>0.9</v>
      </c>
      <c r="O97" s="29"/>
      <c r="P97" s="237">
        <f>+P96+M97</f>
        <v>22.799999999999997</v>
      </c>
      <c r="Q97" s="234">
        <v>-9999</v>
      </c>
      <c r="R97" s="389"/>
      <c r="S97" s="234"/>
      <c r="T97" s="237">
        <f>+P97/H97</f>
        <v>5.6999999999999993</v>
      </c>
      <c r="U97" s="234">
        <v>-9999</v>
      </c>
      <c r="V97" s="234"/>
      <c r="W97" s="389">
        <v>9.1999999999999993</v>
      </c>
      <c r="X97" s="389">
        <v>0.9</v>
      </c>
      <c r="Y97" s="389"/>
      <c r="Z97" s="234" t="s">
        <v>35</v>
      </c>
      <c r="AA97" s="515">
        <v>444444</v>
      </c>
      <c r="AB97" s="389">
        <v>0.9</v>
      </c>
      <c r="AC97" s="676">
        <v>6.4799999999999996E-2</v>
      </c>
      <c r="AD97" s="234">
        <v>36</v>
      </c>
      <c r="AE97" s="392" t="s">
        <v>1977</v>
      </c>
      <c r="AF97" s="234">
        <v>3</v>
      </c>
      <c r="AG97" s="234">
        <v>2</v>
      </c>
      <c r="AH97" s="234" t="s">
        <v>623</v>
      </c>
      <c r="AI97" s="234" t="s">
        <v>624</v>
      </c>
      <c r="AJ97" s="234" t="s">
        <v>624</v>
      </c>
      <c r="AK97" s="234" t="s">
        <v>626</v>
      </c>
      <c r="AL97" s="234" t="s">
        <v>653</v>
      </c>
      <c r="AM97" s="234">
        <v>-9999</v>
      </c>
      <c r="AN97" s="234" t="s">
        <v>626</v>
      </c>
      <c r="AO97" s="234" t="s">
        <v>627</v>
      </c>
      <c r="AP97" s="234" t="s">
        <v>658</v>
      </c>
      <c r="AQ97" s="234" t="s">
        <v>631</v>
      </c>
      <c r="AR97" s="234">
        <v>0</v>
      </c>
      <c r="AS97" s="234">
        <v>-9999</v>
      </c>
      <c r="AT97" s="234">
        <v>-9999</v>
      </c>
      <c r="AU97" s="234">
        <v>0</v>
      </c>
      <c r="AV97" s="234">
        <v>-9999</v>
      </c>
      <c r="AW97" s="234">
        <v>-9999</v>
      </c>
      <c r="AX97" s="234">
        <v>0</v>
      </c>
      <c r="AY97" s="234">
        <v>-9999</v>
      </c>
      <c r="AZ97" s="234">
        <v>-9999</v>
      </c>
      <c r="BA97" s="234">
        <v>-9999</v>
      </c>
      <c r="BB97" s="234" t="s">
        <v>626</v>
      </c>
      <c r="BC97" s="234" t="s">
        <v>673</v>
      </c>
      <c r="BD97" s="234" t="s">
        <v>444</v>
      </c>
      <c r="BE97" s="234" t="s">
        <v>443</v>
      </c>
      <c r="BF97" s="234" t="s">
        <v>37</v>
      </c>
      <c r="BG97" s="234" t="s">
        <v>445</v>
      </c>
      <c r="BH97" s="234"/>
      <c r="BI97" s="234" t="s">
        <v>492</v>
      </c>
      <c r="BJ97" s="234">
        <v>-9999</v>
      </c>
      <c r="BK97" s="234">
        <v>-9999</v>
      </c>
      <c r="BL97" s="234">
        <v>-9999</v>
      </c>
      <c r="BM97" s="234">
        <v>-9999</v>
      </c>
      <c r="BN97" s="234">
        <v>-9999</v>
      </c>
      <c r="BO97" s="234">
        <v>-9999</v>
      </c>
      <c r="BP97" s="234">
        <v>-9999</v>
      </c>
      <c r="BQ97" s="234">
        <v>-9999</v>
      </c>
      <c r="BR97" s="234">
        <v>-9999</v>
      </c>
      <c r="BS97" s="491">
        <v>-9999</v>
      </c>
      <c r="BT97" s="234">
        <v>-9999</v>
      </c>
      <c r="BU97" s="234">
        <v>-9999</v>
      </c>
      <c r="BV97" s="234">
        <v>-9999</v>
      </c>
      <c r="BW97" s="234"/>
      <c r="BX97" s="234">
        <v>-9999</v>
      </c>
      <c r="BY97" s="234">
        <v>-9999</v>
      </c>
      <c r="BZ97" s="496">
        <v>-9999</v>
      </c>
      <c r="CA97" s="496">
        <v>-9999</v>
      </c>
      <c r="CB97" s="499" t="s">
        <v>446</v>
      </c>
      <c r="CC97" s="57">
        <v>4</v>
      </c>
      <c r="CD97" s="57">
        <v>1</v>
      </c>
      <c r="CE97" s="292">
        <v>5.6999999999999993</v>
      </c>
      <c r="CF97" s="292">
        <v>9.1999999999999993</v>
      </c>
      <c r="CG97" s="57">
        <v>4</v>
      </c>
    </row>
    <row r="98" spans="1:85" s="23" customFormat="1" x14ac:dyDescent="0.2">
      <c r="A98" s="234" t="s">
        <v>655</v>
      </c>
      <c r="B98" s="234" t="s">
        <v>618</v>
      </c>
      <c r="C98" s="234" t="s">
        <v>448</v>
      </c>
      <c r="D98" s="234" t="s">
        <v>633</v>
      </c>
      <c r="E98" s="493" t="s">
        <v>656</v>
      </c>
      <c r="F98" s="234">
        <v>5</v>
      </c>
      <c r="G98" s="234">
        <v>1</v>
      </c>
      <c r="H98" s="234">
        <v>5</v>
      </c>
      <c r="I98" s="234" t="s">
        <v>621</v>
      </c>
      <c r="J98" s="234">
        <v>1987</v>
      </c>
      <c r="K98" s="234" t="s">
        <v>1211</v>
      </c>
      <c r="L98" s="234">
        <v>1991</v>
      </c>
      <c r="M98" s="389">
        <v>11.4</v>
      </c>
      <c r="N98" s="389">
        <v>0.3</v>
      </c>
      <c r="O98" s="29"/>
      <c r="P98" s="237">
        <f>+P97+M98</f>
        <v>34.199999999999996</v>
      </c>
      <c r="Q98" s="234">
        <v>-9999</v>
      </c>
      <c r="R98" s="389"/>
      <c r="S98" s="234"/>
      <c r="T98" s="237">
        <f>+P98/H98</f>
        <v>6.839999999999999</v>
      </c>
      <c r="U98" s="234">
        <v>-9999</v>
      </c>
      <c r="V98" s="234"/>
      <c r="W98" s="389">
        <v>11.4</v>
      </c>
      <c r="X98" s="389">
        <v>0.3</v>
      </c>
      <c r="Y98" s="389"/>
      <c r="Z98" s="234" t="s">
        <v>35</v>
      </c>
      <c r="AA98" s="515">
        <v>444444</v>
      </c>
      <c r="AB98" s="389">
        <v>0.85</v>
      </c>
      <c r="AC98" s="676">
        <v>6.4799999999999996E-2</v>
      </c>
      <c r="AD98" s="234">
        <v>36</v>
      </c>
      <c r="AE98" s="392" t="s">
        <v>1977</v>
      </c>
      <c r="AF98" s="234">
        <v>3</v>
      </c>
      <c r="AG98" s="234">
        <v>2</v>
      </c>
      <c r="AH98" s="234" t="s">
        <v>623</v>
      </c>
      <c r="AI98" s="234" t="s">
        <v>624</v>
      </c>
      <c r="AJ98" s="234" t="s">
        <v>624</v>
      </c>
      <c r="AK98" s="234" t="s">
        <v>626</v>
      </c>
      <c r="AL98" s="234" t="s">
        <v>653</v>
      </c>
      <c r="AM98" s="234">
        <v>-9999</v>
      </c>
      <c r="AN98" s="234" t="s">
        <v>626</v>
      </c>
      <c r="AO98" s="234" t="s">
        <v>627</v>
      </c>
      <c r="AP98" s="234" t="s">
        <v>658</v>
      </c>
      <c r="AQ98" s="234" t="s">
        <v>631</v>
      </c>
      <c r="AR98" s="234">
        <v>0</v>
      </c>
      <c r="AS98" s="234">
        <v>-9999</v>
      </c>
      <c r="AT98" s="234">
        <v>-9999</v>
      </c>
      <c r="AU98" s="234">
        <v>0</v>
      </c>
      <c r="AV98" s="234">
        <v>-9999</v>
      </c>
      <c r="AW98" s="234">
        <v>-9999</v>
      </c>
      <c r="AX98" s="234">
        <v>0</v>
      </c>
      <c r="AY98" s="234">
        <v>-9999</v>
      </c>
      <c r="AZ98" s="234">
        <v>-9999</v>
      </c>
      <c r="BA98" s="234">
        <v>-9999</v>
      </c>
      <c r="BB98" s="234" t="s">
        <v>626</v>
      </c>
      <c r="BC98" s="234" t="s">
        <v>673</v>
      </c>
      <c r="BD98" s="234" t="s">
        <v>444</v>
      </c>
      <c r="BE98" s="234" t="s">
        <v>443</v>
      </c>
      <c r="BF98" s="234" t="s">
        <v>37</v>
      </c>
      <c r="BG98" s="234" t="s">
        <v>445</v>
      </c>
      <c r="BH98" s="234"/>
      <c r="BI98" s="234" t="s">
        <v>492</v>
      </c>
      <c r="BJ98" s="234">
        <v>-9999</v>
      </c>
      <c r="BK98" s="234">
        <v>-9999</v>
      </c>
      <c r="BL98" s="234">
        <v>-9999</v>
      </c>
      <c r="BM98" s="234">
        <v>-9999</v>
      </c>
      <c r="BN98" s="234">
        <v>-9999</v>
      </c>
      <c r="BO98" s="234">
        <v>-9999</v>
      </c>
      <c r="BP98" s="234">
        <v>-9999</v>
      </c>
      <c r="BQ98" s="234">
        <v>-9999</v>
      </c>
      <c r="BR98" s="234">
        <v>-9999</v>
      </c>
      <c r="BS98" s="491">
        <v>-9999</v>
      </c>
      <c r="BT98" s="234">
        <v>-9999</v>
      </c>
      <c r="BU98" s="234">
        <v>-9999</v>
      </c>
      <c r="BV98" s="234">
        <v>-9999</v>
      </c>
      <c r="BW98" s="234"/>
      <c r="BX98" s="234">
        <v>-9999</v>
      </c>
      <c r="BY98" s="234">
        <v>-9999</v>
      </c>
      <c r="BZ98" s="496">
        <v>-9999</v>
      </c>
      <c r="CA98" s="496">
        <v>-9999</v>
      </c>
      <c r="CB98" s="499" t="s">
        <v>446</v>
      </c>
      <c r="CC98" s="57">
        <v>5</v>
      </c>
      <c r="CD98" s="57">
        <v>1</v>
      </c>
      <c r="CE98" s="292">
        <v>6.839999999999999</v>
      </c>
      <c r="CF98" s="292">
        <v>11.4</v>
      </c>
      <c r="CG98" s="57">
        <v>5</v>
      </c>
    </row>
    <row r="99" spans="1:85" s="23" customFormat="1" x14ac:dyDescent="0.2">
      <c r="A99" s="234"/>
      <c r="B99" s="234"/>
      <c r="C99" s="234"/>
      <c r="D99" s="234"/>
      <c r="E99" s="493"/>
      <c r="F99" s="234"/>
      <c r="G99" s="234"/>
      <c r="H99" s="234"/>
      <c r="I99" s="234"/>
      <c r="J99" s="234"/>
      <c r="K99" s="234"/>
      <c r="L99" s="234"/>
      <c r="M99" s="389"/>
      <c r="N99" s="389"/>
      <c r="O99" s="29"/>
      <c r="P99" s="237"/>
      <c r="Q99" s="234"/>
      <c r="R99" s="389"/>
      <c r="S99" s="234"/>
      <c r="T99" s="237"/>
      <c r="U99" s="234"/>
      <c r="V99" s="234"/>
      <c r="W99" s="389"/>
      <c r="X99" s="389"/>
      <c r="Y99" s="389"/>
      <c r="Z99" s="234"/>
      <c r="AA99" s="515"/>
      <c r="AB99" s="389"/>
      <c r="AC99" s="389"/>
      <c r="AD99" s="234"/>
      <c r="AE99" s="389"/>
      <c r="AF99" s="234"/>
      <c r="AG99" s="234"/>
      <c r="AH99" s="234"/>
      <c r="AI99" s="234"/>
      <c r="AJ99" s="234"/>
      <c r="AK99" s="234"/>
      <c r="AL99" s="234"/>
      <c r="AM99" s="234"/>
      <c r="AN99" s="234"/>
      <c r="AO99" s="234"/>
      <c r="AP99" s="234"/>
      <c r="AQ99" s="234"/>
      <c r="AR99" s="234"/>
      <c r="AS99" s="234"/>
      <c r="AT99" s="234"/>
      <c r="AU99" s="234"/>
      <c r="AV99" s="234"/>
      <c r="AW99" s="234"/>
      <c r="AX99" s="234"/>
      <c r="AY99" s="234"/>
      <c r="AZ99" s="234"/>
      <c r="BA99" s="234"/>
      <c r="BB99" s="234"/>
      <c r="BC99" s="234"/>
      <c r="BD99" s="234"/>
      <c r="BE99" s="234"/>
      <c r="BF99" s="234"/>
      <c r="BG99" s="234"/>
      <c r="BH99" s="234"/>
      <c r="BI99" s="234"/>
      <c r="BJ99" s="234"/>
      <c r="BK99" s="234"/>
      <c r="BL99" s="234"/>
      <c r="BM99" s="234"/>
      <c r="BN99" s="234"/>
      <c r="BO99" s="234"/>
      <c r="BP99" s="234"/>
      <c r="BQ99" s="234"/>
      <c r="BR99" s="234"/>
      <c r="BS99" s="491"/>
      <c r="BT99" s="234"/>
      <c r="BU99" s="234"/>
      <c r="BV99" s="234"/>
      <c r="BW99" s="234"/>
      <c r="BX99" s="234"/>
      <c r="BY99" s="234"/>
      <c r="BZ99" s="496"/>
      <c r="CA99" s="496"/>
      <c r="CB99" s="499"/>
      <c r="CC99" s="57"/>
      <c r="CD99" s="57"/>
      <c r="CE99" s="342" t="s">
        <v>1576</v>
      </c>
      <c r="CF99" s="342" t="s">
        <v>1575</v>
      </c>
      <c r="CG99" s="57"/>
    </row>
    <row r="100" spans="1:85" s="23" customFormat="1" x14ac:dyDescent="0.2">
      <c r="A100" s="234" t="s">
        <v>655</v>
      </c>
      <c r="B100" s="234" t="s">
        <v>618</v>
      </c>
      <c r="C100" s="234" t="s">
        <v>449</v>
      </c>
      <c r="D100" s="234" t="s">
        <v>633</v>
      </c>
      <c r="E100" s="493" t="s">
        <v>656</v>
      </c>
      <c r="F100" s="234">
        <v>1</v>
      </c>
      <c r="G100" s="234">
        <v>1</v>
      </c>
      <c r="H100" s="234">
        <v>1</v>
      </c>
      <c r="I100" s="234" t="s">
        <v>621</v>
      </c>
      <c r="J100" s="234">
        <v>1987</v>
      </c>
      <c r="K100" s="234" t="s">
        <v>1211</v>
      </c>
      <c r="L100" s="234">
        <v>1987</v>
      </c>
      <c r="M100" s="389">
        <v>1.2</v>
      </c>
      <c r="N100" s="389">
        <v>0.1</v>
      </c>
      <c r="O100" s="29"/>
      <c r="P100" s="237">
        <f>+M100</f>
        <v>1.2</v>
      </c>
      <c r="Q100" s="234">
        <v>-9999</v>
      </c>
      <c r="R100" s="389"/>
      <c r="S100" s="234"/>
      <c r="T100" s="237">
        <f>+P100/F100</f>
        <v>1.2</v>
      </c>
      <c r="U100" s="234">
        <v>-9999</v>
      </c>
      <c r="V100" s="234"/>
      <c r="W100" s="389">
        <v>1.2</v>
      </c>
      <c r="X100" s="389">
        <v>0.1</v>
      </c>
      <c r="Y100" s="389"/>
      <c r="Z100" s="234" t="s">
        <v>657</v>
      </c>
      <c r="AA100" s="515">
        <v>111111</v>
      </c>
      <c r="AB100" s="389">
        <v>1</v>
      </c>
      <c r="AC100" s="676">
        <v>6.4799999999999996E-2</v>
      </c>
      <c r="AD100" s="234">
        <v>36</v>
      </c>
      <c r="AE100" s="390" t="s">
        <v>1974</v>
      </c>
      <c r="AF100" s="234">
        <v>3</v>
      </c>
      <c r="AG100" s="234">
        <v>2</v>
      </c>
      <c r="AH100" s="234" t="s">
        <v>623</v>
      </c>
      <c r="AI100" s="234" t="s">
        <v>624</v>
      </c>
      <c r="AJ100" s="234" t="s">
        <v>624</v>
      </c>
      <c r="AK100" s="234" t="s">
        <v>626</v>
      </c>
      <c r="AL100" s="234" t="s">
        <v>653</v>
      </c>
      <c r="AM100" s="234">
        <v>-9999</v>
      </c>
      <c r="AN100" s="234" t="s">
        <v>626</v>
      </c>
      <c r="AO100" s="234" t="s">
        <v>627</v>
      </c>
      <c r="AP100" s="234" t="s">
        <v>658</v>
      </c>
      <c r="AQ100" s="234" t="s">
        <v>626</v>
      </c>
      <c r="AR100" s="234">
        <v>336</v>
      </c>
      <c r="AS100" s="234" t="s">
        <v>593</v>
      </c>
      <c r="AT100" s="234" t="s">
        <v>594</v>
      </c>
      <c r="AU100" s="234">
        <v>112</v>
      </c>
      <c r="AV100" s="234" t="s">
        <v>218</v>
      </c>
      <c r="AW100" s="234" t="s">
        <v>1412</v>
      </c>
      <c r="AX100" s="234">
        <v>224</v>
      </c>
      <c r="AY100" s="234" t="s">
        <v>219</v>
      </c>
      <c r="AZ100" s="234" t="s">
        <v>1412</v>
      </c>
      <c r="BA100" s="234" t="s">
        <v>223</v>
      </c>
      <c r="BB100" s="234" t="s">
        <v>626</v>
      </c>
      <c r="BC100" s="234" t="s">
        <v>1011</v>
      </c>
      <c r="BD100" s="234" t="s">
        <v>444</v>
      </c>
      <c r="BE100" s="234" t="s">
        <v>443</v>
      </c>
      <c r="BF100" s="234" t="s">
        <v>37</v>
      </c>
      <c r="BG100" s="234" t="s">
        <v>445</v>
      </c>
      <c r="BH100" s="234"/>
      <c r="BI100" s="234" t="s">
        <v>492</v>
      </c>
      <c r="BJ100" s="234">
        <v>-9999</v>
      </c>
      <c r="BK100" s="234">
        <v>-9999</v>
      </c>
      <c r="BL100" s="234">
        <v>-9999</v>
      </c>
      <c r="BM100" s="234">
        <v>-9999</v>
      </c>
      <c r="BN100" s="234">
        <v>-9999</v>
      </c>
      <c r="BO100" s="234">
        <v>-9999</v>
      </c>
      <c r="BP100" s="234">
        <v>-9999</v>
      </c>
      <c r="BQ100" s="234">
        <v>-9999</v>
      </c>
      <c r="BR100" s="234">
        <v>-9999</v>
      </c>
      <c r="BS100" s="491">
        <v>-9999</v>
      </c>
      <c r="BT100" s="234">
        <v>-9999</v>
      </c>
      <c r="BU100" s="234">
        <v>-9999</v>
      </c>
      <c r="BV100" s="234">
        <v>-9999</v>
      </c>
      <c r="BW100" s="234"/>
      <c r="BX100" s="234">
        <v>-9999</v>
      </c>
      <c r="BY100" s="234">
        <v>-9999</v>
      </c>
      <c r="BZ100" s="496">
        <v>-9999</v>
      </c>
      <c r="CA100" s="496">
        <v>-9999</v>
      </c>
      <c r="CB100" s="499" t="s">
        <v>446</v>
      </c>
      <c r="CC100" s="57">
        <v>1</v>
      </c>
      <c r="CD100" s="57">
        <v>1</v>
      </c>
      <c r="CE100" s="292">
        <v>1.2</v>
      </c>
      <c r="CF100" s="292">
        <v>1.2</v>
      </c>
      <c r="CG100" s="57">
        <v>1</v>
      </c>
    </row>
    <row r="101" spans="1:85" s="23" customFormat="1" x14ac:dyDescent="0.2">
      <c r="A101" s="234" t="s">
        <v>655</v>
      </c>
      <c r="B101" s="234" t="s">
        <v>618</v>
      </c>
      <c r="C101" s="234" t="s">
        <v>449</v>
      </c>
      <c r="D101" s="234" t="s">
        <v>633</v>
      </c>
      <c r="E101" s="493" t="s">
        <v>656</v>
      </c>
      <c r="F101" s="234">
        <v>2</v>
      </c>
      <c r="G101" s="234">
        <v>1</v>
      </c>
      <c r="H101" s="234">
        <v>2</v>
      </c>
      <c r="I101" s="234" t="s">
        <v>621</v>
      </c>
      <c r="J101" s="234">
        <v>1987</v>
      </c>
      <c r="K101" s="234" t="s">
        <v>1211</v>
      </c>
      <c r="L101" s="234">
        <v>1988</v>
      </c>
      <c r="M101" s="389">
        <v>5.5</v>
      </c>
      <c r="N101" s="389">
        <v>0.9</v>
      </c>
      <c r="O101" s="29"/>
      <c r="P101" s="237">
        <f>+P100+M101</f>
        <v>6.7</v>
      </c>
      <c r="Q101" s="234">
        <v>-9999</v>
      </c>
      <c r="R101" s="389"/>
      <c r="S101" s="234"/>
      <c r="T101" s="237">
        <f>+P101/F101</f>
        <v>3.35</v>
      </c>
      <c r="U101" s="234">
        <v>-9999</v>
      </c>
      <c r="V101" s="234"/>
      <c r="W101" s="389">
        <v>5.5</v>
      </c>
      <c r="X101" s="389">
        <v>0.9</v>
      </c>
      <c r="Y101" s="389"/>
      <c r="Z101" s="234" t="s">
        <v>657</v>
      </c>
      <c r="AA101" s="515">
        <v>111111</v>
      </c>
      <c r="AB101" s="389">
        <v>0.93</v>
      </c>
      <c r="AC101" s="676">
        <v>6.4799999999999996E-2</v>
      </c>
      <c r="AD101" s="234">
        <v>36</v>
      </c>
      <c r="AE101" s="390" t="s">
        <v>1974</v>
      </c>
      <c r="AF101" s="234">
        <v>3</v>
      </c>
      <c r="AG101" s="234">
        <v>2</v>
      </c>
      <c r="AH101" s="234" t="s">
        <v>623</v>
      </c>
      <c r="AI101" s="234" t="s">
        <v>624</v>
      </c>
      <c r="AJ101" s="234" t="s">
        <v>624</v>
      </c>
      <c r="AK101" s="234" t="s">
        <v>626</v>
      </c>
      <c r="AL101" s="234" t="s">
        <v>653</v>
      </c>
      <c r="AM101" s="234">
        <v>-9999</v>
      </c>
      <c r="AN101" s="234" t="s">
        <v>626</v>
      </c>
      <c r="AO101" s="234" t="s">
        <v>627</v>
      </c>
      <c r="AP101" s="234" t="s">
        <v>658</v>
      </c>
      <c r="AQ101" s="234" t="s">
        <v>626</v>
      </c>
      <c r="AR101" s="234">
        <v>336</v>
      </c>
      <c r="AS101" s="234" t="s">
        <v>593</v>
      </c>
      <c r="AT101" s="234" t="s">
        <v>594</v>
      </c>
      <c r="AU101" s="234">
        <v>112</v>
      </c>
      <c r="AV101" s="234" t="s">
        <v>218</v>
      </c>
      <c r="AW101" s="234" t="s">
        <v>1412</v>
      </c>
      <c r="AX101" s="234">
        <v>224</v>
      </c>
      <c r="AY101" s="234" t="s">
        <v>219</v>
      </c>
      <c r="AZ101" s="234" t="s">
        <v>1412</v>
      </c>
      <c r="BA101" s="234" t="s">
        <v>223</v>
      </c>
      <c r="BB101" s="234" t="s">
        <v>626</v>
      </c>
      <c r="BC101" s="234" t="s">
        <v>673</v>
      </c>
      <c r="BD101" s="234" t="s">
        <v>444</v>
      </c>
      <c r="BE101" s="234" t="s">
        <v>443</v>
      </c>
      <c r="BF101" s="234" t="s">
        <v>37</v>
      </c>
      <c r="BG101" s="234" t="s">
        <v>445</v>
      </c>
      <c r="BH101" s="234"/>
      <c r="BI101" s="234" t="s">
        <v>492</v>
      </c>
      <c r="BJ101" s="234">
        <v>-9999</v>
      </c>
      <c r="BK101" s="234">
        <v>-9999</v>
      </c>
      <c r="BL101" s="234">
        <v>-9999</v>
      </c>
      <c r="BM101" s="234">
        <v>-9999</v>
      </c>
      <c r="BN101" s="234">
        <v>-9999</v>
      </c>
      <c r="BO101" s="234">
        <v>-9999</v>
      </c>
      <c r="BP101" s="234">
        <v>-9999</v>
      </c>
      <c r="BQ101" s="234">
        <v>-9999</v>
      </c>
      <c r="BR101" s="234">
        <v>-9999</v>
      </c>
      <c r="BS101" s="491">
        <v>-9999</v>
      </c>
      <c r="BT101" s="234">
        <v>-9999</v>
      </c>
      <c r="BU101" s="234">
        <v>-9999</v>
      </c>
      <c r="BV101" s="234">
        <v>-9999</v>
      </c>
      <c r="BW101" s="234"/>
      <c r="BX101" s="234">
        <v>-9999</v>
      </c>
      <c r="BY101" s="234">
        <v>-9999</v>
      </c>
      <c r="BZ101" s="496">
        <v>-9999</v>
      </c>
      <c r="CA101" s="496">
        <v>-9999</v>
      </c>
      <c r="CB101" s="499" t="s">
        <v>446</v>
      </c>
      <c r="CC101" s="57">
        <v>2</v>
      </c>
      <c r="CD101" s="57">
        <v>1</v>
      </c>
      <c r="CE101" s="292">
        <v>3.35</v>
      </c>
      <c r="CF101" s="292">
        <v>5.5</v>
      </c>
      <c r="CG101" s="57">
        <v>2</v>
      </c>
    </row>
    <row r="102" spans="1:85" s="23" customFormat="1" x14ac:dyDescent="0.2">
      <c r="A102" s="234" t="s">
        <v>655</v>
      </c>
      <c r="B102" s="234" t="s">
        <v>618</v>
      </c>
      <c r="C102" s="234" t="s">
        <v>449</v>
      </c>
      <c r="D102" s="234" t="s">
        <v>633</v>
      </c>
      <c r="E102" s="493" t="s">
        <v>656</v>
      </c>
      <c r="F102" s="234">
        <v>3</v>
      </c>
      <c r="G102" s="234">
        <v>1</v>
      </c>
      <c r="H102" s="234">
        <v>3</v>
      </c>
      <c r="I102" s="234" t="s">
        <v>621</v>
      </c>
      <c r="J102" s="234">
        <v>1987</v>
      </c>
      <c r="K102" s="234" t="s">
        <v>1211</v>
      </c>
      <c r="L102" s="234">
        <v>1989</v>
      </c>
      <c r="M102" s="389">
        <v>12.2</v>
      </c>
      <c r="N102" s="389">
        <v>0.8</v>
      </c>
      <c r="O102" s="29"/>
      <c r="P102" s="237">
        <f>+P101+M102</f>
        <v>18.899999999999999</v>
      </c>
      <c r="Q102" s="234">
        <v>-9999</v>
      </c>
      <c r="R102" s="389"/>
      <c r="S102" s="234"/>
      <c r="T102" s="237">
        <f>+P102/F102</f>
        <v>6.3</v>
      </c>
      <c r="U102" s="234">
        <v>-9999</v>
      </c>
      <c r="V102" s="234"/>
      <c r="W102" s="389">
        <v>12.2</v>
      </c>
      <c r="X102" s="389">
        <v>0.8</v>
      </c>
      <c r="Y102" s="389"/>
      <c r="Z102" s="234" t="s">
        <v>657</v>
      </c>
      <c r="AA102" s="515">
        <v>111111</v>
      </c>
      <c r="AB102" s="495">
        <v>0.9</v>
      </c>
      <c r="AC102" s="676">
        <v>6.4799999999999996E-2</v>
      </c>
      <c r="AD102" s="234">
        <v>36</v>
      </c>
      <c r="AE102" s="390" t="s">
        <v>1974</v>
      </c>
      <c r="AF102" s="234">
        <v>3</v>
      </c>
      <c r="AG102" s="234">
        <v>2</v>
      </c>
      <c r="AH102" s="234" t="s">
        <v>623</v>
      </c>
      <c r="AI102" s="234" t="s">
        <v>624</v>
      </c>
      <c r="AJ102" s="234" t="s">
        <v>624</v>
      </c>
      <c r="AK102" s="234" t="s">
        <v>626</v>
      </c>
      <c r="AL102" s="234" t="s">
        <v>653</v>
      </c>
      <c r="AM102" s="234">
        <v>-9999</v>
      </c>
      <c r="AN102" s="234" t="s">
        <v>626</v>
      </c>
      <c r="AO102" s="234" t="s">
        <v>627</v>
      </c>
      <c r="AP102" s="234" t="s">
        <v>658</v>
      </c>
      <c r="AQ102" s="234" t="s">
        <v>626</v>
      </c>
      <c r="AR102" s="234">
        <v>336</v>
      </c>
      <c r="AS102" s="234" t="s">
        <v>593</v>
      </c>
      <c r="AT102" s="234" t="s">
        <v>594</v>
      </c>
      <c r="AU102" s="234">
        <v>112</v>
      </c>
      <c r="AV102" s="234" t="s">
        <v>218</v>
      </c>
      <c r="AW102" s="234" t="s">
        <v>1412</v>
      </c>
      <c r="AX102" s="234">
        <v>224</v>
      </c>
      <c r="AY102" s="234" t="s">
        <v>219</v>
      </c>
      <c r="AZ102" s="234" t="s">
        <v>1412</v>
      </c>
      <c r="BA102" s="234" t="s">
        <v>223</v>
      </c>
      <c r="BB102" s="234" t="s">
        <v>626</v>
      </c>
      <c r="BC102" s="234" t="s">
        <v>673</v>
      </c>
      <c r="BD102" s="234" t="s">
        <v>444</v>
      </c>
      <c r="BE102" s="234" t="s">
        <v>443</v>
      </c>
      <c r="BF102" s="234" t="s">
        <v>37</v>
      </c>
      <c r="BG102" s="234" t="s">
        <v>445</v>
      </c>
      <c r="BH102" s="234"/>
      <c r="BI102" s="234" t="s">
        <v>492</v>
      </c>
      <c r="BJ102" s="234">
        <v>-9999</v>
      </c>
      <c r="BK102" s="234">
        <v>-9999</v>
      </c>
      <c r="BL102" s="234">
        <v>-9999</v>
      </c>
      <c r="BM102" s="234">
        <v>-9999</v>
      </c>
      <c r="BN102" s="234">
        <v>-9999</v>
      </c>
      <c r="BO102" s="234">
        <v>-9999</v>
      </c>
      <c r="BP102" s="234">
        <v>-9999</v>
      </c>
      <c r="BQ102" s="234">
        <v>-9999</v>
      </c>
      <c r="BR102" s="234">
        <v>-9999</v>
      </c>
      <c r="BS102" s="491">
        <v>-9999</v>
      </c>
      <c r="BT102" s="234">
        <v>-9999</v>
      </c>
      <c r="BU102" s="234">
        <v>-9999</v>
      </c>
      <c r="BV102" s="234">
        <v>-9999</v>
      </c>
      <c r="BW102" s="234"/>
      <c r="BX102" s="234">
        <v>-9999</v>
      </c>
      <c r="BY102" s="234">
        <v>-9999</v>
      </c>
      <c r="BZ102" s="496">
        <v>-9999</v>
      </c>
      <c r="CA102" s="496">
        <v>-9999</v>
      </c>
      <c r="CB102" s="499" t="s">
        <v>446</v>
      </c>
      <c r="CC102" s="57">
        <v>3</v>
      </c>
      <c r="CD102" s="57">
        <v>1</v>
      </c>
      <c r="CE102" s="292">
        <v>6.3</v>
      </c>
      <c r="CF102" s="292">
        <v>12.2</v>
      </c>
      <c r="CG102" s="57">
        <v>3</v>
      </c>
    </row>
    <row r="103" spans="1:85" s="23" customFormat="1" x14ac:dyDescent="0.2">
      <c r="A103" s="234" t="s">
        <v>655</v>
      </c>
      <c r="B103" s="234" t="s">
        <v>618</v>
      </c>
      <c r="C103" s="234" t="s">
        <v>449</v>
      </c>
      <c r="D103" s="234" t="s">
        <v>633</v>
      </c>
      <c r="E103" s="493" t="s">
        <v>656</v>
      </c>
      <c r="F103" s="234">
        <v>4</v>
      </c>
      <c r="G103" s="234">
        <v>1</v>
      </c>
      <c r="H103" s="234">
        <v>4</v>
      </c>
      <c r="I103" s="234" t="s">
        <v>621</v>
      </c>
      <c r="J103" s="234">
        <v>1987</v>
      </c>
      <c r="K103" s="234" t="s">
        <v>1211</v>
      </c>
      <c r="L103" s="234">
        <v>1990</v>
      </c>
      <c r="M103" s="389">
        <v>11.6</v>
      </c>
      <c r="N103" s="389">
        <v>0.4</v>
      </c>
      <c r="O103" s="29"/>
      <c r="P103" s="237">
        <f>+P102+M103</f>
        <v>30.5</v>
      </c>
      <c r="Q103" s="234">
        <v>-9999</v>
      </c>
      <c r="R103" s="389"/>
      <c r="S103" s="234"/>
      <c r="T103" s="237">
        <f>+P103/F103</f>
        <v>7.625</v>
      </c>
      <c r="U103" s="234">
        <v>-9999</v>
      </c>
      <c r="V103" s="234"/>
      <c r="W103" s="389">
        <v>11.6</v>
      </c>
      <c r="X103" s="389">
        <v>0.4</v>
      </c>
      <c r="Y103" s="389"/>
      <c r="Z103" s="234" t="s">
        <v>657</v>
      </c>
      <c r="AA103" s="515">
        <v>111111</v>
      </c>
      <c r="AB103" s="389">
        <v>0.88</v>
      </c>
      <c r="AC103" s="676">
        <v>6.4799999999999996E-2</v>
      </c>
      <c r="AD103" s="234">
        <v>36</v>
      </c>
      <c r="AE103" s="390" t="s">
        <v>1974</v>
      </c>
      <c r="AF103" s="234">
        <v>3</v>
      </c>
      <c r="AG103" s="234">
        <v>2</v>
      </c>
      <c r="AH103" s="234" t="s">
        <v>623</v>
      </c>
      <c r="AI103" s="234" t="s">
        <v>624</v>
      </c>
      <c r="AJ103" s="234" t="s">
        <v>624</v>
      </c>
      <c r="AK103" s="234" t="s">
        <v>626</v>
      </c>
      <c r="AL103" s="234" t="s">
        <v>653</v>
      </c>
      <c r="AM103" s="234">
        <v>-9999</v>
      </c>
      <c r="AN103" s="234" t="s">
        <v>626</v>
      </c>
      <c r="AO103" s="234" t="s">
        <v>627</v>
      </c>
      <c r="AP103" s="234" t="s">
        <v>658</v>
      </c>
      <c r="AQ103" s="234" t="s">
        <v>626</v>
      </c>
      <c r="AR103" s="234">
        <v>336</v>
      </c>
      <c r="AS103" s="234" t="s">
        <v>1413</v>
      </c>
      <c r="AT103" s="234" t="s">
        <v>594</v>
      </c>
      <c r="AU103" s="234">
        <v>112</v>
      </c>
      <c r="AV103" s="234" t="s">
        <v>218</v>
      </c>
      <c r="AW103" s="234" t="s">
        <v>1412</v>
      </c>
      <c r="AX103" s="234">
        <v>224</v>
      </c>
      <c r="AY103" s="234" t="s">
        <v>219</v>
      </c>
      <c r="AZ103" s="234" t="s">
        <v>1412</v>
      </c>
      <c r="BA103" s="234" t="s">
        <v>223</v>
      </c>
      <c r="BB103" s="234" t="s">
        <v>626</v>
      </c>
      <c r="BC103" s="234" t="s">
        <v>673</v>
      </c>
      <c r="BD103" s="234" t="s">
        <v>444</v>
      </c>
      <c r="BE103" s="234" t="s">
        <v>443</v>
      </c>
      <c r="BF103" s="234" t="s">
        <v>37</v>
      </c>
      <c r="BG103" s="234" t="s">
        <v>445</v>
      </c>
      <c r="BH103" s="234"/>
      <c r="BI103" s="234" t="s">
        <v>492</v>
      </c>
      <c r="BJ103" s="234">
        <v>-9999</v>
      </c>
      <c r="BK103" s="234">
        <v>-9999</v>
      </c>
      <c r="BL103" s="234">
        <v>-9999</v>
      </c>
      <c r="BM103" s="234">
        <v>-9999</v>
      </c>
      <c r="BN103" s="234">
        <v>-9999</v>
      </c>
      <c r="BO103" s="234">
        <v>-9999</v>
      </c>
      <c r="BP103" s="234">
        <v>-9999</v>
      </c>
      <c r="BQ103" s="234">
        <v>-9999</v>
      </c>
      <c r="BR103" s="234">
        <v>-9999</v>
      </c>
      <c r="BS103" s="491">
        <v>-9999</v>
      </c>
      <c r="BT103" s="234">
        <v>-9999</v>
      </c>
      <c r="BU103" s="234">
        <v>-9999</v>
      </c>
      <c r="BV103" s="234">
        <v>-9999</v>
      </c>
      <c r="BW103" s="234"/>
      <c r="BX103" s="234">
        <v>-9999</v>
      </c>
      <c r="BY103" s="234">
        <v>-9999</v>
      </c>
      <c r="BZ103" s="496">
        <v>-9999</v>
      </c>
      <c r="CA103" s="496">
        <v>-9999</v>
      </c>
      <c r="CB103" s="499" t="s">
        <v>446</v>
      </c>
      <c r="CC103" s="57">
        <v>4</v>
      </c>
      <c r="CD103" s="57">
        <v>1</v>
      </c>
      <c r="CE103" s="292">
        <v>7.625</v>
      </c>
      <c r="CF103" s="292">
        <v>11.6</v>
      </c>
      <c r="CG103" s="57">
        <v>4</v>
      </c>
    </row>
    <row r="104" spans="1:85" s="23" customFormat="1" x14ac:dyDescent="0.2">
      <c r="A104" s="234" t="s">
        <v>655</v>
      </c>
      <c r="B104" s="234" t="s">
        <v>618</v>
      </c>
      <c r="C104" s="234" t="s">
        <v>449</v>
      </c>
      <c r="D104" s="234" t="s">
        <v>633</v>
      </c>
      <c r="E104" s="493" t="s">
        <v>656</v>
      </c>
      <c r="F104" s="234">
        <v>5</v>
      </c>
      <c r="G104" s="234">
        <v>1</v>
      </c>
      <c r="H104" s="234">
        <v>5</v>
      </c>
      <c r="I104" s="234" t="s">
        <v>621</v>
      </c>
      <c r="J104" s="234">
        <v>1987</v>
      </c>
      <c r="K104" s="234" t="s">
        <v>1211</v>
      </c>
      <c r="L104" s="234">
        <v>1991</v>
      </c>
      <c r="M104" s="389">
        <v>12.7</v>
      </c>
      <c r="N104" s="389">
        <v>0.3</v>
      </c>
      <c r="O104" s="29"/>
      <c r="P104" s="237">
        <f>+P103+M104</f>
        <v>43.2</v>
      </c>
      <c r="Q104" s="234">
        <v>-9999</v>
      </c>
      <c r="R104" s="389"/>
      <c r="S104" s="234"/>
      <c r="T104" s="237">
        <f>+P104/F104</f>
        <v>8.64</v>
      </c>
      <c r="U104" s="234">
        <v>-9999</v>
      </c>
      <c r="V104" s="234"/>
      <c r="W104" s="389">
        <v>12.7</v>
      </c>
      <c r="X104" s="389">
        <v>0.3</v>
      </c>
      <c r="Y104" s="389"/>
      <c r="Z104" s="234" t="s">
        <v>657</v>
      </c>
      <c r="AA104" s="515">
        <v>111111</v>
      </c>
      <c r="AB104" s="389">
        <v>0.87</v>
      </c>
      <c r="AC104" s="676">
        <v>6.4799999999999996E-2</v>
      </c>
      <c r="AD104" s="234">
        <v>36</v>
      </c>
      <c r="AE104" s="390" t="s">
        <v>1974</v>
      </c>
      <c r="AF104" s="234">
        <v>3</v>
      </c>
      <c r="AG104" s="234">
        <v>2</v>
      </c>
      <c r="AH104" s="234" t="s">
        <v>623</v>
      </c>
      <c r="AI104" s="234" t="s">
        <v>624</v>
      </c>
      <c r="AJ104" s="234" t="s">
        <v>624</v>
      </c>
      <c r="AK104" s="234" t="s">
        <v>626</v>
      </c>
      <c r="AL104" s="234" t="s">
        <v>653</v>
      </c>
      <c r="AM104" s="234">
        <v>-9999</v>
      </c>
      <c r="AN104" s="234" t="s">
        <v>626</v>
      </c>
      <c r="AO104" s="234" t="s">
        <v>627</v>
      </c>
      <c r="AP104" s="234" t="s">
        <v>658</v>
      </c>
      <c r="AQ104" s="234" t="s">
        <v>626</v>
      </c>
      <c r="AR104" s="234">
        <v>336</v>
      </c>
      <c r="AS104" s="234" t="s">
        <v>593</v>
      </c>
      <c r="AT104" s="234" t="s">
        <v>594</v>
      </c>
      <c r="AU104" s="234">
        <v>112</v>
      </c>
      <c r="AV104" s="234" t="s">
        <v>218</v>
      </c>
      <c r="AW104" s="234" t="s">
        <v>1412</v>
      </c>
      <c r="AX104" s="234">
        <v>224</v>
      </c>
      <c r="AY104" s="234" t="s">
        <v>219</v>
      </c>
      <c r="AZ104" s="234" t="s">
        <v>1412</v>
      </c>
      <c r="BA104" s="234" t="s">
        <v>223</v>
      </c>
      <c r="BB104" s="234" t="s">
        <v>626</v>
      </c>
      <c r="BC104" s="234" t="s">
        <v>673</v>
      </c>
      <c r="BD104" s="234" t="s">
        <v>444</v>
      </c>
      <c r="BE104" s="234" t="s">
        <v>443</v>
      </c>
      <c r="BF104" s="234" t="s">
        <v>37</v>
      </c>
      <c r="BG104" s="234" t="s">
        <v>445</v>
      </c>
      <c r="BH104" s="234"/>
      <c r="BI104" s="234" t="s">
        <v>492</v>
      </c>
      <c r="BJ104" s="234">
        <v>-9999</v>
      </c>
      <c r="BK104" s="234">
        <v>-9999</v>
      </c>
      <c r="BL104" s="234">
        <v>-9999</v>
      </c>
      <c r="BM104" s="234">
        <v>-9999</v>
      </c>
      <c r="BN104" s="234">
        <v>-9999</v>
      </c>
      <c r="BO104" s="234">
        <v>-9999</v>
      </c>
      <c r="BP104" s="234">
        <v>-9999</v>
      </c>
      <c r="BQ104" s="234">
        <v>-9999</v>
      </c>
      <c r="BR104" s="234">
        <v>-9999</v>
      </c>
      <c r="BS104" s="491">
        <v>-9999</v>
      </c>
      <c r="BT104" s="234">
        <v>-9999</v>
      </c>
      <c r="BU104" s="234">
        <v>-9999</v>
      </c>
      <c r="BV104" s="234">
        <v>-9999</v>
      </c>
      <c r="BW104" s="234"/>
      <c r="BX104" s="234">
        <v>-9999</v>
      </c>
      <c r="BY104" s="234">
        <v>-9999</v>
      </c>
      <c r="BZ104" s="496">
        <v>-9999</v>
      </c>
      <c r="CA104" s="496">
        <v>-9999</v>
      </c>
      <c r="CB104" s="499" t="s">
        <v>446</v>
      </c>
      <c r="CC104" s="57">
        <v>5</v>
      </c>
      <c r="CD104" s="57">
        <v>1</v>
      </c>
      <c r="CE104" s="292">
        <v>8.64</v>
      </c>
      <c r="CF104" s="292">
        <v>12.7</v>
      </c>
      <c r="CG104" s="57">
        <v>5</v>
      </c>
    </row>
    <row r="105" spans="1:85" s="23" customFormat="1" x14ac:dyDescent="0.2">
      <c r="A105" s="234"/>
      <c r="B105" s="234"/>
      <c r="C105" s="234"/>
      <c r="D105" s="234"/>
      <c r="E105" s="493"/>
      <c r="F105" s="234"/>
      <c r="G105" s="234"/>
      <c r="H105" s="234"/>
      <c r="I105" s="234"/>
      <c r="J105" s="234"/>
      <c r="K105" s="234"/>
      <c r="L105" s="234"/>
      <c r="M105" s="389"/>
      <c r="N105" s="389"/>
      <c r="O105" s="29"/>
      <c r="P105" s="237"/>
      <c r="Q105" s="234"/>
      <c r="R105" s="389"/>
      <c r="S105" s="234"/>
      <c r="T105" s="237"/>
      <c r="U105" s="234"/>
      <c r="V105" s="234"/>
      <c r="W105" s="389"/>
      <c r="X105" s="389"/>
      <c r="Y105" s="389"/>
      <c r="Z105" s="234"/>
      <c r="AA105" s="515"/>
      <c r="AB105" s="389"/>
      <c r="AC105" s="389"/>
      <c r="AD105" s="234"/>
      <c r="AE105" s="389"/>
      <c r="AF105" s="234"/>
      <c r="AG105" s="234"/>
      <c r="AH105" s="234"/>
      <c r="AI105" s="234"/>
      <c r="AJ105" s="234"/>
      <c r="AK105" s="234"/>
      <c r="AL105" s="234"/>
      <c r="AM105" s="234"/>
      <c r="AN105" s="234"/>
      <c r="AO105" s="234"/>
      <c r="AP105" s="234"/>
      <c r="AQ105" s="234"/>
      <c r="AR105" s="234"/>
      <c r="AS105" s="234"/>
      <c r="AT105" s="234"/>
      <c r="AU105" s="234"/>
      <c r="AV105" s="234"/>
      <c r="AW105" s="234"/>
      <c r="AX105" s="234"/>
      <c r="AY105" s="234"/>
      <c r="AZ105" s="234"/>
      <c r="BA105" s="234"/>
      <c r="BB105" s="234"/>
      <c r="BC105" s="234"/>
      <c r="BD105" s="234"/>
      <c r="BE105" s="234"/>
      <c r="BF105" s="234"/>
      <c r="BG105" s="234"/>
      <c r="BH105" s="234"/>
      <c r="BI105" s="234"/>
      <c r="BJ105" s="234"/>
      <c r="BK105" s="234"/>
      <c r="BL105" s="234"/>
      <c r="BM105" s="234"/>
      <c r="BN105" s="234"/>
      <c r="BO105" s="234"/>
      <c r="BP105" s="234"/>
      <c r="BQ105" s="234"/>
      <c r="BR105" s="234"/>
      <c r="BS105" s="491"/>
      <c r="BT105" s="234"/>
      <c r="BU105" s="234"/>
      <c r="BV105" s="234"/>
      <c r="BW105" s="234"/>
      <c r="BX105" s="234"/>
      <c r="BY105" s="234"/>
      <c r="BZ105" s="496"/>
      <c r="CA105" s="496"/>
      <c r="CB105" s="499"/>
      <c r="CC105" s="57"/>
      <c r="CD105" s="57"/>
      <c r="CE105" s="342" t="s">
        <v>1576</v>
      </c>
      <c r="CF105" s="342" t="s">
        <v>1575</v>
      </c>
      <c r="CG105" s="57"/>
    </row>
    <row r="106" spans="1:85" s="23" customFormat="1" x14ac:dyDescent="0.2">
      <c r="A106" s="234" t="s">
        <v>655</v>
      </c>
      <c r="B106" s="234" t="s">
        <v>618</v>
      </c>
      <c r="C106" s="234" t="s">
        <v>450</v>
      </c>
      <c r="D106" s="234" t="s">
        <v>633</v>
      </c>
      <c r="E106" s="493" t="s">
        <v>656</v>
      </c>
      <c r="F106" s="234">
        <v>1</v>
      </c>
      <c r="G106" s="234">
        <v>1</v>
      </c>
      <c r="H106" s="234">
        <v>1</v>
      </c>
      <c r="I106" s="234" t="s">
        <v>621</v>
      </c>
      <c r="J106" s="234">
        <v>1987</v>
      </c>
      <c r="K106" s="234" t="s">
        <v>1211</v>
      </c>
      <c r="L106" s="234">
        <v>1987</v>
      </c>
      <c r="M106" s="389">
        <v>0.8</v>
      </c>
      <c r="N106" s="389">
        <v>0.2</v>
      </c>
      <c r="O106" s="29"/>
      <c r="P106" s="237">
        <f>+M106</f>
        <v>0.8</v>
      </c>
      <c r="Q106" s="234">
        <v>-9999</v>
      </c>
      <c r="R106" s="389"/>
      <c r="S106" s="234"/>
      <c r="T106" s="237">
        <f>+P106/H106</f>
        <v>0.8</v>
      </c>
      <c r="U106" s="234">
        <v>-9999</v>
      </c>
      <c r="V106" s="234"/>
      <c r="W106" s="389">
        <v>0.8</v>
      </c>
      <c r="X106" s="389">
        <v>0.2</v>
      </c>
      <c r="Y106" s="389"/>
      <c r="Z106" s="234" t="s">
        <v>657</v>
      </c>
      <c r="AA106" s="515">
        <v>111111</v>
      </c>
      <c r="AB106" s="389">
        <v>1</v>
      </c>
      <c r="AC106" s="676">
        <v>6.4799999999999996E-2</v>
      </c>
      <c r="AD106" s="234">
        <v>36</v>
      </c>
      <c r="AE106" s="390" t="s">
        <v>1974</v>
      </c>
      <c r="AF106" s="234">
        <v>3</v>
      </c>
      <c r="AG106" s="234">
        <v>2</v>
      </c>
      <c r="AH106" s="234" t="s">
        <v>623</v>
      </c>
      <c r="AI106" s="234" t="s">
        <v>624</v>
      </c>
      <c r="AJ106" s="234" t="s">
        <v>624</v>
      </c>
      <c r="AK106" s="234" t="s">
        <v>626</v>
      </c>
      <c r="AL106" s="234" t="s">
        <v>653</v>
      </c>
      <c r="AM106" s="234">
        <v>-9999</v>
      </c>
      <c r="AN106" s="234" t="s">
        <v>626</v>
      </c>
      <c r="AO106" s="234" t="s">
        <v>627</v>
      </c>
      <c r="AP106" s="234" t="s">
        <v>658</v>
      </c>
      <c r="AQ106" s="234" t="s">
        <v>631</v>
      </c>
      <c r="AR106" s="234">
        <v>0</v>
      </c>
      <c r="AS106" s="234">
        <v>-9999</v>
      </c>
      <c r="AT106" s="234">
        <v>-9999</v>
      </c>
      <c r="AU106" s="234">
        <v>0</v>
      </c>
      <c r="AV106" s="234">
        <v>-9999</v>
      </c>
      <c r="AW106" s="234">
        <v>-9999</v>
      </c>
      <c r="AX106" s="234">
        <v>0</v>
      </c>
      <c r="AY106" s="234">
        <v>-9999</v>
      </c>
      <c r="AZ106" s="234">
        <v>-9999</v>
      </c>
      <c r="BA106" s="234">
        <v>-9999</v>
      </c>
      <c r="BB106" s="234" t="s">
        <v>626</v>
      </c>
      <c r="BC106" s="234" t="s">
        <v>673</v>
      </c>
      <c r="BD106" s="234" t="s">
        <v>444</v>
      </c>
      <c r="BE106" s="234" t="s">
        <v>443</v>
      </c>
      <c r="BF106" s="234" t="s">
        <v>37</v>
      </c>
      <c r="BG106" s="234" t="s">
        <v>445</v>
      </c>
      <c r="BH106" s="234"/>
      <c r="BI106" s="234" t="s">
        <v>492</v>
      </c>
      <c r="BJ106" s="234">
        <v>-9999</v>
      </c>
      <c r="BK106" s="234">
        <v>-9999</v>
      </c>
      <c r="BL106" s="234">
        <v>-9999</v>
      </c>
      <c r="BM106" s="234">
        <v>-9999</v>
      </c>
      <c r="BN106" s="234">
        <v>-9999</v>
      </c>
      <c r="BO106" s="234">
        <v>-9999</v>
      </c>
      <c r="BP106" s="234">
        <v>-9999</v>
      </c>
      <c r="BQ106" s="234">
        <v>-9999</v>
      </c>
      <c r="BR106" s="234">
        <v>-9999</v>
      </c>
      <c r="BS106" s="491">
        <v>-9999</v>
      </c>
      <c r="BT106" s="234">
        <v>-9999</v>
      </c>
      <c r="BU106" s="234">
        <v>-9999</v>
      </c>
      <c r="BV106" s="234">
        <v>-9999</v>
      </c>
      <c r="BW106" s="234"/>
      <c r="BX106" s="234">
        <v>-9999</v>
      </c>
      <c r="BY106" s="234">
        <v>-9999</v>
      </c>
      <c r="BZ106" s="496">
        <v>-9999</v>
      </c>
      <c r="CA106" s="496">
        <v>-9999</v>
      </c>
      <c r="CB106" s="499" t="s">
        <v>446</v>
      </c>
      <c r="CC106" s="57">
        <v>1</v>
      </c>
      <c r="CD106" s="57">
        <v>1</v>
      </c>
      <c r="CE106" s="292">
        <v>0.8</v>
      </c>
      <c r="CF106" s="292">
        <v>0.8</v>
      </c>
      <c r="CG106" s="57">
        <v>1</v>
      </c>
    </row>
    <row r="107" spans="1:85" s="23" customFormat="1" x14ac:dyDescent="0.2">
      <c r="A107" s="234" t="s">
        <v>655</v>
      </c>
      <c r="B107" s="234" t="s">
        <v>618</v>
      </c>
      <c r="C107" s="234" t="s">
        <v>450</v>
      </c>
      <c r="D107" s="234" t="s">
        <v>633</v>
      </c>
      <c r="E107" s="493" t="s">
        <v>656</v>
      </c>
      <c r="F107" s="234">
        <v>2</v>
      </c>
      <c r="G107" s="234">
        <v>1</v>
      </c>
      <c r="H107" s="234">
        <v>2</v>
      </c>
      <c r="I107" s="234" t="s">
        <v>621</v>
      </c>
      <c r="J107" s="234">
        <v>1987</v>
      </c>
      <c r="K107" s="234" t="s">
        <v>1211</v>
      </c>
      <c r="L107" s="234">
        <v>1988</v>
      </c>
      <c r="M107" s="389">
        <v>4.5</v>
      </c>
      <c r="N107" s="389">
        <v>0.9</v>
      </c>
      <c r="O107" s="29"/>
      <c r="P107" s="237">
        <f>+P106+M107</f>
        <v>5.3</v>
      </c>
      <c r="Q107" s="234">
        <v>-9999</v>
      </c>
      <c r="R107" s="389"/>
      <c r="S107" s="234"/>
      <c r="T107" s="237">
        <f>+P107/H107</f>
        <v>2.65</v>
      </c>
      <c r="U107" s="234">
        <v>-9999</v>
      </c>
      <c r="V107" s="234"/>
      <c r="W107" s="389">
        <v>4.5</v>
      </c>
      <c r="X107" s="389">
        <v>0.9</v>
      </c>
      <c r="Y107" s="389"/>
      <c r="Z107" s="234" t="s">
        <v>657</v>
      </c>
      <c r="AA107" s="515">
        <v>111111</v>
      </c>
      <c r="AB107" s="389">
        <v>0.8</v>
      </c>
      <c r="AC107" s="676">
        <v>6.4799999999999996E-2</v>
      </c>
      <c r="AD107" s="234">
        <v>36</v>
      </c>
      <c r="AE107" s="390" t="s">
        <v>1974</v>
      </c>
      <c r="AF107" s="234">
        <v>3</v>
      </c>
      <c r="AG107" s="234">
        <v>2</v>
      </c>
      <c r="AH107" s="234" t="s">
        <v>623</v>
      </c>
      <c r="AI107" s="234" t="s">
        <v>624</v>
      </c>
      <c r="AJ107" s="234" t="s">
        <v>624</v>
      </c>
      <c r="AK107" s="234" t="s">
        <v>626</v>
      </c>
      <c r="AL107" s="234" t="s">
        <v>653</v>
      </c>
      <c r="AM107" s="234">
        <v>-9999</v>
      </c>
      <c r="AN107" s="234" t="s">
        <v>626</v>
      </c>
      <c r="AO107" s="234" t="s">
        <v>627</v>
      </c>
      <c r="AP107" s="234" t="s">
        <v>658</v>
      </c>
      <c r="AQ107" s="234" t="s">
        <v>631</v>
      </c>
      <c r="AR107" s="234">
        <v>0</v>
      </c>
      <c r="AS107" s="234">
        <v>-9999</v>
      </c>
      <c r="AT107" s="234">
        <v>-9999</v>
      </c>
      <c r="AU107" s="234">
        <v>0</v>
      </c>
      <c r="AV107" s="234">
        <v>-9999</v>
      </c>
      <c r="AW107" s="234">
        <v>-9999</v>
      </c>
      <c r="AX107" s="234">
        <v>0</v>
      </c>
      <c r="AY107" s="234">
        <v>-9999</v>
      </c>
      <c r="AZ107" s="234">
        <v>-9999</v>
      </c>
      <c r="BA107" s="234">
        <v>-9999</v>
      </c>
      <c r="BB107" s="234" t="s">
        <v>626</v>
      </c>
      <c r="BC107" s="234" t="s">
        <v>673</v>
      </c>
      <c r="BD107" s="234" t="s">
        <v>444</v>
      </c>
      <c r="BE107" s="234" t="s">
        <v>443</v>
      </c>
      <c r="BF107" s="234" t="s">
        <v>37</v>
      </c>
      <c r="BG107" s="234" t="s">
        <v>445</v>
      </c>
      <c r="BH107" s="234"/>
      <c r="BI107" s="234" t="s">
        <v>492</v>
      </c>
      <c r="BJ107" s="234">
        <v>-9999</v>
      </c>
      <c r="BK107" s="234">
        <v>-9999</v>
      </c>
      <c r="BL107" s="234">
        <v>-9999</v>
      </c>
      <c r="BM107" s="234">
        <v>-9999</v>
      </c>
      <c r="BN107" s="234">
        <v>-9999</v>
      </c>
      <c r="BO107" s="234">
        <v>-9999</v>
      </c>
      <c r="BP107" s="234">
        <v>-9999</v>
      </c>
      <c r="BQ107" s="234">
        <v>-9999</v>
      </c>
      <c r="BR107" s="234">
        <v>-9999</v>
      </c>
      <c r="BS107" s="491">
        <v>-9999</v>
      </c>
      <c r="BT107" s="234">
        <v>-9999</v>
      </c>
      <c r="BU107" s="234">
        <v>-9999</v>
      </c>
      <c r="BV107" s="234">
        <v>-9999</v>
      </c>
      <c r="BW107" s="234"/>
      <c r="BX107" s="234">
        <v>-9999</v>
      </c>
      <c r="BY107" s="234">
        <v>-9999</v>
      </c>
      <c r="BZ107" s="496">
        <v>-9999</v>
      </c>
      <c r="CA107" s="496">
        <v>-9999</v>
      </c>
      <c r="CB107" s="499" t="s">
        <v>446</v>
      </c>
      <c r="CC107" s="57">
        <v>2</v>
      </c>
      <c r="CD107" s="57">
        <v>1</v>
      </c>
      <c r="CE107" s="292">
        <v>2.65</v>
      </c>
      <c r="CF107" s="292">
        <v>4.5</v>
      </c>
      <c r="CG107" s="57">
        <v>2</v>
      </c>
    </row>
    <row r="108" spans="1:85" s="23" customFormat="1" x14ac:dyDescent="0.2">
      <c r="A108" s="234" t="s">
        <v>655</v>
      </c>
      <c r="B108" s="234" t="s">
        <v>618</v>
      </c>
      <c r="C108" s="234" t="s">
        <v>450</v>
      </c>
      <c r="D108" s="234" t="s">
        <v>633</v>
      </c>
      <c r="E108" s="493" t="s">
        <v>656</v>
      </c>
      <c r="F108" s="234">
        <v>3</v>
      </c>
      <c r="G108" s="234">
        <v>1</v>
      </c>
      <c r="H108" s="234">
        <v>3</v>
      </c>
      <c r="I108" s="234" t="s">
        <v>621</v>
      </c>
      <c r="J108" s="234">
        <v>1987</v>
      </c>
      <c r="K108" s="234" t="s">
        <v>1211</v>
      </c>
      <c r="L108" s="234">
        <v>1989</v>
      </c>
      <c r="M108" s="389">
        <v>8.1999999999999993</v>
      </c>
      <c r="N108" s="389">
        <v>0.3</v>
      </c>
      <c r="O108" s="29"/>
      <c r="P108" s="237">
        <f>+P107+M108</f>
        <v>13.5</v>
      </c>
      <c r="Q108" s="234">
        <v>-9999</v>
      </c>
      <c r="R108" s="389"/>
      <c r="S108" s="234"/>
      <c r="T108" s="237">
        <f>+P108/H108</f>
        <v>4.5</v>
      </c>
      <c r="U108" s="234">
        <v>-9999</v>
      </c>
      <c r="V108" s="234"/>
      <c r="W108" s="389">
        <v>8.1999999999999993</v>
      </c>
      <c r="X108" s="389">
        <v>0.3</v>
      </c>
      <c r="Y108" s="389"/>
      <c r="Z108" s="234" t="s">
        <v>657</v>
      </c>
      <c r="AA108" s="515">
        <v>111111</v>
      </c>
      <c r="AB108" s="495">
        <v>0.8</v>
      </c>
      <c r="AC108" s="676">
        <v>6.4799999999999996E-2</v>
      </c>
      <c r="AD108" s="234">
        <v>36</v>
      </c>
      <c r="AE108" s="390" t="s">
        <v>1974</v>
      </c>
      <c r="AF108" s="234">
        <v>3</v>
      </c>
      <c r="AG108" s="234">
        <v>2</v>
      </c>
      <c r="AH108" s="234" t="s">
        <v>623</v>
      </c>
      <c r="AI108" s="234" t="s">
        <v>624</v>
      </c>
      <c r="AJ108" s="234" t="s">
        <v>624</v>
      </c>
      <c r="AK108" s="234" t="s">
        <v>626</v>
      </c>
      <c r="AL108" s="234" t="s">
        <v>653</v>
      </c>
      <c r="AM108" s="234">
        <v>-9999</v>
      </c>
      <c r="AN108" s="234" t="s">
        <v>626</v>
      </c>
      <c r="AO108" s="234" t="s">
        <v>627</v>
      </c>
      <c r="AP108" s="234" t="s">
        <v>658</v>
      </c>
      <c r="AQ108" s="234" t="s">
        <v>631</v>
      </c>
      <c r="AR108" s="234">
        <v>0</v>
      </c>
      <c r="AS108" s="234">
        <v>-9999</v>
      </c>
      <c r="AT108" s="234">
        <v>-9999</v>
      </c>
      <c r="AU108" s="234">
        <v>0</v>
      </c>
      <c r="AV108" s="234">
        <v>-9999</v>
      </c>
      <c r="AW108" s="234">
        <v>-9999</v>
      </c>
      <c r="AX108" s="234">
        <v>0</v>
      </c>
      <c r="AY108" s="234">
        <v>-9999</v>
      </c>
      <c r="AZ108" s="234">
        <v>-9999</v>
      </c>
      <c r="BA108" s="234">
        <v>-9999</v>
      </c>
      <c r="BB108" s="234" t="s">
        <v>626</v>
      </c>
      <c r="BC108" s="234" t="s">
        <v>673</v>
      </c>
      <c r="BD108" s="234" t="s">
        <v>444</v>
      </c>
      <c r="BE108" s="234" t="s">
        <v>443</v>
      </c>
      <c r="BF108" s="234" t="s">
        <v>37</v>
      </c>
      <c r="BG108" s="234" t="s">
        <v>445</v>
      </c>
      <c r="BH108" s="234"/>
      <c r="BI108" s="234" t="s">
        <v>492</v>
      </c>
      <c r="BJ108" s="234">
        <v>-9999</v>
      </c>
      <c r="BK108" s="234">
        <v>-9999</v>
      </c>
      <c r="BL108" s="234">
        <v>-9999</v>
      </c>
      <c r="BM108" s="234">
        <v>-9999</v>
      </c>
      <c r="BN108" s="234">
        <v>-9999</v>
      </c>
      <c r="BO108" s="234">
        <v>-9999</v>
      </c>
      <c r="BP108" s="234">
        <v>-9999</v>
      </c>
      <c r="BQ108" s="234">
        <v>-9999</v>
      </c>
      <c r="BR108" s="234">
        <v>-9999</v>
      </c>
      <c r="BS108" s="491">
        <v>-9999</v>
      </c>
      <c r="BT108" s="234">
        <v>-9999</v>
      </c>
      <c r="BU108" s="234">
        <v>-9999</v>
      </c>
      <c r="BV108" s="234">
        <v>-9999</v>
      </c>
      <c r="BW108" s="234"/>
      <c r="BX108" s="234">
        <v>-9999</v>
      </c>
      <c r="BY108" s="234">
        <v>-9999</v>
      </c>
      <c r="BZ108" s="496">
        <v>-9999</v>
      </c>
      <c r="CA108" s="496">
        <v>-9999</v>
      </c>
      <c r="CB108" s="499" t="s">
        <v>446</v>
      </c>
      <c r="CC108" s="57">
        <v>3</v>
      </c>
      <c r="CD108" s="57">
        <v>1</v>
      </c>
      <c r="CE108" s="292">
        <v>4.5</v>
      </c>
      <c r="CF108" s="292">
        <v>8.1999999999999993</v>
      </c>
      <c r="CG108" s="57">
        <v>3</v>
      </c>
    </row>
    <row r="109" spans="1:85" s="23" customFormat="1" x14ac:dyDescent="0.2">
      <c r="A109" s="234" t="s">
        <v>655</v>
      </c>
      <c r="B109" s="234" t="s">
        <v>618</v>
      </c>
      <c r="C109" s="234" t="s">
        <v>450</v>
      </c>
      <c r="D109" s="234" t="s">
        <v>633</v>
      </c>
      <c r="E109" s="493" t="s">
        <v>656</v>
      </c>
      <c r="F109" s="234">
        <v>4</v>
      </c>
      <c r="G109" s="234">
        <v>1</v>
      </c>
      <c r="H109" s="234">
        <v>4</v>
      </c>
      <c r="I109" s="234" t="s">
        <v>621</v>
      </c>
      <c r="J109" s="234">
        <v>1987</v>
      </c>
      <c r="K109" s="234" t="s">
        <v>1211</v>
      </c>
      <c r="L109" s="234">
        <v>1990</v>
      </c>
      <c r="M109" s="389">
        <v>11.8</v>
      </c>
      <c r="N109" s="389">
        <v>0.2</v>
      </c>
      <c r="O109" s="29"/>
      <c r="P109" s="237">
        <f>+P108+M109</f>
        <v>25.3</v>
      </c>
      <c r="Q109" s="234">
        <v>-9999</v>
      </c>
      <c r="R109" s="389"/>
      <c r="S109" s="234"/>
      <c r="T109" s="237">
        <f>+P109/H109</f>
        <v>6.3250000000000002</v>
      </c>
      <c r="U109" s="234">
        <v>-9999</v>
      </c>
      <c r="V109" s="234"/>
      <c r="W109" s="389">
        <v>11.8</v>
      </c>
      <c r="X109" s="389">
        <v>0.2</v>
      </c>
      <c r="Y109" s="389"/>
      <c r="Z109" s="234" t="s">
        <v>657</v>
      </c>
      <c r="AA109" s="515">
        <v>111111</v>
      </c>
      <c r="AB109" s="389">
        <v>0.8</v>
      </c>
      <c r="AC109" s="676">
        <v>6.4799999999999996E-2</v>
      </c>
      <c r="AD109" s="234">
        <v>36</v>
      </c>
      <c r="AE109" s="390" t="s">
        <v>1974</v>
      </c>
      <c r="AF109" s="234">
        <v>3</v>
      </c>
      <c r="AG109" s="234">
        <v>2</v>
      </c>
      <c r="AH109" s="234" t="s">
        <v>623</v>
      </c>
      <c r="AI109" s="234" t="s">
        <v>624</v>
      </c>
      <c r="AJ109" s="234" t="s">
        <v>624</v>
      </c>
      <c r="AK109" s="234" t="s">
        <v>626</v>
      </c>
      <c r="AL109" s="234" t="s">
        <v>653</v>
      </c>
      <c r="AM109" s="234">
        <v>-9999</v>
      </c>
      <c r="AN109" s="234" t="s">
        <v>626</v>
      </c>
      <c r="AO109" s="234" t="s">
        <v>627</v>
      </c>
      <c r="AP109" s="234" t="s">
        <v>658</v>
      </c>
      <c r="AQ109" s="234" t="s">
        <v>631</v>
      </c>
      <c r="AR109" s="234">
        <v>0</v>
      </c>
      <c r="AS109" s="234">
        <v>-9999</v>
      </c>
      <c r="AT109" s="234">
        <v>-9999</v>
      </c>
      <c r="AU109" s="234">
        <v>0</v>
      </c>
      <c r="AV109" s="234">
        <v>-9999</v>
      </c>
      <c r="AW109" s="234">
        <v>-9999</v>
      </c>
      <c r="AX109" s="234">
        <v>0</v>
      </c>
      <c r="AY109" s="234">
        <v>-9999</v>
      </c>
      <c r="AZ109" s="234">
        <v>-9999</v>
      </c>
      <c r="BA109" s="234">
        <v>-9999</v>
      </c>
      <c r="BB109" s="234" t="s">
        <v>626</v>
      </c>
      <c r="BC109" s="234" t="s">
        <v>673</v>
      </c>
      <c r="BD109" s="234" t="s">
        <v>444</v>
      </c>
      <c r="BE109" s="234" t="s">
        <v>443</v>
      </c>
      <c r="BF109" s="234" t="s">
        <v>37</v>
      </c>
      <c r="BG109" s="234" t="s">
        <v>445</v>
      </c>
      <c r="BH109" s="234"/>
      <c r="BI109" s="234" t="s">
        <v>492</v>
      </c>
      <c r="BJ109" s="234">
        <v>-9999</v>
      </c>
      <c r="BK109" s="234">
        <v>-9999</v>
      </c>
      <c r="BL109" s="234">
        <v>-9999</v>
      </c>
      <c r="BM109" s="234">
        <v>-9999</v>
      </c>
      <c r="BN109" s="234">
        <v>-9999</v>
      </c>
      <c r="BO109" s="234">
        <v>-9999</v>
      </c>
      <c r="BP109" s="234">
        <v>-9999</v>
      </c>
      <c r="BQ109" s="234">
        <v>-9999</v>
      </c>
      <c r="BR109" s="234">
        <v>-9999</v>
      </c>
      <c r="BS109" s="491">
        <v>-9999</v>
      </c>
      <c r="BT109" s="234">
        <v>-9999</v>
      </c>
      <c r="BU109" s="234">
        <v>-9999</v>
      </c>
      <c r="BV109" s="234">
        <v>-9999</v>
      </c>
      <c r="BW109" s="234"/>
      <c r="BX109" s="234">
        <v>-9999</v>
      </c>
      <c r="BY109" s="234">
        <v>-9999</v>
      </c>
      <c r="BZ109" s="496">
        <v>-9999</v>
      </c>
      <c r="CA109" s="496">
        <v>-9999</v>
      </c>
      <c r="CB109" s="499" t="s">
        <v>446</v>
      </c>
      <c r="CC109" s="57">
        <v>4</v>
      </c>
      <c r="CD109" s="57">
        <v>1</v>
      </c>
      <c r="CE109" s="292">
        <v>6.3250000000000002</v>
      </c>
      <c r="CF109" s="292">
        <v>11.8</v>
      </c>
      <c r="CG109" s="57">
        <v>4</v>
      </c>
    </row>
    <row r="110" spans="1:85" s="23" customFormat="1" ht="12.6" customHeight="1" x14ac:dyDescent="0.2">
      <c r="A110" s="234" t="s">
        <v>655</v>
      </c>
      <c r="B110" s="234" t="s">
        <v>618</v>
      </c>
      <c r="C110" s="234" t="s">
        <v>450</v>
      </c>
      <c r="D110" s="234" t="s">
        <v>633</v>
      </c>
      <c r="E110" s="493" t="s">
        <v>656</v>
      </c>
      <c r="F110" s="234">
        <v>5</v>
      </c>
      <c r="G110" s="234">
        <v>1</v>
      </c>
      <c r="H110" s="234">
        <v>5</v>
      </c>
      <c r="I110" s="234" t="s">
        <v>621</v>
      </c>
      <c r="J110" s="234">
        <v>1987</v>
      </c>
      <c r="K110" s="234" t="s">
        <v>1211</v>
      </c>
      <c r="L110" s="234">
        <v>1991</v>
      </c>
      <c r="M110" s="389">
        <v>13.9</v>
      </c>
      <c r="N110" s="389">
        <v>0.6</v>
      </c>
      <c r="O110" s="29"/>
      <c r="P110" s="237">
        <f>+P109+M110</f>
        <v>39.200000000000003</v>
      </c>
      <c r="Q110" s="234">
        <v>-9999</v>
      </c>
      <c r="R110" s="389"/>
      <c r="S110" s="234"/>
      <c r="T110" s="237">
        <f>+P110/H110</f>
        <v>7.8400000000000007</v>
      </c>
      <c r="U110" s="234">
        <v>-9999</v>
      </c>
      <c r="V110" s="234"/>
      <c r="W110" s="389">
        <v>13.9</v>
      </c>
      <c r="X110" s="389">
        <v>0.6</v>
      </c>
      <c r="Y110" s="389"/>
      <c r="Z110" s="234" t="s">
        <v>657</v>
      </c>
      <c r="AA110" s="515">
        <v>111111</v>
      </c>
      <c r="AB110" s="389">
        <v>0.8</v>
      </c>
      <c r="AC110" s="676">
        <v>6.4799999999999996E-2</v>
      </c>
      <c r="AD110" s="234">
        <v>36</v>
      </c>
      <c r="AE110" s="390" t="s">
        <v>1974</v>
      </c>
      <c r="AF110" s="234">
        <v>3</v>
      </c>
      <c r="AG110" s="234">
        <v>2</v>
      </c>
      <c r="AH110" s="234" t="s">
        <v>623</v>
      </c>
      <c r="AI110" s="234" t="s">
        <v>624</v>
      </c>
      <c r="AJ110" s="234" t="s">
        <v>624</v>
      </c>
      <c r="AK110" s="234" t="s">
        <v>626</v>
      </c>
      <c r="AL110" s="234" t="s">
        <v>653</v>
      </c>
      <c r="AM110" s="234">
        <v>-9999</v>
      </c>
      <c r="AN110" s="234" t="s">
        <v>626</v>
      </c>
      <c r="AO110" s="234" t="s">
        <v>627</v>
      </c>
      <c r="AP110" s="234" t="s">
        <v>658</v>
      </c>
      <c r="AQ110" s="234" t="s">
        <v>631</v>
      </c>
      <c r="AR110" s="234">
        <v>0</v>
      </c>
      <c r="AS110" s="234">
        <v>-9999</v>
      </c>
      <c r="AT110" s="234">
        <v>-9999</v>
      </c>
      <c r="AU110" s="234">
        <v>0</v>
      </c>
      <c r="AV110" s="234">
        <v>-9999</v>
      </c>
      <c r="AW110" s="234">
        <v>-9999</v>
      </c>
      <c r="AX110" s="234">
        <v>0</v>
      </c>
      <c r="AY110" s="234">
        <v>-9999</v>
      </c>
      <c r="AZ110" s="234">
        <v>-9999</v>
      </c>
      <c r="BA110" s="234">
        <v>-9999</v>
      </c>
      <c r="BB110" s="234" t="s">
        <v>626</v>
      </c>
      <c r="BC110" s="234" t="s">
        <v>673</v>
      </c>
      <c r="BD110" s="234" t="s">
        <v>444</v>
      </c>
      <c r="BE110" s="234" t="s">
        <v>443</v>
      </c>
      <c r="BF110" s="234" t="s">
        <v>37</v>
      </c>
      <c r="BG110" s="234" t="s">
        <v>445</v>
      </c>
      <c r="BH110" s="234"/>
      <c r="BI110" s="234" t="s">
        <v>492</v>
      </c>
      <c r="BJ110" s="234">
        <v>-9999</v>
      </c>
      <c r="BK110" s="234">
        <v>-9999</v>
      </c>
      <c r="BL110" s="234">
        <v>-9999</v>
      </c>
      <c r="BM110" s="234">
        <v>-9999</v>
      </c>
      <c r="BN110" s="234">
        <v>-9999</v>
      </c>
      <c r="BO110" s="234">
        <v>-9999</v>
      </c>
      <c r="BP110" s="234">
        <v>-9999</v>
      </c>
      <c r="BQ110" s="234">
        <v>-9999</v>
      </c>
      <c r="BR110" s="234">
        <v>-9999</v>
      </c>
      <c r="BS110" s="491">
        <v>-9999</v>
      </c>
      <c r="BT110" s="234">
        <v>-9999</v>
      </c>
      <c r="BU110" s="234">
        <v>-9999</v>
      </c>
      <c r="BV110" s="234">
        <v>-9999</v>
      </c>
      <c r="BW110" s="234"/>
      <c r="BX110" s="234">
        <v>-9999</v>
      </c>
      <c r="BY110" s="234">
        <v>-9999</v>
      </c>
      <c r="BZ110" s="496">
        <v>-9999</v>
      </c>
      <c r="CA110" s="496">
        <v>-9999</v>
      </c>
      <c r="CB110" s="499" t="s">
        <v>446</v>
      </c>
      <c r="CC110" s="57">
        <v>5</v>
      </c>
      <c r="CD110" s="57">
        <v>1</v>
      </c>
      <c r="CE110" s="292">
        <v>7.8400000000000007</v>
      </c>
      <c r="CF110" s="292">
        <v>13.9</v>
      </c>
      <c r="CG110" s="57">
        <v>5</v>
      </c>
    </row>
    <row r="111" spans="1:85" s="23" customFormat="1" ht="12.6" customHeight="1" x14ac:dyDescent="0.2">
      <c r="A111" s="234"/>
      <c r="B111" s="234"/>
      <c r="C111" s="234"/>
      <c r="D111" s="234"/>
      <c r="E111" s="493"/>
      <c r="F111" s="234"/>
      <c r="G111" s="234"/>
      <c r="H111" s="234"/>
      <c r="I111" s="234"/>
      <c r="J111" s="234"/>
      <c r="K111" s="234"/>
      <c r="L111" s="234"/>
      <c r="M111" s="389"/>
      <c r="N111" s="389"/>
      <c r="O111" s="29"/>
      <c r="P111" s="237"/>
      <c r="Q111" s="234"/>
      <c r="R111" s="389"/>
      <c r="S111" s="234"/>
      <c r="T111" s="237"/>
      <c r="U111" s="234"/>
      <c r="V111" s="234"/>
      <c r="W111" s="389"/>
      <c r="X111" s="389"/>
      <c r="Y111" s="389"/>
      <c r="Z111" s="234"/>
      <c r="AA111" s="515"/>
      <c r="AB111" s="389"/>
      <c r="AC111" s="389"/>
      <c r="AD111" s="234"/>
      <c r="AE111" s="389"/>
      <c r="AF111" s="234"/>
      <c r="AG111" s="234"/>
      <c r="AH111" s="234"/>
      <c r="AI111" s="234"/>
      <c r="AJ111" s="234"/>
      <c r="AK111" s="234"/>
      <c r="AL111" s="234"/>
      <c r="AM111" s="234"/>
      <c r="AN111" s="234"/>
      <c r="AO111" s="234"/>
      <c r="AP111" s="234"/>
      <c r="AQ111" s="234"/>
      <c r="AR111" s="234"/>
      <c r="AS111" s="234"/>
      <c r="AT111" s="234"/>
      <c r="AU111" s="234"/>
      <c r="AV111" s="234"/>
      <c r="AW111" s="234"/>
      <c r="AX111" s="234"/>
      <c r="AY111" s="234"/>
      <c r="AZ111" s="234"/>
      <c r="BA111" s="234"/>
      <c r="BB111" s="234"/>
      <c r="BC111" s="234"/>
      <c r="BD111" s="234"/>
      <c r="BE111" s="234"/>
      <c r="BF111" s="234"/>
      <c r="BG111" s="234"/>
      <c r="BH111" s="234"/>
      <c r="BI111" s="234"/>
      <c r="BJ111" s="234"/>
      <c r="BK111" s="234"/>
      <c r="BL111" s="234"/>
      <c r="BM111" s="234"/>
      <c r="BN111" s="234"/>
      <c r="BO111" s="234"/>
      <c r="BP111" s="234"/>
      <c r="BQ111" s="234"/>
      <c r="BR111" s="234"/>
      <c r="BS111" s="491"/>
      <c r="BT111" s="234"/>
      <c r="BU111" s="234"/>
      <c r="BV111" s="234"/>
      <c r="BW111" s="234"/>
      <c r="BX111" s="234"/>
      <c r="BY111" s="234"/>
      <c r="BZ111" s="496"/>
      <c r="CA111" s="496"/>
      <c r="CB111" s="499"/>
      <c r="CC111" s="57"/>
      <c r="CD111" s="57"/>
      <c r="CE111" s="342" t="s">
        <v>1576</v>
      </c>
      <c r="CF111" s="342" t="s">
        <v>1575</v>
      </c>
      <c r="CG111" s="57"/>
    </row>
    <row r="112" spans="1:85" s="23" customFormat="1" x14ac:dyDescent="0.2">
      <c r="A112" s="234" t="s">
        <v>655</v>
      </c>
      <c r="B112" s="234" t="s">
        <v>618</v>
      </c>
      <c r="C112" s="234" t="s">
        <v>451</v>
      </c>
      <c r="D112" s="234" t="s">
        <v>633</v>
      </c>
      <c r="E112" s="493" t="s">
        <v>656</v>
      </c>
      <c r="F112" s="234">
        <v>1</v>
      </c>
      <c r="G112" s="234">
        <v>1</v>
      </c>
      <c r="H112" s="234">
        <v>1</v>
      </c>
      <c r="I112" s="234" t="s">
        <v>621</v>
      </c>
      <c r="J112" s="234">
        <v>1987</v>
      </c>
      <c r="K112" s="234" t="s">
        <v>1211</v>
      </c>
      <c r="L112" s="234">
        <v>1987</v>
      </c>
      <c r="M112" s="389">
        <v>0.8</v>
      </c>
      <c r="N112" s="389">
        <v>0.1</v>
      </c>
      <c r="O112" s="29"/>
      <c r="P112" s="237">
        <f>+M112</f>
        <v>0.8</v>
      </c>
      <c r="Q112" s="234">
        <v>-9999</v>
      </c>
      <c r="R112" s="389"/>
      <c r="S112" s="234"/>
      <c r="T112" s="237">
        <f>+P112/H112</f>
        <v>0.8</v>
      </c>
      <c r="U112" s="234">
        <v>-9999</v>
      </c>
      <c r="V112" s="234"/>
      <c r="W112" s="389">
        <v>0.8</v>
      </c>
      <c r="X112" s="389">
        <v>0.1</v>
      </c>
      <c r="Y112" s="389"/>
      <c r="Z112" s="234" t="s">
        <v>675</v>
      </c>
      <c r="AA112" s="515">
        <v>47259</v>
      </c>
      <c r="AB112" s="389">
        <v>1</v>
      </c>
      <c r="AC112" s="676">
        <v>6.4799999999999996E-2</v>
      </c>
      <c r="AD112" s="234">
        <v>36</v>
      </c>
      <c r="AE112" s="392" t="s">
        <v>1978</v>
      </c>
      <c r="AF112" s="234">
        <v>3</v>
      </c>
      <c r="AG112" s="234">
        <v>1</v>
      </c>
      <c r="AH112" s="234" t="s">
        <v>623</v>
      </c>
      <c r="AI112" s="234" t="s">
        <v>624</v>
      </c>
      <c r="AJ112" s="234" t="s">
        <v>624</v>
      </c>
      <c r="AK112" s="234" t="s">
        <v>626</v>
      </c>
      <c r="AL112" s="234" t="s">
        <v>653</v>
      </c>
      <c r="AM112" s="234">
        <v>-9999</v>
      </c>
      <c r="AN112" s="234" t="s">
        <v>626</v>
      </c>
      <c r="AO112" s="234" t="s">
        <v>627</v>
      </c>
      <c r="AP112" s="234" t="s">
        <v>658</v>
      </c>
      <c r="AQ112" s="234" t="s">
        <v>626</v>
      </c>
      <c r="AR112" s="234">
        <v>336</v>
      </c>
      <c r="AS112" s="234" t="s">
        <v>593</v>
      </c>
      <c r="AT112" s="234" t="s">
        <v>594</v>
      </c>
      <c r="AU112" s="234">
        <v>112</v>
      </c>
      <c r="AV112" s="234" t="s">
        <v>218</v>
      </c>
      <c r="AW112" s="234" t="s">
        <v>1412</v>
      </c>
      <c r="AX112" s="234">
        <v>224</v>
      </c>
      <c r="AY112" s="234" t="s">
        <v>219</v>
      </c>
      <c r="AZ112" s="234" t="s">
        <v>1412</v>
      </c>
      <c r="BA112" s="234" t="s">
        <v>223</v>
      </c>
      <c r="BB112" s="234" t="s">
        <v>626</v>
      </c>
      <c r="BC112" s="234" t="s">
        <v>673</v>
      </c>
      <c r="BD112" s="234" t="s">
        <v>444</v>
      </c>
      <c r="BE112" s="234" t="s">
        <v>443</v>
      </c>
      <c r="BF112" s="234" t="s">
        <v>37</v>
      </c>
      <c r="BG112" s="234" t="s">
        <v>445</v>
      </c>
      <c r="BH112" s="234"/>
      <c r="BI112" s="234" t="s">
        <v>492</v>
      </c>
      <c r="BJ112" s="234">
        <v>-9999</v>
      </c>
      <c r="BK112" s="234">
        <v>-9999</v>
      </c>
      <c r="BL112" s="234">
        <v>-9999</v>
      </c>
      <c r="BM112" s="234">
        <v>-9999</v>
      </c>
      <c r="BN112" s="234">
        <v>-9999</v>
      </c>
      <c r="BO112" s="234">
        <v>-9999</v>
      </c>
      <c r="BP112" s="234">
        <v>-9999</v>
      </c>
      <c r="BQ112" s="234">
        <v>-9999</v>
      </c>
      <c r="BR112" s="234">
        <v>-9999</v>
      </c>
      <c r="BS112" s="491">
        <v>-9999</v>
      </c>
      <c r="BT112" s="234">
        <v>-9999</v>
      </c>
      <c r="BU112" s="234">
        <v>-9999</v>
      </c>
      <c r="BV112" s="234">
        <v>-9999</v>
      </c>
      <c r="BW112" s="234"/>
      <c r="BX112" s="234">
        <v>-9999</v>
      </c>
      <c r="BY112" s="234">
        <v>-9999</v>
      </c>
      <c r="BZ112" s="496">
        <v>-9999</v>
      </c>
      <c r="CA112" s="496">
        <v>-9999</v>
      </c>
      <c r="CB112" s="499" t="s">
        <v>446</v>
      </c>
      <c r="CC112" s="57">
        <v>1</v>
      </c>
      <c r="CD112" s="57">
        <v>1</v>
      </c>
      <c r="CE112" s="292">
        <v>0.8</v>
      </c>
      <c r="CF112" s="292">
        <v>0.8</v>
      </c>
      <c r="CG112" s="57">
        <v>1</v>
      </c>
    </row>
    <row r="113" spans="1:1873" s="23" customFormat="1" x14ac:dyDescent="0.2">
      <c r="A113" s="234" t="s">
        <v>655</v>
      </c>
      <c r="B113" s="234" t="s">
        <v>618</v>
      </c>
      <c r="C113" s="234" t="s">
        <v>451</v>
      </c>
      <c r="D113" s="234" t="s">
        <v>633</v>
      </c>
      <c r="E113" s="493" t="s">
        <v>656</v>
      </c>
      <c r="F113" s="234">
        <v>2</v>
      </c>
      <c r="G113" s="234">
        <v>1</v>
      </c>
      <c r="H113" s="234">
        <v>2</v>
      </c>
      <c r="I113" s="234" t="s">
        <v>621</v>
      </c>
      <c r="J113" s="234">
        <v>1987</v>
      </c>
      <c r="K113" s="234" t="s">
        <v>1211</v>
      </c>
      <c r="L113" s="234">
        <v>1988</v>
      </c>
      <c r="M113" s="389">
        <v>5.9</v>
      </c>
      <c r="N113" s="389">
        <v>0.2</v>
      </c>
      <c r="O113" s="29"/>
      <c r="P113" s="237">
        <f>+P112+M113</f>
        <v>6.7</v>
      </c>
      <c r="Q113" s="234">
        <v>-9999</v>
      </c>
      <c r="R113" s="389"/>
      <c r="S113" s="234"/>
      <c r="T113" s="237">
        <f>+P113/H113</f>
        <v>3.35</v>
      </c>
      <c r="U113" s="234">
        <v>-9999</v>
      </c>
      <c r="V113" s="234"/>
      <c r="W113" s="389">
        <v>5.9</v>
      </c>
      <c r="X113" s="389">
        <v>0.2</v>
      </c>
      <c r="Y113" s="389"/>
      <c r="Z113" s="234" t="s">
        <v>675</v>
      </c>
      <c r="AA113" s="515">
        <v>47259</v>
      </c>
      <c r="AB113" s="389">
        <v>0.91</v>
      </c>
      <c r="AC113" s="676">
        <v>6.4799999999999996E-2</v>
      </c>
      <c r="AD113" s="234">
        <v>36</v>
      </c>
      <c r="AE113" s="392" t="s">
        <v>1978</v>
      </c>
      <c r="AF113" s="234">
        <v>3</v>
      </c>
      <c r="AG113" s="234">
        <v>1</v>
      </c>
      <c r="AH113" s="234" t="s">
        <v>623</v>
      </c>
      <c r="AI113" s="234" t="s">
        <v>624</v>
      </c>
      <c r="AJ113" s="234" t="s">
        <v>624</v>
      </c>
      <c r="AK113" s="234" t="s">
        <v>626</v>
      </c>
      <c r="AL113" s="234" t="s">
        <v>653</v>
      </c>
      <c r="AM113" s="234">
        <v>-9999</v>
      </c>
      <c r="AN113" s="234" t="s">
        <v>626</v>
      </c>
      <c r="AO113" s="234" t="s">
        <v>627</v>
      </c>
      <c r="AP113" s="234" t="s">
        <v>658</v>
      </c>
      <c r="AQ113" s="234" t="s">
        <v>626</v>
      </c>
      <c r="AR113" s="234">
        <v>336</v>
      </c>
      <c r="AS113" s="234" t="s">
        <v>593</v>
      </c>
      <c r="AT113" s="234" t="s">
        <v>594</v>
      </c>
      <c r="AU113" s="234">
        <v>112</v>
      </c>
      <c r="AV113" s="234" t="s">
        <v>218</v>
      </c>
      <c r="AW113" s="234" t="s">
        <v>1412</v>
      </c>
      <c r="AX113" s="234">
        <v>224</v>
      </c>
      <c r="AY113" s="234" t="s">
        <v>219</v>
      </c>
      <c r="AZ113" s="234" t="s">
        <v>1412</v>
      </c>
      <c r="BA113" s="234" t="s">
        <v>223</v>
      </c>
      <c r="BB113" s="234" t="s">
        <v>626</v>
      </c>
      <c r="BC113" s="234" t="s">
        <v>673</v>
      </c>
      <c r="BD113" s="234" t="s">
        <v>444</v>
      </c>
      <c r="BE113" s="234" t="s">
        <v>443</v>
      </c>
      <c r="BF113" s="234" t="s">
        <v>37</v>
      </c>
      <c r="BG113" s="234" t="s">
        <v>445</v>
      </c>
      <c r="BH113" s="234"/>
      <c r="BI113" s="234" t="s">
        <v>492</v>
      </c>
      <c r="BJ113" s="234">
        <v>-9999</v>
      </c>
      <c r="BK113" s="234">
        <v>-9999</v>
      </c>
      <c r="BL113" s="234">
        <v>-9999</v>
      </c>
      <c r="BM113" s="234">
        <v>-9999</v>
      </c>
      <c r="BN113" s="234">
        <v>-9999</v>
      </c>
      <c r="BO113" s="234">
        <v>-9999</v>
      </c>
      <c r="BP113" s="234">
        <v>-9999</v>
      </c>
      <c r="BQ113" s="234">
        <v>-9999</v>
      </c>
      <c r="BR113" s="234">
        <v>-9999</v>
      </c>
      <c r="BS113" s="491">
        <v>-9999</v>
      </c>
      <c r="BT113" s="234">
        <v>-9999</v>
      </c>
      <c r="BU113" s="234">
        <v>-9999</v>
      </c>
      <c r="BV113" s="234">
        <v>-9999</v>
      </c>
      <c r="BW113" s="234"/>
      <c r="BX113" s="234">
        <v>-9999</v>
      </c>
      <c r="BY113" s="234">
        <v>-9999</v>
      </c>
      <c r="BZ113" s="496">
        <v>-9999</v>
      </c>
      <c r="CA113" s="496">
        <v>-9999</v>
      </c>
      <c r="CB113" s="499" t="s">
        <v>446</v>
      </c>
      <c r="CC113" s="57">
        <v>2</v>
      </c>
      <c r="CD113" s="57">
        <v>1</v>
      </c>
      <c r="CE113" s="292">
        <v>3.35</v>
      </c>
      <c r="CF113" s="292">
        <v>5.9</v>
      </c>
      <c r="CG113" s="57">
        <v>2</v>
      </c>
    </row>
    <row r="114" spans="1:1873" s="23" customFormat="1" x14ac:dyDescent="0.2">
      <c r="A114" s="234" t="s">
        <v>655</v>
      </c>
      <c r="B114" s="234" t="s">
        <v>618</v>
      </c>
      <c r="C114" s="234" t="s">
        <v>451</v>
      </c>
      <c r="D114" s="234" t="s">
        <v>633</v>
      </c>
      <c r="E114" s="493" t="s">
        <v>656</v>
      </c>
      <c r="F114" s="234">
        <v>3</v>
      </c>
      <c r="G114" s="234">
        <v>1</v>
      </c>
      <c r="H114" s="234">
        <v>3</v>
      </c>
      <c r="I114" s="234" t="s">
        <v>621</v>
      </c>
      <c r="J114" s="234">
        <v>1987</v>
      </c>
      <c r="K114" s="234" t="s">
        <v>1211</v>
      </c>
      <c r="L114" s="234">
        <v>1989</v>
      </c>
      <c r="M114" s="389">
        <v>9.1</v>
      </c>
      <c r="N114" s="389">
        <v>0.5</v>
      </c>
      <c r="O114" s="29"/>
      <c r="P114" s="237">
        <f>+P113+M114</f>
        <v>15.8</v>
      </c>
      <c r="Q114" s="234">
        <v>-9999</v>
      </c>
      <c r="R114" s="389"/>
      <c r="S114" s="234"/>
      <c r="T114" s="237">
        <f>+P114/H114</f>
        <v>5.2666666666666666</v>
      </c>
      <c r="U114" s="234">
        <v>-9999</v>
      </c>
      <c r="V114" s="234"/>
      <c r="W114" s="389">
        <v>9.1</v>
      </c>
      <c r="X114" s="389">
        <v>0.5</v>
      </c>
      <c r="Y114" s="389"/>
      <c r="Z114" s="234" t="s">
        <v>675</v>
      </c>
      <c r="AA114" s="515">
        <v>47259</v>
      </c>
      <c r="AB114" s="495">
        <v>0.89</v>
      </c>
      <c r="AC114" s="676">
        <v>6.4799999999999996E-2</v>
      </c>
      <c r="AD114" s="234">
        <v>36</v>
      </c>
      <c r="AE114" s="392" t="s">
        <v>1978</v>
      </c>
      <c r="AF114" s="234">
        <v>3</v>
      </c>
      <c r="AG114" s="234">
        <v>1</v>
      </c>
      <c r="AH114" s="234" t="s">
        <v>623</v>
      </c>
      <c r="AI114" s="234" t="s">
        <v>624</v>
      </c>
      <c r="AJ114" s="234" t="s">
        <v>624</v>
      </c>
      <c r="AK114" s="234" t="s">
        <v>626</v>
      </c>
      <c r="AL114" s="234" t="s">
        <v>653</v>
      </c>
      <c r="AM114" s="234">
        <v>-9999</v>
      </c>
      <c r="AN114" s="234" t="s">
        <v>626</v>
      </c>
      <c r="AO114" s="234" t="s">
        <v>627</v>
      </c>
      <c r="AP114" s="234" t="s">
        <v>658</v>
      </c>
      <c r="AQ114" s="234" t="s">
        <v>626</v>
      </c>
      <c r="AR114" s="234">
        <v>336</v>
      </c>
      <c r="AS114" s="234" t="s">
        <v>593</v>
      </c>
      <c r="AT114" s="234" t="s">
        <v>594</v>
      </c>
      <c r="AU114" s="234">
        <v>112</v>
      </c>
      <c r="AV114" s="234" t="s">
        <v>218</v>
      </c>
      <c r="AW114" s="234" t="s">
        <v>1412</v>
      </c>
      <c r="AX114" s="234">
        <v>224</v>
      </c>
      <c r="AY114" s="234" t="s">
        <v>219</v>
      </c>
      <c r="AZ114" s="234" t="s">
        <v>1412</v>
      </c>
      <c r="BA114" s="234" t="s">
        <v>223</v>
      </c>
      <c r="BB114" s="234" t="s">
        <v>626</v>
      </c>
      <c r="BC114" s="234" t="s">
        <v>673</v>
      </c>
      <c r="BD114" s="234" t="s">
        <v>444</v>
      </c>
      <c r="BE114" s="234" t="s">
        <v>443</v>
      </c>
      <c r="BF114" s="234" t="s">
        <v>37</v>
      </c>
      <c r="BG114" s="234" t="s">
        <v>445</v>
      </c>
      <c r="BH114" s="234"/>
      <c r="BI114" s="234" t="s">
        <v>492</v>
      </c>
      <c r="BJ114" s="234">
        <v>-9999</v>
      </c>
      <c r="BK114" s="234">
        <v>-9999</v>
      </c>
      <c r="BL114" s="234">
        <v>-9999</v>
      </c>
      <c r="BM114" s="234">
        <v>-9999</v>
      </c>
      <c r="BN114" s="234">
        <v>-9999</v>
      </c>
      <c r="BO114" s="234">
        <v>-9999</v>
      </c>
      <c r="BP114" s="234">
        <v>-9999</v>
      </c>
      <c r="BQ114" s="234">
        <v>-9999</v>
      </c>
      <c r="BR114" s="234">
        <v>-9999</v>
      </c>
      <c r="BS114" s="491">
        <v>-9999</v>
      </c>
      <c r="BT114" s="234">
        <v>-9999</v>
      </c>
      <c r="BU114" s="234">
        <v>-9999</v>
      </c>
      <c r="BV114" s="234">
        <v>-9999</v>
      </c>
      <c r="BW114" s="234"/>
      <c r="BX114" s="234">
        <v>-9999</v>
      </c>
      <c r="BY114" s="234">
        <v>-9999</v>
      </c>
      <c r="BZ114" s="496">
        <v>-9999</v>
      </c>
      <c r="CA114" s="496">
        <v>-9999</v>
      </c>
      <c r="CB114" s="499" t="s">
        <v>446</v>
      </c>
      <c r="CC114" s="57">
        <v>3</v>
      </c>
      <c r="CD114" s="57">
        <v>1</v>
      </c>
      <c r="CE114" s="292">
        <v>5.2666666666666666</v>
      </c>
      <c r="CF114" s="292">
        <v>9.1</v>
      </c>
      <c r="CG114" s="57">
        <v>3</v>
      </c>
    </row>
    <row r="115" spans="1:1873" s="23" customFormat="1" x14ac:dyDescent="0.2">
      <c r="A115" s="234" t="s">
        <v>655</v>
      </c>
      <c r="B115" s="234" t="s">
        <v>618</v>
      </c>
      <c r="C115" s="234" t="s">
        <v>451</v>
      </c>
      <c r="D115" s="234" t="s">
        <v>633</v>
      </c>
      <c r="E115" s="493" t="s">
        <v>656</v>
      </c>
      <c r="F115" s="234">
        <v>4</v>
      </c>
      <c r="G115" s="234">
        <v>1</v>
      </c>
      <c r="H115" s="234">
        <v>4</v>
      </c>
      <c r="I115" s="234" t="s">
        <v>621</v>
      </c>
      <c r="J115" s="234">
        <v>1987</v>
      </c>
      <c r="K115" s="234" t="s">
        <v>1211</v>
      </c>
      <c r="L115" s="234">
        <v>1990</v>
      </c>
      <c r="M115" s="389">
        <v>12.3</v>
      </c>
      <c r="N115" s="389">
        <v>0.2</v>
      </c>
      <c r="O115" s="29"/>
      <c r="P115" s="237">
        <f>+P114+M115</f>
        <v>28.1</v>
      </c>
      <c r="Q115" s="234">
        <v>-9999</v>
      </c>
      <c r="R115" s="389"/>
      <c r="S115" s="234"/>
      <c r="T115" s="237">
        <f>+P115/H115</f>
        <v>7.0250000000000004</v>
      </c>
      <c r="U115" s="234">
        <v>-9999</v>
      </c>
      <c r="V115" s="234"/>
      <c r="W115" s="389">
        <v>12.3</v>
      </c>
      <c r="X115" s="389">
        <v>0.2</v>
      </c>
      <c r="Y115" s="389"/>
      <c r="Z115" s="234" t="s">
        <v>675</v>
      </c>
      <c r="AA115" s="515">
        <v>47259</v>
      </c>
      <c r="AB115" s="389">
        <v>0.86</v>
      </c>
      <c r="AC115" s="676">
        <v>6.4799999999999996E-2</v>
      </c>
      <c r="AD115" s="234">
        <v>36</v>
      </c>
      <c r="AE115" s="392" t="s">
        <v>1978</v>
      </c>
      <c r="AF115" s="234">
        <v>3</v>
      </c>
      <c r="AG115" s="234">
        <v>1</v>
      </c>
      <c r="AH115" s="234" t="s">
        <v>623</v>
      </c>
      <c r="AI115" s="234" t="s">
        <v>624</v>
      </c>
      <c r="AJ115" s="234" t="s">
        <v>624</v>
      </c>
      <c r="AK115" s="234" t="s">
        <v>626</v>
      </c>
      <c r="AL115" s="234" t="s">
        <v>653</v>
      </c>
      <c r="AM115" s="234">
        <v>-9999</v>
      </c>
      <c r="AN115" s="234" t="s">
        <v>626</v>
      </c>
      <c r="AO115" s="234" t="s">
        <v>627</v>
      </c>
      <c r="AP115" s="234" t="s">
        <v>658</v>
      </c>
      <c r="AQ115" s="234" t="s">
        <v>626</v>
      </c>
      <c r="AR115" s="234">
        <v>336</v>
      </c>
      <c r="AS115" s="234" t="s">
        <v>1413</v>
      </c>
      <c r="AT115" s="234" t="s">
        <v>594</v>
      </c>
      <c r="AU115" s="234">
        <v>112</v>
      </c>
      <c r="AV115" s="234" t="s">
        <v>218</v>
      </c>
      <c r="AW115" s="234" t="s">
        <v>1412</v>
      </c>
      <c r="AX115" s="234">
        <v>224</v>
      </c>
      <c r="AY115" s="234" t="s">
        <v>219</v>
      </c>
      <c r="AZ115" s="234" t="s">
        <v>1412</v>
      </c>
      <c r="BA115" s="234" t="s">
        <v>223</v>
      </c>
      <c r="BB115" s="234" t="s">
        <v>626</v>
      </c>
      <c r="BC115" s="234" t="s">
        <v>673</v>
      </c>
      <c r="BD115" s="234" t="s">
        <v>444</v>
      </c>
      <c r="BE115" s="234" t="s">
        <v>443</v>
      </c>
      <c r="BF115" s="234" t="s">
        <v>37</v>
      </c>
      <c r="BG115" s="234" t="s">
        <v>445</v>
      </c>
      <c r="BH115" s="234"/>
      <c r="BI115" s="234" t="s">
        <v>492</v>
      </c>
      <c r="BJ115" s="234">
        <v>-9999</v>
      </c>
      <c r="BK115" s="234">
        <v>-9999</v>
      </c>
      <c r="BL115" s="234">
        <v>-9999</v>
      </c>
      <c r="BM115" s="234">
        <v>-9999</v>
      </c>
      <c r="BN115" s="234">
        <v>-9999</v>
      </c>
      <c r="BO115" s="234">
        <v>-9999</v>
      </c>
      <c r="BP115" s="234">
        <v>-9999</v>
      </c>
      <c r="BQ115" s="234">
        <v>-9999</v>
      </c>
      <c r="BR115" s="234">
        <v>-9999</v>
      </c>
      <c r="BS115" s="491">
        <v>-9999</v>
      </c>
      <c r="BT115" s="234">
        <v>-9999</v>
      </c>
      <c r="BU115" s="234">
        <v>-9999</v>
      </c>
      <c r="BV115" s="234">
        <v>-9999</v>
      </c>
      <c r="BW115" s="234"/>
      <c r="BX115" s="234">
        <v>-9999</v>
      </c>
      <c r="BY115" s="234">
        <v>-9999</v>
      </c>
      <c r="BZ115" s="496">
        <v>-9999</v>
      </c>
      <c r="CA115" s="496">
        <v>-9999</v>
      </c>
      <c r="CB115" s="499" t="s">
        <v>446</v>
      </c>
      <c r="CC115" s="57">
        <v>4</v>
      </c>
      <c r="CD115" s="57">
        <v>1</v>
      </c>
      <c r="CE115" s="292">
        <v>7.0250000000000004</v>
      </c>
      <c r="CF115" s="292">
        <v>12.3</v>
      </c>
      <c r="CG115" s="57">
        <v>4</v>
      </c>
    </row>
    <row r="116" spans="1:1873" s="23" customFormat="1" x14ac:dyDescent="0.2">
      <c r="A116" s="234" t="s">
        <v>655</v>
      </c>
      <c r="B116" s="234" t="s">
        <v>618</v>
      </c>
      <c r="C116" s="234" t="s">
        <v>451</v>
      </c>
      <c r="D116" s="234" t="s">
        <v>633</v>
      </c>
      <c r="E116" s="493" t="s">
        <v>656</v>
      </c>
      <c r="F116" s="234">
        <v>5</v>
      </c>
      <c r="G116" s="234">
        <v>1</v>
      </c>
      <c r="H116" s="234">
        <v>5</v>
      </c>
      <c r="I116" s="234" t="s">
        <v>621</v>
      </c>
      <c r="J116" s="234">
        <v>1987</v>
      </c>
      <c r="K116" s="234" t="s">
        <v>1211</v>
      </c>
      <c r="L116" s="234">
        <v>1991</v>
      </c>
      <c r="M116" s="389">
        <v>13.4</v>
      </c>
      <c r="N116" s="389">
        <v>0.4</v>
      </c>
      <c r="O116" s="29"/>
      <c r="P116" s="237">
        <f>+P115+M116</f>
        <v>41.5</v>
      </c>
      <c r="Q116" s="234">
        <v>-9999</v>
      </c>
      <c r="R116" s="389"/>
      <c r="S116" s="234"/>
      <c r="T116" s="237">
        <f>+P116/H116</f>
        <v>8.3000000000000007</v>
      </c>
      <c r="U116" s="234">
        <v>-9999</v>
      </c>
      <c r="V116" s="234"/>
      <c r="W116" s="389">
        <v>13.4</v>
      </c>
      <c r="X116" s="389">
        <v>0.4</v>
      </c>
      <c r="Y116" s="389"/>
      <c r="Z116" s="234" t="s">
        <v>675</v>
      </c>
      <c r="AA116" s="515">
        <v>47259</v>
      </c>
      <c r="AB116" s="389">
        <v>0.86</v>
      </c>
      <c r="AC116" s="676">
        <v>6.4799999999999996E-2</v>
      </c>
      <c r="AD116" s="234">
        <v>36</v>
      </c>
      <c r="AE116" s="392" t="s">
        <v>1978</v>
      </c>
      <c r="AF116" s="234">
        <v>3</v>
      </c>
      <c r="AG116" s="234">
        <v>1</v>
      </c>
      <c r="AH116" s="234" t="s">
        <v>623</v>
      </c>
      <c r="AI116" s="234" t="s">
        <v>624</v>
      </c>
      <c r="AJ116" s="234" t="s">
        <v>624</v>
      </c>
      <c r="AK116" s="234" t="s">
        <v>626</v>
      </c>
      <c r="AL116" s="234" t="s">
        <v>653</v>
      </c>
      <c r="AM116" s="234">
        <v>-9999</v>
      </c>
      <c r="AN116" s="234" t="s">
        <v>626</v>
      </c>
      <c r="AO116" s="234" t="s">
        <v>627</v>
      </c>
      <c r="AP116" s="234" t="s">
        <v>658</v>
      </c>
      <c r="AQ116" s="234" t="s">
        <v>626</v>
      </c>
      <c r="AR116" s="234">
        <v>336</v>
      </c>
      <c r="AS116" s="234" t="s">
        <v>593</v>
      </c>
      <c r="AT116" s="234" t="s">
        <v>594</v>
      </c>
      <c r="AU116" s="234">
        <v>112</v>
      </c>
      <c r="AV116" s="234" t="s">
        <v>218</v>
      </c>
      <c r="AW116" s="234" t="s">
        <v>1412</v>
      </c>
      <c r="AX116" s="234">
        <v>224</v>
      </c>
      <c r="AY116" s="234" t="s">
        <v>219</v>
      </c>
      <c r="AZ116" s="234" t="s">
        <v>1412</v>
      </c>
      <c r="BA116" s="234" t="s">
        <v>223</v>
      </c>
      <c r="BB116" s="234" t="s">
        <v>626</v>
      </c>
      <c r="BC116" s="234" t="s">
        <v>673</v>
      </c>
      <c r="BD116" s="234" t="s">
        <v>444</v>
      </c>
      <c r="BE116" s="234" t="s">
        <v>443</v>
      </c>
      <c r="BF116" s="234" t="s">
        <v>37</v>
      </c>
      <c r="BG116" s="234" t="s">
        <v>445</v>
      </c>
      <c r="BH116" s="234"/>
      <c r="BI116" s="234" t="s">
        <v>492</v>
      </c>
      <c r="BJ116" s="234">
        <v>-9999</v>
      </c>
      <c r="BK116" s="234">
        <v>-9999</v>
      </c>
      <c r="BL116" s="234">
        <v>-9999</v>
      </c>
      <c r="BM116" s="234">
        <v>-9999</v>
      </c>
      <c r="BN116" s="234">
        <v>-9999</v>
      </c>
      <c r="BO116" s="234">
        <v>-9999</v>
      </c>
      <c r="BP116" s="234">
        <v>-9999</v>
      </c>
      <c r="BQ116" s="234">
        <v>-9999</v>
      </c>
      <c r="BR116" s="234">
        <v>-9999</v>
      </c>
      <c r="BS116" s="491">
        <v>-9999</v>
      </c>
      <c r="BT116" s="234">
        <v>-9999</v>
      </c>
      <c r="BU116" s="234">
        <v>-9999</v>
      </c>
      <c r="BV116" s="234">
        <v>-9999</v>
      </c>
      <c r="BW116" s="234"/>
      <c r="BX116" s="234">
        <v>-9999</v>
      </c>
      <c r="BY116" s="234">
        <v>-9999</v>
      </c>
      <c r="BZ116" s="496">
        <v>-9999</v>
      </c>
      <c r="CA116" s="496">
        <v>-9999</v>
      </c>
      <c r="CB116" s="499" t="s">
        <v>446</v>
      </c>
      <c r="CC116" s="57">
        <v>5</v>
      </c>
      <c r="CD116" s="57">
        <v>1</v>
      </c>
      <c r="CE116" s="292">
        <v>8.3000000000000007</v>
      </c>
      <c r="CF116" s="292">
        <v>13.4</v>
      </c>
      <c r="CG116" s="57">
        <v>5</v>
      </c>
    </row>
    <row r="117" spans="1:1873" s="23" customFormat="1" x14ac:dyDescent="0.2">
      <c r="A117" s="234"/>
      <c r="B117" s="234"/>
      <c r="C117" s="234"/>
      <c r="D117" s="234"/>
      <c r="E117" s="493"/>
      <c r="F117" s="234"/>
      <c r="G117" s="234"/>
      <c r="H117" s="234"/>
      <c r="I117" s="234"/>
      <c r="J117" s="234"/>
      <c r="K117" s="234"/>
      <c r="L117" s="234"/>
      <c r="M117" s="389"/>
      <c r="N117" s="389"/>
      <c r="O117" s="29"/>
      <c r="P117" s="237"/>
      <c r="Q117" s="234"/>
      <c r="R117" s="389"/>
      <c r="S117" s="234"/>
      <c r="T117" s="237"/>
      <c r="U117" s="234"/>
      <c r="V117" s="234"/>
      <c r="W117" s="389"/>
      <c r="X117" s="389"/>
      <c r="Y117" s="389"/>
      <c r="Z117" s="234"/>
      <c r="AA117" s="515"/>
      <c r="AB117" s="389"/>
      <c r="AC117" s="389"/>
      <c r="AD117" s="234"/>
      <c r="AE117" s="389"/>
      <c r="AF117" s="234"/>
      <c r="AG117" s="234"/>
      <c r="AH117" s="234"/>
      <c r="AI117" s="234"/>
      <c r="AJ117" s="234"/>
      <c r="AK117" s="234"/>
      <c r="AL117" s="234"/>
      <c r="AM117" s="234"/>
      <c r="AN117" s="234"/>
      <c r="AO117" s="234"/>
      <c r="AP117" s="234"/>
      <c r="AQ117" s="234"/>
      <c r="AR117" s="234"/>
      <c r="AS117" s="234"/>
      <c r="AT117" s="234"/>
      <c r="AU117" s="234"/>
      <c r="AV117" s="234"/>
      <c r="AW117" s="234"/>
      <c r="AX117" s="234"/>
      <c r="AY117" s="234"/>
      <c r="AZ117" s="234"/>
      <c r="BA117" s="234"/>
      <c r="BB117" s="234"/>
      <c r="BC117" s="234"/>
      <c r="BD117" s="234"/>
      <c r="BE117" s="234"/>
      <c r="BF117" s="234"/>
      <c r="BG117" s="234"/>
      <c r="BH117" s="234"/>
      <c r="BI117" s="234"/>
      <c r="BJ117" s="234"/>
      <c r="BK117" s="234"/>
      <c r="BL117" s="234"/>
      <c r="BM117" s="234"/>
      <c r="BN117" s="234"/>
      <c r="BO117" s="234"/>
      <c r="BP117" s="234"/>
      <c r="BQ117" s="234"/>
      <c r="BR117" s="234"/>
      <c r="BS117" s="491"/>
      <c r="BT117" s="234"/>
      <c r="BU117" s="234"/>
      <c r="BV117" s="234"/>
      <c r="BW117" s="234"/>
      <c r="BX117" s="234"/>
      <c r="BY117" s="234"/>
      <c r="BZ117" s="496"/>
      <c r="CA117" s="496"/>
      <c r="CB117" s="499"/>
      <c r="CC117" s="57"/>
      <c r="CD117" s="57"/>
      <c r="CE117" s="342" t="s">
        <v>1576</v>
      </c>
      <c r="CF117" s="342" t="s">
        <v>1575</v>
      </c>
      <c r="CG117" s="57"/>
    </row>
    <row r="118" spans="1:1873" s="23" customFormat="1" x14ac:dyDescent="0.2">
      <c r="A118" s="234" t="s">
        <v>655</v>
      </c>
      <c r="B118" s="234" t="s">
        <v>618</v>
      </c>
      <c r="C118" s="234" t="s">
        <v>452</v>
      </c>
      <c r="D118" s="234" t="s">
        <v>633</v>
      </c>
      <c r="E118" s="493" t="s">
        <v>656</v>
      </c>
      <c r="F118" s="234">
        <v>1</v>
      </c>
      <c r="G118" s="234">
        <v>1</v>
      </c>
      <c r="H118" s="234">
        <v>1</v>
      </c>
      <c r="I118" s="234" t="s">
        <v>621</v>
      </c>
      <c r="J118" s="234">
        <v>1987</v>
      </c>
      <c r="K118" s="234" t="s">
        <v>1211</v>
      </c>
      <c r="L118" s="234">
        <v>1987</v>
      </c>
      <c r="M118" s="389">
        <v>0.7</v>
      </c>
      <c r="N118" s="389">
        <v>0.1</v>
      </c>
      <c r="O118" s="29"/>
      <c r="P118" s="237">
        <f>+M118</f>
        <v>0.7</v>
      </c>
      <c r="Q118" s="234">
        <v>-9999</v>
      </c>
      <c r="R118" s="389"/>
      <c r="S118" s="234"/>
      <c r="T118" s="237">
        <f>+P118/H118</f>
        <v>0.7</v>
      </c>
      <c r="U118" s="234">
        <v>-9999</v>
      </c>
      <c r="V118" s="234"/>
      <c r="W118" s="389">
        <v>0.7</v>
      </c>
      <c r="X118" s="389">
        <v>0.1</v>
      </c>
      <c r="Y118" s="389"/>
      <c r="Z118" s="234" t="s">
        <v>675</v>
      </c>
      <c r="AA118" s="515">
        <v>47259</v>
      </c>
      <c r="AB118" s="389">
        <v>1</v>
      </c>
      <c r="AC118" s="676">
        <v>6.4799999999999996E-2</v>
      </c>
      <c r="AD118" s="234">
        <v>36</v>
      </c>
      <c r="AE118" s="392" t="s">
        <v>1978</v>
      </c>
      <c r="AF118" s="234">
        <v>3</v>
      </c>
      <c r="AG118" s="234">
        <v>1</v>
      </c>
      <c r="AH118" s="234" t="s">
        <v>623</v>
      </c>
      <c r="AI118" s="234" t="s">
        <v>624</v>
      </c>
      <c r="AJ118" s="234" t="s">
        <v>624</v>
      </c>
      <c r="AK118" s="234" t="s">
        <v>626</v>
      </c>
      <c r="AL118" s="234" t="s">
        <v>653</v>
      </c>
      <c r="AM118" s="234">
        <v>-9999</v>
      </c>
      <c r="AN118" s="234" t="s">
        <v>626</v>
      </c>
      <c r="AO118" s="234" t="s">
        <v>627</v>
      </c>
      <c r="AP118" s="234" t="s">
        <v>658</v>
      </c>
      <c r="AQ118" s="234" t="s">
        <v>631</v>
      </c>
      <c r="AR118" s="234">
        <v>0</v>
      </c>
      <c r="AS118" s="234">
        <v>-9999</v>
      </c>
      <c r="AT118" s="234">
        <v>-9999</v>
      </c>
      <c r="AU118" s="234">
        <v>0</v>
      </c>
      <c r="AV118" s="234">
        <v>-9999</v>
      </c>
      <c r="AW118" s="234">
        <v>-9999</v>
      </c>
      <c r="AX118" s="234">
        <v>0</v>
      </c>
      <c r="AY118" s="234">
        <v>-9999</v>
      </c>
      <c r="AZ118" s="234">
        <v>-9999</v>
      </c>
      <c r="BA118" s="234">
        <v>-9999</v>
      </c>
      <c r="BB118" s="234" t="s">
        <v>626</v>
      </c>
      <c r="BC118" s="234" t="s">
        <v>673</v>
      </c>
      <c r="BD118" s="234" t="s">
        <v>444</v>
      </c>
      <c r="BE118" s="234" t="s">
        <v>443</v>
      </c>
      <c r="BF118" s="234" t="s">
        <v>37</v>
      </c>
      <c r="BG118" s="234" t="s">
        <v>445</v>
      </c>
      <c r="BH118" s="234"/>
      <c r="BI118" s="234" t="s">
        <v>492</v>
      </c>
      <c r="BJ118" s="234">
        <v>-9999</v>
      </c>
      <c r="BK118" s="234">
        <v>-9999</v>
      </c>
      <c r="BL118" s="234">
        <v>-9999</v>
      </c>
      <c r="BM118" s="234">
        <v>-9999</v>
      </c>
      <c r="BN118" s="234">
        <v>-9999</v>
      </c>
      <c r="BO118" s="234">
        <v>-9999</v>
      </c>
      <c r="BP118" s="234">
        <v>-9999</v>
      </c>
      <c r="BQ118" s="234">
        <v>-9999</v>
      </c>
      <c r="BR118" s="234">
        <v>-9999</v>
      </c>
      <c r="BS118" s="491">
        <v>-9999</v>
      </c>
      <c r="BT118" s="234">
        <v>-9999</v>
      </c>
      <c r="BU118" s="234">
        <v>-9999</v>
      </c>
      <c r="BV118" s="234">
        <v>-9999</v>
      </c>
      <c r="BW118" s="234"/>
      <c r="BX118" s="234">
        <v>-9999</v>
      </c>
      <c r="BY118" s="234">
        <v>-9999</v>
      </c>
      <c r="BZ118" s="496">
        <v>-9999</v>
      </c>
      <c r="CA118" s="496">
        <v>-9999</v>
      </c>
      <c r="CB118" s="499" t="s">
        <v>446</v>
      </c>
      <c r="CC118" s="57">
        <v>1</v>
      </c>
      <c r="CD118" s="57">
        <v>1</v>
      </c>
      <c r="CE118" s="292">
        <v>0.7</v>
      </c>
      <c r="CF118" s="292">
        <v>0.7</v>
      </c>
      <c r="CG118" s="57">
        <v>1</v>
      </c>
    </row>
    <row r="119" spans="1:1873" s="23" customFormat="1" x14ac:dyDescent="0.2">
      <c r="A119" s="234" t="s">
        <v>655</v>
      </c>
      <c r="B119" s="234" t="s">
        <v>618</v>
      </c>
      <c r="C119" s="234" t="s">
        <v>452</v>
      </c>
      <c r="D119" s="234" t="s">
        <v>633</v>
      </c>
      <c r="E119" s="493" t="s">
        <v>656</v>
      </c>
      <c r="F119" s="234">
        <v>2</v>
      </c>
      <c r="G119" s="234">
        <v>1</v>
      </c>
      <c r="H119" s="234">
        <v>2</v>
      </c>
      <c r="I119" s="234" t="s">
        <v>621</v>
      </c>
      <c r="J119" s="234">
        <v>1987</v>
      </c>
      <c r="K119" s="234" t="s">
        <v>1211</v>
      </c>
      <c r="L119" s="234">
        <v>1988</v>
      </c>
      <c r="M119" s="389">
        <v>4.5</v>
      </c>
      <c r="N119" s="389">
        <v>0.7</v>
      </c>
      <c r="O119" s="29"/>
      <c r="P119" s="237">
        <f>+P118+M119</f>
        <v>5.2</v>
      </c>
      <c r="Q119" s="234">
        <v>-9999</v>
      </c>
      <c r="R119" s="389"/>
      <c r="S119" s="234"/>
      <c r="T119" s="237">
        <f>+P119/H119</f>
        <v>2.6</v>
      </c>
      <c r="U119" s="234">
        <v>-9999</v>
      </c>
      <c r="V119" s="234"/>
      <c r="W119" s="389">
        <v>4.5</v>
      </c>
      <c r="X119" s="389">
        <v>0.7</v>
      </c>
      <c r="Y119" s="389"/>
      <c r="Z119" s="234" t="s">
        <v>675</v>
      </c>
      <c r="AA119" s="515">
        <v>47259</v>
      </c>
      <c r="AB119" s="389">
        <v>0.94</v>
      </c>
      <c r="AC119" s="676">
        <v>6.4799999999999996E-2</v>
      </c>
      <c r="AD119" s="234">
        <v>36</v>
      </c>
      <c r="AE119" s="392" t="s">
        <v>1978</v>
      </c>
      <c r="AF119" s="234">
        <v>3</v>
      </c>
      <c r="AG119" s="234">
        <v>1</v>
      </c>
      <c r="AH119" s="234" t="s">
        <v>623</v>
      </c>
      <c r="AI119" s="234" t="s">
        <v>624</v>
      </c>
      <c r="AJ119" s="234" t="s">
        <v>624</v>
      </c>
      <c r="AK119" s="234" t="s">
        <v>626</v>
      </c>
      <c r="AL119" s="234" t="s">
        <v>653</v>
      </c>
      <c r="AM119" s="234">
        <v>-9999</v>
      </c>
      <c r="AN119" s="234" t="s">
        <v>626</v>
      </c>
      <c r="AO119" s="234" t="s">
        <v>627</v>
      </c>
      <c r="AP119" s="234" t="s">
        <v>658</v>
      </c>
      <c r="AQ119" s="234" t="s">
        <v>631</v>
      </c>
      <c r="AR119" s="234">
        <v>0</v>
      </c>
      <c r="AS119" s="234">
        <v>-9999</v>
      </c>
      <c r="AT119" s="234">
        <v>-9999</v>
      </c>
      <c r="AU119" s="234">
        <v>0</v>
      </c>
      <c r="AV119" s="234">
        <v>-9999</v>
      </c>
      <c r="AW119" s="234">
        <v>-9999</v>
      </c>
      <c r="AX119" s="234">
        <v>0</v>
      </c>
      <c r="AY119" s="234">
        <v>-9999</v>
      </c>
      <c r="AZ119" s="234">
        <v>-9999</v>
      </c>
      <c r="BA119" s="234">
        <v>-9999</v>
      </c>
      <c r="BB119" s="234" t="s">
        <v>626</v>
      </c>
      <c r="BC119" s="234" t="s">
        <v>673</v>
      </c>
      <c r="BD119" s="234" t="s">
        <v>444</v>
      </c>
      <c r="BE119" s="234" t="s">
        <v>443</v>
      </c>
      <c r="BF119" s="234" t="s">
        <v>37</v>
      </c>
      <c r="BG119" s="234" t="s">
        <v>445</v>
      </c>
      <c r="BH119" s="234"/>
      <c r="BI119" s="234" t="s">
        <v>492</v>
      </c>
      <c r="BJ119" s="234">
        <v>-9999</v>
      </c>
      <c r="BK119" s="234">
        <v>-9999</v>
      </c>
      <c r="BL119" s="234">
        <v>-9999</v>
      </c>
      <c r="BM119" s="234">
        <v>-9999</v>
      </c>
      <c r="BN119" s="234">
        <v>-9999</v>
      </c>
      <c r="BO119" s="234">
        <v>-9999</v>
      </c>
      <c r="BP119" s="234">
        <v>-9999</v>
      </c>
      <c r="BQ119" s="234">
        <v>-9999</v>
      </c>
      <c r="BR119" s="234">
        <v>-9999</v>
      </c>
      <c r="BS119" s="491">
        <v>-9999</v>
      </c>
      <c r="BT119" s="234">
        <v>-9999</v>
      </c>
      <c r="BU119" s="234">
        <v>-9999</v>
      </c>
      <c r="BV119" s="234">
        <v>-9999</v>
      </c>
      <c r="BW119" s="234"/>
      <c r="BX119" s="234">
        <v>-9999</v>
      </c>
      <c r="BY119" s="234">
        <v>-9999</v>
      </c>
      <c r="BZ119" s="496">
        <v>-9999</v>
      </c>
      <c r="CA119" s="496">
        <v>-9999</v>
      </c>
      <c r="CB119" s="499" t="s">
        <v>446</v>
      </c>
      <c r="CC119" s="57">
        <v>2</v>
      </c>
      <c r="CD119" s="57">
        <v>1</v>
      </c>
      <c r="CE119" s="292">
        <v>2.6</v>
      </c>
      <c r="CF119" s="292">
        <v>4.5</v>
      </c>
      <c r="CG119" s="57">
        <v>2</v>
      </c>
    </row>
    <row r="120" spans="1:1873" s="23" customFormat="1" x14ac:dyDescent="0.2">
      <c r="A120" s="234" t="s">
        <v>655</v>
      </c>
      <c r="B120" s="234" t="s">
        <v>618</v>
      </c>
      <c r="C120" s="234" t="s">
        <v>452</v>
      </c>
      <c r="D120" s="234" t="s">
        <v>633</v>
      </c>
      <c r="E120" s="493" t="s">
        <v>656</v>
      </c>
      <c r="F120" s="234">
        <v>3</v>
      </c>
      <c r="G120" s="234">
        <v>1</v>
      </c>
      <c r="H120" s="234">
        <v>3</v>
      </c>
      <c r="I120" s="234" t="s">
        <v>621</v>
      </c>
      <c r="J120" s="234">
        <v>1987</v>
      </c>
      <c r="K120" s="234" t="s">
        <v>1211</v>
      </c>
      <c r="L120" s="234">
        <v>1989</v>
      </c>
      <c r="M120" s="389">
        <v>5.9</v>
      </c>
      <c r="N120" s="389">
        <v>0.6</v>
      </c>
      <c r="O120" s="29"/>
      <c r="P120" s="237">
        <f>+P119+M120</f>
        <v>11.100000000000001</v>
      </c>
      <c r="Q120" s="234">
        <v>-9999</v>
      </c>
      <c r="R120" s="389"/>
      <c r="S120" s="234"/>
      <c r="T120" s="237">
        <f>+P120/H120</f>
        <v>3.7000000000000006</v>
      </c>
      <c r="U120" s="234">
        <v>-9999</v>
      </c>
      <c r="V120" s="234"/>
      <c r="W120" s="389">
        <v>5.9</v>
      </c>
      <c r="X120" s="389">
        <v>0.6</v>
      </c>
      <c r="Y120" s="389"/>
      <c r="Z120" s="234" t="s">
        <v>675</v>
      </c>
      <c r="AA120" s="515">
        <v>47259</v>
      </c>
      <c r="AB120" s="495">
        <v>0.93</v>
      </c>
      <c r="AC120" s="676">
        <v>6.4799999999999996E-2</v>
      </c>
      <c r="AD120" s="234">
        <v>36</v>
      </c>
      <c r="AE120" s="392" t="s">
        <v>1978</v>
      </c>
      <c r="AF120" s="234">
        <v>3</v>
      </c>
      <c r="AG120" s="234">
        <v>1</v>
      </c>
      <c r="AH120" s="234" t="s">
        <v>623</v>
      </c>
      <c r="AI120" s="234" t="s">
        <v>624</v>
      </c>
      <c r="AJ120" s="234" t="s">
        <v>624</v>
      </c>
      <c r="AK120" s="234" t="s">
        <v>626</v>
      </c>
      <c r="AL120" s="234" t="s">
        <v>653</v>
      </c>
      <c r="AM120" s="234">
        <v>-9999</v>
      </c>
      <c r="AN120" s="234" t="s">
        <v>626</v>
      </c>
      <c r="AO120" s="234" t="s">
        <v>627</v>
      </c>
      <c r="AP120" s="234" t="s">
        <v>658</v>
      </c>
      <c r="AQ120" s="234" t="s">
        <v>631</v>
      </c>
      <c r="AR120" s="234">
        <v>0</v>
      </c>
      <c r="AS120" s="234">
        <v>-9999</v>
      </c>
      <c r="AT120" s="234">
        <v>-9999</v>
      </c>
      <c r="AU120" s="234">
        <v>0</v>
      </c>
      <c r="AV120" s="234">
        <v>-9999</v>
      </c>
      <c r="AW120" s="234">
        <v>-9999</v>
      </c>
      <c r="AX120" s="234">
        <v>0</v>
      </c>
      <c r="AY120" s="234">
        <v>-9999</v>
      </c>
      <c r="AZ120" s="234">
        <v>-9999</v>
      </c>
      <c r="BA120" s="234">
        <v>-9999</v>
      </c>
      <c r="BB120" s="234" t="s">
        <v>626</v>
      </c>
      <c r="BC120" s="234" t="s">
        <v>673</v>
      </c>
      <c r="BD120" s="234" t="s">
        <v>444</v>
      </c>
      <c r="BE120" s="234" t="s">
        <v>443</v>
      </c>
      <c r="BF120" s="234" t="s">
        <v>37</v>
      </c>
      <c r="BG120" s="234" t="s">
        <v>445</v>
      </c>
      <c r="BH120" s="234"/>
      <c r="BI120" s="234" t="s">
        <v>492</v>
      </c>
      <c r="BJ120" s="234">
        <v>-9999</v>
      </c>
      <c r="BK120" s="234">
        <v>-9999</v>
      </c>
      <c r="BL120" s="234">
        <v>-9999</v>
      </c>
      <c r="BM120" s="234">
        <v>-9999</v>
      </c>
      <c r="BN120" s="234">
        <v>-9999</v>
      </c>
      <c r="BO120" s="234">
        <v>-9999</v>
      </c>
      <c r="BP120" s="234">
        <v>-9999</v>
      </c>
      <c r="BQ120" s="234">
        <v>-9999</v>
      </c>
      <c r="BR120" s="234">
        <v>-9999</v>
      </c>
      <c r="BS120" s="491">
        <v>-9999</v>
      </c>
      <c r="BT120" s="234">
        <v>-9999</v>
      </c>
      <c r="BU120" s="234">
        <v>-9999</v>
      </c>
      <c r="BV120" s="234">
        <v>-9999</v>
      </c>
      <c r="BW120" s="234"/>
      <c r="BX120" s="234">
        <v>-9999</v>
      </c>
      <c r="BY120" s="234">
        <v>-9999</v>
      </c>
      <c r="BZ120" s="496">
        <v>-9999</v>
      </c>
      <c r="CA120" s="496">
        <v>-9999</v>
      </c>
      <c r="CB120" s="499" t="s">
        <v>446</v>
      </c>
      <c r="CC120" s="57">
        <v>3</v>
      </c>
      <c r="CD120" s="57">
        <v>1</v>
      </c>
      <c r="CE120" s="292">
        <v>3.7000000000000006</v>
      </c>
      <c r="CF120" s="292">
        <v>5.9</v>
      </c>
      <c r="CG120" s="57">
        <v>3</v>
      </c>
    </row>
    <row r="121" spans="1:1873" s="23" customFormat="1" x14ac:dyDescent="0.2">
      <c r="A121" s="234" t="s">
        <v>655</v>
      </c>
      <c r="B121" s="234" t="s">
        <v>618</v>
      </c>
      <c r="C121" s="234" t="s">
        <v>452</v>
      </c>
      <c r="D121" s="234" t="s">
        <v>633</v>
      </c>
      <c r="E121" s="493" t="s">
        <v>656</v>
      </c>
      <c r="F121" s="234">
        <v>4</v>
      </c>
      <c r="G121" s="234">
        <v>1</v>
      </c>
      <c r="H121" s="234">
        <v>4</v>
      </c>
      <c r="I121" s="234" t="s">
        <v>621</v>
      </c>
      <c r="J121" s="234">
        <v>1987</v>
      </c>
      <c r="K121" s="234" t="s">
        <v>1211</v>
      </c>
      <c r="L121" s="234">
        <v>1990</v>
      </c>
      <c r="M121" s="389">
        <v>11.8</v>
      </c>
      <c r="N121" s="389">
        <v>0.6</v>
      </c>
      <c r="O121" s="29"/>
      <c r="P121" s="237">
        <f>+P120+M121</f>
        <v>22.900000000000002</v>
      </c>
      <c r="Q121" s="234">
        <v>-9999</v>
      </c>
      <c r="R121" s="389"/>
      <c r="S121" s="234"/>
      <c r="T121" s="237">
        <f>+P121/H121</f>
        <v>5.7250000000000005</v>
      </c>
      <c r="U121" s="234">
        <v>-9999</v>
      </c>
      <c r="V121" s="234"/>
      <c r="W121" s="389">
        <v>11.8</v>
      </c>
      <c r="X121" s="389">
        <v>0.6</v>
      </c>
      <c r="Y121" s="389"/>
      <c r="Z121" s="234" t="s">
        <v>675</v>
      </c>
      <c r="AA121" s="515">
        <v>47259</v>
      </c>
      <c r="AB121" s="389">
        <v>0.92</v>
      </c>
      <c r="AC121" s="676">
        <v>6.4799999999999996E-2</v>
      </c>
      <c r="AD121" s="234">
        <v>36</v>
      </c>
      <c r="AE121" s="392" t="s">
        <v>1978</v>
      </c>
      <c r="AF121" s="234">
        <v>3</v>
      </c>
      <c r="AG121" s="234">
        <v>1</v>
      </c>
      <c r="AH121" s="234" t="s">
        <v>623</v>
      </c>
      <c r="AI121" s="234" t="s">
        <v>624</v>
      </c>
      <c r="AJ121" s="234" t="s">
        <v>624</v>
      </c>
      <c r="AK121" s="234" t="s">
        <v>626</v>
      </c>
      <c r="AL121" s="234" t="s">
        <v>653</v>
      </c>
      <c r="AM121" s="234">
        <v>-9999</v>
      </c>
      <c r="AN121" s="234" t="s">
        <v>626</v>
      </c>
      <c r="AO121" s="234" t="s">
        <v>627</v>
      </c>
      <c r="AP121" s="234" t="s">
        <v>658</v>
      </c>
      <c r="AQ121" s="234" t="s">
        <v>631</v>
      </c>
      <c r="AR121" s="234">
        <v>0</v>
      </c>
      <c r="AS121" s="234">
        <v>-9999</v>
      </c>
      <c r="AT121" s="234">
        <v>-9999</v>
      </c>
      <c r="AU121" s="234">
        <v>0</v>
      </c>
      <c r="AV121" s="234">
        <v>-9999</v>
      </c>
      <c r="AW121" s="234">
        <v>-9999</v>
      </c>
      <c r="AX121" s="234">
        <v>0</v>
      </c>
      <c r="AY121" s="234">
        <v>-9999</v>
      </c>
      <c r="AZ121" s="234">
        <v>-9999</v>
      </c>
      <c r="BA121" s="234">
        <v>-9999</v>
      </c>
      <c r="BB121" s="234" t="s">
        <v>626</v>
      </c>
      <c r="BC121" s="234" t="s">
        <v>673</v>
      </c>
      <c r="BD121" s="234" t="s">
        <v>444</v>
      </c>
      <c r="BE121" s="234" t="s">
        <v>443</v>
      </c>
      <c r="BF121" s="234" t="s">
        <v>37</v>
      </c>
      <c r="BG121" s="234" t="s">
        <v>445</v>
      </c>
      <c r="BH121" s="234"/>
      <c r="BI121" s="234" t="s">
        <v>492</v>
      </c>
      <c r="BJ121" s="234">
        <v>-9999</v>
      </c>
      <c r="BK121" s="234">
        <v>-9999</v>
      </c>
      <c r="BL121" s="234">
        <v>-9999</v>
      </c>
      <c r="BM121" s="234">
        <v>-9999</v>
      </c>
      <c r="BN121" s="234">
        <v>-9999</v>
      </c>
      <c r="BO121" s="234">
        <v>-9999</v>
      </c>
      <c r="BP121" s="234">
        <v>-9999</v>
      </c>
      <c r="BQ121" s="234">
        <v>-9999</v>
      </c>
      <c r="BR121" s="234">
        <v>-9999</v>
      </c>
      <c r="BS121" s="491">
        <v>-9999</v>
      </c>
      <c r="BT121" s="234">
        <v>-9999</v>
      </c>
      <c r="BU121" s="234">
        <v>-9999</v>
      </c>
      <c r="BV121" s="234">
        <v>-9999</v>
      </c>
      <c r="BW121" s="234"/>
      <c r="BX121" s="234">
        <v>-9999</v>
      </c>
      <c r="BY121" s="234">
        <v>-9999</v>
      </c>
      <c r="BZ121" s="496">
        <v>-9999</v>
      </c>
      <c r="CA121" s="496">
        <v>-9999</v>
      </c>
      <c r="CB121" s="499" t="s">
        <v>446</v>
      </c>
      <c r="CC121" s="57">
        <v>4</v>
      </c>
      <c r="CD121" s="57">
        <v>1</v>
      </c>
      <c r="CE121" s="292">
        <v>5.7250000000000005</v>
      </c>
      <c r="CF121" s="292">
        <v>11.8</v>
      </c>
      <c r="CG121" s="57">
        <v>4</v>
      </c>
    </row>
    <row r="122" spans="1:1873" s="23" customFormat="1" x14ac:dyDescent="0.2">
      <c r="A122" s="234" t="s">
        <v>655</v>
      </c>
      <c r="B122" s="234" t="s">
        <v>618</v>
      </c>
      <c r="C122" s="234" t="s">
        <v>452</v>
      </c>
      <c r="D122" s="234" t="s">
        <v>633</v>
      </c>
      <c r="E122" s="493" t="s">
        <v>656</v>
      </c>
      <c r="F122" s="234">
        <v>5</v>
      </c>
      <c r="G122" s="234">
        <v>1</v>
      </c>
      <c r="H122" s="234">
        <v>5</v>
      </c>
      <c r="I122" s="234" t="s">
        <v>621</v>
      </c>
      <c r="J122" s="234">
        <v>1987</v>
      </c>
      <c r="K122" s="234" t="s">
        <v>1211</v>
      </c>
      <c r="L122" s="234">
        <v>1991</v>
      </c>
      <c r="M122" s="389">
        <v>14</v>
      </c>
      <c r="N122" s="389">
        <v>0.4</v>
      </c>
      <c r="O122" s="29"/>
      <c r="P122" s="237">
        <f>+P121+M122</f>
        <v>36.900000000000006</v>
      </c>
      <c r="Q122" s="234">
        <v>-9999</v>
      </c>
      <c r="R122" s="389"/>
      <c r="S122" s="234"/>
      <c r="T122" s="237">
        <f>+P122/H122</f>
        <v>7.3800000000000008</v>
      </c>
      <c r="U122" s="234">
        <v>-9999</v>
      </c>
      <c r="V122" s="234"/>
      <c r="W122" s="389">
        <v>14</v>
      </c>
      <c r="X122" s="389">
        <v>0.4</v>
      </c>
      <c r="Y122" s="389"/>
      <c r="Z122" s="234" t="s">
        <v>675</v>
      </c>
      <c r="AA122" s="515">
        <v>47259</v>
      </c>
      <c r="AB122" s="389">
        <v>0.92</v>
      </c>
      <c r="AC122" s="676">
        <v>6.4799999999999996E-2</v>
      </c>
      <c r="AD122" s="234">
        <v>36</v>
      </c>
      <c r="AE122" s="392" t="s">
        <v>1978</v>
      </c>
      <c r="AF122" s="234">
        <v>3</v>
      </c>
      <c r="AG122" s="234">
        <v>1</v>
      </c>
      <c r="AH122" s="234" t="s">
        <v>623</v>
      </c>
      <c r="AI122" s="234" t="s">
        <v>624</v>
      </c>
      <c r="AJ122" s="234" t="s">
        <v>624</v>
      </c>
      <c r="AK122" s="234" t="s">
        <v>626</v>
      </c>
      <c r="AL122" s="234" t="s">
        <v>653</v>
      </c>
      <c r="AM122" s="234">
        <v>-9999</v>
      </c>
      <c r="AN122" s="234" t="s">
        <v>626</v>
      </c>
      <c r="AO122" s="234" t="s">
        <v>627</v>
      </c>
      <c r="AP122" s="234" t="s">
        <v>658</v>
      </c>
      <c r="AQ122" s="234" t="s">
        <v>631</v>
      </c>
      <c r="AR122" s="234">
        <v>0</v>
      </c>
      <c r="AS122" s="234">
        <v>-9999</v>
      </c>
      <c r="AT122" s="234">
        <v>-9999</v>
      </c>
      <c r="AU122" s="234">
        <v>0</v>
      </c>
      <c r="AV122" s="234">
        <v>-9999</v>
      </c>
      <c r="AW122" s="234">
        <v>-9999</v>
      </c>
      <c r="AX122" s="234">
        <v>0</v>
      </c>
      <c r="AY122" s="234">
        <v>-9999</v>
      </c>
      <c r="AZ122" s="234">
        <v>-9999</v>
      </c>
      <c r="BA122" s="234">
        <v>-9999</v>
      </c>
      <c r="BB122" s="234" t="s">
        <v>626</v>
      </c>
      <c r="BC122" s="234" t="s">
        <v>673</v>
      </c>
      <c r="BD122" s="234" t="s">
        <v>444</v>
      </c>
      <c r="BE122" s="234" t="s">
        <v>443</v>
      </c>
      <c r="BF122" s="234" t="s">
        <v>37</v>
      </c>
      <c r="BG122" s="234" t="s">
        <v>445</v>
      </c>
      <c r="BH122" s="234"/>
      <c r="BI122" s="234" t="s">
        <v>492</v>
      </c>
      <c r="BJ122" s="234">
        <v>-9999</v>
      </c>
      <c r="BK122" s="234">
        <v>-9999</v>
      </c>
      <c r="BL122" s="234">
        <v>-9999</v>
      </c>
      <c r="BM122" s="234">
        <v>-9999</v>
      </c>
      <c r="BN122" s="234">
        <v>-9999</v>
      </c>
      <c r="BO122" s="234">
        <v>-9999</v>
      </c>
      <c r="BP122" s="234">
        <v>-9999</v>
      </c>
      <c r="BQ122" s="234">
        <v>-9999</v>
      </c>
      <c r="BR122" s="234">
        <v>-9999</v>
      </c>
      <c r="BS122" s="491">
        <v>-9999</v>
      </c>
      <c r="BT122" s="234">
        <v>-9999</v>
      </c>
      <c r="BU122" s="234">
        <v>-9999</v>
      </c>
      <c r="BV122" s="234">
        <v>-9999</v>
      </c>
      <c r="BW122" s="234"/>
      <c r="BX122" s="234">
        <v>-9999</v>
      </c>
      <c r="BY122" s="234">
        <v>-9999</v>
      </c>
      <c r="BZ122" s="496">
        <v>-9999</v>
      </c>
      <c r="CA122" s="496">
        <v>-9999</v>
      </c>
      <c r="CB122" s="499" t="s">
        <v>446</v>
      </c>
      <c r="CC122" s="57">
        <v>5</v>
      </c>
      <c r="CD122" s="57">
        <v>1</v>
      </c>
      <c r="CE122" s="292">
        <v>7.3800000000000008</v>
      </c>
      <c r="CF122" s="292">
        <v>14</v>
      </c>
      <c r="CG122" s="57">
        <v>5</v>
      </c>
    </row>
    <row r="123" spans="1:1873" s="13" customFormat="1" x14ac:dyDescent="0.2">
      <c r="A123" s="18"/>
      <c r="B123" s="18"/>
      <c r="C123" s="18"/>
      <c r="D123" s="18"/>
      <c r="E123" s="19"/>
      <c r="F123" s="18"/>
      <c r="G123" s="18"/>
      <c r="H123" s="20"/>
      <c r="I123" s="18"/>
      <c r="J123" s="18"/>
      <c r="K123" s="18"/>
      <c r="L123" s="18"/>
      <c r="M123" s="21"/>
      <c r="N123" s="21"/>
      <c r="O123" s="18"/>
      <c r="P123" s="22"/>
      <c r="Q123" s="18"/>
      <c r="R123" s="21"/>
      <c r="S123" s="18"/>
      <c r="T123" s="22"/>
      <c r="U123" s="18"/>
      <c r="V123" s="18"/>
      <c r="W123" s="21"/>
      <c r="X123" s="18"/>
      <c r="Y123" s="18"/>
      <c r="Z123" s="18"/>
      <c r="AA123" s="382"/>
      <c r="AB123" s="21"/>
      <c r="AC123" s="18"/>
      <c r="AD123" s="18"/>
      <c r="AE123" s="18"/>
      <c r="AF123" s="18"/>
      <c r="AG123" s="18"/>
      <c r="AH123" s="18"/>
      <c r="AI123" s="18"/>
      <c r="AJ123" s="18"/>
      <c r="AK123" s="18"/>
      <c r="AL123" s="18"/>
      <c r="AM123" s="18"/>
      <c r="AN123" s="18"/>
      <c r="AO123" s="18"/>
      <c r="AP123" s="18"/>
      <c r="AQ123" s="18"/>
      <c r="AR123" s="18"/>
      <c r="AS123" s="18"/>
      <c r="AT123" s="18"/>
      <c r="AU123" s="18"/>
      <c r="AV123" s="18"/>
      <c r="AW123" s="18"/>
      <c r="AX123" s="18"/>
      <c r="AY123" s="18"/>
      <c r="AZ123" s="18"/>
      <c r="BA123" s="18"/>
      <c r="BB123" s="18"/>
      <c r="BC123" s="18"/>
      <c r="BD123" s="18"/>
      <c r="BE123" s="18"/>
      <c r="BF123" s="18"/>
      <c r="BG123" s="18"/>
      <c r="BH123" s="18"/>
      <c r="BI123" s="18"/>
      <c r="BJ123" s="18"/>
      <c r="BK123" s="18"/>
      <c r="BL123" s="18"/>
      <c r="BM123" s="18"/>
      <c r="BN123" s="18"/>
      <c r="BO123" s="18"/>
      <c r="BP123" s="18"/>
      <c r="BQ123" s="18"/>
      <c r="BR123" s="18"/>
      <c r="BS123" s="30"/>
      <c r="BT123" s="18"/>
      <c r="BU123" s="18"/>
      <c r="BV123" s="18"/>
      <c r="BW123" s="18"/>
      <c r="BX123" s="18"/>
      <c r="BY123" s="18"/>
      <c r="BZ123" s="73"/>
      <c r="CA123" s="73"/>
      <c r="CC123" s="18"/>
      <c r="CD123" s="18"/>
      <c r="CE123" s="342" t="s">
        <v>1576</v>
      </c>
      <c r="CF123" s="342" t="s">
        <v>1575</v>
      </c>
      <c r="CG123" s="20"/>
    </row>
    <row r="124" spans="1:1873" s="178" customFormat="1" x14ac:dyDescent="0.2">
      <c r="A124" s="231" t="s">
        <v>676</v>
      </c>
      <c r="B124" s="231" t="s">
        <v>618</v>
      </c>
      <c r="C124" s="231" t="s">
        <v>469</v>
      </c>
      <c r="D124" s="231" t="s">
        <v>633</v>
      </c>
      <c r="E124" s="232" t="s">
        <v>634</v>
      </c>
      <c r="F124" s="222">
        <v>1</v>
      </c>
      <c r="G124" s="233">
        <v>1</v>
      </c>
      <c r="H124" s="222">
        <v>2</v>
      </c>
      <c r="I124" s="231" t="s">
        <v>621</v>
      </c>
      <c r="J124" s="231">
        <v>1990</v>
      </c>
      <c r="K124" s="231" t="s">
        <v>1211</v>
      </c>
      <c r="L124" s="231">
        <v>1991</v>
      </c>
      <c r="M124" s="235">
        <v>19.3</v>
      </c>
      <c r="N124" s="235">
        <v>2.2000000000000002</v>
      </c>
      <c r="O124" s="18"/>
      <c r="P124" s="236">
        <f>+M124</f>
        <v>19.3</v>
      </c>
      <c r="Q124" s="231">
        <v>-9999</v>
      </c>
      <c r="R124" s="235"/>
      <c r="S124" s="231"/>
      <c r="T124" s="236">
        <f>+P124/F124</f>
        <v>19.3</v>
      </c>
      <c r="U124" s="233">
        <v>-9999</v>
      </c>
      <c r="V124" s="233"/>
      <c r="W124" s="235">
        <f>+M124</f>
        <v>19.3</v>
      </c>
      <c r="X124" s="233">
        <v>-9999</v>
      </c>
      <c r="Y124" s="233"/>
      <c r="Z124" s="231" t="s">
        <v>622</v>
      </c>
      <c r="AA124" s="383">
        <v>111111</v>
      </c>
      <c r="AB124" s="235">
        <v>0.92</v>
      </c>
      <c r="AC124" s="231">
        <v>2.1600000000000001E-2</v>
      </c>
      <c r="AD124" s="231">
        <v>36</v>
      </c>
      <c r="AE124" s="231" t="s">
        <v>1974</v>
      </c>
      <c r="AF124" s="231">
        <v>3</v>
      </c>
      <c r="AG124" s="231">
        <v>2</v>
      </c>
      <c r="AH124" s="231" t="s">
        <v>479</v>
      </c>
      <c r="AI124" s="231" t="s">
        <v>624</v>
      </c>
      <c r="AJ124" s="231">
        <v>-9999</v>
      </c>
      <c r="AK124" s="231" t="s">
        <v>625</v>
      </c>
      <c r="AL124" s="231" t="s">
        <v>642</v>
      </c>
      <c r="AM124" s="231">
        <v>-9999</v>
      </c>
      <c r="AN124" s="231" t="s">
        <v>480</v>
      </c>
      <c r="AO124" s="231" t="s">
        <v>627</v>
      </c>
      <c r="AP124" s="231" t="s">
        <v>677</v>
      </c>
      <c r="AQ124" s="231" t="s">
        <v>626</v>
      </c>
      <c r="AR124" s="231">
        <f>224*G124</f>
        <v>224</v>
      </c>
      <c r="AS124" s="231" t="s">
        <v>1101</v>
      </c>
      <c r="AT124" s="231" t="s">
        <v>745</v>
      </c>
      <c r="AU124" s="231">
        <v>112</v>
      </c>
      <c r="AV124" s="231" t="s">
        <v>218</v>
      </c>
      <c r="AW124" s="231" t="s">
        <v>746</v>
      </c>
      <c r="AX124" s="231">
        <v>112</v>
      </c>
      <c r="AY124" s="231" t="s">
        <v>219</v>
      </c>
      <c r="AZ124" s="231" t="s">
        <v>746</v>
      </c>
      <c r="BA124" s="231">
        <v>-9999</v>
      </c>
      <c r="BB124" s="231" t="s">
        <v>626</v>
      </c>
      <c r="BC124" s="231" t="s">
        <v>641</v>
      </c>
      <c r="BD124" s="231" t="s">
        <v>642</v>
      </c>
      <c r="BE124" s="231" t="s">
        <v>643</v>
      </c>
      <c r="BF124" s="231">
        <v>-9999</v>
      </c>
      <c r="BG124" s="231">
        <v>-9999</v>
      </c>
      <c r="BH124" s="231">
        <v>-9999</v>
      </c>
      <c r="BI124" s="231" t="s">
        <v>678</v>
      </c>
      <c r="BJ124" s="231">
        <v>-9999</v>
      </c>
      <c r="BK124" s="231">
        <v>-9999</v>
      </c>
      <c r="BL124" s="231">
        <v>-9999</v>
      </c>
      <c r="BM124" s="231">
        <v>-9999</v>
      </c>
      <c r="BN124" s="231">
        <v>-9999</v>
      </c>
      <c r="BO124" s="231">
        <v>-9999</v>
      </c>
      <c r="BP124" s="231">
        <v>-9999</v>
      </c>
      <c r="BQ124" s="231">
        <v>-9999</v>
      </c>
      <c r="BR124" s="233">
        <v>-9999</v>
      </c>
      <c r="BS124" s="233">
        <v>-9999</v>
      </c>
      <c r="BT124" s="233">
        <v>-9999</v>
      </c>
      <c r="BU124" s="233">
        <v>-9999</v>
      </c>
      <c r="BV124" s="233">
        <v>-9999</v>
      </c>
      <c r="BW124" s="233"/>
      <c r="BX124" s="233">
        <v>-9999</v>
      </c>
      <c r="BY124" s="231">
        <v>-9999</v>
      </c>
      <c r="BZ124" s="238">
        <v>-9999</v>
      </c>
      <c r="CA124" s="238" t="s">
        <v>478</v>
      </c>
      <c r="CB124" s="239"/>
      <c r="CC124" s="222">
        <v>1</v>
      </c>
      <c r="CD124" s="233">
        <v>1</v>
      </c>
      <c r="CE124" s="395">
        <v>19.3</v>
      </c>
      <c r="CF124" s="99">
        <v>19.3</v>
      </c>
      <c r="CG124" s="180">
        <v>2</v>
      </c>
      <c r="CH124" s="437" t="s">
        <v>1757</v>
      </c>
      <c r="CI124" s="13"/>
      <c r="CJ124" s="13"/>
      <c r="CK124" s="13"/>
      <c r="CL124" s="13"/>
      <c r="CM124" s="13"/>
      <c r="CN124" s="13"/>
      <c r="CO124" s="13"/>
      <c r="CP124" s="13"/>
      <c r="CQ124" s="13"/>
      <c r="CR124" s="13"/>
      <c r="CS124" s="13"/>
      <c r="CT124" s="13"/>
      <c r="CU124" s="13"/>
      <c r="CV124" s="13"/>
      <c r="CW124" s="13"/>
      <c r="CX124" s="13"/>
      <c r="CY124" s="13"/>
      <c r="CZ124" s="13"/>
      <c r="DA124" s="13"/>
      <c r="DB124" s="13"/>
      <c r="DC124" s="13"/>
      <c r="DD124" s="13"/>
      <c r="DE124" s="13"/>
      <c r="DF124" s="13"/>
      <c r="DG124" s="13"/>
      <c r="DH124" s="13"/>
      <c r="DI124" s="13"/>
      <c r="DJ124" s="13"/>
      <c r="DK124" s="13"/>
      <c r="DL124" s="13"/>
      <c r="DM124" s="13"/>
      <c r="DN124" s="13"/>
      <c r="DO124" s="13"/>
      <c r="DP124" s="13"/>
      <c r="DQ124" s="13"/>
      <c r="DR124" s="13"/>
      <c r="DS124" s="13"/>
      <c r="DT124" s="13"/>
      <c r="DU124" s="13"/>
      <c r="DV124" s="13"/>
      <c r="DW124" s="13"/>
      <c r="DX124" s="13"/>
      <c r="DY124" s="13"/>
      <c r="DZ124" s="13"/>
      <c r="EA124" s="13"/>
      <c r="EB124" s="13"/>
      <c r="EC124" s="13"/>
      <c r="ED124" s="13"/>
      <c r="EE124" s="13"/>
      <c r="EF124" s="13"/>
      <c r="EG124" s="13"/>
      <c r="EH124" s="13"/>
      <c r="EI124" s="13"/>
      <c r="EJ124" s="13"/>
      <c r="EK124" s="13"/>
      <c r="EL124" s="13"/>
      <c r="EM124" s="13"/>
      <c r="EN124" s="13"/>
      <c r="EO124" s="13"/>
      <c r="EP124" s="13"/>
      <c r="EQ124" s="13"/>
      <c r="ER124" s="13"/>
      <c r="ES124" s="13"/>
      <c r="ET124" s="13"/>
      <c r="EU124" s="13"/>
      <c r="EV124" s="13"/>
      <c r="EW124" s="13"/>
      <c r="EX124" s="13"/>
      <c r="EY124" s="13"/>
      <c r="EZ124" s="13"/>
      <c r="FA124" s="13"/>
      <c r="FB124" s="13"/>
      <c r="FC124" s="13"/>
      <c r="FD124" s="13"/>
      <c r="FE124" s="13"/>
      <c r="FF124" s="13"/>
      <c r="FG124" s="13"/>
      <c r="FH124" s="13"/>
      <c r="FI124" s="13"/>
      <c r="FJ124" s="13"/>
      <c r="FK124" s="13"/>
      <c r="FL124" s="13"/>
      <c r="FM124" s="13"/>
      <c r="FN124" s="13"/>
      <c r="FO124" s="13"/>
      <c r="FP124" s="13"/>
      <c r="FQ124" s="13"/>
      <c r="FR124" s="13"/>
      <c r="FS124" s="13"/>
      <c r="FT124" s="13"/>
      <c r="FU124" s="13"/>
      <c r="FV124" s="13"/>
      <c r="FW124" s="13"/>
      <c r="FX124" s="13"/>
      <c r="FY124" s="13"/>
      <c r="FZ124" s="13"/>
      <c r="GA124" s="13"/>
      <c r="GB124" s="13"/>
      <c r="GC124" s="13"/>
      <c r="GD124" s="13"/>
      <c r="GE124" s="13"/>
      <c r="GF124" s="13"/>
      <c r="GG124" s="13"/>
      <c r="GH124" s="13"/>
      <c r="GI124" s="13"/>
      <c r="GJ124" s="13"/>
      <c r="GK124" s="13"/>
      <c r="GL124" s="13"/>
      <c r="GM124" s="13"/>
      <c r="GN124" s="13"/>
      <c r="GO124" s="13"/>
      <c r="GP124" s="13"/>
      <c r="GQ124" s="13"/>
      <c r="GR124" s="13"/>
      <c r="GS124" s="13"/>
      <c r="GT124" s="13"/>
      <c r="GU124" s="13"/>
      <c r="GV124" s="13"/>
      <c r="GW124" s="13"/>
      <c r="GX124" s="13"/>
      <c r="GY124" s="13"/>
      <c r="GZ124" s="13"/>
      <c r="HA124" s="13"/>
      <c r="HB124" s="13"/>
      <c r="HC124" s="13"/>
      <c r="HD124" s="13"/>
      <c r="HE124" s="13"/>
      <c r="HF124" s="13"/>
      <c r="HG124" s="13"/>
      <c r="HH124" s="13"/>
      <c r="HI124" s="13"/>
      <c r="HJ124" s="13"/>
      <c r="HK124" s="13"/>
      <c r="HL124" s="13"/>
      <c r="HM124" s="13"/>
      <c r="HN124" s="13"/>
      <c r="HO124" s="13"/>
      <c r="HP124" s="13"/>
      <c r="HQ124" s="13"/>
      <c r="HR124" s="13"/>
      <c r="HS124" s="13"/>
      <c r="HT124" s="13"/>
      <c r="HU124" s="13"/>
      <c r="HV124" s="13"/>
      <c r="HW124" s="13"/>
      <c r="HX124" s="13"/>
      <c r="HY124" s="13"/>
      <c r="HZ124" s="13"/>
      <c r="IA124" s="13"/>
      <c r="IB124" s="13"/>
      <c r="IC124" s="13"/>
      <c r="ID124" s="13"/>
      <c r="IE124" s="13"/>
      <c r="IF124" s="13"/>
      <c r="IG124" s="13"/>
      <c r="IH124" s="13"/>
      <c r="II124" s="13"/>
      <c r="IJ124" s="13"/>
      <c r="IK124" s="13"/>
      <c r="IL124" s="13"/>
      <c r="IM124" s="13"/>
      <c r="IN124" s="13"/>
      <c r="IO124" s="13"/>
      <c r="IP124" s="13"/>
      <c r="IQ124" s="13"/>
      <c r="IR124" s="13"/>
      <c r="IS124" s="13"/>
      <c r="IT124" s="13"/>
      <c r="IU124" s="13"/>
      <c r="IV124" s="13"/>
      <c r="IW124" s="13"/>
      <c r="IX124" s="13"/>
      <c r="IY124" s="13"/>
      <c r="IZ124" s="13"/>
      <c r="JA124" s="13"/>
      <c r="JB124" s="13"/>
      <c r="JC124" s="13"/>
      <c r="JD124" s="13"/>
      <c r="JE124" s="13"/>
      <c r="JF124" s="13"/>
      <c r="JG124" s="13"/>
      <c r="JH124" s="13"/>
      <c r="JI124" s="13"/>
      <c r="JJ124" s="13"/>
      <c r="JK124" s="13"/>
      <c r="JL124" s="13"/>
      <c r="JM124" s="13"/>
      <c r="JN124" s="13"/>
      <c r="JO124" s="13"/>
      <c r="JP124" s="13"/>
      <c r="JQ124" s="13"/>
      <c r="JR124" s="13"/>
      <c r="JS124" s="13"/>
      <c r="JT124" s="13"/>
      <c r="JU124" s="13"/>
      <c r="JV124" s="13"/>
      <c r="JW124" s="13"/>
      <c r="JX124" s="13"/>
      <c r="JY124" s="13"/>
      <c r="JZ124" s="13"/>
      <c r="KA124" s="13"/>
      <c r="KB124" s="13"/>
      <c r="KC124" s="13"/>
      <c r="KD124" s="13"/>
      <c r="KE124" s="13"/>
      <c r="KF124" s="13"/>
      <c r="KG124" s="13"/>
      <c r="KH124" s="13"/>
      <c r="KI124" s="13"/>
      <c r="KJ124" s="13"/>
      <c r="KK124" s="13"/>
      <c r="KL124" s="13"/>
      <c r="KM124" s="13"/>
      <c r="KN124" s="13"/>
      <c r="KO124" s="13"/>
      <c r="KP124" s="13"/>
      <c r="KQ124" s="13"/>
      <c r="KR124" s="13"/>
      <c r="KS124" s="13"/>
      <c r="KT124" s="13"/>
      <c r="KU124" s="13"/>
      <c r="KV124" s="13"/>
      <c r="KW124" s="13"/>
      <c r="KX124" s="13"/>
      <c r="KY124" s="13"/>
      <c r="KZ124" s="13"/>
      <c r="LA124" s="13"/>
      <c r="LB124" s="13"/>
      <c r="LC124" s="13"/>
      <c r="LD124" s="13"/>
      <c r="LE124" s="13"/>
      <c r="LF124" s="13"/>
      <c r="LG124" s="13"/>
      <c r="LH124" s="13"/>
      <c r="LI124" s="13"/>
      <c r="LJ124" s="13"/>
      <c r="LK124" s="13"/>
      <c r="LL124" s="13"/>
      <c r="LM124" s="13"/>
      <c r="LN124" s="13"/>
      <c r="LO124" s="13"/>
      <c r="LP124" s="13"/>
      <c r="LQ124" s="13"/>
      <c r="LR124" s="13"/>
      <c r="LS124" s="13"/>
      <c r="LT124" s="13"/>
      <c r="LU124" s="13"/>
      <c r="LV124" s="13"/>
      <c r="LW124" s="13"/>
      <c r="LX124" s="13"/>
      <c r="LY124" s="13"/>
      <c r="LZ124" s="13"/>
      <c r="MA124" s="13"/>
      <c r="MB124" s="13"/>
      <c r="MC124" s="13"/>
      <c r="MD124" s="13"/>
      <c r="ME124" s="13"/>
      <c r="MF124" s="13"/>
      <c r="MG124" s="13"/>
      <c r="MH124" s="13"/>
      <c r="MI124" s="13"/>
      <c r="MJ124" s="13"/>
      <c r="MK124" s="13"/>
      <c r="ML124" s="13"/>
      <c r="MM124" s="13"/>
      <c r="MN124" s="13"/>
      <c r="MO124" s="13"/>
      <c r="MP124" s="13"/>
      <c r="MQ124" s="13"/>
      <c r="MR124" s="13"/>
      <c r="MS124" s="13"/>
      <c r="MT124" s="13"/>
      <c r="MU124" s="13"/>
      <c r="MV124" s="13"/>
      <c r="MW124" s="13"/>
      <c r="MX124" s="13"/>
      <c r="MY124" s="13"/>
      <c r="MZ124" s="13"/>
      <c r="NA124" s="13"/>
      <c r="NB124" s="13"/>
      <c r="NC124" s="13"/>
      <c r="ND124" s="13"/>
      <c r="NE124" s="13"/>
      <c r="NF124" s="13"/>
      <c r="NG124" s="13"/>
      <c r="NH124" s="13"/>
      <c r="NI124" s="13"/>
      <c r="NJ124" s="13"/>
      <c r="NK124" s="13"/>
      <c r="NL124" s="13"/>
      <c r="NM124" s="13"/>
      <c r="NN124" s="13"/>
      <c r="NO124" s="13"/>
      <c r="NP124" s="13"/>
      <c r="NQ124" s="13"/>
      <c r="NR124" s="13"/>
      <c r="NS124" s="13"/>
      <c r="NT124" s="13"/>
      <c r="NU124" s="13"/>
      <c r="NV124" s="13"/>
      <c r="NW124" s="13"/>
      <c r="NX124" s="13"/>
      <c r="NY124" s="13"/>
      <c r="NZ124" s="13"/>
      <c r="OA124" s="13"/>
      <c r="OB124" s="13"/>
      <c r="OC124" s="13"/>
      <c r="OD124" s="13"/>
      <c r="OE124" s="13"/>
      <c r="OF124" s="13"/>
      <c r="OG124" s="13"/>
      <c r="OH124" s="13"/>
      <c r="OI124" s="13"/>
      <c r="OJ124" s="13"/>
      <c r="OK124" s="13"/>
      <c r="OL124" s="13"/>
      <c r="OM124" s="13"/>
      <c r="ON124" s="13"/>
      <c r="OO124" s="13"/>
      <c r="OP124" s="13"/>
      <c r="OQ124" s="13"/>
      <c r="OR124" s="13"/>
      <c r="OS124" s="13"/>
      <c r="OT124" s="13"/>
      <c r="OU124" s="13"/>
      <c r="OV124" s="13"/>
      <c r="OW124" s="13"/>
      <c r="OX124" s="13"/>
      <c r="OY124" s="13"/>
      <c r="OZ124" s="13"/>
      <c r="PA124" s="13"/>
      <c r="PB124" s="13"/>
      <c r="PC124" s="13"/>
      <c r="PD124" s="13"/>
      <c r="PE124" s="13"/>
      <c r="PF124" s="13"/>
      <c r="PG124" s="13"/>
      <c r="PH124" s="13"/>
      <c r="PI124" s="13"/>
      <c r="PJ124" s="13"/>
      <c r="PK124" s="13"/>
      <c r="PL124" s="13"/>
      <c r="PM124" s="13"/>
      <c r="PN124" s="13"/>
      <c r="PO124" s="13"/>
      <c r="PP124" s="13"/>
      <c r="PQ124" s="13"/>
      <c r="PR124" s="13"/>
      <c r="PS124" s="13"/>
      <c r="PT124" s="13"/>
      <c r="PU124" s="13"/>
      <c r="PV124" s="13"/>
      <c r="PW124" s="13"/>
      <c r="PX124" s="13"/>
      <c r="PY124" s="13"/>
      <c r="PZ124" s="13"/>
      <c r="QA124" s="13"/>
      <c r="QB124" s="13"/>
      <c r="QC124" s="13"/>
      <c r="QD124" s="13"/>
      <c r="QE124" s="13"/>
      <c r="QF124" s="13"/>
      <c r="QG124" s="13"/>
      <c r="QH124" s="13"/>
      <c r="QI124" s="13"/>
      <c r="QJ124" s="13"/>
      <c r="QK124" s="13"/>
      <c r="QL124" s="13"/>
      <c r="QM124" s="13"/>
      <c r="QN124" s="13"/>
      <c r="QO124" s="13"/>
      <c r="QP124" s="13"/>
      <c r="QQ124" s="13"/>
      <c r="QR124" s="13"/>
      <c r="QS124" s="13"/>
      <c r="QT124" s="13"/>
      <c r="QU124" s="13"/>
      <c r="QV124" s="13"/>
      <c r="QW124" s="13"/>
      <c r="QX124" s="13"/>
      <c r="QY124" s="13"/>
      <c r="QZ124" s="13"/>
      <c r="RA124" s="13"/>
      <c r="RB124" s="13"/>
      <c r="RC124" s="13"/>
      <c r="RD124" s="13"/>
      <c r="RE124" s="13"/>
      <c r="RF124" s="13"/>
      <c r="RG124" s="13"/>
      <c r="RH124" s="13"/>
      <c r="RI124" s="13"/>
      <c r="RJ124" s="13"/>
      <c r="RK124" s="13"/>
      <c r="RL124" s="13"/>
      <c r="RM124" s="13"/>
      <c r="RN124" s="13"/>
      <c r="RO124" s="13"/>
      <c r="RP124" s="13"/>
      <c r="RQ124" s="13"/>
      <c r="RR124" s="13"/>
      <c r="RS124" s="13"/>
      <c r="RT124" s="13"/>
      <c r="RU124" s="13"/>
      <c r="RV124" s="13"/>
      <c r="RW124" s="13"/>
      <c r="RX124" s="13"/>
      <c r="RY124" s="13"/>
      <c r="RZ124" s="13"/>
      <c r="SA124" s="13"/>
      <c r="SB124" s="13"/>
      <c r="SC124" s="13"/>
      <c r="SD124" s="13"/>
      <c r="SE124" s="13"/>
      <c r="SF124" s="13"/>
      <c r="SG124" s="13"/>
      <c r="SH124" s="13"/>
      <c r="SI124" s="13"/>
      <c r="SJ124" s="13"/>
      <c r="SK124" s="13"/>
      <c r="SL124" s="13"/>
      <c r="SM124" s="13"/>
      <c r="SN124" s="13"/>
      <c r="SO124" s="13"/>
      <c r="SP124" s="13"/>
      <c r="SQ124" s="13"/>
      <c r="SR124" s="13"/>
      <c r="SS124" s="13"/>
      <c r="ST124" s="13"/>
      <c r="SU124" s="13"/>
      <c r="SV124" s="13"/>
      <c r="SW124" s="13"/>
      <c r="SX124" s="13"/>
      <c r="SY124" s="13"/>
      <c r="SZ124" s="13"/>
      <c r="TA124" s="13"/>
      <c r="TB124" s="13"/>
      <c r="TC124" s="13"/>
      <c r="TD124" s="13"/>
      <c r="TE124" s="13"/>
      <c r="TF124" s="13"/>
      <c r="TG124" s="13"/>
      <c r="TH124" s="13"/>
      <c r="TI124" s="13"/>
      <c r="TJ124" s="13"/>
      <c r="TK124" s="13"/>
      <c r="TL124" s="13"/>
      <c r="TM124" s="13"/>
      <c r="TN124" s="13"/>
      <c r="TO124" s="13"/>
      <c r="TP124" s="13"/>
      <c r="TQ124" s="13"/>
      <c r="TR124" s="13"/>
      <c r="TS124" s="13"/>
      <c r="TT124" s="13"/>
      <c r="TU124" s="13"/>
      <c r="TV124" s="13"/>
      <c r="TW124" s="13"/>
      <c r="TX124" s="13"/>
      <c r="TY124" s="13"/>
      <c r="TZ124" s="13"/>
      <c r="UA124" s="13"/>
      <c r="UB124" s="13"/>
      <c r="UC124" s="13"/>
      <c r="UD124" s="13"/>
      <c r="UE124" s="13"/>
      <c r="UF124" s="13"/>
      <c r="UG124" s="13"/>
      <c r="UH124" s="13"/>
      <c r="UI124" s="13"/>
      <c r="UJ124" s="13"/>
      <c r="UK124" s="13"/>
      <c r="UL124" s="13"/>
      <c r="UM124" s="13"/>
      <c r="UN124" s="13"/>
      <c r="UO124" s="13"/>
      <c r="UP124" s="13"/>
      <c r="UQ124" s="13"/>
      <c r="UR124" s="13"/>
      <c r="US124" s="13"/>
      <c r="UT124" s="13"/>
      <c r="UU124" s="13"/>
      <c r="UV124" s="13"/>
      <c r="UW124" s="13"/>
      <c r="UX124" s="13"/>
      <c r="UY124" s="13"/>
      <c r="UZ124" s="13"/>
      <c r="VA124" s="13"/>
      <c r="VB124" s="13"/>
      <c r="VC124" s="13"/>
      <c r="VD124" s="13"/>
      <c r="VE124" s="13"/>
      <c r="VF124" s="13"/>
      <c r="VG124" s="13"/>
      <c r="VH124" s="13"/>
      <c r="VI124" s="13"/>
      <c r="VJ124" s="13"/>
      <c r="VK124" s="13"/>
      <c r="VL124" s="13"/>
      <c r="VM124" s="13"/>
      <c r="VN124" s="13"/>
      <c r="VO124" s="13"/>
      <c r="VP124" s="13"/>
      <c r="VQ124" s="13"/>
      <c r="VR124" s="13"/>
      <c r="VS124" s="13"/>
      <c r="VT124" s="13"/>
      <c r="VU124" s="13"/>
      <c r="VV124" s="13"/>
      <c r="VW124" s="13"/>
      <c r="VX124" s="13"/>
      <c r="VY124" s="13"/>
      <c r="VZ124" s="13"/>
      <c r="WA124" s="13"/>
      <c r="WB124" s="13"/>
      <c r="WC124" s="13"/>
      <c r="WD124" s="13"/>
      <c r="WE124" s="13"/>
      <c r="WF124" s="13"/>
      <c r="WG124" s="13"/>
      <c r="WH124" s="13"/>
      <c r="WI124" s="13"/>
      <c r="WJ124" s="13"/>
      <c r="WK124" s="13"/>
      <c r="WL124" s="13"/>
      <c r="WM124" s="13"/>
      <c r="WN124" s="13"/>
      <c r="WO124" s="13"/>
      <c r="WP124" s="13"/>
      <c r="WQ124" s="13"/>
      <c r="WR124" s="13"/>
      <c r="WS124" s="13"/>
      <c r="WT124" s="13"/>
      <c r="WU124" s="13"/>
      <c r="WV124" s="13"/>
      <c r="WW124" s="13"/>
      <c r="WX124" s="13"/>
      <c r="WY124" s="13"/>
      <c r="WZ124" s="13"/>
      <c r="XA124" s="13"/>
      <c r="XB124" s="13"/>
      <c r="XC124" s="13"/>
      <c r="XD124" s="13"/>
      <c r="XE124" s="13"/>
      <c r="XF124" s="13"/>
      <c r="XG124" s="13"/>
      <c r="XH124" s="13"/>
      <c r="XI124" s="13"/>
      <c r="XJ124" s="13"/>
      <c r="XK124" s="13"/>
      <c r="XL124" s="13"/>
      <c r="XM124" s="13"/>
      <c r="XN124" s="13"/>
      <c r="XO124" s="13"/>
      <c r="XP124" s="13"/>
      <c r="XQ124" s="13"/>
      <c r="XR124" s="13"/>
      <c r="XS124" s="13"/>
      <c r="XT124" s="13"/>
      <c r="XU124" s="13"/>
      <c r="XV124" s="13"/>
      <c r="XW124" s="13"/>
      <c r="XX124" s="13"/>
      <c r="XY124" s="13"/>
      <c r="XZ124" s="13"/>
      <c r="YA124" s="13"/>
      <c r="YB124" s="13"/>
      <c r="YC124" s="13"/>
      <c r="YD124" s="13"/>
      <c r="YE124" s="13"/>
      <c r="YF124" s="13"/>
      <c r="YG124" s="13"/>
      <c r="YH124" s="13"/>
      <c r="YI124" s="13"/>
      <c r="YJ124" s="13"/>
      <c r="YK124" s="13"/>
      <c r="YL124" s="13"/>
      <c r="YM124" s="13"/>
      <c r="YN124" s="13"/>
      <c r="YO124" s="13"/>
      <c r="YP124" s="13"/>
      <c r="YQ124" s="13"/>
      <c r="YR124" s="13"/>
      <c r="YS124" s="13"/>
      <c r="YT124" s="13"/>
      <c r="YU124" s="13"/>
      <c r="YV124" s="13"/>
      <c r="YW124" s="13"/>
      <c r="YX124" s="13"/>
      <c r="YY124" s="13"/>
      <c r="YZ124" s="13"/>
      <c r="ZA124" s="13"/>
      <c r="ZB124" s="13"/>
      <c r="ZC124" s="13"/>
      <c r="ZD124" s="13"/>
      <c r="ZE124" s="13"/>
      <c r="ZF124" s="13"/>
      <c r="ZG124" s="13"/>
      <c r="ZH124" s="13"/>
      <c r="ZI124" s="13"/>
      <c r="ZJ124" s="13"/>
      <c r="ZK124" s="13"/>
      <c r="ZL124" s="13"/>
      <c r="ZM124" s="13"/>
      <c r="ZN124" s="13"/>
      <c r="ZO124" s="13"/>
      <c r="ZP124" s="13"/>
      <c r="ZQ124" s="13"/>
      <c r="ZR124" s="13"/>
      <c r="ZS124" s="13"/>
      <c r="ZT124" s="13"/>
      <c r="ZU124" s="13"/>
      <c r="ZV124" s="13"/>
      <c r="ZW124" s="13"/>
      <c r="ZX124" s="13"/>
      <c r="ZY124" s="13"/>
      <c r="ZZ124" s="13"/>
      <c r="AAA124" s="13"/>
      <c r="AAB124" s="13"/>
      <c r="AAC124" s="13"/>
      <c r="AAD124" s="13"/>
      <c r="AAE124" s="13"/>
      <c r="AAF124" s="13"/>
      <c r="AAG124" s="13"/>
      <c r="AAH124" s="13"/>
      <c r="AAI124" s="13"/>
      <c r="AAJ124" s="13"/>
      <c r="AAK124" s="13"/>
      <c r="AAL124" s="13"/>
      <c r="AAM124" s="13"/>
      <c r="AAN124" s="13"/>
      <c r="AAO124" s="13"/>
      <c r="AAP124" s="13"/>
      <c r="AAQ124" s="13"/>
      <c r="AAR124" s="13"/>
      <c r="AAS124" s="13"/>
      <c r="AAT124" s="13"/>
      <c r="AAU124" s="13"/>
      <c r="AAV124" s="13"/>
      <c r="AAW124" s="13"/>
      <c r="AAX124" s="13"/>
      <c r="AAY124" s="13"/>
      <c r="AAZ124" s="13"/>
      <c r="ABA124" s="13"/>
      <c r="ABB124" s="13"/>
      <c r="ABC124" s="13"/>
      <c r="ABD124" s="13"/>
      <c r="ABE124" s="13"/>
      <c r="ABF124" s="13"/>
      <c r="ABG124" s="13"/>
      <c r="ABH124" s="13"/>
      <c r="ABI124" s="13"/>
      <c r="ABJ124" s="13"/>
      <c r="ABK124" s="13"/>
      <c r="ABL124" s="13"/>
      <c r="ABM124" s="13"/>
      <c r="ABN124" s="13"/>
      <c r="ABO124" s="13"/>
      <c r="ABP124" s="13"/>
      <c r="ABQ124" s="13"/>
      <c r="ABR124" s="13"/>
      <c r="ABS124" s="13"/>
      <c r="ABT124" s="13"/>
      <c r="ABU124" s="13"/>
      <c r="ABV124" s="13"/>
      <c r="ABW124" s="13"/>
      <c r="ABX124" s="13"/>
      <c r="ABY124" s="13"/>
      <c r="ABZ124" s="13"/>
      <c r="ACA124" s="13"/>
      <c r="ACB124" s="13"/>
      <c r="ACC124" s="13"/>
      <c r="ACD124" s="13"/>
      <c r="ACE124" s="13"/>
      <c r="ACF124" s="13"/>
      <c r="ACG124" s="13"/>
      <c r="ACH124" s="13"/>
      <c r="ACI124" s="13"/>
      <c r="ACJ124" s="13"/>
      <c r="ACK124" s="13"/>
      <c r="ACL124" s="13"/>
      <c r="ACM124" s="13"/>
      <c r="ACN124" s="13"/>
      <c r="ACO124" s="13"/>
      <c r="ACP124" s="13"/>
      <c r="ACQ124" s="13"/>
      <c r="ACR124" s="13"/>
      <c r="ACS124" s="13"/>
      <c r="ACT124" s="13"/>
      <c r="ACU124" s="13"/>
      <c r="ACV124" s="13"/>
      <c r="ACW124" s="13"/>
      <c r="ACX124" s="13"/>
      <c r="ACY124" s="13"/>
      <c r="ACZ124" s="13"/>
      <c r="ADA124" s="13"/>
      <c r="ADB124" s="13"/>
      <c r="ADC124" s="13"/>
      <c r="ADD124" s="13"/>
      <c r="ADE124" s="13"/>
      <c r="ADF124" s="13"/>
      <c r="ADG124" s="13"/>
      <c r="ADH124" s="13"/>
      <c r="ADI124" s="13"/>
      <c r="ADJ124" s="13"/>
      <c r="ADK124" s="13"/>
      <c r="ADL124" s="13"/>
      <c r="ADM124" s="13"/>
      <c r="ADN124" s="13"/>
      <c r="ADO124" s="13"/>
      <c r="ADP124" s="13"/>
      <c r="ADQ124" s="13"/>
      <c r="ADR124" s="13"/>
      <c r="ADS124" s="13"/>
      <c r="ADT124" s="13"/>
      <c r="ADU124" s="13"/>
      <c r="ADV124" s="13"/>
      <c r="ADW124" s="13"/>
      <c r="ADX124" s="13"/>
      <c r="ADY124" s="13"/>
      <c r="ADZ124" s="13"/>
      <c r="AEA124" s="13"/>
      <c r="AEB124" s="13"/>
      <c r="AEC124" s="13"/>
      <c r="AED124" s="13"/>
      <c r="AEE124" s="13"/>
      <c r="AEF124" s="13"/>
      <c r="AEG124" s="13"/>
      <c r="AEH124" s="13"/>
      <c r="AEI124" s="13"/>
      <c r="AEJ124" s="13"/>
      <c r="AEK124" s="13"/>
      <c r="AEL124" s="13"/>
      <c r="AEM124" s="13"/>
      <c r="AEN124" s="13"/>
      <c r="AEO124" s="13"/>
      <c r="AEP124" s="13"/>
      <c r="AEQ124" s="13"/>
      <c r="AER124" s="13"/>
      <c r="AES124" s="13"/>
      <c r="AET124" s="13"/>
      <c r="AEU124" s="13"/>
      <c r="AEV124" s="13"/>
      <c r="AEW124" s="13"/>
      <c r="AEX124" s="13"/>
      <c r="AEY124" s="13"/>
      <c r="AEZ124" s="13"/>
      <c r="AFA124" s="13"/>
      <c r="AFB124" s="13"/>
      <c r="AFC124" s="13"/>
      <c r="AFD124" s="13"/>
      <c r="AFE124" s="13"/>
      <c r="AFF124" s="13"/>
      <c r="AFG124" s="13"/>
      <c r="AFH124" s="13"/>
      <c r="AFI124" s="13"/>
      <c r="AFJ124" s="13"/>
      <c r="AFK124" s="13"/>
      <c r="AFL124" s="13"/>
      <c r="AFM124" s="13"/>
      <c r="AFN124" s="13"/>
      <c r="AFO124" s="13"/>
      <c r="AFP124" s="13"/>
      <c r="AFQ124" s="13"/>
      <c r="AFR124" s="13"/>
      <c r="AFS124" s="13"/>
      <c r="AFT124" s="13"/>
      <c r="AFU124" s="13"/>
      <c r="AFV124" s="13"/>
      <c r="AFW124" s="13"/>
      <c r="AFX124" s="13"/>
      <c r="AFY124" s="13"/>
      <c r="AFZ124" s="13"/>
      <c r="AGA124" s="13"/>
      <c r="AGB124" s="13"/>
      <c r="AGC124" s="13"/>
      <c r="AGD124" s="13"/>
      <c r="AGE124" s="13"/>
      <c r="AGF124" s="13"/>
      <c r="AGG124" s="13"/>
      <c r="AGH124" s="13"/>
      <c r="AGI124" s="13"/>
      <c r="AGJ124" s="13"/>
      <c r="AGK124" s="13"/>
      <c r="AGL124" s="13"/>
      <c r="AGM124" s="13"/>
      <c r="AGN124" s="13"/>
      <c r="AGO124" s="13"/>
      <c r="AGP124" s="13"/>
      <c r="AGQ124" s="13"/>
      <c r="AGR124" s="13"/>
      <c r="AGS124" s="13"/>
      <c r="AGT124" s="13"/>
      <c r="AGU124" s="13"/>
      <c r="AGV124" s="13"/>
      <c r="AGW124" s="13"/>
      <c r="AGX124" s="13"/>
      <c r="AGY124" s="13"/>
      <c r="AGZ124" s="13"/>
      <c r="AHA124" s="13"/>
      <c r="AHB124" s="13"/>
      <c r="AHC124" s="13"/>
      <c r="AHD124" s="13"/>
      <c r="AHE124" s="13"/>
      <c r="AHF124" s="13"/>
      <c r="AHG124" s="13"/>
      <c r="AHH124" s="13"/>
      <c r="AHI124" s="13"/>
      <c r="AHJ124" s="13"/>
      <c r="AHK124" s="13"/>
      <c r="AHL124" s="13"/>
      <c r="AHM124" s="13"/>
      <c r="AHN124" s="13"/>
      <c r="AHO124" s="13"/>
      <c r="AHP124" s="13"/>
      <c r="AHQ124" s="13"/>
      <c r="AHR124" s="13"/>
      <c r="AHS124" s="13"/>
      <c r="AHT124" s="13"/>
      <c r="AHU124" s="13"/>
      <c r="AHV124" s="13"/>
      <c r="AHW124" s="13"/>
      <c r="AHX124" s="13"/>
      <c r="AHY124" s="13"/>
      <c r="AHZ124" s="13"/>
      <c r="AIA124" s="13"/>
      <c r="AIB124" s="13"/>
      <c r="AIC124" s="13"/>
      <c r="AID124" s="13"/>
      <c r="AIE124" s="13"/>
      <c r="AIF124" s="13"/>
      <c r="AIG124" s="13"/>
      <c r="AIH124" s="13"/>
      <c r="AII124" s="13"/>
      <c r="AIJ124" s="13"/>
      <c r="AIK124" s="13"/>
      <c r="AIL124" s="13"/>
      <c r="AIM124" s="13"/>
      <c r="AIN124" s="13"/>
      <c r="AIO124" s="13"/>
      <c r="AIP124" s="13"/>
      <c r="AIQ124" s="13"/>
      <c r="AIR124" s="13"/>
      <c r="AIS124" s="13"/>
      <c r="AIT124" s="13"/>
      <c r="AIU124" s="13"/>
      <c r="AIV124" s="13"/>
      <c r="AIW124" s="13"/>
      <c r="AIX124" s="13"/>
      <c r="AIY124" s="13"/>
      <c r="AIZ124" s="13"/>
      <c r="AJA124" s="13"/>
      <c r="AJB124" s="13"/>
      <c r="AJC124" s="13"/>
      <c r="AJD124" s="13"/>
      <c r="AJE124" s="13"/>
      <c r="AJF124" s="13"/>
      <c r="AJG124" s="13"/>
      <c r="AJH124" s="13"/>
      <c r="AJI124" s="13"/>
      <c r="AJJ124" s="13"/>
      <c r="AJK124" s="13"/>
      <c r="AJL124" s="13"/>
      <c r="AJM124" s="13"/>
      <c r="AJN124" s="13"/>
      <c r="AJO124" s="13"/>
      <c r="AJP124" s="13"/>
      <c r="AJQ124" s="13"/>
      <c r="AJR124" s="13"/>
      <c r="AJS124" s="13"/>
      <c r="AJT124" s="13"/>
      <c r="AJU124" s="13"/>
      <c r="AJV124" s="13"/>
      <c r="AJW124" s="13"/>
      <c r="AJX124" s="13"/>
      <c r="AJY124" s="13"/>
      <c r="AJZ124" s="13"/>
      <c r="AKA124" s="13"/>
      <c r="AKB124" s="13"/>
      <c r="AKC124" s="13"/>
      <c r="AKD124" s="13"/>
      <c r="AKE124" s="13"/>
      <c r="AKF124" s="13"/>
      <c r="AKG124" s="13"/>
      <c r="AKH124" s="13"/>
      <c r="AKI124" s="13"/>
      <c r="AKJ124" s="13"/>
      <c r="AKK124" s="13"/>
      <c r="AKL124" s="13"/>
      <c r="AKM124" s="13"/>
      <c r="AKN124" s="13"/>
      <c r="AKO124" s="13"/>
      <c r="AKP124" s="13"/>
      <c r="AKQ124" s="13"/>
      <c r="AKR124" s="13"/>
      <c r="AKS124" s="13"/>
      <c r="AKT124" s="13"/>
      <c r="AKU124" s="13"/>
      <c r="AKV124" s="13"/>
      <c r="AKW124" s="13"/>
      <c r="AKX124" s="13"/>
      <c r="AKY124" s="13"/>
      <c r="AKZ124" s="13"/>
      <c r="ALA124" s="13"/>
      <c r="ALB124" s="13"/>
      <c r="ALC124" s="13"/>
      <c r="ALD124" s="13"/>
      <c r="ALE124" s="13"/>
      <c r="ALF124" s="13"/>
      <c r="ALG124" s="13"/>
      <c r="ALH124" s="13"/>
      <c r="ALI124" s="13"/>
      <c r="ALJ124" s="13"/>
      <c r="ALK124" s="13"/>
      <c r="ALL124" s="13"/>
      <c r="ALM124" s="13"/>
      <c r="ALN124" s="13"/>
      <c r="ALO124" s="13"/>
      <c r="ALP124" s="13"/>
      <c r="ALQ124" s="13"/>
      <c r="ALR124" s="13"/>
      <c r="ALS124" s="13"/>
      <c r="ALT124" s="13"/>
      <c r="ALU124" s="13"/>
      <c r="ALV124" s="13"/>
      <c r="ALW124" s="13"/>
      <c r="ALX124" s="13"/>
      <c r="ALY124" s="13"/>
      <c r="ALZ124" s="13"/>
      <c r="AMA124" s="13"/>
      <c r="AMB124" s="13"/>
      <c r="AMC124" s="13"/>
      <c r="AMD124" s="13"/>
      <c r="AME124" s="13"/>
      <c r="AMF124" s="13"/>
      <c r="AMG124" s="13"/>
      <c r="AMH124" s="13"/>
      <c r="AMI124" s="13"/>
      <c r="AMJ124" s="13"/>
      <c r="AMK124" s="13"/>
      <c r="AML124" s="13"/>
      <c r="AMM124" s="13"/>
      <c r="AMN124" s="13"/>
      <c r="AMO124" s="13"/>
      <c r="AMP124" s="13"/>
      <c r="AMQ124" s="13"/>
      <c r="AMR124" s="13"/>
      <c r="AMS124" s="13"/>
      <c r="AMT124" s="13"/>
      <c r="AMU124" s="13"/>
      <c r="AMV124" s="13"/>
      <c r="AMW124" s="13"/>
      <c r="AMX124" s="13"/>
      <c r="AMY124" s="13"/>
      <c r="AMZ124" s="13"/>
      <c r="ANA124" s="13"/>
      <c r="ANB124" s="13"/>
      <c r="ANC124" s="13"/>
      <c r="AND124" s="13"/>
      <c r="ANE124" s="13"/>
      <c r="ANF124" s="13"/>
      <c r="ANG124" s="13"/>
      <c r="ANH124" s="13"/>
      <c r="ANI124" s="13"/>
      <c r="ANJ124" s="13"/>
      <c r="ANK124" s="13"/>
      <c r="ANL124" s="13"/>
      <c r="ANM124" s="13"/>
      <c r="ANN124" s="13"/>
      <c r="ANO124" s="13"/>
      <c r="ANP124" s="13"/>
      <c r="ANQ124" s="13"/>
      <c r="ANR124" s="13"/>
      <c r="ANS124" s="13"/>
      <c r="ANT124" s="13"/>
      <c r="ANU124" s="13"/>
      <c r="ANV124" s="13"/>
      <c r="ANW124" s="13"/>
      <c r="ANX124" s="13"/>
      <c r="ANY124" s="13"/>
      <c r="ANZ124" s="13"/>
      <c r="AOA124" s="13"/>
      <c r="AOB124" s="13"/>
      <c r="AOC124" s="13"/>
      <c r="AOD124" s="13"/>
      <c r="AOE124" s="13"/>
      <c r="AOF124" s="13"/>
      <c r="AOG124" s="13"/>
      <c r="AOH124" s="13"/>
      <c r="AOI124" s="13"/>
      <c r="AOJ124" s="13"/>
      <c r="AOK124" s="13"/>
      <c r="AOL124" s="13"/>
      <c r="AOM124" s="13"/>
      <c r="AON124" s="13"/>
      <c r="AOO124" s="13"/>
      <c r="AOP124" s="13"/>
      <c r="AOQ124" s="13"/>
      <c r="AOR124" s="13"/>
      <c r="AOS124" s="13"/>
      <c r="AOT124" s="13"/>
      <c r="AOU124" s="13"/>
      <c r="AOV124" s="13"/>
      <c r="AOW124" s="13"/>
      <c r="AOX124" s="13"/>
      <c r="AOY124" s="13"/>
      <c r="AOZ124" s="13"/>
      <c r="APA124" s="13"/>
      <c r="APB124" s="13"/>
      <c r="APC124" s="13"/>
      <c r="APD124" s="13"/>
      <c r="APE124" s="13"/>
      <c r="APF124" s="13"/>
      <c r="APG124" s="13"/>
      <c r="APH124" s="13"/>
      <c r="API124" s="13"/>
      <c r="APJ124" s="13"/>
      <c r="APK124" s="13"/>
      <c r="APL124" s="13"/>
      <c r="APM124" s="13"/>
      <c r="APN124" s="13"/>
      <c r="APO124" s="13"/>
      <c r="APP124" s="13"/>
      <c r="APQ124" s="13"/>
      <c r="APR124" s="13"/>
      <c r="APS124" s="13"/>
      <c r="APT124" s="13"/>
      <c r="APU124" s="13"/>
      <c r="APV124" s="13"/>
      <c r="APW124" s="13"/>
      <c r="APX124" s="13"/>
      <c r="APY124" s="13"/>
      <c r="APZ124" s="13"/>
      <c r="AQA124" s="13"/>
      <c r="AQB124" s="13"/>
      <c r="AQC124" s="13"/>
      <c r="AQD124" s="13"/>
      <c r="AQE124" s="13"/>
      <c r="AQF124" s="13"/>
      <c r="AQG124" s="13"/>
      <c r="AQH124" s="13"/>
      <c r="AQI124" s="13"/>
      <c r="AQJ124" s="13"/>
      <c r="AQK124" s="13"/>
      <c r="AQL124" s="13"/>
      <c r="AQM124" s="13"/>
      <c r="AQN124" s="13"/>
      <c r="AQO124" s="13"/>
      <c r="AQP124" s="13"/>
      <c r="AQQ124" s="13"/>
      <c r="AQR124" s="13"/>
      <c r="AQS124" s="13"/>
      <c r="AQT124" s="13"/>
      <c r="AQU124" s="13"/>
      <c r="AQV124" s="13"/>
      <c r="AQW124" s="13"/>
      <c r="AQX124" s="13"/>
      <c r="AQY124" s="13"/>
      <c r="AQZ124" s="13"/>
      <c r="ARA124" s="13"/>
      <c r="ARB124" s="13"/>
      <c r="ARC124" s="13"/>
      <c r="ARD124" s="13"/>
      <c r="ARE124" s="13"/>
      <c r="ARF124" s="13"/>
      <c r="ARG124" s="13"/>
      <c r="ARH124" s="13"/>
      <c r="ARI124" s="13"/>
      <c r="ARJ124" s="13"/>
      <c r="ARK124" s="13"/>
      <c r="ARL124" s="13"/>
      <c r="ARM124" s="13"/>
      <c r="ARN124" s="13"/>
      <c r="ARO124" s="13"/>
      <c r="ARP124" s="13"/>
      <c r="ARQ124" s="13"/>
      <c r="ARR124" s="13"/>
      <c r="ARS124" s="13"/>
      <c r="ART124" s="13"/>
      <c r="ARU124" s="13"/>
      <c r="ARV124" s="13"/>
      <c r="ARW124" s="13"/>
      <c r="ARX124" s="13"/>
      <c r="ARY124" s="13"/>
      <c r="ARZ124" s="13"/>
      <c r="ASA124" s="13"/>
      <c r="ASB124" s="13"/>
      <c r="ASC124" s="13"/>
      <c r="ASD124" s="13"/>
      <c r="ASE124" s="13"/>
      <c r="ASF124" s="13"/>
      <c r="ASG124" s="13"/>
      <c r="ASH124" s="13"/>
      <c r="ASI124" s="13"/>
      <c r="ASJ124" s="13"/>
      <c r="ASK124" s="13"/>
      <c r="ASL124" s="13"/>
      <c r="ASM124" s="13"/>
      <c r="ASN124" s="13"/>
      <c r="ASO124" s="13"/>
      <c r="ASP124" s="13"/>
      <c r="ASQ124" s="13"/>
      <c r="ASR124" s="13"/>
      <c r="ASS124" s="13"/>
      <c r="AST124" s="13"/>
      <c r="ASU124" s="13"/>
      <c r="ASV124" s="13"/>
      <c r="ASW124" s="13"/>
      <c r="ASX124" s="13"/>
      <c r="ASY124" s="13"/>
      <c r="ASZ124" s="13"/>
      <c r="ATA124" s="13"/>
      <c r="ATB124" s="13"/>
      <c r="ATC124" s="13"/>
      <c r="ATD124" s="13"/>
      <c r="ATE124" s="13"/>
      <c r="ATF124" s="13"/>
      <c r="ATG124" s="13"/>
      <c r="ATH124" s="13"/>
      <c r="ATI124" s="13"/>
      <c r="ATJ124" s="13"/>
      <c r="ATK124" s="13"/>
      <c r="ATL124" s="13"/>
      <c r="ATM124" s="13"/>
      <c r="ATN124" s="13"/>
      <c r="ATO124" s="13"/>
      <c r="ATP124" s="13"/>
      <c r="ATQ124" s="13"/>
      <c r="ATR124" s="13"/>
      <c r="ATS124" s="13"/>
      <c r="ATT124" s="13"/>
      <c r="ATU124" s="13"/>
      <c r="ATV124" s="13"/>
      <c r="ATW124" s="13"/>
      <c r="ATX124" s="13"/>
      <c r="ATY124" s="13"/>
      <c r="ATZ124" s="13"/>
      <c r="AUA124" s="13"/>
      <c r="AUB124" s="13"/>
      <c r="AUC124" s="13"/>
      <c r="AUD124" s="13"/>
      <c r="AUE124" s="13"/>
      <c r="AUF124" s="13"/>
      <c r="AUG124" s="13"/>
      <c r="AUH124" s="13"/>
      <c r="AUI124" s="13"/>
      <c r="AUJ124" s="13"/>
      <c r="AUK124" s="13"/>
      <c r="AUL124" s="13"/>
      <c r="AUM124" s="13"/>
      <c r="AUN124" s="13"/>
      <c r="AUO124" s="13"/>
      <c r="AUP124" s="13"/>
      <c r="AUQ124" s="13"/>
      <c r="AUR124" s="13"/>
      <c r="AUS124" s="13"/>
      <c r="AUT124" s="13"/>
      <c r="AUU124" s="13"/>
      <c r="AUV124" s="13"/>
      <c r="AUW124" s="13"/>
      <c r="AUX124" s="13"/>
      <c r="AUY124" s="13"/>
      <c r="AUZ124" s="13"/>
      <c r="AVA124" s="13"/>
      <c r="AVB124" s="13"/>
      <c r="AVC124" s="13"/>
      <c r="AVD124" s="13"/>
      <c r="AVE124" s="13"/>
      <c r="AVF124" s="13"/>
      <c r="AVG124" s="13"/>
      <c r="AVH124" s="13"/>
      <c r="AVI124" s="13"/>
      <c r="AVJ124" s="13"/>
      <c r="AVK124" s="13"/>
      <c r="AVL124" s="13"/>
      <c r="AVM124" s="13"/>
      <c r="AVN124" s="13"/>
      <c r="AVO124" s="13"/>
      <c r="AVP124" s="13"/>
      <c r="AVQ124" s="13"/>
      <c r="AVR124" s="13"/>
      <c r="AVS124" s="13"/>
      <c r="AVT124" s="13"/>
      <c r="AVU124" s="13"/>
      <c r="AVV124" s="13"/>
      <c r="AVW124" s="13"/>
      <c r="AVX124" s="13"/>
      <c r="AVY124" s="13"/>
      <c r="AVZ124" s="13"/>
      <c r="AWA124" s="13"/>
      <c r="AWB124" s="13"/>
      <c r="AWC124" s="13"/>
      <c r="AWD124" s="13"/>
      <c r="AWE124" s="13"/>
      <c r="AWF124" s="13"/>
      <c r="AWG124" s="13"/>
      <c r="AWH124" s="13"/>
      <c r="AWI124" s="13"/>
      <c r="AWJ124" s="13"/>
      <c r="AWK124" s="13"/>
      <c r="AWL124" s="13"/>
      <c r="AWM124" s="13"/>
      <c r="AWN124" s="13"/>
      <c r="AWO124" s="13"/>
      <c r="AWP124" s="13"/>
      <c r="AWQ124" s="13"/>
      <c r="AWR124" s="13"/>
      <c r="AWS124" s="13"/>
      <c r="AWT124" s="13"/>
      <c r="AWU124" s="13"/>
      <c r="AWV124" s="13"/>
      <c r="AWW124" s="13"/>
      <c r="AWX124" s="13"/>
      <c r="AWY124" s="13"/>
      <c r="AWZ124" s="13"/>
      <c r="AXA124" s="13"/>
      <c r="AXB124" s="13"/>
      <c r="AXC124" s="13"/>
      <c r="AXD124" s="13"/>
      <c r="AXE124" s="13"/>
      <c r="AXF124" s="13"/>
      <c r="AXG124" s="13"/>
      <c r="AXH124" s="13"/>
      <c r="AXI124" s="13"/>
      <c r="AXJ124" s="13"/>
      <c r="AXK124" s="13"/>
      <c r="AXL124" s="13"/>
      <c r="AXM124" s="13"/>
      <c r="AXN124" s="13"/>
      <c r="AXO124" s="13"/>
      <c r="AXP124" s="13"/>
      <c r="AXQ124" s="13"/>
      <c r="AXR124" s="13"/>
      <c r="AXS124" s="13"/>
      <c r="AXT124" s="13"/>
      <c r="AXU124" s="13"/>
      <c r="AXV124" s="13"/>
      <c r="AXW124" s="13"/>
      <c r="AXX124" s="13"/>
      <c r="AXY124" s="13"/>
      <c r="AXZ124" s="13"/>
      <c r="AYA124" s="13"/>
      <c r="AYB124" s="13"/>
      <c r="AYC124" s="13"/>
      <c r="AYD124" s="13"/>
      <c r="AYE124" s="13"/>
      <c r="AYF124" s="13"/>
      <c r="AYG124" s="13"/>
      <c r="AYH124" s="13"/>
      <c r="AYI124" s="13"/>
      <c r="AYJ124" s="13"/>
      <c r="AYK124" s="13"/>
      <c r="AYL124" s="13"/>
      <c r="AYM124" s="13"/>
      <c r="AYN124" s="13"/>
      <c r="AYO124" s="13"/>
      <c r="AYP124" s="13"/>
      <c r="AYQ124" s="13"/>
      <c r="AYR124" s="13"/>
      <c r="AYS124" s="13"/>
      <c r="AYT124" s="13"/>
      <c r="AYU124" s="13"/>
      <c r="AYV124" s="13"/>
      <c r="AYW124" s="13"/>
      <c r="AYX124" s="13"/>
      <c r="AYY124" s="13"/>
      <c r="AYZ124" s="13"/>
      <c r="AZA124" s="13"/>
      <c r="AZB124" s="13"/>
      <c r="AZC124" s="13"/>
      <c r="AZD124" s="13"/>
      <c r="AZE124" s="13"/>
      <c r="AZF124" s="13"/>
      <c r="AZG124" s="13"/>
      <c r="AZH124" s="13"/>
      <c r="AZI124" s="13"/>
      <c r="AZJ124" s="13"/>
      <c r="AZK124" s="13"/>
      <c r="AZL124" s="13"/>
      <c r="AZM124" s="13"/>
      <c r="AZN124" s="13"/>
      <c r="AZO124" s="13"/>
      <c r="AZP124" s="13"/>
      <c r="AZQ124" s="13"/>
      <c r="AZR124" s="13"/>
      <c r="AZS124" s="13"/>
      <c r="AZT124" s="13"/>
      <c r="AZU124" s="13"/>
      <c r="AZV124" s="13"/>
      <c r="AZW124" s="13"/>
      <c r="AZX124" s="13"/>
      <c r="AZY124" s="13"/>
      <c r="AZZ124" s="13"/>
      <c r="BAA124" s="13"/>
      <c r="BAB124" s="13"/>
      <c r="BAC124" s="13"/>
      <c r="BAD124" s="13"/>
      <c r="BAE124" s="13"/>
      <c r="BAF124" s="13"/>
      <c r="BAG124" s="13"/>
      <c r="BAH124" s="13"/>
      <c r="BAI124" s="13"/>
      <c r="BAJ124" s="13"/>
      <c r="BAK124" s="13"/>
      <c r="BAL124" s="13"/>
      <c r="BAM124" s="13"/>
      <c r="BAN124" s="13"/>
      <c r="BAO124" s="13"/>
      <c r="BAP124" s="13"/>
      <c r="BAQ124" s="13"/>
      <c r="BAR124" s="13"/>
      <c r="BAS124" s="13"/>
      <c r="BAT124" s="13"/>
      <c r="BAU124" s="13"/>
      <c r="BAV124" s="13"/>
      <c r="BAW124" s="13"/>
      <c r="BAX124" s="13"/>
      <c r="BAY124" s="13"/>
      <c r="BAZ124" s="13"/>
      <c r="BBA124" s="13"/>
      <c r="BBB124" s="13"/>
      <c r="BBC124" s="13"/>
      <c r="BBD124" s="13"/>
      <c r="BBE124" s="13"/>
      <c r="BBF124" s="13"/>
      <c r="BBG124" s="13"/>
      <c r="BBH124" s="13"/>
      <c r="BBI124" s="13"/>
      <c r="BBJ124" s="13"/>
      <c r="BBK124" s="13"/>
      <c r="BBL124" s="13"/>
      <c r="BBM124" s="13"/>
      <c r="BBN124" s="13"/>
      <c r="BBO124" s="13"/>
      <c r="BBP124" s="13"/>
      <c r="BBQ124" s="13"/>
      <c r="BBR124" s="13"/>
      <c r="BBS124" s="13"/>
      <c r="BBT124" s="13"/>
      <c r="BBU124" s="13"/>
      <c r="BBV124" s="13"/>
      <c r="BBW124" s="13"/>
      <c r="BBX124" s="13"/>
      <c r="BBY124" s="13"/>
      <c r="BBZ124" s="13"/>
      <c r="BCA124" s="13"/>
      <c r="BCB124" s="13"/>
      <c r="BCC124" s="13"/>
      <c r="BCD124" s="13"/>
      <c r="BCE124" s="13"/>
      <c r="BCF124" s="13"/>
      <c r="BCG124" s="13"/>
      <c r="BCH124" s="13"/>
      <c r="BCI124" s="13"/>
      <c r="BCJ124" s="13"/>
      <c r="BCK124" s="13"/>
      <c r="BCL124" s="13"/>
      <c r="BCM124" s="13"/>
      <c r="BCN124" s="13"/>
      <c r="BCO124" s="13"/>
      <c r="BCP124" s="13"/>
      <c r="BCQ124" s="13"/>
      <c r="BCR124" s="13"/>
      <c r="BCS124" s="13"/>
      <c r="BCT124" s="13"/>
      <c r="BCU124" s="13"/>
      <c r="BCV124" s="13"/>
      <c r="BCW124" s="13"/>
      <c r="BCX124" s="13"/>
      <c r="BCY124" s="13"/>
      <c r="BCZ124" s="13"/>
      <c r="BDA124" s="13"/>
      <c r="BDB124" s="13"/>
      <c r="BDC124" s="13"/>
      <c r="BDD124" s="13"/>
      <c r="BDE124" s="13"/>
      <c r="BDF124" s="13"/>
      <c r="BDG124" s="13"/>
      <c r="BDH124" s="13"/>
      <c r="BDI124" s="13"/>
      <c r="BDJ124" s="13"/>
      <c r="BDK124" s="13"/>
      <c r="BDL124" s="13"/>
      <c r="BDM124" s="13"/>
      <c r="BDN124" s="13"/>
      <c r="BDO124" s="13"/>
      <c r="BDP124" s="13"/>
      <c r="BDQ124" s="13"/>
      <c r="BDR124" s="13"/>
      <c r="BDS124" s="13"/>
      <c r="BDT124" s="13"/>
      <c r="BDU124" s="13"/>
      <c r="BDV124" s="13"/>
      <c r="BDW124" s="13"/>
      <c r="BDX124" s="13"/>
      <c r="BDY124" s="13"/>
      <c r="BDZ124" s="13"/>
      <c r="BEA124" s="13"/>
      <c r="BEB124" s="13"/>
      <c r="BEC124" s="13"/>
      <c r="BED124" s="13"/>
      <c r="BEE124" s="13"/>
      <c r="BEF124" s="13"/>
      <c r="BEG124" s="13"/>
      <c r="BEH124" s="13"/>
      <c r="BEI124" s="13"/>
      <c r="BEJ124" s="13"/>
      <c r="BEK124" s="13"/>
      <c r="BEL124" s="13"/>
      <c r="BEM124" s="13"/>
      <c r="BEN124" s="13"/>
      <c r="BEO124" s="13"/>
      <c r="BEP124" s="13"/>
      <c r="BEQ124" s="13"/>
      <c r="BER124" s="13"/>
      <c r="BES124" s="13"/>
      <c r="BET124" s="13"/>
      <c r="BEU124" s="13"/>
      <c r="BEV124" s="13"/>
      <c r="BEW124" s="13"/>
      <c r="BEX124" s="13"/>
      <c r="BEY124" s="13"/>
      <c r="BEZ124" s="13"/>
      <c r="BFA124" s="13"/>
      <c r="BFB124" s="13"/>
      <c r="BFC124" s="13"/>
      <c r="BFD124" s="13"/>
      <c r="BFE124" s="13"/>
      <c r="BFF124" s="13"/>
      <c r="BFG124" s="13"/>
      <c r="BFH124" s="13"/>
      <c r="BFI124" s="13"/>
      <c r="BFJ124" s="13"/>
      <c r="BFK124" s="13"/>
      <c r="BFL124" s="13"/>
      <c r="BFM124" s="13"/>
      <c r="BFN124" s="13"/>
      <c r="BFO124" s="13"/>
      <c r="BFP124" s="13"/>
      <c r="BFQ124" s="13"/>
      <c r="BFR124" s="13"/>
      <c r="BFS124" s="13"/>
      <c r="BFT124" s="13"/>
      <c r="BFU124" s="13"/>
      <c r="BFV124" s="13"/>
      <c r="BFW124" s="13"/>
      <c r="BFX124" s="13"/>
      <c r="BFY124" s="13"/>
      <c r="BFZ124" s="13"/>
      <c r="BGA124" s="13"/>
      <c r="BGB124" s="13"/>
      <c r="BGC124" s="13"/>
      <c r="BGD124" s="13"/>
      <c r="BGE124" s="13"/>
      <c r="BGF124" s="13"/>
      <c r="BGG124" s="13"/>
      <c r="BGH124" s="13"/>
      <c r="BGI124" s="13"/>
      <c r="BGJ124" s="13"/>
      <c r="BGK124" s="13"/>
      <c r="BGL124" s="13"/>
      <c r="BGM124" s="13"/>
      <c r="BGN124" s="13"/>
      <c r="BGO124" s="13"/>
      <c r="BGP124" s="13"/>
      <c r="BGQ124" s="13"/>
      <c r="BGR124" s="13"/>
      <c r="BGS124" s="13"/>
      <c r="BGT124" s="13"/>
      <c r="BGU124" s="13"/>
      <c r="BGV124" s="13"/>
      <c r="BGW124" s="13"/>
      <c r="BGX124" s="13"/>
      <c r="BGY124" s="13"/>
      <c r="BGZ124" s="13"/>
      <c r="BHA124" s="13"/>
      <c r="BHB124" s="13"/>
      <c r="BHC124" s="13"/>
      <c r="BHD124" s="13"/>
      <c r="BHE124" s="13"/>
      <c r="BHF124" s="13"/>
      <c r="BHG124" s="13"/>
      <c r="BHH124" s="13"/>
      <c r="BHI124" s="13"/>
      <c r="BHJ124" s="13"/>
      <c r="BHK124" s="13"/>
      <c r="BHL124" s="13"/>
      <c r="BHM124" s="13"/>
      <c r="BHN124" s="13"/>
      <c r="BHO124" s="13"/>
      <c r="BHP124" s="13"/>
      <c r="BHQ124" s="13"/>
      <c r="BHR124" s="13"/>
      <c r="BHS124" s="13"/>
      <c r="BHT124" s="13"/>
      <c r="BHU124" s="13"/>
      <c r="BHV124" s="13"/>
      <c r="BHW124" s="13"/>
      <c r="BHX124" s="13"/>
      <c r="BHY124" s="13"/>
      <c r="BHZ124" s="13"/>
      <c r="BIA124" s="13"/>
      <c r="BIB124" s="13"/>
      <c r="BIC124" s="13"/>
      <c r="BID124" s="13"/>
      <c r="BIE124" s="13"/>
      <c r="BIF124" s="13"/>
      <c r="BIG124" s="13"/>
      <c r="BIH124" s="13"/>
      <c r="BII124" s="13"/>
      <c r="BIJ124" s="13"/>
      <c r="BIK124" s="13"/>
      <c r="BIL124" s="13"/>
      <c r="BIM124" s="13"/>
      <c r="BIN124" s="13"/>
      <c r="BIO124" s="13"/>
      <c r="BIP124" s="13"/>
      <c r="BIQ124" s="13"/>
      <c r="BIR124" s="13"/>
      <c r="BIS124" s="13"/>
      <c r="BIT124" s="13"/>
      <c r="BIU124" s="13"/>
      <c r="BIV124" s="13"/>
      <c r="BIW124" s="13"/>
      <c r="BIX124" s="13"/>
      <c r="BIY124" s="13"/>
      <c r="BIZ124" s="13"/>
      <c r="BJA124" s="13"/>
      <c r="BJB124" s="13"/>
      <c r="BJC124" s="13"/>
      <c r="BJD124" s="13"/>
      <c r="BJE124" s="13"/>
      <c r="BJF124" s="13"/>
      <c r="BJG124" s="13"/>
      <c r="BJH124" s="13"/>
      <c r="BJI124" s="13"/>
      <c r="BJJ124" s="13"/>
      <c r="BJK124" s="13"/>
      <c r="BJL124" s="13"/>
      <c r="BJM124" s="13"/>
      <c r="BJN124" s="13"/>
      <c r="BJO124" s="13"/>
      <c r="BJP124" s="13"/>
      <c r="BJQ124" s="13"/>
      <c r="BJR124" s="13"/>
      <c r="BJS124" s="13"/>
      <c r="BJT124" s="13"/>
      <c r="BJU124" s="13"/>
      <c r="BJV124" s="13"/>
      <c r="BJW124" s="13"/>
      <c r="BJX124" s="13"/>
      <c r="BJY124" s="13"/>
      <c r="BJZ124" s="13"/>
      <c r="BKA124" s="13"/>
      <c r="BKB124" s="13"/>
      <c r="BKC124" s="13"/>
      <c r="BKD124" s="13"/>
      <c r="BKE124" s="13"/>
      <c r="BKF124" s="13"/>
      <c r="BKG124" s="13"/>
      <c r="BKH124" s="13"/>
      <c r="BKI124" s="13"/>
      <c r="BKJ124" s="13"/>
      <c r="BKK124" s="13"/>
      <c r="BKL124" s="13"/>
      <c r="BKM124" s="13"/>
      <c r="BKN124" s="13"/>
      <c r="BKO124" s="13"/>
      <c r="BKP124" s="13"/>
      <c r="BKQ124" s="13"/>
      <c r="BKR124" s="13"/>
      <c r="BKS124" s="13"/>
      <c r="BKT124" s="13"/>
      <c r="BKU124" s="13"/>
      <c r="BKV124" s="13"/>
      <c r="BKW124" s="13"/>
      <c r="BKX124" s="13"/>
      <c r="BKY124" s="13"/>
      <c r="BKZ124" s="13"/>
      <c r="BLA124" s="13"/>
      <c r="BLB124" s="13"/>
      <c r="BLC124" s="13"/>
      <c r="BLD124" s="13"/>
      <c r="BLE124" s="13"/>
      <c r="BLF124" s="13"/>
      <c r="BLG124" s="13"/>
      <c r="BLH124" s="13"/>
      <c r="BLI124" s="13"/>
      <c r="BLJ124" s="13"/>
      <c r="BLK124" s="13"/>
      <c r="BLL124" s="13"/>
      <c r="BLM124" s="13"/>
      <c r="BLN124" s="13"/>
      <c r="BLO124" s="13"/>
      <c r="BLP124" s="13"/>
      <c r="BLQ124" s="13"/>
      <c r="BLR124" s="13"/>
      <c r="BLS124" s="13"/>
      <c r="BLT124" s="13"/>
      <c r="BLU124" s="13"/>
      <c r="BLV124" s="13"/>
      <c r="BLW124" s="13"/>
      <c r="BLX124" s="13"/>
      <c r="BLY124" s="13"/>
      <c r="BLZ124" s="13"/>
      <c r="BMA124" s="13"/>
      <c r="BMB124" s="13"/>
      <c r="BMC124" s="13"/>
      <c r="BMD124" s="13"/>
      <c r="BME124" s="13"/>
      <c r="BMF124" s="13"/>
      <c r="BMG124" s="13"/>
      <c r="BMH124" s="13"/>
      <c r="BMI124" s="13"/>
      <c r="BMJ124" s="13"/>
      <c r="BMK124" s="13"/>
      <c r="BML124" s="13"/>
      <c r="BMM124" s="13"/>
      <c r="BMN124" s="13"/>
      <c r="BMO124" s="13"/>
      <c r="BMP124" s="13"/>
      <c r="BMQ124" s="13"/>
      <c r="BMR124" s="13"/>
      <c r="BMS124" s="13"/>
      <c r="BMT124" s="13"/>
      <c r="BMU124" s="13"/>
      <c r="BMV124" s="13"/>
      <c r="BMW124" s="13"/>
      <c r="BMX124" s="13"/>
      <c r="BMY124" s="13"/>
      <c r="BMZ124" s="13"/>
      <c r="BNA124" s="13"/>
      <c r="BNB124" s="13"/>
      <c r="BNC124" s="13"/>
      <c r="BND124" s="13"/>
      <c r="BNE124" s="13"/>
      <c r="BNF124" s="13"/>
      <c r="BNG124" s="13"/>
      <c r="BNH124" s="13"/>
      <c r="BNI124" s="13"/>
      <c r="BNJ124" s="13"/>
      <c r="BNK124" s="13"/>
      <c r="BNL124" s="13"/>
      <c r="BNM124" s="13"/>
      <c r="BNN124" s="13"/>
      <c r="BNO124" s="13"/>
      <c r="BNP124" s="13"/>
      <c r="BNQ124" s="13"/>
      <c r="BNR124" s="13"/>
      <c r="BNS124" s="13"/>
      <c r="BNT124" s="13"/>
      <c r="BNU124" s="13"/>
      <c r="BNV124" s="13"/>
      <c r="BNW124" s="13"/>
      <c r="BNX124" s="13"/>
      <c r="BNY124" s="13"/>
      <c r="BNZ124" s="13"/>
      <c r="BOA124" s="13"/>
      <c r="BOB124" s="13"/>
      <c r="BOC124" s="13"/>
      <c r="BOD124" s="13"/>
      <c r="BOE124" s="13"/>
      <c r="BOF124" s="13"/>
      <c r="BOG124" s="13"/>
      <c r="BOH124" s="13"/>
      <c r="BOI124" s="13"/>
      <c r="BOJ124" s="13"/>
      <c r="BOK124" s="13"/>
      <c r="BOL124" s="13"/>
      <c r="BOM124" s="13"/>
      <c r="BON124" s="13"/>
      <c r="BOO124" s="13"/>
      <c r="BOP124" s="13"/>
      <c r="BOQ124" s="13"/>
      <c r="BOR124" s="13"/>
      <c r="BOS124" s="13"/>
      <c r="BOT124" s="13"/>
      <c r="BOU124" s="13"/>
      <c r="BOV124" s="13"/>
      <c r="BOW124" s="13"/>
      <c r="BOX124" s="13"/>
      <c r="BOY124" s="13"/>
      <c r="BOZ124" s="13"/>
      <c r="BPA124" s="13"/>
      <c r="BPB124" s="13"/>
      <c r="BPC124" s="13"/>
      <c r="BPD124" s="13"/>
      <c r="BPE124" s="13"/>
      <c r="BPF124" s="13"/>
      <c r="BPG124" s="13"/>
      <c r="BPH124" s="13"/>
      <c r="BPI124" s="13"/>
      <c r="BPJ124" s="13"/>
      <c r="BPK124" s="13"/>
      <c r="BPL124" s="13"/>
      <c r="BPM124" s="13"/>
      <c r="BPN124" s="13"/>
      <c r="BPO124" s="13"/>
      <c r="BPP124" s="13"/>
      <c r="BPQ124" s="13"/>
      <c r="BPR124" s="13"/>
      <c r="BPS124" s="13"/>
      <c r="BPT124" s="13"/>
      <c r="BPU124" s="13"/>
      <c r="BPV124" s="13"/>
      <c r="BPW124" s="13"/>
      <c r="BPX124" s="13"/>
      <c r="BPY124" s="13"/>
      <c r="BPZ124" s="13"/>
      <c r="BQA124" s="13"/>
      <c r="BQB124" s="13"/>
      <c r="BQC124" s="13"/>
      <c r="BQD124" s="13"/>
      <c r="BQE124" s="13"/>
      <c r="BQF124" s="13"/>
      <c r="BQG124" s="13"/>
      <c r="BQH124" s="13"/>
      <c r="BQI124" s="13"/>
      <c r="BQJ124" s="13"/>
      <c r="BQK124" s="13"/>
      <c r="BQL124" s="13"/>
      <c r="BQM124" s="13"/>
      <c r="BQN124" s="13"/>
      <c r="BQO124" s="13"/>
      <c r="BQP124" s="13"/>
      <c r="BQQ124" s="13"/>
      <c r="BQR124" s="13"/>
      <c r="BQS124" s="13"/>
      <c r="BQT124" s="13"/>
      <c r="BQU124" s="13"/>
      <c r="BQV124" s="13"/>
      <c r="BQW124" s="13"/>
      <c r="BQX124" s="13"/>
      <c r="BQY124" s="13"/>
      <c r="BQZ124" s="13"/>
      <c r="BRA124" s="13"/>
      <c r="BRB124" s="13"/>
      <c r="BRC124" s="13"/>
      <c r="BRD124" s="13"/>
      <c r="BRE124" s="13"/>
      <c r="BRF124" s="13"/>
      <c r="BRG124" s="13"/>
      <c r="BRH124" s="13"/>
      <c r="BRI124" s="13"/>
      <c r="BRJ124" s="13"/>
      <c r="BRK124" s="13"/>
      <c r="BRL124" s="13"/>
      <c r="BRM124" s="13"/>
      <c r="BRN124" s="13"/>
      <c r="BRO124" s="13"/>
      <c r="BRP124" s="13"/>
      <c r="BRQ124" s="13"/>
      <c r="BRR124" s="13"/>
      <c r="BRS124" s="13"/>
      <c r="BRT124" s="13"/>
      <c r="BRU124" s="13"/>
      <c r="BRV124" s="13"/>
      <c r="BRW124" s="13"/>
      <c r="BRX124" s="13"/>
      <c r="BRY124" s="13"/>
      <c r="BRZ124" s="13"/>
      <c r="BSA124" s="13"/>
      <c r="BSB124" s="13"/>
      <c r="BSC124" s="13"/>
      <c r="BSD124" s="13"/>
      <c r="BSE124" s="13"/>
      <c r="BSF124" s="13"/>
      <c r="BSG124" s="13"/>
      <c r="BSH124" s="13"/>
      <c r="BSI124" s="13"/>
      <c r="BSJ124" s="13"/>
      <c r="BSK124" s="13"/>
      <c r="BSL124" s="13"/>
      <c r="BSM124" s="13"/>
      <c r="BSN124" s="13"/>
      <c r="BSO124" s="13"/>
      <c r="BSP124" s="13"/>
      <c r="BSQ124" s="13"/>
      <c r="BSR124" s="13"/>
      <c r="BSS124" s="13"/>
      <c r="BST124" s="13"/>
      <c r="BSU124" s="13"/>
      <c r="BSV124" s="13"/>
      <c r="BSW124" s="13"/>
      <c r="BSX124" s="13"/>
      <c r="BSY124" s="13"/>
      <c r="BSZ124" s="13"/>
      <c r="BTA124" s="13"/>
    </row>
    <row r="125" spans="1:1873" s="23" customFormat="1" x14ac:dyDescent="0.2">
      <c r="A125" s="234" t="s">
        <v>676</v>
      </c>
      <c r="B125" s="234" t="s">
        <v>618</v>
      </c>
      <c r="C125" s="234" t="s">
        <v>469</v>
      </c>
      <c r="D125" s="234" t="s">
        <v>633</v>
      </c>
      <c r="E125" s="493" t="s">
        <v>634</v>
      </c>
      <c r="F125" s="501">
        <v>2</v>
      </c>
      <c r="G125" s="491">
        <v>1</v>
      </c>
      <c r="H125" s="501">
        <v>3</v>
      </c>
      <c r="I125" s="234" t="s">
        <v>621</v>
      </c>
      <c r="J125" s="234">
        <v>1990</v>
      </c>
      <c r="K125" s="234" t="s">
        <v>1211</v>
      </c>
      <c r="L125" s="234">
        <v>1992</v>
      </c>
      <c r="M125" s="389">
        <v>11.2</v>
      </c>
      <c r="N125" s="389">
        <v>0.2</v>
      </c>
      <c r="O125" s="29"/>
      <c r="P125" s="237">
        <f>+P124+M125</f>
        <v>30.5</v>
      </c>
      <c r="Q125" s="234">
        <v>-9999</v>
      </c>
      <c r="R125" s="389"/>
      <c r="S125" s="234"/>
      <c r="T125" s="237">
        <f>+P125/F125</f>
        <v>15.25</v>
      </c>
      <c r="U125" s="491">
        <v>-9999</v>
      </c>
      <c r="V125" s="491"/>
      <c r="W125" s="389">
        <f>+M125</f>
        <v>11.2</v>
      </c>
      <c r="X125" s="491">
        <v>-9999</v>
      </c>
      <c r="Y125" s="491"/>
      <c r="Z125" s="234" t="s">
        <v>622</v>
      </c>
      <c r="AA125" s="515">
        <v>111111</v>
      </c>
      <c r="AB125" s="389">
        <v>0.89</v>
      </c>
      <c r="AC125" s="390">
        <v>2.1600000000000001E-2</v>
      </c>
      <c r="AD125" s="234">
        <v>36</v>
      </c>
      <c r="AE125" s="390" t="s">
        <v>1974</v>
      </c>
      <c r="AF125" s="234">
        <v>3</v>
      </c>
      <c r="AG125" s="234">
        <v>2</v>
      </c>
      <c r="AH125" s="234" t="s">
        <v>479</v>
      </c>
      <c r="AI125" s="234" t="s">
        <v>624</v>
      </c>
      <c r="AJ125" s="234">
        <v>-9999</v>
      </c>
      <c r="AK125" s="234" t="s">
        <v>625</v>
      </c>
      <c r="AL125" s="234" t="s">
        <v>642</v>
      </c>
      <c r="AM125" s="234">
        <v>-9999</v>
      </c>
      <c r="AN125" s="234" t="s">
        <v>480</v>
      </c>
      <c r="AO125" s="234" t="s">
        <v>627</v>
      </c>
      <c r="AP125" s="234" t="s">
        <v>677</v>
      </c>
      <c r="AQ125" s="234" t="s">
        <v>626</v>
      </c>
      <c r="AR125" s="234">
        <f>224*G125</f>
        <v>224</v>
      </c>
      <c r="AS125" s="234" t="s">
        <v>1101</v>
      </c>
      <c r="AT125" s="234" t="s">
        <v>745</v>
      </c>
      <c r="AU125" s="234">
        <v>112</v>
      </c>
      <c r="AV125" s="234" t="s">
        <v>218</v>
      </c>
      <c r="AW125" s="234" t="s">
        <v>746</v>
      </c>
      <c r="AX125" s="234">
        <v>112</v>
      </c>
      <c r="AY125" s="234" t="s">
        <v>219</v>
      </c>
      <c r="AZ125" s="234" t="s">
        <v>746</v>
      </c>
      <c r="BA125" s="234">
        <v>-9999</v>
      </c>
      <c r="BB125" s="234" t="s">
        <v>626</v>
      </c>
      <c r="BC125" s="234" t="s">
        <v>641</v>
      </c>
      <c r="BD125" s="234" t="s">
        <v>642</v>
      </c>
      <c r="BE125" s="234" t="s">
        <v>643</v>
      </c>
      <c r="BF125" s="234">
        <v>-9999</v>
      </c>
      <c r="BG125" s="234">
        <v>-9999</v>
      </c>
      <c r="BH125" s="234">
        <v>-9999</v>
      </c>
      <c r="BI125" s="234" t="s">
        <v>678</v>
      </c>
      <c r="BJ125" s="234">
        <v>-9999</v>
      </c>
      <c r="BK125" s="234">
        <v>-9999</v>
      </c>
      <c r="BL125" s="234">
        <v>-9999</v>
      </c>
      <c r="BM125" s="234">
        <v>-9999</v>
      </c>
      <c r="BN125" s="234">
        <v>-9999</v>
      </c>
      <c r="BO125" s="234">
        <v>-9999</v>
      </c>
      <c r="BP125" s="234">
        <v>-9999</v>
      </c>
      <c r="BQ125" s="234">
        <v>-9999</v>
      </c>
      <c r="BR125" s="491">
        <v>-9999</v>
      </c>
      <c r="BS125" s="491">
        <v>-9999</v>
      </c>
      <c r="BT125" s="491">
        <v>-9999</v>
      </c>
      <c r="BU125" s="491">
        <v>-9999</v>
      </c>
      <c r="BV125" s="491">
        <v>-9999</v>
      </c>
      <c r="BW125" s="491"/>
      <c r="BX125" s="491">
        <v>-9999</v>
      </c>
      <c r="BY125" s="234">
        <v>-9999</v>
      </c>
      <c r="BZ125" s="496">
        <v>-9999</v>
      </c>
      <c r="CA125" s="496" t="s">
        <v>478</v>
      </c>
      <c r="CB125" s="499"/>
      <c r="CC125" s="501">
        <v>2</v>
      </c>
      <c r="CD125" s="491">
        <v>1</v>
      </c>
      <c r="CE125" s="292">
        <v>15.25</v>
      </c>
      <c r="CF125" s="292">
        <v>11.2</v>
      </c>
      <c r="CG125" s="74">
        <v>3</v>
      </c>
    </row>
    <row r="126" spans="1:1873" s="23" customFormat="1" x14ac:dyDescent="0.2">
      <c r="A126" s="234" t="s">
        <v>676</v>
      </c>
      <c r="B126" s="234" t="s">
        <v>618</v>
      </c>
      <c r="C126" s="234" t="s">
        <v>469</v>
      </c>
      <c r="D126" s="234" t="s">
        <v>633</v>
      </c>
      <c r="E126" s="493" t="s">
        <v>634</v>
      </c>
      <c r="F126" s="501">
        <v>3</v>
      </c>
      <c r="G126" s="491">
        <v>1</v>
      </c>
      <c r="H126" s="501">
        <v>4</v>
      </c>
      <c r="I126" s="234" t="s">
        <v>621</v>
      </c>
      <c r="J126" s="234">
        <v>1990</v>
      </c>
      <c r="K126" s="234" t="s">
        <v>1211</v>
      </c>
      <c r="L126" s="234">
        <v>1993</v>
      </c>
      <c r="M126" s="389">
        <v>10.1</v>
      </c>
      <c r="N126" s="389">
        <v>0.4</v>
      </c>
      <c r="O126" s="29"/>
      <c r="P126" s="237">
        <f>+P125+M126</f>
        <v>40.6</v>
      </c>
      <c r="Q126" s="234">
        <v>-9999</v>
      </c>
      <c r="R126" s="389"/>
      <c r="S126" s="234"/>
      <c r="T126" s="237">
        <f>+P126/F126</f>
        <v>13.533333333333333</v>
      </c>
      <c r="U126" s="491">
        <v>-9999</v>
      </c>
      <c r="V126" s="491"/>
      <c r="W126" s="389">
        <f>+M126</f>
        <v>10.1</v>
      </c>
      <c r="X126" s="491">
        <v>-9999</v>
      </c>
      <c r="Y126" s="491"/>
      <c r="Z126" s="234" t="s">
        <v>622</v>
      </c>
      <c r="AA126" s="515">
        <v>111111</v>
      </c>
      <c r="AB126" s="389">
        <v>0.87</v>
      </c>
      <c r="AC126" s="390">
        <v>2.1600000000000001E-2</v>
      </c>
      <c r="AD126" s="234">
        <v>36</v>
      </c>
      <c r="AE126" s="390" t="s">
        <v>1974</v>
      </c>
      <c r="AF126" s="234">
        <v>3</v>
      </c>
      <c r="AG126" s="234">
        <v>2</v>
      </c>
      <c r="AH126" s="234" t="s">
        <v>479</v>
      </c>
      <c r="AI126" s="234" t="s">
        <v>624</v>
      </c>
      <c r="AJ126" s="234">
        <v>-9999</v>
      </c>
      <c r="AK126" s="234" t="s">
        <v>625</v>
      </c>
      <c r="AL126" s="234" t="s">
        <v>642</v>
      </c>
      <c r="AM126" s="234">
        <v>-9999</v>
      </c>
      <c r="AN126" s="234" t="s">
        <v>480</v>
      </c>
      <c r="AO126" s="234" t="s">
        <v>627</v>
      </c>
      <c r="AP126" s="234" t="s">
        <v>677</v>
      </c>
      <c r="AQ126" s="234" t="s">
        <v>626</v>
      </c>
      <c r="AR126" s="234">
        <f>224*G126</f>
        <v>224</v>
      </c>
      <c r="AS126" s="234" t="s">
        <v>1101</v>
      </c>
      <c r="AT126" s="234" t="s">
        <v>745</v>
      </c>
      <c r="AU126" s="234">
        <v>0</v>
      </c>
      <c r="AV126" s="234" t="s">
        <v>218</v>
      </c>
      <c r="AW126" s="234" t="s">
        <v>746</v>
      </c>
      <c r="AX126" s="234">
        <v>0</v>
      </c>
      <c r="AY126" s="234" t="s">
        <v>219</v>
      </c>
      <c r="AZ126" s="234">
        <v>-9999</v>
      </c>
      <c r="BA126" s="234">
        <v>-9999</v>
      </c>
      <c r="BB126" s="234" t="s">
        <v>626</v>
      </c>
      <c r="BC126" s="234" t="s">
        <v>641</v>
      </c>
      <c r="BD126" s="234" t="s">
        <v>642</v>
      </c>
      <c r="BE126" s="234" t="s">
        <v>643</v>
      </c>
      <c r="BF126" s="234">
        <v>-9999</v>
      </c>
      <c r="BG126" s="234">
        <v>-9999</v>
      </c>
      <c r="BH126" s="234">
        <v>-9999</v>
      </c>
      <c r="BI126" s="234" t="s">
        <v>678</v>
      </c>
      <c r="BJ126" s="234">
        <v>-9999</v>
      </c>
      <c r="BK126" s="234">
        <v>-9999</v>
      </c>
      <c r="BL126" s="234">
        <v>-9999</v>
      </c>
      <c r="BM126" s="234">
        <v>-9999</v>
      </c>
      <c r="BN126" s="234">
        <v>-9999</v>
      </c>
      <c r="BO126" s="234">
        <v>-9999</v>
      </c>
      <c r="BP126" s="234">
        <v>-9999</v>
      </c>
      <c r="BQ126" s="234">
        <v>-9999</v>
      </c>
      <c r="BR126" s="491">
        <v>-9999</v>
      </c>
      <c r="BS126" s="491">
        <v>-9999</v>
      </c>
      <c r="BT126" s="491">
        <v>-9999</v>
      </c>
      <c r="BU126" s="491">
        <v>-9999</v>
      </c>
      <c r="BV126" s="491">
        <v>-9999</v>
      </c>
      <c r="BW126" s="491"/>
      <c r="BX126" s="491">
        <v>-9999</v>
      </c>
      <c r="BY126" s="234">
        <v>-9999</v>
      </c>
      <c r="BZ126" s="496">
        <v>-9999</v>
      </c>
      <c r="CA126" s="496" t="s">
        <v>478</v>
      </c>
      <c r="CB126" s="499"/>
      <c r="CC126" s="501">
        <v>3</v>
      </c>
      <c r="CD126" s="491">
        <v>1</v>
      </c>
      <c r="CE126" s="292">
        <v>13.533333333333333</v>
      </c>
      <c r="CF126" s="292">
        <v>10.1</v>
      </c>
      <c r="CG126" s="74">
        <v>4</v>
      </c>
    </row>
    <row r="127" spans="1:1873" s="23" customFormat="1" x14ac:dyDescent="0.2">
      <c r="A127" s="234" t="s">
        <v>676</v>
      </c>
      <c r="B127" s="234" t="s">
        <v>618</v>
      </c>
      <c r="C127" s="234" t="s">
        <v>469</v>
      </c>
      <c r="D127" s="234" t="s">
        <v>633</v>
      </c>
      <c r="E127" s="493" t="s">
        <v>634</v>
      </c>
      <c r="F127" s="501">
        <v>4</v>
      </c>
      <c r="G127" s="491">
        <v>1</v>
      </c>
      <c r="H127" s="501">
        <v>5</v>
      </c>
      <c r="I127" s="234" t="s">
        <v>621</v>
      </c>
      <c r="J127" s="234">
        <v>1990</v>
      </c>
      <c r="K127" s="234" t="s">
        <v>1211</v>
      </c>
      <c r="L127" s="234">
        <v>1994</v>
      </c>
      <c r="M127" s="389">
        <v>11.4</v>
      </c>
      <c r="N127" s="389">
        <v>0.8</v>
      </c>
      <c r="O127" s="29"/>
      <c r="P127" s="237">
        <f>+P126+M127</f>
        <v>52</v>
      </c>
      <c r="Q127" s="234">
        <v>-9999</v>
      </c>
      <c r="R127" s="389"/>
      <c r="S127" s="234"/>
      <c r="T127" s="237">
        <f>+P127/F127</f>
        <v>13</v>
      </c>
      <c r="U127" s="491">
        <v>-9999</v>
      </c>
      <c r="V127" s="491"/>
      <c r="W127" s="389">
        <f>+M127</f>
        <v>11.4</v>
      </c>
      <c r="X127" s="491">
        <v>-9999</v>
      </c>
      <c r="Y127" s="491"/>
      <c r="Z127" s="234" t="s">
        <v>622</v>
      </c>
      <c r="AA127" s="515">
        <v>111111</v>
      </c>
      <c r="AB127" s="389">
        <v>0.68</v>
      </c>
      <c r="AC127" s="390">
        <v>2.1600000000000001E-2</v>
      </c>
      <c r="AD127" s="234">
        <v>36</v>
      </c>
      <c r="AE127" s="390" t="s">
        <v>1974</v>
      </c>
      <c r="AF127" s="234">
        <v>3</v>
      </c>
      <c r="AG127" s="234">
        <v>2</v>
      </c>
      <c r="AH127" s="234" t="s">
        <v>479</v>
      </c>
      <c r="AI127" s="234" t="s">
        <v>624</v>
      </c>
      <c r="AJ127" s="234">
        <v>-9999</v>
      </c>
      <c r="AK127" s="234" t="s">
        <v>625</v>
      </c>
      <c r="AL127" s="234" t="s">
        <v>642</v>
      </c>
      <c r="AM127" s="234">
        <v>-9999</v>
      </c>
      <c r="AN127" s="234" t="s">
        <v>480</v>
      </c>
      <c r="AO127" s="234" t="s">
        <v>627</v>
      </c>
      <c r="AP127" s="234" t="s">
        <v>677</v>
      </c>
      <c r="AQ127" s="234" t="s">
        <v>626</v>
      </c>
      <c r="AR127" s="234">
        <f>224*G127</f>
        <v>224</v>
      </c>
      <c r="AS127" s="234" t="s">
        <v>1101</v>
      </c>
      <c r="AT127" s="234" t="s">
        <v>745</v>
      </c>
      <c r="AU127" s="234">
        <v>0</v>
      </c>
      <c r="AV127" s="234" t="s">
        <v>218</v>
      </c>
      <c r="AW127" s="234" t="s">
        <v>746</v>
      </c>
      <c r="AX127" s="234">
        <v>0</v>
      </c>
      <c r="AY127" s="234" t="s">
        <v>219</v>
      </c>
      <c r="AZ127" s="234">
        <v>-9999</v>
      </c>
      <c r="BA127" s="234">
        <v>-9999</v>
      </c>
      <c r="BB127" s="234" t="s">
        <v>626</v>
      </c>
      <c r="BC127" s="234" t="s">
        <v>641</v>
      </c>
      <c r="BD127" s="234" t="s">
        <v>642</v>
      </c>
      <c r="BE127" s="234" t="s">
        <v>643</v>
      </c>
      <c r="BF127" s="234">
        <v>-9999</v>
      </c>
      <c r="BG127" s="234">
        <v>-9999</v>
      </c>
      <c r="BH127" s="234">
        <v>-9999</v>
      </c>
      <c r="BI127" s="234" t="s">
        <v>678</v>
      </c>
      <c r="BJ127" s="234">
        <v>-9999</v>
      </c>
      <c r="BK127" s="234">
        <v>-9999</v>
      </c>
      <c r="BL127" s="234">
        <v>-9999</v>
      </c>
      <c r="BM127" s="234">
        <v>-9999</v>
      </c>
      <c r="BN127" s="234">
        <v>-9999</v>
      </c>
      <c r="BO127" s="234">
        <v>-9999</v>
      </c>
      <c r="BP127" s="234">
        <v>-9999</v>
      </c>
      <c r="BQ127" s="234">
        <v>-9999</v>
      </c>
      <c r="BR127" s="491">
        <v>-9999</v>
      </c>
      <c r="BS127" s="491">
        <v>-9999</v>
      </c>
      <c r="BT127" s="491">
        <v>-9999</v>
      </c>
      <c r="BU127" s="491">
        <v>-9999</v>
      </c>
      <c r="BV127" s="491">
        <v>-9999</v>
      </c>
      <c r="BW127" s="491"/>
      <c r="BX127" s="491">
        <v>-9999</v>
      </c>
      <c r="BY127" s="234">
        <v>-9999</v>
      </c>
      <c r="BZ127" s="496">
        <v>-9999</v>
      </c>
      <c r="CA127" s="496" t="s">
        <v>478</v>
      </c>
      <c r="CB127" s="499"/>
      <c r="CC127" s="501">
        <v>4</v>
      </c>
      <c r="CD127" s="491">
        <v>1</v>
      </c>
      <c r="CE127" s="292">
        <v>13</v>
      </c>
      <c r="CF127" s="292">
        <v>11.4</v>
      </c>
      <c r="CG127" s="74">
        <v>5</v>
      </c>
    </row>
    <row r="128" spans="1:1873" s="23" customFormat="1" ht="11.45" customHeight="1" x14ac:dyDescent="0.2">
      <c r="A128" s="234"/>
      <c r="B128" s="234"/>
      <c r="C128" s="234"/>
      <c r="D128" s="234"/>
      <c r="E128" s="493"/>
      <c r="F128" s="501"/>
      <c r="G128" s="491"/>
      <c r="H128" s="501"/>
      <c r="I128" s="234"/>
      <c r="J128" s="234"/>
      <c r="K128" s="234"/>
      <c r="L128" s="234"/>
      <c r="M128" s="389"/>
      <c r="N128" s="389"/>
      <c r="O128" s="29"/>
      <c r="P128" s="237"/>
      <c r="Q128" s="234"/>
      <c r="R128" s="389"/>
      <c r="S128" s="234"/>
      <c r="T128" s="237"/>
      <c r="U128" s="491"/>
      <c r="V128" s="491"/>
      <c r="W128" s="389"/>
      <c r="X128" s="491"/>
      <c r="Y128" s="491"/>
      <c r="Z128" s="234"/>
      <c r="AA128" s="515"/>
      <c r="AB128" s="389"/>
      <c r="AC128" s="389"/>
      <c r="AD128" s="234"/>
      <c r="AE128" s="389"/>
      <c r="AF128" s="234"/>
      <c r="AG128" s="234"/>
      <c r="AH128" s="234"/>
      <c r="AI128" s="234"/>
      <c r="AJ128" s="234"/>
      <c r="AK128" s="234"/>
      <c r="AL128" s="234"/>
      <c r="AM128" s="234"/>
      <c r="AN128" s="234"/>
      <c r="AO128" s="234"/>
      <c r="AP128" s="234"/>
      <c r="AQ128" s="234"/>
      <c r="AR128" s="234"/>
      <c r="AS128" s="234"/>
      <c r="AT128" s="234"/>
      <c r="AU128" s="234"/>
      <c r="AV128" s="234"/>
      <c r="AW128" s="234"/>
      <c r="AX128" s="234"/>
      <c r="AY128" s="234"/>
      <c r="AZ128" s="234"/>
      <c r="BA128" s="234"/>
      <c r="BB128" s="234"/>
      <c r="BC128" s="234"/>
      <c r="BD128" s="234"/>
      <c r="BE128" s="234"/>
      <c r="BF128" s="234"/>
      <c r="BG128" s="234"/>
      <c r="BH128" s="234"/>
      <c r="BI128" s="234"/>
      <c r="BJ128" s="234"/>
      <c r="BK128" s="234"/>
      <c r="BL128" s="234"/>
      <c r="BM128" s="234"/>
      <c r="BN128" s="234"/>
      <c r="BO128" s="234"/>
      <c r="BP128" s="234"/>
      <c r="BQ128" s="234"/>
      <c r="BR128" s="491"/>
      <c r="BS128" s="491"/>
      <c r="BT128" s="491"/>
      <c r="BU128" s="491"/>
      <c r="BV128" s="491"/>
      <c r="BW128" s="491"/>
      <c r="BX128" s="491"/>
      <c r="BY128" s="234"/>
      <c r="BZ128" s="496"/>
      <c r="CA128" s="496"/>
      <c r="CB128" s="499"/>
      <c r="CC128" s="501"/>
      <c r="CD128" s="491"/>
      <c r="CE128" s="342" t="s">
        <v>1576</v>
      </c>
      <c r="CF128" s="342" t="s">
        <v>1575</v>
      </c>
      <c r="CG128" s="74"/>
    </row>
    <row r="129" spans="1:1873" s="13" customFormat="1" x14ac:dyDescent="0.2">
      <c r="A129" s="231" t="s">
        <v>676</v>
      </c>
      <c r="B129" s="231" t="s">
        <v>618</v>
      </c>
      <c r="C129" s="231" t="s">
        <v>470</v>
      </c>
      <c r="D129" s="231" t="s">
        <v>633</v>
      </c>
      <c r="E129" s="232" t="s">
        <v>634</v>
      </c>
      <c r="F129" s="222">
        <v>1</v>
      </c>
      <c r="G129" s="233">
        <v>1</v>
      </c>
      <c r="H129" s="222">
        <v>2</v>
      </c>
      <c r="I129" s="231" t="s">
        <v>621</v>
      </c>
      <c r="J129" s="231">
        <v>1990</v>
      </c>
      <c r="K129" s="231" t="s">
        <v>1211</v>
      </c>
      <c r="L129" s="231">
        <v>1991</v>
      </c>
      <c r="M129" s="235">
        <v>19.100000000000001</v>
      </c>
      <c r="N129" s="235">
        <v>0.5</v>
      </c>
      <c r="O129" s="18"/>
      <c r="P129" s="236">
        <f>+M129</f>
        <v>19.100000000000001</v>
      </c>
      <c r="Q129" s="231">
        <v>-9999</v>
      </c>
      <c r="R129" s="235"/>
      <c r="S129" s="231"/>
      <c r="T129" s="236">
        <f>+P129/F129</f>
        <v>19.100000000000001</v>
      </c>
      <c r="U129" s="233">
        <v>-9999</v>
      </c>
      <c r="V129" s="233"/>
      <c r="W129" s="235">
        <f>+M129</f>
        <v>19.100000000000001</v>
      </c>
      <c r="X129" s="233">
        <v>-9999</v>
      </c>
      <c r="Y129" s="233"/>
      <c r="Z129" s="231" t="s">
        <v>636</v>
      </c>
      <c r="AA129" s="383">
        <v>37037</v>
      </c>
      <c r="AB129" s="235">
        <v>0.9</v>
      </c>
      <c r="AC129" s="231">
        <v>2.1600000000000001E-2</v>
      </c>
      <c r="AD129" s="231">
        <v>36</v>
      </c>
      <c r="AE129" s="235" t="s">
        <v>1975</v>
      </c>
      <c r="AF129" s="231">
        <v>3</v>
      </c>
      <c r="AG129" s="231">
        <v>2</v>
      </c>
      <c r="AH129" s="231" t="s">
        <v>479</v>
      </c>
      <c r="AI129" s="231" t="s">
        <v>624</v>
      </c>
      <c r="AJ129" s="231">
        <v>-9999</v>
      </c>
      <c r="AK129" s="231" t="s">
        <v>625</v>
      </c>
      <c r="AL129" s="231" t="s">
        <v>642</v>
      </c>
      <c r="AM129" s="231">
        <v>-9999</v>
      </c>
      <c r="AN129" s="231" t="s">
        <v>480</v>
      </c>
      <c r="AO129" s="231" t="s">
        <v>627</v>
      </c>
      <c r="AP129" s="231" t="s">
        <v>677</v>
      </c>
      <c r="AQ129" s="231" t="s">
        <v>626</v>
      </c>
      <c r="AR129" s="231">
        <f>224*G129</f>
        <v>224</v>
      </c>
      <c r="AS129" s="231" t="s">
        <v>1101</v>
      </c>
      <c r="AT129" s="231" t="s">
        <v>745</v>
      </c>
      <c r="AU129" s="231">
        <v>112</v>
      </c>
      <c r="AV129" s="231" t="s">
        <v>218</v>
      </c>
      <c r="AW129" s="231" t="s">
        <v>746</v>
      </c>
      <c r="AX129" s="231">
        <v>112</v>
      </c>
      <c r="AY129" s="231" t="s">
        <v>219</v>
      </c>
      <c r="AZ129" s="231" t="s">
        <v>746</v>
      </c>
      <c r="BA129" s="231">
        <v>-9999</v>
      </c>
      <c r="BB129" s="231" t="s">
        <v>626</v>
      </c>
      <c r="BC129" s="231" t="s">
        <v>641</v>
      </c>
      <c r="BD129" s="231" t="s">
        <v>642</v>
      </c>
      <c r="BE129" s="231" t="s">
        <v>643</v>
      </c>
      <c r="BF129" s="231">
        <v>-9999</v>
      </c>
      <c r="BG129" s="231">
        <v>-9999</v>
      </c>
      <c r="BH129" s="231">
        <v>-9999</v>
      </c>
      <c r="BI129" s="231" t="s">
        <v>678</v>
      </c>
      <c r="BJ129" s="231">
        <v>-9999</v>
      </c>
      <c r="BK129" s="231">
        <v>-9999</v>
      </c>
      <c r="BL129" s="231">
        <v>-9999</v>
      </c>
      <c r="BM129" s="231">
        <v>-9999</v>
      </c>
      <c r="BN129" s="231">
        <v>-9999</v>
      </c>
      <c r="BO129" s="231">
        <v>-9999</v>
      </c>
      <c r="BP129" s="231">
        <v>-9999</v>
      </c>
      <c r="BQ129" s="231">
        <v>-9999</v>
      </c>
      <c r="BR129" s="233">
        <v>-9999</v>
      </c>
      <c r="BS129" s="233">
        <v>-9999</v>
      </c>
      <c r="BT129" s="233">
        <v>-9999</v>
      </c>
      <c r="BU129" s="233">
        <v>-9999</v>
      </c>
      <c r="BV129" s="233">
        <v>-9999</v>
      </c>
      <c r="BW129" s="233"/>
      <c r="BX129" s="233">
        <v>-9999</v>
      </c>
      <c r="BY129" s="231">
        <v>-9999</v>
      </c>
      <c r="BZ129" s="238">
        <v>-9999</v>
      </c>
      <c r="CA129" s="238" t="s">
        <v>478</v>
      </c>
      <c r="CB129" s="239"/>
      <c r="CC129" s="222">
        <v>1</v>
      </c>
      <c r="CD129" s="233">
        <v>1</v>
      </c>
      <c r="CE129" s="395">
        <v>19.100000000000001</v>
      </c>
      <c r="CF129" s="99">
        <v>19.100000000000001</v>
      </c>
      <c r="CG129" s="222">
        <v>2</v>
      </c>
      <c r="CH129" s="437" t="s">
        <v>1757</v>
      </c>
    </row>
    <row r="130" spans="1:1873" s="23" customFormat="1" x14ac:dyDescent="0.2">
      <c r="A130" s="234" t="s">
        <v>676</v>
      </c>
      <c r="B130" s="234" t="s">
        <v>618</v>
      </c>
      <c r="C130" s="234" t="s">
        <v>470</v>
      </c>
      <c r="D130" s="234" t="s">
        <v>633</v>
      </c>
      <c r="E130" s="493" t="s">
        <v>634</v>
      </c>
      <c r="F130" s="501">
        <v>2</v>
      </c>
      <c r="G130" s="491">
        <v>1</v>
      </c>
      <c r="H130" s="501">
        <v>3</v>
      </c>
      <c r="I130" s="234" t="s">
        <v>621</v>
      </c>
      <c r="J130" s="234">
        <v>1990</v>
      </c>
      <c r="K130" s="234" t="s">
        <v>1211</v>
      </c>
      <c r="L130" s="234">
        <v>1992</v>
      </c>
      <c r="M130" s="389">
        <v>11.2</v>
      </c>
      <c r="N130" s="389">
        <v>0.2</v>
      </c>
      <c r="O130" s="29"/>
      <c r="P130" s="237">
        <f>+P129+M130</f>
        <v>30.3</v>
      </c>
      <c r="Q130" s="234">
        <v>-9999</v>
      </c>
      <c r="R130" s="389"/>
      <c r="S130" s="234"/>
      <c r="T130" s="237">
        <f>+P130/F130</f>
        <v>15.15</v>
      </c>
      <c r="U130" s="491">
        <v>-9999</v>
      </c>
      <c r="V130" s="491"/>
      <c r="W130" s="389">
        <f>+M130</f>
        <v>11.2</v>
      </c>
      <c r="X130" s="491">
        <v>-9999</v>
      </c>
      <c r="Y130" s="491"/>
      <c r="Z130" s="234" t="s">
        <v>636</v>
      </c>
      <c r="AA130" s="515">
        <v>37037</v>
      </c>
      <c r="AB130" s="389">
        <v>0.9</v>
      </c>
      <c r="AC130" s="390">
        <v>2.1600000000000001E-2</v>
      </c>
      <c r="AD130" s="234">
        <v>36</v>
      </c>
      <c r="AE130" s="392" t="s">
        <v>1975</v>
      </c>
      <c r="AF130" s="234">
        <v>3</v>
      </c>
      <c r="AG130" s="234">
        <v>2</v>
      </c>
      <c r="AH130" s="234" t="s">
        <v>479</v>
      </c>
      <c r="AI130" s="234" t="s">
        <v>624</v>
      </c>
      <c r="AJ130" s="234">
        <v>-9999</v>
      </c>
      <c r="AK130" s="234" t="s">
        <v>625</v>
      </c>
      <c r="AL130" s="234" t="s">
        <v>642</v>
      </c>
      <c r="AM130" s="234">
        <v>-9999</v>
      </c>
      <c r="AN130" s="234" t="s">
        <v>480</v>
      </c>
      <c r="AO130" s="234" t="s">
        <v>627</v>
      </c>
      <c r="AP130" s="234" t="s">
        <v>677</v>
      </c>
      <c r="AQ130" s="234" t="s">
        <v>626</v>
      </c>
      <c r="AR130" s="234">
        <f>224*G130</f>
        <v>224</v>
      </c>
      <c r="AS130" s="234" t="s">
        <v>1101</v>
      </c>
      <c r="AT130" s="234" t="s">
        <v>745</v>
      </c>
      <c r="AU130" s="234">
        <v>112</v>
      </c>
      <c r="AV130" s="234" t="s">
        <v>218</v>
      </c>
      <c r="AW130" s="234" t="s">
        <v>746</v>
      </c>
      <c r="AX130" s="234">
        <v>112</v>
      </c>
      <c r="AY130" s="234" t="s">
        <v>219</v>
      </c>
      <c r="AZ130" s="234" t="s">
        <v>746</v>
      </c>
      <c r="BA130" s="234">
        <v>-9999</v>
      </c>
      <c r="BB130" s="234" t="s">
        <v>626</v>
      </c>
      <c r="BC130" s="234" t="s">
        <v>641</v>
      </c>
      <c r="BD130" s="234" t="s">
        <v>642</v>
      </c>
      <c r="BE130" s="234" t="s">
        <v>643</v>
      </c>
      <c r="BF130" s="234">
        <v>-9999</v>
      </c>
      <c r="BG130" s="234">
        <v>-9999</v>
      </c>
      <c r="BH130" s="234">
        <v>-9999</v>
      </c>
      <c r="BI130" s="234" t="s">
        <v>678</v>
      </c>
      <c r="BJ130" s="234">
        <v>-9999</v>
      </c>
      <c r="BK130" s="234">
        <v>-9999</v>
      </c>
      <c r="BL130" s="234">
        <v>-9999</v>
      </c>
      <c r="BM130" s="234">
        <v>-9999</v>
      </c>
      <c r="BN130" s="234">
        <v>-9999</v>
      </c>
      <c r="BO130" s="234">
        <v>-9999</v>
      </c>
      <c r="BP130" s="234">
        <v>-9999</v>
      </c>
      <c r="BQ130" s="234">
        <v>-9999</v>
      </c>
      <c r="BR130" s="491">
        <v>-9999</v>
      </c>
      <c r="BS130" s="491">
        <v>-9999</v>
      </c>
      <c r="BT130" s="491">
        <v>-9999</v>
      </c>
      <c r="BU130" s="491">
        <v>-9999</v>
      </c>
      <c r="BV130" s="491">
        <v>-9999</v>
      </c>
      <c r="BW130" s="491"/>
      <c r="BX130" s="491">
        <v>-9999</v>
      </c>
      <c r="BY130" s="234">
        <v>-9999</v>
      </c>
      <c r="BZ130" s="496">
        <v>-9999</v>
      </c>
      <c r="CA130" s="496" t="s">
        <v>478</v>
      </c>
      <c r="CB130" s="499"/>
      <c r="CC130" s="501">
        <v>2</v>
      </c>
      <c r="CD130" s="491">
        <v>1</v>
      </c>
      <c r="CE130" s="292">
        <v>15.15</v>
      </c>
      <c r="CF130" s="292">
        <v>11.2</v>
      </c>
      <c r="CG130" s="74">
        <v>3</v>
      </c>
    </row>
    <row r="131" spans="1:1873" s="23" customFormat="1" x14ac:dyDescent="0.2">
      <c r="A131" s="234" t="s">
        <v>676</v>
      </c>
      <c r="B131" s="234" t="s">
        <v>618</v>
      </c>
      <c r="C131" s="234" t="s">
        <v>470</v>
      </c>
      <c r="D131" s="234" t="s">
        <v>633</v>
      </c>
      <c r="E131" s="493" t="s">
        <v>634</v>
      </c>
      <c r="F131" s="501">
        <v>3</v>
      </c>
      <c r="G131" s="491">
        <v>1</v>
      </c>
      <c r="H131" s="501">
        <v>4</v>
      </c>
      <c r="I131" s="234" t="s">
        <v>621</v>
      </c>
      <c r="J131" s="234">
        <v>1990</v>
      </c>
      <c r="K131" s="234" t="s">
        <v>1211</v>
      </c>
      <c r="L131" s="234">
        <v>1993</v>
      </c>
      <c r="M131" s="389">
        <v>11.4</v>
      </c>
      <c r="N131" s="389">
        <v>0.7</v>
      </c>
      <c r="O131" s="29"/>
      <c r="P131" s="237">
        <f>+P130+M131</f>
        <v>41.7</v>
      </c>
      <c r="Q131" s="234">
        <v>-9999</v>
      </c>
      <c r="R131" s="389"/>
      <c r="S131" s="234"/>
      <c r="T131" s="237">
        <f>+P131/F131</f>
        <v>13.9</v>
      </c>
      <c r="U131" s="491">
        <v>-9999</v>
      </c>
      <c r="V131" s="491"/>
      <c r="W131" s="389">
        <f>+M131</f>
        <v>11.4</v>
      </c>
      <c r="X131" s="491">
        <v>-9999</v>
      </c>
      <c r="Y131" s="491"/>
      <c r="Z131" s="234" t="s">
        <v>636</v>
      </c>
      <c r="AA131" s="515">
        <v>37037</v>
      </c>
      <c r="AB131" s="389">
        <v>0.9</v>
      </c>
      <c r="AC131" s="390">
        <v>2.1600000000000001E-2</v>
      </c>
      <c r="AD131" s="234">
        <v>36</v>
      </c>
      <c r="AE131" s="392" t="s">
        <v>1975</v>
      </c>
      <c r="AF131" s="234">
        <v>3</v>
      </c>
      <c r="AG131" s="234">
        <v>2</v>
      </c>
      <c r="AH131" s="234" t="s">
        <v>479</v>
      </c>
      <c r="AI131" s="234" t="s">
        <v>624</v>
      </c>
      <c r="AJ131" s="234">
        <v>-9999</v>
      </c>
      <c r="AK131" s="234" t="s">
        <v>625</v>
      </c>
      <c r="AL131" s="234" t="s">
        <v>642</v>
      </c>
      <c r="AM131" s="234">
        <v>-9999</v>
      </c>
      <c r="AN131" s="234" t="s">
        <v>480</v>
      </c>
      <c r="AO131" s="234" t="s">
        <v>627</v>
      </c>
      <c r="AP131" s="234" t="s">
        <v>677</v>
      </c>
      <c r="AQ131" s="234" t="s">
        <v>626</v>
      </c>
      <c r="AR131" s="234">
        <f>224*G131</f>
        <v>224</v>
      </c>
      <c r="AS131" s="234" t="s">
        <v>1101</v>
      </c>
      <c r="AT131" s="234" t="s">
        <v>745</v>
      </c>
      <c r="AU131" s="234">
        <v>0</v>
      </c>
      <c r="AV131" s="234" t="s">
        <v>218</v>
      </c>
      <c r="AW131" s="234" t="s">
        <v>746</v>
      </c>
      <c r="AX131" s="234">
        <v>0</v>
      </c>
      <c r="AY131" s="234" t="s">
        <v>219</v>
      </c>
      <c r="AZ131" s="234">
        <v>-9999</v>
      </c>
      <c r="BA131" s="234">
        <v>-9999</v>
      </c>
      <c r="BB131" s="234" t="s">
        <v>626</v>
      </c>
      <c r="BC131" s="234" t="s">
        <v>641</v>
      </c>
      <c r="BD131" s="234" t="s">
        <v>642</v>
      </c>
      <c r="BE131" s="234" t="s">
        <v>643</v>
      </c>
      <c r="BF131" s="234">
        <v>-9999</v>
      </c>
      <c r="BG131" s="234">
        <v>-9999</v>
      </c>
      <c r="BH131" s="234">
        <v>-9999</v>
      </c>
      <c r="BI131" s="234" t="s">
        <v>678</v>
      </c>
      <c r="BJ131" s="234">
        <v>-9999</v>
      </c>
      <c r="BK131" s="234">
        <v>-9999</v>
      </c>
      <c r="BL131" s="234">
        <v>-9999</v>
      </c>
      <c r="BM131" s="234">
        <v>-9999</v>
      </c>
      <c r="BN131" s="234">
        <v>-9999</v>
      </c>
      <c r="BO131" s="234">
        <v>-9999</v>
      </c>
      <c r="BP131" s="234">
        <v>-9999</v>
      </c>
      <c r="BQ131" s="234">
        <v>-9999</v>
      </c>
      <c r="BR131" s="491">
        <v>-9999</v>
      </c>
      <c r="BS131" s="491">
        <v>-9999</v>
      </c>
      <c r="BT131" s="491">
        <v>-9999</v>
      </c>
      <c r="BU131" s="491">
        <v>-9999</v>
      </c>
      <c r="BV131" s="491">
        <v>-9999</v>
      </c>
      <c r="BW131" s="491"/>
      <c r="BX131" s="491">
        <v>-9999</v>
      </c>
      <c r="BY131" s="234">
        <v>-9999</v>
      </c>
      <c r="BZ131" s="496">
        <v>-9999</v>
      </c>
      <c r="CA131" s="496" t="s">
        <v>478</v>
      </c>
      <c r="CB131" s="499"/>
      <c r="CC131" s="501">
        <v>3</v>
      </c>
      <c r="CD131" s="491">
        <v>1</v>
      </c>
      <c r="CE131" s="292">
        <v>13.9</v>
      </c>
      <c r="CF131" s="292">
        <v>11.4</v>
      </c>
      <c r="CG131" s="74">
        <v>4</v>
      </c>
    </row>
    <row r="132" spans="1:1873" s="23" customFormat="1" x14ac:dyDescent="0.2">
      <c r="A132" s="234" t="s">
        <v>676</v>
      </c>
      <c r="B132" s="234" t="s">
        <v>618</v>
      </c>
      <c r="C132" s="234" t="s">
        <v>470</v>
      </c>
      <c r="D132" s="234" t="s">
        <v>633</v>
      </c>
      <c r="E132" s="493" t="s">
        <v>634</v>
      </c>
      <c r="F132" s="501">
        <v>4</v>
      </c>
      <c r="G132" s="491">
        <v>1</v>
      </c>
      <c r="H132" s="501">
        <v>5</v>
      </c>
      <c r="I132" s="234" t="s">
        <v>621</v>
      </c>
      <c r="J132" s="234">
        <v>1990</v>
      </c>
      <c r="K132" s="234" t="s">
        <v>1211</v>
      </c>
      <c r="L132" s="234">
        <v>1994</v>
      </c>
      <c r="M132" s="389">
        <v>12.6</v>
      </c>
      <c r="N132" s="389">
        <v>0.7</v>
      </c>
      <c r="O132" s="29"/>
      <c r="P132" s="237">
        <f>+P131+M132</f>
        <v>54.300000000000004</v>
      </c>
      <c r="Q132" s="234">
        <v>-9999</v>
      </c>
      <c r="R132" s="389"/>
      <c r="S132" s="234"/>
      <c r="T132" s="237">
        <f>+P132/F132</f>
        <v>13.575000000000001</v>
      </c>
      <c r="U132" s="491">
        <v>-9999</v>
      </c>
      <c r="V132" s="491"/>
      <c r="W132" s="389">
        <f>+M132</f>
        <v>12.6</v>
      </c>
      <c r="X132" s="491">
        <v>-9999</v>
      </c>
      <c r="Y132" s="491"/>
      <c r="Z132" s="234" t="s">
        <v>636</v>
      </c>
      <c r="AA132" s="515">
        <v>37037</v>
      </c>
      <c r="AB132" s="389">
        <v>0.72</v>
      </c>
      <c r="AC132" s="390">
        <v>2.1600000000000001E-2</v>
      </c>
      <c r="AD132" s="234">
        <v>36</v>
      </c>
      <c r="AE132" s="392" t="s">
        <v>1975</v>
      </c>
      <c r="AF132" s="234">
        <v>3</v>
      </c>
      <c r="AG132" s="234">
        <v>2</v>
      </c>
      <c r="AH132" s="234" t="s">
        <v>479</v>
      </c>
      <c r="AI132" s="234" t="s">
        <v>624</v>
      </c>
      <c r="AJ132" s="234">
        <v>-9999</v>
      </c>
      <c r="AK132" s="234" t="s">
        <v>625</v>
      </c>
      <c r="AL132" s="234" t="s">
        <v>642</v>
      </c>
      <c r="AM132" s="234">
        <v>-9999</v>
      </c>
      <c r="AN132" s="234" t="s">
        <v>480</v>
      </c>
      <c r="AO132" s="234" t="s">
        <v>627</v>
      </c>
      <c r="AP132" s="234" t="s">
        <v>677</v>
      </c>
      <c r="AQ132" s="234" t="s">
        <v>626</v>
      </c>
      <c r="AR132" s="234">
        <f>224*G132</f>
        <v>224</v>
      </c>
      <c r="AS132" s="234" t="s">
        <v>1101</v>
      </c>
      <c r="AT132" s="234" t="s">
        <v>745</v>
      </c>
      <c r="AU132" s="234">
        <v>0</v>
      </c>
      <c r="AV132" s="234" t="s">
        <v>218</v>
      </c>
      <c r="AW132" s="234" t="s">
        <v>746</v>
      </c>
      <c r="AX132" s="234">
        <v>0</v>
      </c>
      <c r="AY132" s="234" t="s">
        <v>219</v>
      </c>
      <c r="AZ132" s="234">
        <v>-9999</v>
      </c>
      <c r="BA132" s="234">
        <v>-9999</v>
      </c>
      <c r="BB132" s="234" t="s">
        <v>626</v>
      </c>
      <c r="BC132" s="234" t="s">
        <v>641</v>
      </c>
      <c r="BD132" s="234" t="s">
        <v>642</v>
      </c>
      <c r="BE132" s="234" t="s">
        <v>643</v>
      </c>
      <c r="BF132" s="234">
        <v>-9999</v>
      </c>
      <c r="BG132" s="234">
        <v>-9999</v>
      </c>
      <c r="BH132" s="234">
        <v>-9999</v>
      </c>
      <c r="BI132" s="234" t="s">
        <v>678</v>
      </c>
      <c r="BJ132" s="234">
        <v>-9999</v>
      </c>
      <c r="BK132" s="234">
        <v>-9999</v>
      </c>
      <c r="BL132" s="234">
        <v>-9999</v>
      </c>
      <c r="BM132" s="234">
        <v>-9999</v>
      </c>
      <c r="BN132" s="234">
        <v>-9999</v>
      </c>
      <c r="BO132" s="234">
        <v>-9999</v>
      </c>
      <c r="BP132" s="234">
        <v>-9999</v>
      </c>
      <c r="BQ132" s="234">
        <v>-9999</v>
      </c>
      <c r="BR132" s="491">
        <v>-9999</v>
      </c>
      <c r="BS132" s="491">
        <v>-9999</v>
      </c>
      <c r="BT132" s="491">
        <v>-9999</v>
      </c>
      <c r="BU132" s="491">
        <v>-9999</v>
      </c>
      <c r="BV132" s="491">
        <v>-9999</v>
      </c>
      <c r="BW132" s="491"/>
      <c r="BX132" s="491">
        <v>-9999</v>
      </c>
      <c r="BY132" s="234">
        <v>-9999</v>
      </c>
      <c r="BZ132" s="496">
        <v>-9999</v>
      </c>
      <c r="CA132" s="496" t="s">
        <v>478</v>
      </c>
      <c r="CB132" s="499"/>
      <c r="CC132" s="501">
        <v>4</v>
      </c>
      <c r="CD132" s="491">
        <v>1</v>
      </c>
      <c r="CE132" s="292">
        <v>13.575000000000001</v>
      </c>
      <c r="CF132" s="292">
        <v>12.6</v>
      </c>
      <c r="CG132" s="74">
        <v>5</v>
      </c>
    </row>
    <row r="133" spans="1:1873" s="23" customFormat="1" ht="10.15" customHeight="1" x14ac:dyDescent="0.2">
      <c r="A133" s="234"/>
      <c r="B133" s="234"/>
      <c r="C133" s="234"/>
      <c r="D133" s="234"/>
      <c r="E133" s="493"/>
      <c r="F133" s="501"/>
      <c r="G133" s="491"/>
      <c r="H133" s="501"/>
      <c r="I133" s="234"/>
      <c r="J133" s="234"/>
      <c r="K133" s="234"/>
      <c r="L133" s="234"/>
      <c r="M133" s="389"/>
      <c r="N133" s="389"/>
      <c r="O133" s="29"/>
      <c r="P133" s="237"/>
      <c r="Q133" s="234"/>
      <c r="R133" s="389"/>
      <c r="S133" s="234"/>
      <c r="T133" s="237"/>
      <c r="U133" s="491"/>
      <c r="V133" s="491"/>
      <c r="W133" s="389"/>
      <c r="X133" s="491"/>
      <c r="Y133" s="491"/>
      <c r="Z133" s="234"/>
      <c r="AA133" s="515"/>
      <c r="AB133" s="389"/>
      <c r="AC133" s="389"/>
      <c r="AD133" s="234"/>
      <c r="AE133" s="389"/>
      <c r="AF133" s="234"/>
      <c r="AG133" s="234"/>
      <c r="AH133" s="234"/>
      <c r="AI133" s="234"/>
      <c r="AJ133" s="234"/>
      <c r="AK133" s="234"/>
      <c r="AL133" s="234"/>
      <c r="AM133" s="234"/>
      <c r="AN133" s="234"/>
      <c r="AO133" s="234"/>
      <c r="AP133" s="234"/>
      <c r="AQ133" s="234"/>
      <c r="AR133" s="234"/>
      <c r="AS133" s="234"/>
      <c r="AT133" s="234"/>
      <c r="AU133" s="234"/>
      <c r="AV133" s="234"/>
      <c r="AW133" s="234"/>
      <c r="AX133" s="234"/>
      <c r="AY133" s="234"/>
      <c r="AZ133" s="234"/>
      <c r="BA133" s="234"/>
      <c r="BB133" s="234"/>
      <c r="BC133" s="234"/>
      <c r="BD133" s="234"/>
      <c r="BE133" s="234"/>
      <c r="BF133" s="234"/>
      <c r="BG133" s="234"/>
      <c r="BH133" s="234"/>
      <c r="BI133" s="234"/>
      <c r="BJ133" s="234"/>
      <c r="BK133" s="234"/>
      <c r="BL133" s="234"/>
      <c r="BM133" s="234"/>
      <c r="BN133" s="234"/>
      <c r="BO133" s="234"/>
      <c r="BP133" s="234"/>
      <c r="BQ133" s="234"/>
      <c r="BR133" s="491"/>
      <c r="BS133" s="491"/>
      <c r="BT133" s="491"/>
      <c r="BU133" s="491"/>
      <c r="BV133" s="491"/>
      <c r="BW133" s="491"/>
      <c r="BX133" s="491"/>
      <c r="BY133" s="234"/>
      <c r="BZ133" s="496"/>
      <c r="CA133" s="496"/>
      <c r="CB133" s="499"/>
      <c r="CC133" s="501"/>
      <c r="CD133" s="491"/>
      <c r="CE133" s="342" t="s">
        <v>1576</v>
      </c>
      <c r="CF133" s="342" t="s">
        <v>1575</v>
      </c>
      <c r="CG133" s="74"/>
    </row>
    <row r="134" spans="1:1873" s="178" customFormat="1" x14ac:dyDescent="0.2">
      <c r="A134" s="231" t="s">
        <v>676</v>
      </c>
      <c r="B134" s="231" t="s">
        <v>618</v>
      </c>
      <c r="C134" s="231" t="s">
        <v>474</v>
      </c>
      <c r="D134" s="231" t="s">
        <v>633</v>
      </c>
      <c r="E134" s="232" t="s">
        <v>634</v>
      </c>
      <c r="F134" s="222">
        <v>1</v>
      </c>
      <c r="G134" s="233">
        <v>1</v>
      </c>
      <c r="H134" s="222">
        <v>2</v>
      </c>
      <c r="I134" s="231" t="s">
        <v>621</v>
      </c>
      <c r="J134" s="231">
        <v>1990</v>
      </c>
      <c r="K134" s="231" t="s">
        <v>1211</v>
      </c>
      <c r="L134" s="231">
        <v>1991</v>
      </c>
      <c r="M134" s="235">
        <v>15</v>
      </c>
      <c r="N134" s="235">
        <v>1.1000000000000001</v>
      </c>
      <c r="O134" s="18"/>
      <c r="P134" s="236">
        <f>+M134</f>
        <v>15</v>
      </c>
      <c r="Q134" s="231">
        <v>-9999</v>
      </c>
      <c r="R134" s="235"/>
      <c r="S134" s="231"/>
      <c r="T134" s="236">
        <f>+P134/F134</f>
        <v>15</v>
      </c>
      <c r="U134" s="233">
        <v>-9999</v>
      </c>
      <c r="V134" s="233"/>
      <c r="W134" s="235">
        <f>+M134</f>
        <v>15</v>
      </c>
      <c r="X134" s="233">
        <v>-9999</v>
      </c>
      <c r="Y134" s="233"/>
      <c r="Z134" s="231" t="s">
        <v>637</v>
      </c>
      <c r="AA134" s="383">
        <v>15152</v>
      </c>
      <c r="AB134" s="235">
        <v>0.92</v>
      </c>
      <c r="AC134" s="231">
        <v>2.1600000000000001E-2</v>
      </c>
      <c r="AD134" s="231">
        <v>36</v>
      </c>
      <c r="AE134" s="235" t="s">
        <v>1976</v>
      </c>
      <c r="AF134" s="231">
        <v>3</v>
      </c>
      <c r="AG134" s="231">
        <v>1</v>
      </c>
      <c r="AH134" s="231" t="s">
        <v>479</v>
      </c>
      <c r="AI134" s="231" t="s">
        <v>624</v>
      </c>
      <c r="AJ134" s="231">
        <v>-9999</v>
      </c>
      <c r="AK134" s="231" t="s">
        <v>625</v>
      </c>
      <c r="AL134" s="231" t="s">
        <v>642</v>
      </c>
      <c r="AM134" s="231">
        <v>-9999</v>
      </c>
      <c r="AN134" s="231" t="s">
        <v>480</v>
      </c>
      <c r="AO134" s="231" t="s">
        <v>627</v>
      </c>
      <c r="AP134" s="231" t="s">
        <v>677</v>
      </c>
      <c r="AQ134" s="231" t="s">
        <v>626</v>
      </c>
      <c r="AR134" s="231">
        <f>224*G134</f>
        <v>224</v>
      </c>
      <c r="AS134" s="231" t="s">
        <v>1101</v>
      </c>
      <c r="AT134" s="231" t="s">
        <v>745</v>
      </c>
      <c r="AU134" s="231">
        <v>112</v>
      </c>
      <c r="AV134" s="231" t="s">
        <v>218</v>
      </c>
      <c r="AW134" s="231" t="s">
        <v>746</v>
      </c>
      <c r="AX134" s="231">
        <v>112</v>
      </c>
      <c r="AY134" s="231" t="s">
        <v>219</v>
      </c>
      <c r="AZ134" s="231" t="s">
        <v>746</v>
      </c>
      <c r="BA134" s="231">
        <v>-9999</v>
      </c>
      <c r="BB134" s="231" t="s">
        <v>626</v>
      </c>
      <c r="BC134" s="231" t="s">
        <v>641</v>
      </c>
      <c r="BD134" s="231" t="s">
        <v>642</v>
      </c>
      <c r="BE134" s="231" t="s">
        <v>643</v>
      </c>
      <c r="BF134" s="231">
        <v>-9999</v>
      </c>
      <c r="BG134" s="231">
        <v>-9999</v>
      </c>
      <c r="BH134" s="231">
        <v>-9999</v>
      </c>
      <c r="BI134" s="231" t="s">
        <v>678</v>
      </c>
      <c r="BJ134" s="231">
        <v>-9999</v>
      </c>
      <c r="BK134" s="231">
        <v>-9999</v>
      </c>
      <c r="BL134" s="231">
        <v>-9999</v>
      </c>
      <c r="BM134" s="231">
        <v>-9999</v>
      </c>
      <c r="BN134" s="231">
        <v>-9999</v>
      </c>
      <c r="BO134" s="231">
        <v>-9999</v>
      </c>
      <c r="BP134" s="231">
        <v>-9999</v>
      </c>
      <c r="BQ134" s="231">
        <v>-9999</v>
      </c>
      <c r="BR134" s="233">
        <v>-9999</v>
      </c>
      <c r="BS134" s="233">
        <v>-9999</v>
      </c>
      <c r="BT134" s="233">
        <v>-9999</v>
      </c>
      <c r="BU134" s="233">
        <v>-9999</v>
      </c>
      <c r="BV134" s="233">
        <v>-9999</v>
      </c>
      <c r="BW134" s="233"/>
      <c r="BX134" s="233">
        <v>-9999</v>
      </c>
      <c r="BY134" s="231">
        <v>-9999</v>
      </c>
      <c r="BZ134" s="238">
        <v>-9999</v>
      </c>
      <c r="CA134" s="238" t="s">
        <v>478</v>
      </c>
      <c r="CB134" s="239"/>
      <c r="CC134" s="222">
        <v>1</v>
      </c>
      <c r="CD134" s="233">
        <v>1</v>
      </c>
      <c r="CE134" s="395">
        <v>15</v>
      </c>
      <c r="CF134" s="99">
        <v>15</v>
      </c>
      <c r="CG134" s="180">
        <v>2</v>
      </c>
      <c r="CH134" s="437" t="s">
        <v>1757</v>
      </c>
      <c r="CI134" s="13"/>
      <c r="CJ134" s="13"/>
      <c r="CK134" s="13"/>
      <c r="CL134" s="13"/>
      <c r="CM134" s="13"/>
      <c r="CN134" s="13"/>
      <c r="CO134" s="13"/>
      <c r="CP134" s="13"/>
      <c r="CQ134" s="13"/>
      <c r="CR134" s="13"/>
      <c r="CS134" s="13"/>
      <c r="CT134" s="13"/>
      <c r="CU134" s="13"/>
      <c r="CV134" s="13"/>
      <c r="CW134" s="13"/>
      <c r="CX134" s="13"/>
      <c r="CY134" s="13"/>
      <c r="CZ134" s="13"/>
      <c r="DA134" s="13"/>
      <c r="DB134" s="13"/>
      <c r="DC134" s="13"/>
      <c r="DD134" s="13"/>
      <c r="DE134" s="13"/>
      <c r="DF134" s="13"/>
      <c r="DG134" s="13"/>
      <c r="DH134" s="13"/>
      <c r="DI134" s="13"/>
      <c r="DJ134" s="13"/>
      <c r="DK134" s="13"/>
      <c r="DL134" s="13"/>
      <c r="DM134" s="13"/>
      <c r="DN134" s="13"/>
      <c r="DO134" s="13"/>
      <c r="DP134" s="13"/>
      <c r="DQ134" s="13"/>
      <c r="DR134" s="13"/>
      <c r="DS134" s="13"/>
      <c r="DT134" s="13"/>
      <c r="DU134" s="13"/>
      <c r="DV134" s="13"/>
      <c r="DW134" s="13"/>
      <c r="DX134" s="13"/>
      <c r="DY134" s="13"/>
      <c r="DZ134" s="13"/>
      <c r="EA134" s="13"/>
      <c r="EB134" s="13"/>
      <c r="EC134" s="13"/>
      <c r="ED134" s="13"/>
      <c r="EE134" s="13"/>
      <c r="EF134" s="13"/>
      <c r="EG134" s="13"/>
      <c r="EH134" s="13"/>
      <c r="EI134" s="13"/>
      <c r="EJ134" s="13"/>
      <c r="EK134" s="13"/>
      <c r="EL134" s="13"/>
      <c r="EM134" s="13"/>
      <c r="EN134" s="13"/>
      <c r="EO134" s="13"/>
      <c r="EP134" s="13"/>
      <c r="EQ134" s="13"/>
      <c r="ER134" s="13"/>
      <c r="ES134" s="13"/>
      <c r="ET134" s="13"/>
      <c r="EU134" s="13"/>
      <c r="EV134" s="13"/>
      <c r="EW134" s="13"/>
      <c r="EX134" s="13"/>
      <c r="EY134" s="13"/>
      <c r="EZ134" s="13"/>
      <c r="FA134" s="13"/>
      <c r="FB134" s="13"/>
      <c r="FC134" s="13"/>
      <c r="FD134" s="13"/>
      <c r="FE134" s="13"/>
      <c r="FF134" s="13"/>
      <c r="FG134" s="13"/>
      <c r="FH134" s="13"/>
      <c r="FI134" s="13"/>
      <c r="FJ134" s="13"/>
      <c r="FK134" s="13"/>
      <c r="FL134" s="13"/>
      <c r="FM134" s="13"/>
      <c r="FN134" s="13"/>
      <c r="FO134" s="13"/>
      <c r="FP134" s="13"/>
      <c r="FQ134" s="13"/>
      <c r="FR134" s="13"/>
      <c r="FS134" s="13"/>
      <c r="FT134" s="13"/>
      <c r="FU134" s="13"/>
      <c r="FV134" s="13"/>
      <c r="FW134" s="13"/>
      <c r="FX134" s="13"/>
      <c r="FY134" s="13"/>
      <c r="FZ134" s="13"/>
      <c r="GA134" s="13"/>
      <c r="GB134" s="13"/>
      <c r="GC134" s="13"/>
      <c r="GD134" s="13"/>
      <c r="GE134" s="13"/>
      <c r="GF134" s="13"/>
      <c r="GG134" s="13"/>
      <c r="GH134" s="13"/>
      <c r="GI134" s="13"/>
      <c r="GJ134" s="13"/>
      <c r="GK134" s="13"/>
      <c r="GL134" s="13"/>
      <c r="GM134" s="13"/>
      <c r="GN134" s="13"/>
      <c r="GO134" s="13"/>
      <c r="GP134" s="13"/>
      <c r="GQ134" s="13"/>
      <c r="GR134" s="13"/>
      <c r="GS134" s="13"/>
      <c r="GT134" s="13"/>
      <c r="GU134" s="13"/>
      <c r="GV134" s="13"/>
      <c r="GW134" s="13"/>
      <c r="GX134" s="13"/>
      <c r="GY134" s="13"/>
      <c r="GZ134" s="13"/>
      <c r="HA134" s="13"/>
      <c r="HB134" s="13"/>
      <c r="HC134" s="13"/>
      <c r="HD134" s="13"/>
      <c r="HE134" s="13"/>
      <c r="HF134" s="13"/>
      <c r="HG134" s="13"/>
      <c r="HH134" s="13"/>
      <c r="HI134" s="13"/>
      <c r="HJ134" s="13"/>
      <c r="HK134" s="13"/>
      <c r="HL134" s="13"/>
      <c r="HM134" s="13"/>
      <c r="HN134" s="13"/>
      <c r="HO134" s="13"/>
      <c r="HP134" s="13"/>
      <c r="HQ134" s="13"/>
      <c r="HR134" s="13"/>
      <c r="HS134" s="13"/>
      <c r="HT134" s="13"/>
      <c r="HU134" s="13"/>
      <c r="HV134" s="13"/>
      <c r="HW134" s="13"/>
      <c r="HX134" s="13"/>
      <c r="HY134" s="13"/>
      <c r="HZ134" s="13"/>
      <c r="IA134" s="13"/>
      <c r="IB134" s="13"/>
      <c r="IC134" s="13"/>
      <c r="ID134" s="13"/>
      <c r="IE134" s="13"/>
      <c r="IF134" s="13"/>
      <c r="IG134" s="13"/>
      <c r="IH134" s="13"/>
      <c r="II134" s="13"/>
      <c r="IJ134" s="13"/>
      <c r="IK134" s="13"/>
      <c r="IL134" s="13"/>
      <c r="IM134" s="13"/>
      <c r="IN134" s="13"/>
      <c r="IO134" s="13"/>
      <c r="IP134" s="13"/>
      <c r="IQ134" s="13"/>
      <c r="IR134" s="13"/>
      <c r="IS134" s="13"/>
      <c r="IT134" s="13"/>
      <c r="IU134" s="13"/>
      <c r="IV134" s="13"/>
      <c r="IW134" s="13"/>
      <c r="IX134" s="13"/>
      <c r="IY134" s="13"/>
      <c r="IZ134" s="13"/>
      <c r="JA134" s="13"/>
      <c r="JB134" s="13"/>
      <c r="JC134" s="13"/>
      <c r="JD134" s="13"/>
      <c r="JE134" s="13"/>
      <c r="JF134" s="13"/>
      <c r="JG134" s="13"/>
      <c r="JH134" s="13"/>
      <c r="JI134" s="13"/>
      <c r="JJ134" s="13"/>
      <c r="JK134" s="13"/>
      <c r="JL134" s="13"/>
      <c r="JM134" s="13"/>
      <c r="JN134" s="13"/>
      <c r="JO134" s="13"/>
      <c r="JP134" s="13"/>
      <c r="JQ134" s="13"/>
      <c r="JR134" s="13"/>
      <c r="JS134" s="13"/>
      <c r="JT134" s="13"/>
      <c r="JU134" s="13"/>
      <c r="JV134" s="13"/>
      <c r="JW134" s="13"/>
      <c r="JX134" s="13"/>
      <c r="JY134" s="13"/>
      <c r="JZ134" s="13"/>
      <c r="KA134" s="13"/>
      <c r="KB134" s="13"/>
      <c r="KC134" s="13"/>
      <c r="KD134" s="13"/>
      <c r="KE134" s="13"/>
      <c r="KF134" s="13"/>
      <c r="KG134" s="13"/>
      <c r="KH134" s="13"/>
      <c r="KI134" s="13"/>
      <c r="KJ134" s="13"/>
      <c r="KK134" s="13"/>
      <c r="KL134" s="13"/>
      <c r="KM134" s="13"/>
      <c r="KN134" s="13"/>
      <c r="KO134" s="13"/>
      <c r="KP134" s="13"/>
      <c r="KQ134" s="13"/>
      <c r="KR134" s="13"/>
      <c r="KS134" s="13"/>
      <c r="KT134" s="13"/>
      <c r="KU134" s="13"/>
      <c r="KV134" s="13"/>
      <c r="KW134" s="13"/>
      <c r="KX134" s="13"/>
      <c r="KY134" s="13"/>
      <c r="KZ134" s="13"/>
      <c r="LA134" s="13"/>
      <c r="LB134" s="13"/>
      <c r="LC134" s="13"/>
      <c r="LD134" s="13"/>
      <c r="LE134" s="13"/>
      <c r="LF134" s="13"/>
      <c r="LG134" s="13"/>
      <c r="LH134" s="13"/>
      <c r="LI134" s="13"/>
      <c r="LJ134" s="13"/>
      <c r="LK134" s="13"/>
      <c r="LL134" s="13"/>
      <c r="LM134" s="13"/>
      <c r="LN134" s="13"/>
      <c r="LO134" s="13"/>
      <c r="LP134" s="13"/>
      <c r="LQ134" s="13"/>
      <c r="LR134" s="13"/>
      <c r="LS134" s="13"/>
      <c r="LT134" s="13"/>
      <c r="LU134" s="13"/>
      <c r="LV134" s="13"/>
      <c r="LW134" s="13"/>
      <c r="LX134" s="13"/>
      <c r="LY134" s="13"/>
      <c r="LZ134" s="13"/>
      <c r="MA134" s="13"/>
      <c r="MB134" s="13"/>
      <c r="MC134" s="13"/>
      <c r="MD134" s="13"/>
      <c r="ME134" s="13"/>
      <c r="MF134" s="13"/>
      <c r="MG134" s="13"/>
      <c r="MH134" s="13"/>
      <c r="MI134" s="13"/>
      <c r="MJ134" s="13"/>
      <c r="MK134" s="13"/>
      <c r="ML134" s="13"/>
      <c r="MM134" s="13"/>
      <c r="MN134" s="13"/>
      <c r="MO134" s="13"/>
      <c r="MP134" s="13"/>
      <c r="MQ134" s="13"/>
      <c r="MR134" s="13"/>
      <c r="MS134" s="13"/>
      <c r="MT134" s="13"/>
      <c r="MU134" s="13"/>
      <c r="MV134" s="13"/>
      <c r="MW134" s="13"/>
      <c r="MX134" s="13"/>
      <c r="MY134" s="13"/>
      <c r="MZ134" s="13"/>
      <c r="NA134" s="13"/>
      <c r="NB134" s="13"/>
      <c r="NC134" s="13"/>
      <c r="ND134" s="13"/>
      <c r="NE134" s="13"/>
      <c r="NF134" s="13"/>
      <c r="NG134" s="13"/>
      <c r="NH134" s="13"/>
      <c r="NI134" s="13"/>
      <c r="NJ134" s="13"/>
      <c r="NK134" s="13"/>
      <c r="NL134" s="13"/>
      <c r="NM134" s="13"/>
      <c r="NN134" s="13"/>
      <c r="NO134" s="13"/>
      <c r="NP134" s="13"/>
      <c r="NQ134" s="13"/>
      <c r="NR134" s="13"/>
      <c r="NS134" s="13"/>
      <c r="NT134" s="13"/>
      <c r="NU134" s="13"/>
      <c r="NV134" s="13"/>
      <c r="NW134" s="13"/>
      <c r="NX134" s="13"/>
      <c r="NY134" s="13"/>
      <c r="NZ134" s="13"/>
      <c r="OA134" s="13"/>
      <c r="OB134" s="13"/>
      <c r="OC134" s="13"/>
      <c r="OD134" s="13"/>
      <c r="OE134" s="13"/>
      <c r="OF134" s="13"/>
      <c r="OG134" s="13"/>
      <c r="OH134" s="13"/>
      <c r="OI134" s="13"/>
      <c r="OJ134" s="13"/>
      <c r="OK134" s="13"/>
      <c r="OL134" s="13"/>
      <c r="OM134" s="13"/>
      <c r="ON134" s="13"/>
      <c r="OO134" s="13"/>
      <c r="OP134" s="13"/>
      <c r="OQ134" s="13"/>
      <c r="OR134" s="13"/>
      <c r="OS134" s="13"/>
      <c r="OT134" s="13"/>
      <c r="OU134" s="13"/>
      <c r="OV134" s="13"/>
      <c r="OW134" s="13"/>
      <c r="OX134" s="13"/>
      <c r="OY134" s="13"/>
      <c r="OZ134" s="13"/>
      <c r="PA134" s="13"/>
      <c r="PB134" s="13"/>
      <c r="PC134" s="13"/>
      <c r="PD134" s="13"/>
      <c r="PE134" s="13"/>
      <c r="PF134" s="13"/>
      <c r="PG134" s="13"/>
      <c r="PH134" s="13"/>
      <c r="PI134" s="13"/>
      <c r="PJ134" s="13"/>
      <c r="PK134" s="13"/>
      <c r="PL134" s="13"/>
      <c r="PM134" s="13"/>
      <c r="PN134" s="13"/>
      <c r="PO134" s="13"/>
      <c r="PP134" s="13"/>
      <c r="PQ134" s="13"/>
      <c r="PR134" s="13"/>
      <c r="PS134" s="13"/>
      <c r="PT134" s="13"/>
      <c r="PU134" s="13"/>
      <c r="PV134" s="13"/>
      <c r="PW134" s="13"/>
      <c r="PX134" s="13"/>
      <c r="PY134" s="13"/>
      <c r="PZ134" s="13"/>
      <c r="QA134" s="13"/>
      <c r="QB134" s="13"/>
      <c r="QC134" s="13"/>
      <c r="QD134" s="13"/>
      <c r="QE134" s="13"/>
      <c r="QF134" s="13"/>
      <c r="QG134" s="13"/>
      <c r="QH134" s="13"/>
      <c r="QI134" s="13"/>
      <c r="QJ134" s="13"/>
      <c r="QK134" s="13"/>
      <c r="QL134" s="13"/>
      <c r="QM134" s="13"/>
      <c r="QN134" s="13"/>
      <c r="QO134" s="13"/>
      <c r="QP134" s="13"/>
      <c r="QQ134" s="13"/>
      <c r="QR134" s="13"/>
      <c r="QS134" s="13"/>
      <c r="QT134" s="13"/>
      <c r="QU134" s="13"/>
      <c r="QV134" s="13"/>
      <c r="QW134" s="13"/>
      <c r="QX134" s="13"/>
      <c r="QY134" s="13"/>
      <c r="QZ134" s="13"/>
      <c r="RA134" s="13"/>
      <c r="RB134" s="13"/>
      <c r="RC134" s="13"/>
      <c r="RD134" s="13"/>
      <c r="RE134" s="13"/>
      <c r="RF134" s="13"/>
      <c r="RG134" s="13"/>
      <c r="RH134" s="13"/>
      <c r="RI134" s="13"/>
      <c r="RJ134" s="13"/>
      <c r="RK134" s="13"/>
      <c r="RL134" s="13"/>
      <c r="RM134" s="13"/>
      <c r="RN134" s="13"/>
      <c r="RO134" s="13"/>
      <c r="RP134" s="13"/>
      <c r="RQ134" s="13"/>
      <c r="RR134" s="13"/>
      <c r="RS134" s="13"/>
      <c r="RT134" s="13"/>
      <c r="RU134" s="13"/>
      <c r="RV134" s="13"/>
      <c r="RW134" s="13"/>
      <c r="RX134" s="13"/>
      <c r="RY134" s="13"/>
      <c r="RZ134" s="13"/>
      <c r="SA134" s="13"/>
      <c r="SB134" s="13"/>
      <c r="SC134" s="13"/>
      <c r="SD134" s="13"/>
      <c r="SE134" s="13"/>
      <c r="SF134" s="13"/>
      <c r="SG134" s="13"/>
      <c r="SH134" s="13"/>
      <c r="SI134" s="13"/>
      <c r="SJ134" s="13"/>
      <c r="SK134" s="13"/>
      <c r="SL134" s="13"/>
      <c r="SM134" s="13"/>
      <c r="SN134" s="13"/>
      <c r="SO134" s="13"/>
      <c r="SP134" s="13"/>
      <c r="SQ134" s="13"/>
      <c r="SR134" s="13"/>
      <c r="SS134" s="13"/>
      <c r="ST134" s="13"/>
      <c r="SU134" s="13"/>
      <c r="SV134" s="13"/>
      <c r="SW134" s="13"/>
      <c r="SX134" s="13"/>
      <c r="SY134" s="13"/>
      <c r="SZ134" s="13"/>
      <c r="TA134" s="13"/>
      <c r="TB134" s="13"/>
      <c r="TC134" s="13"/>
      <c r="TD134" s="13"/>
      <c r="TE134" s="13"/>
      <c r="TF134" s="13"/>
      <c r="TG134" s="13"/>
      <c r="TH134" s="13"/>
      <c r="TI134" s="13"/>
      <c r="TJ134" s="13"/>
      <c r="TK134" s="13"/>
      <c r="TL134" s="13"/>
      <c r="TM134" s="13"/>
      <c r="TN134" s="13"/>
      <c r="TO134" s="13"/>
      <c r="TP134" s="13"/>
      <c r="TQ134" s="13"/>
      <c r="TR134" s="13"/>
      <c r="TS134" s="13"/>
      <c r="TT134" s="13"/>
      <c r="TU134" s="13"/>
      <c r="TV134" s="13"/>
      <c r="TW134" s="13"/>
      <c r="TX134" s="13"/>
      <c r="TY134" s="13"/>
      <c r="TZ134" s="13"/>
      <c r="UA134" s="13"/>
      <c r="UB134" s="13"/>
      <c r="UC134" s="13"/>
      <c r="UD134" s="13"/>
      <c r="UE134" s="13"/>
      <c r="UF134" s="13"/>
      <c r="UG134" s="13"/>
      <c r="UH134" s="13"/>
      <c r="UI134" s="13"/>
      <c r="UJ134" s="13"/>
      <c r="UK134" s="13"/>
      <c r="UL134" s="13"/>
      <c r="UM134" s="13"/>
      <c r="UN134" s="13"/>
      <c r="UO134" s="13"/>
      <c r="UP134" s="13"/>
      <c r="UQ134" s="13"/>
      <c r="UR134" s="13"/>
      <c r="US134" s="13"/>
      <c r="UT134" s="13"/>
      <c r="UU134" s="13"/>
      <c r="UV134" s="13"/>
      <c r="UW134" s="13"/>
      <c r="UX134" s="13"/>
      <c r="UY134" s="13"/>
      <c r="UZ134" s="13"/>
      <c r="VA134" s="13"/>
      <c r="VB134" s="13"/>
      <c r="VC134" s="13"/>
      <c r="VD134" s="13"/>
      <c r="VE134" s="13"/>
      <c r="VF134" s="13"/>
      <c r="VG134" s="13"/>
      <c r="VH134" s="13"/>
      <c r="VI134" s="13"/>
      <c r="VJ134" s="13"/>
      <c r="VK134" s="13"/>
      <c r="VL134" s="13"/>
      <c r="VM134" s="13"/>
      <c r="VN134" s="13"/>
      <c r="VO134" s="13"/>
      <c r="VP134" s="13"/>
      <c r="VQ134" s="13"/>
      <c r="VR134" s="13"/>
      <c r="VS134" s="13"/>
      <c r="VT134" s="13"/>
      <c r="VU134" s="13"/>
      <c r="VV134" s="13"/>
      <c r="VW134" s="13"/>
      <c r="VX134" s="13"/>
      <c r="VY134" s="13"/>
      <c r="VZ134" s="13"/>
      <c r="WA134" s="13"/>
      <c r="WB134" s="13"/>
      <c r="WC134" s="13"/>
      <c r="WD134" s="13"/>
      <c r="WE134" s="13"/>
      <c r="WF134" s="13"/>
      <c r="WG134" s="13"/>
      <c r="WH134" s="13"/>
      <c r="WI134" s="13"/>
      <c r="WJ134" s="13"/>
      <c r="WK134" s="13"/>
      <c r="WL134" s="13"/>
      <c r="WM134" s="13"/>
      <c r="WN134" s="13"/>
      <c r="WO134" s="13"/>
      <c r="WP134" s="13"/>
      <c r="WQ134" s="13"/>
      <c r="WR134" s="13"/>
      <c r="WS134" s="13"/>
      <c r="WT134" s="13"/>
      <c r="WU134" s="13"/>
      <c r="WV134" s="13"/>
      <c r="WW134" s="13"/>
      <c r="WX134" s="13"/>
      <c r="WY134" s="13"/>
      <c r="WZ134" s="13"/>
      <c r="XA134" s="13"/>
      <c r="XB134" s="13"/>
      <c r="XC134" s="13"/>
      <c r="XD134" s="13"/>
      <c r="XE134" s="13"/>
      <c r="XF134" s="13"/>
      <c r="XG134" s="13"/>
      <c r="XH134" s="13"/>
      <c r="XI134" s="13"/>
      <c r="XJ134" s="13"/>
      <c r="XK134" s="13"/>
      <c r="XL134" s="13"/>
      <c r="XM134" s="13"/>
      <c r="XN134" s="13"/>
      <c r="XO134" s="13"/>
      <c r="XP134" s="13"/>
      <c r="XQ134" s="13"/>
      <c r="XR134" s="13"/>
      <c r="XS134" s="13"/>
      <c r="XT134" s="13"/>
      <c r="XU134" s="13"/>
      <c r="XV134" s="13"/>
      <c r="XW134" s="13"/>
      <c r="XX134" s="13"/>
      <c r="XY134" s="13"/>
      <c r="XZ134" s="13"/>
      <c r="YA134" s="13"/>
      <c r="YB134" s="13"/>
      <c r="YC134" s="13"/>
      <c r="YD134" s="13"/>
      <c r="YE134" s="13"/>
      <c r="YF134" s="13"/>
      <c r="YG134" s="13"/>
      <c r="YH134" s="13"/>
      <c r="YI134" s="13"/>
      <c r="YJ134" s="13"/>
      <c r="YK134" s="13"/>
      <c r="YL134" s="13"/>
      <c r="YM134" s="13"/>
      <c r="YN134" s="13"/>
      <c r="YO134" s="13"/>
      <c r="YP134" s="13"/>
      <c r="YQ134" s="13"/>
      <c r="YR134" s="13"/>
      <c r="YS134" s="13"/>
      <c r="YT134" s="13"/>
      <c r="YU134" s="13"/>
      <c r="YV134" s="13"/>
      <c r="YW134" s="13"/>
      <c r="YX134" s="13"/>
      <c r="YY134" s="13"/>
      <c r="YZ134" s="13"/>
      <c r="ZA134" s="13"/>
      <c r="ZB134" s="13"/>
      <c r="ZC134" s="13"/>
      <c r="ZD134" s="13"/>
      <c r="ZE134" s="13"/>
      <c r="ZF134" s="13"/>
      <c r="ZG134" s="13"/>
      <c r="ZH134" s="13"/>
      <c r="ZI134" s="13"/>
      <c r="ZJ134" s="13"/>
      <c r="ZK134" s="13"/>
      <c r="ZL134" s="13"/>
      <c r="ZM134" s="13"/>
      <c r="ZN134" s="13"/>
      <c r="ZO134" s="13"/>
      <c r="ZP134" s="13"/>
      <c r="ZQ134" s="13"/>
      <c r="ZR134" s="13"/>
      <c r="ZS134" s="13"/>
      <c r="ZT134" s="13"/>
      <c r="ZU134" s="13"/>
      <c r="ZV134" s="13"/>
      <c r="ZW134" s="13"/>
      <c r="ZX134" s="13"/>
      <c r="ZY134" s="13"/>
      <c r="ZZ134" s="13"/>
      <c r="AAA134" s="13"/>
      <c r="AAB134" s="13"/>
      <c r="AAC134" s="13"/>
      <c r="AAD134" s="13"/>
      <c r="AAE134" s="13"/>
      <c r="AAF134" s="13"/>
      <c r="AAG134" s="13"/>
      <c r="AAH134" s="13"/>
      <c r="AAI134" s="13"/>
      <c r="AAJ134" s="13"/>
      <c r="AAK134" s="13"/>
      <c r="AAL134" s="13"/>
      <c r="AAM134" s="13"/>
      <c r="AAN134" s="13"/>
      <c r="AAO134" s="13"/>
      <c r="AAP134" s="13"/>
      <c r="AAQ134" s="13"/>
      <c r="AAR134" s="13"/>
      <c r="AAS134" s="13"/>
      <c r="AAT134" s="13"/>
      <c r="AAU134" s="13"/>
      <c r="AAV134" s="13"/>
      <c r="AAW134" s="13"/>
      <c r="AAX134" s="13"/>
      <c r="AAY134" s="13"/>
      <c r="AAZ134" s="13"/>
      <c r="ABA134" s="13"/>
      <c r="ABB134" s="13"/>
      <c r="ABC134" s="13"/>
      <c r="ABD134" s="13"/>
      <c r="ABE134" s="13"/>
      <c r="ABF134" s="13"/>
      <c r="ABG134" s="13"/>
      <c r="ABH134" s="13"/>
      <c r="ABI134" s="13"/>
      <c r="ABJ134" s="13"/>
      <c r="ABK134" s="13"/>
      <c r="ABL134" s="13"/>
      <c r="ABM134" s="13"/>
      <c r="ABN134" s="13"/>
      <c r="ABO134" s="13"/>
      <c r="ABP134" s="13"/>
      <c r="ABQ134" s="13"/>
      <c r="ABR134" s="13"/>
      <c r="ABS134" s="13"/>
      <c r="ABT134" s="13"/>
      <c r="ABU134" s="13"/>
      <c r="ABV134" s="13"/>
      <c r="ABW134" s="13"/>
      <c r="ABX134" s="13"/>
      <c r="ABY134" s="13"/>
      <c r="ABZ134" s="13"/>
      <c r="ACA134" s="13"/>
      <c r="ACB134" s="13"/>
      <c r="ACC134" s="13"/>
      <c r="ACD134" s="13"/>
      <c r="ACE134" s="13"/>
      <c r="ACF134" s="13"/>
      <c r="ACG134" s="13"/>
      <c r="ACH134" s="13"/>
      <c r="ACI134" s="13"/>
      <c r="ACJ134" s="13"/>
      <c r="ACK134" s="13"/>
      <c r="ACL134" s="13"/>
      <c r="ACM134" s="13"/>
      <c r="ACN134" s="13"/>
      <c r="ACO134" s="13"/>
      <c r="ACP134" s="13"/>
      <c r="ACQ134" s="13"/>
      <c r="ACR134" s="13"/>
      <c r="ACS134" s="13"/>
      <c r="ACT134" s="13"/>
      <c r="ACU134" s="13"/>
      <c r="ACV134" s="13"/>
      <c r="ACW134" s="13"/>
      <c r="ACX134" s="13"/>
      <c r="ACY134" s="13"/>
      <c r="ACZ134" s="13"/>
      <c r="ADA134" s="13"/>
      <c r="ADB134" s="13"/>
      <c r="ADC134" s="13"/>
      <c r="ADD134" s="13"/>
      <c r="ADE134" s="13"/>
      <c r="ADF134" s="13"/>
      <c r="ADG134" s="13"/>
      <c r="ADH134" s="13"/>
      <c r="ADI134" s="13"/>
      <c r="ADJ134" s="13"/>
      <c r="ADK134" s="13"/>
      <c r="ADL134" s="13"/>
      <c r="ADM134" s="13"/>
      <c r="ADN134" s="13"/>
      <c r="ADO134" s="13"/>
      <c r="ADP134" s="13"/>
      <c r="ADQ134" s="13"/>
      <c r="ADR134" s="13"/>
      <c r="ADS134" s="13"/>
      <c r="ADT134" s="13"/>
      <c r="ADU134" s="13"/>
      <c r="ADV134" s="13"/>
      <c r="ADW134" s="13"/>
      <c r="ADX134" s="13"/>
      <c r="ADY134" s="13"/>
      <c r="ADZ134" s="13"/>
      <c r="AEA134" s="13"/>
      <c r="AEB134" s="13"/>
      <c r="AEC134" s="13"/>
      <c r="AED134" s="13"/>
      <c r="AEE134" s="13"/>
      <c r="AEF134" s="13"/>
      <c r="AEG134" s="13"/>
      <c r="AEH134" s="13"/>
      <c r="AEI134" s="13"/>
      <c r="AEJ134" s="13"/>
      <c r="AEK134" s="13"/>
      <c r="AEL134" s="13"/>
      <c r="AEM134" s="13"/>
      <c r="AEN134" s="13"/>
      <c r="AEO134" s="13"/>
      <c r="AEP134" s="13"/>
      <c r="AEQ134" s="13"/>
      <c r="AER134" s="13"/>
      <c r="AES134" s="13"/>
      <c r="AET134" s="13"/>
      <c r="AEU134" s="13"/>
      <c r="AEV134" s="13"/>
      <c r="AEW134" s="13"/>
      <c r="AEX134" s="13"/>
      <c r="AEY134" s="13"/>
      <c r="AEZ134" s="13"/>
      <c r="AFA134" s="13"/>
      <c r="AFB134" s="13"/>
      <c r="AFC134" s="13"/>
      <c r="AFD134" s="13"/>
      <c r="AFE134" s="13"/>
      <c r="AFF134" s="13"/>
      <c r="AFG134" s="13"/>
      <c r="AFH134" s="13"/>
      <c r="AFI134" s="13"/>
      <c r="AFJ134" s="13"/>
      <c r="AFK134" s="13"/>
      <c r="AFL134" s="13"/>
      <c r="AFM134" s="13"/>
      <c r="AFN134" s="13"/>
      <c r="AFO134" s="13"/>
      <c r="AFP134" s="13"/>
      <c r="AFQ134" s="13"/>
      <c r="AFR134" s="13"/>
      <c r="AFS134" s="13"/>
      <c r="AFT134" s="13"/>
      <c r="AFU134" s="13"/>
      <c r="AFV134" s="13"/>
      <c r="AFW134" s="13"/>
      <c r="AFX134" s="13"/>
      <c r="AFY134" s="13"/>
      <c r="AFZ134" s="13"/>
      <c r="AGA134" s="13"/>
      <c r="AGB134" s="13"/>
      <c r="AGC134" s="13"/>
      <c r="AGD134" s="13"/>
      <c r="AGE134" s="13"/>
      <c r="AGF134" s="13"/>
      <c r="AGG134" s="13"/>
      <c r="AGH134" s="13"/>
      <c r="AGI134" s="13"/>
      <c r="AGJ134" s="13"/>
      <c r="AGK134" s="13"/>
      <c r="AGL134" s="13"/>
      <c r="AGM134" s="13"/>
      <c r="AGN134" s="13"/>
      <c r="AGO134" s="13"/>
      <c r="AGP134" s="13"/>
      <c r="AGQ134" s="13"/>
      <c r="AGR134" s="13"/>
      <c r="AGS134" s="13"/>
      <c r="AGT134" s="13"/>
      <c r="AGU134" s="13"/>
      <c r="AGV134" s="13"/>
      <c r="AGW134" s="13"/>
      <c r="AGX134" s="13"/>
      <c r="AGY134" s="13"/>
      <c r="AGZ134" s="13"/>
      <c r="AHA134" s="13"/>
      <c r="AHB134" s="13"/>
      <c r="AHC134" s="13"/>
      <c r="AHD134" s="13"/>
      <c r="AHE134" s="13"/>
      <c r="AHF134" s="13"/>
      <c r="AHG134" s="13"/>
      <c r="AHH134" s="13"/>
      <c r="AHI134" s="13"/>
      <c r="AHJ134" s="13"/>
      <c r="AHK134" s="13"/>
      <c r="AHL134" s="13"/>
      <c r="AHM134" s="13"/>
      <c r="AHN134" s="13"/>
      <c r="AHO134" s="13"/>
      <c r="AHP134" s="13"/>
      <c r="AHQ134" s="13"/>
      <c r="AHR134" s="13"/>
      <c r="AHS134" s="13"/>
      <c r="AHT134" s="13"/>
      <c r="AHU134" s="13"/>
      <c r="AHV134" s="13"/>
      <c r="AHW134" s="13"/>
      <c r="AHX134" s="13"/>
      <c r="AHY134" s="13"/>
      <c r="AHZ134" s="13"/>
      <c r="AIA134" s="13"/>
      <c r="AIB134" s="13"/>
      <c r="AIC134" s="13"/>
      <c r="AID134" s="13"/>
      <c r="AIE134" s="13"/>
      <c r="AIF134" s="13"/>
      <c r="AIG134" s="13"/>
      <c r="AIH134" s="13"/>
      <c r="AII134" s="13"/>
      <c r="AIJ134" s="13"/>
      <c r="AIK134" s="13"/>
      <c r="AIL134" s="13"/>
      <c r="AIM134" s="13"/>
      <c r="AIN134" s="13"/>
      <c r="AIO134" s="13"/>
      <c r="AIP134" s="13"/>
      <c r="AIQ134" s="13"/>
      <c r="AIR134" s="13"/>
      <c r="AIS134" s="13"/>
      <c r="AIT134" s="13"/>
      <c r="AIU134" s="13"/>
      <c r="AIV134" s="13"/>
      <c r="AIW134" s="13"/>
      <c r="AIX134" s="13"/>
      <c r="AIY134" s="13"/>
      <c r="AIZ134" s="13"/>
      <c r="AJA134" s="13"/>
      <c r="AJB134" s="13"/>
      <c r="AJC134" s="13"/>
      <c r="AJD134" s="13"/>
      <c r="AJE134" s="13"/>
      <c r="AJF134" s="13"/>
      <c r="AJG134" s="13"/>
      <c r="AJH134" s="13"/>
      <c r="AJI134" s="13"/>
      <c r="AJJ134" s="13"/>
      <c r="AJK134" s="13"/>
      <c r="AJL134" s="13"/>
      <c r="AJM134" s="13"/>
      <c r="AJN134" s="13"/>
      <c r="AJO134" s="13"/>
      <c r="AJP134" s="13"/>
      <c r="AJQ134" s="13"/>
      <c r="AJR134" s="13"/>
      <c r="AJS134" s="13"/>
      <c r="AJT134" s="13"/>
      <c r="AJU134" s="13"/>
      <c r="AJV134" s="13"/>
      <c r="AJW134" s="13"/>
      <c r="AJX134" s="13"/>
      <c r="AJY134" s="13"/>
      <c r="AJZ134" s="13"/>
      <c r="AKA134" s="13"/>
      <c r="AKB134" s="13"/>
      <c r="AKC134" s="13"/>
      <c r="AKD134" s="13"/>
      <c r="AKE134" s="13"/>
      <c r="AKF134" s="13"/>
      <c r="AKG134" s="13"/>
      <c r="AKH134" s="13"/>
      <c r="AKI134" s="13"/>
      <c r="AKJ134" s="13"/>
      <c r="AKK134" s="13"/>
      <c r="AKL134" s="13"/>
      <c r="AKM134" s="13"/>
      <c r="AKN134" s="13"/>
      <c r="AKO134" s="13"/>
      <c r="AKP134" s="13"/>
      <c r="AKQ134" s="13"/>
      <c r="AKR134" s="13"/>
      <c r="AKS134" s="13"/>
      <c r="AKT134" s="13"/>
      <c r="AKU134" s="13"/>
      <c r="AKV134" s="13"/>
      <c r="AKW134" s="13"/>
      <c r="AKX134" s="13"/>
      <c r="AKY134" s="13"/>
      <c r="AKZ134" s="13"/>
      <c r="ALA134" s="13"/>
      <c r="ALB134" s="13"/>
      <c r="ALC134" s="13"/>
      <c r="ALD134" s="13"/>
      <c r="ALE134" s="13"/>
      <c r="ALF134" s="13"/>
      <c r="ALG134" s="13"/>
      <c r="ALH134" s="13"/>
      <c r="ALI134" s="13"/>
      <c r="ALJ134" s="13"/>
      <c r="ALK134" s="13"/>
      <c r="ALL134" s="13"/>
      <c r="ALM134" s="13"/>
      <c r="ALN134" s="13"/>
      <c r="ALO134" s="13"/>
      <c r="ALP134" s="13"/>
      <c r="ALQ134" s="13"/>
      <c r="ALR134" s="13"/>
      <c r="ALS134" s="13"/>
      <c r="ALT134" s="13"/>
      <c r="ALU134" s="13"/>
      <c r="ALV134" s="13"/>
      <c r="ALW134" s="13"/>
      <c r="ALX134" s="13"/>
      <c r="ALY134" s="13"/>
      <c r="ALZ134" s="13"/>
      <c r="AMA134" s="13"/>
      <c r="AMB134" s="13"/>
      <c r="AMC134" s="13"/>
      <c r="AMD134" s="13"/>
      <c r="AME134" s="13"/>
      <c r="AMF134" s="13"/>
      <c r="AMG134" s="13"/>
      <c r="AMH134" s="13"/>
      <c r="AMI134" s="13"/>
      <c r="AMJ134" s="13"/>
      <c r="AMK134" s="13"/>
      <c r="AML134" s="13"/>
      <c r="AMM134" s="13"/>
      <c r="AMN134" s="13"/>
      <c r="AMO134" s="13"/>
      <c r="AMP134" s="13"/>
      <c r="AMQ134" s="13"/>
      <c r="AMR134" s="13"/>
      <c r="AMS134" s="13"/>
      <c r="AMT134" s="13"/>
      <c r="AMU134" s="13"/>
      <c r="AMV134" s="13"/>
      <c r="AMW134" s="13"/>
      <c r="AMX134" s="13"/>
      <c r="AMY134" s="13"/>
      <c r="AMZ134" s="13"/>
      <c r="ANA134" s="13"/>
      <c r="ANB134" s="13"/>
      <c r="ANC134" s="13"/>
      <c r="AND134" s="13"/>
      <c r="ANE134" s="13"/>
      <c r="ANF134" s="13"/>
      <c r="ANG134" s="13"/>
      <c r="ANH134" s="13"/>
      <c r="ANI134" s="13"/>
      <c r="ANJ134" s="13"/>
      <c r="ANK134" s="13"/>
      <c r="ANL134" s="13"/>
      <c r="ANM134" s="13"/>
      <c r="ANN134" s="13"/>
      <c r="ANO134" s="13"/>
      <c r="ANP134" s="13"/>
      <c r="ANQ134" s="13"/>
      <c r="ANR134" s="13"/>
      <c r="ANS134" s="13"/>
      <c r="ANT134" s="13"/>
      <c r="ANU134" s="13"/>
      <c r="ANV134" s="13"/>
      <c r="ANW134" s="13"/>
      <c r="ANX134" s="13"/>
      <c r="ANY134" s="13"/>
      <c r="ANZ134" s="13"/>
      <c r="AOA134" s="13"/>
      <c r="AOB134" s="13"/>
      <c r="AOC134" s="13"/>
      <c r="AOD134" s="13"/>
      <c r="AOE134" s="13"/>
      <c r="AOF134" s="13"/>
      <c r="AOG134" s="13"/>
      <c r="AOH134" s="13"/>
      <c r="AOI134" s="13"/>
      <c r="AOJ134" s="13"/>
      <c r="AOK134" s="13"/>
      <c r="AOL134" s="13"/>
      <c r="AOM134" s="13"/>
      <c r="AON134" s="13"/>
      <c r="AOO134" s="13"/>
      <c r="AOP134" s="13"/>
      <c r="AOQ134" s="13"/>
      <c r="AOR134" s="13"/>
      <c r="AOS134" s="13"/>
      <c r="AOT134" s="13"/>
      <c r="AOU134" s="13"/>
      <c r="AOV134" s="13"/>
      <c r="AOW134" s="13"/>
      <c r="AOX134" s="13"/>
      <c r="AOY134" s="13"/>
      <c r="AOZ134" s="13"/>
      <c r="APA134" s="13"/>
      <c r="APB134" s="13"/>
      <c r="APC134" s="13"/>
      <c r="APD134" s="13"/>
      <c r="APE134" s="13"/>
      <c r="APF134" s="13"/>
      <c r="APG134" s="13"/>
      <c r="APH134" s="13"/>
      <c r="API134" s="13"/>
      <c r="APJ134" s="13"/>
      <c r="APK134" s="13"/>
      <c r="APL134" s="13"/>
      <c r="APM134" s="13"/>
      <c r="APN134" s="13"/>
      <c r="APO134" s="13"/>
      <c r="APP134" s="13"/>
      <c r="APQ134" s="13"/>
      <c r="APR134" s="13"/>
      <c r="APS134" s="13"/>
      <c r="APT134" s="13"/>
      <c r="APU134" s="13"/>
      <c r="APV134" s="13"/>
      <c r="APW134" s="13"/>
      <c r="APX134" s="13"/>
      <c r="APY134" s="13"/>
      <c r="APZ134" s="13"/>
      <c r="AQA134" s="13"/>
      <c r="AQB134" s="13"/>
      <c r="AQC134" s="13"/>
      <c r="AQD134" s="13"/>
      <c r="AQE134" s="13"/>
      <c r="AQF134" s="13"/>
      <c r="AQG134" s="13"/>
      <c r="AQH134" s="13"/>
      <c r="AQI134" s="13"/>
      <c r="AQJ134" s="13"/>
      <c r="AQK134" s="13"/>
      <c r="AQL134" s="13"/>
      <c r="AQM134" s="13"/>
      <c r="AQN134" s="13"/>
      <c r="AQO134" s="13"/>
      <c r="AQP134" s="13"/>
      <c r="AQQ134" s="13"/>
      <c r="AQR134" s="13"/>
      <c r="AQS134" s="13"/>
      <c r="AQT134" s="13"/>
      <c r="AQU134" s="13"/>
      <c r="AQV134" s="13"/>
      <c r="AQW134" s="13"/>
      <c r="AQX134" s="13"/>
      <c r="AQY134" s="13"/>
      <c r="AQZ134" s="13"/>
      <c r="ARA134" s="13"/>
      <c r="ARB134" s="13"/>
      <c r="ARC134" s="13"/>
      <c r="ARD134" s="13"/>
      <c r="ARE134" s="13"/>
      <c r="ARF134" s="13"/>
      <c r="ARG134" s="13"/>
      <c r="ARH134" s="13"/>
      <c r="ARI134" s="13"/>
      <c r="ARJ134" s="13"/>
      <c r="ARK134" s="13"/>
      <c r="ARL134" s="13"/>
      <c r="ARM134" s="13"/>
      <c r="ARN134" s="13"/>
      <c r="ARO134" s="13"/>
      <c r="ARP134" s="13"/>
      <c r="ARQ134" s="13"/>
      <c r="ARR134" s="13"/>
      <c r="ARS134" s="13"/>
      <c r="ART134" s="13"/>
      <c r="ARU134" s="13"/>
      <c r="ARV134" s="13"/>
      <c r="ARW134" s="13"/>
      <c r="ARX134" s="13"/>
      <c r="ARY134" s="13"/>
      <c r="ARZ134" s="13"/>
      <c r="ASA134" s="13"/>
      <c r="ASB134" s="13"/>
      <c r="ASC134" s="13"/>
      <c r="ASD134" s="13"/>
      <c r="ASE134" s="13"/>
      <c r="ASF134" s="13"/>
      <c r="ASG134" s="13"/>
      <c r="ASH134" s="13"/>
      <c r="ASI134" s="13"/>
      <c r="ASJ134" s="13"/>
      <c r="ASK134" s="13"/>
      <c r="ASL134" s="13"/>
      <c r="ASM134" s="13"/>
      <c r="ASN134" s="13"/>
      <c r="ASO134" s="13"/>
      <c r="ASP134" s="13"/>
      <c r="ASQ134" s="13"/>
      <c r="ASR134" s="13"/>
      <c r="ASS134" s="13"/>
      <c r="AST134" s="13"/>
      <c r="ASU134" s="13"/>
      <c r="ASV134" s="13"/>
      <c r="ASW134" s="13"/>
      <c r="ASX134" s="13"/>
      <c r="ASY134" s="13"/>
      <c r="ASZ134" s="13"/>
      <c r="ATA134" s="13"/>
      <c r="ATB134" s="13"/>
      <c r="ATC134" s="13"/>
      <c r="ATD134" s="13"/>
      <c r="ATE134" s="13"/>
      <c r="ATF134" s="13"/>
      <c r="ATG134" s="13"/>
      <c r="ATH134" s="13"/>
      <c r="ATI134" s="13"/>
      <c r="ATJ134" s="13"/>
      <c r="ATK134" s="13"/>
      <c r="ATL134" s="13"/>
      <c r="ATM134" s="13"/>
      <c r="ATN134" s="13"/>
      <c r="ATO134" s="13"/>
      <c r="ATP134" s="13"/>
      <c r="ATQ134" s="13"/>
      <c r="ATR134" s="13"/>
      <c r="ATS134" s="13"/>
      <c r="ATT134" s="13"/>
      <c r="ATU134" s="13"/>
      <c r="ATV134" s="13"/>
      <c r="ATW134" s="13"/>
      <c r="ATX134" s="13"/>
      <c r="ATY134" s="13"/>
      <c r="ATZ134" s="13"/>
      <c r="AUA134" s="13"/>
      <c r="AUB134" s="13"/>
      <c r="AUC134" s="13"/>
      <c r="AUD134" s="13"/>
      <c r="AUE134" s="13"/>
      <c r="AUF134" s="13"/>
      <c r="AUG134" s="13"/>
      <c r="AUH134" s="13"/>
      <c r="AUI134" s="13"/>
      <c r="AUJ134" s="13"/>
      <c r="AUK134" s="13"/>
      <c r="AUL134" s="13"/>
      <c r="AUM134" s="13"/>
      <c r="AUN134" s="13"/>
      <c r="AUO134" s="13"/>
      <c r="AUP134" s="13"/>
      <c r="AUQ134" s="13"/>
      <c r="AUR134" s="13"/>
      <c r="AUS134" s="13"/>
      <c r="AUT134" s="13"/>
      <c r="AUU134" s="13"/>
      <c r="AUV134" s="13"/>
      <c r="AUW134" s="13"/>
      <c r="AUX134" s="13"/>
      <c r="AUY134" s="13"/>
      <c r="AUZ134" s="13"/>
      <c r="AVA134" s="13"/>
      <c r="AVB134" s="13"/>
      <c r="AVC134" s="13"/>
      <c r="AVD134" s="13"/>
      <c r="AVE134" s="13"/>
      <c r="AVF134" s="13"/>
      <c r="AVG134" s="13"/>
      <c r="AVH134" s="13"/>
      <c r="AVI134" s="13"/>
      <c r="AVJ134" s="13"/>
      <c r="AVK134" s="13"/>
      <c r="AVL134" s="13"/>
      <c r="AVM134" s="13"/>
      <c r="AVN134" s="13"/>
      <c r="AVO134" s="13"/>
      <c r="AVP134" s="13"/>
      <c r="AVQ134" s="13"/>
      <c r="AVR134" s="13"/>
      <c r="AVS134" s="13"/>
      <c r="AVT134" s="13"/>
      <c r="AVU134" s="13"/>
      <c r="AVV134" s="13"/>
      <c r="AVW134" s="13"/>
      <c r="AVX134" s="13"/>
      <c r="AVY134" s="13"/>
      <c r="AVZ134" s="13"/>
      <c r="AWA134" s="13"/>
      <c r="AWB134" s="13"/>
      <c r="AWC134" s="13"/>
      <c r="AWD134" s="13"/>
      <c r="AWE134" s="13"/>
      <c r="AWF134" s="13"/>
      <c r="AWG134" s="13"/>
      <c r="AWH134" s="13"/>
      <c r="AWI134" s="13"/>
      <c r="AWJ134" s="13"/>
      <c r="AWK134" s="13"/>
      <c r="AWL134" s="13"/>
      <c r="AWM134" s="13"/>
      <c r="AWN134" s="13"/>
      <c r="AWO134" s="13"/>
      <c r="AWP134" s="13"/>
      <c r="AWQ134" s="13"/>
      <c r="AWR134" s="13"/>
      <c r="AWS134" s="13"/>
      <c r="AWT134" s="13"/>
      <c r="AWU134" s="13"/>
      <c r="AWV134" s="13"/>
      <c r="AWW134" s="13"/>
      <c r="AWX134" s="13"/>
      <c r="AWY134" s="13"/>
      <c r="AWZ134" s="13"/>
      <c r="AXA134" s="13"/>
      <c r="AXB134" s="13"/>
      <c r="AXC134" s="13"/>
      <c r="AXD134" s="13"/>
      <c r="AXE134" s="13"/>
      <c r="AXF134" s="13"/>
      <c r="AXG134" s="13"/>
      <c r="AXH134" s="13"/>
      <c r="AXI134" s="13"/>
      <c r="AXJ134" s="13"/>
      <c r="AXK134" s="13"/>
      <c r="AXL134" s="13"/>
      <c r="AXM134" s="13"/>
      <c r="AXN134" s="13"/>
      <c r="AXO134" s="13"/>
      <c r="AXP134" s="13"/>
      <c r="AXQ134" s="13"/>
      <c r="AXR134" s="13"/>
      <c r="AXS134" s="13"/>
      <c r="AXT134" s="13"/>
      <c r="AXU134" s="13"/>
      <c r="AXV134" s="13"/>
      <c r="AXW134" s="13"/>
      <c r="AXX134" s="13"/>
      <c r="AXY134" s="13"/>
      <c r="AXZ134" s="13"/>
      <c r="AYA134" s="13"/>
      <c r="AYB134" s="13"/>
      <c r="AYC134" s="13"/>
      <c r="AYD134" s="13"/>
      <c r="AYE134" s="13"/>
      <c r="AYF134" s="13"/>
      <c r="AYG134" s="13"/>
      <c r="AYH134" s="13"/>
      <c r="AYI134" s="13"/>
      <c r="AYJ134" s="13"/>
      <c r="AYK134" s="13"/>
      <c r="AYL134" s="13"/>
      <c r="AYM134" s="13"/>
      <c r="AYN134" s="13"/>
      <c r="AYO134" s="13"/>
      <c r="AYP134" s="13"/>
      <c r="AYQ134" s="13"/>
      <c r="AYR134" s="13"/>
      <c r="AYS134" s="13"/>
      <c r="AYT134" s="13"/>
      <c r="AYU134" s="13"/>
      <c r="AYV134" s="13"/>
      <c r="AYW134" s="13"/>
      <c r="AYX134" s="13"/>
      <c r="AYY134" s="13"/>
      <c r="AYZ134" s="13"/>
      <c r="AZA134" s="13"/>
      <c r="AZB134" s="13"/>
      <c r="AZC134" s="13"/>
      <c r="AZD134" s="13"/>
      <c r="AZE134" s="13"/>
      <c r="AZF134" s="13"/>
      <c r="AZG134" s="13"/>
      <c r="AZH134" s="13"/>
      <c r="AZI134" s="13"/>
      <c r="AZJ134" s="13"/>
      <c r="AZK134" s="13"/>
      <c r="AZL134" s="13"/>
      <c r="AZM134" s="13"/>
      <c r="AZN134" s="13"/>
      <c r="AZO134" s="13"/>
      <c r="AZP134" s="13"/>
      <c r="AZQ134" s="13"/>
      <c r="AZR134" s="13"/>
      <c r="AZS134" s="13"/>
      <c r="AZT134" s="13"/>
      <c r="AZU134" s="13"/>
      <c r="AZV134" s="13"/>
      <c r="AZW134" s="13"/>
      <c r="AZX134" s="13"/>
      <c r="AZY134" s="13"/>
      <c r="AZZ134" s="13"/>
      <c r="BAA134" s="13"/>
      <c r="BAB134" s="13"/>
      <c r="BAC134" s="13"/>
      <c r="BAD134" s="13"/>
      <c r="BAE134" s="13"/>
      <c r="BAF134" s="13"/>
      <c r="BAG134" s="13"/>
      <c r="BAH134" s="13"/>
      <c r="BAI134" s="13"/>
      <c r="BAJ134" s="13"/>
      <c r="BAK134" s="13"/>
      <c r="BAL134" s="13"/>
      <c r="BAM134" s="13"/>
      <c r="BAN134" s="13"/>
      <c r="BAO134" s="13"/>
      <c r="BAP134" s="13"/>
      <c r="BAQ134" s="13"/>
      <c r="BAR134" s="13"/>
      <c r="BAS134" s="13"/>
      <c r="BAT134" s="13"/>
      <c r="BAU134" s="13"/>
      <c r="BAV134" s="13"/>
      <c r="BAW134" s="13"/>
      <c r="BAX134" s="13"/>
      <c r="BAY134" s="13"/>
      <c r="BAZ134" s="13"/>
      <c r="BBA134" s="13"/>
      <c r="BBB134" s="13"/>
      <c r="BBC134" s="13"/>
      <c r="BBD134" s="13"/>
      <c r="BBE134" s="13"/>
      <c r="BBF134" s="13"/>
      <c r="BBG134" s="13"/>
      <c r="BBH134" s="13"/>
      <c r="BBI134" s="13"/>
      <c r="BBJ134" s="13"/>
      <c r="BBK134" s="13"/>
      <c r="BBL134" s="13"/>
      <c r="BBM134" s="13"/>
      <c r="BBN134" s="13"/>
      <c r="BBO134" s="13"/>
      <c r="BBP134" s="13"/>
      <c r="BBQ134" s="13"/>
      <c r="BBR134" s="13"/>
      <c r="BBS134" s="13"/>
      <c r="BBT134" s="13"/>
      <c r="BBU134" s="13"/>
      <c r="BBV134" s="13"/>
      <c r="BBW134" s="13"/>
      <c r="BBX134" s="13"/>
      <c r="BBY134" s="13"/>
      <c r="BBZ134" s="13"/>
      <c r="BCA134" s="13"/>
      <c r="BCB134" s="13"/>
      <c r="BCC134" s="13"/>
      <c r="BCD134" s="13"/>
      <c r="BCE134" s="13"/>
      <c r="BCF134" s="13"/>
      <c r="BCG134" s="13"/>
      <c r="BCH134" s="13"/>
      <c r="BCI134" s="13"/>
      <c r="BCJ134" s="13"/>
      <c r="BCK134" s="13"/>
      <c r="BCL134" s="13"/>
      <c r="BCM134" s="13"/>
      <c r="BCN134" s="13"/>
      <c r="BCO134" s="13"/>
      <c r="BCP134" s="13"/>
      <c r="BCQ134" s="13"/>
      <c r="BCR134" s="13"/>
      <c r="BCS134" s="13"/>
      <c r="BCT134" s="13"/>
      <c r="BCU134" s="13"/>
      <c r="BCV134" s="13"/>
      <c r="BCW134" s="13"/>
      <c r="BCX134" s="13"/>
      <c r="BCY134" s="13"/>
      <c r="BCZ134" s="13"/>
      <c r="BDA134" s="13"/>
      <c r="BDB134" s="13"/>
      <c r="BDC134" s="13"/>
      <c r="BDD134" s="13"/>
      <c r="BDE134" s="13"/>
      <c r="BDF134" s="13"/>
      <c r="BDG134" s="13"/>
      <c r="BDH134" s="13"/>
      <c r="BDI134" s="13"/>
      <c r="BDJ134" s="13"/>
      <c r="BDK134" s="13"/>
      <c r="BDL134" s="13"/>
      <c r="BDM134" s="13"/>
      <c r="BDN134" s="13"/>
      <c r="BDO134" s="13"/>
      <c r="BDP134" s="13"/>
      <c r="BDQ134" s="13"/>
      <c r="BDR134" s="13"/>
      <c r="BDS134" s="13"/>
      <c r="BDT134" s="13"/>
      <c r="BDU134" s="13"/>
      <c r="BDV134" s="13"/>
      <c r="BDW134" s="13"/>
      <c r="BDX134" s="13"/>
      <c r="BDY134" s="13"/>
      <c r="BDZ134" s="13"/>
      <c r="BEA134" s="13"/>
      <c r="BEB134" s="13"/>
      <c r="BEC134" s="13"/>
      <c r="BED134" s="13"/>
      <c r="BEE134" s="13"/>
      <c r="BEF134" s="13"/>
      <c r="BEG134" s="13"/>
      <c r="BEH134" s="13"/>
      <c r="BEI134" s="13"/>
      <c r="BEJ134" s="13"/>
      <c r="BEK134" s="13"/>
      <c r="BEL134" s="13"/>
      <c r="BEM134" s="13"/>
      <c r="BEN134" s="13"/>
      <c r="BEO134" s="13"/>
      <c r="BEP134" s="13"/>
      <c r="BEQ134" s="13"/>
      <c r="BER134" s="13"/>
      <c r="BES134" s="13"/>
      <c r="BET134" s="13"/>
      <c r="BEU134" s="13"/>
      <c r="BEV134" s="13"/>
      <c r="BEW134" s="13"/>
      <c r="BEX134" s="13"/>
      <c r="BEY134" s="13"/>
      <c r="BEZ134" s="13"/>
      <c r="BFA134" s="13"/>
      <c r="BFB134" s="13"/>
      <c r="BFC134" s="13"/>
      <c r="BFD134" s="13"/>
      <c r="BFE134" s="13"/>
      <c r="BFF134" s="13"/>
      <c r="BFG134" s="13"/>
      <c r="BFH134" s="13"/>
      <c r="BFI134" s="13"/>
      <c r="BFJ134" s="13"/>
      <c r="BFK134" s="13"/>
      <c r="BFL134" s="13"/>
      <c r="BFM134" s="13"/>
      <c r="BFN134" s="13"/>
      <c r="BFO134" s="13"/>
      <c r="BFP134" s="13"/>
      <c r="BFQ134" s="13"/>
      <c r="BFR134" s="13"/>
      <c r="BFS134" s="13"/>
      <c r="BFT134" s="13"/>
      <c r="BFU134" s="13"/>
      <c r="BFV134" s="13"/>
      <c r="BFW134" s="13"/>
      <c r="BFX134" s="13"/>
      <c r="BFY134" s="13"/>
      <c r="BFZ134" s="13"/>
      <c r="BGA134" s="13"/>
      <c r="BGB134" s="13"/>
      <c r="BGC134" s="13"/>
      <c r="BGD134" s="13"/>
      <c r="BGE134" s="13"/>
      <c r="BGF134" s="13"/>
      <c r="BGG134" s="13"/>
      <c r="BGH134" s="13"/>
      <c r="BGI134" s="13"/>
      <c r="BGJ134" s="13"/>
      <c r="BGK134" s="13"/>
      <c r="BGL134" s="13"/>
      <c r="BGM134" s="13"/>
      <c r="BGN134" s="13"/>
      <c r="BGO134" s="13"/>
      <c r="BGP134" s="13"/>
      <c r="BGQ134" s="13"/>
      <c r="BGR134" s="13"/>
      <c r="BGS134" s="13"/>
      <c r="BGT134" s="13"/>
      <c r="BGU134" s="13"/>
      <c r="BGV134" s="13"/>
      <c r="BGW134" s="13"/>
      <c r="BGX134" s="13"/>
      <c r="BGY134" s="13"/>
      <c r="BGZ134" s="13"/>
      <c r="BHA134" s="13"/>
      <c r="BHB134" s="13"/>
      <c r="BHC134" s="13"/>
      <c r="BHD134" s="13"/>
      <c r="BHE134" s="13"/>
      <c r="BHF134" s="13"/>
      <c r="BHG134" s="13"/>
      <c r="BHH134" s="13"/>
      <c r="BHI134" s="13"/>
      <c r="BHJ134" s="13"/>
      <c r="BHK134" s="13"/>
      <c r="BHL134" s="13"/>
      <c r="BHM134" s="13"/>
      <c r="BHN134" s="13"/>
      <c r="BHO134" s="13"/>
      <c r="BHP134" s="13"/>
      <c r="BHQ134" s="13"/>
      <c r="BHR134" s="13"/>
      <c r="BHS134" s="13"/>
      <c r="BHT134" s="13"/>
      <c r="BHU134" s="13"/>
      <c r="BHV134" s="13"/>
      <c r="BHW134" s="13"/>
      <c r="BHX134" s="13"/>
      <c r="BHY134" s="13"/>
      <c r="BHZ134" s="13"/>
      <c r="BIA134" s="13"/>
      <c r="BIB134" s="13"/>
      <c r="BIC134" s="13"/>
      <c r="BID134" s="13"/>
      <c r="BIE134" s="13"/>
      <c r="BIF134" s="13"/>
      <c r="BIG134" s="13"/>
      <c r="BIH134" s="13"/>
      <c r="BII134" s="13"/>
      <c r="BIJ134" s="13"/>
      <c r="BIK134" s="13"/>
      <c r="BIL134" s="13"/>
      <c r="BIM134" s="13"/>
      <c r="BIN134" s="13"/>
      <c r="BIO134" s="13"/>
      <c r="BIP134" s="13"/>
      <c r="BIQ134" s="13"/>
      <c r="BIR134" s="13"/>
      <c r="BIS134" s="13"/>
      <c r="BIT134" s="13"/>
      <c r="BIU134" s="13"/>
      <c r="BIV134" s="13"/>
      <c r="BIW134" s="13"/>
      <c r="BIX134" s="13"/>
      <c r="BIY134" s="13"/>
      <c r="BIZ134" s="13"/>
      <c r="BJA134" s="13"/>
      <c r="BJB134" s="13"/>
      <c r="BJC134" s="13"/>
      <c r="BJD134" s="13"/>
      <c r="BJE134" s="13"/>
      <c r="BJF134" s="13"/>
      <c r="BJG134" s="13"/>
      <c r="BJH134" s="13"/>
      <c r="BJI134" s="13"/>
      <c r="BJJ134" s="13"/>
      <c r="BJK134" s="13"/>
      <c r="BJL134" s="13"/>
      <c r="BJM134" s="13"/>
      <c r="BJN134" s="13"/>
      <c r="BJO134" s="13"/>
      <c r="BJP134" s="13"/>
      <c r="BJQ134" s="13"/>
      <c r="BJR134" s="13"/>
      <c r="BJS134" s="13"/>
      <c r="BJT134" s="13"/>
      <c r="BJU134" s="13"/>
      <c r="BJV134" s="13"/>
      <c r="BJW134" s="13"/>
      <c r="BJX134" s="13"/>
      <c r="BJY134" s="13"/>
      <c r="BJZ134" s="13"/>
      <c r="BKA134" s="13"/>
      <c r="BKB134" s="13"/>
      <c r="BKC134" s="13"/>
      <c r="BKD134" s="13"/>
      <c r="BKE134" s="13"/>
      <c r="BKF134" s="13"/>
      <c r="BKG134" s="13"/>
      <c r="BKH134" s="13"/>
      <c r="BKI134" s="13"/>
      <c r="BKJ134" s="13"/>
      <c r="BKK134" s="13"/>
      <c r="BKL134" s="13"/>
      <c r="BKM134" s="13"/>
      <c r="BKN134" s="13"/>
      <c r="BKO134" s="13"/>
      <c r="BKP134" s="13"/>
      <c r="BKQ134" s="13"/>
      <c r="BKR134" s="13"/>
      <c r="BKS134" s="13"/>
      <c r="BKT134" s="13"/>
      <c r="BKU134" s="13"/>
      <c r="BKV134" s="13"/>
      <c r="BKW134" s="13"/>
      <c r="BKX134" s="13"/>
      <c r="BKY134" s="13"/>
      <c r="BKZ134" s="13"/>
      <c r="BLA134" s="13"/>
      <c r="BLB134" s="13"/>
      <c r="BLC134" s="13"/>
      <c r="BLD134" s="13"/>
      <c r="BLE134" s="13"/>
      <c r="BLF134" s="13"/>
      <c r="BLG134" s="13"/>
      <c r="BLH134" s="13"/>
      <c r="BLI134" s="13"/>
      <c r="BLJ134" s="13"/>
      <c r="BLK134" s="13"/>
      <c r="BLL134" s="13"/>
      <c r="BLM134" s="13"/>
      <c r="BLN134" s="13"/>
      <c r="BLO134" s="13"/>
      <c r="BLP134" s="13"/>
      <c r="BLQ134" s="13"/>
      <c r="BLR134" s="13"/>
      <c r="BLS134" s="13"/>
      <c r="BLT134" s="13"/>
      <c r="BLU134" s="13"/>
      <c r="BLV134" s="13"/>
      <c r="BLW134" s="13"/>
      <c r="BLX134" s="13"/>
      <c r="BLY134" s="13"/>
      <c r="BLZ134" s="13"/>
      <c r="BMA134" s="13"/>
      <c r="BMB134" s="13"/>
      <c r="BMC134" s="13"/>
      <c r="BMD134" s="13"/>
      <c r="BME134" s="13"/>
      <c r="BMF134" s="13"/>
      <c r="BMG134" s="13"/>
      <c r="BMH134" s="13"/>
      <c r="BMI134" s="13"/>
      <c r="BMJ134" s="13"/>
      <c r="BMK134" s="13"/>
      <c r="BML134" s="13"/>
      <c r="BMM134" s="13"/>
      <c r="BMN134" s="13"/>
      <c r="BMO134" s="13"/>
      <c r="BMP134" s="13"/>
      <c r="BMQ134" s="13"/>
      <c r="BMR134" s="13"/>
      <c r="BMS134" s="13"/>
      <c r="BMT134" s="13"/>
      <c r="BMU134" s="13"/>
      <c r="BMV134" s="13"/>
      <c r="BMW134" s="13"/>
      <c r="BMX134" s="13"/>
      <c r="BMY134" s="13"/>
      <c r="BMZ134" s="13"/>
      <c r="BNA134" s="13"/>
      <c r="BNB134" s="13"/>
      <c r="BNC134" s="13"/>
      <c r="BND134" s="13"/>
      <c r="BNE134" s="13"/>
      <c r="BNF134" s="13"/>
      <c r="BNG134" s="13"/>
      <c r="BNH134" s="13"/>
      <c r="BNI134" s="13"/>
      <c r="BNJ134" s="13"/>
      <c r="BNK134" s="13"/>
      <c r="BNL134" s="13"/>
      <c r="BNM134" s="13"/>
      <c r="BNN134" s="13"/>
      <c r="BNO134" s="13"/>
      <c r="BNP134" s="13"/>
      <c r="BNQ134" s="13"/>
      <c r="BNR134" s="13"/>
      <c r="BNS134" s="13"/>
      <c r="BNT134" s="13"/>
      <c r="BNU134" s="13"/>
      <c r="BNV134" s="13"/>
      <c r="BNW134" s="13"/>
      <c r="BNX134" s="13"/>
      <c r="BNY134" s="13"/>
      <c r="BNZ134" s="13"/>
      <c r="BOA134" s="13"/>
      <c r="BOB134" s="13"/>
      <c r="BOC134" s="13"/>
      <c r="BOD134" s="13"/>
      <c r="BOE134" s="13"/>
      <c r="BOF134" s="13"/>
      <c r="BOG134" s="13"/>
      <c r="BOH134" s="13"/>
      <c r="BOI134" s="13"/>
      <c r="BOJ134" s="13"/>
      <c r="BOK134" s="13"/>
      <c r="BOL134" s="13"/>
      <c r="BOM134" s="13"/>
      <c r="BON134" s="13"/>
      <c r="BOO134" s="13"/>
      <c r="BOP134" s="13"/>
      <c r="BOQ134" s="13"/>
      <c r="BOR134" s="13"/>
      <c r="BOS134" s="13"/>
      <c r="BOT134" s="13"/>
      <c r="BOU134" s="13"/>
      <c r="BOV134" s="13"/>
      <c r="BOW134" s="13"/>
      <c r="BOX134" s="13"/>
      <c r="BOY134" s="13"/>
      <c r="BOZ134" s="13"/>
      <c r="BPA134" s="13"/>
      <c r="BPB134" s="13"/>
      <c r="BPC134" s="13"/>
      <c r="BPD134" s="13"/>
      <c r="BPE134" s="13"/>
      <c r="BPF134" s="13"/>
      <c r="BPG134" s="13"/>
      <c r="BPH134" s="13"/>
      <c r="BPI134" s="13"/>
      <c r="BPJ134" s="13"/>
      <c r="BPK134" s="13"/>
      <c r="BPL134" s="13"/>
      <c r="BPM134" s="13"/>
      <c r="BPN134" s="13"/>
      <c r="BPO134" s="13"/>
      <c r="BPP134" s="13"/>
      <c r="BPQ134" s="13"/>
      <c r="BPR134" s="13"/>
      <c r="BPS134" s="13"/>
      <c r="BPT134" s="13"/>
      <c r="BPU134" s="13"/>
      <c r="BPV134" s="13"/>
      <c r="BPW134" s="13"/>
      <c r="BPX134" s="13"/>
      <c r="BPY134" s="13"/>
      <c r="BPZ134" s="13"/>
      <c r="BQA134" s="13"/>
      <c r="BQB134" s="13"/>
      <c r="BQC134" s="13"/>
      <c r="BQD134" s="13"/>
      <c r="BQE134" s="13"/>
      <c r="BQF134" s="13"/>
      <c r="BQG134" s="13"/>
      <c r="BQH134" s="13"/>
      <c r="BQI134" s="13"/>
      <c r="BQJ134" s="13"/>
      <c r="BQK134" s="13"/>
      <c r="BQL134" s="13"/>
      <c r="BQM134" s="13"/>
      <c r="BQN134" s="13"/>
      <c r="BQO134" s="13"/>
      <c r="BQP134" s="13"/>
      <c r="BQQ134" s="13"/>
      <c r="BQR134" s="13"/>
      <c r="BQS134" s="13"/>
      <c r="BQT134" s="13"/>
      <c r="BQU134" s="13"/>
      <c r="BQV134" s="13"/>
      <c r="BQW134" s="13"/>
      <c r="BQX134" s="13"/>
      <c r="BQY134" s="13"/>
      <c r="BQZ134" s="13"/>
      <c r="BRA134" s="13"/>
      <c r="BRB134" s="13"/>
      <c r="BRC134" s="13"/>
      <c r="BRD134" s="13"/>
      <c r="BRE134" s="13"/>
      <c r="BRF134" s="13"/>
      <c r="BRG134" s="13"/>
      <c r="BRH134" s="13"/>
      <c r="BRI134" s="13"/>
      <c r="BRJ134" s="13"/>
      <c r="BRK134" s="13"/>
      <c r="BRL134" s="13"/>
      <c r="BRM134" s="13"/>
      <c r="BRN134" s="13"/>
      <c r="BRO134" s="13"/>
      <c r="BRP134" s="13"/>
      <c r="BRQ134" s="13"/>
      <c r="BRR134" s="13"/>
      <c r="BRS134" s="13"/>
      <c r="BRT134" s="13"/>
      <c r="BRU134" s="13"/>
      <c r="BRV134" s="13"/>
      <c r="BRW134" s="13"/>
      <c r="BRX134" s="13"/>
      <c r="BRY134" s="13"/>
      <c r="BRZ134" s="13"/>
      <c r="BSA134" s="13"/>
      <c r="BSB134" s="13"/>
      <c r="BSC134" s="13"/>
      <c r="BSD134" s="13"/>
      <c r="BSE134" s="13"/>
      <c r="BSF134" s="13"/>
      <c r="BSG134" s="13"/>
      <c r="BSH134" s="13"/>
      <c r="BSI134" s="13"/>
      <c r="BSJ134" s="13"/>
      <c r="BSK134" s="13"/>
      <c r="BSL134" s="13"/>
      <c r="BSM134" s="13"/>
      <c r="BSN134" s="13"/>
      <c r="BSO134" s="13"/>
      <c r="BSP134" s="13"/>
      <c r="BSQ134" s="13"/>
      <c r="BSR134" s="13"/>
      <c r="BSS134" s="13"/>
      <c r="BST134" s="13"/>
      <c r="BSU134" s="13"/>
      <c r="BSV134" s="13"/>
      <c r="BSW134" s="13"/>
      <c r="BSX134" s="13"/>
      <c r="BSY134" s="13"/>
      <c r="BSZ134" s="13"/>
      <c r="BTA134" s="13"/>
    </row>
    <row r="135" spans="1:1873" s="23" customFormat="1" x14ac:dyDescent="0.2">
      <c r="A135" s="234" t="s">
        <v>676</v>
      </c>
      <c r="B135" s="234" t="s">
        <v>618</v>
      </c>
      <c r="C135" s="234" t="s">
        <v>474</v>
      </c>
      <c r="D135" s="234" t="s">
        <v>633</v>
      </c>
      <c r="E135" s="493" t="s">
        <v>634</v>
      </c>
      <c r="F135" s="501">
        <v>2</v>
      </c>
      <c r="G135" s="491">
        <v>1</v>
      </c>
      <c r="H135" s="501">
        <v>3</v>
      </c>
      <c r="I135" s="234" t="s">
        <v>621</v>
      </c>
      <c r="J135" s="234">
        <v>1990</v>
      </c>
      <c r="K135" s="234" t="s">
        <v>1211</v>
      </c>
      <c r="L135" s="234">
        <v>1992</v>
      </c>
      <c r="M135" s="389">
        <v>10.1</v>
      </c>
      <c r="N135" s="389">
        <v>0.5</v>
      </c>
      <c r="O135" s="29"/>
      <c r="P135" s="237">
        <f>+P134+M135</f>
        <v>25.1</v>
      </c>
      <c r="Q135" s="234">
        <v>-9999</v>
      </c>
      <c r="R135" s="389"/>
      <c r="S135" s="234"/>
      <c r="T135" s="237">
        <f>+P135/F135</f>
        <v>12.55</v>
      </c>
      <c r="U135" s="491">
        <v>-9999</v>
      </c>
      <c r="V135" s="491"/>
      <c r="W135" s="389">
        <f>+M135</f>
        <v>10.1</v>
      </c>
      <c r="X135" s="491">
        <v>-9999</v>
      </c>
      <c r="Y135" s="491"/>
      <c r="Z135" s="234" t="s">
        <v>637</v>
      </c>
      <c r="AA135" s="515">
        <v>15152</v>
      </c>
      <c r="AB135" s="389">
        <v>0.92</v>
      </c>
      <c r="AC135" s="390">
        <v>2.1600000000000001E-2</v>
      </c>
      <c r="AD135" s="234">
        <v>36</v>
      </c>
      <c r="AE135" s="392" t="s">
        <v>1976</v>
      </c>
      <c r="AF135" s="234">
        <v>3</v>
      </c>
      <c r="AG135" s="234">
        <v>1</v>
      </c>
      <c r="AH135" s="234" t="s">
        <v>479</v>
      </c>
      <c r="AI135" s="234" t="s">
        <v>624</v>
      </c>
      <c r="AJ135" s="234">
        <v>-9999</v>
      </c>
      <c r="AK135" s="234" t="s">
        <v>625</v>
      </c>
      <c r="AL135" s="234" t="s">
        <v>642</v>
      </c>
      <c r="AM135" s="234">
        <v>-9999</v>
      </c>
      <c r="AN135" s="234" t="s">
        <v>480</v>
      </c>
      <c r="AO135" s="234" t="s">
        <v>627</v>
      </c>
      <c r="AP135" s="234" t="s">
        <v>677</v>
      </c>
      <c r="AQ135" s="234" t="s">
        <v>626</v>
      </c>
      <c r="AR135" s="234">
        <f>224*G135</f>
        <v>224</v>
      </c>
      <c r="AS135" s="234" t="s">
        <v>1101</v>
      </c>
      <c r="AT135" s="234" t="s">
        <v>745</v>
      </c>
      <c r="AU135" s="234">
        <v>112</v>
      </c>
      <c r="AV135" s="234" t="s">
        <v>218</v>
      </c>
      <c r="AW135" s="234" t="s">
        <v>746</v>
      </c>
      <c r="AX135" s="234">
        <v>112</v>
      </c>
      <c r="AY135" s="234" t="s">
        <v>219</v>
      </c>
      <c r="AZ135" s="234" t="s">
        <v>746</v>
      </c>
      <c r="BA135" s="234">
        <v>-9999</v>
      </c>
      <c r="BB135" s="234" t="s">
        <v>626</v>
      </c>
      <c r="BC135" s="234" t="s">
        <v>641</v>
      </c>
      <c r="BD135" s="234" t="s">
        <v>642</v>
      </c>
      <c r="BE135" s="234" t="s">
        <v>643</v>
      </c>
      <c r="BF135" s="234">
        <v>-9999</v>
      </c>
      <c r="BG135" s="234">
        <v>-9999</v>
      </c>
      <c r="BH135" s="234">
        <v>-9999</v>
      </c>
      <c r="BI135" s="234" t="s">
        <v>678</v>
      </c>
      <c r="BJ135" s="234">
        <v>-9999</v>
      </c>
      <c r="BK135" s="234">
        <v>-9999</v>
      </c>
      <c r="BL135" s="234">
        <v>-9999</v>
      </c>
      <c r="BM135" s="234">
        <v>-9999</v>
      </c>
      <c r="BN135" s="234">
        <v>-9999</v>
      </c>
      <c r="BO135" s="234">
        <v>-9999</v>
      </c>
      <c r="BP135" s="234">
        <v>-9999</v>
      </c>
      <c r="BQ135" s="234">
        <v>-9999</v>
      </c>
      <c r="BR135" s="491">
        <v>-9999</v>
      </c>
      <c r="BS135" s="491">
        <v>-9999</v>
      </c>
      <c r="BT135" s="491">
        <v>-9999</v>
      </c>
      <c r="BU135" s="491">
        <v>-9999</v>
      </c>
      <c r="BV135" s="491">
        <v>-9999</v>
      </c>
      <c r="BW135" s="491"/>
      <c r="BX135" s="491">
        <v>-9999</v>
      </c>
      <c r="BY135" s="234">
        <v>-9999</v>
      </c>
      <c r="BZ135" s="496">
        <v>-9999</v>
      </c>
      <c r="CA135" s="496" t="s">
        <v>478</v>
      </c>
      <c r="CB135" s="499"/>
      <c r="CC135" s="501">
        <v>2</v>
      </c>
      <c r="CD135" s="491">
        <v>1</v>
      </c>
      <c r="CE135" s="292">
        <v>12.55</v>
      </c>
      <c r="CF135" s="292">
        <v>10.1</v>
      </c>
      <c r="CG135" s="74">
        <v>3</v>
      </c>
    </row>
    <row r="136" spans="1:1873" s="23" customFormat="1" x14ac:dyDescent="0.2">
      <c r="A136" s="234" t="s">
        <v>676</v>
      </c>
      <c r="B136" s="234" t="s">
        <v>618</v>
      </c>
      <c r="C136" s="234" t="s">
        <v>474</v>
      </c>
      <c r="D136" s="234" t="s">
        <v>633</v>
      </c>
      <c r="E136" s="493" t="s">
        <v>634</v>
      </c>
      <c r="F136" s="501">
        <v>3</v>
      </c>
      <c r="G136" s="491">
        <v>1</v>
      </c>
      <c r="H136" s="501">
        <v>4</v>
      </c>
      <c r="I136" s="234" t="s">
        <v>621</v>
      </c>
      <c r="J136" s="234">
        <v>1990</v>
      </c>
      <c r="K136" s="234" t="s">
        <v>1211</v>
      </c>
      <c r="L136" s="234">
        <v>1993</v>
      </c>
      <c r="M136" s="389">
        <v>10.1</v>
      </c>
      <c r="N136" s="389">
        <v>2</v>
      </c>
      <c r="O136" s="29"/>
      <c r="P136" s="237">
        <f>+P135+M136</f>
        <v>35.200000000000003</v>
      </c>
      <c r="Q136" s="234">
        <v>-9999</v>
      </c>
      <c r="R136" s="389"/>
      <c r="S136" s="234"/>
      <c r="T136" s="237">
        <f>+P136/F136</f>
        <v>11.733333333333334</v>
      </c>
      <c r="U136" s="491">
        <v>-9999</v>
      </c>
      <c r="V136" s="491"/>
      <c r="W136" s="389">
        <f>+M136</f>
        <v>10.1</v>
      </c>
      <c r="X136" s="491">
        <v>-9999</v>
      </c>
      <c r="Y136" s="491"/>
      <c r="Z136" s="234" t="s">
        <v>637</v>
      </c>
      <c r="AA136" s="515">
        <v>15152</v>
      </c>
      <c r="AB136" s="389">
        <v>0.92</v>
      </c>
      <c r="AC136" s="390">
        <v>2.1600000000000001E-2</v>
      </c>
      <c r="AD136" s="234">
        <v>36</v>
      </c>
      <c r="AE136" s="392" t="s">
        <v>1976</v>
      </c>
      <c r="AF136" s="234">
        <v>3</v>
      </c>
      <c r="AG136" s="234">
        <v>1</v>
      </c>
      <c r="AH136" s="234" t="s">
        <v>479</v>
      </c>
      <c r="AI136" s="234" t="s">
        <v>624</v>
      </c>
      <c r="AJ136" s="234">
        <v>-9999</v>
      </c>
      <c r="AK136" s="234" t="s">
        <v>625</v>
      </c>
      <c r="AL136" s="234" t="s">
        <v>642</v>
      </c>
      <c r="AM136" s="234">
        <v>-9999</v>
      </c>
      <c r="AN136" s="234" t="s">
        <v>480</v>
      </c>
      <c r="AO136" s="234" t="s">
        <v>627</v>
      </c>
      <c r="AP136" s="234" t="s">
        <v>677</v>
      </c>
      <c r="AQ136" s="234" t="s">
        <v>626</v>
      </c>
      <c r="AR136" s="234">
        <f>224*G136</f>
        <v>224</v>
      </c>
      <c r="AS136" s="234" t="s">
        <v>1101</v>
      </c>
      <c r="AT136" s="234" t="s">
        <v>745</v>
      </c>
      <c r="AU136" s="234">
        <v>0</v>
      </c>
      <c r="AV136" s="234" t="s">
        <v>218</v>
      </c>
      <c r="AW136" s="234" t="s">
        <v>746</v>
      </c>
      <c r="AX136" s="234">
        <v>0</v>
      </c>
      <c r="AY136" s="234" t="s">
        <v>219</v>
      </c>
      <c r="AZ136" s="234">
        <v>-9999</v>
      </c>
      <c r="BA136" s="234">
        <v>-9999</v>
      </c>
      <c r="BB136" s="234" t="s">
        <v>626</v>
      </c>
      <c r="BC136" s="234" t="s">
        <v>641</v>
      </c>
      <c r="BD136" s="234" t="s">
        <v>642</v>
      </c>
      <c r="BE136" s="234" t="s">
        <v>643</v>
      </c>
      <c r="BF136" s="234">
        <v>-9999</v>
      </c>
      <c r="BG136" s="234">
        <v>-9999</v>
      </c>
      <c r="BH136" s="234">
        <v>-9999</v>
      </c>
      <c r="BI136" s="234" t="s">
        <v>678</v>
      </c>
      <c r="BJ136" s="234">
        <v>-9999</v>
      </c>
      <c r="BK136" s="234">
        <v>-9999</v>
      </c>
      <c r="BL136" s="234">
        <v>-9999</v>
      </c>
      <c r="BM136" s="234">
        <v>-9999</v>
      </c>
      <c r="BN136" s="234">
        <v>-9999</v>
      </c>
      <c r="BO136" s="234">
        <v>-9999</v>
      </c>
      <c r="BP136" s="234">
        <v>-9999</v>
      </c>
      <c r="BQ136" s="234">
        <v>-9999</v>
      </c>
      <c r="BR136" s="491">
        <v>-9999</v>
      </c>
      <c r="BS136" s="491">
        <v>-9999</v>
      </c>
      <c r="BT136" s="491">
        <v>-9999</v>
      </c>
      <c r="BU136" s="491">
        <v>-9999</v>
      </c>
      <c r="BV136" s="491">
        <v>-9999</v>
      </c>
      <c r="BW136" s="491"/>
      <c r="BX136" s="491">
        <v>-9999</v>
      </c>
      <c r="BY136" s="234">
        <v>-9999</v>
      </c>
      <c r="BZ136" s="496">
        <v>-9999</v>
      </c>
      <c r="CA136" s="496" t="s">
        <v>478</v>
      </c>
      <c r="CB136" s="499"/>
      <c r="CC136" s="501">
        <v>3</v>
      </c>
      <c r="CD136" s="491">
        <v>1</v>
      </c>
      <c r="CE136" s="292">
        <v>11.733333333333334</v>
      </c>
      <c r="CF136" s="292">
        <v>10.1</v>
      </c>
      <c r="CG136" s="74">
        <v>4</v>
      </c>
    </row>
    <row r="137" spans="1:1873" s="23" customFormat="1" x14ac:dyDescent="0.2">
      <c r="A137" s="234" t="s">
        <v>676</v>
      </c>
      <c r="B137" s="234" t="s">
        <v>618</v>
      </c>
      <c r="C137" s="234" t="s">
        <v>474</v>
      </c>
      <c r="D137" s="234" t="s">
        <v>633</v>
      </c>
      <c r="E137" s="493" t="s">
        <v>634</v>
      </c>
      <c r="F137" s="501">
        <v>4</v>
      </c>
      <c r="G137" s="491">
        <v>1</v>
      </c>
      <c r="H137" s="501">
        <v>5</v>
      </c>
      <c r="I137" s="234" t="s">
        <v>621</v>
      </c>
      <c r="J137" s="234">
        <v>1990</v>
      </c>
      <c r="K137" s="234" t="s">
        <v>1211</v>
      </c>
      <c r="L137" s="234">
        <v>1994</v>
      </c>
      <c r="M137" s="389">
        <v>8.6999999999999993</v>
      </c>
      <c r="N137" s="389">
        <v>2.8</v>
      </c>
      <c r="O137" s="29"/>
      <c r="P137" s="237">
        <f>+P136+M137</f>
        <v>43.900000000000006</v>
      </c>
      <c r="Q137" s="234">
        <v>-9999</v>
      </c>
      <c r="R137" s="389"/>
      <c r="S137" s="234"/>
      <c r="T137" s="237">
        <f>+P137/F137</f>
        <v>10.975000000000001</v>
      </c>
      <c r="U137" s="491">
        <v>-9999</v>
      </c>
      <c r="V137" s="491"/>
      <c r="W137" s="389">
        <f>+M137</f>
        <v>8.6999999999999993</v>
      </c>
      <c r="X137" s="491">
        <v>-9999</v>
      </c>
      <c r="Y137" s="491"/>
      <c r="Z137" s="234" t="s">
        <v>637</v>
      </c>
      <c r="AA137" s="515">
        <v>15152</v>
      </c>
      <c r="AB137" s="389">
        <v>0.79</v>
      </c>
      <c r="AC137" s="390">
        <v>2.1600000000000001E-2</v>
      </c>
      <c r="AD137" s="234">
        <v>36</v>
      </c>
      <c r="AE137" s="392" t="s">
        <v>1976</v>
      </c>
      <c r="AF137" s="234">
        <v>3</v>
      </c>
      <c r="AG137" s="234">
        <v>1</v>
      </c>
      <c r="AH137" s="234" t="s">
        <v>479</v>
      </c>
      <c r="AI137" s="234" t="s">
        <v>624</v>
      </c>
      <c r="AJ137" s="234">
        <v>-9999</v>
      </c>
      <c r="AK137" s="234" t="s">
        <v>625</v>
      </c>
      <c r="AL137" s="234" t="s">
        <v>642</v>
      </c>
      <c r="AM137" s="234">
        <v>-9999</v>
      </c>
      <c r="AN137" s="234" t="s">
        <v>480</v>
      </c>
      <c r="AO137" s="234" t="s">
        <v>627</v>
      </c>
      <c r="AP137" s="234" t="s">
        <v>677</v>
      </c>
      <c r="AQ137" s="234" t="s">
        <v>626</v>
      </c>
      <c r="AR137" s="234">
        <f>224*G137</f>
        <v>224</v>
      </c>
      <c r="AS137" s="234" t="s">
        <v>1101</v>
      </c>
      <c r="AT137" s="234" t="s">
        <v>745</v>
      </c>
      <c r="AU137" s="234">
        <v>0</v>
      </c>
      <c r="AV137" s="234" t="s">
        <v>218</v>
      </c>
      <c r="AW137" s="234" t="s">
        <v>746</v>
      </c>
      <c r="AX137" s="234">
        <v>0</v>
      </c>
      <c r="AY137" s="234" t="s">
        <v>219</v>
      </c>
      <c r="AZ137" s="234">
        <v>-9999</v>
      </c>
      <c r="BA137" s="234">
        <v>-9999</v>
      </c>
      <c r="BB137" s="234" t="s">
        <v>626</v>
      </c>
      <c r="BC137" s="234" t="s">
        <v>641</v>
      </c>
      <c r="BD137" s="234" t="s">
        <v>642</v>
      </c>
      <c r="BE137" s="234" t="s">
        <v>643</v>
      </c>
      <c r="BF137" s="234">
        <v>-9999</v>
      </c>
      <c r="BG137" s="234">
        <v>-9999</v>
      </c>
      <c r="BH137" s="234">
        <v>-9999</v>
      </c>
      <c r="BI137" s="234" t="s">
        <v>678</v>
      </c>
      <c r="BJ137" s="234">
        <v>-9999</v>
      </c>
      <c r="BK137" s="234">
        <v>-9999</v>
      </c>
      <c r="BL137" s="234">
        <v>-9999</v>
      </c>
      <c r="BM137" s="234">
        <v>-9999</v>
      </c>
      <c r="BN137" s="234">
        <v>-9999</v>
      </c>
      <c r="BO137" s="234">
        <v>-9999</v>
      </c>
      <c r="BP137" s="234">
        <v>-9999</v>
      </c>
      <c r="BQ137" s="234">
        <v>-9999</v>
      </c>
      <c r="BR137" s="491">
        <v>-9999</v>
      </c>
      <c r="BS137" s="491">
        <v>-9999</v>
      </c>
      <c r="BT137" s="491">
        <v>-9999</v>
      </c>
      <c r="BU137" s="491">
        <v>-9999</v>
      </c>
      <c r="BV137" s="491">
        <v>-9999</v>
      </c>
      <c r="BW137" s="491"/>
      <c r="BX137" s="491">
        <v>-9999</v>
      </c>
      <c r="BY137" s="234">
        <v>-9999</v>
      </c>
      <c r="BZ137" s="496">
        <v>-9999</v>
      </c>
      <c r="CA137" s="496" t="s">
        <v>478</v>
      </c>
      <c r="CB137" s="499"/>
      <c r="CC137" s="501">
        <v>4</v>
      </c>
      <c r="CD137" s="491">
        <v>1</v>
      </c>
      <c r="CE137" s="292">
        <v>10.975000000000001</v>
      </c>
      <c r="CF137" s="292">
        <v>8.6999999999999993</v>
      </c>
      <c r="CG137" s="74">
        <v>5</v>
      </c>
    </row>
    <row r="138" spans="1:1873" s="23" customFormat="1" x14ac:dyDescent="0.2">
      <c r="A138" s="234"/>
      <c r="B138" s="234"/>
      <c r="C138" s="234"/>
      <c r="D138" s="234"/>
      <c r="E138" s="493"/>
      <c r="F138" s="501"/>
      <c r="G138" s="491"/>
      <c r="H138" s="501"/>
      <c r="I138" s="234"/>
      <c r="J138" s="234"/>
      <c r="K138" s="234"/>
      <c r="L138" s="234"/>
      <c r="M138" s="389"/>
      <c r="N138" s="389"/>
      <c r="O138" s="29"/>
      <c r="P138" s="237"/>
      <c r="Q138" s="234"/>
      <c r="R138" s="389"/>
      <c r="S138" s="234"/>
      <c r="T138" s="237"/>
      <c r="U138" s="491"/>
      <c r="V138" s="491"/>
      <c r="W138" s="389"/>
      <c r="X138" s="491"/>
      <c r="Y138" s="491"/>
      <c r="Z138" s="234"/>
      <c r="AA138" s="515"/>
      <c r="AB138" s="389"/>
      <c r="AC138" s="389"/>
      <c r="AD138" s="234"/>
      <c r="AE138" s="389"/>
      <c r="AF138" s="234"/>
      <c r="AG138" s="234"/>
      <c r="AH138" s="234"/>
      <c r="AI138" s="234"/>
      <c r="AJ138" s="234"/>
      <c r="AK138" s="234"/>
      <c r="AL138" s="234"/>
      <c r="AM138" s="234"/>
      <c r="AN138" s="234"/>
      <c r="AO138" s="234"/>
      <c r="AP138" s="234"/>
      <c r="AQ138" s="234"/>
      <c r="AR138" s="234"/>
      <c r="AS138" s="234"/>
      <c r="AT138" s="234"/>
      <c r="AU138" s="234"/>
      <c r="AV138" s="234"/>
      <c r="AW138" s="234"/>
      <c r="AX138" s="234"/>
      <c r="AY138" s="234"/>
      <c r="AZ138" s="234"/>
      <c r="BA138" s="234"/>
      <c r="BB138" s="234"/>
      <c r="BC138" s="234"/>
      <c r="BD138" s="234"/>
      <c r="BE138" s="234"/>
      <c r="BF138" s="234"/>
      <c r="BG138" s="234"/>
      <c r="BH138" s="234"/>
      <c r="BI138" s="234"/>
      <c r="BJ138" s="234"/>
      <c r="BK138" s="234"/>
      <c r="BL138" s="234"/>
      <c r="BM138" s="234"/>
      <c r="BN138" s="234"/>
      <c r="BO138" s="234"/>
      <c r="BP138" s="234"/>
      <c r="BQ138" s="234"/>
      <c r="BR138" s="491"/>
      <c r="BS138" s="491"/>
      <c r="BT138" s="491"/>
      <c r="BU138" s="491"/>
      <c r="BV138" s="491"/>
      <c r="BW138" s="491"/>
      <c r="BX138" s="491"/>
      <c r="BY138" s="234"/>
      <c r="BZ138" s="496"/>
      <c r="CA138" s="496"/>
      <c r="CB138" s="499"/>
      <c r="CC138" s="501"/>
      <c r="CD138" s="491"/>
      <c r="CE138" s="342" t="s">
        <v>1576</v>
      </c>
      <c r="CF138" s="342" t="s">
        <v>1575</v>
      </c>
      <c r="CG138" s="74"/>
    </row>
    <row r="139" spans="1:1873" s="23" customFormat="1" x14ac:dyDescent="0.2">
      <c r="A139" s="234" t="s">
        <v>676</v>
      </c>
      <c r="B139" s="234" t="s">
        <v>618</v>
      </c>
      <c r="C139" s="234" t="s">
        <v>471</v>
      </c>
      <c r="D139" s="234" t="s">
        <v>633</v>
      </c>
      <c r="E139" s="493" t="s">
        <v>634</v>
      </c>
      <c r="F139" s="501">
        <v>1</v>
      </c>
      <c r="G139" s="491">
        <v>2</v>
      </c>
      <c r="H139" s="501">
        <v>3</v>
      </c>
      <c r="I139" s="234" t="s">
        <v>621</v>
      </c>
      <c r="J139" s="234">
        <v>1990</v>
      </c>
      <c r="K139" s="234" t="s">
        <v>1211</v>
      </c>
      <c r="L139" s="234">
        <v>1992</v>
      </c>
      <c r="M139" s="389">
        <v>28</v>
      </c>
      <c r="N139" s="389">
        <v>3.4</v>
      </c>
      <c r="O139" s="29"/>
      <c r="P139" s="237">
        <f>+M139</f>
        <v>28</v>
      </c>
      <c r="Q139" s="234">
        <v>-9999</v>
      </c>
      <c r="R139" s="389"/>
      <c r="S139" s="234"/>
      <c r="T139" s="237">
        <f>+P139/(H139-1)</f>
        <v>14</v>
      </c>
      <c r="U139" s="491">
        <v>-9999</v>
      </c>
      <c r="V139" s="491"/>
      <c r="W139" s="389">
        <v>-9999</v>
      </c>
      <c r="X139" s="491">
        <v>-9999</v>
      </c>
      <c r="Y139" s="491"/>
      <c r="Z139" s="234" t="s">
        <v>622</v>
      </c>
      <c r="AA139" s="515">
        <v>111111</v>
      </c>
      <c r="AB139" s="389">
        <v>0.94</v>
      </c>
      <c r="AC139" s="390">
        <v>2.1600000000000001E-2</v>
      </c>
      <c r="AD139" s="234">
        <v>36</v>
      </c>
      <c r="AE139" s="390" t="s">
        <v>1974</v>
      </c>
      <c r="AF139" s="234">
        <v>3</v>
      </c>
      <c r="AG139" s="234">
        <v>2</v>
      </c>
      <c r="AH139" s="234" t="s">
        <v>479</v>
      </c>
      <c r="AI139" s="234" t="s">
        <v>624</v>
      </c>
      <c r="AJ139" s="234">
        <v>-9999</v>
      </c>
      <c r="AK139" s="234" t="s">
        <v>625</v>
      </c>
      <c r="AL139" s="234" t="s">
        <v>642</v>
      </c>
      <c r="AM139" s="234">
        <v>-9999</v>
      </c>
      <c r="AN139" s="234" t="s">
        <v>480</v>
      </c>
      <c r="AO139" s="234" t="s">
        <v>627</v>
      </c>
      <c r="AP139" s="234" t="s">
        <v>677</v>
      </c>
      <c r="AQ139" s="234" t="s">
        <v>626</v>
      </c>
      <c r="AR139" s="234">
        <f>224*G139</f>
        <v>448</v>
      </c>
      <c r="AS139" s="234" t="s">
        <v>1101</v>
      </c>
      <c r="AT139" s="234" t="s">
        <v>745</v>
      </c>
      <c r="AU139" s="234">
        <v>224</v>
      </c>
      <c r="AV139" s="234" t="s">
        <v>218</v>
      </c>
      <c r="AW139" s="234" t="s">
        <v>746</v>
      </c>
      <c r="AX139" s="234">
        <v>224</v>
      </c>
      <c r="AY139" s="234" t="s">
        <v>219</v>
      </c>
      <c r="AZ139" s="234" t="s">
        <v>746</v>
      </c>
      <c r="BA139" s="234">
        <v>-9999</v>
      </c>
      <c r="BB139" s="234" t="s">
        <v>626</v>
      </c>
      <c r="BC139" s="234" t="s">
        <v>641</v>
      </c>
      <c r="BD139" s="234" t="s">
        <v>642</v>
      </c>
      <c r="BE139" s="234" t="s">
        <v>643</v>
      </c>
      <c r="BF139" s="234">
        <v>-9999</v>
      </c>
      <c r="BG139" s="234">
        <v>-9999</v>
      </c>
      <c r="BH139" s="234">
        <v>-9999</v>
      </c>
      <c r="BI139" s="234" t="s">
        <v>678</v>
      </c>
      <c r="BJ139" s="234">
        <v>-9999</v>
      </c>
      <c r="BK139" s="234">
        <v>-9999</v>
      </c>
      <c r="BL139" s="234">
        <v>-9999</v>
      </c>
      <c r="BM139" s="234">
        <v>-9999</v>
      </c>
      <c r="BN139" s="234">
        <v>-9999</v>
      </c>
      <c r="BO139" s="234">
        <v>-9999</v>
      </c>
      <c r="BP139" s="234">
        <v>-9999</v>
      </c>
      <c r="BQ139" s="234">
        <v>-9999</v>
      </c>
      <c r="BR139" s="491">
        <v>-9999</v>
      </c>
      <c r="BS139" s="491">
        <v>-9999</v>
      </c>
      <c r="BT139" s="491">
        <v>-9999</v>
      </c>
      <c r="BU139" s="491">
        <v>-9999</v>
      </c>
      <c r="BV139" s="491">
        <v>-9999</v>
      </c>
      <c r="BW139" s="491"/>
      <c r="BX139" s="491">
        <v>-9999</v>
      </c>
      <c r="BY139" s="234">
        <v>-9999</v>
      </c>
      <c r="BZ139" s="496">
        <v>-9999</v>
      </c>
      <c r="CA139" s="496" t="s">
        <v>478</v>
      </c>
      <c r="CB139" s="499"/>
      <c r="CC139" s="501">
        <v>1</v>
      </c>
      <c r="CD139" s="491">
        <v>2</v>
      </c>
      <c r="CE139" s="292">
        <v>14</v>
      </c>
      <c r="CF139" s="292">
        <v>-9999</v>
      </c>
      <c r="CG139" s="74">
        <v>3</v>
      </c>
    </row>
    <row r="140" spans="1:1873" s="13" customFormat="1" x14ac:dyDescent="0.2">
      <c r="A140" s="231" t="s">
        <v>676</v>
      </c>
      <c r="B140" s="231" t="s">
        <v>618</v>
      </c>
      <c r="C140" s="231" t="s">
        <v>471</v>
      </c>
      <c r="D140" s="231" t="s">
        <v>633</v>
      </c>
      <c r="E140" s="232" t="s">
        <v>634</v>
      </c>
      <c r="F140" s="222">
        <v>2</v>
      </c>
      <c r="G140" s="233">
        <v>2</v>
      </c>
      <c r="H140" s="222">
        <v>5</v>
      </c>
      <c r="I140" s="231" t="s">
        <v>621</v>
      </c>
      <c r="J140" s="231">
        <v>1990</v>
      </c>
      <c r="K140" s="231" t="s">
        <v>1211</v>
      </c>
      <c r="L140" s="231">
        <v>1994</v>
      </c>
      <c r="M140" s="235">
        <v>31.4</v>
      </c>
      <c r="N140" s="235">
        <v>1.9</v>
      </c>
      <c r="O140" s="18"/>
      <c r="P140" s="236">
        <f>+P139+M140</f>
        <v>59.4</v>
      </c>
      <c r="Q140" s="231">
        <v>-9999</v>
      </c>
      <c r="R140" s="235"/>
      <c r="S140" s="231"/>
      <c r="T140" s="236">
        <f>+P140/(H140-1)</f>
        <v>14.85</v>
      </c>
      <c r="U140" s="233">
        <v>-9999</v>
      </c>
      <c r="V140" s="233"/>
      <c r="W140" s="235">
        <v>-9999</v>
      </c>
      <c r="X140" s="233">
        <v>-9999</v>
      </c>
      <c r="Y140" s="233"/>
      <c r="Z140" s="231" t="s">
        <v>622</v>
      </c>
      <c r="AA140" s="383">
        <v>111111</v>
      </c>
      <c r="AB140" s="235">
        <v>0.61</v>
      </c>
      <c r="AC140" s="231">
        <v>2.1600000000000001E-2</v>
      </c>
      <c r="AD140" s="231">
        <v>36</v>
      </c>
      <c r="AE140" s="390" t="s">
        <v>1974</v>
      </c>
      <c r="AF140" s="231">
        <v>3</v>
      </c>
      <c r="AG140" s="231">
        <v>2</v>
      </c>
      <c r="AH140" s="231" t="s">
        <v>479</v>
      </c>
      <c r="AI140" s="231" t="s">
        <v>624</v>
      </c>
      <c r="AJ140" s="231">
        <v>-9999</v>
      </c>
      <c r="AK140" s="231" t="s">
        <v>625</v>
      </c>
      <c r="AL140" s="231" t="s">
        <v>642</v>
      </c>
      <c r="AM140" s="231">
        <v>-9999</v>
      </c>
      <c r="AN140" s="231" t="s">
        <v>480</v>
      </c>
      <c r="AO140" s="231" t="s">
        <v>627</v>
      </c>
      <c r="AP140" s="231" t="s">
        <v>677</v>
      </c>
      <c r="AQ140" s="231" t="s">
        <v>626</v>
      </c>
      <c r="AR140" s="231">
        <f>224*G140</f>
        <v>448</v>
      </c>
      <c r="AS140" s="231" t="s">
        <v>1101</v>
      </c>
      <c r="AT140" s="231" t="s">
        <v>745</v>
      </c>
      <c r="AU140" s="231">
        <v>0</v>
      </c>
      <c r="AV140" s="231" t="s">
        <v>218</v>
      </c>
      <c r="AW140" s="231" t="s">
        <v>746</v>
      </c>
      <c r="AX140" s="231">
        <v>0</v>
      </c>
      <c r="AY140" s="231" t="s">
        <v>219</v>
      </c>
      <c r="AZ140" s="231">
        <v>-9999</v>
      </c>
      <c r="BA140" s="231">
        <v>-9999</v>
      </c>
      <c r="BB140" s="231" t="s">
        <v>626</v>
      </c>
      <c r="BC140" s="231" t="s">
        <v>641</v>
      </c>
      <c r="BD140" s="231" t="s">
        <v>642</v>
      </c>
      <c r="BE140" s="231" t="s">
        <v>643</v>
      </c>
      <c r="BF140" s="231">
        <v>-9999</v>
      </c>
      <c r="BG140" s="231">
        <v>-9999</v>
      </c>
      <c r="BH140" s="231">
        <v>-9999</v>
      </c>
      <c r="BI140" s="231" t="s">
        <v>678</v>
      </c>
      <c r="BJ140" s="231">
        <v>-9999</v>
      </c>
      <c r="BK140" s="231">
        <v>-9999</v>
      </c>
      <c r="BL140" s="231">
        <v>-9999</v>
      </c>
      <c r="BM140" s="231">
        <v>-9999</v>
      </c>
      <c r="BN140" s="231">
        <v>-9999</v>
      </c>
      <c r="BO140" s="231">
        <v>-9999</v>
      </c>
      <c r="BP140" s="231">
        <v>-9999</v>
      </c>
      <c r="BQ140" s="231">
        <v>-9999</v>
      </c>
      <c r="BR140" s="233">
        <v>-9999</v>
      </c>
      <c r="BS140" s="233">
        <v>-9999</v>
      </c>
      <c r="BT140" s="233">
        <v>-9999</v>
      </c>
      <c r="BU140" s="233">
        <v>-9999</v>
      </c>
      <c r="BV140" s="233">
        <v>-9999</v>
      </c>
      <c r="BW140" s="233"/>
      <c r="BX140" s="233">
        <v>-9999</v>
      </c>
      <c r="BY140" s="231">
        <v>-9999</v>
      </c>
      <c r="BZ140" s="238">
        <v>-9999</v>
      </c>
      <c r="CA140" s="238" t="s">
        <v>478</v>
      </c>
      <c r="CB140" s="239"/>
      <c r="CC140" s="222">
        <v>2</v>
      </c>
      <c r="CD140" s="233">
        <v>2</v>
      </c>
      <c r="CE140" s="393">
        <v>14.85</v>
      </c>
      <c r="CF140" s="99">
        <v>-9999</v>
      </c>
      <c r="CG140" s="62">
        <v>5</v>
      </c>
      <c r="CH140" s="436"/>
    </row>
    <row r="141" spans="1:1873" s="23" customFormat="1" x14ac:dyDescent="0.2">
      <c r="A141" s="234"/>
      <c r="B141" s="234"/>
      <c r="C141" s="234"/>
      <c r="D141" s="234"/>
      <c r="E141" s="493"/>
      <c r="F141" s="501"/>
      <c r="G141" s="491"/>
      <c r="H141" s="501"/>
      <c r="I141" s="234"/>
      <c r="J141" s="234"/>
      <c r="K141" s="234"/>
      <c r="L141" s="234"/>
      <c r="M141" s="389"/>
      <c r="N141" s="389"/>
      <c r="O141" s="29"/>
      <c r="P141" s="237"/>
      <c r="Q141" s="234"/>
      <c r="R141" s="389"/>
      <c r="S141" s="234"/>
      <c r="T141" s="237"/>
      <c r="U141" s="491"/>
      <c r="V141" s="491"/>
      <c r="W141" s="389"/>
      <c r="X141" s="491"/>
      <c r="Y141" s="491"/>
      <c r="Z141" s="234"/>
      <c r="AA141" s="515"/>
      <c r="AB141" s="389"/>
      <c r="AC141" s="389"/>
      <c r="AD141" s="234"/>
      <c r="AE141" s="389"/>
      <c r="AF141" s="234"/>
      <c r="AG141" s="234"/>
      <c r="AH141" s="234"/>
      <c r="AI141" s="234"/>
      <c r="AJ141" s="234"/>
      <c r="AK141" s="234"/>
      <c r="AL141" s="234"/>
      <c r="AM141" s="234"/>
      <c r="AN141" s="234"/>
      <c r="AO141" s="234"/>
      <c r="AP141" s="234"/>
      <c r="AQ141" s="234"/>
      <c r="AR141" s="234"/>
      <c r="AS141" s="234"/>
      <c r="AT141" s="234"/>
      <c r="AU141" s="234"/>
      <c r="AV141" s="234"/>
      <c r="AW141" s="234"/>
      <c r="AX141" s="234"/>
      <c r="AY141" s="234"/>
      <c r="AZ141" s="234"/>
      <c r="BA141" s="234"/>
      <c r="BB141" s="234"/>
      <c r="BC141" s="234"/>
      <c r="BD141" s="234"/>
      <c r="BE141" s="234"/>
      <c r="BF141" s="234"/>
      <c r="BG141" s="234"/>
      <c r="BH141" s="234"/>
      <c r="BI141" s="234"/>
      <c r="BJ141" s="234"/>
      <c r="BK141" s="234"/>
      <c r="BL141" s="234"/>
      <c r="BM141" s="234"/>
      <c r="BN141" s="234"/>
      <c r="BO141" s="234"/>
      <c r="BP141" s="234"/>
      <c r="BQ141" s="234"/>
      <c r="BR141" s="491"/>
      <c r="BS141" s="491">
        <v>-9999</v>
      </c>
      <c r="BT141" s="491"/>
      <c r="BU141" s="491"/>
      <c r="BV141" s="491"/>
      <c r="BW141" s="491"/>
      <c r="BX141" s="491"/>
      <c r="BY141" s="234"/>
      <c r="BZ141" s="496"/>
      <c r="CA141" s="496"/>
      <c r="CB141" s="499"/>
      <c r="CC141" s="501"/>
      <c r="CD141" s="491"/>
      <c r="CE141" s="342" t="s">
        <v>1576</v>
      </c>
      <c r="CF141" s="342" t="s">
        <v>1575</v>
      </c>
      <c r="CG141" s="74"/>
    </row>
    <row r="142" spans="1:1873" s="178" customFormat="1" x14ac:dyDescent="0.2">
      <c r="A142" s="231" t="s">
        <v>676</v>
      </c>
      <c r="B142" s="231" t="s">
        <v>618</v>
      </c>
      <c r="C142" s="231" t="s">
        <v>472</v>
      </c>
      <c r="D142" s="231" t="s">
        <v>633</v>
      </c>
      <c r="E142" s="232" t="s">
        <v>634</v>
      </c>
      <c r="F142" s="222">
        <v>1</v>
      </c>
      <c r="G142" s="233">
        <v>2</v>
      </c>
      <c r="H142" s="222">
        <v>3</v>
      </c>
      <c r="I142" s="231" t="s">
        <v>621</v>
      </c>
      <c r="J142" s="231">
        <v>1990</v>
      </c>
      <c r="K142" s="231" t="s">
        <v>1211</v>
      </c>
      <c r="L142" s="231">
        <v>1992</v>
      </c>
      <c r="M142" s="235">
        <v>34.799999999999997</v>
      </c>
      <c r="N142" s="235">
        <v>1.6</v>
      </c>
      <c r="O142" s="18"/>
      <c r="P142" s="236">
        <f>+M142</f>
        <v>34.799999999999997</v>
      </c>
      <c r="Q142" s="231">
        <v>-9999</v>
      </c>
      <c r="R142" s="235"/>
      <c r="S142" s="231"/>
      <c r="T142" s="236">
        <f>+P142/(H142-1)</f>
        <v>17.399999999999999</v>
      </c>
      <c r="U142" s="233">
        <v>-9999</v>
      </c>
      <c r="V142" s="233"/>
      <c r="W142" s="235">
        <v>-9999</v>
      </c>
      <c r="X142" s="233">
        <v>-9999</v>
      </c>
      <c r="Y142" s="233"/>
      <c r="Z142" s="231" t="s">
        <v>636</v>
      </c>
      <c r="AA142" s="383">
        <v>37037</v>
      </c>
      <c r="AB142" s="235">
        <v>0.85</v>
      </c>
      <c r="AC142" s="231">
        <v>2.1600000000000001E-2</v>
      </c>
      <c r="AD142" s="231">
        <v>36</v>
      </c>
      <c r="AE142" s="392" t="s">
        <v>1975</v>
      </c>
      <c r="AF142" s="231">
        <v>3</v>
      </c>
      <c r="AG142" s="231">
        <v>2</v>
      </c>
      <c r="AH142" s="231" t="s">
        <v>479</v>
      </c>
      <c r="AI142" s="231" t="s">
        <v>624</v>
      </c>
      <c r="AJ142" s="231">
        <v>-9999</v>
      </c>
      <c r="AK142" s="231" t="s">
        <v>625</v>
      </c>
      <c r="AL142" s="231" t="s">
        <v>642</v>
      </c>
      <c r="AM142" s="231">
        <v>-9999</v>
      </c>
      <c r="AN142" s="231" t="s">
        <v>480</v>
      </c>
      <c r="AO142" s="231" t="s">
        <v>627</v>
      </c>
      <c r="AP142" s="231" t="s">
        <v>677</v>
      </c>
      <c r="AQ142" s="231" t="s">
        <v>626</v>
      </c>
      <c r="AR142" s="231">
        <f>224*G142</f>
        <v>448</v>
      </c>
      <c r="AS142" s="231" t="s">
        <v>1101</v>
      </c>
      <c r="AT142" s="231" t="s">
        <v>745</v>
      </c>
      <c r="AU142" s="231">
        <v>224</v>
      </c>
      <c r="AV142" s="231" t="s">
        <v>218</v>
      </c>
      <c r="AW142" s="231" t="s">
        <v>746</v>
      </c>
      <c r="AX142" s="231">
        <v>224</v>
      </c>
      <c r="AY142" s="231" t="s">
        <v>219</v>
      </c>
      <c r="AZ142" s="231" t="s">
        <v>746</v>
      </c>
      <c r="BA142" s="231">
        <v>-9999</v>
      </c>
      <c r="BB142" s="231" t="s">
        <v>626</v>
      </c>
      <c r="BC142" s="231" t="s">
        <v>641</v>
      </c>
      <c r="BD142" s="231" t="s">
        <v>642</v>
      </c>
      <c r="BE142" s="231" t="s">
        <v>643</v>
      </c>
      <c r="BF142" s="231">
        <v>-9999</v>
      </c>
      <c r="BG142" s="231">
        <v>-9999</v>
      </c>
      <c r="BH142" s="231">
        <v>-9999</v>
      </c>
      <c r="BI142" s="231" t="s">
        <v>678</v>
      </c>
      <c r="BJ142" s="231">
        <v>-9999</v>
      </c>
      <c r="BK142" s="231">
        <v>-9999</v>
      </c>
      <c r="BL142" s="231">
        <v>-9999</v>
      </c>
      <c r="BM142" s="231">
        <v>-9999</v>
      </c>
      <c r="BN142" s="231">
        <v>-9999</v>
      </c>
      <c r="BO142" s="231">
        <v>-9999</v>
      </c>
      <c r="BP142" s="231">
        <v>-9999</v>
      </c>
      <c r="BQ142" s="231">
        <v>-9999</v>
      </c>
      <c r="BR142" s="233">
        <v>-9999</v>
      </c>
      <c r="BS142" s="233">
        <v>-9999</v>
      </c>
      <c r="BT142" s="233">
        <v>-9999</v>
      </c>
      <c r="BU142" s="233">
        <v>-9999</v>
      </c>
      <c r="BV142" s="233">
        <v>-9999</v>
      </c>
      <c r="BW142" s="233"/>
      <c r="BX142" s="233">
        <v>-9999</v>
      </c>
      <c r="BY142" s="231">
        <v>-9999</v>
      </c>
      <c r="BZ142" s="238">
        <v>-9999</v>
      </c>
      <c r="CA142" s="238" t="s">
        <v>478</v>
      </c>
      <c r="CB142" s="239"/>
      <c r="CC142" s="222">
        <v>1</v>
      </c>
      <c r="CD142" s="233">
        <v>2</v>
      </c>
      <c r="CE142" s="393">
        <v>17.399999999999999</v>
      </c>
      <c r="CF142" s="99">
        <v>-9999</v>
      </c>
      <c r="CG142" s="180">
        <v>3</v>
      </c>
      <c r="CH142" s="436" t="s">
        <v>1757</v>
      </c>
      <c r="CI142" s="13"/>
      <c r="CJ142" s="13"/>
      <c r="CK142" s="13"/>
      <c r="CL142" s="13"/>
      <c r="CM142" s="13"/>
      <c r="CN142" s="13"/>
      <c r="CO142" s="13"/>
      <c r="CP142" s="13"/>
      <c r="CQ142" s="13"/>
      <c r="CR142" s="13"/>
      <c r="CS142" s="13"/>
      <c r="CT142" s="13"/>
      <c r="CU142" s="13"/>
      <c r="CV142" s="13"/>
      <c r="CW142" s="13"/>
      <c r="CX142" s="13"/>
      <c r="CY142" s="13"/>
      <c r="CZ142" s="13"/>
      <c r="DA142" s="13"/>
      <c r="DB142" s="13"/>
      <c r="DC142" s="13"/>
      <c r="DD142" s="13"/>
      <c r="DE142" s="13"/>
      <c r="DF142" s="13"/>
      <c r="DG142" s="13"/>
      <c r="DH142" s="13"/>
      <c r="DI142" s="13"/>
      <c r="DJ142" s="13"/>
      <c r="DK142" s="13"/>
      <c r="DL142" s="13"/>
      <c r="DM142" s="13"/>
      <c r="DN142" s="13"/>
      <c r="DO142" s="13"/>
      <c r="DP142" s="13"/>
      <c r="DQ142" s="13"/>
      <c r="DR142" s="13"/>
      <c r="DS142" s="13"/>
      <c r="DT142" s="13"/>
      <c r="DU142" s="13"/>
      <c r="DV142" s="13"/>
      <c r="DW142" s="13"/>
      <c r="DX142" s="13"/>
      <c r="DY142" s="13"/>
      <c r="DZ142" s="13"/>
      <c r="EA142" s="13"/>
      <c r="EB142" s="13"/>
      <c r="EC142" s="13"/>
      <c r="ED142" s="13"/>
      <c r="EE142" s="13"/>
      <c r="EF142" s="13"/>
      <c r="EG142" s="13"/>
      <c r="EH142" s="13"/>
      <c r="EI142" s="13"/>
      <c r="EJ142" s="13"/>
      <c r="EK142" s="13"/>
      <c r="EL142" s="13"/>
      <c r="EM142" s="13"/>
      <c r="EN142" s="13"/>
      <c r="EO142" s="13"/>
      <c r="EP142" s="13"/>
      <c r="EQ142" s="13"/>
      <c r="ER142" s="13"/>
      <c r="ES142" s="13"/>
      <c r="ET142" s="13"/>
      <c r="EU142" s="13"/>
      <c r="EV142" s="13"/>
      <c r="EW142" s="13"/>
      <c r="EX142" s="13"/>
      <c r="EY142" s="13"/>
      <c r="EZ142" s="13"/>
      <c r="FA142" s="13"/>
      <c r="FB142" s="13"/>
      <c r="FC142" s="13"/>
      <c r="FD142" s="13"/>
      <c r="FE142" s="13"/>
      <c r="FF142" s="13"/>
      <c r="FG142" s="13"/>
      <c r="FH142" s="13"/>
      <c r="FI142" s="13"/>
      <c r="FJ142" s="13"/>
      <c r="FK142" s="13"/>
      <c r="FL142" s="13"/>
      <c r="FM142" s="13"/>
      <c r="FN142" s="13"/>
      <c r="FO142" s="13"/>
      <c r="FP142" s="13"/>
      <c r="FQ142" s="13"/>
      <c r="FR142" s="13"/>
      <c r="FS142" s="13"/>
      <c r="FT142" s="13"/>
      <c r="FU142" s="13"/>
      <c r="FV142" s="13"/>
      <c r="FW142" s="13"/>
      <c r="FX142" s="13"/>
      <c r="FY142" s="13"/>
      <c r="FZ142" s="13"/>
      <c r="GA142" s="13"/>
      <c r="GB142" s="13"/>
      <c r="GC142" s="13"/>
      <c r="GD142" s="13"/>
      <c r="GE142" s="13"/>
      <c r="GF142" s="13"/>
      <c r="GG142" s="13"/>
      <c r="GH142" s="13"/>
      <c r="GI142" s="13"/>
      <c r="GJ142" s="13"/>
      <c r="GK142" s="13"/>
      <c r="GL142" s="13"/>
      <c r="GM142" s="13"/>
      <c r="GN142" s="13"/>
      <c r="GO142" s="13"/>
      <c r="GP142" s="13"/>
      <c r="GQ142" s="13"/>
      <c r="GR142" s="13"/>
      <c r="GS142" s="13"/>
      <c r="GT142" s="13"/>
      <c r="GU142" s="13"/>
      <c r="GV142" s="13"/>
      <c r="GW142" s="13"/>
      <c r="GX142" s="13"/>
      <c r="GY142" s="13"/>
      <c r="GZ142" s="13"/>
      <c r="HA142" s="13"/>
      <c r="HB142" s="13"/>
      <c r="HC142" s="13"/>
      <c r="HD142" s="13"/>
      <c r="HE142" s="13"/>
      <c r="HF142" s="13"/>
      <c r="HG142" s="13"/>
      <c r="HH142" s="13"/>
      <c r="HI142" s="13"/>
      <c r="HJ142" s="13"/>
      <c r="HK142" s="13"/>
      <c r="HL142" s="13"/>
      <c r="HM142" s="13"/>
      <c r="HN142" s="13"/>
      <c r="HO142" s="13"/>
      <c r="HP142" s="13"/>
      <c r="HQ142" s="13"/>
      <c r="HR142" s="13"/>
      <c r="HS142" s="13"/>
      <c r="HT142" s="13"/>
      <c r="HU142" s="13"/>
      <c r="HV142" s="13"/>
      <c r="HW142" s="13"/>
      <c r="HX142" s="13"/>
      <c r="HY142" s="13"/>
      <c r="HZ142" s="13"/>
      <c r="IA142" s="13"/>
      <c r="IB142" s="13"/>
      <c r="IC142" s="13"/>
      <c r="ID142" s="13"/>
      <c r="IE142" s="13"/>
      <c r="IF142" s="13"/>
      <c r="IG142" s="13"/>
      <c r="IH142" s="13"/>
      <c r="II142" s="13"/>
      <c r="IJ142" s="13"/>
      <c r="IK142" s="13"/>
      <c r="IL142" s="13"/>
      <c r="IM142" s="13"/>
      <c r="IN142" s="13"/>
      <c r="IO142" s="13"/>
      <c r="IP142" s="13"/>
      <c r="IQ142" s="13"/>
      <c r="IR142" s="13"/>
      <c r="IS142" s="13"/>
      <c r="IT142" s="13"/>
      <c r="IU142" s="13"/>
      <c r="IV142" s="13"/>
      <c r="IW142" s="13"/>
      <c r="IX142" s="13"/>
      <c r="IY142" s="13"/>
      <c r="IZ142" s="13"/>
      <c r="JA142" s="13"/>
      <c r="JB142" s="13"/>
      <c r="JC142" s="13"/>
      <c r="JD142" s="13"/>
      <c r="JE142" s="13"/>
      <c r="JF142" s="13"/>
      <c r="JG142" s="13"/>
      <c r="JH142" s="13"/>
      <c r="JI142" s="13"/>
      <c r="JJ142" s="13"/>
      <c r="JK142" s="13"/>
      <c r="JL142" s="13"/>
      <c r="JM142" s="13"/>
      <c r="JN142" s="13"/>
      <c r="JO142" s="13"/>
      <c r="JP142" s="13"/>
      <c r="JQ142" s="13"/>
      <c r="JR142" s="13"/>
      <c r="JS142" s="13"/>
      <c r="JT142" s="13"/>
      <c r="JU142" s="13"/>
      <c r="JV142" s="13"/>
      <c r="JW142" s="13"/>
      <c r="JX142" s="13"/>
      <c r="JY142" s="13"/>
      <c r="JZ142" s="13"/>
      <c r="KA142" s="13"/>
      <c r="KB142" s="13"/>
      <c r="KC142" s="13"/>
      <c r="KD142" s="13"/>
      <c r="KE142" s="13"/>
      <c r="KF142" s="13"/>
      <c r="KG142" s="13"/>
      <c r="KH142" s="13"/>
      <c r="KI142" s="13"/>
      <c r="KJ142" s="13"/>
      <c r="KK142" s="13"/>
      <c r="KL142" s="13"/>
      <c r="KM142" s="13"/>
      <c r="KN142" s="13"/>
      <c r="KO142" s="13"/>
      <c r="KP142" s="13"/>
      <c r="KQ142" s="13"/>
      <c r="KR142" s="13"/>
      <c r="KS142" s="13"/>
      <c r="KT142" s="13"/>
      <c r="KU142" s="13"/>
      <c r="KV142" s="13"/>
      <c r="KW142" s="13"/>
      <c r="KX142" s="13"/>
      <c r="KY142" s="13"/>
      <c r="KZ142" s="13"/>
      <c r="LA142" s="13"/>
      <c r="LB142" s="13"/>
      <c r="LC142" s="13"/>
      <c r="LD142" s="13"/>
      <c r="LE142" s="13"/>
      <c r="LF142" s="13"/>
      <c r="LG142" s="13"/>
      <c r="LH142" s="13"/>
      <c r="LI142" s="13"/>
      <c r="LJ142" s="13"/>
      <c r="LK142" s="13"/>
      <c r="LL142" s="13"/>
      <c r="LM142" s="13"/>
      <c r="LN142" s="13"/>
      <c r="LO142" s="13"/>
      <c r="LP142" s="13"/>
      <c r="LQ142" s="13"/>
      <c r="LR142" s="13"/>
      <c r="LS142" s="13"/>
      <c r="LT142" s="13"/>
      <c r="LU142" s="13"/>
      <c r="LV142" s="13"/>
      <c r="LW142" s="13"/>
      <c r="LX142" s="13"/>
      <c r="LY142" s="13"/>
      <c r="LZ142" s="13"/>
      <c r="MA142" s="13"/>
      <c r="MB142" s="13"/>
      <c r="MC142" s="13"/>
      <c r="MD142" s="13"/>
      <c r="ME142" s="13"/>
      <c r="MF142" s="13"/>
      <c r="MG142" s="13"/>
      <c r="MH142" s="13"/>
      <c r="MI142" s="13"/>
      <c r="MJ142" s="13"/>
      <c r="MK142" s="13"/>
      <c r="ML142" s="13"/>
      <c r="MM142" s="13"/>
      <c r="MN142" s="13"/>
      <c r="MO142" s="13"/>
      <c r="MP142" s="13"/>
      <c r="MQ142" s="13"/>
      <c r="MR142" s="13"/>
      <c r="MS142" s="13"/>
      <c r="MT142" s="13"/>
      <c r="MU142" s="13"/>
      <c r="MV142" s="13"/>
      <c r="MW142" s="13"/>
      <c r="MX142" s="13"/>
      <c r="MY142" s="13"/>
      <c r="MZ142" s="13"/>
      <c r="NA142" s="13"/>
      <c r="NB142" s="13"/>
      <c r="NC142" s="13"/>
      <c r="ND142" s="13"/>
      <c r="NE142" s="13"/>
      <c r="NF142" s="13"/>
      <c r="NG142" s="13"/>
      <c r="NH142" s="13"/>
      <c r="NI142" s="13"/>
      <c r="NJ142" s="13"/>
      <c r="NK142" s="13"/>
      <c r="NL142" s="13"/>
      <c r="NM142" s="13"/>
      <c r="NN142" s="13"/>
      <c r="NO142" s="13"/>
      <c r="NP142" s="13"/>
      <c r="NQ142" s="13"/>
      <c r="NR142" s="13"/>
      <c r="NS142" s="13"/>
      <c r="NT142" s="13"/>
      <c r="NU142" s="13"/>
      <c r="NV142" s="13"/>
      <c r="NW142" s="13"/>
      <c r="NX142" s="13"/>
      <c r="NY142" s="13"/>
      <c r="NZ142" s="13"/>
      <c r="OA142" s="13"/>
      <c r="OB142" s="13"/>
      <c r="OC142" s="13"/>
      <c r="OD142" s="13"/>
      <c r="OE142" s="13"/>
      <c r="OF142" s="13"/>
      <c r="OG142" s="13"/>
      <c r="OH142" s="13"/>
      <c r="OI142" s="13"/>
      <c r="OJ142" s="13"/>
      <c r="OK142" s="13"/>
      <c r="OL142" s="13"/>
      <c r="OM142" s="13"/>
      <c r="ON142" s="13"/>
      <c r="OO142" s="13"/>
      <c r="OP142" s="13"/>
      <c r="OQ142" s="13"/>
      <c r="OR142" s="13"/>
      <c r="OS142" s="13"/>
      <c r="OT142" s="13"/>
      <c r="OU142" s="13"/>
      <c r="OV142" s="13"/>
      <c r="OW142" s="13"/>
      <c r="OX142" s="13"/>
      <c r="OY142" s="13"/>
      <c r="OZ142" s="13"/>
      <c r="PA142" s="13"/>
      <c r="PB142" s="13"/>
      <c r="PC142" s="13"/>
      <c r="PD142" s="13"/>
      <c r="PE142" s="13"/>
      <c r="PF142" s="13"/>
      <c r="PG142" s="13"/>
      <c r="PH142" s="13"/>
      <c r="PI142" s="13"/>
      <c r="PJ142" s="13"/>
      <c r="PK142" s="13"/>
      <c r="PL142" s="13"/>
      <c r="PM142" s="13"/>
      <c r="PN142" s="13"/>
      <c r="PO142" s="13"/>
      <c r="PP142" s="13"/>
      <c r="PQ142" s="13"/>
      <c r="PR142" s="13"/>
      <c r="PS142" s="13"/>
      <c r="PT142" s="13"/>
      <c r="PU142" s="13"/>
      <c r="PV142" s="13"/>
      <c r="PW142" s="13"/>
      <c r="PX142" s="13"/>
      <c r="PY142" s="13"/>
      <c r="PZ142" s="13"/>
      <c r="QA142" s="13"/>
      <c r="QB142" s="13"/>
      <c r="QC142" s="13"/>
      <c r="QD142" s="13"/>
      <c r="QE142" s="13"/>
      <c r="QF142" s="13"/>
      <c r="QG142" s="13"/>
      <c r="QH142" s="13"/>
      <c r="QI142" s="13"/>
      <c r="QJ142" s="13"/>
      <c r="QK142" s="13"/>
      <c r="QL142" s="13"/>
      <c r="QM142" s="13"/>
      <c r="QN142" s="13"/>
      <c r="QO142" s="13"/>
      <c r="QP142" s="13"/>
      <c r="QQ142" s="13"/>
      <c r="QR142" s="13"/>
      <c r="QS142" s="13"/>
      <c r="QT142" s="13"/>
      <c r="QU142" s="13"/>
      <c r="QV142" s="13"/>
      <c r="QW142" s="13"/>
      <c r="QX142" s="13"/>
      <c r="QY142" s="13"/>
      <c r="QZ142" s="13"/>
      <c r="RA142" s="13"/>
      <c r="RB142" s="13"/>
      <c r="RC142" s="13"/>
      <c r="RD142" s="13"/>
      <c r="RE142" s="13"/>
      <c r="RF142" s="13"/>
      <c r="RG142" s="13"/>
      <c r="RH142" s="13"/>
      <c r="RI142" s="13"/>
      <c r="RJ142" s="13"/>
      <c r="RK142" s="13"/>
      <c r="RL142" s="13"/>
      <c r="RM142" s="13"/>
      <c r="RN142" s="13"/>
      <c r="RO142" s="13"/>
      <c r="RP142" s="13"/>
      <c r="RQ142" s="13"/>
      <c r="RR142" s="13"/>
      <c r="RS142" s="13"/>
      <c r="RT142" s="13"/>
      <c r="RU142" s="13"/>
      <c r="RV142" s="13"/>
      <c r="RW142" s="13"/>
      <c r="RX142" s="13"/>
      <c r="RY142" s="13"/>
      <c r="RZ142" s="13"/>
      <c r="SA142" s="13"/>
      <c r="SB142" s="13"/>
      <c r="SC142" s="13"/>
      <c r="SD142" s="13"/>
      <c r="SE142" s="13"/>
      <c r="SF142" s="13"/>
      <c r="SG142" s="13"/>
      <c r="SH142" s="13"/>
      <c r="SI142" s="13"/>
      <c r="SJ142" s="13"/>
      <c r="SK142" s="13"/>
      <c r="SL142" s="13"/>
      <c r="SM142" s="13"/>
      <c r="SN142" s="13"/>
      <c r="SO142" s="13"/>
      <c r="SP142" s="13"/>
      <c r="SQ142" s="13"/>
      <c r="SR142" s="13"/>
      <c r="SS142" s="13"/>
      <c r="ST142" s="13"/>
      <c r="SU142" s="13"/>
      <c r="SV142" s="13"/>
      <c r="SW142" s="13"/>
      <c r="SX142" s="13"/>
      <c r="SY142" s="13"/>
      <c r="SZ142" s="13"/>
      <c r="TA142" s="13"/>
      <c r="TB142" s="13"/>
      <c r="TC142" s="13"/>
      <c r="TD142" s="13"/>
      <c r="TE142" s="13"/>
      <c r="TF142" s="13"/>
      <c r="TG142" s="13"/>
      <c r="TH142" s="13"/>
      <c r="TI142" s="13"/>
      <c r="TJ142" s="13"/>
      <c r="TK142" s="13"/>
      <c r="TL142" s="13"/>
      <c r="TM142" s="13"/>
      <c r="TN142" s="13"/>
      <c r="TO142" s="13"/>
      <c r="TP142" s="13"/>
      <c r="TQ142" s="13"/>
      <c r="TR142" s="13"/>
      <c r="TS142" s="13"/>
      <c r="TT142" s="13"/>
      <c r="TU142" s="13"/>
      <c r="TV142" s="13"/>
      <c r="TW142" s="13"/>
      <c r="TX142" s="13"/>
      <c r="TY142" s="13"/>
      <c r="TZ142" s="13"/>
      <c r="UA142" s="13"/>
      <c r="UB142" s="13"/>
      <c r="UC142" s="13"/>
      <c r="UD142" s="13"/>
      <c r="UE142" s="13"/>
      <c r="UF142" s="13"/>
      <c r="UG142" s="13"/>
      <c r="UH142" s="13"/>
      <c r="UI142" s="13"/>
      <c r="UJ142" s="13"/>
      <c r="UK142" s="13"/>
      <c r="UL142" s="13"/>
      <c r="UM142" s="13"/>
      <c r="UN142" s="13"/>
      <c r="UO142" s="13"/>
      <c r="UP142" s="13"/>
      <c r="UQ142" s="13"/>
      <c r="UR142" s="13"/>
      <c r="US142" s="13"/>
      <c r="UT142" s="13"/>
      <c r="UU142" s="13"/>
      <c r="UV142" s="13"/>
      <c r="UW142" s="13"/>
      <c r="UX142" s="13"/>
      <c r="UY142" s="13"/>
      <c r="UZ142" s="13"/>
      <c r="VA142" s="13"/>
      <c r="VB142" s="13"/>
      <c r="VC142" s="13"/>
      <c r="VD142" s="13"/>
      <c r="VE142" s="13"/>
      <c r="VF142" s="13"/>
      <c r="VG142" s="13"/>
      <c r="VH142" s="13"/>
      <c r="VI142" s="13"/>
      <c r="VJ142" s="13"/>
      <c r="VK142" s="13"/>
      <c r="VL142" s="13"/>
      <c r="VM142" s="13"/>
      <c r="VN142" s="13"/>
      <c r="VO142" s="13"/>
      <c r="VP142" s="13"/>
      <c r="VQ142" s="13"/>
      <c r="VR142" s="13"/>
      <c r="VS142" s="13"/>
      <c r="VT142" s="13"/>
      <c r="VU142" s="13"/>
      <c r="VV142" s="13"/>
      <c r="VW142" s="13"/>
      <c r="VX142" s="13"/>
      <c r="VY142" s="13"/>
      <c r="VZ142" s="13"/>
      <c r="WA142" s="13"/>
      <c r="WB142" s="13"/>
      <c r="WC142" s="13"/>
      <c r="WD142" s="13"/>
      <c r="WE142" s="13"/>
      <c r="WF142" s="13"/>
      <c r="WG142" s="13"/>
      <c r="WH142" s="13"/>
      <c r="WI142" s="13"/>
      <c r="WJ142" s="13"/>
      <c r="WK142" s="13"/>
      <c r="WL142" s="13"/>
      <c r="WM142" s="13"/>
      <c r="WN142" s="13"/>
      <c r="WO142" s="13"/>
      <c r="WP142" s="13"/>
      <c r="WQ142" s="13"/>
      <c r="WR142" s="13"/>
      <c r="WS142" s="13"/>
      <c r="WT142" s="13"/>
      <c r="WU142" s="13"/>
      <c r="WV142" s="13"/>
      <c r="WW142" s="13"/>
      <c r="WX142" s="13"/>
      <c r="WY142" s="13"/>
      <c r="WZ142" s="13"/>
      <c r="XA142" s="13"/>
      <c r="XB142" s="13"/>
      <c r="XC142" s="13"/>
      <c r="XD142" s="13"/>
      <c r="XE142" s="13"/>
      <c r="XF142" s="13"/>
      <c r="XG142" s="13"/>
      <c r="XH142" s="13"/>
      <c r="XI142" s="13"/>
      <c r="XJ142" s="13"/>
      <c r="XK142" s="13"/>
      <c r="XL142" s="13"/>
      <c r="XM142" s="13"/>
      <c r="XN142" s="13"/>
      <c r="XO142" s="13"/>
      <c r="XP142" s="13"/>
      <c r="XQ142" s="13"/>
      <c r="XR142" s="13"/>
      <c r="XS142" s="13"/>
      <c r="XT142" s="13"/>
      <c r="XU142" s="13"/>
      <c r="XV142" s="13"/>
      <c r="XW142" s="13"/>
      <c r="XX142" s="13"/>
      <c r="XY142" s="13"/>
      <c r="XZ142" s="13"/>
      <c r="YA142" s="13"/>
      <c r="YB142" s="13"/>
      <c r="YC142" s="13"/>
      <c r="YD142" s="13"/>
      <c r="YE142" s="13"/>
      <c r="YF142" s="13"/>
      <c r="YG142" s="13"/>
      <c r="YH142" s="13"/>
      <c r="YI142" s="13"/>
      <c r="YJ142" s="13"/>
      <c r="YK142" s="13"/>
      <c r="YL142" s="13"/>
      <c r="YM142" s="13"/>
      <c r="YN142" s="13"/>
      <c r="YO142" s="13"/>
      <c r="YP142" s="13"/>
      <c r="YQ142" s="13"/>
      <c r="YR142" s="13"/>
      <c r="YS142" s="13"/>
      <c r="YT142" s="13"/>
      <c r="YU142" s="13"/>
      <c r="YV142" s="13"/>
      <c r="YW142" s="13"/>
      <c r="YX142" s="13"/>
      <c r="YY142" s="13"/>
      <c r="YZ142" s="13"/>
      <c r="ZA142" s="13"/>
      <c r="ZB142" s="13"/>
      <c r="ZC142" s="13"/>
      <c r="ZD142" s="13"/>
      <c r="ZE142" s="13"/>
      <c r="ZF142" s="13"/>
      <c r="ZG142" s="13"/>
      <c r="ZH142" s="13"/>
      <c r="ZI142" s="13"/>
      <c r="ZJ142" s="13"/>
      <c r="ZK142" s="13"/>
      <c r="ZL142" s="13"/>
      <c r="ZM142" s="13"/>
      <c r="ZN142" s="13"/>
      <c r="ZO142" s="13"/>
      <c r="ZP142" s="13"/>
      <c r="ZQ142" s="13"/>
      <c r="ZR142" s="13"/>
      <c r="ZS142" s="13"/>
      <c r="ZT142" s="13"/>
      <c r="ZU142" s="13"/>
      <c r="ZV142" s="13"/>
      <c r="ZW142" s="13"/>
      <c r="ZX142" s="13"/>
      <c r="ZY142" s="13"/>
      <c r="ZZ142" s="13"/>
      <c r="AAA142" s="13"/>
      <c r="AAB142" s="13"/>
      <c r="AAC142" s="13"/>
      <c r="AAD142" s="13"/>
      <c r="AAE142" s="13"/>
      <c r="AAF142" s="13"/>
      <c r="AAG142" s="13"/>
      <c r="AAH142" s="13"/>
      <c r="AAI142" s="13"/>
      <c r="AAJ142" s="13"/>
      <c r="AAK142" s="13"/>
      <c r="AAL142" s="13"/>
      <c r="AAM142" s="13"/>
      <c r="AAN142" s="13"/>
      <c r="AAO142" s="13"/>
      <c r="AAP142" s="13"/>
      <c r="AAQ142" s="13"/>
      <c r="AAR142" s="13"/>
      <c r="AAS142" s="13"/>
      <c r="AAT142" s="13"/>
      <c r="AAU142" s="13"/>
      <c r="AAV142" s="13"/>
      <c r="AAW142" s="13"/>
      <c r="AAX142" s="13"/>
      <c r="AAY142" s="13"/>
      <c r="AAZ142" s="13"/>
      <c r="ABA142" s="13"/>
      <c r="ABB142" s="13"/>
      <c r="ABC142" s="13"/>
      <c r="ABD142" s="13"/>
      <c r="ABE142" s="13"/>
      <c r="ABF142" s="13"/>
      <c r="ABG142" s="13"/>
      <c r="ABH142" s="13"/>
      <c r="ABI142" s="13"/>
      <c r="ABJ142" s="13"/>
      <c r="ABK142" s="13"/>
      <c r="ABL142" s="13"/>
      <c r="ABM142" s="13"/>
      <c r="ABN142" s="13"/>
      <c r="ABO142" s="13"/>
      <c r="ABP142" s="13"/>
      <c r="ABQ142" s="13"/>
      <c r="ABR142" s="13"/>
      <c r="ABS142" s="13"/>
      <c r="ABT142" s="13"/>
      <c r="ABU142" s="13"/>
      <c r="ABV142" s="13"/>
      <c r="ABW142" s="13"/>
      <c r="ABX142" s="13"/>
      <c r="ABY142" s="13"/>
      <c r="ABZ142" s="13"/>
      <c r="ACA142" s="13"/>
      <c r="ACB142" s="13"/>
      <c r="ACC142" s="13"/>
      <c r="ACD142" s="13"/>
      <c r="ACE142" s="13"/>
      <c r="ACF142" s="13"/>
      <c r="ACG142" s="13"/>
      <c r="ACH142" s="13"/>
      <c r="ACI142" s="13"/>
      <c r="ACJ142" s="13"/>
      <c r="ACK142" s="13"/>
      <c r="ACL142" s="13"/>
      <c r="ACM142" s="13"/>
      <c r="ACN142" s="13"/>
      <c r="ACO142" s="13"/>
      <c r="ACP142" s="13"/>
      <c r="ACQ142" s="13"/>
      <c r="ACR142" s="13"/>
      <c r="ACS142" s="13"/>
      <c r="ACT142" s="13"/>
      <c r="ACU142" s="13"/>
      <c r="ACV142" s="13"/>
      <c r="ACW142" s="13"/>
      <c r="ACX142" s="13"/>
      <c r="ACY142" s="13"/>
      <c r="ACZ142" s="13"/>
      <c r="ADA142" s="13"/>
      <c r="ADB142" s="13"/>
      <c r="ADC142" s="13"/>
      <c r="ADD142" s="13"/>
      <c r="ADE142" s="13"/>
      <c r="ADF142" s="13"/>
      <c r="ADG142" s="13"/>
      <c r="ADH142" s="13"/>
      <c r="ADI142" s="13"/>
      <c r="ADJ142" s="13"/>
      <c r="ADK142" s="13"/>
      <c r="ADL142" s="13"/>
      <c r="ADM142" s="13"/>
      <c r="ADN142" s="13"/>
      <c r="ADO142" s="13"/>
      <c r="ADP142" s="13"/>
      <c r="ADQ142" s="13"/>
      <c r="ADR142" s="13"/>
      <c r="ADS142" s="13"/>
      <c r="ADT142" s="13"/>
      <c r="ADU142" s="13"/>
      <c r="ADV142" s="13"/>
      <c r="ADW142" s="13"/>
      <c r="ADX142" s="13"/>
      <c r="ADY142" s="13"/>
      <c r="ADZ142" s="13"/>
      <c r="AEA142" s="13"/>
      <c r="AEB142" s="13"/>
      <c r="AEC142" s="13"/>
      <c r="AED142" s="13"/>
      <c r="AEE142" s="13"/>
      <c r="AEF142" s="13"/>
      <c r="AEG142" s="13"/>
      <c r="AEH142" s="13"/>
      <c r="AEI142" s="13"/>
      <c r="AEJ142" s="13"/>
      <c r="AEK142" s="13"/>
      <c r="AEL142" s="13"/>
      <c r="AEM142" s="13"/>
      <c r="AEN142" s="13"/>
      <c r="AEO142" s="13"/>
      <c r="AEP142" s="13"/>
      <c r="AEQ142" s="13"/>
      <c r="AER142" s="13"/>
      <c r="AES142" s="13"/>
      <c r="AET142" s="13"/>
      <c r="AEU142" s="13"/>
      <c r="AEV142" s="13"/>
      <c r="AEW142" s="13"/>
      <c r="AEX142" s="13"/>
      <c r="AEY142" s="13"/>
      <c r="AEZ142" s="13"/>
      <c r="AFA142" s="13"/>
      <c r="AFB142" s="13"/>
      <c r="AFC142" s="13"/>
      <c r="AFD142" s="13"/>
      <c r="AFE142" s="13"/>
      <c r="AFF142" s="13"/>
      <c r="AFG142" s="13"/>
      <c r="AFH142" s="13"/>
      <c r="AFI142" s="13"/>
      <c r="AFJ142" s="13"/>
      <c r="AFK142" s="13"/>
      <c r="AFL142" s="13"/>
      <c r="AFM142" s="13"/>
      <c r="AFN142" s="13"/>
      <c r="AFO142" s="13"/>
      <c r="AFP142" s="13"/>
      <c r="AFQ142" s="13"/>
      <c r="AFR142" s="13"/>
      <c r="AFS142" s="13"/>
      <c r="AFT142" s="13"/>
      <c r="AFU142" s="13"/>
      <c r="AFV142" s="13"/>
      <c r="AFW142" s="13"/>
      <c r="AFX142" s="13"/>
      <c r="AFY142" s="13"/>
      <c r="AFZ142" s="13"/>
      <c r="AGA142" s="13"/>
      <c r="AGB142" s="13"/>
      <c r="AGC142" s="13"/>
      <c r="AGD142" s="13"/>
      <c r="AGE142" s="13"/>
      <c r="AGF142" s="13"/>
      <c r="AGG142" s="13"/>
      <c r="AGH142" s="13"/>
      <c r="AGI142" s="13"/>
      <c r="AGJ142" s="13"/>
      <c r="AGK142" s="13"/>
      <c r="AGL142" s="13"/>
      <c r="AGM142" s="13"/>
      <c r="AGN142" s="13"/>
      <c r="AGO142" s="13"/>
      <c r="AGP142" s="13"/>
      <c r="AGQ142" s="13"/>
      <c r="AGR142" s="13"/>
      <c r="AGS142" s="13"/>
      <c r="AGT142" s="13"/>
      <c r="AGU142" s="13"/>
      <c r="AGV142" s="13"/>
      <c r="AGW142" s="13"/>
      <c r="AGX142" s="13"/>
      <c r="AGY142" s="13"/>
      <c r="AGZ142" s="13"/>
      <c r="AHA142" s="13"/>
      <c r="AHB142" s="13"/>
      <c r="AHC142" s="13"/>
      <c r="AHD142" s="13"/>
      <c r="AHE142" s="13"/>
      <c r="AHF142" s="13"/>
      <c r="AHG142" s="13"/>
      <c r="AHH142" s="13"/>
      <c r="AHI142" s="13"/>
      <c r="AHJ142" s="13"/>
      <c r="AHK142" s="13"/>
      <c r="AHL142" s="13"/>
      <c r="AHM142" s="13"/>
      <c r="AHN142" s="13"/>
      <c r="AHO142" s="13"/>
      <c r="AHP142" s="13"/>
      <c r="AHQ142" s="13"/>
      <c r="AHR142" s="13"/>
      <c r="AHS142" s="13"/>
      <c r="AHT142" s="13"/>
      <c r="AHU142" s="13"/>
      <c r="AHV142" s="13"/>
      <c r="AHW142" s="13"/>
      <c r="AHX142" s="13"/>
      <c r="AHY142" s="13"/>
      <c r="AHZ142" s="13"/>
      <c r="AIA142" s="13"/>
      <c r="AIB142" s="13"/>
      <c r="AIC142" s="13"/>
      <c r="AID142" s="13"/>
      <c r="AIE142" s="13"/>
      <c r="AIF142" s="13"/>
      <c r="AIG142" s="13"/>
      <c r="AIH142" s="13"/>
      <c r="AII142" s="13"/>
      <c r="AIJ142" s="13"/>
      <c r="AIK142" s="13"/>
      <c r="AIL142" s="13"/>
      <c r="AIM142" s="13"/>
      <c r="AIN142" s="13"/>
      <c r="AIO142" s="13"/>
      <c r="AIP142" s="13"/>
      <c r="AIQ142" s="13"/>
      <c r="AIR142" s="13"/>
      <c r="AIS142" s="13"/>
      <c r="AIT142" s="13"/>
      <c r="AIU142" s="13"/>
      <c r="AIV142" s="13"/>
      <c r="AIW142" s="13"/>
      <c r="AIX142" s="13"/>
      <c r="AIY142" s="13"/>
      <c r="AIZ142" s="13"/>
      <c r="AJA142" s="13"/>
      <c r="AJB142" s="13"/>
      <c r="AJC142" s="13"/>
      <c r="AJD142" s="13"/>
      <c r="AJE142" s="13"/>
      <c r="AJF142" s="13"/>
      <c r="AJG142" s="13"/>
      <c r="AJH142" s="13"/>
      <c r="AJI142" s="13"/>
      <c r="AJJ142" s="13"/>
      <c r="AJK142" s="13"/>
      <c r="AJL142" s="13"/>
      <c r="AJM142" s="13"/>
      <c r="AJN142" s="13"/>
      <c r="AJO142" s="13"/>
      <c r="AJP142" s="13"/>
      <c r="AJQ142" s="13"/>
      <c r="AJR142" s="13"/>
      <c r="AJS142" s="13"/>
      <c r="AJT142" s="13"/>
      <c r="AJU142" s="13"/>
      <c r="AJV142" s="13"/>
      <c r="AJW142" s="13"/>
      <c r="AJX142" s="13"/>
      <c r="AJY142" s="13"/>
      <c r="AJZ142" s="13"/>
      <c r="AKA142" s="13"/>
      <c r="AKB142" s="13"/>
      <c r="AKC142" s="13"/>
      <c r="AKD142" s="13"/>
      <c r="AKE142" s="13"/>
      <c r="AKF142" s="13"/>
      <c r="AKG142" s="13"/>
      <c r="AKH142" s="13"/>
      <c r="AKI142" s="13"/>
      <c r="AKJ142" s="13"/>
      <c r="AKK142" s="13"/>
      <c r="AKL142" s="13"/>
      <c r="AKM142" s="13"/>
      <c r="AKN142" s="13"/>
      <c r="AKO142" s="13"/>
      <c r="AKP142" s="13"/>
      <c r="AKQ142" s="13"/>
      <c r="AKR142" s="13"/>
      <c r="AKS142" s="13"/>
      <c r="AKT142" s="13"/>
      <c r="AKU142" s="13"/>
      <c r="AKV142" s="13"/>
      <c r="AKW142" s="13"/>
      <c r="AKX142" s="13"/>
      <c r="AKY142" s="13"/>
      <c r="AKZ142" s="13"/>
      <c r="ALA142" s="13"/>
      <c r="ALB142" s="13"/>
      <c r="ALC142" s="13"/>
      <c r="ALD142" s="13"/>
      <c r="ALE142" s="13"/>
      <c r="ALF142" s="13"/>
      <c r="ALG142" s="13"/>
      <c r="ALH142" s="13"/>
      <c r="ALI142" s="13"/>
      <c r="ALJ142" s="13"/>
      <c r="ALK142" s="13"/>
      <c r="ALL142" s="13"/>
      <c r="ALM142" s="13"/>
      <c r="ALN142" s="13"/>
      <c r="ALO142" s="13"/>
      <c r="ALP142" s="13"/>
      <c r="ALQ142" s="13"/>
      <c r="ALR142" s="13"/>
      <c r="ALS142" s="13"/>
      <c r="ALT142" s="13"/>
      <c r="ALU142" s="13"/>
      <c r="ALV142" s="13"/>
      <c r="ALW142" s="13"/>
      <c r="ALX142" s="13"/>
      <c r="ALY142" s="13"/>
      <c r="ALZ142" s="13"/>
      <c r="AMA142" s="13"/>
      <c r="AMB142" s="13"/>
      <c r="AMC142" s="13"/>
      <c r="AMD142" s="13"/>
      <c r="AME142" s="13"/>
      <c r="AMF142" s="13"/>
      <c r="AMG142" s="13"/>
      <c r="AMH142" s="13"/>
      <c r="AMI142" s="13"/>
      <c r="AMJ142" s="13"/>
      <c r="AMK142" s="13"/>
      <c r="AML142" s="13"/>
      <c r="AMM142" s="13"/>
      <c r="AMN142" s="13"/>
      <c r="AMO142" s="13"/>
      <c r="AMP142" s="13"/>
      <c r="AMQ142" s="13"/>
      <c r="AMR142" s="13"/>
      <c r="AMS142" s="13"/>
      <c r="AMT142" s="13"/>
      <c r="AMU142" s="13"/>
      <c r="AMV142" s="13"/>
      <c r="AMW142" s="13"/>
      <c r="AMX142" s="13"/>
      <c r="AMY142" s="13"/>
      <c r="AMZ142" s="13"/>
      <c r="ANA142" s="13"/>
      <c r="ANB142" s="13"/>
      <c r="ANC142" s="13"/>
      <c r="AND142" s="13"/>
      <c r="ANE142" s="13"/>
      <c r="ANF142" s="13"/>
      <c r="ANG142" s="13"/>
      <c r="ANH142" s="13"/>
      <c r="ANI142" s="13"/>
      <c r="ANJ142" s="13"/>
      <c r="ANK142" s="13"/>
      <c r="ANL142" s="13"/>
      <c r="ANM142" s="13"/>
      <c r="ANN142" s="13"/>
      <c r="ANO142" s="13"/>
      <c r="ANP142" s="13"/>
      <c r="ANQ142" s="13"/>
      <c r="ANR142" s="13"/>
      <c r="ANS142" s="13"/>
      <c r="ANT142" s="13"/>
      <c r="ANU142" s="13"/>
      <c r="ANV142" s="13"/>
      <c r="ANW142" s="13"/>
      <c r="ANX142" s="13"/>
      <c r="ANY142" s="13"/>
      <c r="ANZ142" s="13"/>
      <c r="AOA142" s="13"/>
      <c r="AOB142" s="13"/>
      <c r="AOC142" s="13"/>
      <c r="AOD142" s="13"/>
      <c r="AOE142" s="13"/>
      <c r="AOF142" s="13"/>
      <c r="AOG142" s="13"/>
      <c r="AOH142" s="13"/>
      <c r="AOI142" s="13"/>
      <c r="AOJ142" s="13"/>
      <c r="AOK142" s="13"/>
      <c r="AOL142" s="13"/>
      <c r="AOM142" s="13"/>
      <c r="AON142" s="13"/>
      <c r="AOO142" s="13"/>
      <c r="AOP142" s="13"/>
      <c r="AOQ142" s="13"/>
      <c r="AOR142" s="13"/>
      <c r="AOS142" s="13"/>
      <c r="AOT142" s="13"/>
      <c r="AOU142" s="13"/>
      <c r="AOV142" s="13"/>
      <c r="AOW142" s="13"/>
      <c r="AOX142" s="13"/>
      <c r="AOY142" s="13"/>
      <c r="AOZ142" s="13"/>
      <c r="APA142" s="13"/>
      <c r="APB142" s="13"/>
      <c r="APC142" s="13"/>
      <c r="APD142" s="13"/>
      <c r="APE142" s="13"/>
      <c r="APF142" s="13"/>
      <c r="APG142" s="13"/>
      <c r="APH142" s="13"/>
      <c r="API142" s="13"/>
      <c r="APJ142" s="13"/>
      <c r="APK142" s="13"/>
      <c r="APL142" s="13"/>
      <c r="APM142" s="13"/>
      <c r="APN142" s="13"/>
      <c r="APO142" s="13"/>
      <c r="APP142" s="13"/>
      <c r="APQ142" s="13"/>
      <c r="APR142" s="13"/>
      <c r="APS142" s="13"/>
      <c r="APT142" s="13"/>
      <c r="APU142" s="13"/>
      <c r="APV142" s="13"/>
      <c r="APW142" s="13"/>
      <c r="APX142" s="13"/>
      <c r="APY142" s="13"/>
      <c r="APZ142" s="13"/>
      <c r="AQA142" s="13"/>
      <c r="AQB142" s="13"/>
      <c r="AQC142" s="13"/>
      <c r="AQD142" s="13"/>
      <c r="AQE142" s="13"/>
      <c r="AQF142" s="13"/>
      <c r="AQG142" s="13"/>
      <c r="AQH142" s="13"/>
      <c r="AQI142" s="13"/>
      <c r="AQJ142" s="13"/>
      <c r="AQK142" s="13"/>
      <c r="AQL142" s="13"/>
      <c r="AQM142" s="13"/>
      <c r="AQN142" s="13"/>
      <c r="AQO142" s="13"/>
      <c r="AQP142" s="13"/>
      <c r="AQQ142" s="13"/>
      <c r="AQR142" s="13"/>
      <c r="AQS142" s="13"/>
      <c r="AQT142" s="13"/>
      <c r="AQU142" s="13"/>
      <c r="AQV142" s="13"/>
      <c r="AQW142" s="13"/>
      <c r="AQX142" s="13"/>
      <c r="AQY142" s="13"/>
      <c r="AQZ142" s="13"/>
      <c r="ARA142" s="13"/>
      <c r="ARB142" s="13"/>
      <c r="ARC142" s="13"/>
      <c r="ARD142" s="13"/>
      <c r="ARE142" s="13"/>
      <c r="ARF142" s="13"/>
      <c r="ARG142" s="13"/>
      <c r="ARH142" s="13"/>
      <c r="ARI142" s="13"/>
      <c r="ARJ142" s="13"/>
      <c r="ARK142" s="13"/>
      <c r="ARL142" s="13"/>
      <c r="ARM142" s="13"/>
      <c r="ARN142" s="13"/>
      <c r="ARO142" s="13"/>
      <c r="ARP142" s="13"/>
      <c r="ARQ142" s="13"/>
      <c r="ARR142" s="13"/>
      <c r="ARS142" s="13"/>
      <c r="ART142" s="13"/>
      <c r="ARU142" s="13"/>
      <c r="ARV142" s="13"/>
      <c r="ARW142" s="13"/>
      <c r="ARX142" s="13"/>
      <c r="ARY142" s="13"/>
      <c r="ARZ142" s="13"/>
      <c r="ASA142" s="13"/>
      <c r="ASB142" s="13"/>
      <c r="ASC142" s="13"/>
      <c r="ASD142" s="13"/>
      <c r="ASE142" s="13"/>
      <c r="ASF142" s="13"/>
      <c r="ASG142" s="13"/>
      <c r="ASH142" s="13"/>
      <c r="ASI142" s="13"/>
      <c r="ASJ142" s="13"/>
      <c r="ASK142" s="13"/>
      <c r="ASL142" s="13"/>
      <c r="ASM142" s="13"/>
      <c r="ASN142" s="13"/>
      <c r="ASO142" s="13"/>
      <c r="ASP142" s="13"/>
      <c r="ASQ142" s="13"/>
      <c r="ASR142" s="13"/>
      <c r="ASS142" s="13"/>
      <c r="AST142" s="13"/>
      <c r="ASU142" s="13"/>
      <c r="ASV142" s="13"/>
      <c r="ASW142" s="13"/>
      <c r="ASX142" s="13"/>
      <c r="ASY142" s="13"/>
      <c r="ASZ142" s="13"/>
      <c r="ATA142" s="13"/>
      <c r="ATB142" s="13"/>
      <c r="ATC142" s="13"/>
      <c r="ATD142" s="13"/>
      <c r="ATE142" s="13"/>
      <c r="ATF142" s="13"/>
      <c r="ATG142" s="13"/>
      <c r="ATH142" s="13"/>
      <c r="ATI142" s="13"/>
      <c r="ATJ142" s="13"/>
      <c r="ATK142" s="13"/>
      <c r="ATL142" s="13"/>
      <c r="ATM142" s="13"/>
      <c r="ATN142" s="13"/>
      <c r="ATO142" s="13"/>
      <c r="ATP142" s="13"/>
      <c r="ATQ142" s="13"/>
      <c r="ATR142" s="13"/>
      <c r="ATS142" s="13"/>
      <c r="ATT142" s="13"/>
      <c r="ATU142" s="13"/>
      <c r="ATV142" s="13"/>
      <c r="ATW142" s="13"/>
      <c r="ATX142" s="13"/>
      <c r="ATY142" s="13"/>
      <c r="ATZ142" s="13"/>
      <c r="AUA142" s="13"/>
      <c r="AUB142" s="13"/>
      <c r="AUC142" s="13"/>
      <c r="AUD142" s="13"/>
      <c r="AUE142" s="13"/>
      <c r="AUF142" s="13"/>
      <c r="AUG142" s="13"/>
      <c r="AUH142" s="13"/>
      <c r="AUI142" s="13"/>
      <c r="AUJ142" s="13"/>
      <c r="AUK142" s="13"/>
      <c r="AUL142" s="13"/>
      <c r="AUM142" s="13"/>
      <c r="AUN142" s="13"/>
      <c r="AUO142" s="13"/>
      <c r="AUP142" s="13"/>
      <c r="AUQ142" s="13"/>
      <c r="AUR142" s="13"/>
      <c r="AUS142" s="13"/>
      <c r="AUT142" s="13"/>
      <c r="AUU142" s="13"/>
      <c r="AUV142" s="13"/>
      <c r="AUW142" s="13"/>
      <c r="AUX142" s="13"/>
      <c r="AUY142" s="13"/>
      <c r="AUZ142" s="13"/>
      <c r="AVA142" s="13"/>
      <c r="AVB142" s="13"/>
      <c r="AVC142" s="13"/>
      <c r="AVD142" s="13"/>
      <c r="AVE142" s="13"/>
      <c r="AVF142" s="13"/>
      <c r="AVG142" s="13"/>
      <c r="AVH142" s="13"/>
      <c r="AVI142" s="13"/>
      <c r="AVJ142" s="13"/>
      <c r="AVK142" s="13"/>
      <c r="AVL142" s="13"/>
      <c r="AVM142" s="13"/>
      <c r="AVN142" s="13"/>
      <c r="AVO142" s="13"/>
      <c r="AVP142" s="13"/>
      <c r="AVQ142" s="13"/>
      <c r="AVR142" s="13"/>
      <c r="AVS142" s="13"/>
      <c r="AVT142" s="13"/>
      <c r="AVU142" s="13"/>
      <c r="AVV142" s="13"/>
      <c r="AVW142" s="13"/>
      <c r="AVX142" s="13"/>
      <c r="AVY142" s="13"/>
      <c r="AVZ142" s="13"/>
      <c r="AWA142" s="13"/>
      <c r="AWB142" s="13"/>
      <c r="AWC142" s="13"/>
      <c r="AWD142" s="13"/>
      <c r="AWE142" s="13"/>
      <c r="AWF142" s="13"/>
      <c r="AWG142" s="13"/>
      <c r="AWH142" s="13"/>
      <c r="AWI142" s="13"/>
      <c r="AWJ142" s="13"/>
      <c r="AWK142" s="13"/>
      <c r="AWL142" s="13"/>
      <c r="AWM142" s="13"/>
      <c r="AWN142" s="13"/>
      <c r="AWO142" s="13"/>
      <c r="AWP142" s="13"/>
      <c r="AWQ142" s="13"/>
      <c r="AWR142" s="13"/>
      <c r="AWS142" s="13"/>
      <c r="AWT142" s="13"/>
      <c r="AWU142" s="13"/>
      <c r="AWV142" s="13"/>
      <c r="AWW142" s="13"/>
      <c r="AWX142" s="13"/>
      <c r="AWY142" s="13"/>
      <c r="AWZ142" s="13"/>
      <c r="AXA142" s="13"/>
      <c r="AXB142" s="13"/>
      <c r="AXC142" s="13"/>
      <c r="AXD142" s="13"/>
      <c r="AXE142" s="13"/>
      <c r="AXF142" s="13"/>
      <c r="AXG142" s="13"/>
      <c r="AXH142" s="13"/>
      <c r="AXI142" s="13"/>
      <c r="AXJ142" s="13"/>
      <c r="AXK142" s="13"/>
      <c r="AXL142" s="13"/>
      <c r="AXM142" s="13"/>
      <c r="AXN142" s="13"/>
      <c r="AXO142" s="13"/>
      <c r="AXP142" s="13"/>
      <c r="AXQ142" s="13"/>
      <c r="AXR142" s="13"/>
      <c r="AXS142" s="13"/>
      <c r="AXT142" s="13"/>
      <c r="AXU142" s="13"/>
      <c r="AXV142" s="13"/>
      <c r="AXW142" s="13"/>
      <c r="AXX142" s="13"/>
      <c r="AXY142" s="13"/>
      <c r="AXZ142" s="13"/>
      <c r="AYA142" s="13"/>
      <c r="AYB142" s="13"/>
      <c r="AYC142" s="13"/>
      <c r="AYD142" s="13"/>
      <c r="AYE142" s="13"/>
      <c r="AYF142" s="13"/>
      <c r="AYG142" s="13"/>
      <c r="AYH142" s="13"/>
      <c r="AYI142" s="13"/>
      <c r="AYJ142" s="13"/>
      <c r="AYK142" s="13"/>
      <c r="AYL142" s="13"/>
      <c r="AYM142" s="13"/>
      <c r="AYN142" s="13"/>
      <c r="AYO142" s="13"/>
      <c r="AYP142" s="13"/>
      <c r="AYQ142" s="13"/>
      <c r="AYR142" s="13"/>
      <c r="AYS142" s="13"/>
      <c r="AYT142" s="13"/>
      <c r="AYU142" s="13"/>
      <c r="AYV142" s="13"/>
      <c r="AYW142" s="13"/>
      <c r="AYX142" s="13"/>
      <c r="AYY142" s="13"/>
      <c r="AYZ142" s="13"/>
      <c r="AZA142" s="13"/>
      <c r="AZB142" s="13"/>
      <c r="AZC142" s="13"/>
      <c r="AZD142" s="13"/>
      <c r="AZE142" s="13"/>
      <c r="AZF142" s="13"/>
      <c r="AZG142" s="13"/>
      <c r="AZH142" s="13"/>
      <c r="AZI142" s="13"/>
      <c r="AZJ142" s="13"/>
      <c r="AZK142" s="13"/>
      <c r="AZL142" s="13"/>
      <c r="AZM142" s="13"/>
      <c r="AZN142" s="13"/>
      <c r="AZO142" s="13"/>
      <c r="AZP142" s="13"/>
      <c r="AZQ142" s="13"/>
      <c r="AZR142" s="13"/>
      <c r="AZS142" s="13"/>
      <c r="AZT142" s="13"/>
      <c r="AZU142" s="13"/>
      <c r="AZV142" s="13"/>
      <c r="AZW142" s="13"/>
      <c r="AZX142" s="13"/>
      <c r="AZY142" s="13"/>
      <c r="AZZ142" s="13"/>
      <c r="BAA142" s="13"/>
      <c r="BAB142" s="13"/>
      <c r="BAC142" s="13"/>
      <c r="BAD142" s="13"/>
      <c r="BAE142" s="13"/>
      <c r="BAF142" s="13"/>
      <c r="BAG142" s="13"/>
      <c r="BAH142" s="13"/>
      <c r="BAI142" s="13"/>
      <c r="BAJ142" s="13"/>
      <c r="BAK142" s="13"/>
      <c r="BAL142" s="13"/>
      <c r="BAM142" s="13"/>
      <c r="BAN142" s="13"/>
      <c r="BAO142" s="13"/>
      <c r="BAP142" s="13"/>
      <c r="BAQ142" s="13"/>
      <c r="BAR142" s="13"/>
      <c r="BAS142" s="13"/>
      <c r="BAT142" s="13"/>
      <c r="BAU142" s="13"/>
      <c r="BAV142" s="13"/>
      <c r="BAW142" s="13"/>
      <c r="BAX142" s="13"/>
      <c r="BAY142" s="13"/>
      <c r="BAZ142" s="13"/>
      <c r="BBA142" s="13"/>
      <c r="BBB142" s="13"/>
      <c r="BBC142" s="13"/>
      <c r="BBD142" s="13"/>
      <c r="BBE142" s="13"/>
      <c r="BBF142" s="13"/>
      <c r="BBG142" s="13"/>
      <c r="BBH142" s="13"/>
      <c r="BBI142" s="13"/>
      <c r="BBJ142" s="13"/>
      <c r="BBK142" s="13"/>
      <c r="BBL142" s="13"/>
      <c r="BBM142" s="13"/>
      <c r="BBN142" s="13"/>
      <c r="BBO142" s="13"/>
      <c r="BBP142" s="13"/>
      <c r="BBQ142" s="13"/>
      <c r="BBR142" s="13"/>
      <c r="BBS142" s="13"/>
      <c r="BBT142" s="13"/>
      <c r="BBU142" s="13"/>
      <c r="BBV142" s="13"/>
      <c r="BBW142" s="13"/>
      <c r="BBX142" s="13"/>
      <c r="BBY142" s="13"/>
      <c r="BBZ142" s="13"/>
      <c r="BCA142" s="13"/>
      <c r="BCB142" s="13"/>
      <c r="BCC142" s="13"/>
      <c r="BCD142" s="13"/>
      <c r="BCE142" s="13"/>
      <c r="BCF142" s="13"/>
      <c r="BCG142" s="13"/>
      <c r="BCH142" s="13"/>
      <c r="BCI142" s="13"/>
      <c r="BCJ142" s="13"/>
      <c r="BCK142" s="13"/>
      <c r="BCL142" s="13"/>
      <c r="BCM142" s="13"/>
      <c r="BCN142" s="13"/>
      <c r="BCO142" s="13"/>
      <c r="BCP142" s="13"/>
      <c r="BCQ142" s="13"/>
      <c r="BCR142" s="13"/>
      <c r="BCS142" s="13"/>
      <c r="BCT142" s="13"/>
      <c r="BCU142" s="13"/>
      <c r="BCV142" s="13"/>
      <c r="BCW142" s="13"/>
      <c r="BCX142" s="13"/>
      <c r="BCY142" s="13"/>
      <c r="BCZ142" s="13"/>
      <c r="BDA142" s="13"/>
      <c r="BDB142" s="13"/>
      <c r="BDC142" s="13"/>
      <c r="BDD142" s="13"/>
      <c r="BDE142" s="13"/>
      <c r="BDF142" s="13"/>
      <c r="BDG142" s="13"/>
      <c r="BDH142" s="13"/>
      <c r="BDI142" s="13"/>
      <c r="BDJ142" s="13"/>
      <c r="BDK142" s="13"/>
      <c r="BDL142" s="13"/>
      <c r="BDM142" s="13"/>
      <c r="BDN142" s="13"/>
      <c r="BDO142" s="13"/>
      <c r="BDP142" s="13"/>
      <c r="BDQ142" s="13"/>
      <c r="BDR142" s="13"/>
      <c r="BDS142" s="13"/>
      <c r="BDT142" s="13"/>
      <c r="BDU142" s="13"/>
      <c r="BDV142" s="13"/>
      <c r="BDW142" s="13"/>
      <c r="BDX142" s="13"/>
      <c r="BDY142" s="13"/>
      <c r="BDZ142" s="13"/>
      <c r="BEA142" s="13"/>
      <c r="BEB142" s="13"/>
      <c r="BEC142" s="13"/>
      <c r="BED142" s="13"/>
      <c r="BEE142" s="13"/>
      <c r="BEF142" s="13"/>
      <c r="BEG142" s="13"/>
      <c r="BEH142" s="13"/>
      <c r="BEI142" s="13"/>
      <c r="BEJ142" s="13"/>
      <c r="BEK142" s="13"/>
      <c r="BEL142" s="13"/>
      <c r="BEM142" s="13"/>
      <c r="BEN142" s="13"/>
      <c r="BEO142" s="13"/>
      <c r="BEP142" s="13"/>
      <c r="BEQ142" s="13"/>
      <c r="BER142" s="13"/>
      <c r="BES142" s="13"/>
      <c r="BET142" s="13"/>
      <c r="BEU142" s="13"/>
      <c r="BEV142" s="13"/>
      <c r="BEW142" s="13"/>
      <c r="BEX142" s="13"/>
      <c r="BEY142" s="13"/>
      <c r="BEZ142" s="13"/>
      <c r="BFA142" s="13"/>
      <c r="BFB142" s="13"/>
      <c r="BFC142" s="13"/>
      <c r="BFD142" s="13"/>
      <c r="BFE142" s="13"/>
      <c r="BFF142" s="13"/>
      <c r="BFG142" s="13"/>
      <c r="BFH142" s="13"/>
      <c r="BFI142" s="13"/>
      <c r="BFJ142" s="13"/>
      <c r="BFK142" s="13"/>
      <c r="BFL142" s="13"/>
      <c r="BFM142" s="13"/>
      <c r="BFN142" s="13"/>
      <c r="BFO142" s="13"/>
      <c r="BFP142" s="13"/>
      <c r="BFQ142" s="13"/>
      <c r="BFR142" s="13"/>
      <c r="BFS142" s="13"/>
      <c r="BFT142" s="13"/>
      <c r="BFU142" s="13"/>
      <c r="BFV142" s="13"/>
      <c r="BFW142" s="13"/>
      <c r="BFX142" s="13"/>
      <c r="BFY142" s="13"/>
      <c r="BFZ142" s="13"/>
      <c r="BGA142" s="13"/>
      <c r="BGB142" s="13"/>
      <c r="BGC142" s="13"/>
      <c r="BGD142" s="13"/>
      <c r="BGE142" s="13"/>
      <c r="BGF142" s="13"/>
      <c r="BGG142" s="13"/>
      <c r="BGH142" s="13"/>
      <c r="BGI142" s="13"/>
      <c r="BGJ142" s="13"/>
      <c r="BGK142" s="13"/>
      <c r="BGL142" s="13"/>
      <c r="BGM142" s="13"/>
      <c r="BGN142" s="13"/>
      <c r="BGO142" s="13"/>
      <c r="BGP142" s="13"/>
      <c r="BGQ142" s="13"/>
      <c r="BGR142" s="13"/>
      <c r="BGS142" s="13"/>
      <c r="BGT142" s="13"/>
      <c r="BGU142" s="13"/>
      <c r="BGV142" s="13"/>
      <c r="BGW142" s="13"/>
      <c r="BGX142" s="13"/>
      <c r="BGY142" s="13"/>
      <c r="BGZ142" s="13"/>
      <c r="BHA142" s="13"/>
      <c r="BHB142" s="13"/>
      <c r="BHC142" s="13"/>
      <c r="BHD142" s="13"/>
      <c r="BHE142" s="13"/>
      <c r="BHF142" s="13"/>
      <c r="BHG142" s="13"/>
      <c r="BHH142" s="13"/>
      <c r="BHI142" s="13"/>
      <c r="BHJ142" s="13"/>
      <c r="BHK142" s="13"/>
      <c r="BHL142" s="13"/>
      <c r="BHM142" s="13"/>
      <c r="BHN142" s="13"/>
      <c r="BHO142" s="13"/>
      <c r="BHP142" s="13"/>
      <c r="BHQ142" s="13"/>
      <c r="BHR142" s="13"/>
      <c r="BHS142" s="13"/>
      <c r="BHT142" s="13"/>
      <c r="BHU142" s="13"/>
      <c r="BHV142" s="13"/>
      <c r="BHW142" s="13"/>
      <c r="BHX142" s="13"/>
      <c r="BHY142" s="13"/>
      <c r="BHZ142" s="13"/>
      <c r="BIA142" s="13"/>
      <c r="BIB142" s="13"/>
      <c r="BIC142" s="13"/>
      <c r="BID142" s="13"/>
      <c r="BIE142" s="13"/>
      <c r="BIF142" s="13"/>
      <c r="BIG142" s="13"/>
      <c r="BIH142" s="13"/>
      <c r="BII142" s="13"/>
      <c r="BIJ142" s="13"/>
      <c r="BIK142" s="13"/>
      <c r="BIL142" s="13"/>
      <c r="BIM142" s="13"/>
      <c r="BIN142" s="13"/>
      <c r="BIO142" s="13"/>
      <c r="BIP142" s="13"/>
      <c r="BIQ142" s="13"/>
      <c r="BIR142" s="13"/>
      <c r="BIS142" s="13"/>
      <c r="BIT142" s="13"/>
      <c r="BIU142" s="13"/>
      <c r="BIV142" s="13"/>
      <c r="BIW142" s="13"/>
      <c r="BIX142" s="13"/>
      <c r="BIY142" s="13"/>
      <c r="BIZ142" s="13"/>
      <c r="BJA142" s="13"/>
      <c r="BJB142" s="13"/>
      <c r="BJC142" s="13"/>
      <c r="BJD142" s="13"/>
      <c r="BJE142" s="13"/>
      <c r="BJF142" s="13"/>
      <c r="BJG142" s="13"/>
      <c r="BJH142" s="13"/>
      <c r="BJI142" s="13"/>
      <c r="BJJ142" s="13"/>
      <c r="BJK142" s="13"/>
      <c r="BJL142" s="13"/>
      <c r="BJM142" s="13"/>
      <c r="BJN142" s="13"/>
      <c r="BJO142" s="13"/>
      <c r="BJP142" s="13"/>
      <c r="BJQ142" s="13"/>
      <c r="BJR142" s="13"/>
      <c r="BJS142" s="13"/>
      <c r="BJT142" s="13"/>
      <c r="BJU142" s="13"/>
      <c r="BJV142" s="13"/>
      <c r="BJW142" s="13"/>
      <c r="BJX142" s="13"/>
      <c r="BJY142" s="13"/>
      <c r="BJZ142" s="13"/>
      <c r="BKA142" s="13"/>
      <c r="BKB142" s="13"/>
      <c r="BKC142" s="13"/>
      <c r="BKD142" s="13"/>
      <c r="BKE142" s="13"/>
      <c r="BKF142" s="13"/>
      <c r="BKG142" s="13"/>
      <c r="BKH142" s="13"/>
      <c r="BKI142" s="13"/>
      <c r="BKJ142" s="13"/>
      <c r="BKK142" s="13"/>
      <c r="BKL142" s="13"/>
      <c r="BKM142" s="13"/>
      <c r="BKN142" s="13"/>
      <c r="BKO142" s="13"/>
      <c r="BKP142" s="13"/>
      <c r="BKQ142" s="13"/>
      <c r="BKR142" s="13"/>
      <c r="BKS142" s="13"/>
      <c r="BKT142" s="13"/>
      <c r="BKU142" s="13"/>
      <c r="BKV142" s="13"/>
      <c r="BKW142" s="13"/>
      <c r="BKX142" s="13"/>
      <c r="BKY142" s="13"/>
      <c r="BKZ142" s="13"/>
      <c r="BLA142" s="13"/>
      <c r="BLB142" s="13"/>
      <c r="BLC142" s="13"/>
      <c r="BLD142" s="13"/>
      <c r="BLE142" s="13"/>
      <c r="BLF142" s="13"/>
      <c r="BLG142" s="13"/>
      <c r="BLH142" s="13"/>
      <c r="BLI142" s="13"/>
      <c r="BLJ142" s="13"/>
      <c r="BLK142" s="13"/>
      <c r="BLL142" s="13"/>
      <c r="BLM142" s="13"/>
      <c r="BLN142" s="13"/>
      <c r="BLO142" s="13"/>
      <c r="BLP142" s="13"/>
      <c r="BLQ142" s="13"/>
      <c r="BLR142" s="13"/>
      <c r="BLS142" s="13"/>
      <c r="BLT142" s="13"/>
      <c r="BLU142" s="13"/>
      <c r="BLV142" s="13"/>
      <c r="BLW142" s="13"/>
      <c r="BLX142" s="13"/>
      <c r="BLY142" s="13"/>
      <c r="BLZ142" s="13"/>
      <c r="BMA142" s="13"/>
      <c r="BMB142" s="13"/>
      <c r="BMC142" s="13"/>
      <c r="BMD142" s="13"/>
      <c r="BME142" s="13"/>
      <c r="BMF142" s="13"/>
      <c r="BMG142" s="13"/>
      <c r="BMH142" s="13"/>
      <c r="BMI142" s="13"/>
      <c r="BMJ142" s="13"/>
      <c r="BMK142" s="13"/>
      <c r="BML142" s="13"/>
      <c r="BMM142" s="13"/>
      <c r="BMN142" s="13"/>
      <c r="BMO142" s="13"/>
      <c r="BMP142" s="13"/>
      <c r="BMQ142" s="13"/>
      <c r="BMR142" s="13"/>
      <c r="BMS142" s="13"/>
      <c r="BMT142" s="13"/>
      <c r="BMU142" s="13"/>
      <c r="BMV142" s="13"/>
      <c r="BMW142" s="13"/>
      <c r="BMX142" s="13"/>
      <c r="BMY142" s="13"/>
      <c r="BMZ142" s="13"/>
      <c r="BNA142" s="13"/>
      <c r="BNB142" s="13"/>
      <c r="BNC142" s="13"/>
      <c r="BND142" s="13"/>
      <c r="BNE142" s="13"/>
      <c r="BNF142" s="13"/>
      <c r="BNG142" s="13"/>
      <c r="BNH142" s="13"/>
      <c r="BNI142" s="13"/>
      <c r="BNJ142" s="13"/>
      <c r="BNK142" s="13"/>
      <c r="BNL142" s="13"/>
      <c r="BNM142" s="13"/>
      <c r="BNN142" s="13"/>
      <c r="BNO142" s="13"/>
      <c r="BNP142" s="13"/>
      <c r="BNQ142" s="13"/>
      <c r="BNR142" s="13"/>
      <c r="BNS142" s="13"/>
      <c r="BNT142" s="13"/>
      <c r="BNU142" s="13"/>
      <c r="BNV142" s="13"/>
      <c r="BNW142" s="13"/>
      <c r="BNX142" s="13"/>
      <c r="BNY142" s="13"/>
      <c r="BNZ142" s="13"/>
      <c r="BOA142" s="13"/>
      <c r="BOB142" s="13"/>
      <c r="BOC142" s="13"/>
      <c r="BOD142" s="13"/>
      <c r="BOE142" s="13"/>
      <c r="BOF142" s="13"/>
      <c r="BOG142" s="13"/>
      <c r="BOH142" s="13"/>
      <c r="BOI142" s="13"/>
      <c r="BOJ142" s="13"/>
      <c r="BOK142" s="13"/>
      <c r="BOL142" s="13"/>
      <c r="BOM142" s="13"/>
      <c r="BON142" s="13"/>
      <c r="BOO142" s="13"/>
      <c r="BOP142" s="13"/>
      <c r="BOQ142" s="13"/>
      <c r="BOR142" s="13"/>
      <c r="BOS142" s="13"/>
      <c r="BOT142" s="13"/>
      <c r="BOU142" s="13"/>
      <c r="BOV142" s="13"/>
      <c r="BOW142" s="13"/>
      <c r="BOX142" s="13"/>
      <c r="BOY142" s="13"/>
      <c r="BOZ142" s="13"/>
      <c r="BPA142" s="13"/>
      <c r="BPB142" s="13"/>
      <c r="BPC142" s="13"/>
      <c r="BPD142" s="13"/>
      <c r="BPE142" s="13"/>
      <c r="BPF142" s="13"/>
      <c r="BPG142" s="13"/>
      <c r="BPH142" s="13"/>
      <c r="BPI142" s="13"/>
      <c r="BPJ142" s="13"/>
      <c r="BPK142" s="13"/>
      <c r="BPL142" s="13"/>
      <c r="BPM142" s="13"/>
      <c r="BPN142" s="13"/>
      <c r="BPO142" s="13"/>
      <c r="BPP142" s="13"/>
      <c r="BPQ142" s="13"/>
      <c r="BPR142" s="13"/>
      <c r="BPS142" s="13"/>
      <c r="BPT142" s="13"/>
      <c r="BPU142" s="13"/>
      <c r="BPV142" s="13"/>
      <c r="BPW142" s="13"/>
      <c r="BPX142" s="13"/>
      <c r="BPY142" s="13"/>
      <c r="BPZ142" s="13"/>
      <c r="BQA142" s="13"/>
      <c r="BQB142" s="13"/>
      <c r="BQC142" s="13"/>
      <c r="BQD142" s="13"/>
      <c r="BQE142" s="13"/>
      <c r="BQF142" s="13"/>
      <c r="BQG142" s="13"/>
      <c r="BQH142" s="13"/>
      <c r="BQI142" s="13"/>
      <c r="BQJ142" s="13"/>
      <c r="BQK142" s="13"/>
      <c r="BQL142" s="13"/>
      <c r="BQM142" s="13"/>
      <c r="BQN142" s="13"/>
      <c r="BQO142" s="13"/>
      <c r="BQP142" s="13"/>
      <c r="BQQ142" s="13"/>
      <c r="BQR142" s="13"/>
      <c r="BQS142" s="13"/>
      <c r="BQT142" s="13"/>
      <c r="BQU142" s="13"/>
      <c r="BQV142" s="13"/>
      <c r="BQW142" s="13"/>
      <c r="BQX142" s="13"/>
      <c r="BQY142" s="13"/>
      <c r="BQZ142" s="13"/>
      <c r="BRA142" s="13"/>
      <c r="BRB142" s="13"/>
      <c r="BRC142" s="13"/>
      <c r="BRD142" s="13"/>
      <c r="BRE142" s="13"/>
      <c r="BRF142" s="13"/>
      <c r="BRG142" s="13"/>
      <c r="BRH142" s="13"/>
      <c r="BRI142" s="13"/>
      <c r="BRJ142" s="13"/>
      <c r="BRK142" s="13"/>
      <c r="BRL142" s="13"/>
      <c r="BRM142" s="13"/>
      <c r="BRN142" s="13"/>
      <c r="BRO142" s="13"/>
      <c r="BRP142" s="13"/>
      <c r="BRQ142" s="13"/>
      <c r="BRR142" s="13"/>
      <c r="BRS142" s="13"/>
      <c r="BRT142" s="13"/>
      <c r="BRU142" s="13"/>
      <c r="BRV142" s="13"/>
      <c r="BRW142" s="13"/>
      <c r="BRX142" s="13"/>
      <c r="BRY142" s="13"/>
      <c r="BRZ142" s="13"/>
      <c r="BSA142" s="13"/>
      <c r="BSB142" s="13"/>
      <c r="BSC142" s="13"/>
      <c r="BSD142" s="13"/>
      <c r="BSE142" s="13"/>
      <c r="BSF142" s="13"/>
      <c r="BSG142" s="13"/>
      <c r="BSH142" s="13"/>
      <c r="BSI142" s="13"/>
      <c r="BSJ142" s="13"/>
      <c r="BSK142" s="13"/>
      <c r="BSL142" s="13"/>
      <c r="BSM142" s="13"/>
      <c r="BSN142" s="13"/>
      <c r="BSO142" s="13"/>
      <c r="BSP142" s="13"/>
      <c r="BSQ142" s="13"/>
      <c r="BSR142" s="13"/>
      <c r="BSS142" s="13"/>
      <c r="BST142" s="13"/>
      <c r="BSU142" s="13"/>
      <c r="BSV142" s="13"/>
      <c r="BSW142" s="13"/>
      <c r="BSX142" s="13"/>
      <c r="BSY142" s="13"/>
      <c r="BSZ142" s="13"/>
      <c r="BTA142" s="13"/>
    </row>
    <row r="143" spans="1:1873" s="178" customFormat="1" ht="13.9" customHeight="1" x14ac:dyDescent="0.2">
      <c r="A143" s="231" t="s">
        <v>676</v>
      </c>
      <c r="B143" s="231" t="s">
        <v>618</v>
      </c>
      <c r="C143" s="231" t="s">
        <v>472</v>
      </c>
      <c r="D143" s="231" t="s">
        <v>633</v>
      </c>
      <c r="E143" s="232" t="s">
        <v>634</v>
      </c>
      <c r="F143" s="222">
        <v>2</v>
      </c>
      <c r="G143" s="233">
        <v>2</v>
      </c>
      <c r="H143" s="222">
        <v>5</v>
      </c>
      <c r="I143" s="231" t="s">
        <v>621</v>
      </c>
      <c r="J143" s="231">
        <v>1990</v>
      </c>
      <c r="K143" s="231" t="s">
        <v>1211</v>
      </c>
      <c r="L143" s="231">
        <v>1994</v>
      </c>
      <c r="M143" s="235">
        <v>35</v>
      </c>
      <c r="N143" s="235">
        <v>6.5</v>
      </c>
      <c r="O143" s="18"/>
      <c r="P143" s="236">
        <f>+P142+M143</f>
        <v>69.8</v>
      </c>
      <c r="Q143" s="231">
        <v>-9999</v>
      </c>
      <c r="R143" s="235"/>
      <c r="S143" s="231"/>
      <c r="T143" s="236">
        <f>+P143/(H143-1)</f>
        <v>17.45</v>
      </c>
      <c r="U143" s="233">
        <v>-9999</v>
      </c>
      <c r="V143" s="233"/>
      <c r="W143" s="235">
        <v>-9999</v>
      </c>
      <c r="X143" s="233">
        <v>-9999</v>
      </c>
      <c r="Y143" s="233"/>
      <c r="Z143" s="231" t="s">
        <v>636</v>
      </c>
      <c r="AA143" s="383">
        <v>37037</v>
      </c>
      <c r="AB143" s="235">
        <v>0.8</v>
      </c>
      <c r="AC143" s="231">
        <v>2.1600000000000001E-2</v>
      </c>
      <c r="AD143" s="231">
        <v>36</v>
      </c>
      <c r="AE143" s="392" t="s">
        <v>1975</v>
      </c>
      <c r="AF143" s="231">
        <v>3</v>
      </c>
      <c r="AG143" s="231">
        <v>2</v>
      </c>
      <c r="AH143" s="231" t="s">
        <v>479</v>
      </c>
      <c r="AI143" s="231" t="s">
        <v>624</v>
      </c>
      <c r="AJ143" s="231">
        <v>-9999</v>
      </c>
      <c r="AK143" s="231" t="s">
        <v>625</v>
      </c>
      <c r="AL143" s="231" t="s">
        <v>642</v>
      </c>
      <c r="AM143" s="231">
        <v>-9999</v>
      </c>
      <c r="AN143" s="231" t="s">
        <v>480</v>
      </c>
      <c r="AO143" s="231" t="s">
        <v>627</v>
      </c>
      <c r="AP143" s="231" t="s">
        <v>677</v>
      </c>
      <c r="AQ143" s="231" t="s">
        <v>626</v>
      </c>
      <c r="AR143" s="231">
        <f>224*G143</f>
        <v>448</v>
      </c>
      <c r="AS143" s="231" t="s">
        <v>1101</v>
      </c>
      <c r="AT143" s="231" t="s">
        <v>745</v>
      </c>
      <c r="AU143" s="231">
        <v>0</v>
      </c>
      <c r="AV143" s="231" t="s">
        <v>218</v>
      </c>
      <c r="AW143" s="231" t="s">
        <v>746</v>
      </c>
      <c r="AX143" s="231">
        <v>0</v>
      </c>
      <c r="AY143" s="231" t="s">
        <v>219</v>
      </c>
      <c r="AZ143" s="231">
        <v>-9999</v>
      </c>
      <c r="BA143" s="231">
        <v>-9999</v>
      </c>
      <c r="BB143" s="231" t="s">
        <v>626</v>
      </c>
      <c r="BC143" s="231" t="s">
        <v>641</v>
      </c>
      <c r="BD143" s="231" t="s">
        <v>642</v>
      </c>
      <c r="BE143" s="231" t="s">
        <v>643</v>
      </c>
      <c r="BF143" s="231">
        <v>-9999</v>
      </c>
      <c r="BG143" s="231">
        <v>-9999</v>
      </c>
      <c r="BH143" s="231">
        <v>-9999</v>
      </c>
      <c r="BI143" s="231" t="s">
        <v>678</v>
      </c>
      <c r="BJ143" s="231">
        <v>-9999</v>
      </c>
      <c r="BK143" s="231">
        <v>-9999</v>
      </c>
      <c r="BL143" s="231">
        <v>-9999</v>
      </c>
      <c r="BM143" s="231">
        <v>-9999</v>
      </c>
      <c r="BN143" s="231">
        <v>-9999</v>
      </c>
      <c r="BO143" s="231">
        <v>-9999</v>
      </c>
      <c r="BP143" s="231">
        <v>-9999</v>
      </c>
      <c r="BQ143" s="231">
        <v>-9999</v>
      </c>
      <c r="BR143" s="233">
        <v>-9999</v>
      </c>
      <c r="BS143" s="233">
        <v>-9999</v>
      </c>
      <c r="BT143" s="233">
        <v>-9999</v>
      </c>
      <c r="BU143" s="233">
        <v>-9999</v>
      </c>
      <c r="BV143" s="233">
        <v>-9999</v>
      </c>
      <c r="BW143" s="233"/>
      <c r="BX143" s="233">
        <v>-9999</v>
      </c>
      <c r="BY143" s="231">
        <v>-9999</v>
      </c>
      <c r="BZ143" s="238">
        <v>-9999</v>
      </c>
      <c r="CA143" s="238" t="s">
        <v>478</v>
      </c>
      <c r="CB143" s="239"/>
      <c r="CC143" s="222">
        <v>2</v>
      </c>
      <c r="CD143" s="233">
        <v>2</v>
      </c>
      <c r="CE143" s="393">
        <v>17.45</v>
      </c>
      <c r="CF143" s="99">
        <v>-9999</v>
      </c>
      <c r="CG143" s="180">
        <v>5</v>
      </c>
      <c r="CH143" s="436" t="s">
        <v>1757</v>
      </c>
      <c r="CI143" s="13"/>
      <c r="CJ143" s="13"/>
      <c r="CK143" s="13"/>
      <c r="CL143" s="13"/>
      <c r="CM143" s="13"/>
      <c r="CN143" s="13"/>
      <c r="CO143" s="13"/>
      <c r="CP143" s="13"/>
      <c r="CQ143" s="13"/>
      <c r="CR143" s="13"/>
      <c r="CS143" s="13"/>
      <c r="CT143" s="13"/>
      <c r="CU143" s="13"/>
      <c r="CV143" s="13"/>
      <c r="CW143" s="13"/>
      <c r="CX143" s="13"/>
      <c r="CY143" s="13"/>
      <c r="CZ143" s="13"/>
      <c r="DA143" s="13"/>
      <c r="DB143" s="13"/>
      <c r="DC143" s="13"/>
      <c r="DD143" s="13"/>
      <c r="DE143" s="13"/>
      <c r="DF143" s="13"/>
      <c r="DG143" s="13"/>
      <c r="DH143" s="13"/>
      <c r="DI143" s="13"/>
      <c r="DJ143" s="13"/>
      <c r="DK143" s="13"/>
      <c r="DL143" s="13"/>
      <c r="DM143" s="13"/>
      <c r="DN143" s="13"/>
      <c r="DO143" s="13"/>
      <c r="DP143" s="13"/>
      <c r="DQ143" s="13"/>
      <c r="DR143" s="13"/>
      <c r="DS143" s="13"/>
      <c r="DT143" s="13"/>
      <c r="DU143" s="13"/>
      <c r="DV143" s="13"/>
      <c r="DW143" s="13"/>
      <c r="DX143" s="13"/>
      <c r="DY143" s="13"/>
      <c r="DZ143" s="13"/>
      <c r="EA143" s="13"/>
      <c r="EB143" s="13"/>
      <c r="EC143" s="13"/>
      <c r="ED143" s="13"/>
      <c r="EE143" s="13"/>
      <c r="EF143" s="13"/>
      <c r="EG143" s="13"/>
      <c r="EH143" s="13"/>
      <c r="EI143" s="13"/>
      <c r="EJ143" s="13"/>
      <c r="EK143" s="13"/>
      <c r="EL143" s="13"/>
      <c r="EM143" s="13"/>
      <c r="EN143" s="13"/>
      <c r="EO143" s="13"/>
      <c r="EP143" s="13"/>
      <c r="EQ143" s="13"/>
      <c r="ER143" s="13"/>
      <c r="ES143" s="13"/>
      <c r="ET143" s="13"/>
      <c r="EU143" s="13"/>
      <c r="EV143" s="13"/>
      <c r="EW143" s="13"/>
      <c r="EX143" s="13"/>
      <c r="EY143" s="13"/>
      <c r="EZ143" s="13"/>
      <c r="FA143" s="13"/>
      <c r="FB143" s="13"/>
      <c r="FC143" s="13"/>
      <c r="FD143" s="13"/>
      <c r="FE143" s="13"/>
      <c r="FF143" s="13"/>
      <c r="FG143" s="13"/>
      <c r="FH143" s="13"/>
      <c r="FI143" s="13"/>
      <c r="FJ143" s="13"/>
      <c r="FK143" s="13"/>
      <c r="FL143" s="13"/>
      <c r="FM143" s="13"/>
      <c r="FN143" s="13"/>
      <c r="FO143" s="13"/>
      <c r="FP143" s="13"/>
      <c r="FQ143" s="13"/>
      <c r="FR143" s="13"/>
      <c r="FS143" s="13"/>
      <c r="FT143" s="13"/>
      <c r="FU143" s="13"/>
      <c r="FV143" s="13"/>
      <c r="FW143" s="13"/>
      <c r="FX143" s="13"/>
      <c r="FY143" s="13"/>
      <c r="FZ143" s="13"/>
      <c r="GA143" s="13"/>
      <c r="GB143" s="13"/>
      <c r="GC143" s="13"/>
      <c r="GD143" s="13"/>
      <c r="GE143" s="13"/>
      <c r="GF143" s="13"/>
      <c r="GG143" s="13"/>
      <c r="GH143" s="13"/>
      <c r="GI143" s="13"/>
      <c r="GJ143" s="13"/>
      <c r="GK143" s="13"/>
      <c r="GL143" s="13"/>
      <c r="GM143" s="13"/>
      <c r="GN143" s="13"/>
      <c r="GO143" s="13"/>
      <c r="GP143" s="13"/>
      <c r="GQ143" s="13"/>
      <c r="GR143" s="13"/>
      <c r="GS143" s="13"/>
      <c r="GT143" s="13"/>
      <c r="GU143" s="13"/>
      <c r="GV143" s="13"/>
      <c r="GW143" s="13"/>
      <c r="GX143" s="13"/>
      <c r="GY143" s="13"/>
      <c r="GZ143" s="13"/>
      <c r="HA143" s="13"/>
      <c r="HB143" s="13"/>
      <c r="HC143" s="13"/>
      <c r="HD143" s="13"/>
      <c r="HE143" s="13"/>
      <c r="HF143" s="13"/>
      <c r="HG143" s="13"/>
      <c r="HH143" s="13"/>
      <c r="HI143" s="13"/>
      <c r="HJ143" s="13"/>
      <c r="HK143" s="13"/>
      <c r="HL143" s="13"/>
      <c r="HM143" s="13"/>
      <c r="HN143" s="13"/>
      <c r="HO143" s="13"/>
      <c r="HP143" s="13"/>
      <c r="HQ143" s="13"/>
      <c r="HR143" s="13"/>
      <c r="HS143" s="13"/>
      <c r="HT143" s="13"/>
      <c r="HU143" s="13"/>
      <c r="HV143" s="13"/>
      <c r="HW143" s="13"/>
      <c r="HX143" s="13"/>
      <c r="HY143" s="13"/>
      <c r="HZ143" s="13"/>
      <c r="IA143" s="13"/>
      <c r="IB143" s="13"/>
      <c r="IC143" s="13"/>
      <c r="ID143" s="13"/>
      <c r="IE143" s="13"/>
      <c r="IF143" s="13"/>
      <c r="IG143" s="13"/>
      <c r="IH143" s="13"/>
      <c r="II143" s="13"/>
      <c r="IJ143" s="13"/>
      <c r="IK143" s="13"/>
      <c r="IL143" s="13"/>
      <c r="IM143" s="13"/>
      <c r="IN143" s="13"/>
      <c r="IO143" s="13"/>
      <c r="IP143" s="13"/>
      <c r="IQ143" s="13"/>
      <c r="IR143" s="13"/>
      <c r="IS143" s="13"/>
      <c r="IT143" s="13"/>
      <c r="IU143" s="13"/>
      <c r="IV143" s="13"/>
      <c r="IW143" s="13"/>
      <c r="IX143" s="13"/>
      <c r="IY143" s="13"/>
      <c r="IZ143" s="13"/>
      <c r="JA143" s="13"/>
      <c r="JB143" s="13"/>
      <c r="JC143" s="13"/>
      <c r="JD143" s="13"/>
      <c r="JE143" s="13"/>
      <c r="JF143" s="13"/>
      <c r="JG143" s="13"/>
      <c r="JH143" s="13"/>
      <c r="JI143" s="13"/>
      <c r="JJ143" s="13"/>
      <c r="JK143" s="13"/>
      <c r="JL143" s="13"/>
      <c r="JM143" s="13"/>
      <c r="JN143" s="13"/>
      <c r="JO143" s="13"/>
      <c r="JP143" s="13"/>
      <c r="JQ143" s="13"/>
      <c r="JR143" s="13"/>
      <c r="JS143" s="13"/>
      <c r="JT143" s="13"/>
      <c r="JU143" s="13"/>
      <c r="JV143" s="13"/>
      <c r="JW143" s="13"/>
      <c r="JX143" s="13"/>
      <c r="JY143" s="13"/>
      <c r="JZ143" s="13"/>
      <c r="KA143" s="13"/>
      <c r="KB143" s="13"/>
      <c r="KC143" s="13"/>
      <c r="KD143" s="13"/>
      <c r="KE143" s="13"/>
      <c r="KF143" s="13"/>
      <c r="KG143" s="13"/>
      <c r="KH143" s="13"/>
      <c r="KI143" s="13"/>
      <c r="KJ143" s="13"/>
      <c r="KK143" s="13"/>
      <c r="KL143" s="13"/>
      <c r="KM143" s="13"/>
      <c r="KN143" s="13"/>
      <c r="KO143" s="13"/>
      <c r="KP143" s="13"/>
      <c r="KQ143" s="13"/>
      <c r="KR143" s="13"/>
      <c r="KS143" s="13"/>
      <c r="KT143" s="13"/>
      <c r="KU143" s="13"/>
      <c r="KV143" s="13"/>
      <c r="KW143" s="13"/>
      <c r="KX143" s="13"/>
      <c r="KY143" s="13"/>
      <c r="KZ143" s="13"/>
      <c r="LA143" s="13"/>
      <c r="LB143" s="13"/>
      <c r="LC143" s="13"/>
      <c r="LD143" s="13"/>
      <c r="LE143" s="13"/>
      <c r="LF143" s="13"/>
      <c r="LG143" s="13"/>
      <c r="LH143" s="13"/>
      <c r="LI143" s="13"/>
      <c r="LJ143" s="13"/>
      <c r="LK143" s="13"/>
      <c r="LL143" s="13"/>
      <c r="LM143" s="13"/>
      <c r="LN143" s="13"/>
      <c r="LO143" s="13"/>
      <c r="LP143" s="13"/>
      <c r="LQ143" s="13"/>
      <c r="LR143" s="13"/>
      <c r="LS143" s="13"/>
      <c r="LT143" s="13"/>
      <c r="LU143" s="13"/>
      <c r="LV143" s="13"/>
      <c r="LW143" s="13"/>
      <c r="LX143" s="13"/>
      <c r="LY143" s="13"/>
      <c r="LZ143" s="13"/>
      <c r="MA143" s="13"/>
      <c r="MB143" s="13"/>
      <c r="MC143" s="13"/>
      <c r="MD143" s="13"/>
      <c r="ME143" s="13"/>
      <c r="MF143" s="13"/>
      <c r="MG143" s="13"/>
      <c r="MH143" s="13"/>
      <c r="MI143" s="13"/>
      <c r="MJ143" s="13"/>
      <c r="MK143" s="13"/>
      <c r="ML143" s="13"/>
      <c r="MM143" s="13"/>
      <c r="MN143" s="13"/>
      <c r="MO143" s="13"/>
      <c r="MP143" s="13"/>
      <c r="MQ143" s="13"/>
      <c r="MR143" s="13"/>
      <c r="MS143" s="13"/>
      <c r="MT143" s="13"/>
      <c r="MU143" s="13"/>
      <c r="MV143" s="13"/>
      <c r="MW143" s="13"/>
      <c r="MX143" s="13"/>
      <c r="MY143" s="13"/>
      <c r="MZ143" s="13"/>
      <c r="NA143" s="13"/>
      <c r="NB143" s="13"/>
      <c r="NC143" s="13"/>
      <c r="ND143" s="13"/>
      <c r="NE143" s="13"/>
      <c r="NF143" s="13"/>
      <c r="NG143" s="13"/>
      <c r="NH143" s="13"/>
      <c r="NI143" s="13"/>
      <c r="NJ143" s="13"/>
      <c r="NK143" s="13"/>
      <c r="NL143" s="13"/>
      <c r="NM143" s="13"/>
      <c r="NN143" s="13"/>
      <c r="NO143" s="13"/>
      <c r="NP143" s="13"/>
      <c r="NQ143" s="13"/>
      <c r="NR143" s="13"/>
      <c r="NS143" s="13"/>
      <c r="NT143" s="13"/>
      <c r="NU143" s="13"/>
      <c r="NV143" s="13"/>
      <c r="NW143" s="13"/>
      <c r="NX143" s="13"/>
      <c r="NY143" s="13"/>
      <c r="NZ143" s="13"/>
      <c r="OA143" s="13"/>
      <c r="OB143" s="13"/>
      <c r="OC143" s="13"/>
      <c r="OD143" s="13"/>
      <c r="OE143" s="13"/>
      <c r="OF143" s="13"/>
      <c r="OG143" s="13"/>
      <c r="OH143" s="13"/>
      <c r="OI143" s="13"/>
      <c r="OJ143" s="13"/>
      <c r="OK143" s="13"/>
      <c r="OL143" s="13"/>
      <c r="OM143" s="13"/>
      <c r="ON143" s="13"/>
      <c r="OO143" s="13"/>
      <c r="OP143" s="13"/>
      <c r="OQ143" s="13"/>
      <c r="OR143" s="13"/>
      <c r="OS143" s="13"/>
      <c r="OT143" s="13"/>
      <c r="OU143" s="13"/>
      <c r="OV143" s="13"/>
      <c r="OW143" s="13"/>
      <c r="OX143" s="13"/>
      <c r="OY143" s="13"/>
      <c r="OZ143" s="13"/>
      <c r="PA143" s="13"/>
      <c r="PB143" s="13"/>
      <c r="PC143" s="13"/>
      <c r="PD143" s="13"/>
      <c r="PE143" s="13"/>
      <c r="PF143" s="13"/>
      <c r="PG143" s="13"/>
      <c r="PH143" s="13"/>
      <c r="PI143" s="13"/>
      <c r="PJ143" s="13"/>
      <c r="PK143" s="13"/>
      <c r="PL143" s="13"/>
      <c r="PM143" s="13"/>
      <c r="PN143" s="13"/>
      <c r="PO143" s="13"/>
      <c r="PP143" s="13"/>
      <c r="PQ143" s="13"/>
      <c r="PR143" s="13"/>
      <c r="PS143" s="13"/>
      <c r="PT143" s="13"/>
      <c r="PU143" s="13"/>
      <c r="PV143" s="13"/>
      <c r="PW143" s="13"/>
      <c r="PX143" s="13"/>
      <c r="PY143" s="13"/>
      <c r="PZ143" s="13"/>
      <c r="QA143" s="13"/>
      <c r="QB143" s="13"/>
      <c r="QC143" s="13"/>
      <c r="QD143" s="13"/>
      <c r="QE143" s="13"/>
      <c r="QF143" s="13"/>
      <c r="QG143" s="13"/>
      <c r="QH143" s="13"/>
      <c r="QI143" s="13"/>
      <c r="QJ143" s="13"/>
      <c r="QK143" s="13"/>
      <c r="QL143" s="13"/>
      <c r="QM143" s="13"/>
      <c r="QN143" s="13"/>
      <c r="QO143" s="13"/>
      <c r="QP143" s="13"/>
      <c r="QQ143" s="13"/>
      <c r="QR143" s="13"/>
      <c r="QS143" s="13"/>
      <c r="QT143" s="13"/>
      <c r="QU143" s="13"/>
      <c r="QV143" s="13"/>
      <c r="QW143" s="13"/>
      <c r="QX143" s="13"/>
      <c r="QY143" s="13"/>
      <c r="QZ143" s="13"/>
      <c r="RA143" s="13"/>
      <c r="RB143" s="13"/>
      <c r="RC143" s="13"/>
      <c r="RD143" s="13"/>
      <c r="RE143" s="13"/>
      <c r="RF143" s="13"/>
      <c r="RG143" s="13"/>
      <c r="RH143" s="13"/>
      <c r="RI143" s="13"/>
      <c r="RJ143" s="13"/>
      <c r="RK143" s="13"/>
      <c r="RL143" s="13"/>
      <c r="RM143" s="13"/>
      <c r="RN143" s="13"/>
      <c r="RO143" s="13"/>
      <c r="RP143" s="13"/>
      <c r="RQ143" s="13"/>
      <c r="RR143" s="13"/>
      <c r="RS143" s="13"/>
      <c r="RT143" s="13"/>
      <c r="RU143" s="13"/>
      <c r="RV143" s="13"/>
      <c r="RW143" s="13"/>
      <c r="RX143" s="13"/>
      <c r="RY143" s="13"/>
      <c r="RZ143" s="13"/>
      <c r="SA143" s="13"/>
      <c r="SB143" s="13"/>
      <c r="SC143" s="13"/>
      <c r="SD143" s="13"/>
      <c r="SE143" s="13"/>
      <c r="SF143" s="13"/>
      <c r="SG143" s="13"/>
      <c r="SH143" s="13"/>
      <c r="SI143" s="13"/>
      <c r="SJ143" s="13"/>
      <c r="SK143" s="13"/>
      <c r="SL143" s="13"/>
      <c r="SM143" s="13"/>
      <c r="SN143" s="13"/>
      <c r="SO143" s="13"/>
      <c r="SP143" s="13"/>
      <c r="SQ143" s="13"/>
      <c r="SR143" s="13"/>
      <c r="SS143" s="13"/>
      <c r="ST143" s="13"/>
      <c r="SU143" s="13"/>
      <c r="SV143" s="13"/>
      <c r="SW143" s="13"/>
      <c r="SX143" s="13"/>
      <c r="SY143" s="13"/>
      <c r="SZ143" s="13"/>
      <c r="TA143" s="13"/>
      <c r="TB143" s="13"/>
      <c r="TC143" s="13"/>
      <c r="TD143" s="13"/>
      <c r="TE143" s="13"/>
      <c r="TF143" s="13"/>
      <c r="TG143" s="13"/>
      <c r="TH143" s="13"/>
      <c r="TI143" s="13"/>
      <c r="TJ143" s="13"/>
      <c r="TK143" s="13"/>
      <c r="TL143" s="13"/>
      <c r="TM143" s="13"/>
      <c r="TN143" s="13"/>
      <c r="TO143" s="13"/>
      <c r="TP143" s="13"/>
      <c r="TQ143" s="13"/>
      <c r="TR143" s="13"/>
      <c r="TS143" s="13"/>
      <c r="TT143" s="13"/>
      <c r="TU143" s="13"/>
      <c r="TV143" s="13"/>
      <c r="TW143" s="13"/>
      <c r="TX143" s="13"/>
      <c r="TY143" s="13"/>
      <c r="TZ143" s="13"/>
      <c r="UA143" s="13"/>
      <c r="UB143" s="13"/>
      <c r="UC143" s="13"/>
      <c r="UD143" s="13"/>
      <c r="UE143" s="13"/>
      <c r="UF143" s="13"/>
      <c r="UG143" s="13"/>
      <c r="UH143" s="13"/>
      <c r="UI143" s="13"/>
      <c r="UJ143" s="13"/>
      <c r="UK143" s="13"/>
      <c r="UL143" s="13"/>
      <c r="UM143" s="13"/>
      <c r="UN143" s="13"/>
      <c r="UO143" s="13"/>
      <c r="UP143" s="13"/>
      <c r="UQ143" s="13"/>
      <c r="UR143" s="13"/>
      <c r="US143" s="13"/>
      <c r="UT143" s="13"/>
      <c r="UU143" s="13"/>
      <c r="UV143" s="13"/>
      <c r="UW143" s="13"/>
      <c r="UX143" s="13"/>
      <c r="UY143" s="13"/>
      <c r="UZ143" s="13"/>
      <c r="VA143" s="13"/>
      <c r="VB143" s="13"/>
      <c r="VC143" s="13"/>
      <c r="VD143" s="13"/>
      <c r="VE143" s="13"/>
      <c r="VF143" s="13"/>
      <c r="VG143" s="13"/>
      <c r="VH143" s="13"/>
      <c r="VI143" s="13"/>
      <c r="VJ143" s="13"/>
      <c r="VK143" s="13"/>
      <c r="VL143" s="13"/>
      <c r="VM143" s="13"/>
      <c r="VN143" s="13"/>
      <c r="VO143" s="13"/>
      <c r="VP143" s="13"/>
      <c r="VQ143" s="13"/>
      <c r="VR143" s="13"/>
      <c r="VS143" s="13"/>
      <c r="VT143" s="13"/>
      <c r="VU143" s="13"/>
      <c r="VV143" s="13"/>
      <c r="VW143" s="13"/>
      <c r="VX143" s="13"/>
      <c r="VY143" s="13"/>
      <c r="VZ143" s="13"/>
      <c r="WA143" s="13"/>
      <c r="WB143" s="13"/>
      <c r="WC143" s="13"/>
      <c r="WD143" s="13"/>
      <c r="WE143" s="13"/>
      <c r="WF143" s="13"/>
      <c r="WG143" s="13"/>
      <c r="WH143" s="13"/>
      <c r="WI143" s="13"/>
      <c r="WJ143" s="13"/>
      <c r="WK143" s="13"/>
      <c r="WL143" s="13"/>
      <c r="WM143" s="13"/>
      <c r="WN143" s="13"/>
      <c r="WO143" s="13"/>
      <c r="WP143" s="13"/>
      <c r="WQ143" s="13"/>
      <c r="WR143" s="13"/>
      <c r="WS143" s="13"/>
      <c r="WT143" s="13"/>
      <c r="WU143" s="13"/>
      <c r="WV143" s="13"/>
      <c r="WW143" s="13"/>
      <c r="WX143" s="13"/>
      <c r="WY143" s="13"/>
      <c r="WZ143" s="13"/>
      <c r="XA143" s="13"/>
      <c r="XB143" s="13"/>
      <c r="XC143" s="13"/>
      <c r="XD143" s="13"/>
      <c r="XE143" s="13"/>
      <c r="XF143" s="13"/>
      <c r="XG143" s="13"/>
      <c r="XH143" s="13"/>
      <c r="XI143" s="13"/>
      <c r="XJ143" s="13"/>
      <c r="XK143" s="13"/>
      <c r="XL143" s="13"/>
      <c r="XM143" s="13"/>
      <c r="XN143" s="13"/>
      <c r="XO143" s="13"/>
      <c r="XP143" s="13"/>
      <c r="XQ143" s="13"/>
      <c r="XR143" s="13"/>
      <c r="XS143" s="13"/>
      <c r="XT143" s="13"/>
      <c r="XU143" s="13"/>
      <c r="XV143" s="13"/>
      <c r="XW143" s="13"/>
      <c r="XX143" s="13"/>
      <c r="XY143" s="13"/>
      <c r="XZ143" s="13"/>
      <c r="YA143" s="13"/>
      <c r="YB143" s="13"/>
      <c r="YC143" s="13"/>
      <c r="YD143" s="13"/>
      <c r="YE143" s="13"/>
      <c r="YF143" s="13"/>
      <c r="YG143" s="13"/>
      <c r="YH143" s="13"/>
      <c r="YI143" s="13"/>
      <c r="YJ143" s="13"/>
      <c r="YK143" s="13"/>
      <c r="YL143" s="13"/>
      <c r="YM143" s="13"/>
      <c r="YN143" s="13"/>
      <c r="YO143" s="13"/>
      <c r="YP143" s="13"/>
      <c r="YQ143" s="13"/>
      <c r="YR143" s="13"/>
      <c r="YS143" s="13"/>
      <c r="YT143" s="13"/>
      <c r="YU143" s="13"/>
      <c r="YV143" s="13"/>
      <c r="YW143" s="13"/>
      <c r="YX143" s="13"/>
      <c r="YY143" s="13"/>
      <c r="YZ143" s="13"/>
      <c r="ZA143" s="13"/>
      <c r="ZB143" s="13"/>
      <c r="ZC143" s="13"/>
      <c r="ZD143" s="13"/>
      <c r="ZE143" s="13"/>
      <c r="ZF143" s="13"/>
      <c r="ZG143" s="13"/>
      <c r="ZH143" s="13"/>
      <c r="ZI143" s="13"/>
      <c r="ZJ143" s="13"/>
      <c r="ZK143" s="13"/>
      <c r="ZL143" s="13"/>
      <c r="ZM143" s="13"/>
      <c r="ZN143" s="13"/>
      <c r="ZO143" s="13"/>
      <c r="ZP143" s="13"/>
      <c r="ZQ143" s="13"/>
      <c r="ZR143" s="13"/>
      <c r="ZS143" s="13"/>
      <c r="ZT143" s="13"/>
      <c r="ZU143" s="13"/>
      <c r="ZV143" s="13"/>
      <c r="ZW143" s="13"/>
      <c r="ZX143" s="13"/>
      <c r="ZY143" s="13"/>
      <c r="ZZ143" s="13"/>
      <c r="AAA143" s="13"/>
      <c r="AAB143" s="13"/>
      <c r="AAC143" s="13"/>
      <c r="AAD143" s="13"/>
      <c r="AAE143" s="13"/>
      <c r="AAF143" s="13"/>
      <c r="AAG143" s="13"/>
      <c r="AAH143" s="13"/>
      <c r="AAI143" s="13"/>
      <c r="AAJ143" s="13"/>
      <c r="AAK143" s="13"/>
      <c r="AAL143" s="13"/>
      <c r="AAM143" s="13"/>
      <c r="AAN143" s="13"/>
      <c r="AAO143" s="13"/>
      <c r="AAP143" s="13"/>
      <c r="AAQ143" s="13"/>
      <c r="AAR143" s="13"/>
      <c r="AAS143" s="13"/>
      <c r="AAT143" s="13"/>
      <c r="AAU143" s="13"/>
      <c r="AAV143" s="13"/>
      <c r="AAW143" s="13"/>
      <c r="AAX143" s="13"/>
      <c r="AAY143" s="13"/>
      <c r="AAZ143" s="13"/>
      <c r="ABA143" s="13"/>
      <c r="ABB143" s="13"/>
      <c r="ABC143" s="13"/>
      <c r="ABD143" s="13"/>
      <c r="ABE143" s="13"/>
      <c r="ABF143" s="13"/>
      <c r="ABG143" s="13"/>
      <c r="ABH143" s="13"/>
      <c r="ABI143" s="13"/>
      <c r="ABJ143" s="13"/>
      <c r="ABK143" s="13"/>
      <c r="ABL143" s="13"/>
      <c r="ABM143" s="13"/>
      <c r="ABN143" s="13"/>
      <c r="ABO143" s="13"/>
      <c r="ABP143" s="13"/>
      <c r="ABQ143" s="13"/>
      <c r="ABR143" s="13"/>
      <c r="ABS143" s="13"/>
      <c r="ABT143" s="13"/>
      <c r="ABU143" s="13"/>
      <c r="ABV143" s="13"/>
      <c r="ABW143" s="13"/>
      <c r="ABX143" s="13"/>
      <c r="ABY143" s="13"/>
      <c r="ABZ143" s="13"/>
      <c r="ACA143" s="13"/>
      <c r="ACB143" s="13"/>
      <c r="ACC143" s="13"/>
      <c r="ACD143" s="13"/>
      <c r="ACE143" s="13"/>
      <c r="ACF143" s="13"/>
      <c r="ACG143" s="13"/>
      <c r="ACH143" s="13"/>
      <c r="ACI143" s="13"/>
      <c r="ACJ143" s="13"/>
      <c r="ACK143" s="13"/>
      <c r="ACL143" s="13"/>
      <c r="ACM143" s="13"/>
      <c r="ACN143" s="13"/>
      <c r="ACO143" s="13"/>
      <c r="ACP143" s="13"/>
      <c r="ACQ143" s="13"/>
      <c r="ACR143" s="13"/>
      <c r="ACS143" s="13"/>
      <c r="ACT143" s="13"/>
      <c r="ACU143" s="13"/>
      <c r="ACV143" s="13"/>
      <c r="ACW143" s="13"/>
      <c r="ACX143" s="13"/>
      <c r="ACY143" s="13"/>
      <c r="ACZ143" s="13"/>
      <c r="ADA143" s="13"/>
      <c r="ADB143" s="13"/>
      <c r="ADC143" s="13"/>
      <c r="ADD143" s="13"/>
      <c r="ADE143" s="13"/>
      <c r="ADF143" s="13"/>
      <c r="ADG143" s="13"/>
      <c r="ADH143" s="13"/>
      <c r="ADI143" s="13"/>
      <c r="ADJ143" s="13"/>
      <c r="ADK143" s="13"/>
      <c r="ADL143" s="13"/>
      <c r="ADM143" s="13"/>
      <c r="ADN143" s="13"/>
      <c r="ADO143" s="13"/>
      <c r="ADP143" s="13"/>
      <c r="ADQ143" s="13"/>
      <c r="ADR143" s="13"/>
      <c r="ADS143" s="13"/>
      <c r="ADT143" s="13"/>
      <c r="ADU143" s="13"/>
      <c r="ADV143" s="13"/>
      <c r="ADW143" s="13"/>
      <c r="ADX143" s="13"/>
      <c r="ADY143" s="13"/>
      <c r="ADZ143" s="13"/>
      <c r="AEA143" s="13"/>
      <c r="AEB143" s="13"/>
      <c r="AEC143" s="13"/>
      <c r="AED143" s="13"/>
      <c r="AEE143" s="13"/>
      <c r="AEF143" s="13"/>
      <c r="AEG143" s="13"/>
      <c r="AEH143" s="13"/>
      <c r="AEI143" s="13"/>
      <c r="AEJ143" s="13"/>
      <c r="AEK143" s="13"/>
      <c r="AEL143" s="13"/>
      <c r="AEM143" s="13"/>
      <c r="AEN143" s="13"/>
      <c r="AEO143" s="13"/>
      <c r="AEP143" s="13"/>
      <c r="AEQ143" s="13"/>
      <c r="AER143" s="13"/>
      <c r="AES143" s="13"/>
      <c r="AET143" s="13"/>
      <c r="AEU143" s="13"/>
      <c r="AEV143" s="13"/>
      <c r="AEW143" s="13"/>
      <c r="AEX143" s="13"/>
      <c r="AEY143" s="13"/>
      <c r="AEZ143" s="13"/>
      <c r="AFA143" s="13"/>
      <c r="AFB143" s="13"/>
      <c r="AFC143" s="13"/>
      <c r="AFD143" s="13"/>
      <c r="AFE143" s="13"/>
      <c r="AFF143" s="13"/>
      <c r="AFG143" s="13"/>
      <c r="AFH143" s="13"/>
      <c r="AFI143" s="13"/>
      <c r="AFJ143" s="13"/>
      <c r="AFK143" s="13"/>
      <c r="AFL143" s="13"/>
      <c r="AFM143" s="13"/>
      <c r="AFN143" s="13"/>
      <c r="AFO143" s="13"/>
      <c r="AFP143" s="13"/>
      <c r="AFQ143" s="13"/>
      <c r="AFR143" s="13"/>
      <c r="AFS143" s="13"/>
      <c r="AFT143" s="13"/>
      <c r="AFU143" s="13"/>
      <c r="AFV143" s="13"/>
      <c r="AFW143" s="13"/>
      <c r="AFX143" s="13"/>
      <c r="AFY143" s="13"/>
      <c r="AFZ143" s="13"/>
      <c r="AGA143" s="13"/>
      <c r="AGB143" s="13"/>
      <c r="AGC143" s="13"/>
      <c r="AGD143" s="13"/>
      <c r="AGE143" s="13"/>
      <c r="AGF143" s="13"/>
      <c r="AGG143" s="13"/>
      <c r="AGH143" s="13"/>
      <c r="AGI143" s="13"/>
      <c r="AGJ143" s="13"/>
      <c r="AGK143" s="13"/>
      <c r="AGL143" s="13"/>
      <c r="AGM143" s="13"/>
      <c r="AGN143" s="13"/>
      <c r="AGO143" s="13"/>
      <c r="AGP143" s="13"/>
      <c r="AGQ143" s="13"/>
      <c r="AGR143" s="13"/>
      <c r="AGS143" s="13"/>
      <c r="AGT143" s="13"/>
      <c r="AGU143" s="13"/>
      <c r="AGV143" s="13"/>
      <c r="AGW143" s="13"/>
      <c r="AGX143" s="13"/>
      <c r="AGY143" s="13"/>
      <c r="AGZ143" s="13"/>
      <c r="AHA143" s="13"/>
      <c r="AHB143" s="13"/>
      <c r="AHC143" s="13"/>
      <c r="AHD143" s="13"/>
      <c r="AHE143" s="13"/>
      <c r="AHF143" s="13"/>
      <c r="AHG143" s="13"/>
      <c r="AHH143" s="13"/>
      <c r="AHI143" s="13"/>
      <c r="AHJ143" s="13"/>
      <c r="AHK143" s="13"/>
      <c r="AHL143" s="13"/>
      <c r="AHM143" s="13"/>
      <c r="AHN143" s="13"/>
      <c r="AHO143" s="13"/>
      <c r="AHP143" s="13"/>
      <c r="AHQ143" s="13"/>
      <c r="AHR143" s="13"/>
      <c r="AHS143" s="13"/>
      <c r="AHT143" s="13"/>
      <c r="AHU143" s="13"/>
      <c r="AHV143" s="13"/>
      <c r="AHW143" s="13"/>
      <c r="AHX143" s="13"/>
      <c r="AHY143" s="13"/>
      <c r="AHZ143" s="13"/>
      <c r="AIA143" s="13"/>
      <c r="AIB143" s="13"/>
      <c r="AIC143" s="13"/>
      <c r="AID143" s="13"/>
      <c r="AIE143" s="13"/>
      <c r="AIF143" s="13"/>
      <c r="AIG143" s="13"/>
      <c r="AIH143" s="13"/>
      <c r="AII143" s="13"/>
      <c r="AIJ143" s="13"/>
      <c r="AIK143" s="13"/>
      <c r="AIL143" s="13"/>
      <c r="AIM143" s="13"/>
      <c r="AIN143" s="13"/>
      <c r="AIO143" s="13"/>
      <c r="AIP143" s="13"/>
      <c r="AIQ143" s="13"/>
      <c r="AIR143" s="13"/>
      <c r="AIS143" s="13"/>
      <c r="AIT143" s="13"/>
      <c r="AIU143" s="13"/>
      <c r="AIV143" s="13"/>
      <c r="AIW143" s="13"/>
      <c r="AIX143" s="13"/>
      <c r="AIY143" s="13"/>
      <c r="AIZ143" s="13"/>
      <c r="AJA143" s="13"/>
      <c r="AJB143" s="13"/>
      <c r="AJC143" s="13"/>
      <c r="AJD143" s="13"/>
      <c r="AJE143" s="13"/>
      <c r="AJF143" s="13"/>
      <c r="AJG143" s="13"/>
      <c r="AJH143" s="13"/>
      <c r="AJI143" s="13"/>
      <c r="AJJ143" s="13"/>
      <c r="AJK143" s="13"/>
      <c r="AJL143" s="13"/>
      <c r="AJM143" s="13"/>
      <c r="AJN143" s="13"/>
      <c r="AJO143" s="13"/>
      <c r="AJP143" s="13"/>
      <c r="AJQ143" s="13"/>
      <c r="AJR143" s="13"/>
      <c r="AJS143" s="13"/>
      <c r="AJT143" s="13"/>
      <c r="AJU143" s="13"/>
      <c r="AJV143" s="13"/>
      <c r="AJW143" s="13"/>
      <c r="AJX143" s="13"/>
      <c r="AJY143" s="13"/>
      <c r="AJZ143" s="13"/>
      <c r="AKA143" s="13"/>
      <c r="AKB143" s="13"/>
      <c r="AKC143" s="13"/>
      <c r="AKD143" s="13"/>
      <c r="AKE143" s="13"/>
      <c r="AKF143" s="13"/>
      <c r="AKG143" s="13"/>
      <c r="AKH143" s="13"/>
      <c r="AKI143" s="13"/>
      <c r="AKJ143" s="13"/>
      <c r="AKK143" s="13"/>
      <c r="AKL143" s="13"/>
      <c r="AKM143" s="13"/>
      <c r="AKN143" s="13"/>
      <c r="AKO143" s="13"/>
      <c r="AKP143" s="13"/>
      <c r="AKQ143" s="13"/>
      <c r="AKR143" s="13"/>
      <c r="AKS143" s="13"/>
      <c r="AKT143" s="13"/>
      <c r="AKU143" s="13"/>
      <c r="AKV143" s="13"/>
      <c r="AKW143" s="13"/>
      <c r="AKX143" s="13"/>
      <c r="AKY143" s="13"/>
      <c r="AKZ143" s="13"/>
      <c r="ALA143" s="13"/>
      <c r="ALB143" s="13"/>
      <c r="ALC143" s="13"/>
      <c r="ALD143" s="13"/>
      <c r="ALE143" s="13"/>
      <c r="ALF143" s="13"/>
      <c r="ALG143" s="13"/>
      <c r="ALH143" s="13"/>
      <c r="ALI143" s="13"/>
      <c r="ALJ143" s="13"/>
      <c r="ALK143" s="13"/>
      <c r="ALL143" s="13"/>
      <c r="ALM143" s="13"/>
      <c r="ALN143" s="13"/>
      <c r="ALO143" s="13"/>
      <c r="ALP143" s="13"/>
      <c r="ALQ143" s="13"/>
      <c r="ALR143" s="13"/>
      <c r="ALS143" s="13"/>
      <c r="ALT143" s="13"/>
      <c r="ALU143" s="13"/>
      <c r="ALV143" s="13"/>
      <c r="ALW143" s="13"/>
      <c r="ALX143" s="13"/>
      <c r="ALY143" s="13"/>
      <c r="ALZ143" s="13"/>
      <c r="AMA143" s="13"/>
      <c r="AMB143" s="13"/>
      <c r="AMC143" s="13"/>
      <c r="AMD143" s="13"/>
      <c r="AME143" s="13"/>
      <c r="AMF143" s="13"/>
      <c r="AMG143" s="13"/>
      <c r="AMH143" s="13"/>
      <c r="AMI143" s="13"/>
      <c r="AMJ143" s="13"/>
      <c r="AMK143" s="13"/>
      <c r="AML143" s="13"/>
      <c r="AMM143" s="13"/>
      <c r="AMN143" s="13"/>
      <c r="AMO143" s="13"/>
      <c r="AMP143" s="13"/>
      <c r="AMQ143" s="13"/>
      <c r="AMR143" s="13"/>
      <c r="AMS143" s="13"/>
      <c r="AMT143" s="13"/>
      <c r="AMU143" s="13"/>
      <c r="AMV143" s="13"/>
      <c r="AMW143" s="13"/>
      <c r="AMX143" s="13"/>
      <c r="AMY143" s="13"/>
      <c r="AMZ143" s="13"/>
      <c r="ANA143" s="13"/>
      <c r="ANB143" s="13"/>
      <c r="ANC143" s="13"/>
      <c r="AND143" s="13"/>
      <c r="ANE143" s="13"/>
      <c r="ANF143" s="13"/>
      <c r="ANG143" s="13"/>
      <c r="ANH143" s="13"/>
      <c r="ANI143" s="13"/>
      <c r="ANJ143" s="13"/>
      <c r="ANK143" s="13"/>
      <c r="ANL143" s="13"/>
      <c r="ANM143" s="13"/>
      <c r="ANN143" s="13"/>
      <c r="ANO143" s="13"/>
      <c r="ANP143" s="13"/>
      <c r="ANQ143" s="13"/>
      <c r="ANR143" s="13"/>
      <c r="ANS143" s="13"/>
      <c r="ANT143" s="13"/>
      <c r="ANU143" s="13"/>
      <c r="ANV143" s="13"/>
      <c r="ANW143" s="13"/>
      <c r="ANX143" s="13"/>
      <c r="ANY143" s="13"/>
      <c r="ANZ143" s="13"/>
      <c r="AOA143" s="13"/>
      <c r="AOB143" s="13"/>
      <c r="AOC143" s="13"/>
      <c r="AOD143" s="13"/>
      <c r="AOE143" s="13"/>
      <c r="AOF143" s="13"/>
      <c r="AOG143" s="13"/>
      <c r="AOH143" s="13"/>
      <c r="AOI143" s="13"/>
      <c r="AOJ143" s="13"/>
      <c r="AOK143" s="13"/>
      <c r="AOL143" s="13"/>
      <c r="AOM143" s="13"/>
      <c r="AON143" s="13"/>
      <c r="AOO143" s="13"/>
      <c r="AOP143" s="13"/>
      <c r="AOQ143" s="13"/>
      <c r="AOR143" s="13"/>
      <c r="AOS143" s="13"/>
      <c r="AOT143" s="13"/>
      <c r="AOU143" s="13"/>
      <c r="AOV143" s="13"/>
      <c r="AOW143" s="13"/>
      <c r="AOX143" s="13"/>
      <c r="AOY143" s="13"/>
      <c r="AOZ143" s="13"/>
      <c r="APA143" s="13"/>
      <c r="APB143" s="13"/>
      <c r="APC143" s="13"/>
      <c r="APD143" s="13"/>
      <c r="APE143" s="13"/>
      <c r="APF143" s="13"/>
      <c r="APG143" s="13"/>
      <c r="APH143" s="13"/>
      <c r="API143" s="13"/>
      <c r="APJ143" s="13"/>
      <c r="APK143" s="13"/>
      <c r="APL143" s="13"/>
      <c r="APM143" s="13"/>
      <c r="APN143" s="13"/>
      <c r="APO143" s="13"/>
      <c r="APP143" s="13"/>
      <c r="APQ143" s="13"/>
      <c r="APR143" s="13"/>
      <c r="APS143" s="13"/>
      <c r="APT143" s="13"/>
      <c r="APU143" s="13"/>
      <c r="APV143" s="13"/>
      <c r="APW143" s="13"/>
      <c r="APX143" s="13"/>
      <c r="APY143" s="13"/>
      <c r="APZ143" s="13"/>
      <c r="AQA143" s="13"/>
      <c r="AQB143" s="13"/>
      <c r="AQC143" s="13"/>
      <c r="AQD143" s="13"/>
      <c r="AQE143" s="13"/>
      <c r="AQF143" s="13"/>
      <c r="AQG143" s="13"/>
      <c r="AQH143" s="13"/>
      <c r="AQI143" s="13"/>
      <c r="AQJ143" s="13"/>
      <c r="AQK143" s="13"/>
      <c r="AQL143" s="13"/>
      <c r="AQM143" s="13"/>
      <c r="AQN143" s="13"/>
      <c r="AQO143" s="13"/>
      <c r="AQP143" s="13"/>
      <c r="AQQ143" s="13"/>
      <c r="AQR143" s="13"/>
      <c r="AQS143" s="13"/>
      <c r="AQT143" s="13"/>
      <c r="AQU143" s="13"/>
      <c r="AQV143" s="13"/>
      <c r="AQW143" s="13"/>
      <c r="AQX143" s="13"/>
      <c r="AQY143" s="13"/>
      <c r="AQZ143" s="13"/>
      <c r="ARA143" s="13"/>
      <c r="ARB143" s="13"/>
      <c r="ARC143" s="13"/>
      <c r="ARD143" s="13"/>
      <c r="ARE143" s="13"/>
      <c r="ARF143" s="13"/>
      <c r="ARG143" s="13"/>
      <c r="ARH143" s="13"/>
      <c r="ARI143" s="13"/>
      <c r="ARJ143" s="13"/>
      <c r="ARK143" s="13"/>
      <c r="ARL143" s="13"/>
      <c r="ARM143" s="13"/>
      <c r="ARN143" s="13"/>
      <c r="ARO143" s="13"/>
      <c r="ARP143" s="13"/>
      <c r="ARQ143" s="13"/>
      <c r="ARR143" s="13"/>
      <c r="ARS143" s="13"/>
      <c r="ART143" s="13"/>
      <c r="ARU143" s="13"/>
      <c r="ARV143" s="13"/>
      <c r="ARW143" s="13"/>
      <c r="ARX143" s="13"/>
      <c r="ARY143" s="13"/>
      <c r="ARZ143" s="13"/>
      <c r="ASA143" s="13"/>
      <c r="ASB143" s="13"/>
      <c r="ASC143" s="13"/>
      <c r="ASD143" s="13"/>
      <c r="ASE143" s="13"/>
      <c r="ASF143" s="13"/>
      <c r="ASG143" s="13"/>
      <c r="ASH143" s="13"/>
      <c r="ASI143" s="13"/>
      <c r="ASJ143" s="13"/>
      <c r="ASK143" s="13"/>
      <c r="ASL143" s="13"/>
      <c r="ASM143" s="13"/>
      <c r="ASN143" s="13"/>
      <c r="ASO143" s="13"/>
      <c r="ASP143" s="13"/>
      <c r="ASQ143" s="13"/>
      <c r="ASR143" s="13"/>
      <c r="ASS143" s="13"/>
      <c r="AST143" s="13"/>
      <c r="ASU143" s="13"/>
      <c r="ASV143" s="13"/>
      <c r="ASW143" s="13"/>
      <c r="ASX143" s="13"/>
      <c r="ASY143" s="13"/>
      <c r="ASZ143" s="13"/>
      <c r="ATA143" s="13"/>
      <c r="ATB143" s="13"/>
      <c r="ATC143" s="13"/>
      <c r="ATD143" s="13"/>
      <c r="ATE143" s="13"/>
      <c r="ATF143" s="13"/>
      <c r="ATG143" s="13"/>
      <c r="ATH143" s="13"/>
      <c r="ATI143" s="13"/>
      <c r="ATJ143" s="13"/>
      <c r="ATK143" s="13"/>
      <c r="ATL143" s="13"/>
      <c r="ATM143" s="13"/>
      <c r="ATN143" s="13"/>
      <c r="ATO143" s="13"/>
      <c r="ATP143" s="13"/>
      <c r="ATQ143" s="13"/>
      <c r="ATR143" s="13"/>
      <c r="ATS143" s="13"/>
      <c r="ATT143" s="13"/>
      <c r="ATU143" s="13"/>
      <c r="ATV143" s="13"/>
      <c r="ATW143" s="13"/>
      <c r="ATX143" s="13"/>
      <c r="ATY143" s="13"/>
      <c r="ATZ143" s="13"/>
      <c r="AUA143" s="13"/>
      <c r="AUB143" s="13"/>
      <c r="AUC143" s="13"/>
      <c r="AUD143" s="13"/>
      <c r="AUE143" s="13"/>
      <c r="AUF143" s="13"/>
      <c r="AUG143" s="13"/>
      <c r="AUH143" s="13"/>
      <c r="AUI143" s="13"/>
      <c r="AUJ143" s="13"/>
      <c r="AUK143" s="13"/>
      <c r="AUL143" s="13"/>
      <c r="AUM143" s="13"/>
      <c r="AUN143" s="13"/>
      <c r="AUO143" s="13"/>
      <c r="AUP143" s="13"/>
      <c r="AUQ143" s="13"/>
      <c r="AUR143" s="13"/>
      <c r="AUS143" s="13"/>
      <c r="AUT143" s="13"/>
      <c r="AUU143" s="13"/>
      <c r="AUV143" s="13"/>
      <c r="AUW143" s="13"/>
      <c r="AUX143" s="13"/>
      <c r="AUY143" s="13"/>
      <c r="AUZ143" s="13"/>
      <c r="AVA143" s="13"/>
      <c r="AVB143" s="13"/>
      <c r="AVC143" s="13"/>
      <c r="AVD143" s="13"/>
      <c r="AVE143" s="13"/>
      <c r="AVF143" s="13"/>
      <c r="AVG143" s="13"/>
      <c r="AVH143" s="13"/>
      <c r="AVI143" s="13"/>
      <c r="AVJ143" s="13"/>
      <c r="AVK143" s="13"/>
      <c r="AVL143" s="13"/>
      <c r="AVM143" s="13"/>
      <c r="AVN143" s="13"/>
      <c r="AVO143" s="13"/>
      <c r="AVP143" s="13"/>
      <c r="AVQ143" s="13"/>
      <c r="AVR143" s="13"/>
      <c r="AVS143" s="13"/>
      <c r="AVT143" s="13"/>
      <c r="AVU143" s="13"/>
      <c r="AVV143" s="13"/>
      <c r="AVW143" s="13"/>
      <c r="AVX143" s="13"/>
      <c r="AVY143" s="13"/>
      <c r="AVZ143" s="13"/>
      <c r="AWA143" s="13"/>
      <c r="AWB143" s="13"/>
      <c r="AWC143" s="13"/>
      <c r="AWD143" s="13"/>
      <c r="AWE143" s="13"/>
      <c r="AWF143" s="13"/>
      <c r="AWG143" s="13"/>
      <c r="AWH143" s="13"/>
      <c r="AWI143" s="13"/>
      <c r="AWJ143" s="13"/>
      <c r="AWK143" s="13"/>
      <c r="AWL143" s="13"/>
      <c r="AWM143" s="13"/>
      <c r="AWN143" s="13"/>
      <c r="AWO143" s="13"/>
      <c r="AWP143" s="13"/>
      <c r="AWQ143" s="13"/>
      <c r="AWR143" s="13"/>
      <c r="AWS143" s="13"/>
      <c r="AWT143" s="13"/>
      <c r="AWU143" s="13"/>
      <c r="AWV143" s="13"/>
      <c r="AWW143" s="13"/>
      <c r="AWX143" s="13"/>
      <c r="AWY143" s="13"/>
      <c r="AWZ143" s="13"/>
      <c r="AXA143" s="13"/>
      <c r="AXB143" s="13"/>
      <c r="AXC143" s="13"/>
      <c r="AXD143" s="13"/>
      <c r="AXE143" s="13"/>
      <c r="AXF143" s="13"/>
      <c r="AXG143" s="13"/>
      <c r="AXH143" s="13"/>
      <c r="AXI143" s="13"/>
      <c r="AXJ143" s="13"/>
      <c r="AXK143" s="13"/>
      <c r="AXL143" s="13"/>
      <c r="AXM143" s="13"/>
      <c r="AXN143" s="13"/>
      <c r="AXO143" s="13"/>
      <c r="AXP143" s="13"/>
      <c r="AXQ143" s="13"/>
      <c r="AXR143" s="13"/>
      <c r="AXS143" s="13"/>
      <c r="AXT143" s="13"/>
      <c r="AXU143" s="13"/>
      <c r="AXV143" s="13"/>
      <c r="AXW143" s="13"/>
      <c r="AXX143" s="13"/>
      <c r="AXY143" s="13"/>
      <c r="AXZ143" s="13"/>
      <c r="AYA143" s="13"/>
      <c r="AYB143" s="13"/>
      <c r="AYC143" s="13"/>
      <c r="AYD143" s="13"/>
      <c r="AYE143" s="13"/>
      <c r="AYF143" s="13"/>
      <c r="AYG143" s="13"/>
      <c r="AYH143" s="13"/>
      <c r="AYI143" s="13"/>
      <c r="AYJ143" s="13"/>
      <c r="AYK143" s="13"/>
      <c r="AYL143" s="13"/>
      <c r="AYM143" s="13"/>
      <c r="AYN143" s="13"/>
      <c r="AYO143" s="13"/>
      <c r="AYP143" s="13"/>
      <c r="AYQ143" s="13"/>
      <c r="AYR143" s="13"/>
      <c r="AYS143" s="13"/>
      <c r="AYT143" s="13"/>
      <c r="AYU143" s="13"/>
      <c r="AYV143" s="13"/>
      <c r="AYW143" s="13"/>
      <c r="AYX143" s="13"/>
      <c r="AYY143" s="13"/>
      <c r="AYZ143" s="13"/>
      <c r="AZA143" s="13"/>
      <c r="AZB143" s="13"/>
      <c r="AZC143" s="13"/>
      <c r="AZD143" s="13"/>
      <c r="AZE143" s="13"/>
      <c r="AZF143" s="13"/>
      <c r="AZG143" s="13"/>
      <c r="AZH143" s="13"/>
      <c r="AZI143" s="13"/>
      <c r="AZJ143" s="13"/>
      <c r="AZK143" s="13"/>
      <c r="AZL143" s="13"/>
      <c r="AZM143" s="13"/>
      <c r="AZN143" s="13"/>
      <c r="AZO143" s="13"/>
      <c r="AZP143" s="13"/>
      <c r="AZQ143" s="13"/>
      <c r="AZR143" s="13"/>
      <c r="AZS143" s="13"/>
      <c r="AZT143" s="13"/>
      <c r="AZU143" s="13"/>
      <c r="AZV143" s="13"/>
      <c r="AZW143" s="13"/>
      <c r="AZX143" s="13"/>
      <c r="AZY143" s="13"/>
      <c r="AZZ143" s="13"/>
      <c r="BAA143" s="13"/>
      <c r="BAB143" s="13"/>
      <c r="BAC143" s="13"/>
      <c r="BAD143" s="13"/>
      <c r="BAE143" s="13"/>
      <c r="BAF143" s="13"/>
      <c r="BAG143" s="13"/>
      <c r="BAH143" s="13"/>
      <c r="BAI143" s="13"/>
      <c r="BAJ143" s="13"/>
      <c r="BAK143" s="13"/>
      <c r="BAL143" s="13"/>
      <c r="BAM143" s="13"/>
      <c r="BAN143" s="13"/>
      <c r="BAO143" s="13"/>
      <c r="BAP143" s="13"/>
      <c r="BAQ143" s="13"/>
      <c r="BAR143" s="13"/>
      <c r="BAS143" s="13"/>
      <c r="BAT143" s="13"/>
      <c r="BAU143" s="13"/>
      <c r="BAV143" s="13"/>
      <c r="BAW143" s="13"/>
      <c r="BAX143" s="13"/>
      <c r="BAY143" s="13"/>
      <c r="BAZ143" s="13"/>
      <c r="BBA143" s="13"/>
      <c r="BBB143" s="13"/>
      <c r="BBC143" s="13"/>
      <c r="BBD143" s="13"/>
      <c r="BBE143" s="13"/>
      <c r="BBF143" s="13"/>
      <c r="BBG143" s="13"/>
      <c r="BBH143" s="13"/>
      <c r="BBI143" s="13"/>
      <c r="BBJ143" s="13"/>
      <c r="BBK143" s="13"/>
      <c r="BBL143" s="13"/>
      <c r="BBM143" s="13"/>
      <c r="BBN143" s="13"/>
      <c r="BBO143" s="13"/>
      <c r="BBP143" s="13"/>
      <c r="BBQ143" s="13"/>
      <c r="BBR143" s="13"/>
      <c r="BBS143" s="13"/>
      <c r="BBT143" s="13"/>
      <c r="BBU143" s="13"/>
      <c r="BBV143" s="13"/>
      <c r="BBW143" s="13"/>
      <c r="BBX143" s="13"/>
      <c r="BBY143" s="13"/>
      <c r="BBZ143" s="13"/>
      <c r="BCA143" s="13"/>
      <c r="BCB143" s="13"/>
      <c r="BCC143" s="13"/>
      <c r="BCD143" s="13"/>
      <c r="BCE143" s="13"/>
      <c r="BCF143" s="13"/>
      <c r="BCG143" s="13"/>
      <c r="BCH143" s="13"/>
      <c r="BCI143" s="13"/>
      <c r="BCJ143" s="13"/>
      <c r="BCK143" s="13"/>
      <c r="BCL143" s="13"/>
      <c r="BCM143" s="13"/>
      <c r="BCN143" s="13"/>
      <c r="BCO143" s="13"/>
      <c r="BCP143" s="13"/>
      <c r="BCQ143" s="13"/>
      <c r="BCR143" s="13"/>
      <c r="BCS143" s="13"/>
      <c r="BCT143" s="13"/>
      <c r="BCU143" s="13"/>
      <c r="BCV143" s="13"/>
      <c r="BCW143" s="13"/>
      <c r="BCX143" s="13"/>
      <c r="BCY143" s="13"/>
      <c r="BCZ143" s="13"/>
      <c r="BDA143" s="13"/>
      <c r="BDB143" s="13"/>
      <c r="BDC143" s="13"/>
      <c r="BDD143" s="13"/>
      <c r="BDE143" s="13"/>
      <c r="BDF143" s="13"/>
      <c r="BDG143" s="13"/>
      <c r="BDH143" s="13"/>
      <c r="BDI143" s="13"/>
      <c r="BDJ143" s="13"/>
      <c r="BDK143" s="13"/>
      <c r="BDL143" s="13"/>
      <c r="BDM143" s="13"/>
      <c r="BDN143" s="13"/>
      <c r="BDO143" s="13"/>
      <c r="BDP143" s="13"/>
      <c r="BDQ143" s="13"/>
      <c r="BDR143" s="13"/>
      <c r="BDS143" s="13"/>
      <c r="BDT143" s="13"/>
      <c r="BDU143" s="13"/>
      <c r="BDV143" s="13"/>
      <c r="BDW143" s="13"/>
      <c r="BDX143" s="13"/>
      <c r="BDY143" s="13"/>
      <c r="BDZ143" s="13"/>
      <c r="BEA143" s="13"/>
      <c r="BEB143" s="13"/>
      <c r="BEC143" s="13"/>
      <c r="BED143" s="13"/>
      <c r="BEE143" s="13"/>
      <c r="BEF143" s="13"/>
      <c r="BEG143" s="13"/>
      <c r="BEH143" s="13"/>
      <c r="BEI143" s="13"/>
      <c r="BEJ143" s="13"/>
      <c r="BEK143" s="13"/>
      <c r="BEL143" s="13"/>
      <c r="BEM143" s="13"/>
      <c r="BEN143" s="13"/>
      <c r="BEO143" s="13"/>
      <c r="BEP143" s="13"/>
      <c r="BEQ143" s="13"/>
      <c r="BER143" s="13"/>
      <c r="BES143" s="13"/>
      <c r="BET143" s="13"/>
      <c r="BEU143" s="13"/>
      <c r="BEV143" s="13"/>
      <c r="BEW143" s="13"/>
      <c r="BEX143" s="13"/>
      <c r="BEY143" s="13"/>
      <c r="BEZ143" s="13"/>
      <c r="BFA143" s="13"/>
      <c r="BFB143" s="13"/>
      <c r="BFC143" s="13"/>
      <c r="BFD143" s="13"/>
      <c r="BFE143" s="13"/>
      <c r="BFF143" s="13"/>
      <c r="BFG143" s="13"/>
      <c r="BFH143" s="13"/>
      <c r="BFI143" s="13"/>
      <c r="BFJ143" s="13"/>
      <c r="BFK143" s="13"/>
      <c r="BFL143" s="13"/>
      <c r="BFM143" s="13"/>
      <c r="BFN143" s="13"/>
      <c r="BFO143" s="13"/>
      <c r="BFP143" s="13"/>
      <c r="BFQ143" s="13"/>
      <c r="BFR143" s="13"/>
      <c r="BFS143" s="13"/>
      <c r="BFT143" s="13"/>
      <c r="BFU143" s="13"/>
      <c r="BFV143" s="13"/>
      <c r="BFW143" s="13"/>
      <c r="BFX143" s="13"/>
      <c r="BFY143" s="13"/>
      <c r="BFZ143" s="13"/>
      <c r="BGA143" s="13"/>
      <c r="BGB143" s="13"/>
      <c r="BGC143" s="13"/>
      <c r="BGD143" s="13"/>
      <c r="BGE143" s="13"/>
      <c r="BGF143" s="13"/>
      <c r="BGG143" s="13"/>
      <c r="BGH143" s="13"/>
      <c r="BGI143" s="13"/>
      <c r="BGJ143" s="13"/>
      <c r="BGK143" s="13"/>
      <c r="BGL143" s="13"/>
      <c r="BGM143" s="13"/>
      <c r="BGN143" s="13"/>
      <c r="BGO143" s="13"/>
      <c r="BGP143" s="13"/>
      <c r="BGQ143" s="13"/>
      <c r="BGR143" s="13"/>
      <c r="BGS143" s="13"/>
      <c r="BGT143" s="13"/>
      <c r="BGU143" s="13"/>
      <c r="BGV143" s="13"/>
      <c r="BGW143" s="13"/>
      <c r="BGX143" s="13"/>
      <c r="BGY143" s="13"/>
      <c r="BGZ143" s="13"/>
      <c r="BHA143" s="13"/>
      <c r="BHB143" s="13"/>
      <c r="BHC143" s="13"/>
      <c r="BHD143" s="13"/>
      <c r="BHE143" s="13"/>
      <c r="BHF143" s="13"/>
      <c r="BHG143" s="13"/>
      <c r="BHH143" s="13"/>
      <c r="BHI143" s="13"/>
      <c r="BHJ143" s="13"/>
      <c r="BHK143" s="13"/>
      <c r="BHL143" s="13"/>
      <c r="BHM143" s="13"/>
      <c r="BHN143" s="13"/>
      <c r="BHO143" s="13"/>
      <c r="BHP143" s="13"/>
      <c r="BHQ143" s="13"/>
      <c r="BHR143" s="13"/>
      <c r="BHS143" s="13"/>
      <c r="BHT143" s="13"/>
      <c r="BHU143" s="13"/>
      <c r="BHV143" s="13"/>
      <c r="BHW143" s="13"/>
      <c r="BHX143" s="13"/>
      <c r="BHY143" s="13"/>
      <c r="BHZ143" s="13"/>
      <c r="BIA143" s="13"/>
      <c r="BIB143" s="13"/>
      <c r="BIC143" s="13"/>
      <c r="BID143" s="13"/>
      <c r="BIE143" s="13"/>
      <c r="BIF143" s="13"/>
      <c r="BIG143" s="13"/>
      <c r="BIH143" s="13"/>
      <c r="BII143" s="13"/>
      <c r="BIJ143" s="13"/>
      <c r="BIK143" s="13"/>
      <c r="BIL143" s="13"/>
      <c r="BIM143" s="13"/>
      <c r="BIN143" s="13"/>
      <c r="BIO143" s="13"/>
      <c r="BIP143" s="13"/>
      <c r="BIQ143" s="13"/>
      <c r="BIR143" s="13"/>
      <c r="BIS143" s="13"/>
      <c r="BIT143" s="13"/>
      <c r="BIU143" s="13"/>
      <c r="BIV143" s="13"/>
      <c r="BIW143" s="13"/>
      <c r="BIX143" s="13"/>
      <c r="BIY143" s="13"/>
      <c r="BIZ143" s="13"/>
      <c r="BJA143" s="13"/>
      <c r="BJB143" s="13"/>
      <c r="BJC143" s="13"/>
      <c r="BJD143" s="13"/>
      <c r="BJE143" s="13"/>
      <c r="BJF143" s="13"/>
      <c r="BJG143" s="13"/>
      <c r="BJH143" s="13"/>
      <c r="BJI143" s="13"/>
      <c r="BJJ143" s="13"/>
      <c r="BJK143" s="13"/>
      <c r="BJL143" s="13"/>
      <c r="BJM143" s="13"/>
      <c r="BJN143" s="13"/>
      <c r="BJO143" s="13"/>
      <c r="BJP143" s="13"/>
      <c r="BJQ143" s="13"/>
      <c r="BJR143" s="13"/>
      <c r="BJS143" s="13"/>
      <c r="BJT143" s="13"/>
      <c r="BJU143" s="13"/>
      <c r="BJV143" s="13"/>
      <c r="BJW143" s="13"/>
      <c r="BJX143" s="13"/>
      <c r="BJY143" s="13"/>
      <c r="BJZ143" s="13"/>
      <c r="BKA143" s="13"/>
      <c r="BKB143" s="13"/>
      <c r="BKC143" s="13"/>
      <c r="BKD143" s="13"/>
      <c r="BKE143" s="13"/>
      <c r="BKF143" s="13"/>
      <c r="BKG143" s="13"/>
      <c r="BKH143" s="13"/>
      <c r="BKI143" s="13"/>
      <c r="BKJ143" s="13"/>
      <c r="BKK143" s="13"/>
      <c r="BKL143" s="13"/>
      <c r="BKM143" s="13"/>
      <c r="BKN143" s="13"/>
      <c r="BKO143" s="13"/>
      <c r="BKP143" s="13"/>
      <c r="BKQ143" s="13"/>
      <c r="BKR143" s="13"/>
      <c r="BKS143" s="13"/>
      <c r="BKT143" s="13"/>
      <c r="BKU143" s="13"/>
      <c r="BKV143" s="13"/>
      <c r="BKW143" s="13"/>
      <c r="BKX143" s="13"/>
      <c r="BKY143" s="13"/>
      <c r="BKZ143" s="13"/>
      <c r="BLA143" s="13"/>
      <c r="BLB143" s="13"/>
      <c r="BLC143" s="13"/>
      <c r="BLD143" s="13"/>
      <c r="BLE143" s="13"/>
      <c r="BLF143" s="13"/>
      <c r="BLG143" s="13"/>
      <c r="BLH143" s="13"/>
      <c r="BLI143" s="13"/>
      <c r="BLJ143" s="13"/>
      <c r="BLK143" s="13"/>
      <c r="BLL143" s="13"/>
      <c r="BLM143" s="13"/>
      <c r="BLN143" s="13"/>
      <c r="BLO143" s="13"/>
      <c r="BLP143" s="13"/>
      <c r="BLQ143" s="13"/>
      <c r="BLR143" s="13"/>
      <c r="BLS143" s="13"/>
      <c r="BLT143" s="13"/>
      <c r="BLU143" s="13"/>
      <c r="BLV143" s="13"/>
      <c r="BLW143" s="13"/>
      <c r="BLX143" s="13"/>
      <c r="BLY143" s="13"/>
      <c r="BLZ143" s="13"/>
      <c r="BMA143" s="13"/>
      <c r="BMB143" s="13"/>
      <c r="BMC143" s="13"/>
      <c r="BMD143" s="13"/>
      <c r="BME143" s="13"/>
      <c r="BMF143" s="13"/>
      <c r="BMG143" s="13"/>
      <c r="BMH143" s="13"/>
      <c r="BMI143" s="13"/>
      <c r="BMJ143" s="13"/>
      <c r="BMK143" s="13"/>
      <c r="BML143" s="13"/>
      <c r="BMM143" s="13"/>
      <c r="BMN143" s="13"/>
      <c r="BMO143" s="13"/>
      <c r="BMP143" s="13"/>
      <c r="BMQ143" s="13"/>
      <c r="BMR143" s="13"/>
      <c r="BMS143" s="13"/>
      <c r="BMT143" s="13"/>
      <c r="BMU143" s="13"/>
      <c r="BMV143" s="13"/>
      <c r="BMW143" s="13"/>
      <c r="BMX143" s="13"/>
      <c r="BMY143" s="13"/>
      <c r="BMZ143" s="13"/>
      <c r="BNA143" s="13"/>
      <c r="BNB143" s="13"/>
      <c r="BNC143" s="13"/>
      <c r="BND143" s="13"/>
      <c r="BNE143" s="13"/>
      <c r="BNF143" s="13"/>
      <c r="BNG143" s="13"/>
      <c r="BNH143" s="13"/>
      <c r="BNI143" s="13"/>
      <c r="BNJ143" s="13"/>
      <c r="BNK143" s="13"/>
      <c r="BNL143" s="13"/>
      <c r="BNM143" s="13"/>
      <c r="BNN143" s="13"/>
      <c r="BNO143" s="13"/>
      <c r="BNP143" s="13"/>
      <c r="BNQ143" s="13"/>
      <c r="BNR143" s="13"/>
      <c r="BNS143" s="13"/>
      <c r="BNT143" s="13"/>
      <c r="BNU143" s="13"/>
      <c r="BNV143" s="13"/>
      <c r="BNW143" s="13"/>
      <c r="BNX143" s="13"/>
      <c r="BNY143" s="13"/>
      <c r="BNZ143" s="13"/>
      <c r="BOA143" s="13"/>
      <c r="BOB143" s="13"/>
      <c r="BOC143" s="13"/>
      <c r="BOD143" s="13"/>
      <c r="BOE143" s="13"/>
      <c r="BOF143" s="13"/>
      <c r="BOG143" s="13"/>
      <c r="BOH143" s="13"/>
      <c r="BOI143" s="13"/>
      <c r="BOJ143" s="13"/>
      <c r="BOK143" s="13"/>
      <c r="BOL143" s="13"/>
      <c r="BOM143" s="13"/>
      <c r="BON143" s="13"/>
      <c r="BOO143" s="13"/>
      <c r="BOP143" s="13"/>
      <c r="BOQ143" s="13"/>
      <c r="BOR143" s="13"/>
      <c r="BOS143" s="13"/>
      <c r="BOT143" s="13"/>
      <c r="BOU143" s="13"/>
      <c r="BOV143" s="13"/>
      <c r="BOW143" s="13"/>
      <c r="BOX143" s="13"/>
      <c r="BOY143" s="13"/>
      <c r="BOZ143" s="13"/>
      <c r="BPA143" s="13"/>
      <c r="BPB143" s="13"/>
      <c r="BPC143" s="13"/>
      <c r="BPD143" s="13"/>
      <c r="BPE143" s="13"/>
      <c r="BPF143" s="13"/>
      <c r="BPG143" s="13"/>
      <c r="BPH143" s="13"/>
      <c r="BPI143" s="13"/>
      <c r="BPJ143" s="13"/>
      <c r="BPK143" s="13"/>
      <c r="BPL143" s="13"/>
      <c r="BPM143" s="13"/>
      <c r="BPN143" s="13"/>
      <c r="BPO143" s="13"/>
      <c r="BPP143" s="13"/>
      <c r="BPQ143" s="13"/>
      <c r="BPR143" s="13"/>
      <c r="BPS143" s="13"/>
      <c r="BPT143" s="13"/>
      <c r="BPU143" s="13"/>
      <c r="BPV143" s="13"/>
      <c r="BPW143" s="13"/>
      <c r="BPX143" s="13"/>
      <c r="BPY143" s="13"/>
      <c r="BPZ143" s="13"/>
      <c r="BQA143" s="13"/>
      <c r="BQB143" s="13"/>
      <c r="BQC143" s="13"/>
      <c r="BQD143" s="13"/>
      <c r="BQE143" s="13"/>
      <c r="BQF143" s="13"/>
      <c r="BQG143" s="13"/>
      <c r="BQH143" s="13"/>
      <c r="BQI143" s="13"/>
      <c r="BQJ143" s="13"/>
      <c r="BQK143" s="13"/>
      <c r="BQL143" s="13"/>
      <c r="BQM143" s="13"/>
      <c r="BQN143" s="13"/>
      <c r="BQO143" s="13"/>
      <c r="BQP143" s="13"/>
      <c r="BQQ143" s="13"/>
      <c r="BQR143" s="13"/>
      <c r="BQS143" s="13"/>
      <c r="BQT143" s="13"/>
      <c r="BQU143" s="13"/>
      <c r="BQV143" s="13"/>
      <c r="BQW143" s="13"/>
      <c r="BQX143" s="13"/>
      <c r="BQY143" s="13"/>
      <c r="BQZ143" s="13"/>
      <c r="BRA143" s="13"/>
      <c r="BRB143" s="13"/>
      <c r="BRC143" s="13"/>
      <c r="BRD143" s="13"/>
      <c r="BRE143" s="13"/>
      <c r="BRF143" s="13"/>
      <c r="BRG143" s="13"/>
      <c r="BRH143" s="13"/>
      <c r="BRI143" s="13"/>
      <c r="BRJ143" s="13"/>
      <c r="BRK143" s="13"/>
      <c r="BRL143" s="13"/>
      <c r="BRM143" s="13"/>
      <c r="BRN143" s="13"/>
      <c r="BRO143" s="13"/>
      <c r="BRP143" s="13"/>
      <c r="BRQ143" s="13"/>
      <c r="BRR143" s="13"/>
      <c r="BRS143" s="13"/>
      <c r="BRT143" s="13"/>
      <c r="BRU143" s="13"/>
      <c r="BRV143" s="13"/>
      <c r="BRW143" s="13"/>
      <c r="BRX143" s="13"/>
      <c r="BRY143" s="13"/>
      <c r="BRZ143" s="13"/>
      <c r="BSA143" s="13"/>
      <c r="BSB143" s="13"/>
      <c r="BSC143" s="13"/>
      <c r="BSD143" s="13"/>
      <c r="BSE143" s="13"/>
      <c r="BSF143" s="13"/>
      <c r="BSG143" s="13"/>
      <c r="BSH143" s="13"/>
      <c r="BSI143" s="13"/>
      <c r="BSJ143" s="13"/>
      <c r="BSK143" s="13"/>
      <c r="BSL143" s="13"/>
      <c r="BSM143" s="13"/>
      <c r="BSN143" s="13"/>
      <c r="BSO143" s="13"/>
      <c r="BSP143" s="13"/>
      <c r="BSQ143" s="13"/>
      <c r="BSR143" s="13"/>
      <c r="BSS143" s="13"/>
      <c r="BST143" s="13"/>
      <c r="BSU143" s="13"/>
      <c r="BSV143" s="13"/>
      <c r="BSW143" s="13"/>
      <c r="BSX143" s="13"/>
      <c r="BSY143" s="13"/>
      <c r="BSZ143" s="13"/>
      <c r="BTA143" s="13"/>
    </row>
    <row r="144" spans="1:1873" s="23" customFormat="1" x14ac:dyDescent="0.2">
      <c r="A144" s="234"/>
      <c r="B144" s="234"/>
      <c r="C144" s="234"/>
      <c r="D144" s="234"/>
      <c r="E144" s="493"/>
      <c r="F144" s="501"/>
      <c r="G144" s="491"/>
      <c r="H144" s="501"/>
      <c r="I144" s="234"/>
      <c r="J144" s="234"/>
      <c r="K144" s="234"/>
      <c r="L144" s="234"/>
      <c r="M144" s="389"/>
      <c r="N144" s="389"/>
      <c r="O144" s="29"/>
      <c r="P144" s="237"/>
      <c r="Q144" s="234"/>
      <c r="R144" s="389"/>
      <c r="S144" s="234"/>
      <c r="T144" s="237"/>
      <c r="U144" s="491"/>
      <c r="V144" s="491"/>
      <c r="W144" s="389"/>
      <c r="X144" s="491"/>
      <c r="Y144" s="491"/>
      <c r="Z144" s="234"/>
      <c r="AA144" s="515"/>
      <c r="AB144" s="389"/>
      <c r="AC144" s="389"/>
      <c r="AD144" s="234"/>
      <c r="AE144" s="389"/>
      <c r="AF144" s="234"/>
      <c r="AG144" s="234"/>
      <c r="AH144" s="234"/>
      <c r="AI144" s="234"/>
      <c r="AJ144" s="234"/>
      <c r="AK144" s="234"/>
      <c r="AL144" s="234"/>
      <c r="AM144" s="234"/>
      <c r="AN144" s="234"/>
      <c r="AO144" s="234"/>
      <c r="AP144" s="234"/>
      <c r="AQ144" s="234"/>
      <c r="AR144" s="234"/>
      <c r="AS144" s="234"/>
      <c r="AT144" s="234"/>
      <c r="AU144" s="234"/>
      <c r="AV144" s="234"/>
      <c r="AW144" s="234"/>
      <c r="AX144" s="234"/>
      <c r="AY144" s="234"/>
      <c r="AZ144" s="234"/>
      <c r="BA144" s="234"/>
      <c r="BB144" s="234"/>
      <c r="BC144" s="234"/>
      <c r="BD144" s="234"/>
      <c r="BE144" s="234"/>
      <c r="BF144" s="234"/>
      <c r="BG144" s="234"/>
      <c r="BH144" s="234"/>
      <c r="BI144" s="234"/>
      <c r="BJ144" s="234"/>
      <c r="BK144" s="234"/>
      <c r="BL144" s="234"/>
      <c r="BM144" s="234"/>
      <c r="BN144" s="234"/>
      <c r="BO144" s="234"/>
      <c r="BP144" s="234"/>
      <c r="BQ144" s="234"/>
      <c r="BR144" s="491"/>
      <c r="BS144" s="491"/>
      <c r="BT144" s="491"/>
      <c r="BU144" s="491"/>
      <c r="BV144" s="491"/>
      <c r="BW144" s="491"/>
      <c r="BX144" s="491"/>
      <c r="BY144" s="234"/>
      <c r="BZ144" s="496"/>
      <c r="CA144" s="496"/>
      <c r="CB144" s="499"/>
      <c r="CC144" s="501"/>
      <c r="CD144" s="491"/>
      <c r="CE144" s="342" t="s">
        <v>1576</v>
      </c>
      <c r="CF144" s="342" t="s">
        <v>1575</v>
      </c>
      <c r="CG144" s="74"/>
    </row>
    <row r="145" spans="1:1873" s="23" customFormat="1" x14ac:dyDescent="0.2">
      <c r="A145" s="234" t="s">
        <v>676</v>
      </c>
      <c r="B145" s="234" t="s">
        <v>618</v>
      </c>
      <c r="C145" s="234" t="s">
        <v>473</v>
      </c>
      <c r="D145" s="234" t="s">
        <v>633</v>
      </c>
      <c r="E145" s="493" t="s">
        <v>634</v>
      </c>
      <c r="F145" s="501">
        <v>1</v>
      </c>
      <c r="G145" s="491">
        <v>2</v>
      </c>
      <c r="H145" s="501">
        <v>3</v>
      </c>
      <c r="I145" s="234" t="s">
        <v>621</v>
      </c>
      <c r="J145" s="234">
        <v>1990</v>
      </c>
      <c r="K145" s="234" t="s">
        <v>1211</v>
      </c>
      <c r="L145" s="234">
        <v>1992</v>
      </c>
      <c r="M145" s="389">
        <v>30.3</v>
      </c>
      <c r="N145" s="389">
        <v>1.4</v>
      </c>
      <c r="O145" s="29"/>
      <c r="P145" s="237">
        <f>+M145</f>
        <v>30.3</v>
      </c>
      <c r="Q145" s="234">
        <v>-9999</v>
      </c>
      <c r="R145" s="389"/>
      <c r="S145" s="234"/>
      <c r="T145" s="237">
        <f>+P145/(H145-1)</f>
        <v>15.15</v>
      </c>
      <c r="U145" s="491">
        <v>-9999</v>
      </c>
      <c r="V145" s="491"/>
      <c r="W145" s="389">
        <v>-9999</v>
      </c>
      <c r="X145" s="491">
        <v>-9999</v>
      </c>
      <c r="Y145" s="491"/>
      <c r="Z145" s="234" t="s">
        <v>637</v>
      </c>
      <c r="AA145" s="515">
        <v>15152</v>
      </c>
      <c r="AB145" s="389">
        <v>0.93</v>
      </c>
      <c r="AC145" s="390">
        <v>2.1600000000000001E-2</v>
      </c>
      <c r="AD145" s="234">
        <v>36</v>
      </c>
      <c r="AE145" s="392" t="s">
        <v>1976</v>
      </c>
      <c r="AF145" s="234">
        <v>3</v>
      </c>
      <c r="AG145" s="234">
        <v>1</v>
      </c>
      <c r="AH145" s="234" t="s">
        <v>479</v>
      </c>
      <c r="AI145" s="234" t="s">
        <v>624</v>
      </c>
      <c r="AJ145" s="234">
        <v>-9999</v>
      </c>
      <c r="AK145" s="234" t="s">
        <v>625</v>
      </c>
      <c r="AL145" s="234" t="s">
        <v>642</v>
      </c>
      <c r="AM145" s="234">
        <v>-9999</v>
      </c>
      <c r="AN145" s="234" t="s">
        <v>480</v>
      </c>
      <c r="AO145" s="234" t="s">
        <v>627</v>
      </c>
      <c r="AP145" s="234" t="s">
        <v>677</v>
      </c>
      <c r="AQ145" s="234" t="s">
        <v>626</v>
      </c>
      <c r="AR145" s="234">
        <f>224*G145</f>
        <v>448</v>
      </c>
      <c r="AS145" s="234" t="s">
        <v>1101</v>
      </c>
      <c r="AT145" s="234" t="s">
        <v>745</v>
      </c>
      <c r="AU145" s="234">
        <v>224</v>
      </c>
      <c r="AV145" s="234" t="s">
        <v>218</v>
      </c>
      <c r="AW145" s="234" t="s">
        <v>746</v>
      </c>
      <c r="AX145" s="234">
        <v>224</v>
      </c>
      <c r="AY145" s="234" t="s">
        <v>219</v>
      </c>
      <c r="AZ145" s="234" t="s">
        <v>746</v>
      </c>
      <c r="BA145" s="234">
        <v>-9999</v>
      </c>
      <c r="BB145" s="234" t="s">
        <v>626</v>
      </c>
      <c r="BC145" s="234" t="s">
        <v>641</v>
      </c>
      <c r="BD145" s="234" t="s">
        <v>642</v>
      </c>
      <c r="BE145" s="234" t="s">
        <v>643</v>
      </c>
      <c r="BF145" s="234">
        <v>-9999</v>
      </c>
      <c r="BG145" s="234">
        <v>-9999</v>
      </c>
      <c r="BH145" s="234">
        <v>-9999</v>
      </c>
      <c r="BI145" s="234" t="s">
        <v>678</v>
      </c>
      <c r="BJ145" s="234">
        <v>-9999</v>
      </c>
      <c r="BK145" s="234">
        <v>-9999</v>
      </c>
      <c r="BL145" s="234">
        <v>-9999</v>
      </c>
      <c r="BM145" s="234">
        <v>-9999</v>
      </c>
      <c r="BN145" s="234">
        <v>-9999</v>
      </c>
      <c r="BO145" s="234">
        <v>-9999</v>
      </c>
      <c r="BP145" s="234">
        <v>-9999</v>
      </c>
      <c r="BQ145" s="234">
        <v>-9999</v>
      </c>
      <c r="BR145" s="491">
        <v>-9999</v>
      </c>
      <c r="BS145" s="491">
        <v>-9999</v>
      </c>
      <c r="BT145" s="491">
        <v>-9999</v>
      </c>
      <c r="BU145" s="491">
        <v>-9999</v>
      </c>
      <c r="BV145" s="491">
        <v>-9999</v>
      </c>
      <c r="BW145" s="491"/>
      <c r="BX145" s="491">
        <v>-9999</v>
      </c>
      <c r="BY145" s="234">
        <v>-9999</v>
      </c>
      <c r="BZ145" s="496">
        <v>-9999</v>
      </c>
      <c r="CA145" s="496" t="s">
        <v>478</v>
      </c>
      <c r="CB145" s="499"/>
      <c r="CC145" s="501">
        <v>1</v>
      </c>
      <c r="CD145" s="491">
        <v>2</v>
      </c>
      <c r="CE145" s="292">
        <v>15.15</v>
      </c>
      <c r="CF145" s="292">
        <v>-9999</v>
      </c>
      <c r="CG145" s="74">
        <v>3</v>
      </c>
    </row>
    <row r="146" spans="1:1873" s="23" customFormat="1" x14ac:dyDescent="0.2">
      <c r="A146" s="234" t="s">
        <v>676</v>
      </c>
      <c r="B146" s="234" t="s">
        <v>618</v>
      </c>
      <c r="C146" s="234" t="s">
        <v>473</v>
      </c>
      <c r="D146" s="234" t="s">
        <v>633</v>
      </c>
      <c r="E146" s="493" t="s">
        <v>634</v>
      </c>
      <c r="F146" s="501">
        <v>2</v>
      </c>
      <c r="G146" s="491">
        <v>2</v>
      </c>
      <c r="H146" s="501">
        <v>5</v>
      </c>
      <c r="I146" s="234" t="s">
        <v>621</v>
      </c>
      <c r="J146" s="234">
        <v>1990</v>
      </c>
      <c r="K146" s="234" t="s">
        <v>1211</v>
      </c>
      <c r="L146" s="234">
        <v>1994</v>
      </c>
      <c r="M146" s="389">
        <v>33.4</v>
      </c>
      <c r="N146" s="389">
        <v>5.9</v>
      </c>
      <c r="O146" s="29"/>
      <c r="P146" s="237">
        <f>+P145+M146</f>
        <v>63.7</v>
      </c>
      <c r="Q146" s="234">
        <v>-9999</v>
      </c>
      <c r="R146" s="389"/>
      <c r="S146" s="234"/>
      <c r="T146" s="237">
        <f>+P146/(H146-1)</f>
        <v>15.925000000000001</v>
      </c>
      <c r="U146" s="491">
        <v>-9999</v>
      </c>
      <c r="V146" s="491"/>
      <c r="W146" s="389">
        <v>-9999</v>
      </c>
      <c r="X146" s="491">
        <v>-9999</v>
      </c>
      <c r="Y146" s="491"/>
      <c r="Z146" s="234" t="s">
        <v>637</v>
      </c>
      <c r="AA146" s="515">
        <v>15152</v>
      </c>
      <c r="AB146" s="389">
        <v>0.91</v>
      </c>
      <c r="AC146" s="390">
        <v>2.1600000000000001E-2</v>
      </c>
      <c r="AD146" s="234">
        <v>36</v>
      </c>
      <c r="AE146" s="392" t="s">
        <v>1976</v>
      </c>
      <c r="AF146" s="234">
        <v>3</v>
      </c>
      <c r="AG146" s="234">
        <v>1</v>
      </c>
      <c r="AH146" s="234" t="s">
        <v>479</v>
      </c>
      <c r="AI146" s="234" t="s">
        <v>624</v>
      </c>
      <c r="AJ146" s="234">
        <v>-9999</v>
      </c>
      <c r="AK146" s="234" t="s">
        <v>625</v>
      </c>
      <c r="AL146" s="234" t="s">
        <v>642</v>
      </c>
      <c r="AM146" s="234">
        <v>-9999</v>
      </c>
      <c r="AN146" s="234" t="s">
        <v>480</v>
      </c>
      <c r="AO146" s="234" t="s">
        <v>627</v>
      </c>
      <c r="AP146" s="234" t="s">
        <v>677</v>
      </c>
      <c r="AQ146" s="234" t="s">
        <v>626</v>
      </c>
      <c r="AR146" s="234">
        <f>224*G146</f>
        <v>448</v>
      </c>
      <c r="AS146" s="234" t="s">
        <v>1101</v>
      </c>
      <c r="AT146" s="234" t="s">
        <v>745</v>
      </c>
      <c r="AU146" s="234">
        <v>0</v>
      </c>
      <c r="AV146" s="234" t="s">
        <v>218</v>
      </c>
      <c r="AW146" s="234" t="s">
        <v>746</v>
      </c>
      <c r="AX146" s="234">
        <v>0</v>
      </c>
      <c r="AY146" s="234" t="s">
        <v>219</v>
      </c>
      <c r="AZ146" s="234">
        <v>-9999</v>
      </c>
      <c r="BA146" s="234">
        <v>-9999</v>
      </c>
      <c r="BB146" s="234" t="s">
        <v>626</v>
      </c>
      <c r="BC146" s="234" t="s">
        <v>641</v>
      </c>
      <c r="BD146" s="234" t="s">
        <v>642</v>
      </c>
      <c r="BE146" s="234" t="s">
        <v>643</v>
      </c>
      <c r="BF146" s="234">
        <v>-9999</v>
      </c>
      <c r="BG146" s="234">
        <v>-9999</v>
      </c>
      <c r="BH146" s="234">
        <v>-9999</v>
      </c>
      <c r="BI146" s="234" t="s">
        <v>678</v>
      </c>
      <c r="BJ146" s="234">
        <v>-9999</v>
      </c>
      <c r="BK146" s="234">
        <v>-9999</v>
      </c>
      <c r="BL146" s="234">
        <v>-9999</v>
      </c>
      <c r="BM146" s="234">
        <v>-9999</v>
      </c>
      <c r="BN146" s="234">
        <v>-9999</v>
      </c>
      <c r="BO146" s="234">
        <v>-9999</v>
      </c>
      <c r="BP146" s="234">
        <v>-9999</v>
      </c>
      <c r="BQ146" s="234">
        <v>-9999</v>
      </c>
      <c r="BR146" s="491">
        <v>-9999</v>
      </c>
      <c r="BS146" s="491">
        <v>-9999</v>
      </c>
      <c r="BT146" s="491">
        <v>-9999</v>
      </c>
      <c r="BU146" s="491">
        <v>-9999</v>
      </c>
      <c r="BV146" s="491">
        <v>-9999</v>
      </c>
      <c r="BW146" s="491"/>
      <c r="BX146" s="491">
        <v>-9999</v>
      </c>
      <c r="BY146" s="234">
        <v>-9999</v>
      </c>
      <c r="BZ146" s="496">
        <v>-9999</v>
      </c>
      <c r="CA146" s="496" t="s">
        <v>478</v>
      </c>
      <c r="CB146" s="499"/>
      <c r="CC146" s="501">
        <v>2</v>
      </c>
      <c r="CD146" s="491">
        <v>2</v>
      </c>
      <c r="CE146" s="292">
        <v>15.925000000000001</v>
      </c>
      <c r="CF146" s="292">
        <v>-9999</v>
      </c>
      <c r="CG146" s="74">
        <v>5</v>
      </c>
    </row>
    <row r="147" spans="1:1873" s="23" customFormat="1" x14ac:dyDescent="0.2">
      <c r="A147" s="234"/>
      <c r="B147" s="234"/>
      <c r="C147" s="234"/>
      <c r="D147" s="234"/>
      <c r="E147" s="493"/>
      <c r="F147" s="501"/>
      <c r="G147" s="491"/>
      <c r="H147" s="501"/>
      <c r="I147" s="234"/>
      <c r="J147" s="234"/>
      <c r="K147" s="234"/>
      <c r="L147" s="234"/>
      <c r="M147" s="389"/>
      <c r="N147" s="389"/>
      <c r="O147" s="29"/>
      <c r="P147" s="237"/>
      <c r="Q147" s="234"/>
      <c r="R147" s="389"/>
      <c r="S147" s="234"/>
      <c r="T147" s="237"/>
      <c r="U147" s="491"/>
      <c r="V147" s="491"/>
      <c r="W147" s="389"/>
      <c r="X147" s="491"/>
      <c r="Y147" s="491"/>
      <c r="Z147" s="234"/>
      <c r="AA147" s="495"/>
      <c r="AB147" s="389"/>
      <c r="AC147" s="389"/>
      <c r="AD147" s="234"/>
      <c r="AE147" s="389"/>
      <c r="AF147" s="234"/>
      <c r="AG147" s="234"/>
      <c r="AH147" s="234"/>
      <c r="AI147" s="234"/>
      <c r="AJ147" s="234"/>
      <c r="AK147" s="234"/>
      <c r="AL147" s="234"/>
      <c r="AM147" s="234"/>
      <c r="AN147" s="234"/>
      <c r="AO147" s="234"/>
      <c r="AP147" s="234"/>
      <c r="AQ147" s="234"/>
      <c r="AR147" s="234"/>
      <c r="AS147" s="234"/>
      <c r="AT147" s="234"/>
      <c r="AU147" s="234"/>
      <c r="AV147" s="234"/>
      <c r="AW147" s="234"/>
      <c r="AX147" s="234"/>
      <c r="AY147" s="234"/>
      <c r="AZ147" s="234"/>
      <c r="BA147" s="234"/>
      <c r="BB147" s="234"/>
      <c r="BC147" s="234"/>
      <c r="BD147" s="234"/>
      <c r="BE147" s="234"/>
      <c r="BF147" s="234"/>
      <c r="BG147" s="234"/>
      <c r="BH147" s="234"/>
      <c r="BI147" s="234"/>
      <c r="BJ147" s="234"/>
      <c r="BK147" s="234"/>
      <c r="BL147" s="234"/>
      <c r="BM147" s="234"/>
      <c r="BN147" s="234"/>
      <c r="BO147" s="234"/>
      <c r="BP147" s="234"/>
      <c r="BQ147" s="234"/>
      <c r="BR147" s="491"/>
      <c r="BS147" s="491"/>
      <c r="BT147" s="491"/>
      <c r="BU147" s="491"/>
      <c r="BV147" s="491"/>
      <c r="BW147" s="491"/>
      <c r="BX147" s="491"/>
      <c r="BY147" s="234"/>
      <c r="BZ147" s="496"/>
      <c r="CA147" s="496"/>
      <c r="CB147" s="499"/>
      <c r="CC147" s="501"/>
      <c r="CD147" s="491"/>
      <c r="CE147" s="342" t="s">
        <v>1576</v>
      </c>
      <c r="CF147" s="342" t="s">
        <v>1575</v>
      </c>
      <c r="CG147" s="74"/>
    </row>
    <row r="148" spans="1:1873" s="13" customFormat="1" x14ac:dyDescent="0.2">
      <c r="A148" s="231" t="s">
        <v>676</v>
      </c>
      <c r="B148" s="231" t="s">
        <v>618</v>
      </c>
      <c r="C148" s="231" t="s">
        <v>475</v>
      </c>
      <c r="D148" s="231" t="s">
        <v>633</v>
      </c>
      <c r="E148" s="232" t="s">
        <v>634</v>
      </c>
      <c r="F148" s="222">
        <v>1</v>
      </c>
      <c r="G148" s="233">
        <v>3</v>
      </c>
      <c r="H148" s="222">
        <v>4</v>
      </c>
      <c r="I148" s="231" t="s">
        <v>621</v>
      </c>
      <c r="J148" s="231">
        <v>1990</v>
      </c>
      <c r="K148" s="231" t="s">
        <v>1211</v>
      </c>
      <c r="L148" s="231">
        <v>1993</v>
      </c>
      <c r="M148" s="235">
        <v>54.9</v>
      </c>
      <c r="N148" s="235">
        <v>8.3000000000000007</v>
      </c>
      <c r="O148" s="18"/>
      <c r="P148" s="236">
        <f>+M148</f>
        <v>54.9</v>
      </c>
      <c r="Q148" s="231">
        <v>-9999</v>
      </c>
      <c r="R148" s="235"/>
      <c r="S148" s="231"/>
      <c r="T148" s="236">
        <f>+P148/G148</f>
        <v>18.3</v>
      </c>
      <c r="U148" s="233">
        <v>-9999</v>
      </c>
      <c r="V148" s="233"/>
      <c r="W148" s="235">
        <v>-9999</v>
      </c>
      <c r="X148" s="233">
        <v>-9999</v>
      </c>
      <c r="Y148" s="233"/>
      <c r="Z148" s="231" t="s">
        <v>622</v>
      </c>
      <c r="AA148" s="383">
        <v>111111</v>
      </c>
      <c r="AB148" s="235">
        <v>0.66</v>
      </c>
      <c r="AC148" s="231">
        <v>2.1600000000000001E-2</v>
      </c>
      <c r="AD148" s="231">
        <v>36</v>
      </c>
      <c r="AE148" s="390" t="s">
        <v>1974</v>
      </c>
      <c r="AF148" s="231">
        <v>3</v>
      </c>
      <c r="AG148" s="231">
        <v>2</v>
      </c>
      <c r="AH148" s="231" t="s">
        <v>479</v>
      </c>
      <c r="AI148" s="231" t="s">
        <v>624</v>
      </c>
      <c r="AJ148" s="231">
        <v>-9999</v>
      </c>
      <c r="AK148" s="231" t="s">
        <v>625</v>
      </c>
      <c r="AL148" s="231" t="s">
        <v>642</v>
      </c>
      <c r="AM148" s="231">
        <v>-9999</v>
      </c>
      <c r="AN148" s="231" t="s">
        <v>480</v>
      </c>
      <c r="AO148" s="231" t="s">
        <v>627</v>
      </c>
      <c r="AP148" s="231" t="s">
        <v>677</v>
      </c>
      <c r="AQ148" s="231" t="s">
        <v>626</v>
      </c>
      <c r="AR148" s="231">
        <f>224*H148</f>
        <v>896</v>
      </c>
      <c r="AS148" s="231" t="s">
        <v>1101</v>
      </c>
      <c r="AT148" s="231" t="s">
        <v>745</v>
      </c>
      <c r="AU148" s="231">
        <v>224</v>
      </c>
      <c r="AV148" s="231" t="s">
        <v>218</v>
      </c>
      <c r="AW148" s="231" t="s">
        <v>746</v>
      </c>
      <c r="AX148" s="231">
        <v>224</v>
      </c>
      <c r="AY148" s="231" t="s">
        <v>219</v>
      </c>
      <c r="AZ148" s="231" t="s">
        <v>746</v>
      </c>
      <c r="BA148" s="231">
        <v>-9999</v>
      </c>
      <c r="BB148" s="231" t="s">
        <v>626</v>
      </c>
      <c r="BC148" s="231" t="s">
        <v>641</v>
      </c>
      <c r="BD148" s="231" t="s">
        <v>642</v>
      </c>
      <c r="BE148" s="231" t="s">
        <v>643</v>
      </c>
      <c r="BF148" s="231">
        <v>-9999</v>
      </c>
      <c r="BG148" s="231">
        <v>-9999</v>
      </c>
      <c r="BH148" s="231">
        <v>-9999</v>
      </c>
      <c r="BI148" s="231" t="s">
        <v>678</v>
      </c>
      <c r="BJ148" s="231">
        <v>-9999</v>
      </c>
      <c r="BK148" s="231">
        <v>-9999</v>
      </c>
      <c r="BL148" s="231">
        <v>-9999</v>
      </c>
      <c r="BM148" s="231">
        <v>-9999</v>
      </c>
      <c r="BN148" s="231">
        <v>-9999</v>
      </c>
      <c r="BO148" s="231">
        <v>-9999</v>
      </c>
      <c r="BP148" s="231">
        <v>-9999</v>
      </c>
      <c r="BQ148" s="231">
        <v>-9999</v>
      </c>
      <c r="BR148" s="233">
        <v>-9999</v>
      </c>
      <c r="BS148" s="233">
        <v>-9999</v>
      </c>
      <c r="BT148" s="233">
        <v>-9999</v>
      </c>
      <c r="BU148" s="233">
        <v>-9999</v>
      </c>
      <c r="BV148" s="233">
        <v>-9999</v>
      </c>
      <c r="BW148" s="233"/>
      <c r="BX148" s="233">
        <v>-9999</v>
      </c>
      <c r="BY148" s="231">
        <v>-9999</v>
      </c>
      <c r="BZ148" s="238">
        <v>-9999</v>
      </c>
      <c r="CA148" s="238" t="s">
        <v>478</v>
      </c>
      <c r="CB148" s="239"/>
      <c r="CC148" s="222">
        <v>1</v>
      </c>
      <c r="CD148" s="233">
        <v>3</v>
      </c>
      <c r="CE148" s="393">
        <v>18.3</v>
      </c>
      <c r="CF148" s="99">
        <v>-9999</v>
      </c>
      <c r="CG148" s="62">
        <v>4</v>
      </c>
      <c r="CH148" s="436"/>
    </row>
    <row r="149" spans="1:1873" s="239" customFormat="1" x14ac:dyDescent="0.2">
      <c r="A149" s="231"/>
      <c r="B149" s="231"/>
      <c r="C149" s="231"/>
      <c r="D149" s="231"/>
      <c r="E149" s="232"/>
      <c r="F149" s="222"/>
      <c r="G149" s="233"/>
      <c r="H149" s="222"/>
      <c r="I149" s="231"/>
      <c r="J149" s="231"/>
      <c r="K149" s="234"/>
      <c r="L149" s="231"/>
      <c r="M149" s="235"/>
      <c r="N149" s="235"/>
      <c r="O149" s="18"/>
      <c r="P149" s="236"/>
      <c r="Q149" s="231"/>
      <c r="R149" s="235"/>
      <c r="S149" s="231"/>
      <c r="T149" s="236"/>
      <c r="U149" s="233"/>
      <c r="V149" s="233"/>
      <c r="W149" s="235"/>
      <c r="X149" s="233"/>
      <c r="Y149" s="233"/>
      <c r="Z149" s="231"/>
      <c r="AA149" s="383"/>
      <c r="AB149" s="235"/>
      <c r="AC149" s="235"/>
      <c r="AD149" s="231"/>
      <c r="AE149" s="235"/>
      <c r="AF149" s="231"/>
      <c r="AG149" s="231"/>
      <c r="AH149" s="231"/>
      <c r="AI149" s="231"/>
      <c r="AJ149" s="231"/>
      <c r="AK149" s="231"/>
      <c r="AL149" s="231"/>
      <c r="AM149" s="231"/>
      <c r="AN149" s="231"/>
      <c r="AO149" s="231"/>
      <c r="AP149" s="231"/>
      <c r="AQ149" s="231"/>
      <c r="AR149" s="231"/>
      <c r="AS149" s="234"/>
      <c r="AT149" s="234"/>
      <c r="AU149" s="231"/>
      <c r="AV149" s="231"/>
      <c r="AW149" s="231"/>
      <c r="AX149" s="231"/>
      <c r="AY149" s="231"/>
      <c r="AZ149" s="231"/>
      <c r="BA149" s="234"/>
      <c r="BB149" s="231"/>
      <c r="BC149" s="231"/>
      <c r="BD149" s="231"/>
      <c r="BE149" s="231"/>
      <c r="BF149" s="231"/>
      <c r="BG149" s="231"/>
      <c r="BH149" s="231"/>
      <c r="BI149" s="231"/>
      <c r="BJ149" s="231"/>
      <c r="BK149" s="231"/>
      <c r="BL149" s="231"/>
      <c r="BM149" s="231"/>
      <c r="BN149" s="231"/>
      <c r="BO149" s="231"/>
      <c r="BP149" s="231"/>
      <c r="BQ149" s="231"/>
      <c r="BR149" s="233"/>
      <c r="BS149" s="491"/>
      <c r="BT149" s="233"/>
      <c r="BU149" s="233"/>
      <c r="BV149" s="233"/>
      <c r="BW149" s="233"/>
      <c r="BX149" s="233"/>
      <c r="BY149" s="231"/>
      <c r="BZ149" s="238"/>
      <c r="CA149" s="238"/>
      <c r="CC149" s="222"/>
      <c r="CD149" s="233"/>
      <c r="CE149" s="342" t="s">
        <v>1576</v>
      </c>
      <c r="CF149" s="342" t="s">
        <v>1575</v>
      </c>
      <c r="CG149" s="222"/>
      <c r="CH149" s="13"/>
      <c r="CI149" s="13"/>
      <c r="CJ149" s="13"/>
      <c r="CK149" s="13"/>
      <c r="CL149" s="13"/>
      <c r="CM149" s="13"/>
      <c r="CN149" s="13"/>
      <c r="CO149" s="13"/>
      <c r="CP149" s="13"/>
      <c r="CQ149" s="13"/>
      <c r="CR149" s="13"/>
      <c r="CS149" s="13"/>
      <c r="CT149" s="13"/>
      <c r="CU149" s="13"/>
      <c r="CV149" s="13"/>
      <c r="CW149" s="13"/>
      <c r="CX149" s="13"/>
      <c r="CY149" s="13"/>
      <c r="CZ149" s="13"/>
      <c r="DA149" s="13"/>
      <c r="DB149" s="13"/>
      <c r="DC149" s="13"/>
      <c r="DD149" s="13"/>
      <c r="DE149" s="13"/>
      <c r="DF149" s="13"/>
      <c r="DG149" s="13"/>
      <c r="DH149" s="13"/>
      <c r="DI149" s="13"/>
      <c r="DJ149" s="13"/>
      <c r="DK149" s="13"/>
      <c r="DL149" s="13"/>
      <c r="DM149" s="13"/>
      <c r="DN149" s="13"/>
      <c r="DO149" s="13"/>
      <c r="DP149" s="13"/>
      <c r="DQ149" s="13"/>
      <c r="DR149" s="13"/>
      <c r="DS149" s="13"/>
      <c r="DT149" s="13"/>
      <c r="DU149" s="13"/>
      <c r="DV149" s="13"/>
      <c r="DW149" s="13"/>
      <c r="DX149" s="13"/>
      <c r="DY149" s="13"/>
      <c r="DZ149" s="13"/>
      <c r="EA149" s="13"/>
      <c r="EB149" s="13"/>
      <c r="EC149" s="13"/>
      <c r="ED149" s="13"/>
      <c r="EE149" s="13"/>
      <c r="EF149" s="13"/>
      <c r="EG149" s="13"/>
      <c r="EH149" s="13"/>
      <c r="EI149" s="13"/>
      <c r="EJ149" s="13"/>
      <c r="EK149" s="13"/>
      <c r="EL149" s="13"/>
      <c r="EM149" s="13"/>
      <c r="EN149" s="13"/>
      <c r="EO149" s="13"/>
      <c r="EP149" s="13"/>
      <c r="EQ149" s="13"/>
      <c r="ER149" s="13"/>
      <c r="ES149" s="13"/>
      <c r="ET149" s="13"/>
      <c r="EU149" s="13"/>
      <c r="EV149" s="13"/>
      <c r="EW149" s="13"/>
      <c r="EX149" s="13"/>
      <c r="EY149" s="13"/>
      <c r="EZ149" s="13"/>
      <c r="FA149" s="13"/>
      <c r="FB149" s="13"/>
      <c r="FC149" s="13"/>
      <c r="FD149" s="13"/>
      <c r="FE149" s="13"/>
      <c r="FF149" s="13"/>
      <c r="FG149" s="13"/>
      <c r="FH149" s="13"/>
      <c r="FI149" s="13"/>
      <c r="FJ149" s="13"/>
      <c r="FK149" s="13"/>
      <c r="FL149" s="13"/>
      <c r="FM149" s="13"/>
      <c r="FN149" s="13"/>
      <c r="FO149" s="13"/>
      <c r="FP149" s="13"/>
      <c r="FQ149" s="13"/>
      <c r="FR149" s="13"/>
      <c r="FS149" s="13"/>
      <c r="FT149" s="13"/>
      <c r="FU149" s="13"/>
      <c r="FV149" s="13"/>
      <c r="FW149" s="13"/>
      <c r="FX149" s="13"/>
      <c r="FY149" s="13"/>
      <c r="FZ149" s="13"/>
      <c r="GA149" s="13"/>
      <c r="GB149" s="13"/>
      <c r="GC149" s="13"/>
      <c r="GD149" s="13"/>
      <c r="GE149" s="13"/>
      <c r="GF149" s="13"/>
      <c r="GG149" s="13"/>
      <c r="GH149" s="13"/>
      <c r="GI149" s="13"/>
      <c r="GJ149" s="13"/>
      <c r="GK149" s="13"/>
      <c r="GL149" s="13"/>
      <c r="GM149" s="13"/>
      <c r="GN149" s="13"/>
      <c r="GO149" s="13"/>
      <c r="GP149" s="13"/>
      <c r="GQ149" s="13"/>
      <c r="GR149" s="13"/>
      <c r="GS149" s="13"/>
      <c r="GT149" s="13"/>
      <c r="GU149" s="13"/>
      <c r="GV149" s="13"/>
      <c r="GW149" s="13"/>
      <c r="GX149" s="13"/>
      <c r="GY149" s="13"/>
      <c r="GZ149" s="13"/>
      <c r="HA149" s="13"/>
      <c r="HB149" s="13"/>
      <c r="HC149" s="13"/>
      <c r="HD149" s="13"/>
      <c r="HE149" s="13"/>
      <c r="HF149" s="13"/>
      <c r="HG149" s="13"/>
      <c r="HH149" s="13"/>
      <c r="HI149" s="13"/>
      <c r="HJ149" s="13"/>
      <c r="HK149" s="13"/>
      <c r="HL149" s="13"/>
      <c r="HM149" s="13"/>
      <c r="HN149" s="13"/>
      <c r="HO149" s="13"/>
      <c r="HP149" s="13"/>
      <c r="HQ149" s="13"/>
      <c r="HR149" s="13"/>
      <c r="HS149" s="13"/>
      <c r="HT149" s="13"/>
      <c r="HU149" s="13"/>
      <c r="HV149" s="13"/>
      <c r="HW149" s="13"/>
      <c r="HX149" s="13"/>
      <c r="HY149" s="13"/>
      <c r="HZ149" s="13"/>
      <c r="IA149" s="13"/>
      <c r="IB149" s="13"/>
      <c r="IC149" s="13"/>
      <c r="ID149" s="13"/>
      <c r="IE149" s="13"/>
      <c r="IF149" s="13"/>
      <c r="IG149" s="13"/>
      <c r="IH149" s="13"/>
      <c r="II149" s="13"/>
      <c r="IJ149" s="13"/>
      <c r="IK149" s="13"/>
      <c r="IL149" s="13"/>
      <c r="IM149" s="13"/>
      <c r="IN149" s="13"/>
      <c r="IO149" s="13"/>
      <c r="IP149" s="13"/>
      <c r="IQ149" s="13"/>
      <c r="IR149" s="13"/>
      <c r="IS149" s="13"/>
      <c r="IT149" s="13"/>
      <c r="IU149" s="13"/>
      <c r="IV149" s="13"/>
      <c r="IW149" s="13"/>
      <c r="IX149" s="13"/>
      <c r="IY149" s="13"/>
      <c r="IZ149" s="13"/>
      <c r="JA149" s="13"/>
      <c r="JB149" s="13"/>
      <c r="JC149" s="13"/>
      <c r="JD149" s="13"/>
      <c r="JE149" s="13"/>
      <c r="JF149" s="13"/>
      <c r="JG149" s="13"/>
      <c r="JH149" s="13"/>
      <c r="JI149" s="13"/>
      <c r="JJ149" s="13"/>
      <c r="JK149" s="13"/>
      <c r="JL149" s="13"/>
      <c r="JM149" s="13"/>
      <c r="JN149" s="13"/>
      <c r="JO149" s="13"/>
      <c r="JP149" s="13"/>
      <c r="JQ149" s="13"/>
      <c r="JR149" s="13"/>
      <c r="JS149" s="13"/>
      <c r="JT149" s="13"/>
      <c r="JU149" s="13"/>
      <c r="JV149" s="13"/>
      <c r="JW149" s="13"/>
      <c r="JX149" s="13"/>
      <c r="JY149" s="13"/>
      <c r="JZ149" s="13"/>
      <c r="KA149" s="13"/>
      <c r="KB149" s="13"/>
      <c r="KC149" s="13"/>
      <c r="KD149" s="13"/>
      <c r="KE149" s="13"/>
      <c r="KF149" s="13"/>
      <c r="KG149" s="13"/>
      <c r="KH149" s="13"/>
      <c r="KI149" s="13"/>
      <c r="KJ149" s="13"/>
      <c r="KK149" s="13"/>
      <c r="KL149" s="13"/>
      <c r="KM149" s="13"/>
      <c r="KN149" s="13"/>
      <c r="KO149" s="13"/>
      <c r="KP149" s="13"/>
      <c r="KQ149" s="13"/>
      <c r="KR149" s="13"/>
      <c r="KS149" s="13"/>
      <c r="KT149" s="13"/>
      <c r="KU149" s="13"/>
      <c r="KV149" s="13"/>
      <c r="KW149" s="13"/>
      <c r="KX149" s="13"/>
      <c r="KY149" s="13"/>
      <c r="KZ149" s="13"/>
      <c r="LA149" s="13"/>
      <c r="LB149" s="13"/>
      <c r="LC149" s="13"/>
      <c r="LD149" s="13"/>
      <c r="LE149" s="13"/>
      <c r="LF149" s="13"/>
      <c r="LG149" s="13"/>
      <c r="LH149" s="13"/>
      <c r="LI149" s="13"/>
      <c r="LJ149" s="13"/>
      <c r="LK149" s="13"/>
      <c r="LL149" s="13"/>
      <c r="LM149" s="13"/>
      <c r="LN149" s="13"/>
      <c r="LO149" s="13"/>
      <c r="LP149" s="13"/>
      <c r="LQ149" s="13"/>
      <c r="LR149" s="13"/>
      <c r="LS149" s="13"/>
      <c r="LT149" s="13"/>
      <c r="LU149" s="13"/>
      <c r="LV149" s="13"/>
      <c r="LW149" s="13"/>
      <c r="LX149" s="13"/>
      <c r="LY149" s="13"/>
      <c r="LZ149" s="13"/>
      <c r="MA149" s="13"/>
      <c r="MB149" s="13"/>
      <c r="MC149" s="13"/>
      <c r="MD149" s="13"/>
      <c r="ME149" s="13"/>
      <c r="MF149" s="13"/>
      <c r="MG149" s="13"/>
      <c r="MH149" s="13"/>
      <c r="MI149" s="13"/>
      <c r="MJ149" s="13"/>
      <c r="MK149" s="13"/>
      <c r="ML149" s="13"/>
      <c r="MM149" s="13"/>
      <c r="MN149" s="13"/>
      <c r="MO149" s="13"/>
      <c r="MP149" s="13"/>
      <c r="MQ149" s="13"/>
      <c r="MR149" s="13"/>
      <c r="MS149" s="13"/>
      <c r="MT149" s="13"/>
      <c r="MU149" s="13"/>
      <c r="MV149" s="13"/>
      <c r="MW149" s="13"/>
      <c r="MX149" s="13"/>
      <c r="MY149" s="13"/>
      <c r="MZ149" s="13"/>
      <c r="NA149" s="13"/>
      <c r="NB149" s="13"/>
      <c r="NC149" s="13"/>
      <c r="ND149" s="13"/>
      <c r="NE149" s="13"/>
      <c r="NF149" s="13"/>
      <c r="NG149" s="13"/>
      <c r="NH149" s="13"/>
      <c r="NI149" s="13"/>
      <c r="NJ149" s="13"/>
      <c r="NK149" s="13"/>
      <c r="NL149" s="13"/>
      <c r="NM149" s="13"/>
      <c r="NN149" s="13"/>
      <c r="NO149" s="13"/>
      <c r="NP149" s="13"/>
      <c r="NQ149" s="13"/>
      <c r="NR149" s="13"/>
      <c r="NS149" s="13"/>
      <c r="NT149" s="13"/>
      <c r="NU149" s="13"/>
      <c r="NV149" s="13"/>
      <c r="NW149" s="13"/>
      <c r="NX149" s="13"/>
      <c r="NY149" s="13"/>
      <c r="NZ149" s="13"/>
      <c r="OA149" s="13"/>
      <c r="OB149" s="13"/>
      <c r="OC149" s="13"/>
      <c r="OD149" s="13"/>
      <c r="OE149" s="13"/>
      <c r="OF149" s="13"/>
      <c r="OG149" s="13"/>
      <c r="OH149" s="13"/>
      <c r="OI149" s="13"/>
      <c r="OJ149" s="13"/>
      <c r="OK149" s="13"/>
      <c r="OL149" s="13"/>
      <c r="OM149" s="13"/>
      <c r="ON149" s="13"/>
      <c r="OO149" s="13"/>
      <c r="OP149" s="13"/>
      <c r="OQ149" s="13"/>
      <c r="OR149" s="13"/>
      <c r="OS149" s="13"/>
      <c r="OT149" s="13"/>
      <c r="OU149" s="13"/>
      <c r="OV149" s="13"/>
      <c r="OW149" s="13"/>
      <c r="OX149" s="13"/>
      <c r="OY149" s="13"/>
      <c r="OZ149" s="13"/>
      <c r="PA149" s="13"/>
      <c r="PB149" s="13"/>
      <c r="PC149" s="13"/>
      <c r="PD149" s="13"/>
      <c r="PE149" s="13"/>
      <c r="PF149" s="13"/>
      <c r="PG149" s="13"/>
      <c r="PH149" s="13"/>
      <c r="PI149" s="13"/>
      <c r="PJ149" s="13"/>
      <c r="PK149" s="13"/>
      <c r="PL149" s="13"/>
      <c r="PM149" s="13"/>
      <c r="PN149" s="13"/>
      <c r="PO149" s="13"/>
      <c r="PP149" s="13"/>
      <c r="PQ149" s="13"/>
      <c r="PR149" s="13"/>
      <c r="PS149" s="13"/>
      <c r="PT149" s="13"/>
      <c r="PU149" s="13"/>
      <c r="PV149" s="13"/>
      <c r="PW149" s="13"/>
      <c r="PX149" s="13"/>
      <c r="PY149" s="13"/>
      <c r="PZ149" s="13"/>
      <c r="QA149" s="13"/>
      <c r="QB149" s="13"/>
      <c r="QC149" s="13"/>
      <c r="QD149" s="13"/>
      <c r="QE149" s="13"/>
      <c r="QF149" s="13"/>
      <c r="QG149" s="13"/>
      <c r="QH149" s="13"/>
      <c r="QI149" s="13"/>
      <c r="QJ149" s="13"/>
      <c r="QK149" s="13"/>
      <c r="QL149" s="13"/>
      <c r="QM149" s="13"/>
      <c r="QN149" s="13"/>
      <c r="QO149" s="13"/>
      <c r="QP149" s="13"/>
      <c r="QQ149" s="13"/>
      <c r="QR149" s="13"/>
      <c r="QS149" s="13"/>
      <c r="QT149" s="13"/>
      <c r="QU149" s="13"/>
      <c r="QV149" s="13"/>
      <c r="QW149" s="13"/>
      <c r="QX149" s="13"/>
      <c r="QY149" s="13"/>
      <c r="QZ149" s="13"/>
      <c r="RA149" s="13"/>
      <c r="RB149" s="13"/>
      <c r="RC149" s="13"/>
      <c r="RD149" s="13"/>
      <c r="RE149" s="13"/>
      <c r="RF149" s="13"/>
      <c r="RG149" s="13"/>
      <c r="RH149" s="13"/>
      <c r="RI149" s="13"/>
      <c r="RJ149" s="13"/>
      <c r="RK149" s="13"/>
      <c r="RL149" s="13"/>
      <c r="RM149" s="13"/>
      <c r="RN149" s="13"/>
      <c r="RO149" s="13"/>
      <c r="RP149" s="13"/>
      <c r="RQ149" s="13"/>
      <c r="RR149" s="13"/>
      <c r="RS149" s="13"/>
      <c r="RT149" s="13"/>
      <c r="RU149" s="13"/>
      <c r="RV149" s="13"/>
      <c r="RW149" s="13"/>
      <c r="RX149" s="13"/>
      <c r="RY149" s="13"/>
      <c r="RZ149" s="13"/>
      <c r="SA149" s="13"/>
      <c r="SB149" s="13"/>
      <c r="SC149" s="13"/>
      <c r="SD149" s="13"/>
      <c r="SE149" s="13"/>
      <c r="SF149" s="13"/>
      <c r="SG149" s="13"/>
      <c r="SH149" s="13"/>
      <c r="SI149" s="13"/>
      <c r="SJ149" s="13"/>
      <c r="SK149" s="13"/>
      <c r="SL149" s="13"/>
      <c r="SM149" s="13"/>
      <c r="SN149" s="13"/>
      <c r="SO149" s="13"/>
      <c r="SP149" s="13"/>
      <c r="SQ149" s="13"/>
      <c r="SR149" s="13"/>
      <c r="SS149" s="13"/>
      <c r="ST149" s="13"/>
      <c r="SU149" s="13"/>
      <c r="SV149" s="13"/>
      <c r="SW149" s="13"/>
      <c r="SX149" s="13"/>
      <c r="SY149" s="13"/>
      <c r="SZ149" s="13"/>
      <c r="TA149" s="13"/>
      <c r="TB149" s="13"/>
      <c r="TC149" s="13"/>
      <c r="TD149" s="13"/>
      <c r="TE149" s="13"/>
      <c r="TF149" s="13"/>
      <c r="TG149" s="13"/>
      <c r="TH149" s="13"/>
      <c r="TI149" s="13"/>
      <c r="TJ149" s="13"/>
      <c r="TK149" s="13"/>
      <c r="TL149" s="13"/>
      <c r="TM149" s="13"/>
      <c r="TN149" s="13"/>
      <c r="TO149" s="13"/>
      <c r="TP149" s="13"/>
      <c r="TQ149" s="13"/>
      <c r="TR149" s="13"/>
      <c r="TS149" s="13"/>
      <c r="TT149" s="13"/>
      <c r="TU149" s="13"/>
      <c r="TV149" s="13"/>
      <c r="TW149" s="13"/>
      <c r="TX149" s="13"/>
      <c r="TY149" s="13"/>
      <c r="TZ149" s="13"/>
      <c r="UA149" s="13"/>
      <c r="UB149" s="13"/>
      <c r="UC149" s="13"/>
      <c r="UD149" s="13"/>
      <c r="UE149" s="13"/>
      <c r="UF149" s="13"/>
      <c r="UG149" s="13"/>
      <c r="UH149" s="13"/>
      <c r="UI149" s="13"/>
      <c r="UJ149" s="13"/>
      <c r="UK149" s="13"/>
      <c r="UL149" s="13"/>
      <c r="UM149" s="13"/>
      <c r="UN149" s="13"/>
      <c r="UO149" s="13"/>
      <c r="UP149" s="13"/>
      <c r="UQ149" s="13"/>
      <c r="UR149" s="13"/>
      <c r="US149" s="13"/>
      <c r="UT149" s="13"/>
      <c r="UU149" s="13"/>
      <c r="UV149" s="13"/>
      <c r="UW149" s="13"/>
      <c r="UX149" s="13"/>
      <c r="UY149" s="13"/>
      <c r="UZ149" s="13"/>
      <c r="VA149" s="13"/>
      <c r="VB149" s="13"/>
      <c r="VC149" s="13"/>
      <c r="VD149" s="13"/>
      <c r="VE149" s="13"/>
      <c r="VF149" s="13"/>
      <c r="VG149" s="13"/>
      <c r="VH149" s="13"/>
      <c r="VI149" s="13"/>
      <c r="VJ149" s="13"/>
      <c r="VK149" s="13"/>
      <c r="VL149" s="13"/>
      <c r="VM149" s="13"/>
      <c r="VN149" s="13"/>
      <c r="VO149" s="13"/>
      <c r="VP149" s="13"/>
      <c r="VQ149" s="13"/>
      <c r="VR149" s="13"/>
      <c r="VS149" s="13"/>
      <c r="VT149" s="13"/>
      <c r="VU149" s="13"/>
      <c r="VV149" s="13"/>
      <c r="VW149" s="13"/>
      <c r="VX149" s="13"/>
      <c r="VY149" s="13"/>
      <c r="VZ149" s="13"/>
      <c r="WA149" s="13"/>
      <c r="WB149" s="13"/>
      <c r="WC149" s="13"/>
      <c r="WD149" s="13"/>
      <c r="WE149" s="13"/>
      <c r="WF149" s="13"/>
      <c r="WG149" s="13"/>
      <c r="WH149" s="13"/>
      <c r="WI149" s="13"/>
      <c r="WJ149" s="13"/>
      <c r="WK149" s="13"/>
      <c r="WL149" s="13"/>
      <c r="WM149" s="13"/>
      <c r="WN149" s="13"/>
      <c r="WO149" s="13"/>
      <c r="WP149" s="13"/>
      <c r="WQ149" s="13"/>
      <c r="WR149" s="13"/>
      <c r="WS149" s="13"/>
      <c r="WT149" s="13"/>
      <c r="WU149" s="13"/>
      <c r="WV149" s="13"/>
      <c r="WW149" s="13"/>
      <c r="WX149" s="13"/>
      <c r="WY149" s="13"/>
      <c r="WZ149" s="13"/>
      <c r="XA149" s="13"/>
      <c r="XB149" s="13"/>
      <c r="XC149" s="13"/>
      <c r="XD149" s="13"/>
      <c r="XE149" s="13"/>
      <c r="XF149" s="13"/>
      <c r="XG149" s="13"/>
      <c r="XH149" s="13"/>
      <c r="XI149" s="13"/>
      <c r="XJ149" s="13"/>
      <c r="XK149" s="13"/>
      <c r="XL149" s="13"/>
      <c r="XM149" s="13"/>
      <c r="XN149" s="13"/>
      <c r="XO149" s="13"/>
      <c r="XP149" s="13"/>
      <c r="XQ149" s="13"/>
      <c r="XR149" s="13"/>
      <c r="XS149" s="13"/>
      <c r="XT149" s="13"/>
      <c r="XU149" s="13"/>
      <c r="XV149" s="13"/>
      <c r="XW149" s="13"/>
      <c r="XX149" s="13"/>
      <c r="XY149" s="13"/>
      <c r="XZ149" s="13"/>
      <c r="YA149" s="13"/>
      <c r="YB149" s="13"/>
      <c r="YC149" s="13"/>
      <c r="YD149" s="13"/>
      <c r="YE149" s="13"/>
      <c r="YF149" s="13"/>
      <c r="YG149" s="13"/>
      <c r="YH149" s="13"/>
      <c r="YI149" s="13"/>
      <c r="YJ149" s="13"/>
      <c r="YK149" s="13"/>
      <c r="YL149" s="13"/>
      <c r="YM149" s="13"/>
      <c r="YN149" s="13"/>
      <c r="YO149" s="13"/>
      <c r="YP149" s="13"/>
      <c r="YQ149" s="13"/>
      <c r="YR149" s="13"/>
      <c r="YS149" s="13"/>
      <c r="YT149" s="13"/>
      <c r="YU149" s="13"/>
      <c r="YV149" s="13"/>
      <c r="YW149" s="13"/>
      <c r="YX149" s="13"/>
      <c r="YY149" s="13"/>
      <c r="YZ149" s="13"/>
      <c r="ZA149" s="13"/>
      <c r="ZB149" s="13"/>
      <c r="ZC149" s="13"/>
      <c r="ZD149" s="13"/>
      <c r="ZE149" s="13"/>
      <c r="ZF149" s="13"/>
      <c r="ZG149" s="13"/>
      <c r="ZH149" s="13"/>
      <c r="ZI149" s="13"/>
      <c r="ZJ149" s="13"/>
      <c r="ZK149" s="13"/>
      <c r="ZL149" s="13"/>
      <c r="ZM149" s="13"/>
      <c r="ZN149" s="13"/>
      <c r="ZO149" s="13"/>
      <c r="ZP149" s="13"/>
      <c r="ZQ149" s="13"/>
      <c r="ZR149" s="13"/>
      <c r="ZS149" s="13"/>
      <c r="ZT149" s="13"/>
      <c r="ZU149" s="13"/>
      <c r="ZV149" s="13"/>
      <c r="ZW149" s="13"/>
      <c r="ZX149" s="13"/>
      <c r="ZY149" s="13"/>
      <c r="ZZ149" s="13"/>
      <c r="AAA149" s="13"/>
      <c r="AAB149" s="13"/>
      <c r="AAC149" s="13"/>
      <c r="AAD149" s="13"/>
      <c r="AAE149" s="13"/>
      <c r="AAF149" s="13"/>
      <c r="AAG149" s="13"/>
      <c r="AAH149" s="13"/>
      <c r="AAI149" s="13"/>
      <c r="AAJ149" s="13"/>
      <c r="AAK149" s="13"/>
      <c r="AAL149" s="13"/>
      <c r="AAM149" s="13"/>
      <c r="AAN149" s="13"/>
      <c r="AAO149" s="13"/>
      <c r="AAP149" s="13"/>
      <c r="AAQ149" s="13"/>
      <c r="AAR149" s="13"/>
      <c r="AAS149" s="13"/>
      <c r="AAT149" s="13"/>
      <c r="AAU149" s="13"/>
      <c r="AAV149" s="13"/>
      <c r="AAW149" s="13"/>
      <c r="AAX149" s="13"/>
      <c r="AAY149" s="13"/>
      <c r="AAZ149" s="13"/>
      <c r="ABA149" s="13"/>
      <c r="ABB149" s="13"/>
      <c r="ABC149" s="13"/>
      <c r="ABD149" s="13"/>
      <c r="ABE149" s="13"/>
      <c r="ABF149" s="13"/>
      <c r="ABG149" s="13"/>
      <c r="ABH149" s="13"/>
      <c r="ABI149" s="13"/>
      <c r="ABJ149" s="13"/>
      <c r="ABK149" s="13"/>
      <c r="ABL149" s="13"/>
      <c r="ABM149" s="13"/>
      <c r="ABN149" s="13"/>
      <c r="ABO149" s="13"/>
      <c r="ABP149" s="13"/>
      <c r="ABQ149" s="13"/>
      <c r="ABR149" s="13"/>
      <c r="ABS149" s="13"/>
      <c r="ABT149" s="13"/>
      <c r="ABU149" s="13"/>
      <c r="ABV149" s="13"/>
      <c r="ABW149" s="13"/>
      <c r="ABX149" s="13"/>
      <c r="ABY149" s="13"/>
      <c r="ABZ149" s="13"/>
      <c r="ACA149" s="13"/>
      <c r="ACB149" s="13"/>
      <c r="ACC149" s="13"/>
      <c r="ACD149" s="13"/>
      <c r="ACE149" s="13"/>
      <c r="ACF149" s="13"/>
      <c r="ACG149" s="13"/>
      <c r="ACH149" s="13"/>
      <c r="ACI149" s="13"/>
      <c r="ACJ149" s="13"/>
      <c r="ACK149" s="13"/>
      <c r="ACL149" s="13"/>
      <c r="ACM149" s="13"/>
      <c r="ACN149" s="13"/>
      <c r="ACO149" s="13"/>
      <c r="ACP149" s="13"/>
      <c r="ACQ149" s="13"/>
      <c r="ACR149" s="13"/>
      <c r="ACS149" s="13"/>
      <c r="ACT149" s="13"/>
      <c r="ACU149" s="13"/>
      <c r="ACV149" s="13"/>
      <c r="ACW149" s="13"/>
      <c r="ACX149" s="13"/>
      <c r="ACY149" s="13"/>
      <c r="ACZ149" s="13"/>
      <c r="ADA149" s="13"/>
      <c r="ADB149" s="13"/>
      <c r="ADC149" s="13"/>
      <c r="ADD149" s="13"/>
      <c r="ADE149" s="13"/>
      <c r="ADF149" s="13"/>
      <c r="ADG149" s="13"/>
      <c r="ADH149" s="13"/>
      <c r="ADI149" s="13"/>
      <c r="ADJ149" s="13"/>
      <c r="ADK149" s="13"/>
      <c r="ADL149" s="13"/>
      <c r="ADM149" s="13"/>
      <c r="ADN149" s="13"/>
      <c r="ADO149" s="13"/>
      <c r="ADP149" s="13"/>
      <c r="ADQ149" s="13"/>
      <c r="ADR149" s="13"/>
      <c r="ADS149" s="13"/>
      <c r="ADT149" s="13"/>
      <c r="ADU149" s="13"/>
      <c r="ADV149" s="13"/>
      <c r="ADW149" s="13"/>
      <c r="ADX149" s="13"/>
      <c r="ADY149" s="13"/>
      <c r="ADZ149" s="13"/>
      <c r="AEA149" s="13"/>
      <c r="AEB149" s="13"/>
      <c r="AEC149" s="13"/>
      <c r="AED149" s="13"/>
      <c r="AEE149" s="13"/>
      <c r="AEF149" s="13"/>
      <c r="AEG149" s="13"/>
      <c r="AEH149" s="13"/>
      <c r="AEI149" s="13"/>
      <c r="AEJ149" s="13"/>
      <c r="AEK149" s="13"/>
      <c r="AEL149" s="13"/>
      <c r="AEM149" s="13"/>
      <c r="AEN149" s="13"/>
      <c r="AEO149" s="13"/>
      <c r="AEP149" s="13"/>
      <c r="AEQ149" s="13"/>
      <c r="AER149" s="13"/>
      <c r="AES149" s="13"/>
      <c r="AET149" s="13"/>
      <c r="AEU149" s="13"/>
      <c r="AEV149" s="13"/>
      <c r="AEW149" s="13"/>
      <c r="AEX149" s="13"/>
      <c r="AEY149" s="13"/>
      <c r="AEZ149" s="13"/>
      <c r="AFA149" s="13"/>
      <c r="AFB149" s="13"/>
      <c r="AFC149" s="13"/>
      <c r="AFD149" s="13"/>
      <c r="AFE149" s="13"/>
      <c r="AFF149" s="13"/>
      <c r="AFG149" s="13"/>
      <c r="AFH149" s="13"/>
      <c r="AFI149" s="13"/>
      <c r="AFJ149" s="13"/>
      <c r="AFK149" s="13"/>
      <c r="AFL149" s="13"/>
      <c r="AFM149" s="13"/>
      <c r="AFN149" s="13"/>
      <c r="AFO149" s="13"/>
      <c r="AFP149" s="13"/>
      <c r="AFQ149" s="13"/>
      <c r="AFR149" s="13"/>
      <c r="AFS149" s="13"/>
      <c r="AFT149" s="13"/>
      <c r="AFU149" s="13"/>
      <c r="AFV149" s="13"/>
      <c r="AFW149" s="13"/>
      <c r="AFX149" s="13"/>
      <c r="AFY149" s="13"/>
      <c r="AFZ149" s="13"/>
      <c r="AGA149" s="13"/>
      <c r="AGB149" s="13"/>
      <c r="AGC149" s="13"/>
      <c r="AGD149" s="13"/>
      <c r="AGE149" s="13"/>
      <c r="AGF149" s="13"/>
      <c r="AGG149" s="13"/>
      <c r="AGH149" s="13"/>
      <c r="AGI149" s="13"/>
      <c r="AGJ149" s="13"/>
      <c r="AGK149" s="13"/>
      <c r="AGL149" s="13"/>
      <c r="AGM149" s="13"/>
      <c r="AGN149" s="13"/>
      <c r="AGO149" s="13"/>
      <c r="AGP149" s="13"/>
      <c r="AGQ149" s="13"/>
      <c r="AGR149" s="13"/>
      <c r="AGS149" s="13"/>
      <c r="AGT149" s="13"/>
      <c r="AGU149" s="13"/>
      <c r="AGV149" s="13"/>
      <c r="AGW149" s="13"/>
      <c r="AGX149" s="13"/>
      <c r="AGY149" s="13"/>
      <c r="AGZ149" s="13"/>
      <c r="AHA149" s="13"/>
      <c r="AHB149" s="13"/>
      <c r="AHC149" s="13"/>
      <c r="AHD149" s="13"/>
      <c r="AHE149" s="13"/>
      <c r="AHF149" s="13"/>
      <c r="AHG149" s="13"/>
      <c r="AHH149" s="13"/>
      <c r="AHI149" s="13"/>
      <c r="AHJ149" s="13"/>
      <c r="AHK149" s="13"/>
      <c r="AHL149" s="13"/>
      <c r="AHM149" s="13"/>
      <c r="AHN149" s="13"/>
      <c r="AHO149" s="13"/>
      <c r="AHP149" s="13"/>
      <c r="AHQ149" s="13"/>
      <c r="AHR149" s="13"/>
      <c r="AHS149" s="13"/>
      <c r="AHT149" s="13"/>
      <c r="AHU149" s="13"/>
      <c r="AHV149" s="13"/>
      <c r="AHW149" s="13"/>
      <c r="AHX149" s="13"/>
      <c r="AHY149" s="13"/>
      <c r="AHZ149" s="13"/>
      <c r="AIA149" s="13"/>
      <c r="AIB149" s="13"/>
      <c r="AIC149" s="13"/>
      <c r="AID149" s="13"/>
      <c r="AIE149" s="13"/>
      <c r="AIF149" s="13"/>
      <c r="AIG149" s="13"/>
      <c r="AIH149" s="13"/>
      <c r="AII149" s="13"/>
      <c r="AIJ149" s="13"/>
      <c r="AIK149" s="13"/>
      <c r="AIL149" s="13"/>
      <c r="AIM149" s="13"/>
      <c r="AIN149" s="13"/>
      <c r="AIO149" s="13"/>
      <c r="AIP149" s="13"/>
      <c r="AIQ149" s="13"/>
      <c r="AIR149" s="13"/>
      <c r="AIS149" s="13"/>
      <c r="AIT149" s="13"/>
      <c r="AIU149" s="13"/>
      <c r="AIV149" s="13"/>
      <c r="AIW149" s="13"/>
      <c r="AIX149" s="13"/>
      <c r="AIY149" s="13"/>
      <c r="AIZ149" s="13"/>
      <c r="AJA149" s="13"/>
      <c r="AJB149" s="13"/>
      <c r="AJC149" s="13"/>
      <c r="AJD149" s="13"/>
      <c r="AJE149" s="13"/>
      <c r="AJF149" s="13"/>
      <c r="AJG149" s="13"/>
      <c r="AJH149" s="13"/>
      <c r="AJI149" s="13"/>
      <c r="AJJ149" s="13"/>
      <c r="AJK149" s="13"/>
      <c r="AJL149" s="13"/>
      <c r="AJM149" s="13"/>
      <c r="AJN149" s="13"/>
      <c r="AJO149" s="13"/>
      <c r="AJP149" s="13"/>
      <c r="AJQ149" s="13"/>
      <c r="AJR149" s="13"/>
      <c r="AJS149" s="13"/>
      <c r="AJT149" s="13"/>
      <c r="AJU149" s="13"/>
      <c r="AJV149" s="13"/>
      <c r="AJW149" s="13"/>
      <c r="AJX149" s="13"/>
      <c r="AJY149" s="13"/>
      <c r="AJZ149" s="13"/>
      <c r="AKA149" s="13"/>
      <c r="AKB149" s="13"/>
      <c r="AKC149" s="13"/>
      <c r="AKD149" s="13"/>
      <c r="AKE149" s="13"/>
      <c r="AKF149" s="13"/>
      <c r="AKG149" s="13"/>
      <c r="AKH149" s="13"/>
      <c r="AKI149" s="13"/>
      <c r="AKJ149" s="13"/>
      <c r="AKK149" s="13"/>
      <c r="AKL149" s="13"/>
      <c r="AKM149" s="13"/>
      <c r="AKN149" s="13"/>
      <c r="AKO149" s="13"/>
      <c r="AKP149" s="13"/>
      <c r="AKQ149" s="13"/>
      <c r="AKR149" s="13"/>
      <c r="AKS149" s="13"/>
      <c r="AKT149" s="13"/>
      <c r="AKU149" s="13"/>
      <c r="AKV149" s="13"/>
      <c r="AKW149" s="13"/>
      <c r="AKX149" s="13"/>
      <c r="AKY149" s="13"/>
      <c r="AKZ149" s="13"/>
      <c r="ALA149" s="13"/>
      <c r="ALB149" s="13"/>
      <c r="ALC149" s="13"/>
      <c r="ALD149" s="13"/>
      <c r="ALE149" s="13"/>
      <c r="ALF149" s="13"/>
      <c r="ALG149" s="13"/>
      <c r="ALH149" s="13"/>
      <c r="ALI149" s="13"/>
      <c r="ALJ149" s="13"/>
      <c r="ALK149" s="13"/>
      <c r="ALL149" s="13"/>
      <c r="ALM149" s="13"/>
      <c r="ALN149" s="13"/>
      <c r="ALO149" s="13"/>
      <c r="ALP149" s="13"/>
      <c r="ALQ149" s="13"/>
      <c r="ALR149" s="13"/>
      <c r="ALS149" s="13"/>
      <c r="ALT149" s="13"/>
      <c r="ALU149" s="13"/>
      <c r="ALV149" s="13"/>
      <c r="ALW149" s="13"/>
      <c r="ALX149" s="13"/>
      <c r="ALY149" s="13"/>
      <c r="ALZ149" s="13"/>
      <c r="AMA149" s="13"/>
      <c r="AMB149" s="13"/>
      <c r="AMC149" s="13"/>
      <c r="AMD149" s="13"/>
      <c r="AME149" s="13"/>
      <c r="AMF149" s="13"/>
      <c r="AMG149" s="13"/>
      <c r="AMH149" s="13"/>
      <c r="AMI149" s="13"/>
      <c r="AMJ149" s="13"/>
      <c r="AMK149" s="13"/>
      <c r="AML149" s="13"/>
      <c r="AMM149" s="13"/>
      <c r="AMN149" s="13"/>
      <c r="AMO149" s="13"/>
      <c r="AMP149" s="13"/>
      <c r="AMQ149" s="13"/>
      <c r="AMR149" s="13"/>
      <c r="AMS149" s="13"/>
      <c r="AMT149" s="13"/>
      <c r="AMU149" s="13"/>
      <c r="AMV149" s="13"/>
      <c r="AMW149" s="13"/>
      <c r="AMX149" s="13"/>
      <c r="AMY149" s="13"/>
      <c r="AMZ149" s="13"/>
      <c r="ANA149" s="13"/>
      <c r="ANB149" s="13"/>
      <c r="ANC149" s="13"/>
      <c r="AND149" s="13"/>
      <c r="ANE149" s="13"/>
      <c r="ANF149" s="13"/>
      <c r="ANG149" s="13"/>
      <c r="ANH149" s="13"/>
      <c r="ANI149" s="13"/>
      <c r="ANJ149" s="13"/>
      <c r="ANK149" s="13"/>
      <c r="ANL149" s="13"/>
      <c r="ANM149" s="13"/>
      <c r="ANN149" s="13"/>
      <c r="ANO149" s="13"/>
      <c r="ANP149" s="13"/>
      <c r="ANQ149" s="13"/>
      <c r="ANR149" s="13"/>
      <c r="ANS149" s="13"/>
      <c r="ANT149" s="13"/>
      <c r="ANU149" s="13"/>
      <c r="ANV149" s="13"/>
      <c r="ANW149" s="13"/>
      <c r="ANX149" s="13"/>
      <c r="ANY149" s="13"/>
      <c r="ANZ149" s="13"/>
      <c r="AOA149" s="13"/>
      <c r="AOB149" s="13"/>
      <c r="AOC149" s="13"/>
      <c r="AOD149" s="13"/>
      <c r="AOE149" s="13"/>
      <c r="AOF149" s="13"/>
      <c r="AOG149" s="13"/>
      <c r="AOH149" s="13"/>
      <c r="AOI149" s="13"/>
      <c r="AOJ149" s="13"/>
      <c r="AOK149" s="13"/>
      <c r="AOL149" s="13"/>
      <c r="AOM149" s="13"/>
      <c r="AON149" s="13"/>
      <c r="AOO149" s="13"/>
      <c r="AOP149" s="13"/>
      <c r="AOQ149" s="13"/>
      <c r="AOR149" s="13"/>
      <c r="AOS149" s="13"/>
      <c r="AOT149" s="13"/>
      <c r="AOU149" s="13"/>
      <c r="AOV149" s="13"/>
      <c r="AOW149" s="13"/>
      <c r="AOX149" s="13"/>
      <c r="AOY149" s="13"/>
      <c r="AOZ149" s="13"/>
      <c r="APA149" s="13"/>
      <c r="APB149" s="13"/>
      <c r="APC149" s="13"/>
      <c r="APD149" s="13"/>
      <c r="APE149" s="13"/>
      <c r="APF149" s="13"/>
      <c r="APG149" s="13"/>
      <c r="APH149" s="13"/>
      <c r="API149" s="13"/>
      <c r="APJ149" s="13"/>
      <c r="APK149" s="13"/>
      <c r="APL149" s="13"/>
      <c r="APM149" s="13"/>
      <c r="APN149" s="13"/>
      <c r="APO149" s="13"/>
      <c r="APP149" s="13"/>
      <c r="APQ149" s="13"/>
      <c r="APR149" s="13"/>
      <c r="APS149" s="13"/>
      <c r="APT149" s="13"/>
      <c r="APU149" s="13"/>
      <c r="APV149" s="13"/>
      <c r="APW149" s="13"/>
      <c r="APX149" s="13"/>
      <c r="APY149" s="13"/>
      <c r="APZ149" s="13"/>
      <c r="AQA149" s="13"/>
      <c r="AQB149" s="13"/>
      <c r="AQC149" s="13"/>
      <c r="AQD149" s="13"/>
      <c r="AQE149" s="13"/>
      <c r="AQF149" s="13"/>
      <c r="AQG149" s="13"/>
      <c r="AQH149" s="13"/>
      <c r="AQI149" s="13"/>
      <c r="AQJ149" s="13"/>
      <c r="AQK149" s="13"/>
      <c r="AQL149" s="13"/>
      <c r="AQM149" s="13"/>
      <c r="AQN149" s="13"/>
      <c r="AQO149" s="13"/>
      <c r="AQP149" s="13"/>
      <c r="AQQ149" s="13"/>
      <c r="AQR149" s="13"/>
      <c r="AQS149" s="13"/>
      <c r="AQT149" s="13"/>
      <c r="AQU149" s="13"/>
      <c r="AQV149" s="13"/>
      <c r="AQW149" s="13"/>
      <c r="AQX149" s="13"/>
      <c r="AQY149" s="13"/>
      <c r="AQZ149" s="13"/>
      <c r="ARA149" s="13"/>
      <c r="ARB149" s="13"/>
      <c r="ARC149" s="13"/>
      <c r="ARD149" s="13"/>
      <c r="ARE149" s="13"/>
      <c r="ARF149" s="13"/>
      <c r="ARG149" s="13"/>
      <c r="ARH149" s="13"/>
      <c r="ARI149" s="13"/>
      <c r="ARJ149" s="13"/>
      <c r="ARK149" s="13"/>
      <c r="ARL149" s="13"/>
      <c r="ARM149" s="13"/>
      <c r="ARN149" s="13"/>
      <c r="ARO149" s="13"/>
      <c r="ARP149" s="13"/>
      <c r="ARQ149" s="13"/>
      <c r="ARR149" s="13"/>
      <c r="ARS149" s="13"/>
      <c r="ART149" s="13"/>
      <c r="ARU149" s="13"/>
      <c r="ARV149" s="13"/>
      <c r="ARW149" s="13"/>
      <c r="ARX149" s="13"/>
      <c r="ARY149" s="13"/>
      <c r="ARZ149" s="13"/>
      <c r="ASA149" s="13"/>
      <c r="ASB149" s="13"/>
      <c r="ASC149" s="13"/>
      <c r="ASD149" s="13"/>
      <c r="ASE149" s="13"/>
      <c r="ASF149" s="13"/>
      <c r="ASG149" s="13"/>
      <c r="ASH149" s="13"/>
      <c r="ASI149" s="13"/>
      <c r="ASJ149" s="13"/>
      <c r="ASK149" s="13"/>
      <c r="ASL149" s="13"/>
      <c r="ASM149" s="13"/>
      <c r="ASN149" s="13"/>
      <c r="ASO149" s="13"/>
      <c r="ASP149" s="13"/>
      <c r="ASQ149" s="13"/>
      <c r="ASR149" s="13"/>
      <c r="ASS149" s="13"/>
      <c r="AST149" s="13"/>
      <c r="ASU149" s="13"/>
      <c r="ASV149" s="13"/>
      <c r="ASW149" s="13"/>
      <c r="ASX149" s="13"/>
      <c r="ASY149" s="13"/>
      <c r="ASZ149" s="13"/>
      <c r="ATA149" s="13"/>
      <c r="ATB149" s="13"/>
      <c r="ATC149" s="13"/>
      <c r="ATD149" s="13"/>
      <c r="ATE149" s="13"/>
      <c r="ATF149" s="13"/>
      <c r="ATG149" s="13"/>
      <c r="ATH149" s="13"/>
      <c r="ATI149" s="13"/>
      <c r="ATJ149" s="13"/>
      <c r="ATK149" s="13"/>
      <c r="ATL149" s="13"/>
      <c r="ATM149" s="13"/>
      <c r="ATN149" s="13"/>
      <c r="ATO149" s="13"/>
      <c r="ATP149" s="13"/>
      <c r="ATQ149" s="13"/>
      <c r="ATR149" s="13"/>
      <c r="ATS149" s="13"/>
      <c r="ATT149" s="13"/>
      <c r="ATU149" s="13"/>
      <c r="ATV149" s="13"/>
      <c r="ATW149" s="13"/>
      <c r="ATX149" s="13"/>
      <c r="ATY149" s="13"/>
      <c r="ATZ149" s="13"/>
      <c r="AUA149" s="13"/>
      <c r="AUB149" s="13"/>
      <c r="AUC149" s="13"/>
      <c r="AUD149" s="13"/>
      <c r="AUE149" s="13"/>
      <c r="AUF149" s="13"/>
      <c r="AUG149" s="13"/>
      <c r="AUH149" s="13"/>
      <c r="AUI149" s="13"/>
      <c r="AUJ149" s="13"/>
      <c r="AUK149" s="13"/>
      <c r="AUL149" s="13"/>
      <c r="AUM149" s="13"/>
      <c r="AUN149" s="13"/>
      <c r="AUO149" s="13"/>
      <c r="AUP149" s="13"/>
      <c r="AUQ149" s="13"/>
      <c r="AUR149" s="13"/>
      <c r="AUS149" s="13"/>
      <c r="AUT149" s="13"/>
      <c r="AUU149" s="13"/>
      <c r="AUV149" s="13"/>
      <c r="AUW149" s="13"/>
      <c r="AUX149" s="13"/>
      <c r="AUY149" s="13"/>
      <c r="AUZ149" s="13"/>
      <c r="AVA149" s="13"/>
      <c r="AVB149" s="13"/>
      <c r="AVC149" s="13"/>
      <c r="AVD149" s="13"/>
      <c r="AVE149" s="13"/>
      <c r="AVF149" s="13"/>
      <c r="AVG149" s="13"/>
      <c r="AVH149" s="13"/>
      <c r="AVI149" s="13"/>
      <c r="AVJ149" s="13"/>
      <c r="AVK149" s="13"/>
      <c r="AVL149" s="13"/>
      <c r="AVM149" s="13"/>
      <c r="AVN149" s="13"/>
      <c r="AVO149" s="13"/>
      <c r="AVP149" s="13"/>
      <c r="AVQ149" s="13"/>
      <c r="AVR149" s="13"/>
      <c r="AVS149" s="13"/>
      <c r="AVT149" s="13"/>
      <c r="AVU149" s="13"/>
      <c r="AVV149" s="13"/>
      <c r="AVW149" s="13"/>
      <c r="AVX149" s="13"/>
      <c r="AVY149" s="13"/>
      <c r="AVZ149" s="13"/>
      <c r="AWA149" s="13"/>
      <c r="AWB149" s="13"/>
      <c r="AWC149" s="13"/>
      <c r="AWD149" s="13"/>
      <c r="AWE149" s="13"/>
      <c r="AWF149" s="13"/>
      <c r="AWG149" s="13"/>
      <c r="AWH149" s="13"/>
      <c r="AWI149" s="13"/>
      <c r="AWJ149" s="13"/>
      <c r="AWK149" s="13"/>
      <c r="AWL149" s="13"/>
      <c r="AWM149" s="13"/>
      <c r="AWN149" s="13"/>
      <c r="AWO149" s="13"/>
      <c r="AWP149" s="13"/>
      <c r="AWQ149" s="13"/>
      <c r="AWR149" s="13"/>
      <c r="AWS149" s="13"/>
      <c r="AWT149" s="13"/>
      <c r="AWU149" s="13"/>
      <c r="AWV149" s="13"/>
      <c r="AWW149" s="13"/>
      <c r="AWX149" s="13"/>
      <c r="AWY149" s="13"/>
      <c r="AWZ149" s="13"/>
      <c r="AXA149" s="13"/>
      <c r="AXB149" s="13"/>
      <c r="AXC149" s="13"/>
      <c r="AXD149" s="13"/>
      <c r="AXE149" s="13"/>
      <c r="AXF149" s="13"/>
      <c r="AXG149" s="13"/>
      <c r="AXH149" s="13"/>
      <c r="AXI149" s="13"/>
      <c r="AXJ149" s="13"/>
      <c r="AXK149" s="13"/>
      <c r="AXL149" s="13"/>
      <c r="AXM149" s="13"/>
      <c r="AXN149" s="13"/>
      <c r="AXO149" s="13"/>
      <c r="AXP149" s="13"/>
      <c r="AXQ149" s="13"/>
      <c r="AXR149" s="13"/>
      <c r="AXS149" s="13"/>
      <c r="AXT149" s="13"/>
      <c r="AXU149" s="13"/>
      <c r="AXV149" s="13"/>
      <c r="AXW149" s="13"/>
      <c r="AXX149" s="13"/>
      <c r="AXY149" s="13"/>
      <c r="AXZ149" s="13"/>
      <c r="AYA149" s="13"/>
      <c r="AYB149" s="13"/>
      <c r="AYC149" s="13"/>
      <c r="AYD149" s="13"/>
      <c r="AYE149" s="13"/>
      <c r="AYF149" s="13"/>
      <c r="AYG149" s="13"/>
      <c r="AYH149" s="13"/>
      <c r="AYI149" s="13"/>
      <c r="AYJ149" s="13"/>
      <c r="AYK149" s="13"/>
      <c r="AYL149" s="13"/>
      <c r="AYM149" s="13"/>
      <c r="AYN149" s="13"/>
      <c r="AYO149" s="13"/>
      <c r="AYP149" s="13"/>
      <c r="AYQ149" s="13"/>
      <c r="AYR149" s="13"/>
      <c r="AYS149" s="13"/>
      <c r="AYT149" s="13"/>
      <c r="AYU149" s="13"/>
      <c r="AYV149" s="13"/>
      <c r="AYW149" s="13"/>
      <c r="AYX149" s="13"/>
      <c r="AYY149" s="13"/>
      <c r="AYZ149" s="13"/>
      <c r="AZA149" s="13"/>
      <c r="AZB149" s="13"/>
      <c r="AZC149" s="13"/>
      <c r="AZD149" s="13"/>
      <c r="AZE149" s="13"/>
      <c r="AZF149" s="13"/>
      <c r="AZG149" s="13"/>
      <c r="AZH149" s="13"/>
      <c r="AZI149" s="13"/>
      <c r="AZJ149" s="13"/>
      <c r="AZK149" s="13"/>
      <c r="AZL149" s="13"/>
      <c r="AZM149" s="13"/>
      <c r="AZN149" s="13"/>
      <c r="AZO149" s="13"/>
      <c r="AZP149" s="13"/>
      <c r="AZQ149" s="13"/>
      <c r="AZR149" s="13"/>
      <c r="AZS149" s="13"/>
      <c r="AZT149" s="13"/>
      <c r="AZU149" s="13"/>
      <c r="AZV149" s="13"/>
      <c r="AZW149" s="13"/>
      <c r="AZX149" s="13"/>
      <c r="AZY149" s="13"/>
      <c r="AZZ149" s="13"/>
      <c r="BAA149" s="13"/>
      <c r="BAB149" s="13"/>
      <c r="BAC149" s="13"/>
      <c r="BAD149" s="13"/>
      <c r="BAE149" s="13"/>
      <c r="BAF149" s="13"/>
      <c r="BAG149" s="13"/>
      <c r="BAH149" s="13"/>
      <c r="BAI149" s="13"/>
      <c r="BAJ149" s="13"/>
      <c r="BAK149" s="13"/>
      <c r="BAL149" s="13"/>
      <c r="BAM149" s="13"/>
      <c r="BAN149" s="13"/>
      <c r="BAO149" s="13"/>
      <c r="BAP149" s="13"/>
      <c r="BAQ149" s="13"/>
      <c r="BAR149" s="13"/>
      <c r="BAS149" s="13"/>
      <c r="BAT149" s="13"/>
      <c r="BAU149" s="13"/>
      <c r="BAV149" s="13"/>
      <c r="BAW149" s="13"/>
      <c r="BAX149" s="13"/>
      <c r="BAY149" s="13"/>
      <c r="BAZ149" s="13"/>
      <c r="BBA149" s="13"/>
      <c r="BBB149" s="13"/>
      <c r="BBC149" s="13"/>
      <c r="BBD149" s="13"/>
      <c r="BBE149" s="13"/>
      <c r="BBF149" s="13"/>
      <c r="BBG149" s="13"/>
      <c r="BBH149" s="13"/>
      <c r="BBI149" s="13"/>
      <c r="BBJ149" s="13"/>
      <c r="BBK149" s="13"/>
      <c r="BBL149" s="13"/>
      <c r="BBM149" s="13"/>
      <c r="BBN149" s="13"/>
      <c r="BBO149" s="13"/>
      <c r="BBP149" s="13"/>
      <c r="BBQ149" s="13"/>
      <c r="BBR149" s="13"/>
      <c r="BBS149" s="13"/>
      <c r="BBT149" s="13"/>
      <c r="BBU149" s="13"/>
      <c r="BBV149" s="13"/>
      <c r="BBW149" s="13"/>
      <c r="BBX149" s="13"/>
      <c r="BBY149" s="13"/>
      <c r="BBZ149" s="13"/>
      <c r="BCA149" s="13"/>
      <c r="BCB149" s="13"/>
      <c r="BCC149" s="13"/>
      <c r="BCD149" s="13"/>
      <c r="BCE149" s="13"/>
      <c r="BCF149" s="13"/>
      <c r="BCG149" s="13"/>
      <c r="BCH149" s="13"/>
      <c r="BCI149" s="13"/>
      <c r="BCJ149" s="13"/>
      <c r="BCK149" s="13"/>
      <c r="BCL149" s="13"/>
      <c r="BCM149" s="13"/>
      <c r="BCN149" s="13"/>
      <c r="BCO149" s="13"/>
      <c r="BCP149" s="13"/>
      <c r="BCQ149" s="13"/>
      <c r="BCR149" s="13"/>
      <c r="BCS149" s="13"/>
      <c r="BCT149" s="13"/>
      <c r="BCU149" s="13"/>
      <c r="BCV149" s="13"/>
      <c r="BCW149" s="13"/>
      <c r="BCX149" s="13"/>
      <c r="BCY149" s="13"/>
      <c r="BCZ149" s="13"/>
      <c r="BDA149" s="13"/>
      <c r="BDB149" s="13"/>
      <c r="BDC149" s="13"/>
      <c r="BDD149" s="13"/>
      <c r="BDE149" s="13"/>
      <c r="BDF149" s="13"/>
      <c r="BDG149" s="13"/>
      <c r="BDH149" s="13"/>
      <c r="BDI149" s="13"/>
      <c r="BDJ149" s="13"/>
      <c r="BDK149" s="13"/>
      <c r="BDL149" s="13"/>
      <c r="BDM149" s="13"/>
      <c r="BDN149" s="13"/>
      <c r="BDO149" s="13"/>
      <c r="BDP149" s="13"/>
      <c r="BDQ149" s="13"/>
      <c r="BDR149" s="13"/>
      <c r="BDS149" s="13"/>
      <c r="BDT149" s="13"/>
      <c r="BDU149" s="13"/>
      <c r="BDV149" s="13"/>
      <c r="BDW149" s="13"/>
      <c r="BDX149" s="13"/>
      <c r="BDY149" s="13"/>
      <c r="BDZ149" s="13"/>
      <c r="BEA149" s="13"/>
      <c r="BEB149" s="13"/>
      <c r="BEC149" s="13"/>
      <c r="BED149" s="13"/>
      <c r="BEE149" s="13"/>
      <c r="BEF149" s="13"/>
      <c r="BEG149" s="13"/>
      <c r="BEH149" s="13"/>
      <c r="BEI149" s="13"/>
      <c r="BEJ149" s="13"/>
      <c r="BEK149" s="13"/>
      <c r="BEL149" s="13"/>
      <c r="BEM149" s="13"/>
      <c r="BEN149" s="13"/>
      <c r="BEO149" s="13"/>
      <c r="BEP149" s="13"/>
      <c r="BEQ149" s="13"/>
      <c r="BER149" s="13"/>
      <c r="BES149" s="13"/>
      <c r="BET149" s="13"/>
      <c r="BEU149" s="13"/>
      <c r="BEV149" s="13"/>
      <c r="BEW149" s="13"/>
      <c r="BEX149" s="13"/>
      <c r="BEY149" s="13"/>
      <c r="BEZ149" s="13"/>
      <c r="BFA149" s="13"/>
      <c r="BFB149" s="13"/>
      <c r="BFC149" s="13"/>
      <c r="BFD149" s="13"/>
      <c r="BFE149" s="13"/>
      <c r="BFF149" s="13"/>
      <c r="BFG149" s="13"/>
      <c r="BFH149" s="13"/>
      <c r="BFI149" s="13"/>
      <c r="BFJ149" s="13"/>
      <c r="BFK149" s="13"/>
      <c r="BFL149" s="13"/>
      <c r="BFM149" s="13"/>
      <c r="BFN149" s="13"/>
      <c r="BFO149" s="13"/>
      <c r="BFP149" s="13"/>
      <c r="BFQ149" s="13"/>
      <c r="BFR149" s="13"/>
      <c r="BFS149" s="13"/>
      <c r="BFT149" s="13"/>
      <c r="BFU149" s="13"/>
      <c r="BFV149" s="13"/>
      <c r="BFW149" s="13"/>
      <c r="BFX149" s="13"/>
      <c r="BFY149" s="13"/>
      <c r="BFZ149" s="13"/>
      <c r="BGA149" s="13"/>
      <c r="BGB149" s="13"/>
      <c r="BGC149" s="13"/>
      <c r="BGD149" s="13"/>
      <c r="BGE149" s="13"/>
      <c r="BGF149" s="13"/>
      <c r="BGG149" s="13"/>
      <c r="BGH149" s="13"/>
      <c r="BGI149" s="13"/>
      <c r="BGJ149" s="13"/>
      <c r="BGK149" s="13"/>
      <c r="BGL149" s="13"/>
      <c r="BGM149" s="13"/>
      <c r="BGN149" s="13"/>
      <c r="BGO149" s="13"/>
      <c r="BGP149" s="13"/>
      <c r="BGQ149" s="13"/>
      <c r="BGR149" s="13"/>
      <c r="BGS149" s="13"/>
      <c r="BGT149" s="13"/>
      <c r="BGU149" s="13"/>
      <c r="BGV149" s="13"/>
      <c r="BGW149" s="13"/>
      <c r="BGX149" s="13"/>
      <c r="BGY149" s="13"/>
      <c r="BGZ149" s="13"/>
      <c r="BHA149" s="13"/>
      <c r="BHB149" s="13"/>
      <c r="BHC149" s="13"/>
      <c r="BHD149" s="13"/>
      <c r="BHE149" s="13"/>
      <c r="BHF149" s="13"/>
      <c r="BHG149" s="13"/>
      <c r="BHH149" s="13"/>
      <c r="BHI149" s="13"/>
      <c r="BHJ149" s="13"/>
      <c r="BHK149" s="13"/>
      <c r="BHL149" s="13"/>
      <c r="BHM149" s="13"/>
      <c r="BHN149" s="13"/>
      <c r="BHO149" s="13"/>
      <c r="BHP149" s="13"/>
      <c r="BHQ149" s="13"/>
      <c r="BHR149" s="13"/>
      <c r="BHS149" s="13"/>
      <c r="BHT149" s="13"/>
      <c r="BHU149" s="13"/>
      <c r="BHV149" s="13"/>
      <c r="BHW149" s="13"/>
      <c r="BHX149" s="13"/>
      <c r="BHY149" s="13"/>
      <c r="BHZ149" s="13"/>
      <c r="BIA149" s="13"/>
      <c r="BIB149" s="13"/>
      <c r="BIC149" s="13"/>
      <c r="BID149" s="13"/>
      <c r="BIE149" s="13"/>
      <c r="BIF149" s="13"/>
      <c r="BIG149" s="13"/>
      <c r="BIH149" s="13"/>
      <c r="BII149" s="13"/>
      <c r="BIJ149" s="13"/>
      <c r="BIK149" s="13"/>
      <c r="BIL149" s="13"/>
      <c r="BIM149" s="13"/>
      <c r="BIN149" s="13"/>
      <c r="BIO149" s="13"/>
      <c r="BIP149" s="13"/>
      <c r="BIQ149" s="13"/>
      <c r="BIR149" s="13"/>
      <c r="BIS149" s="13"/>
      <c r="BIT149" s="13"/>
      <c r="BIU149" s="13"/>
      <c r="BIV149" s="13"/>
      <c r="BIW149" s="13"/>
      <c r="BIX149" s="13"/>
      <c r="BIY149" s="13"/>
      <c r="BIZ149" s="13"/>
      <c r="BJA149" s="13"/>
      <c r="BJB149" s="13"/>
      <c r="BJC149" s="13"/>
      <c r="BJD149" s="13"/>
      <c r="BJE149" s="13"/>
      <c r="BJF149" s="13"/>
      <c r="BJG149" s="13"/>
      <c r="BJH149" s="13"/>
      <c r="BJI149" s="13"/>
      <c r="BJJ149" s="13"/>
      <c r="BJK149" s="13"/>
      <c r="BJL149" s="13"/>
      <c r="BJM149" s="13"/>
      <c r="BJN149" s="13"/>
      <c r="BJO149" s="13"/>
      <c r="BJP149" s="13"/>
      <c r="BJQ149" s="13"/>
      <c r="BJR149" s="13"/>
      <c r="BJS149" s="13"/>
      <c r="BJT149" s="13"/>
      <c r="BJU149" s="13"/>
      <c r="BJV149" s="13"/>
      <c r="BJW149" s="13"/>
      <c r="BJX149" s="13"/>
      <c r="BJY149" s="13"/>
      <c r="BJZ149" s="13"/>
      <c r="BKA149" s="13"/>
      <c r="BKB149" s="13"/>
      <c r="BKC149" s="13"/>
      <c r="BKD149" s="13"/>
      <c r="BKE149" s="13"/>
      <c r="BKF149" s="13"/>
      <c r="BKG149" s="13"/>
      <c r="BKH149" s="13"/>
      <c r="BKI149" s="13"/>
      <c r="BKJ149" s="13"/>
      <c r="BKK149" s="13"/>
      <c r="BKL149" s="13"/>
      <c r="BKM149" s="13"/>
      <c r="BKN149" s="13"/>
      <c r="BKO149" s="13"/>
      <c r="BKP149" s="13"/>
      <c r="BKQ149" s="13"/>
      <c r="BKR149" s="13"/>
      <c r="BKS149" s="13"/>
      <c r="BKT149" s="13"/>
      <c r="BKU149" s="13"/>
      <c r="BKV149" s="13"/>
      <c r="BKW149" s="13"/>
      <c r="BKX149" s="13"/>
      <c r="BKY149" s="13"/>
      <c r="BKZ149" s="13"/>
      <c r="BLA149" s="13"/>
      <c r="BLB149" s="13"/>
      <c r="BLC149" s="13"/>
      <c r="BLD149" s="13"/>
      <c r="BLE149" s="13"/>
      <c r="BLF149" s="13"/>
      <c r="BLG149" s="13"/>
      <c r="BLH149" s="13"/>
      <c r="BLI149" s="13"/>
      <c r="BLJ149" s="13"/>
      <c r="BLK149" s="13"/>
      <c r="BLL149" s="13"/>
      <c r="BLM149" s="13"/>
      <c r="BLN149" s="13"/>
      <c r="BLO149" s="13"/>
      <c r="BLP149" s="13"/>
      <c r="BLQ149" s="13"/>
      <c r="BLR149" s="13"/>
      <c r="BLS149" s="13"/>
      <c r="BLT149" s="13"/>
      <c r="BLU149" s="13"/>
      <c r="BLV149" s="13"/>
      <c r="BLW149" s="13"/>
      <c r="BLX149" s="13"/>
      <c r="BLY149" s="13"/>
      <c r="BLZ149" s="13"/>
      <c r="BMA149" s="13"/>
      <c r="BMB149" s="13"/>
      <c r="BMC149" s="13"/>
      <c r="BMD149" s="13"/>
      <c r="BME149" s="13"/>
      <c r="BMF149" s="13"/>
      <c r="BMG149" s="13"/>
      <c r="BMH149" s="13"/>
      <c r="BMI149" s="13"/>
      <c r="BMJ149" s="13"/>
      <c r="BMK149" s="13"/>
      <c r="BML149" s="13"/>
      <c r="BMM149" s="13"/>
      <c r="BMN149" s="13"/>
      <c r="BMO149" s="13"/>
      <c r="BMP149" s="13"/>
      <c r="BMQ149" s="13"/>
      <c r="BMR149" s="13"/>
      <c r="BMS149" s="13"/>
      <c r="BMT149" s="13"/>
      <c r="BMU149" s="13"/>
      <c r="BMV149" s="13"/>
      <c r="BMW149" s="13"/>
      <c r="BMX149" s="13"/>
      <c r="BMY149" s="13"/>
      <c r="BMZ149" s="13"/>
      <c r="BNA149" s="13"/>
      <c r="BNB149" s="13"/>
      <c r="BNC149" s="13"/>
      <c r="BND149" s="13"/>
      <c r="BNE149" s="13"/>
      <c r="BNF149" s="13"/>
      <c r="BNG149" s="13"/>
      <c r="BNH149" s="13"/>
      <c r="BNI149" s="13"/>
      <c r="BNJ149" s="13"/>
      <c r="BNK149" s="13"/>
      <c r="BNL149" s="13"/>
      <c r="BNM149" s="13"/>
      <c r="BNN149" s="13"/>
      <c r="BNO149" s="13"/>
      <c r="BNP149" s="13"/>
      <c r="BNQ149" s="13"/>
      <c r="BNR149" s="13"/>
      <c r="BNS149" s="13"/>
      <c r="BNT149" s="13"/>
      <c r="BNU149" s="13"/>
      <c r="BNV149" s="13"/>
      <c r="BNW149" s="13"/>
      <c r="BNX149" s="13"/>
      <c r="BNY149" s="13"/>
      <c r="BNZ149" s="13"/>
      <c r="BOA149" s="13"/>
      <c r="BOB149" s="13"/>
      <c r="BOC149" s="13"/>
      <c r="BOD149" s="13"/>
      <c r="BOE149" s="13"/>
      <c r="BOF149" s="13"/>
      <c r="BOG149" s="13"/>
      <c r="BOH149" s="13"/>
      <c r="BOI149" s="13"/>
      <c r="BOJ149" s="13"/>
      <c r="BOK149" s="13"/>
      <c r="BOL149" s="13"/>
      <c r="BOM149" s="13"/>
      <c r="BON149" s="13"/>
      <c r="BOO149" s="13"/>
      <c r="BOP149" s="13"/>
      <c r="BOQ149" s="13"/>
      <c r="BOR149" s="13"/>
      <c r="BOS149" s="13"/>
      <c r="BOT149" s="13"/>
      <c r="BOU149" s="13"/>
      <c r="BOV149" s="13"/>
      <c r="BOW149" s="13"/>
      <c r="BOX149" s="13"/>
      <c r="BOY149" s="13"/>
      <c r="BOZ149" s="13"/>
      <c r="BPA149" s="13"/>
      <c r="BPB149" s="13"/>
      <c r="BPC149" s="13"/>
      <c r="BPD149" s="13"/>
      <c r="BPE149" s="13"/>
      <c r="BPF149" s="13"/>
      <c r="BPG149" s="13"/>
      <c r="BPH149" s="13"/>
      <c r="BPI149" s="13"/>
      <c r="BPJ149" s="13"/>
      <c r="BPK149" s="13"/>
      <c r="BPL149" s="13"/>
      <c r="BPM149" s="13"/>
      <c r="BPN149" s="13"/>
      <c r="BPO149" s="13"/>
      <c r="BPP149" s="13"/>
      <c r="BPQ149" s="13"/>
      <c r="BPR149" s="13"/>
      <c r="BPS149" s="13"/>
      <c r="BPT149" s="13"/>
      <c r="BPU149" s="13"/>
      <c r="BPV149" s="13"/>
      <c r="BPW149" s="13"/>
      <c r="BPX149" s="13"/>
      <c r="BPY149" s="13"/>
      <c r="BPZ149" s="13"/>
      <c r="BQA149" s="13"/>
      <c r="BQB149" s="13"/>
      <c r="BQC149" s="13"/>
      <c r="BQD149" s="13"/>
      <c r="BQE149" s="13"/>
      <c r="BQF149" s="13"/>
      <c r="BQG149" s="13"/>
      <c r="BQH149" s="13"/>
      <c r="BQI149" s="13"/>
      <c r="BQJ149" s="13"/>
      <c r="BQK149" s="13"/>
      <c r="BQL149" s="13"/>
      <c r="BQM149" s="13"/>
      <c r="BQN149" s="13"/>
      <c r="BQO149" s="13"/>
      <c r="BQP149" s="13"/>
      <c r="BQQ149" s="13"/>
      <c r="BQR149" s="13"/>
      <c r="BQS149" s="13"/>
      <c r="BQT149" s="13"/>
      <c r="BQU149" s="13"/>
      <c r="BQV149" s="13"/>
      <c r="BQW149" s="13"/>
      <c r="BQX149" s="13"/>
      <c r="BQY149" s="13"/>
      <c r="BQZ149" s="13"/>
      <c r="BRA149" s="13"/>
      <c r="BRB149" s="13"/>
      <c r="BRC149" s="13"/>
      <c r="BRD149" s="13"/>
      <c r="BRE149" s="13"/>
      <c r="BRF149" s="13"/>
      <c r="BRG149" s="13"/>
      <c r="BRH149" s="13"/>
      <c r="BRI149" s="13"/>
      <c r="BRJ149" s="13"/>
      <c r="BRK149" s="13"/>
      <c r="BRL149" s="13"/>
      <c r="BRM149" s="13"/>
      <c r="BRN149" s="13"/>
      <c r="BRO149" s="13"/>
      <c r="BRP149" s="13"/>
      <c r="BRQ149" s="13"/>
      <c r="BRR149" s="13"/>
      <c r="BRS149" s="13"/>
      <c r="BRT149" s="13"/>
      <c r="BRU149" s="13"/>
      <c r="BRV149" s="13"/>
      <c r="BRW149" s="13"/>
      <c r="BRX149" s="13"/>
      <c r="BRY149" s="13"/>
      <c r="BRZ149" s="13"/>
      <c r="BSA149" s="13"/>
      <c r="BSB149" s="13"/>
      <c r="BSC149" s="13"/>
      <c r="BSD149" s="13"/>
      <c r="BSE149" s="13"/>
      <c r="BSF149" s="13"/>
      <c r="BSG149" s="13"/>
      <c r="BSH149" s="13"/>
      <c r="BSI149" s="13"/>
      <c r="BSJ149" s="13"/>
      <c r="BSK149" s="13"/>
      <c r="BSL149" s="13"/>
      <c r="BSM149" s="13"/>
      <c r="BSN149" s="13"/>
      <c r="BSO149" s="13"/>
      <c r="BSP149" s="13"/>
      <c r="BSQ149" s="13"/>
      <c r="BSR149" s="13"/>
      <c r="BSS149" s="13"/>
      <c r="BST149" s="13"/>
      <c r="BSU149" s="13"/>
      <c r="BSV149" s="13"/>
      <c r="BSW149" s="13"/>
      <c r="BSX149" s="13"/>
      <c r="BSY149" s="13"/>
      <c r="BSZ149" s="13"/>
      <c r="BTA149" s="13"/>
    </row>
    <row r="150" spans="1:1873" s="178" customFormat="1" x14ac:dyDescent="0.2">
      <c r="A150" s="231" t="s">
        <v>676</v>
      </c>
      <c r="B150" s="231" t="s">
        <v>618</v>
      </c>
      <c r="C150" s="231" t="s">
        <v>476</v>
      </c>
      <c r="D150" s="231" t="s">
        <v>633</v>
      </c>
      <c r="E150" s="232" t="s">
        <v>634</v>
      </c>
      <c r="F150" s="222">
        <v>1</v>
      </c>
      <c r="G150" s="233">
        <v>3</v>
      </c>
      <c r="H150" s="222">
        <v>4</v>
      </c>
      <c r="I150" s="231" t="s">
        <v>621</v>
      </c>
      <c r="J150" s="231">
        <v>1990</v>
      </c>
      <c r="K150" s="231" t="s">
        <v>1211</v>
      </c>
      <c r="L150" s="231">
        <v>1993</v>
      </c>
      <c r="M150" s="235">
        <v>71.3</v>
      </c>
      <c r="N150" s="235">
        <v>4.3</v>
      </c>
      <c r="O150" s="18"/>
      <c r="P150" s="236">
        <f>+M150</f>
        <v>71.3</v>
      </c>
      <c r="Q150" s="231">
        <v>-9999</v>
      </c>
      <c r="R150" s="235"/>
      <c r="S150" s="231"/>
      <c r="T150" s="236">
        <f>+P150/G150</f>
        <v>23.766666666666666</v>
      </c>
      <c r="U150" s="233">
        <v>-9999</v>
      </c>
      <c r="V150" s="233"/>
      <c r="W150" s="235">
        <v>-9999</v>
      </c>
      <c r="X150" s="233">
        <v>-9999</v>
      </c>
      <c r="Y150" s="233"/>
      <c r="Z150" s="231" t="s">
        <v>636</v>
      </c>
      <c r="AA150" s="383">
        <v>37037</v>
      </c>
      <c r="AB150" s="235">
        <v>0.94</v>
      </c>
      <c r="AC150" s="231">
        <v>2.1600000000000001E-2</v>
      </c>
      <c r="AD150" s="231">
        <v>36</v>
      </c>
      <c r="AE150" s="235" t="s">
        <v>1975</v>
      </c>
      <c r="AF150" s="231">
        <v>3</v>
      </c>
      <c r="AG150" s="231">
        <v>2</v>
      </c>
      <c r="AH150" s="231" t="s">
        <v>479</v>
      </c>
      <c r="AI150" s="231" t="s">
        <v>624</v>
      </c>
      <c r="AJ150" s="231">
        <v>-9999</v>
      </c>
      <c r="AK150" s="231" t="s">
        <v>625</v>
      </c>
      <c r="AL150" s="231" t="s">
        <v>642</v>
      </c>
      <c r="AM150" s="231">
        <v>-9999</v>
      </c>
      <c r="AN150" s="231" t="s">
        <v>480</v>
      </c>
      <c r="AO150" s="231" t="s">
        <v>627</v>
      </c>
      <c r="AP150" s="231" t="s">
        <v>677</v>
      </c>
      <c r="AQ150" s="231" t="s">
        <v>626</v>
      </c>
      <c r="AR150" s="231">
        <f>224*H150</f>
        <v>896</v>
      </c>
      <c r="AS150" s="231" t="s">
        <v>1101</v>
      </c>
      <c r="AT150" s="231" t="s">
        <v>745</v>
      </c>
      <c r="AU150" s="231">
        <v>224</v>
      </c>
      <c r="AV150" s="231" t="s">
        <v>218</v>
      </c>
      <c r="AW150" s="231" t="s">
        <v>746</v>
      </c>
      <c r="AX150" s="231">
        <v>224</v>
      </c>
      <c r="AY150" s="231" t="s">
        <v>219</v>
      </c>
      <c r="AZ150" s="231" t="s">
        <v>746</v>
      </c>
      <c r="BA150" s="231">
        <v>-9999</v>
      </c>
      <c r="BB150" s="231" t="s">
        <v>626</v>
      </c>
      <c r="BC150" s="231" t="s">
        <v>641</v>
      </c>
      <c r="BD150" s="231" t="s">
        <v>642</v>
      </c>
      <c r="BE150" s="231" t="s">
        <v>643</v>
      </c>
      <c r="BF150" s="231">
        <v>-9999</v>
      </c>
      <c r="BG150" s="231">
        <v>-9999</v>
      </c>
      <c r="BH150" s="231">
        <v>-9999</v>
      </c>
      <c r="BI150" s="231" t="s">
        <v>678</v>
      </c>
      <c r="BJ150" s="231">
        <v>-9999</v>
      </c>
      <c r="BK150" s="231">
        <v>-9999</v>
      </c>
      <c r="BL150" s="231">
        <v>-9999</v>
      </c>
      <c r="BM150" s="231">
        <v>-9999</v>
      </c>
      <c r="BN150" s="231">
        <v>-9999</v>
      </c>
      <c r="BO150" s="231">
        <v>-9999</v>
      </c>
      <c r="BP150" s="231">
        <v>-9999</v>
      </c>
      <c r="BQ150" s="231">
        <v>-9999</v>
      </c>
      <c r="BR150" s="233">
        <v>-9999</v>
      </c>
      <c r="BS150" s="233">
        <v>-9999</v>
      </c>
      <c r="BT150" s="233">
        <v>-9999</v>
      </c>
      <c r="BU150" s="233">
        <v>-9999</v>
      </c>
      <c r="BV150" s="233">
        <v>-9999</v>
      </c>
      <c r="BW150" s="233"/>
      <c r="BX150" s="233">
        <v>-9999</v>
      </c>
      <c r="BY150" s="231">
        <v>-9999</v>
      </c>
      <c r="BZ150" s="238">
        <v>-9999</v>
      </c>
      <c r="CA150" s="238" t="s">
        <v>478</v>
      </c>
      <c r="CB150" s="239"/>
      <c r="CC150" s="222">
        <v>1</v>
      </c>
      <c r="CD150" s="233">
        <v>3</v>
      </c>
      <c r="CE150" s="393">
        <v>23.766666666666666</v>
      </c>
      <c r="CF150" s="99">
        <v>-9999</v>
      </c>
      <c r="CG150" s="180">
        <v>4</v>
      </c>
      <c r="CH150" s="436" t="s">
        <v>1757</v>
      </c>
      <c r="CI150" s="13"/>
      <c r="CJ150" s="13"/>
      <c r="CK150" s="13"/>
      <c r="CL150" s="13"/>
      <c r="CM150" s="13"/>
      <c r="CN150" s="13"/>
      <c r="CO150" s="13"/>
      <c r="CP150" s="13"/>
      <c r="CQ150" s="13"/>
      <c r="CR150" s="13"/>
      <c r="CS150" s="13"/>
      <c r="CT150" s="13"/>
      <c r="CU150" s="13"/>
      <c r="CV150" s="13"/>
      <c r="CW150" s="13"/>
      <c r="CX150" s="13"/>
      <c r="CY150" s="13"/>
      <c r="CZ150" s="13"/>
      <c r="DA150" s="13"/>
      <c r="DB150" s="13"/>
      <c r="DC150" s="13"/>
      <c r="DD150" s="13"/>
      <c r="DE150" s="13"/>
      <c r="DF150" s="13"/>
      <c r="DG150" s="13"/>
      <c r="DH150" s="13"/>
      <c r="DI150" s="13"/>
      <c r="DJ150" s="13"/>
      <c r="DK150" s="13"/>
      <c r="DL150" s="13"/>
      <c r="DM150" s="13"/>
      <c r="DN150" s="13"/>
      <c r="DO150" s="13"/>
      <c r="DP150" s="13"/>
      <c r="DQ150" s="13"/>
      <c r="DR150" s="13"/>
      <c r="DS150" s="13"/>
      <c r="DT150" s="13"/>
      <c r="DU150" s="13"/>
      <c r="DV150" s="13"/>
      <c r="DW150" s="13"/>
      <c r="DX150" s="13"/>
      <c r="DY150" s="13"/>
      <c r="DZ150" s="13"/>
      <c r="EA150" s="13"/>
      <c r="EB150" s="13"/>
      <c r="EC150" s="13"/>
      <c r="ED150" s="13"/>
      <c r="EE150" s="13"/>
      <c r="EF150" s="13"/>
      <c r="EG150" s="13"/>
      <c r="EH150" s="13"/>
      <c r="EI150" s="13"/>
      <c r="EJ150" s="13"/>
      <c r="EK150" s="13"/>
      <c r="EL150" s="13"/>
      <c r="EM150" s="13"/>
      <c r="EN150" s="13"/>
      <c r="EO150" s="13"/>
      <c r="EP150" s="13"/>
      <c r="EQ150" s="13"/>
      <c r="ER150" s="13"/>
      <c r="ES150" s="13"/>
      <c r="ET150" s="13"/>
      <c r="EU150" s="13"/>
      <c r="EV150" s="13"/>
      <c r="EW150" s="13"/>
      <c r="EX150" s="13"/>
      <c r="EY150" s="13"/>
      <c r="EZ150" s="13"/>
      <c r="FA150" s="13"/>
      <c r="FB150" s="13"/>
      <c r="FC150" s="13"/>
      <c r="FD150" s="13"/>
      <c r="FE150" s="13"/>
      <c r="FF150" s="13"/>
      <c r="FG150" s="13"/>
      <c r="FH150" s="13"/>
      <c r="FI150" s="13"/>
      <c r="FJ150" s="13"/>
      <c r="FK150" s="13"/>
      <c r="FL150" s="13"/>
      <c r="FM150" s="13"/>
      <c r="FN150" s="13"/>
      <c r="FO150" s="13"/>
      <c r="FP150" s="13"/>
      <c r="FQ150" s="13"/>
      <c r="FR150" s="13"/>
      <c r="FS150" s="13"/>
      <c r="FT150" s="13"/>
      <c r="FU150" s="13"/>
      <c r="FV150" s="13"/>
      <c r="FW150" s="13"/>
      <c r="FX150" s="13"/>
      <c r="FY150" s="13"/>
      <c r="FZ150" s="13"/>
      <c r="GA150" s="13"/>
      <c r="GB150" s="13"/>
      <c r="GC150" s="13"/>
      <c r="GD150" s="13"/>
      <c r="GE150" s="13"/>
      <c r="GF150" s="13"/>
      <c r="GG150" s="13"/>
      <c r="GH150" s="13"/>
      <c r="GI150" s="13"/>
      <c r="GJ150" s="13"/>
      <c r="GK150" s="13"/>
      <c r="GL150" s="13"/>
      <c r="GM150" s="13"/>
      <c r="GN150" s="13"/>
      <c r="GO150" s="13"/>
      <c r="GP150" s="13"/>
      <c r="GQ150" s="13"/>
      <c r="GR150" s="13"/>
      <c r="GS150" s="13"/>
      <c r="GT150" s="13"/>
      <c r="GU150" s="13"/>
      <c r="GV150" s="13"/>
      <c r="GW150" s="13"/>
      <c r="GX150" s="13"/>
      <c r="GY150" s="13"/>
      <c r="GZ150" s="13"/>
      <c r="HA150" s="13"/>
      <c r="HB150" s="13"/>
      <c r="HC150" s="13"/>
      <c r="HD150" s="13"/>
      <c r="HE150" s="13"/>
      <c r="HF150" s="13"/>
      <c r="HG150" s="13"/>
      <c r="HH150" s="13"/>
      <c r="HI150" s="13"/>
      <c r="HJ150" s="13"/>
      <c r="HK150" s="13"/>
      <c r="HL150" s="13"/>
      <c r="HM150" s="13"/>
      <c r="HN150" s="13"/>
      <c r="HO150" s="13"/>
      <c r="HP150" s="13"/>
      <c r="HQ150" s="13"/>
      <c r="HR150" s="13"/>
      <c r="HS150" s="13"/>
      <c r="HT150" s="13"/>
      <c r="HU150" s="13"/>
      <c r="HV150" s="13"/>
      <c r="HW150" s="13"/>
      <c r="HX150" s="13"/>
      <c r="HY150" s="13"/>
      <c r="HZ150" s="13"/>
      <c r="IA150" s="13"/>
      <c r="IB150" s="13"/>
      <c r="IC150" s="13"/>
      <c r="ID150" s="13"/>
      <c r="IE150" s="13"/>
      <c r="IF150" s="13"/>
      <c r="IG150" s="13"/>
      <c r="IH150" s="13"/>
      <c r="II150" s="13"/>
      <c r="IJ150" s="13"/>
      <c r="IK150" s="13"/>
      <c r="IL150" s="13"/>
      <c r="IM150" s="13"/>
      <c r="IN150" s="13"/>
      <c r="IO150" s="13"/>
      <c r="IP150" s="13"/>
      <c r="IQ150" s="13"/>
      <c r="IR150" s="13"/>
      <c r="IS150" s="13"/>
      <c r="IT150" s="13"/>
      <c r="IU150" s="13"/>
      <c r="IV150" s="13"/>
      <c r="IW150" s="13"/>
      <c r="IX150" s="13"/>
      <c r="IY150" s="13"/>
      <c r="IZ150" s="13"/>
      <c r="JA150" s="13"/>
      <c r="JB150" s="13"/>
      <c r="JC150" s="13"/>
      <c r="JD150" s="13"/>
      <c r="JE150" s="13"/>
      <c r="JF150" s="13"/>
      <c r="JG150" s="13"/>
      <c r="JH150" s="13"/>
      <c r="JI150" s="13"/>
      <c r="JJ150" s="13"/>
      <c r="JK150" s="13"/>
      <c r="JL150" s="13"/>
      <c r="JM150" s="13"/>
      <c r="JN150" s="13"/>
      <c r="JO150" s="13"/>
      <c r="JP150" s="13"/>
      <c r="JQ150" s="13"/>
      <c r="JR150" s="13"/>
      <c r="JS150" s="13"/>
      <c r="JT150" s="13"/>
      <c r="JU150" s="13"/>
      <c r="JV150" s="13"/>
      <c r="JW150" s="13"/>
      <c r="JX150" s="13"/>
      <c r="JY150" s="13"/>
      <c r="JZ150" s="13"/>
      <c r="KA150" s="13"/>
      <c r="KB150" s="13"/>
      <c r="KC150" s="13"/>
      <c r="KD150" s="13"/>
      <c r="KE150" s="13"/>
      <c r="KF150" s="13"/>
      <c r="KG150" s="13"/>
      <c r="KH150" s="13"/>
      <c r="KI150" s="13"/>
      <c r="KJ150" s="13"/>
      <c r="KK150" s="13"/>
      <c r="KL150" s="13"/>
      <c r="KM150" s="13"/>
      <c r="KN150" s="13"/>
      <c r="KO150" s="13"/>
      <c r="KP150" s="13"/>
      <c r="KQ150" s="13"/>
      <c r="KR150" s="13"/>
      <c r="KS150" s="13"/>
      <c r="KT150" s="13"/>
      <c r="KU150" s="13"/>
      <c r="KV150" s="13"/>
      <c r="KW150" s="13"/>
      <c r="KX150" s="13"/>
      <c r="KY150" s="13"/>
      <c r="KZ150" s="13"/>
      <c r="LA150" s="13"/>
      <c r="LB150" s="13"/>
      <c r="LC150" s="13"/>
      <c r="LD150" s="13"/>
      <c r="LE150" s="13"/>
      <c r="LF150" s="13"/>
      <c r="LG150" s="13"/>
      <c r="LH150" s="13"/>
      <c r="LI150" s="13"/>
      <c r="LJ150" s="13"/>
      <c r="LK150" s="13"/>
      <c r="LL150" s="13"/>
      <c r="LM150" s="13"/>
      <c r="LN150" s="13"/>
      <c r="LO150" s="13"/>
      <c r="LP150" s="13"/>
      <c r="LQ150" s="13"/>
      <c r="LR150" s="13"/>
      <c r="LS150" s="13"/>
      <c r="LT150" s="13"/>
      <c r="LU150" s="13"/>
      <c r="LV150" s="13"/>
      <c r="LW150" s="13"/>
      <c r="LX150" s="13"/>
      <c r="LY150" s="13"/>
      <c r="LZ150" s="13"/>
      <c r="MA150" s="13"/>
      <c r="MB150" s="13"/>
      <c r="MC150" s="13"/>
      <c r="MD150" s="13"/>
      <c r="ME150" s="13"/>
      <c r="MF150" s="13"/>
      <c r="MG150" s="13"/>
      <c r="MH150" s="13"/>
      <c r="MI150" s="13"/>
      <c r="MJ150" s="13"/>
      <c r="MK150" s="13"/>
      <c r="ML150" s="13"/>
      <c r="MM150" s="13"/>
      <c r="MN150" s="13"/>
      <c r="MO150" s="13"/>
      <c r="MP150" s="13"/>
      <c r="MQ150" s="13"/>
      <c r="MR150" s="13"/>
      <c r="MS150" s="13"/>
      <c r="MT150" s="13"/>
      <c r="MU150" s="13"/>
      <c r="MV150" s="13"/>
      <c r="MW150" s="13"/>
      <c r="MX150" s="13"/>
      <c r="MY150" s="13"/>
      <c r="MZ150" s="13"/>
      <c r="NA150" s="13"/>
      <c r="NB150" s="13"/>
      <c r="NC150" s="13"/>
      <c r="ND150" s="13"/>
      <c r="NE150" s="13"/>
      <c r="NF150" s="13"/>
      <c r="NG150" s="13"/>
      <c r="NH150" s="13"/>
      <c r="NI150" s="13"/>
      <c r="NJ150" s="13"/>
      <c r="NK150" s="13"/>
      <c r="NL150" s="13"/>
      <c r="NM150" s="13"/>
      <c r="NN150" s="13"/>
      <c r="NO150" s="13"/>
      <c r="NP150" s="13"/>
      <c r="NQ150" s="13"/>
      <c r="NR150" s="13"/>
      <c r="NS150" s="13"/>
      <c r="NT150" s="13"/>
      <c r="NU150" s="13"/>
      <c r="NV150" s="13"/>
      <c r="NW150" s="13"/>
      <c r="NX150" s="13"/>
      <c r="NY150" s="13"/>
      <c r="NZ150" s="13"/>
      <c r="OA150" s="13"/>
      <c r="OB150" s="13"/>
      <c r="OC150" s="13"/>
      <c r="OD150" s="13"/>
      <c r="OE150" s="13"/>
      <c r="OF150" s="13"/>
      <c r="OG150" s="13"/>
      <c r="OH150" s="13"/>
      <c r="OI150" s="13"/>
      <c r="OJ150" s="13"/>
      <c r="OK150" s="13"/>
      <c r="OL150" s="13"/>
      <c r="OM150" s="13"/>
      <c r="ON150" s="13"/>
      <c r="OO150" s="13"/>
      <c r="OP150" s="13"/>
      <c r="OQ150" s="13"/>
      <c r="OR150" s="13"/>
      <c r="OS150" s="13"/>
      <c r="OT150" s="13"/>
      <c r="OU150" s="13"/>
      <c r="OV150" s="13"/>
      <c r="OW150" s="13"/>
      <c r="OX150" s="13"/>
      <c r="OY150" s="13"/>
      <c r="OZ150" s="13"/>
      <c r="PA150" s="13"/>
      <c r="PB150" s="13"/>
      <c r="PC150" s="13"/>
      <c r="PD150" s="13"/>
      <c r="PE150" s="13"/>
      <c r="PF150" s="13"/>
      <c r="PG150" s="13"/>
      <c r="PH150" s="13"/>
      <c r="PI150" s="13"/>
      <c r="PJ150" s="13"/>
      <c r="PK150" s="13"/>
      <c r="PL150" s="13"/>
      <c r="PM150" s="13"/>
      <c r="PN150" s="13"/>
      <c r="PO150" s="13"/>
      <c r="PP150" s="13"/>
      <c r="PQ150" s="13"/>
      <c r="PR150" s="13"/>
      <c r="PS150" s="13"/>
      <c r="PT150" s="13"/>
      <c r="PU150" s="13"/>
      <c r="PV150" s="13"/>
      <c r="PW150" s="13"/>
      <c r="PX150" s="13"/>
      <c r="PY150" s="13"/>
      <c r="PZ150" s="13"/>
      <c r="QA150" s="13"/>
      <c r="QB150" s="13"/>
      <c r="QC150" s="13"/>
      <c r="QD150" s="13"/>
      <c r="QE150" s="13"/>
      <c r="QF150" s="13"/>
      <c r="QG150" s="13"/>
      <c r="QH150" s="13"/>
      <c r="QI150" s="13"/>
      <c r="QJ150" s="13"/>
      <c r="QK150" s="13"/>
      <c r="QL150" s="13"/>
      <c r="QM150" s="13"/>
      <c r="QN150" s="13"/>
      <c r="QO150" s="13"/>
      <c r="QP150" s="13"/>
      <c r="QQ150" s="13"/>
      <c r="QR150" s="13"/>
      <c r="QS150" s="13"/>
      <c r="QT150" s="13"/>
      <c r="QU150" s="13"/>
      <c r="QV150" s="13"/>
      <c r="QW150" s="13"/>
      <c r="QX150" s="13"/>
      <c r="QY150" s="13"/>
      <c r="QZ150" s="13"/>
      <c r="RA150" s="13"/>
      <c r="RB150" s="13"/>
      <c r="RC150" s="13"/>
      <c r="RD150" s="13"/>
      <c r="RE150" s="13"/>
      <c r="RF150" s="13"/>
      <c r="RG150" s="13"/>
      <c r="RH150" s="13"/>
      <c r="RI150" s="13"/>
      <c r="RJ150" s="13"/>
      <c r="RK150" s="13"/>
      <c r="RL150" s="13"/>
      <c r="RM150" s="13"/>
      <c r="RN150" s="13"/>
      <c r="RO150" s="13"/>
      <c r="RP150" s="13"/>
      <c r="RQ150" s="13"/>
      <c r="RR150" s="13"/>
      <c r="RS150" s="13"/>
      <c r="RT150" s="13"/>
      <c r="RU150" s="13"/>
      <c r="RV150" s="13"/>
      <c r="RW150" s="13"/>
      <c r="RX150" s="13"/>
      <c r="RY150" s="13"/>
      <c r="RZ150" s="13"/>
      <c r="SA150" s="13"/>
      <c r="SB150" s="13"/>
      <c r="SC150" s="13"/>
      <c r="SD150" s="13"/>
      <c r="SE150" s="13"/>
      <c r="SF150" s="13"/>
      <c r="SG150" s="13"/>
      <c r="SH150" s="13"/>
      <c r="SI150" s="13"/>
      <c r="SJ150" s="13"/>
      <c r="SK150" s="13"/>
      <c r="SL150" s="13"/>
      <c r="SM150" s="13"/>
      <c r="SN150" s="13"/>
      <c r="SO150" s="13"/>
      <c r="SP150" s="13"/>
      <c r="SQ150" s="13"/>
      <c r="SR150" s="13"/>
      <c r="SS150" s="13"/>
      <c r="ST150" s="13"/>
      <c r="SU150" s="13"/>
      <c r="SV150" s="13"/>
      <c r="SW150" s="13"/>
      <c r="SX150" s="13"/>
      <c r="SY150" s="13"/>
      <c r="SZ150" s="13"/>
      <c r="TA150" s="13"/>
      <c r="TB150" s="13"/>
      <c r="TC150" s="13"/>
      <c r="TD150" s="13"/>
      <c r="TE150" s="13"/>
      <c r="TF150" s="13"/>
      <c r="TG150" s="13"/>
      <c r="TH150" s="13"/>
      <c r="TI150" s="13"/>
      <c r="TJ150" s="13"/>
      <c r="TK150" s="13"/>
      <c r="TL150" s="13"/>
      <c r="TM150" s="13"/>
      <c r="TN150" s="13"/>
      <c r="TO150" s="13"/>
      <c r="TP150" s="13"/>
      <c r="TQ150" s="13"/>
      <c r="TR150" s="13"/>
      <c r="TS150" s="13"/>
      <c r="TT150" s="13"/>
      <c r="TU150" s="13"/>
      <c r="TV150" s="13"/>
      <c r="TW150" s="13"/>
      <c r="TX150" s="13"/>
      <c r="TY150" s="13"/>
      <c r="TZ150" s="13"/>
      <c r="UA150" s="13"/>
      <c r="UB150" s="13"/>
      <c r="UC150" s="13"/>
      <c r="UD150" s="13"/>
      <c r="UE150" s="13"/>
      <c r="UF150" s="13"/>
      <c r="UG150" s="13"/>
      <c r="UH150" s="13"/>
      <c r="UI150" s="13"/>
      <c r="UJ150" s="13"/>
      <c r="UK150" s="13"/>
      <c r="UL150" s="13"/>
      <c r="UM150" s="13"/>
      <c r="UN150" s="13"/>
      <c r="UO150" s="13"/>
      <c r="UP150" s="13"/>
      <c r="UQ150" s="13"/>
      <c r="UR150" s="13"/>
      <c r="US150" s="13"/>
      <c r="UT150" s="13"/>
      <c r="UU150" s="13"/>
      <c r="UV150" s="13"/>
      <c r="UW150" s="13"/>
      <c r="UX150" s="13"/>
      <c r="UY150" s="13"/>
      <c r="UZ150" s="13"/>
      <c r="VA150" s="13"/>
      <c r="VB150" s="13"/>
      <c r="VC150" s="13"/>
      <c r="VD150" s="13"/>
      <c r="VE150" s="13"/>
      <c r="VF150" s="13"/>
      <c r="VG150" s="13"/>
      <c r="VH150" s="13"/>
      <c r="VI150" s="13"/>
      <c r="VJ150" s="13"/>
      <c r="VK150" s="13"/>
      <c r="VL150" s="13"/>
      <c r="VM150" s="13"/>
      <c r="VN150" s="13"/>
      <c r="VO150" s="13"/>
      <c r="VP150" s="13"/>
      <c r="VQ150" s="13"/>
      <c r="VR150" s="13"/>
      <c r="VS150" s="13"/>
      <c r="VT150" s="13"/>
      <c r="VU150" s="13"/>
      <c r="VV150" s="13"/>
      <c r="VW150" s="13"/>
      <c r="VX150" s="13"/>
      <c r="VY150" s="13"/>
      <c r="VZ150" s="13"/>
      <c r="WA150" s="13"/>
      <c r="WB150" s="13"/>
      <c r="WC150" s="13"/>
      <c r="WD150" s="13"/>
      <c r="WE150" s="13"/>
      <c r="WF150" s="13"/>
      <c r="WG150" s="13"/>
      <c r="WH150" s="13"/>
      <c r="WI150" s="13"/>
      <c r="WJ150" s="13"/>
      <c r="WK150" s="13"/>
      <c r="WL150" s="13"/>
      <c r="WM150" s="13"/>
      <c r="WN150" s="13"/>
      <c r="WO150" s="13"/>
      <c r="WP150" s="13"/>
      <c r="WQ150" s="13"/>
      <c r="WR150" s="13"/>
      <c r="WS150" s="13"/>
      <c r="WT150" s="13"/>
      <c r="WU150" s="13"/>
      <c r="WV150" s="13"/>
      <c r="WW150" s="13"/>
      <c r="WX150" s="13"/>
      <c r="WY150" s="13"/>
      <c r="WZ150" s="13"/>
      <c r="XA150" s="13"/>
      <c r="XB150" s="13"/>
      <c r="XC150" s="13"/>
      <c r="XD150" s="13"/>
      <c r="XE150" s="13"/>
      <c r="XF150" s="13"/>
      <c r="XG150" s="13"/>
      <c r="XH150" s="13"/>
      <c r="XI150" s="13"/>
      <c r="XJ150" s="13"/>
      <c r="XK150" s="13"/>
      <c r="XL150" s="13"/>
      <c r="XM150" s="13"/>
      <c r="XN150" s="13"/>
      <c r="XO150" s="13"/>
      <c r="XP150" s="13"/>
      <c r="XQ150" s="13"/>
      <c r="XR150" s="13"/>
      <c r="XS150" s="13"/>
      <c r="XT150" s="13"/>
      <c r="XU150" s="13"/>
      <c r="XV150" s="13"/>
      <c r="XW150" s="13"/>
      <c r="XX150" s="13"/>
      <c r="XY150" s="13"/>
      <c r="XZ150" s="13"/>
      <c r="YA150" s="13"/>
      <c r="YB150" s="13"/>
      <c r="YC150" s="13"/>
      <c r="YD150" s="13"/>
      <c r="YE150" s="13"/>
      <c r="YF150" s="13"/>
      <c r="YG150" s="13"/>
      <c r="YH150" s="13"/>
      <c r="YI150" s="13"/>
      <c r="YJ150" s="13"/>
      <c r="YK150" s="13"/>
      <c r="YL150" s="13"/>
      <c r="YM150" s="13"/>
      <c r="YN150" s="13"/>
      <c r="YO150" s="13"/>
      <c r="YP150" s="13"/>
      <c r="YQ150" s="13"/>
      <c r="YR150" s="13"/>
      <c r="YS150" s="13"/>
      <c r="YT150" s="13"/>
      <c r="YU150" s="13"/>
      <c r="YV150" s="13"/>
      <c r="YW150" s="13"/>
      <c r="YX150" s="13"/>
      <c r="YY150" s="13"/>
      <c r="YZ150" s="13"/>
      <c r="ZA150" s="13"/>
      <c r="ZB150" s="13"/>
      <c r="ZC150" s="13"/>
      <c r="ZD150" s="13"/>
      <c r="ZE150" s="13"/>
      <c r="ZF150" s="13"/>
      <c r="ZG150" s="13"/>
      <c r="ZH150" s="13"/>
      <c r="ZI150" s="13"/>
      <c r="ZJ150" s="13"/>
      <c r="ZK150" s="13"/>
      <c r="ZL150" s="13"/>
      <c r="ZM150" s="13"/>
      <c r="ZN150" s="13"/>
      <c r="ZO150" s="13"/>
      <c r="ZP150" s="13"/>
      <c r="ZQ150" s="13"/>
      <c r="ZR150" s="13"/>
      <c r="ZS150" s="13"/>
      <c r="ZT150" s="13"/>
      <c r="ZU150" s="13"/>
      <c r="ZV150" s="13"/>
      <c r="ZW150" s="13"/>
      <c r="ZX150" s="13"/>
      <c r="ZY150" s="13"/>
      <c r="ZZ150" s="13"/>
      <c r="AAA150" s="13"/>
      <c r="AAB150" s="13"/>
      <c r="AAC150" s="13"/>
      <c r="AAD150" s="13"/>
      <c r="AAE150" s="13"/>
      <c r="AAF150" s="13"/>
      <c r="AAG150" s="13"/>
      <c r="AAH150" s="13"/>
      <c r="AAI150" s="13"/>
      <c r="AAJ150" s="13"/>
      <c r="AAK150" s="13"/>
      <c r="AAL150" s="13"/>
      <c r="AAM150" s="13"/>
      <c r="AAN150" s="13"/>
      <c r="AAO150" s="13"/>
      <c r="AAP150" s="13"/>
      <c r="AAQ150" s="13"/>
      <c r="AAR150" s="13"/>
      <c r="AAS150" s="13"/>
      <c r="AAT150" s="13"/>
      <c r="AAU150" s="13"/>
      <c r="AAV150" s="13"/>
      <c r="AAW150" s="13"/>
      <c r="AAX150" s="13"/>
      <c r="AAY150" s="13"/>
      <c r="AAZ150" s="13"/>
      <c r="ABA150" s="13"/>
      <c r="ABB150" s="13"/>
      <c r="ABC150" s="13"/>
      <c r="ABD150" s="13"/>
      <c r="ABE150" s="13"/>
      <c r="ABF150" s="13"/>
      <c r="ABG150" s="13"/>
      <c r="ABH150" s="13"/>
      <c r="ABI150" s="13"/>
      <c r="ABJ150" s="13"/>
      <c r="ABK150" s="13"/>
      <c r="ABL150" s="13"/>
      <c r="ABM150" s="13"/>
      <c r="ABN150" s="13"/>
      <c r="ABO150" s="13"/>
      <c r="ABP150" s="13"/>
      <c r="ABQ150" s="13"/>
      <c r="ABR150" s="13"/>
      <c r="ABS150" s="13"/>
      <c r="ABT150" s="13"/>
      <c r="ABU150" s="13"/>
      <c r="ABV150" s="13"/>
      <c r="ABW150" s="13"/>
      <c r="ABX150" s="13"/>
      <c r="ABY150" s="13"/>
      <c r="ABZ150" s="13"/>
      <c r="ACA150" s="13"/>
      <c r="ACB150" s="13"/>
      <c r="ACC150" s="13"/>
      <c r="ACD150" s="13"/>
      <c r="ACE150" s="13"/>
      <c r="ACF150" s="13"/>
      <c r="ACG150" s="13"/>
      <c r="ACH150" s="13"/>
      <c r="ACI150" s="13"/>
      <c r="ACJ150" s="13"/>
      <c r="ACK150" s="13"/>
      <c r="ACL150" s="13"/>
      <c r="ACM150" s="13"/>
      <c r="ACN150" s="13"/>
      <c r="ACO150" s="13"/>
      <c r="ACP150" s="13"/>
      <c r="ACQ150" s="13"/>
      <c r="ACR150" s="13"/>
      <c r="ACS150" s="13"/>
      <c r="ACT150" s="13"/>
      <c r="ACU150" s="13"/>
      <c r="ACV150" s="13"/>
      <c r="ACW150" s="13"/>
      <c r="ACX150" s="13"/>
      <c r="ACY150" s="13"/>
      <c r="ACZ150" s="13"/>
      <c r="ADA150" s="13"/>
      <c r="ADB150" s="13"/>
      <c r="ADC150" s="13"/>
      <c r="ADD150" s="13"/>
      <c r="ADE150" s="13"/>
      <c r="ADF150" s="13"/>
      <c r="ADG150" s="13"/>
      <c r="ADH150" s="13"/>
      <c r="ADI150" s="13"/>
      <c r="ADJ150" s="13"/>
      <c r="ADK150" s="13"/>
      <c r="ADL150" s="13"/>
      <c r="ADM150" s="13"/>
      <c r="ADN150" s="13"/>
      <c r="ADO150" s="13"/>
      <c r="ADP150" s="13"/>
      <c r="ADQ150" s="13"/>
      <c r="ADR150" s="13"/>
      <c r="ADS150" s="13"/>
      <c r="ADT150" s="13"/>
      <c r="ADU150" s="13"/>
      <c r="ADV150" s="13"/>
      <c r="ADW150" s="13"/>
      <c r="ADX150" s="13"/>
      <c r="ADY150" s="13"/>
      <c r="ADZ150" s="13"/>
      <c r="AEA150" s="13"/>
      <c r="AEB150" s="13"/>
      <c r="AEC150" s="13"/>
      <c r="AED150" s="13"/>
      <c r="AEE150" s="13"/>
      <c r="AEF150" s="13"/>
      <c r="AEG150" s="13"/>
      <c r="AEH150" s="13"/>
      <c r="AEI150" s="13"/>
      <c r="AEJ150" s="13"/>
      <c r="AEK150" s="13"/>
      <c r="AEL150" s="13"/>
      <c r="AEM150" s="13"/>
      <c r="AEN150" s="13"/>
      <c r="AEO150" s="13"/>
      <c r="AEP150" s="13"/>
      <c r="AEQ150" s="13"/>
      <c r="AER150" s="13"/>
      <c r="AES150" s="13"/>
      <c r="AET150" s="13"/>
      <c r="AEU150" s="13"/>
      <c r="AEV150" s="13"/>
      <c r="AEW150" s="13"/>
      <c r="AEX150" s="13"/>
      <c r="AEY150" s="13"/>
      <c r="AEZ150" s="13"/>
      <c r="AFA150" s="13"/>
      <c r="AFB150" s="13"/>
      <c r="AFC150" s="13"/>
      <c r="AFD150" s="13"/>
      <c r="AFE150" s="13"/>
      <c r="AFF150" s="13"/>
      <c r="AFG150" s="13"/>
      <c r="AFH150" s="13"/>
      <c r="AFI150" s="13"/>
      <c r="AFJ150" s="13"/>
      <c r="AFK150" s="13"/>
      <c r="AFL150" s="13"/>
      <c r="AFM150" s="13"/>
      <c r="AFN150" s="13"/>
      <c r="AFO150" s="13"/>
      <c r="AFP150" s="13"/>
      <c r="AFQ150" s="13"/>
      <c r="AFR150" s="13"/>
      <c r="AFS150" s="13"/>
      <c r="AFT150" s="13"/>
      <c r="AFU150" s="13"/>
      <c r="AFV150" s="13"/>
      <c r="AFW150" s="13"/>
      <c r="AFX150" s="13"/>
      <c r="AFY150" s="13"/>
      <c r="AFZ150" s="13"/>
      <c r="AGA150" s="13"/>
      <c r="AGB150" s="13"/>
      <c r="AGC150" s="13"/>
      <c r="AGD150" s="13"/>
      <c r="AGE150" s="13"/>
      <c r="AGF150" s="13"/>
      <c r="AGG150" s="13"/>
      <c r="AGH150" s="13"/>
      <c r="AGI150" s="13"/>
      <c r="AGJ150" s="13"/>
      <c r="AGK150" s="13"/>
      <c r="AGL150" s="13"/>
      <c r="AGM150" s="13"/>
      <c r="AGN150" s="13"/>
      <c r="AGO150" s="13"/>
      <c r="AGP150" s="13"/>
      <c r="AGQ150" s="13"/>
      <c r="AGR150" s="13"/>
      <c r="AGS150" s="13"/>
      <c r="AGT150" s="13"/>
      <c r="AGU150" s="13"/>
      <c r="AGV150" s="13"/>
      <c r="AGW150" s="13"/>
      <c r="AGX150" s="13"/>
      <c r="AGY150" s="13"/>
      <c r="AGZ150" s="13"/>
      <c r="AHA150" s="13"/>
      <c r="AHB150" s="13"/>
      <c r="AHC150" s="13"/>
      <c r="AHD150" s="13"/>
      <c r="AHE150" s="13"/>
      <c r="AHF150" s="13"/>
      <c r="AHG150" s="13"/>
      <c r="AHH150" s="13"/>
      <c r="AHI150" s="13"/>
      <c r="AHJ150" s="13"/>
      <c r="AHK150" s="13"/>
      <c r="AHL150" s="13"/>
      <c r="AHM150" s="13"/>
      <c r="AHN150" s="13"/>
      <c r="AHO150" s="13"/>
      <c r="AHP150" s="13"/>
      <c r="AHQ150" s="13"/>
      <c r="AHR150" s="13"/>
      <c r="AHS150" s="13"/>
      <c r="AHT150" s="13"/>
      <c r="AHU150" s="13"/>
      <c r="AHV150" s="13"/>
      <c r="AHW150" s="13"/>
      <c r="AHX150" s="13"/>
      <c r="AHY150" s="13"/>
      <c r="AHZ150" s="13"/>
      <c r="AIA150" s="13"/>
      <c r="AIB150" s="13"/>
      <c r="AIC150" s="13"/>
      <c r="AID150" s="13"/>
      <c r="AIE150" s="13"/>
      <c r="AIF150" s="13"/>
      <c r="AIG150" s="13"/>
      <c r="AIH150" s="13"/>
      <c r="AII150" s="13"/>
      <c r="AIJ150" s="13"/>
      <c r="AIK150" s="13"/>
      <c r="AIL150" s="13"/>
      <c r="AIM150" s="13"/>
      <c r="AIN150" s="13"/>
      <c r="AIO150" s="13"/>
      <c r="AIP150" s="13"/>
      <c r="AIQ150" s="13"/>
      <c r="AIR150" s="13"/>
      <c r="AIS150" s="13"/>
      <c r="AIT150" s="13"/>
      <c r="AIU150" s="13"/>
      <c r="AIV150" s="13"/>
      <c r="AIW150" s="13"/>
      <c r="AIX150" s="13"/>
      <c r="AIY150" s="13"/>
      <c r="AIZ150" s="13"/>
      <c r="AJA150" s="13"/>
      <c r="AJB150" s="13"/>
      <c r="AJC150" s="13"/>
      <c r="AJD150" s="13"/>
      <c r="AJE150" s="13"/>
      <c r="AJF150" s="13"/>
      <c r="AJG150" s="13"/>
      <c r="AJH150" s="13"/>
      <c r="AJI150" s="13"/>
      <c r="AJJ150" s="13"/>
      <c r="AJK150" s="13"/>
      <c r="AJL150" s="13"/>
      <c r="AJM150" s="13"/>
      <c r="AJN150" s="13"/>
      <c r="AJO150" s="13"/>
      <c r="AJP150" s="13"/>
      <c r="AJQ150" s="13"/>
      <c r="AJR150" s="13"/>
      <c r="AJS150" s="13"/>
      <c r="AJT150" s="13"/>
      <c r="AJU150" s="13"/>
      <c r="AJV150" s="13"/>
      <c r="AJW150" s="13"/>
      <c r="AJX150" s="13"/>
      <c r="AJY150" s="13"/>
      <c r="AJZ150" s="13"/>
      <c r="AKA150" s="13"/>
      <c r="AKB150" s="13"/>
      <c r="AKC150" s="13"/>
      <c r="AKD150" s="13"/>
      <c r="AKE150" s="13"/>
      <c r="AKF150" s="13"/>
      <c r="AKG150" s="13"/>
      <c r="AKH150" s="13"/>
      <c r="AKI150" s="13"/>
      <c r="AKJ150" s="13"/>
      <c r="AKK150" s="13"/>
      <c r="AKL150" s="13"/>
      <c r="AKM150" s="13"/>
      <c r="AKN150" s="13"/>
      <c r="AKO150" s="13"/>
      <c r="AKP150" s="13"/>
      <c r="AKQ150" s="13"/>
      <c r="AKR150" s="13"/>
      <c r="AKS150" s="13"/>
      <c r="AKT150" s="13"/>
      <c r="AKU150" s="13"/>
      <c r="AKV150" s="13"/>
      <c r="AKW150" s="13"/>
      <c r="AKX150" s="13"/>
      <c r="AKY150" s="13"/>
      <c r="AKZ150" s="13"/>
      <c r="ALA150" s="13"/>
      <c r="ALB150" s="13"/>
      <c r="ALC150" s="13"/>
      <c r="ALD150" s="13"/>
      <c r="ALE150" s="13"/>
      <c r="ALF150" s="13"/>
      <c r="ALG150" s="13"/>
      <c r="ALH150" s="13"/>
      <c r="ALI150" s="13"/>
      <c r="ALJ150" s="13"/>
      <c r="ALK150" s="13"/>
      <c r="ALL150" s="13"/>
      <c r="ALM150" s="13"/>
      <c r="ALN150" s="13"/>
      <c r="ALO150" s="13"/>
      <c r="ALP150" s="13"/>
      <c r="ALQ150" s="13"/>
      <c r="ALR150" s="13"/>
      <c r="ALS150" s="13"/>
      <c r="ALT150" s="13"/>
      <c r="ALU150" s="13"/>
      <c r="ALV150" s="13"/>
      <c r="ALW150" s="13"/>
      <c r="ALX150" s="13"/>
      <c r="ALY150" s="13"/>
      <c r="ALZ150" s="13"/>
      <c r="AMA150" s="13"/>
      <c r="AMB150" s="13"/>
      <c r="AMC150" s="13"/>
      <c r="AMD150" s="13"/>
      <c r="AME150" s="13"/>
      <c r="AMF150" s="13"/>
      <c r="AMG150" s="13"/>
      <c r="AMH150" s="13"/>
      <c r="AMI150" s="13"/>
      <c r="AMJ150" s="13"/>
      <c r="AMK150" s="13"/>
      <c r="AML150" s="13"/>
      <c r="AMM150" s="13"/>
      <c r="AMN150" s="13"/>
      <c r="AMO150" s="13"/>
      <c r="AMP150" s="13"/>
      <c r="AMQ150" s="13"/>
      <c r="AMR150" s="13"/>
      <c r="AMS150" s="13"/>
      <c r="AMT150" s="13"/>
      <c r="AMU150" s="13"/>
      <c r="AMV150" s="13"/>
      <c r="AMW150" s="13"/>
      <c r="AMX150" s="13"/>
      <c r="AMY150" s="13"/>
      <c r="AMZ150" s="13"/>
      <c r="ANA150" s="13"/>
      <c r="ANB150" s="13"/>
      <c r="ANC150" s="13"/>
      <c r="AND150" s="13"/>
      <c r="ANE150" s="13"/>
      <c r="ANF150" s="13"/>
      <c r="ANG150" s="13"/>
      <c r="ANH150" s="13"/>
      <c r="ANI150" s="13"/>
      <c r="ANJ150" s="13"/>
      <c r="ANK150" s="13"/>
      <c r="ANL150" s="13"/>
      <c r="ANM150" s="13"/>
      <c r="ANN150" s="13"/>
      <c r="ANO150" s="13"/>
      <c r="ANP150" s="13"/>
      <c r="ANQ150" s="13"/>
      <c r="ANR150" s="13"/>
      <c r="ANS150" s="13"/>
      <c r="ANT150" s="13"/>
      <c r="ANU150" s="13"/>
      <c r="ANV150" s="13"/>
      <c r="ANW150" s="13"/>
      <c r="ANX150" s="13"/>
      <c r="ANY150" s="13"/>
      <c r="ANZ150" s="13"/>
      <c r="AOA150" s="13"/>
      <c r="AOB150" s="13"/>
      <c r="AOC150" s="13"/>
      <c r="AOD150" s="13"/>
      <c r="AOE150" s="13"/>
      <c r="AOF150" s="13"/>
      <c r="AOG150" s="13"/>
      <c r="AOH150" s="13"/>
      <c r="AOI150" s="13"/>
      <c r="AOJ150" s="13"/>
      <c r="AOK150" s="13"/>
      <c r="AOL150" s="13"/>
      <c r="AOM150" s="13"/>
      <c r="AON150" s="13"/>
      <c r="AOO150" s="13"/>
      <c r="AOP150" s="13"/>
      <c r="AOQ150" s="13"/>
      <c r="AOR150" s="13"/>
      <c r="AOS150" s="13"/>
      <c r="AOT150" s="13"/>
      <c r="AOU150" s="13"/>
      <c r="AOV150" s="13"/>
      <c r="AOW150" s="13"/>
      <c r="AOX150" s="13"/>
      <c r="AOY150" s="13"/>
      <c r="AOZ150" s="13"/>
      <c r="APA150" s="13"/>
      <c r="APB150" s="13"/>
      <c r="APC150" s="13"/>
      <c r="APD150" s="13"/>
      <c r="APE150" s="13"/>
      <c r="APF150" s="13"/>
      <c r="APG150" s="13"/>
      <c r="APH150" s="13"/>
      <c r="API150" s="13"/>
      <c r="APJ150" s="13"/>
      <c r="APK150" s="13"/>
      <c r="APL150" s="13"/>
      <c r="APM150" s="13"/>
      <c r="APN150" s="13"/>
      <c r="APO150" s="13"/>
      <c r="APP150" s="13"/>
      <c r="APQ150" s="13"/>
      <c r="APR150" s="13"/>
      <c r="APS150" s="13"/>
      <c r="APT150" s="13"/>
      <c r="APU150" s="13"/>
      <c r="APV150" s="13"/>
      <c r="APW150" s="13"/>
      <c r="APX150" s="13"/>
      <c r="APY150" s="13"/>
      <c r="APZ150" s="13"/>
      <c r="AQA150" s="13"/>
      <c r="AQB150" s="13"/>
      <c r="AQC150" s="13"/>
      <c r="AQD150" s="13"/>
      <c r="AQE150" s="13"/>
      <c r="AQF150" s="13"/>
      <c r="AQG150" s="13"/>
      <c r="AQH150" s="13"/>
      <c r="AQI150" s="13"/>
      <c r="AQJ150" s="13"/>
      <c r="AQK150" s="13"/>
      <c r="AQL150" s="13"/>
      <c r="AQM150" s="13"/>
      <c r="AQN150" s="13"/>
      <c r="AQO150" s="13"/>
      <c r="AQP150" s="13"/>
      <c r="AQQ150" s="13"/>
      <c r="AQR150" s="13"/>
      <c r="AQS150" s="13"/>
      <c r="AQT150" s="13"/>
      <c r="AQU150" s="13"/>
      <c r="AQV150" s="13"/>
      <c r="AQW150" s="13"/>
      <c r="AQX150" s="13"/>
      <c r="AQY150" s="13"/>
      <c r="AQZ150" s="13"/>
      <c r="ARA150" s="13"/>
      <c r="ARB150" s="13"/>
      <c r="ARC150" s="13"/>
      <c r="ARD150" s="13"/>
      <c r="ARE150" s="13"/>
      <c r="ARF150" s="13"/>
      <c r="ARG150" s="13"/>
      <c r="ARH150" s="13"/>
      <c r="ARI150" s="13"/>
      <c r="ARJ150" s="13"/>
      <c r="ARK150" s="13"/>
      <c r="ARL150" s="13"/>
      <c r="ARM150" s="13"/>
      <c r="ARN150" s="13"/>
      <c r="ARO150" s="13"/>
      <c r="ARP150" s="13"/>
      <c r="ARQ150" s="13"/>
      <c r="ARR150" s="13"/>
      <c r="ARS150" s="13"/>
      <c r="ART150" s="13"/>
      <c r="ARU150" s="13"/>
      <c r="ARV150" s="13"/>
      <c r="ARW150" s="13"/>
      <c r="ARX150" s="13"/>
      <c r="ARY150" s="13"/>
      <c r="ARZ150" s="13"/>
      <c r="ASA150" s="13"/>
      <c r="ASB150" s="13"/>
      <c r="ASC150" s="13"/>
      <c r="ASD150" s="13"/>
      <c r="ASE150" s="13"/>
      <c r="ASF150" s="13"/>
      <c r="ASG150" s="13"/>
      <c r="ASH150" s="13"/>
      <c r="ASI150" s="13"/>
      <c r="ASJ150" s="13"/>
      <c r="ASK150" s="13"/>
      <c r="ASL150" s="13"/>
      <c r="ASM150" s="13"/>
      <c r="ASN150" s="13"/>
      <c r="ASO150" s="13"/>
      <c r="ASP150" s="13"/>
      <c r="ASQ150" s="13"/>
      <c r="ASR150" s="13"/>
      <c r="ASS150" s="13"/>
      <c r="AST150" s="13"/>
      <c r="ASU150" s="13"/>
      <c r="ASV150" s="13"/>
      <c r="ASW150" s="13"/>
      <c r="ASX150" s="13"/>
      <c r="ASY150" s="13"/>
      <c r="ASZ150" s="13"/>
      <c r="ATA150" s="13"/>
      <c r="ATB150" s="13"/>
      <c r="ATC150" s="13"/>
      <c r="ATD150" s="13"/>
      <c r="ATE150" s="13"/>
      <c r="ATF150" s="13"/>
      <c r="ATG150" s="13"/>
      <c r="ATH150" s="13"/>
      <c r="ATI150" s="13"/>
      <c r="ATJ150" s="13"/>
      <c r="ATK150" s="13"/>
      <c r="ATL150" s="13"/>
      <c r="ATM150" s="13"/>
      <c r="ATN150" s="13"/>
      <c r="ATO150" s="13"/>
      <c r="ATP150" s="13"/>
      <c r="ATQ150" s="13"/>
      <c r="ATR150" s="13"/>
      <c r="ATS150" s="13"/>
      <c r="ATT150" s="13"/>
      <c r="ATU150" s="13"/>
      <c r="ATV150" s="13"/>
      <c r="ATW150" s="13"/>
      <c r="ATX150" s="13"/>
      <c r="ATY150" s="13"/>
      <c r="ATZ150" s="13"/>
      <c r="AUA150" s="13"/>
      <c r="AUB150" s="13"/>
      <c r="AUC150" s="13"/>
      <c r="AUD150" s="13"/>
      <c r="AUE150" s="13"/>
      <c r="AUF150" s="13"/>
      <c r="AUG150" s="13"/>
      <c r="AUH150" s="13"/>
      <c r="AUI150" s="13"/>
      <c r="AUJ150" s="13"/>
      <c r="AUK150" s="13"/>
      <c r="AUL150" s="13"/>
      <c r="AUM150" s="13"/>
      <c r="AUN150" s="13"/>
      <c r="AUO150" s="13"/>
      <c r="AUP150" s="13"/>
      <c r="AUQ150" s="13"/>
      <c r="AUR150" s="13"/>
      <c r="AUS150" s="13"/>
      <c r="AUT150" s="13"/>
      <c r="AUU150" s="13"/>
      <c r="AUV150" s="13"/>
      <c r="AUW150" s="13"/>
      <c r="AUX150" s="13"/>
      <c r="AUY150" s="13"/>
      <c r="AUZ150" s="13"/>
      <c r="AVA150" s="13"/>
      <c r="AVB150" s="13"/>
      <c r="AVC150" s="13"/>
      <c r="AVD150" s="13"/>
      <c r="AVE150" s="13"/>
      <c r="AVF150" s="13"/>
      <c r="AVG150" s="13"/>
      <c r="AVH150" s="13"/>
      <c r="AVI150" s="13"/>
      <c r="AVJ150" s="13"/>
      <c r="AVK150" s="13"/>
      <c r="AVL150" s="13"/>
      <c r="AVM150" s="13"/>
      <c r="AVN150" s="13"/>
      <c r="AVO150" s="13"/>
      <c r="AVP150" s="13"/>
      <c r="AVQ150" s="13"/>
      <c r="AVR150" s="13"/>
      <c r="AVS150" s="13"/>
      <c r="AVT150" s="13"/>
      <c r="AVU150" s="13"/>
      <c r="AVV150" s="13"/>
      <c r="AVW150" s="13"/>
      <c r="AVX150" s="13"/>
      <c r="AVY150" s="13"/>
      <c r="AVZ150" s="13"/>
      <c r="AWA150" s="13"/>
      <c r="AWB150" s="13"/>
      <c r="AWC150" s="13"/>
      <c r="AWD150" s="13"/>
      <c r="AWE150" s="13"/>
      <c r="AWF150" s="13"/>
      <c r="AWG150" s="13"/>
      <c r="AWH150" s="13"/>
      <c r="AWI150" s="13"/>
      <c r="AWJ150" s="13"/>
      <c r="AWK150" s="13"/>
      <c r="AWL150" s="13"/>
      <c r="AWM150" s="13"/>
      <c r="AWN150" s="13"/>
      <c r="AWO150" s="13"/>
      <c r="AWP150" s="13"/>
      <c r="AWQ150" s="13"/>
      <c r="AWR150" s="13"/>
      <c r="AWS150" s="13"/>
      <c r="AWT150" s="13"/>
      <c r="AWU150" s="13"/>
      <c r="AWV150" s="13"/>
      <c r="AWW150" s="13"/>
      <c r="AWX150" s="13"/>
      <c r="AWY150" s="13"/>
      <c r="AWZ150" s="13"/>
      <c r="AXA150" s="13"/>
      <c r="AXB150" s="13"/>
      <c r="AXC150" s="13"/>
      <c r="AXD150" s="13"/>
      <c r="AXE150" s="13"/>
      <c r="AXF150" s="13"/>
      <c r="AXG150" s="13"/>
      <c r="AXH150" s="13"/>
      <c r="AXI150" s="13"/>
      <c r="AXJ150" s="13"/>
      <c r="AXK150" s="13"/>
      <c r="AXL150" s="13"/>
      <c r="AXM150" s="13"/>
      <c r="AXN150" s="13"/>
      <c r="AXO150" s="13"/>
      <c r="AXP150" s="13"/>
      <c r="AXQ150" s="13"/>
      <c r="AXR150" s="13"/>
      <c r="AXS150" s="13"/>
      <c r="AXT150" s="13"/>
      <c r="AXU150" s="13"/>
      <c r="AXV150" s="13"/>
      <c r="AXW150" s="13"/>
      <c r="AXX150" s="13"/>
      <c r="AXY150" s="13"/>
      <c r="AXZ150" s="13"/>
      <c r="AYA150" s="13"/>
      <c r="AYB150" s="13"/>
      <c r="AYC150" s="13"/>
      <c r="AYD150" s="13"/>
      <c r="AYE150" s="13"/>
      <c r="AYF150" s="13"/>
      <c r="AYG150" s="13"/>
      <c r="AYH150" s="13"/>
      <c r="AYI150" s="13"/>
      <c r="AYJ150" s="13"/>
      <c r="AYK150" s="13"/>
      <c r="AYL150" s="13"/>
      <c r="AYM150" s="13"/>
      <c r="AYN150" s="13"/>
      <c r="AYO150" s="13"/>
      <c r="AYP150" s="13"/>
      <c r="AYQ150" s="13"/>
      <c r="AYR150" s="13"/>
      <c r="AYS150" s="13"/>
      <c r="AYT150" s="13"/>
      <c r="AYU150" s="13"/>
      <c r="AYV150" s="13"/>
      <c r="AYW150" s="13"/>
      <c r="AYX150" s="13"/>
      <c r="AYY150" s="13"/>
      <c r="AYZ150" s="13"/>
      <c r="AZA150" s="13"/>
      <c r="AZB150" s="13"/>
      <c r="AZC150" s="13"/>
      <c r="AZD150" s="13"/>
      <c r="AZE150" s="13"/>
      <c r="AZF150" s="13"/>
      <c r="AZG150" s="13"/>
      <c r="AZH150" s="13"/>
      <c r="AZI150" s="13"/>
      <c r="AZJ150" s="13"/>
      <c r="AZK150" s="13"/>
      <c r="AZL150" s="13"/>
      <c r="AZM150" s="13"/>
      <c r="AZN150" s="13"/>
      <c r="AZO150" s="13"/>
      <c r="AZP150" s="13"/>
      <c r="AZQ150" s="13"/>
      <c r="AZR150" s="13"/>
      <c r="AZS150" s="13"/>
      <c r="AZT150" s="13"/>
      <c r="AZU150" s="13"/>
      <c r="AZV150" s="13"/>
      <c r="AZW150" s="13"/>
      <c r="AZX150" s="13"/>
      <c r="AZY150" s="13"/>
      <c r="AZZ150" s="13"/>
      <c r="BAA150" s="13"/>
      <c r="BAB150" s="13"/>
      <c r="BAC150" s="13"/>
      <c r="BAD150" s="13"/>
      <c r="BAE150" s="13"/>
      <c r="BAF150" s="13"/>
      <c r="BAG150" s="13"/>
      <c r="BAH150" s="13"/>
      <c r="BAI150" s="13"/>
      <c r="BAJ150" s="13"/>
      <c r="BAK150" s="13"/>
      <c r="BAL150" s="13"/>
      <c r="BAM150" s="13"/>
      <c r="BAN150" s="13"/>
      <c r="BAO150" s="13"/>
      <c r="BAP150" s="13"/>
      <c r="BAQ150" s="13"/>
      <c r="BAR150" s="13"/>
      <c r="BAS150" s="13"/>
      <c r="BAT150" s="13"/>
      <c r="BAU150" s="13"/>
      <c r="BAV150" s="13"/>
      <c r="BAW150" s="13"/>
      <c r="BAX150" s="13"/>
      <c r="BAY150" s="13"/>
      <c r="BAZ150" s="13"/>
      <c r="BBA150" s="13"/>
      <c r="BBB150" s="13"/>
      <c r="BBC150" s="13"/>
      <c r="BBD150" s="13"/>
      <c r="BBE150" s="13"/>
      <c r="BBF150" s="13"/>
      <c r="BBG150" s="13"/>
      <c r="BBH150" s="13"/>
      <c r="BBI150" s="13"/>
      <c r="BBJ150" s="13"/>
      <c r="BBK150" s="13"/>
      <c r="BBL150" s="13"/>
      <c r="BBM150" s="13"/>
      <c r="BBN150" s="13"/>
      <c r="BBO150" s="13"/>
      <c r="BBP150" s="13"/>
      <c r="BBQ150" s="13"/>
      <c r="BBR150" s="13"/>
      <c r="BBS150" s="13"/>
      <c r="BBT150" s="13"/>
      <c r="BBU150" s="13"/>
      <c r="BBV150" s="13"/>
      <c r="BBW150" s="13"/>
      <c r="BBX150" s="13"/>
      <c r="BBY150" s="13"/>
      <c r="BBZ150" s="13"/>
      <c r="BCA150" s="13"/>
      <c r="BCB150" s="13"/>
      <c r="BCC150" s="13"/>
      <c r="BCD150" s="13"/>
      <c r="BCE150" s="13"/>
      <c r="BCF150" s="13"/>
      <c r="BCG150" s="13"/>
      <c r="BCH150" s="13"/>
      <c r="BCI150" s="13"/>
      <c r="BCJ150" s="13"/>
      <c r="BCK150" s="13"/>
      <c r="BCL150" s="13"/>
      <c r="BCM150" s="13"/>
      <c r="BCN150" s="13"/>
      <c r="BCO150" s="13"/>
      <c r="BCP150" s="13"/>
      <c r="BCQ150" s="13"/>
      <c r="BCR150" s="13"/>
      <c r="BCS150" s="13"/>
      <c r="BCT150" s="13"/>
      <c r="BCU150" s="13"/>
      <c r="BCV150" s="13"/>
      <c r="BCW150" s="13"/>
      <c r="BCX150" s="13"/>
      <c r="BCY150" s="13"/>
      <c r="BCZ150" s="13"/>
      <c r="BDA150" s="13"/>
      <c r="BDB150" s="13"/>
      <c r="BDC150" s="13"/>
      <c r="BDD150" s="13"/>
      <c r="BDE150" s="13"/>
      <c r="BDF150" s="13"/>
      <c r="BDG150" s="13"/>
      <c r="BDH150" s="13"/>
      <c r="BDI150" s="13"/>
      <c r="BDJ150" s="13"/>
      <c r="BDK150" s="13"/>
      <c r="BDL150" s="13"/>
      <c r="BDM150" s="13"/>
      <c r="BDN150" s="13"/>
      <c r="BDO150" s="13"/>
      <c r="BDP150" s="13"/>
      <c r="BDQ150" s="13"/>
      <c r="BDR150" s="13"/>
      <c r="BDS150" s="13"/>
      <c r="BDT150" s="13"/>
      <c r="BDU150" s="13"/>
      <c r="BDV150" s="13"/>
      <c r="BDW150" s="13"/>
      <c r="BDX150" s="13"/>
      <c r="BDY150" s="13"/>
      <c r="BDZ150" s="13"/>
      <c r="BEA150" s="13"/>
      <c r="BEB150" s="13"/>
      <c r="BEC150" s="13"/>
      <c r="BED150" s="13"/>
      <c r="BEE150" s="13"/>
      <c r="BEF150" s="13"/>
      <c r="BEG150" s="13"/>
      <c r="BEH150" s="13"/>
      <c r="BEI150" s="13"/>
      <c r="BEJ150" s="13"/>
      <c r="BEK150" s="13"/>
      <c r="BEL150" s="13"/>
      <c r="BEM150" s="13"/>
      <c r="BEN150" s="13"/>
      <c r="BEO150" s="13"/>
      <c r="BEP150" s="13"/>
      <c r="BEQ150" s="13"/>
      <c r="BER150" s="13"/>
      <c r="BES150" s="13"/>
      <c r="BET150" s="13"/>
      <c r="BEU150" s="13"/>
      <c r="BEV150" s="13"/>
      <c r="BEW150" s="13"/>
      <c r="BEX150" s="13"/>
      <c r="BEY150" s="13"/>
      <c r="BEZ150" s="13"/>
      <c r="BFA150" s="13"/>
      <c r="BFB150" s="13"/>
      <c r="BFC150" s="13"/>
      <c r="BFD150" s="13"/>
      <c r="BFE150" s="13"/>
      <c r="BFF150" s="13"/>
      <c r="BFG150" s="13"/>
      <c r="BFH150" s="13"/>
      <c r="BFI150" s="13"/>
      <c r="BFJ150" s="13"/>
      <c r="BFK150" s="13"/>
      <c r="BFL150" s="13"/>
      <c r="BFM150" s="13"/>
      <c r="BFN150" s="13"/>
      <c r="BFO150" s="13"/>
      <c r="BFP150" s="13"/>
      <c r="BFQ150" s="13"/>
      <c r="BFR150" s="13"/>
      <c r="BFS150" s="13"/>
      <c r="BFT150" s="13"/>
      <c r="BFU150" s="13"/>
      <c r="BFV150" s="13"/>
      <c r="BFW150" s="13"/>
      <c r="BFX150" s="13"/>
      <c r="BFY150" s="13"/>
      <c r="BFZ150" s="13"/>
      <c r="BGA150" s="13"/>
      <c r="BGB150" s="13"/>
      <c r="BGC150" s="13"/>
      <c r="BGD150" s="13"/>
      <c r="BGE150" s="13"/>
      <c r="BGF150" s="13"/>
      <c r="BGG150" s="13"/>
      <c r="BGH150" s="13"/>
      <c r="BGI150" s="13"/>
      <c r="BGJ150" s="13"/>
      <c r="BGK150" s="13"/>
      <c r="BGL150" s="13"/>
      <c r="BGM150" s="13"/>
      <c r="BGN150" s="13"/>
      <c r="BGO150" s="13"/>
      <c r="BGP150" s="13"/>
      <c r="BGQ150" s="13"/>
      <c r="BGR150" s="13"/>
      <c r="BGS150" s="13"/>
      <c r="BGT150" s="13"/>
      <c r="BGU150" s="13"/>
      <c r="BGV150" s="13"/>
      <c r="BGW150" s="13"/>
      <c r="BGX150" s="13"/>
      <c r="BGY150" s="13"/>
      <c r="BGZ150" s="13"/>
      <c r="BHA150" s="13"/>
      <c r="BHB150" s="13"/>
      <c r="BHC150" s="13"/>
      <c r="BHD150" s="13"/>
      <c r="BHE150" s="13"/>
      <c r="BHF150" s="13"/>
      <c r="BHG150" s="13"/>
      <c r="BHH150" s="13"/>
      <c r="BHI150" s="13"/>
      <c r="BHJ150" s="13"/>
      <c r="BHK150" s="13"/>
      <c r="BHL150" s="13"/>
      <c r="BHM150" s="13"/>
      <c r="BHN150" s="13"/>
      <c r="BHO150" s="13"/>
      <c r="BHP150" s="13"/>
      <c r="BHQ150" s="13"/>
      <c r="BHR150" s="13"/>
      <c r="BHS150" s="13"/>
      <c r="BHT150" s="13"/>
      <c r="BHU150" s="13"/>
      <c r="BHV150" s="13"/>
      <c r="BHW150" s="13"/>
      <c r="BHX150" s="13"/>
      <c r="BHY150" s="13"/>
      <c r="BHZ150" s="13"/>
      <c r="BIA150" s="13"/>
      <c r="BIB150" s="13"/>
      <c r="BIC150" s="13"/>
      <c r="BID150" s="13"/>
      <c r="BIE150" s="13"/>
      <c r="BIF150" s="13"/>
      <c r="BIG150" s="13"/>
      <c r="BIH150" s="13"/>
      <c r="BII150" s="13"/>
      <c r="BIJ150" s="13"/>
      <c r="BIK150" s="13"/>
      <c r="BIL150" s="13"/>
      <c r="BIM150" s="13"/>
      <c r="BIN150" s="13"/>
      <c r="BIO150" s="13"/>
      <c r="BIP150" s="13"/>
      <c r="BIQ150" s="13"/>
      <c r="BIR150" s="13"/>
      <c r="BIS150" s="13"/>
      <c r="BIT150" s="13"/>
      <c r="BIU150" s="13"/>
      <c r="BIV150" s="13"/>
      <c r="BIW150" s="13"/>
      <c r="BIX150" s="13"/>
      <c r="BIY150" s="13"/>
      <c r="BIZ150" s="13"/>
      <c r="BJA150" s="13"/>
      <c r="BJB150" s="13"/>
      <c r="BJC150" s="13"/>
      <c r="BJD150" s="13"/>
      <c r="BJE150" s="13"/>
      <c r="BJF150" s="13"/>
      <c r="BJG150" s="13"/>
      <c r="BJH150" s="13"/>
      <c r="BJI150" s="13"/>
      <c r="BJJ150" s="13"/>
      <c r="BJK150" s="13"/>
      <c r="BJL150" s="13"/>
      <c r="BJM150" s="13"/>
      <c r="BJN150" s="13"/>
      <c r="BJO150" s="13"/>
      <c r="BJP150" s="13"/>
      <c r="BJQ150" s="13"/>
      <c r="BJR150" s="13"/>
      <c r="BJS150" s="13"/>
      <c r="BJT150" s="13"/>
      <c r="BJU150" s="13"/>
      <c r="BJV150" s="13"/>
      <c r="BJW150" s="13"/>
      <c r="BJX150" s="13"/>
      <c r="BJY150" s="13"/>
      <c r="BJZ150" s="13"/>
      <c r="BKA150" s="13"/>
      <c r="BKB150" s="13"/>
      <c r="BKC150" s="13"/>
      <c r="BKD150" s="13"/>
      <c r="BKE150" s="13"/>
      <c r="BKF150" s="13"/>
      <c r="BKG150" s="13"/>
      <c r="BKH150" s="13"/>
      <c r="BKI150" s="13"/>
      <c r="BKJ150" s="13"/>
      <c r="BKK150" s="13"/>
      <c r="BKL150" s="13"/>
      <c r="BKM150" s="13"/>
      <c r="BKN150" s="13"/>
      <c r="BKO150" s="13"/>
      <c r="BKP150" s="13"/>
      <c r="BKQ150" s="13"/>
      <c r="BKR150" s="13"/>
      <c r="BKS150" s="13"/>
      <c r="BKT150" s="13"/>
      <c r="BKU150" s="13"/>
      <c r="BKV150" s="13"/>
      <c r="BKW150" s="13"/>
      <c r="BKX150" s="13"/>
      <c r="BKY150" s="13"/>
      <c r="BKZ150" s="13"/>
      <c r="BLA150" s="13"/>
      <c r="BLB150" s="13"/>
      <c r="BLC150" s="13"/>
      <c r="BLD150" s="13"/>
      <c r="BLE150" s="13"/>
      <c r="BLF150" s="13"/>
      <c r="BLG150" s="13"/>
      <c r="BLH150" s="13"/>
      <c r="BLI150" s="13"/>
      <c r="BLJ150" s="13"/>
      <c r="BLK150" s="13"/>
      <c r="BLL150" s="13"/>
      <c r="BLM150" s="13"/>
      <c r="BLN150" s="13"/>
      <c r="BLO150" s="13"/>
      <c r="BLP150" s="13"/>
      <c r="BLQ150" s="13"/>
      <c r="BLR150" s="13"/>
      <c r="BLS150" s="13"/>
      <c r="BLT150" s="13"/>
      <c r="BLU150" s="13"/>
      <c r="BLV150" s="13"/>
      <c r="BLW150" s="13"/>
      <c r="BLX150" s="13"/>
      <c r="BLY150" s="13"/>
      <c r="BLZ150" s="13"/>
      <c r="BMA150" s="13"/>
      <c r="BMB150" s="13"/>
      <c r="BMC150" s="13"/>
      <c r="BMD150" s="13"/>
      <c r="BME150" s="13"/>
      <c r="BMF150" s="13"/>
      <c r="BMG150" s="13"/>
      <c r="BMH150" s="13"/>
      <c r="BMI150" s="13"/>
      <c r="BMJ150" s="13"/>
      <c r="BMK150" s="13"/>
      <c r="BML150" s="13"/>
      <c r="BMM150" s="13"/>
      <c r="BMN150" s="13"/>
      <c r="BMO150" s="13"/>
      <c r="BMP150" s="13"/>
      <c r="BMQ150" s="13"/>
      <c r="BMR150" s="13"/>
      <c r="BMS150" s="13"/>
      <c r="BMT150" s="13"/>
      <c r="BMU150" s="13"/>
      <c r="BMV150" s="13"/>
      <c r="BMW150" s="13"/>
      <c r="BMX150" s="13"/>
      <c r="BMY150" s="13"/>
      <c r="BMZ150" s="13"/>
      <c r="BNA150" s="13"/>
      <c r="BNB150" s="13"/>
      <c r="BNC150" s="13"/>
      <c r="BND150" s="13"/>
      <c r="BNE150" s="13"/>
      <c r="BNF150" s="13"/>
      <c r="BNG150" s="13"/>
      <c r="BNH150" s="13"/>
      <c r="BNI150" s="13"/>
      <c r="BNJ150" s="13"/>
      <c r="BNK150" s="13"/>
      <c r="BNL150" s="13"/>
      <c r="BNM150" s="13"/>
      <c r="BNN150" s="13"/>
      <c r="BNO150" s="13"/>
      <c r="BNP150" s="13"/>
      <c r="BNQ150" s="13"/>
      <c r="BNR150" s="13"/>
      <c r="BNS150" s="13"/>
      <c r="BNT150" s="13"/>
      <c r="BNU150" s="13"/>
      <c r="BNV150" s="13"/>
      <c r="BNW150" s="13"/>
      <c r="BNX150" s="13"/>
      <c r="BNY150" s="13"/>
      <c r="BNZ150" s="13"/>
      <c r="BOA150" s="13"/>
      <c r="BOB150" s="13"/>
      <c r="BOC150" s="13"/>
      <c r="BOD150" s="13"/>
      <c r="BOE150" s="13"/>
      <c r="BOF150" s="13"/>
      <c r="BOG150" s="13"/>
      <c r="BOH150" s="13"/>
      <c r="BOI150" s="13"/>
      <c r="BOJ150" s="13"/>
      <c r="BOK150" s="13"/>
      <c r="BOL150" s="13"/>
      <c r="BOM150" s="13"/>
      <c r="BON150" s="13"/>
      <c r="BOO150" s="13"/>
      <c r="BOP150" s="13"/>
      <c r="BOQ150" s="13"/>
      <c r="BOR150" s="13"/>
      <c r="BOS150" s="13"/>
      <c r="BOT150" s="13"/>
      <c r="BOU150" s="13"/>
      <c r="BOV150" s="13"/>
      <c r="BOW150" s="13"/>
      <c r="BOX150" s="13"/>
      <c r="BOY150" s="13"/>
      <c r="BOZ150" s="13"/>
      <c r="BPA150" s="13"/>
      <c r="BPB150" s="13"/>
      <c r="BPC150" s="13"/>
      <c r="BPD150" s="13"/>
      <c r="BPE150" s="13"/>
      <c r="BPF150" s="13"/>
      <c r="BPG150" s="13"/>
      <c r="BPH150" s="13"/>
      <c r="BPI150" s="13"/>
      <c r="BPJ150" s="13"/>
      <c r="BPK150" s="13"/>
      <c r="BPL150" s="13"/>
      <c r="BPM150" s="13"/>
      <c r="BPN150" s="13"/>
      <c r="BPO150" s="13"/>
      <c r="BPP150" s="13"/>
      <c r="BPQ150" s="13"/>
      <c r="BPR150" s="13"/>
      <c r="BPS150" s="13"/>
      <c r="BPT150" s="13"/>
      <c r="BPU150" s="13"/>
      <c r="BPV150" s="13"/>
      <c r="BPW150" s="13"/>
      <c r="BPX150" s="13"/>
      <c r="BPY150" s="13"/>
      <c r="BPZ150" s="13"/>
      <c r="BQA150" s="13"/>
      <c r="BQB150" s="13"/>
      <c r="BQC150" s="13"/>
      <c r="BQD150" s="13"/>
      <c r="BQE150" s="13"/>
      <c r="BQF150" s="13"/>
      <c r="BQG150" s="13"/>
      <c r="BQH150" s="13"/>
      <c r="BQI150" s="13"/>
      <c r="BQJ150" s="13"/>
      <c r="BQK150" s="13"/>
      <c r="BQL150" s="13"/>
      <c r="BQM150" s="13"/>
      <c r="BQN150" s="13"/>
      <c r="BQO150" s="13"/>
      <c r="BQP150" s="13"/>
      <c r="BQQ150" s="13"/>
      <c r="BQR150" s="13"/>
      <c r="BQS150" s="13"/>
      <c r="BQT150" s="13"/>
      <c r="BQU150" s="13"/>
      <c r="BQV150" s="13"/>
      <c r="BQW150" s="13"/>
      <c r="BQX150" s="13"/>
      <c r="BQY150" s="13"/>
      <c r="BQZ150" s="13"/>
      <c r="BRA150" s="13"/>
      <c r="BRB150" s="13"/>
      <c r="BRC150" s="13"/>
      <c r="BRD150" s="13"/>
      <c r="BRE150" s="13"/>
      <c r="BRF150" s="13"/>
      <c r="BRG150" s="13"/>
      <c r="BRH150" s="13"/>
      <c r="BRI150" s="13"/>
      <c r="BRJ150" s="13"/>
      <c r="BRK150" s="13"/>
      <c r="BRL150" s="13"/>
      <c r="BRM150" s="13"/>
      <c r="BRN150" s="13"/>
      <c r="BRO150" s="13"/>
      <c r="BRP150" s="13"/>
      <c r="BRQ150" s="13"/>
      <c r="BRR150" s="13"/>
      <c r="BRS150" s="13"/>
      <c r="BRT150" s="13"/>
      <c r="BRU150" s="13"/>
      <c r="BRV150" s="13"/>
      <c r="BRW150" s="13"/>
      <c r="BRX150" s="13"/>
      <c r="BRY150" s="13"/>
      <c r="BRZ150" s="13"/>
      <c r="BSA150" s="13"/>
      <c r="BSB150" s="13"/>
      <c r="BSC150" s="13"/>
      <c r="BSD150" s="13"/>
      <c r="BSE150" s="13"/>
      <c r="BSF150" s="13"/>
      <c r="BSG150" s="13"/>
      <c r="BSH150" s="13"/>
      <c r="BSI150" s="13"/>
      <c r="BSJ150" s="13"/>
      <c r="BSK150" s="13"/>
      <c r="BSL150" s="13"/>
      <c r="BSM150" s="13"/>
      <c r="BSN150" s="13"/>
      <c r="BSO150" s="13"/>
      <c r="BSP150" s="13"/>
      <c r="BSQ150" s="13"/>
      <c r="BSR150" s="13"/>
      <c r="BSS150" s="13"/>
      <c r="BST150" s="13"/>
      <c r="BSU150" s="13"/>
      <c r="BSV150" s="13"/>
      <c r="BSW150" s="13"/>
      <c r="BSX150" s="13"/>
      <c r="BSY150" s="13"/>
      <c r="BSZ150" s="13"/>
      <c r="BTA150" s="13"/>
    </row>
    <row r="151" spans="1:1873" s="239" customFormat="1" x14ac:dyDescent="0.2">
      <c r="A151" s="231"/>
      <c r="B151" s="231"/>
      <c r="C151" s="231"/>
      <c r="D151" s="231"/>
      <c r="E151" s="232"/>
      <c r="F151" s="222"/>
      <c r="G151" s="233"/>
      <c r="H151" s="222"/>
      <c r="I151" s="231"/>
      <c r="J151" s="231"/>
      <c r="K151" s="234"/>
      <c r="L151" s="231"/>
      <c r="M151" s="235"/>
      <c r="N151" s="235"/>
      <c r="O151" s="18"/>
      <c r="P151" s="236"/>
      <c r="Q151" s="231"/>
      <c r="R151" s="235"/>
      <c r="S151" s="231"/>
      <c r="T151" s="236"/>
      <c r="U151" s="233"/>
      <c r="V151" s="233"/>
      <c r="W151" s="235"/>
      <c r="X151" s="233"/>
      <c r="Y151" s="233"/>
      <c r="Z151" s="231"/>
      <c r="AA151" s="383"/>
      <c r="AB151" s="235"/>
      <c r="AC151" s="235"/>
      <c r="AD151" s="231"/>
      <c r="AE151" s="235"/>
      <c r="AF151" s="231"/>
      <c r="AG151" s="231"/>
      <c r="AH151" s="231"/>
      <c r="AI151" s="231"/>
      <c r="AJ151" s="231"/>
      <c r="AK151" s="231"/>
      <c r="AL151" s="231"/>
      <c r="AM151" s="231"/>
      <c r="AN151" s="231"/>
      <c r="AO151" s="231"/>
      <c r="AP151" s="231"/>
      <c r="AQ151" s="231"/>
      <c r="AR151" s="231"/>
      <c r="AS151" s="234"/>
      <c r="AT151" s="234"/>
      <c r="AU151" s="231"/>
      <c r="AV151" s="231"/>
      <c r="AW151" s="231"/>
      <c r="AX151" s="231"/>
      <c r="AY151" s="231"/>
      <c r="AZ151" s="231"/>
      <c r="BA151" s="234"/>
      <c r="BB151" s="231"/>
      <c r="BC151" s="231"/>
      <c r="BD151" s="231"/>
      <c r="BE151" s="231"/>
      <c r="BF151" s="231"/>
      <c r="BG151" s="231"/>
      <c r="BH151" s="231"/>
      <c r="BI151" s="231"/>
      <c r="BJ151" s="231"/>
      <c r="BK151" s="231"/>
      <c r="BL151" s="231"/>
      <c r="BM151" s="231"/>
      <c r="BN151" s="231"/>
      <c r="BO151" s="231"/>
      <c r="BP151" s="231"/>
      <c r="BQ151" s="231"/>
      <c r="BR151" s="233"/>
      <c r="BS151" s="491"/>
      <c r="BT151" s="233"/>
      <c r="BU151" s="233"/>
      <c r="BV151" s="233"/>
      <c r="BW151" s="233"/>
      <c r="BX151" s="233"/>
      <c r="BY151" s="231"/>
      <c r="BZ151" s="238"/>
      <c r="CA151" s="238"/>
      <c r="CC151" s="222"/>
      <c r="CD151" s="233"/>
      <c r="CE151" s="342" t="s">
        <v>1576</v>
      </c>
      <c r="CF151" s="342" t="s">
        <v>1575</v>
      </c>
      <c r="CG151" s="222"/>
      <c r="CH151" s="13"/>
      <c r="CI151" s="13"/>
      <c r="CJ151" s="13"/>
      <c r="CK151" s="13"/>
      <c r="CL151" s="13"/>
      <c r="CM151" s="13"/>
      <c r="CN151" s="13"/>
      <c r="CO151" s="13"/>
      <c r="CP151" s="13"/>
      <c r="CQ151" s="13"/>
      <c r="CR151" s="13"/>
      <c r="CS151" s="13"/>
      <c r="CT151" s="13"/>
      <c r="CU151" s="13"/>
      <c r="CV151" s="13"/>
      <c r="CW151" s="13"/>
      <c r="CX151" s="13"/>
      <c r="CY151" s="13"/>
      <c r="CZ151" s="13"/>
      <c r="DA151" s="13"/>
      <c r="DB151" s="13"/>
      <c r="DC151" s="13"/>
      <c r="DD151" s="13"/>
      <c r="DE151" s="13"/>
      <c r="DF151" s="13"/>
      <c r="DG151" s="13"/>
      <c r="DH151" s="13"/>
      <c r="DI151" s="13"/>
      <c r="DJ151" s="13"/>
      <c r="DK151" s="13"/>
      <c r="DL151" s="13"/>
      <c r="DM151" s="13"/>
      <c r="DN151" s="13"/>
      <c r="DO151" s="13"/>
      <c r="DP151" s="13"/>
      <c r="DQ151" s="13"/>
      <c r="DR151" s="13"/>
      <c r="DS151" s="13"/>
      <c r="DT151" s="13"/>
      <c r="DU151" s="13"/>
      <c r="DV151" s="13"/>
      <c r="DW151" s="13"/>
      <c r="DX151" s="13"/>
      <c r="DY151" s="13"/>
      <c r="DZ151" s="13"/>
      <c r="EA151" s="13"/>
      <c r="EB151" s="13"/>
      <c r="EC151" s="13"/>
      <c r="ED151" s="13"/>
      <c r="EE151" s="13"/>
      <c r="EF151" s="13"/>
      <c r="EG151" s="13"/>
      <c r="EH151" s="13"/>
      <c r="EI151" s="13"/>
      <c r="EJ151" s="13"/>
      <c r="EK151" s="13"/>
      <c r="EL151" s="13"/>
      <c r="EM151" s="13"/>
      <c r="EN151" s="13"/>
      <c r="EO151" s="13"/>
      <c r="EP151" s="13"/>
      <c r="EQ151" s="13"/>
      <c r="ER151" s="13"/>
      <c r="ES151" s="13"/>
      <c r="ET151" s="13"/>
      <c r="EU151" s="13"/>
      <c r="EV151" s="13"/>
      <c r="EW151" s="13"/>
      <c r="EX151" s="13"/>
      <c r="EY151" s="13"/>
      <c r="EZ151" s="13"/>
      <c r="FA151" s="13"/>
      <c r="FB151" s="13"/>
      <c r="FC151" s="13"/>
      <c r="FD151" s="13"/>
      <c r="FE151" s="13"/>
      <c r="FF151" s="13"/>
      <c r="FG151" s="13"/>
      <c r="FH151" s="13"/>
      <c r="FI151" s="13"/>
      <c r="FJ151" s="13"/>
      <c r="FK151" s="13"/>
      <c r="FL151" s="13"/>
      <c r="FM151" s="13"/>
      <c r="FN151" s="13"/>
      <c r="FO151" s="13"/>
      <c r="FP151" s="13"/>
      <c r="FQ151" s="13"/>
      <c r="FR151" s="13"/>
      <c r="FS151" s="13"/>
      <c r="FT151" s="13"/>
      <c r="FU151" s="13"/>
      <c r="FV151" s="13"/>
      <c r="FW151" s="13"/>
      <c r="FX151" s="13"/>
      <c r="FY151" s="13"/>
      <c r="FZ151" s="13"/>
      <c r="GA151" s="13"/>
      <c r="GB151" s="13"/>
      <c r="GC151" s="13"/>
      <c r="GD151" s="13"/>
      <c r="GE151" s="13"/>
      <c r="GF151" s="13"/>
      <c r="GG151" s="13"/>
      <c r="GH151" s="13"/>
      <c r="GI151" s="13"/>
      <c r="GJ151" s="13"/>
      <c r="GK151" s="13"/>
      <c r="GL151" s="13"/>
      <c r="GM151" s="13"/>
      <c r="GN151" s="13"/>
      <c r="GO151" s="13"/>
      <c r="GP151" s="13"/>
      <c r="GQ151" s="13"/>
      <c r="GR151" s="13"/>
      <c r="GS151" s="13"/>
      <c r="GT151" s="13"/>
      <c r="GU151" s="13"/>
      <c r="GV151" s="13"/>
      <c r="GW151" s="13"/>
      <c r="GX151" s="13"/>
      <c r="GY151" s="13"/>
      <c r="GZ151" s="13"/>
      <c r="HA151" s="13"/>
      <c r="HB151" s="13"/>
      <c r="HC151" s="13"/>
      <c r="HD151" s="13"/>
      <c r="HE151" s="13"/>
      <c r="HF151" s="13"/>
      <c r="HG151" s="13"/>
      <c r="HH151" s="13"/>
      <c r="HI151" s="13"/>
      <c r="HJ151" s="13"/>
      <c r="HK151" s="13"/>
      <c r="HL151" s="13"/>
      <c r="HM151" s="13"/>
      <c r="HN151" s="13"/>
      <c r="HO151" s="13"/>
      <c r="HP151" s="13"/>
      <c r="HQ151" s="13"/>
      <c r="HR151" s="13"/>
      <c r="HS151" s="13"/>
      <c r="HT151" s="13"/>
      <c r="HU151" s="13"/>
      <c r="HV151" s="13"/>
      <c r="HW151" s="13"/>
      <c r="HX151" s="13"/>
      <c r="HY151" s="13"/>
      <c r="HZ151" s="13"/>
      <c r="IA151" s="13"/>
      <c r="IB151" s="13"/>
      <c r="IC151" s="13"/>
      <c r="ID151" s="13"/>
      <c r="IE151" s="13"/>
      <c r="IF151" s="13"/>
      <c r="IG151" s="13"/>
      <c r="IH151" s="13"/>
      <c r="II151" s="13"/>
      <c r="IJ151" s="13"/>
      <c r="IK151" s="13"/>
      <c r="IL151" s="13"/>
      <c r="IM151" s="13"/>
      <c r="IN151" s="13"/>
      <c r="IO151" s="13"/>
      <c r="IP151" s="13"/>
      <c r="IQ151" s="13"/>
      <c r="IR151" s="13"/>
      <c r="IS151" s="13"/>
      <c r="IT151" s="13"/>
      <c r="IU151" s="13"/>
      <c r="IV151" s="13"/>
      <c r="IW151" s="13"/>
      <c r="IX151" s="13"/>
      <c r="IY151" s="13"/>
      <c r="IZ151" s="13"/>
      <c r="JA151" s="13"/>
      <c r="JB151" s="13"/>
      <c r="JC151" s="13"/>
      <c r="JD151" s="13"/>
      <c r="JE151" s="13"/>
      <c r="JF151" s="13"/>
      <c r="JG151" s="13"/>
      <c r="JH151" s="13"/>
      <c r="JI151" s="13"/>
      <c r="JJ151" s="13"/>
      <c r="JK151" s="13"/>
      <c r="JL151" s="13"/>
      <c r="JM151" s="13"/>
      <c r="JN151" s="13"/>
      <c r="JO151" s="13"/>
      <c r="JP151" s="13"/>
      <c r="JQ151" s="13"/>
      <c r="JR151" s="13"/>
      <c r="JS151" s="13"/>
      <c r="JT151" s="13"/>
      <c r="JU151" s="13"/>
      <c r="JV151" s="13"/>
      <c r="JW151" s="13"/>
      <c r="JX151" s="13"/>
      <c r="JY151" s="13"/>
      <c r="JZ151" s="13"/>
      <c r="KA151" s="13"/>
      <c r="KB151" s="13"/>
      <c r="KC151" s="13"/>
      <c r="KD151" s="13"/>
      <c r="KE151" s="13"/>
      <c r="KF151" s="13"/>
      <c r="KG151" s="13"/>
      <c r="KH151" s="13"/>
      <c r="KI151" s="13"/>
      <c r="KJ151" s="13"/>
      <c r="KK151" s="13"/>
      <c r="KL151" s="13"/>
      <c r="KM151" s="13"/>
      <c r="KN151" s="13"/>
      <c r="KO151" s="13"/>
      <c r="KP151" s="13"/>
      <c r="KQ151" s="13"/>
      <c r="KR151" s="13"/>
      <c r="KS151" s="13"/>
      <c r="KT151" s="13"/>
      <c r="KU151" s="13"/>
      <c r="KV151" s="13"/>
      <c r="KW151" s="13"/>
      <c r="KX151" s="13"/>
      <c r="KY151" s="13"/>
      <c r="KZ151" s="13"/>
      <c r="LA151" s="13"/>
      <c r="LB151" s="13"/>
      <c r="LC151" s="13"/>
      <c r="LD151" s="13"/>
      <c r="LE151" s="13"/>
      <c r="LF151" s="13"/>
      <c r="LG151" s="13"/>
      <c r="LH151" s="13"/>
      <c r="LI151" s="13"/>
      <c r="LJ151" s="13"/>
      <c r="LK151" s="13"/>
      <c r="LL151" s="13"/>
      <c r="LM151" s="13"/>
      <c r="LN151" s="13"/>
      <c r="LO151" s="13"/>
      <c r="LP151" s="13"/>
      <c r="LQ151" s="13"/>
      <c r="LR151" s="13"/>
      <c r="LS151" s="13"/>
      <c r="LT151" s="13"/>
      <c r="LU151" s="13"/>
      <c r="LV151" s="13"/>
      <c r="LW151" s="13"/>
      <c r="LX151" s="13"/>
      <c r="LY151" s="13"/>
      <c r="LZ151" s="13"/>
      <c r="MA151" s="13"/>
      <c r="MB151" s="13"/>
      <c r="MC151" s="13"/>
      <c r="MD151" s="13"/>
      <c r="ME151" s="13"/>
      <c r="MF151" s="13"/>
      <c r="MG151" s="13"/>
      <c r="MH151" s="13"/>
      <c r="MI151" s="13"/>
      <c r="MJ151" s="13"/>
      <c r="MK151" s="13"/>
      <c r="ML151" s="13"/>
      <c r="MM151" s="13"/>
      <c r="MN151" s="13"/>
      <c r="MO151" s="13"/>
      <c r="MP151" s="13"/>
      <c r="MQ151" s="13"/>
      <c r="MR151" s="13"/>
      <c r="MS151" s="13"/>
      <c r="MT151" s="13"/>
      <c r="MU151" s="13"/>
      <c r="MV151" s="13"/>
      <c r="MW151" s="13"/>
      <c r="MX151" s="13"/>
      <c r="MY151" s="13"/>
      <c r="MZ151" s="13"/>
      <c r="NA151" s="13"/>
      <c r="NB151" s="13"/>
      <c r="NC151" s="13"/>
      <c r="ND151" s="13"/>
      <c r="NE151" s="13"/>
      <c r="NF151" s="13"/>
      <c r="NG151" s="13"/>
      <c r="NH151" s="13"/>
      <c r="NI151" s="13"/>
      <c r="NJ151" s="13"/>
      <c r="NK151" s="13"/>
      <c r="NL151" s="13"/>
      <c r="NM151" s="13"/>
      <c r="NN151" s="13"/>
      <c r="NO151" s="13"/>
      <c r="NP151" s="13"/>
      <c r="NQ151" s="13"/>
      <c r="NR151" s="13"/>
      <c r="NS151" s="13"/>
      <c r="NT151" s="13"/>
      <c r="NU151" s="13"/>
      <c r="NV151" s="13"/>
      <c r="NW151" s="13"/>
      <c r="NX151" s="13"/>
      <c r="NY151" s="13"/>
      <c r="NZ151" s="13"/>
      <c r="OA151" s="13"/>
      <c r="OB151" s="13"/>
      <c r="OC151" s="13"/>
      <c r="OD151" s="13"/>
      <c r="OE151" s="13"/>
      <c r="OF151" s="13"/>
      <c r="OG151" s="13"/>
      <c r="OH151" s="13"/>
      <c r="OI151" s="13"/>
      <c r="OJ151" s="13"/>
      <c r="OK151" s="13"/>
      <c r="OL151" s="13"/>
      <c r="OM151" s="13"/>
      <c r="ON151" s="13"/>
      <c r="OO151" s="13"/>
      <c r="OP151" s="13"/>
      <c r="OQ151" s="13"/>
      <c r="OR151" s="13"/>
      <c r="OS151" s="13"/>
      <c r="OT151" s="13"/>
      <c r="OU151" s="13"/>
      <c r="OV151" s="13"/>
      <c r="OW151" s="13"/>
      <c r="OX151" s="13"/>
      <c r="OY151" s="13"/>
      <c r="OZ151" s="13"/>
      <c r="PA151" s="13"/>
      <c r="PB151" s="13"/>
      <c r="PC151" s="13"/>
      <c r="PD151" s="13"/>
      <c r="PE151" s="13"/>
      <c r="PF151" s="13"/>
      <c r="PG151" s="13"/>
      <c r="PH151" s="13"/>
      <c r="PI151" s="13"/>
      <c r="PJ151" s="13"/>
      <c r="PK151" s="13"/>
      <c r="PL151" s="13"/>
      <c r="PM151" s="13"/>
      <c r="PN151" s="13"/>
      <c r="PO151" s="13"/>
      <c r="PP151" s="13"/>
      <c r="PQ151" s="13"/>
      <c r="PR151" s="13"/>
      <c r="PS151" s="13"/>
      <c r="PT151" s="13"/>
      <c r="PU151" s="13"/>
      <c r="PV151" s="13"/>
      <c r="PW151" s="13"/>
      <c r="PX151" s="13"/>
      <c r="PY151" s="13"/>
      <c r="PZ151" s="13"/>
      <c r="QA151" s="13"/>
      <c r="QB151" s="13"/>
      <c r="QC151" s="13"/>
      <c r="QD151" s="13"/>
      <c r="QE151" s="13"/>
      <c r="QF151" s="13"/>
      <c r="QG151" s="13"/>
      <c r="QH151" s="13"/>
      <c r="QI151" s="13"/>
      <c r="QJ151" s="13"/>
      <c r="QK151" s="13"/>
      <c r="QL151" s="13"/>
      <c r="QM151" s="13"/>
      <c r="QN151" s="13"/>
      <c r="QO151" s="13"/>
      <c r="QP151" s="13"/>
      <c r="QQ151" s="13"/>
      <c r="QR151" s="13"/>
      <c r="QS151" s="13"/>
      <c r="QT151" s="13"/>
      <c r="QU151" s="13"/>
      <c r="QV151" s="13"/>
      <c r="QW151" s="13"/>
      <c r="QX151" s="13"/>
      <c r="QY151" s="13"/>
      <c r="QZ151" s="13"/>
      <c r="RA151" s="13"/>
      <c r="RB151" s="13"/>
      <c r="RC151" s="13"/>
      <c r="RD151" s="13"/>
      <c r="RE151" s="13"/>
      <c r="RF151" s="13"/>
      <c r="RG151" s="13"/>
      <c r="RH151" s="13"/>
      <c r="RI151" s="13"/>
      <c r="RJ151" s="13"/>
      <c r="RK151" s="13"/>
      <c r="RL151" s="13"/>
      <c r="RM151" s="13"/>
      <c r="RN151" s="13"/>
      <c r="RO151" s="13"/>
      <c r="RP151" s="13"/>
      <c r="RQ151" s="13"/>
      <c r="RR151" s="13"/>
      <c r="RS151" s="13"/>
      <c r="RT151" s="13"/>
      <c r="RU151" s="13"/>
      <c r="RV151" s="13"/>
      <c r="RW151" s="13"/>
      <c r="RX151" s="13"/>
      <c r="RY151" s="13"/>
      <c r="RZ151" s="13"/>
      <c r="SA151" s="13"/>
      <c r="SB151" s="13"/>
      <c r="SC151" s="13"/>
      <c r="SD151" s="13"/>
      <c r="SE151" s="13"/>
      <c r="SF151" s="13"/>
      <c r="SG151" s="13"/>
      <c r="SH151" s="13"/>
      <c r="SI151" s="13"/>
      <c r="SJ151" s="13"/>
      <c r="SK151" s="13"/>
      <c r="SL151" s="13"/>
      <c r="SM151" s="13"/>
      <c r="SN151" s="13"/>
      <c r="SO151" s="13"/>
      <c r="SP151" s="13"/>
      <c r="SQ151" s="13"/>
      <c r="SR151" s="13"/>
      <c r="SS151" s="13"/>
      <c r="ST151" s="13"/>
      <c r="SU151" s="13"/>
      <c r="SV151" s="13"/>
      <c r="SW151" s="13"/>
      <c r="SX151" s="13"/>
      <c r="SY151" s="13"/>
      <c r="SZ151" s="13"/>
      <c r="TA151" s="13"/>
      <c r="TB151" s="13"/>
      <c r="TC151" s="13"/>
      <c r="TD151" s="13"/>
      <c r="TE151" s="13"/>
      <c r="TF151" s="13"/>
      <c r="TG151" s="13"/>
      <c r="TH151" s="13"/>
      <c r="TI151" s="13"/>
      <c r="TJ151" s="13"/>
      <c r="TK151" s="13"/>
      <c r="TL151" s="13"/>
      <c r="TM151" s="13"/>
      <c r="TN151" s="13"/>
      <c r="TO151" s="13"/>
      <c r="TP151" s="13"/>
      <c r="TQ151" s="13"/>
      <c r="TR151" s="13"/>
      <c r="TS151" s="13"/>
      <c r="TT151" s="13"/>
      <c r="TU151" s="13"/>
      <c r="TV151" s="13"/>
      <c r="TW151" s="13"/>
      <c r="TX151" s="13"/>
      <c r="TY151" s="13"/>
      <c r="TZ151" s="13"/>
      <c r="UA151" s="13"/>
      <c r="UB151" s="13"/>
      <c r="UC151" s="13"/>
      <c r="UD151" s="13"/>
      <c r="UE151" s="13"/>
      <c r="UF151" s="13"/>
      <c r="UG151" s="13"/>
      <c r="UH151" s="13"/>
      <c r="UI151" s="13"/>
      <c r="UJ151" s="13"/>
      <c r="UK151" s="13"/>
      <c r="UL151" s="13"/>
      <c r="UM151" s="13"/>
      <c r="UN151" s="13"/>
      <c r="UO151" s="13"/>
      <c r="UP151" s="13"/>
      <c r="UQ151" s="13"/>
      <c r="UR151" s="13"/>
      <c r="US151" s="13"/>
      <c r="UT151" s="13"/>
      <c r="UU151" s="13"/>
      <c r="UV151" s="13"/>
      <c r="UW151" s="13"/>
      <c r="UX151" s="13"/>
      <c r="UY151" s="13"/>
      <c r="UZ151" s="13"/>
      <c r="VA151" s="13"/>
      <c r="VB151" s="13"/>
      <c r="VC151" s="13"/>
      <c r="VD151" s="13"/>
      <c r="VE151" s="13"/>
      <c r="VF151" s="13"/>
      <c r="VG151" s="13"/>
      <c r="VH151" s="13"/>
      <c r="VI151" s="13"/>
      <c r="VJ151" s="13"/>
      <c r="VK151" s="13"/>
      <c r="VL151" s="13"/>
      <c r="VM151" s="13"/>
      <c r="VN151" s="13"/>
      <c r="VO151" s="13"/>
      <c r="VP151" s="13"/>
      <c r="VQ151" s="13"/>
      <c r="VR151" s="13"/>
      <c r="VS151" s="13"/>
      <c r="VT151" s="13"/>
      <c r="VU151" s="13"/>
      <c r="VV151" s="13"/>
      <c r="VW151" s="13"/>
      <c r="VX151" s="13"/>
      <c r="VY151" s="13"/>
      <c r="VZ151" s="13"/>
      <c r="WA151" s="13"/>
      <c r="WB151" s="13"/>
      <c r="WC151" s="13"/>
      <c r="WD151" s="13"/>
      <c r="WE151" s="13"/>
      <c r="WF151" s="13"/>
      <c r="WG151" s="13"/>
      <c r="WH151" s="13"/>
      <c r="WI151" s="13"/>
      <c r="WJ151" s="13"/>
      <c r="WK151" s="13"/>
      <c r="WL151" s="13"/>
      <c r="WM151" s="13"/>
      <c r="WN151" s="13"/>
      <c r="WO151" s="13"/>
      <c r="WP151" s="13"/>
      <c r="WQ151" s="13"/>
      <c r="WR151" s="13"/>
      <c r="WS151" s="13"/>
      <c r="WT151" s="13"/>
      <c r="WU151" s="13"/>
      <c r="WV151" s="13"/>
      <c r="WW151" s="13"/>
      <c r="WX151" s="13"/>
      <c r="WY151" s="13"/>
      <c r="WZ151" s="13"/>
      <c r="XA151" s="13"/>
      <c r="XB151" s="13"/>
      <c r="XC151" s="13"/>
      <c r="XD151" s="13"/>
      <c r="XE151" s="13"/>
      <c r="XF151" s="13"/>
      <c r="XG151" s="13"/>
      <c r="XH151" s="13"/>
      <c r="XI151" s="13"/>
      <c r="XJ151" s="13"/>
      <c r="XK151" s="13"/>
      <c r="XL151" s="13"/>
      <c r="XM151" s="13"/>
      <c r="XN151" s="13"/>
      <c r="XO151" s="13"/>
      <c r="XP151" s="13"/>
      <c r="XQ151" s="13"/>
      <c r="XR151" s="13"/>
      <c r="XS151" s="13"/>
      <c r="XT151" s="13"/>
      <c r="XU151" s="13"/>
      <c r="XV151" s="13"/>
      <c r="XW151" s="13"/>
      <c r="XX151" s="13"/>
      <c r="XY151" s="13"/>
      <c r="XZ151" s="13"/>
      <c r="YA151" s="13"/>
      <c r="YB151" s="13"/>
      <c r="YC151" s="13"/>
      <c r="YD151" s="13"/>
      <c r="YE151" s="13"/>
      <c r="YF151" s="13"/>
      <c r="YG151" s="13"/>
      <c r="YH151" s="13"/>
      <c r="YI151" s="13"/>
      <c r="YJ151" s="13"/>
      <c r="YK151" s="13"/>
      <c r="YL151" s="13"/>
      <c r="YM151" s="13"/>
      <c r="YN151" s="13"/>
      <c r="YO151" s="13"/>
      <c r="YP151" s="13"/>
      <c r="YQ151" s="13"/>
      <c r="YR151" s="13"/>
      <c r="YS151" s="13"/>
      <c r="YT151" s="13"/>
      <c r="YU151" s="13"/>
      <c r="YV151" s="13"/>
      <c r="YW151" s="13"/>
      <c r="YX151" s="13"/>
      <c r="YY151" s="13"/>
      <c r="YZ151" s="13"/>
      <c r="ZA151" s="13"/>
      <c r="ZB151" s="13"/>
      <c r="ZC151" s="13"/>
      <c r="ZD151" s="13"/>
      <c r="ZE151" s="13"/>
      <c r="ZF151" s="13"/>
      <c r="ZG151" s="13"/>
      <c r="ZH151" s="13"/>
      <c r="ZI151" s="13"/>
      <c r="ZJ151" s="13"/>
      <c r="ZK151" s="13"/>
      <c r="ZL151" s="13"/>
      <c r="ZM151" s="13"/>
      <c r="ZN151" s="13"/>
      <c r="ZO151" s="13"/>
      <c r="ZP151" s="13"/>
      <c r="ZQ151" s="13"/>
      <c r="ZR151" s="13"/>
      <c r="ZS151" s="13"/>
      <c r="ZT151" s="13"/>
      <c r="ZU151" s="13"/>
      <c r="ZV151" s="13"/>
      <c r="ZW151" s="13"/>
      <c r="ZX151" s="13"/>
      <c r="ZY151" s="13"/>
      <c r="ZZ151" s="13"/>
      <c r="AAA151" s="13"/>
      <c r="AAB151" s="13"/>
      <c r="AAC151" s="13"/>
      <c r="AAD151" s="13"/>
      <c r="AAE151" s="13"/>
      <c r="AAF151" s="13"/>
      <c r="AAG151" s="13"/>
      <c r="AAH151" s="13"/>
      <c r="AAI151" s="13"/>
      <c r="AAJ151" s="13"/>
      <c r="AAK151" s="13"/>
      <c r="AAL151" s="13"/>
      <c r="AAM151" s="13"/>
      <c r="AAN151" s="13"/>
      <c r="AAO151" s="13"/>
      <c r="AAP151" s="13"/>
      <c r="AAQ151" s="13"/>
      <c r="AAR151" s="13"/>
      <c r="AAS151" s="13"/>
      <c r="AAT151" s="13"/>
      <c r="AAU151" s="13"/>
      <c r="AAV151" s="13"/>
      <c r="AAW151" s="13"/>
      <c r="AAX151" s="13"/>
      <c r="AAY151" s="13"/>
      <c r="AAZ151" s="13"/>
      <c r="ABA151" s="13"/>
      <c r="ABB151" s="13"/>
      <c r="ABC151" s="13"/>
      <c r="ABD151" s="13"/>
      <c r="ABE151" s="13"/>
      <c r="ABF151" s="13"/>
      <c r="ABG151" s="13"/>
      <c r="ABH151" s="13"/>
      <c r="ABI151" s="13"/>
      <c r="ABJ151" s="13"/>
      <c r="ABK151" s="13"/>
      <c r="ABL151" s="13"/>
      <c r="ABM151" s="13"/>
      <c r="ABN151" s="13"/>
      <c r="ABO151" s="13"/>
      <c r="ABP151" s="13"/>
      <c r="ABQ151" s="13"/>
      <c r="ABR151" s="13"/>
      <c r="ABS151" s="13"/>
      <c r="ABT151" s="13"/>
      <c r="ABU151" s="13"/>
      <c r="ABV151" s="13"/>
      <c r="ABW151" s="13"/>
      <c r="ABX151" s="13"/>
      <c r="ABY151" s="13"/>
      <c r="ABZ151" s="13"/>
      <c r="ACA151" s="13"/>
      <c r="ACB151" s="13"/>
      <c r="ACC151" s="13"/>
      <c r="ACD151" s="13"/>
      <c r="ACE151" s="13"/>
      <c r="ACF151" s="13"/>
      <c r="ACG151" s="13"/>
      <c r="ACH151" s="13"/>
      <c r="ACI151" s="13"/>
      <c r="ACJ151" s="13"/>
      <c r="ACK151" s="13"/>
      <c r="ACL151" s="13"/>
      <c r="ACM151" s="13"/>
      <c r="ACN151" s="13"/>
      <c r="ACO151" s="13"/>
      <c r="ACP151" s="13"/>
      <c r="ACQ151" s="13"/>
      <c r="ACR151" s="13"/>
      <c r="ACS151" s="13"/>
      <c r="ACT151" s="13"/>
      <c r="ACU151" s="13"/>
      <c r="ACV151" s="13"/>
      <c r="ACW151" s="13"/>
      <c r="ACX151" s="13"/>
      <c r="ACY151" s="13"/>
      <c r="ACZ151" s="13"/>
      <c r="ADA151" s="13"/>
      <c r="ADB151" s="13"/>
      <c r="ADC151" s="13"/>
      <c r="ADD151" s="13"/>
      <c r="ADE151" s="13"/>
      <c r="ADF151" s="13"/>
      <c r="ADG151" s="13"/>
      <c r="ADH151" s="13"/>
      <c r="ADI151" s="13"/>
      <c r="ADJ151" s="13"/>
      <c r="ADK151" s="13"/>
      <c r="ADL151" s="13"/>
      <c r="ADM151" s="13"/>
      <c r="ADN151" s="13"/>
      <c r="ADO151" s="13"/>
      <c r="ADP151" s="13"/>
      <c r="ADQ151" s="13"/>
      <c r="ADR151" s="13"/>
      <c r="ADS151" s="13"/>
      <c r="ADT151" s="13"/>
      <c r="ADU151" s="13"/>
      <c r="ADV151" s="13"/>
      <c r="ADW151" s="13"/>
      <c r="ADX151" s="13"/>
      <c r="ADY151" s="13"/>
      <c r="ADZ151" s="13"/>
      <c r="AEA151" s="13"/>
      <c r="AEB151" s="13"/>
      <c r="AEC151" s="13"/>
      <c r="AED151" s="13"/>
      <c r="AEE151" s="13"/>
      <c r="AEF151" s="13"/>
      <c r="AEG151" s="13"/>
      <c r="AEH151" s="13"/>
      <c r="AEI151" s="13"/>
      <c r="AEJ151" s="13"/>
      <c r="AEK151" s="13"/>
      <c r="AEL151" s="13"/>
      <c r="AEM151" s="13"/>
      <c r="AEN151" s="13"/>
      <c r="AEO151" s="13"/>
      <c r="AEP151" s="13"/>
      <c r="AEQ151" s="13"/>
      <c r="AER151" s="13"/>
      <c r="AES151" s="13"/>
      <c r="AET151" s="13"/>
      <c r="AEU151" s="13"/>
      <c r="AEV151" s="13"/>
      <c r="AEW151" s="13"/>
      <c r="AEX151" s="13"/>
      <c r="AEY151" s="13"/>
      <c r="AEZ151" s="13"/>
      <c r="AFA151" s="13"/>
      <c r="AFB151" s="13"/>
      <c r="AFC151" s="13"/>
      <c r="AFD151" s="13"/>
      <c r="AFE151" s="13"/>
      <c r="AFF151" s="13"/>
      <c r="AFG151" s="13"/>
      <c r="AFH151" s="13"/>
      <c r="AFI151" s="13"/>
      <c r="AFJ151" s="13"/>
      <c r="AFK151" s="13"/>
      <c r="AFL151" s="13"/>
      <c r="AFM151" s="13"/>
      <c r="AFN151" s="13"/>
      <c r="AFO151" s="13"/>
      <c r="AFP151" s="13"/>
      <c r="AFQ151" s="13"/>
      <c r="AFR151" s="13"/>
      <c r="AFS151" s="13"/>
      <c r="AFT151" s="13"/>
      <c r="AFU151" s="13"/>
      <c r="AFV151" s="13"/>
      <c r="AFW151" s="13"/>
      <c r="AFX151" s="13"/>
      <c r="AFY151" s="13"/>
      <c r="AFZ151" s="13"/>
      <c r="AGA151" s="13"/>
      <c r="AGB151" s="13"/>
      <c r="AGC151" s="13"/>
      <c r="AGD151" s="13"/>
      <c r="AGE151" s="13"/>
      <c r="AGF151" s="13"/>
      <c r="AGG151" s="13"/>
      <c r="AGH151" s="13"/>
      <c r="AGI151" s="13"/>
      <c r="AGJ151" s="13"/>
      <c r="AGK151" s="13"/>
      <c r="AGL151" s="13"/>
      <c r="AGM151" s="13"/>
      <c r="AGN151" s="13"/>
      <c r="AGO151" s="13"/>
      <c r="AGP151" s="13"/>
      <c r="AGQ151" s="13"/>
      <c r="AGR151" s="13"/>
      <c r="AGS151" s="13"/>
      <c r="AGT151" s="13"/>
      <c r="AGU151" s="13"/>
      <c r="AGV151" s="13"/>
      <c r="AGW151" s="13"/>
      <c r="AGX151" s="13"/>
      <c r="AGY151" s="13"/>
      <c r="AGZ151" s="13"/>
      <c r="AHA151" s="13"/>
      <c r="AHB151" s="13"/>
      <c r="AHC151" s="13"/>
      <c r="AHD151" s="13"/>
      <c r="AHE151" s="13"/>
      <c r="AHF151" s="13"/>
      <c r="AHG151" s="13"/>
      <c r="AHH151" s="13"/>
      <c r="AHI151" s="13"/>
      <c r="AHJ151" s="13"/>
      <c r="AHK151" s="13"/>
      <c r="AHL151" s="13"/>
      <c r="AHM151" s="13"/>
      <c r="AHN151" s="13"/>
      <c r="AHO151" s="13"/>
      <c r="AHP151" s="13"/>
      <c r="AHQ151" s="13"/>
      <c r="AHR151" s="13"/>
      <c r="AHS151" s="13"/>
      <c r="AHT151" s="13"/>
      <c r="AHU151" s="13"/>
      <c r="AHV151" s="13"/>
      <c r="AHW151" s="13"/>
      <c r="AHX151" s="13"/>
      <c r="AHY151" s="13"/>
      <c r="AHZ151" s="13"/>
      <c r="AIA151" s="13"/>
      <c r="AIB151" s="13"/>
      <c r="AIC151" s="13"/>
      <c r="AID151" s="13"/>
      <c r="AIE151" s="13"/>
      <c r="AIF151" s="13"/>
      <c r="AIG151" s="13"/>
      <c r="AIH151" s="13"/>
      <c r="AII151" s="13"/>
      <c r="AIJ151" s="13"/>
      <c r="AIK151" s="13"/>
      <c r="AIL151" s="13"/>
      <c r="AIM151" s="13"/>
      <c r="AIN151" s="13"/>
      <c r="AIO151" s="13"/>
      <c r="AIP151" s="13"/>
      <c r="AIQ151" s="13"/>
      <c r="AIR151" s="13"/>
      <c r="AIS151" s="13"/>
      <c r="AIT151" s="13"/>
      <c r="AIU151" s="13"/>
      <c r="AIV151" s="13"/>
      <c r="AIW151" s="13"/>
      <c r="AIX151" s="13"/>
      <c r="AIY151" s="13"/>
      <c r="AIZ151" s="13"/>
      <c r="AJA151" s="13"/>
      <c r="AJB151" s="13"/>
      <c r="AJC151" s="13"/>
      <c r="AJD151" s="13"/>
      <c r="AJE151" s="13"/>
      <c r="AJF151" s="13"/>
      <c r="AJG151" s="13"/>
      <c r="AJH151" s="13"/>
      <c r="AJI151" s="13"/>
      <c r="AJJ151" s="13"/>
      <c r="AJK151" s="13"/>
      <c r="AJL151" s="13"/>
      <c r="AJM151" s="13"/>
      <c r="AJN151" s="13"/>
      <c r="AJO151" s="13"/>
      <c r="AJP151" s="13"/>
      <c r="AJQ151" s="13"/>
      <c r="AJR151" s="13"/>
      <c r="AJS151" s="13"/>
      <c r="AJT151" s="13"/>
      <c r="AJU151" s="13"/>
      <c r="AJV151" s="13"/>
      <c r="AJW151" s="13"/>
      <c r="AJX151" s="13"/>
      <c r="AJY151" s="13"/>
      <c r="AJZ151" s="13"/>
      <c r="AKA151" s="13"/>
      <c r="AKB151" s="13"/>
      <c r="AKC151" s="13"/>
      <c r="AKD151" s="13"/>
      <c r="AKE151" s="13"/>
      <c r="AKF151" s="13"/>
      <c r="AKG151" s="13"/>
      <c r="AKH151" s="13"/>
      <c r="AKI151" s="13"/>
      <c r="AKJ151" s="13"/>
      <c r="AKK151" s="13"/>
      <c r="AKL151" s="13"/>
      <c r="AKM151" s="13"/>
      <c r="AKN151" s="13"/>
      <c r="AKO151" s="13"/>
      <c r="AKP151" s="13"/>
      <c r="AKQ151" s="13"/>
      <c r="AKR151" s="13"/>
      <c r="AKS151" s="13"/>
      <c r="AKT151" s="13"/>
      <c r="AKU151" s="13"/>
      <c r="AKV151" s="13"/>
      <c r="AKW151" s="13"/>
      <c r="AKX151" s="13"/>
      <c r="AKY151" s="13"/>
      <c r="AKZ151" s="13"/>
      <c r="ALA151" s="13"/>
      <c r="ALB151" s="13"/>
      <c r="ALC151" s="13"/>
      <c r="ALD151" s="13"/>
      <c r="ALE151" s="13"/>
      <c r="ALF151" s="13"/>
      <c r="ALG151" s="13"/>
      <c r="ALH151" s="13"/>
      <c r="ALI151" s="13"/>
      <c r="ALJ151" s="13"/>
      <c r="ALK151" s="13"/>
      <c r="ALL151" s="13"/>
      <c r="ALM151" s="13"/>
      <c r="ALN151" s="13"/>
      <c r="ALO151" s="13"/>
      <c r="ALP151" s="13"/>
      <c r="ALQ151" s="13"/>
      <c r="ALR151" s="13"/>
      <c r="ALS151" s="13"/>
      <c r="ALT151" s="13"/>
      <c r="ALU151" s="13"/>
      <c r="ALV151" s="13"/>
      <c r="ALW151" s="13"/>
      <c r="ALX151" s="13"/>
      <c r="ALY151" s="13"/>
      <c r="ALZ151" s="13"/>
      <c r="AMA151" s="13"/>
      <c r="AMB151" s="13"/>
      <c r="AMC151" s="13"/>
      <c r="AMD151" s="13"/>
      <c r="AME151" s="13"/>
      <c r="AMF151" s="13"/>
      <c r="AMG151" s="13"/>
      <c r="AMH151" s="13"/>
      <c r="AMI151" s="13"/>
      <c r="AMJ151" s="13"/>
      <c r="AMK151" s="13"/>
      <c r="AML151" s="13"/>
      <c r="AMM151" s="13"/>
      <c r="AMN151" s="13"/>
      <c r="AMO151" s="13"/>
      <c r="AMP151" s="13"/>
      <c r="AMQ151" s="13"/>
      <c r="AMR151" s="13"/>
      <c r="AMS151" s="13"/>
      <c r="AMT151" s="13"/>
      <c r="AMU151" s="13"/>
      <c r="AMV151" s="13"/>
      <c r="AMW151" s="13"/>
      <c r="AMX151" s="13"/>
      <c r="AMY151" s="13"/>
      <c r="AMZ151" s="13"/>
      <c r="ANA151" s="13"/>
      <c r="ANB151" s="13"/>
      <c r="ANC151" s="13"/>
      <c r="AND151" s="13"/>
      <c r="ANE151" s="13"/>
      <c r="ANF151" s="13"/>
      <c r="ANG151" s="13"/>
      <c r="ANH151" s="13"/>
      <c r="ANI151" s="13"/>
      <c r="ANJ151" s="13"/>
      <c r="ANK151" s="13"/>
      <c r="ANL151" s="13"/>
      <c r="ANM151" s="13"/>
      <c r="ANN151" s="13"/>
      <c r="ANO151" s="13"/>
      <c r="ANP151" s="13"/>
      <c r="ANQ151" s="13"/>
      <c r="ANR151" s="13"/>
      <c r="ANS151" s="13"/>
      <c r="ANT151" s="13"/>
      <c r="ANU151" s="13"/>
      <c r="ANV151" s="13"/>
      <c r="ANW151" s="13"/>
      <c r="ANX151" s="13"/>
      <c r="ANY151" s="13"/>
      <c r="ANZ151" s="13"/>
      <c r="AOA151" s="13"/>
      <c r="AOB151" s="13"/>
      <c r="AOC151" s="13"/>
      <c r="AOD151" s="13"/>
      <c r="AOE151" s="13"/>
      <c r="AOF151" s="13"/>
      <c r="AOG151" s="13"/>
      <c r="AOH151" s="13"/>
      <c r="AOI151" s="13"/>
      <c r="AOJ151" s="13"/>
      <c r="AOK151" s="13"/>
      <c r="AOL151" s="13"/>
      <c r="AOM151" s="13"/>
      <c r="AON151" s="13"/>
      <c r="AOO151" s="13"/>
      <c r="AOP151" s="13"/>
      <c r="AOQ151" s="13"/>
      <c r="AOR151" s="13"/>
      <c r="AOS151" s="13"/>
      <c r="AOT151" s="13"/>
      <c r="AOU151" s="13"/>
      <c r="AOV151" s="13"/>
      <c r="AOW151" s="13"/>
      <c r="AOX151" s="13"/>
      <c r="AOY151" s="13"/>
      <c r="AOZ151" s="13"/>
      <c r="APA151" s="13"/>
      <c r="APB151" s="13"/>
      <c r="APC151" s="13"/>
      <c r="APD151" s="13"/>
      <c r="APE151" s="13"/>
      <c r="APF151" s="13"/>
      <c r="APG151" s="13"/>
      <c r="APH151" s="13"/>
      <c r="API151" s="13"/>
      <c r="APJ151" s="13"/>
      <c r="APK151" s="13"/>
      <c r="APL151" s="13"/>
      <c r="APM151" s="13"/>
      <c r="APN151" s="13"/>
      <c r="APO151" s="13"/>
      <c r="APP151" s="13"/>
      <c r="APQ151" s="13"/>
      <c r="APR151" s="13"/>
      <c r="APS151" s="13"/>
      <c r="APT151" s="13"/>
      <c r="APU151" s="13"/>
      <c r="APV151" s="13"/>
      <c r="APW151" s="13"/>
      <c r="APX151" s="13"/>
      <c r="APY151" s="13"/>
      <c r="APZ151" s="13"/>
      <c r="AQA151" s="13"/>
      <c r="AQB151" s="13"/>
      <c r="AQC151" s="13"/>
      <c r="AQD151" s="13"/>
      <c r="AQE151" s="13"/>
      <c r="AQF151" s="13"/>
      <c r="AQG151" s="13"/>
      <c r="AQH151" s="13"/>
      <c r="AQI151" s="13"/>
      <c r="AQJ151" s="13"/>
      <c r="AQK151" s="13"/>
      <c r="AQL151" s="13"/>
      <c r="AQM151" s="13"/>
      <c r="AQN151" s="13"/>
      <c r="AQO151" s="13"/>
      <c r="AQP151" s="13"/>
      <c r="AQQ151" s="13"/>
      <c r="AQR151" s="13"/>
      <c r="AQS151" s="13"/>
      <c r="AQT151" s="13"/>
      <c r="AQU151" s="13"/>
      <c r="AQV151" s="13"/>
      <c r="AQW151" s="13"/>
      <c r="AQX151" s="13"/>
      <c r="AQY151" s="13"/>
      <c r="AQZ151" s="13"/>
      <c r="ARA151" s="13"/>
      <c r="ARB151" s="13"/>
      <c r="ARC151" s="13"/>
      <c r="ARD151" s="13"/>
      <c r="ARE151" s="13"/>
      <c r="ARF151" s="13"/>
      <c r="ARG151" s="13"/>
      <c r="ARH151" s="13"/>
      <c r="ARI151" s="13"/>
      <c r="ARJ151" s="13"/>
      <c r="ARK151" s="13"/>
      <c r="ARL151" s="13"/>
      <c r="ARM151" s="13"/>
      <c r="ARN151" s="13"/>
      <c r="ARO151" s="13"/>
      <c r="ARP151" s="13"/>
      <c r="ARQ151" s="13"/>
      <c r="ARR151" s="13"/>
      <c r="ARS151" s="13"/>
      <c r="ART151" s="13"/>
      <c r="ARU151" s="13"/>
      <c r="ARV151" s="13"/>
      <c r="ARW151" s="13"/>
      <c r="ARX151" s="13"/>
      <c r="ARY151" s="13"/>
      <c r="ARZ151" s="13"/>
      <c r="ASA151" s="13"/>
      <c r="ASB151" s="13"/>
      <c r="ASC151" s="13"/>
      <c r="ASD151" s="13"/>
      <c r="ASE151" s="13"/>
      <c r="ASF151" s="13"/>
      <c r="ASG151" s="13"/>
      <c r="ASH151" s="13"/>
      <c r="ASI151" s="13"/>
      <c r="ASJ151" s="13"/>
      <c r="ASK151" s="13"/>
      <c r="ASL151" s="13"/>
      <c r="ASM151" s="13"/>
      <c r="ASN151" s="13"/>
      <c r="ASO151" s="13"/>
      <c r="ASP151" s="13"/>
      <c r="ASQ151" s="13"/>
      <c r="ASR151" s="13"/>
      <c r="ASS151" s="13"/>
      <c r="AST151" s="13"/>
      <c r="ASU151" s="13"/>
      <c r="ASV151" s="13"/>
      <c r="ASW151" s="13"/>
      <c r="ASX151" s="13"/>
      <c r="ASY151" s="13"/>
      <c r="ASZ151" s="13"/>
      <c r="ATA151" s="13"/>
      <c r="ATB151" s="13"/>
      <c r="ATC151" s="13"/>
      <c r="ATD151" s="13"/>
      <c r="ATE151" s="13"/>
      <c r="ATF151" s="13"/>
      <c r="ATG151" s="13"/>
      <c r="ATH151" s="13"/>
      <c r="ATI151" s="13"/>
      <c r="ATJ151" s="13"/>
      <c r="ATK151" s="13"/>
      <c r="ATL151" s="13"/>
      <c r="ATM151" s="13"/>
      <c r="ATN151" s="13"/>
      <c r="ATO151" s="13"/>
      <c r="ATP151" s="13"/>
      <c r="ATQ151" s="13"/>
      <c r="ATR151" s="13"/>
      <c r="ATS151" s="13"/>
      <c r="ATT151" s="13"/>
      <c r="ATU151" s="13"/>
      <c r="ATV151" s="13"/>
      <c r="ATW151" s="13"/>
      <c r="ATX151" s="13"/>
      <c r="ATY151" s="13"/>
      <c r="ATZ151" s="13"/>
      <c r="AUA151" s="13"/>
      <c r="AUB151" s="13"/>
      <c r="AUC151" s="13"/>
      <c r="AUD151" s="13"/>
      <c r="AUE151" s="13"/>
      <c r="AUF151" s="13"/>
      <c r="AUG151" s="13"/>
      <c r="AUH151" s="13"/>
      <c r="AUI151" s="13"/>
      <c r="AUJ151" s="13"/>
      <c r="AUK151" s="13"/>
      <c r="AUL151" s="13"/>
      <c r="AUM151" s="13"/>
      <c r="AUN151" s="13"/>
      <c r="AUO151" s="13"/>
      <c r="AUP151" s="13"/>
      <c r="AUQ151" s="13"/>
      <c r="AUR151" s="13"/>
      <c r="AUS151" s="13"/>
      <c r="AUT151" s="13"/>
      <c r="AUU151" s="13"/>
      <c r="AUV151" s="13"/>
      <c r="AUW151" s="13"/>
      <c r="AUX151" s="13"/>
      <c r="AUY151" s="13"/>
      <c r="AUZ151" s="13"/>
      <c r="AVA151" s="13"/>
      <c r="AVB151" s="13"/>
      <c r="AVC151" s="13"/>
      <c r="AVD151" s="13"/>
      <c r="AVE151" s="13"/>
      <c r="AVF151" s="13"/>
      <c r="AVG151" s="13"/>
      <c r="AVH151" s="13"/>
      <c r="AVI151" s="13"/>
      <c r="AVJ151" s="13"/>
      <c r="AVK151" s="13"/>
      <c r="AVL151" s="13"/>
      <c r="AVM151" s="13"/>
      <c r="AVN151" s="13"/>
      <c r="AVO151" s="13"/>
      <c r="AVP151" s="13"/>
      <c r="AVQ151" s="13"/>
      <c r="AVR151" s="13"/>
      <c r="AVS151" s="13"/>
      <c r="AVT151" s="13"/>
      <c r="AVU151" s="13"/>
      <c r="AVV151" s="13"/>
      <c r="AVW151" s="13"/>
      <c r="AVX151" s="13"/>
      <c r="AVY151" s="13"/>
      <c r="AVZ151" s="13"/>
      <c r="AWA151" s="13"/>
      <c r="AWB151" s="13"/>
      <c r="AWC151" s="13"/>
      <c r="AWD151" s="13"/>
      <c r="AWE151" s="13"/>
      <c r="AWF151" s="13"/>
      <c r="AWG151" s="13"/>
      <c r="AWH151" s="13"/>
      <c r="AWI151" s="13"/>
      <c r="AWJ151" s="13"/>
      <c r="AWK151" s="13"/>
      <c r="AWL151" s="13"/>
      <c r="AWM151" s="13"/>
      <c r="AWN151" s="13"/>
      <c r="AWO151" s="13"/>
      <c r="AWP151" s="13"/>
      <c r="AWQ151" s="13"/>
      <c r="AWR151" s="13"/>
      <c r="AWS151" s="13"/>
      <c r="AWT151" s="13"/>
      <c r="AWU151" s="13"/>
      <c r="AWV151" s="13"/>
      <c r="AWW151" s="13"/>
      <c r="AWX151" s="13"/>
      <c r="AWY151" s="13"/>
      <c r="AWZ151" s="13"/>
      <c r="AXA151" s="13"/>
      <c r="AXB151" s="13"/>
      <c r="AXC151" s="13"/>
      <c r="AXD151" s="13"/>
      <c r="AXE151" s="13"/>
      <c r="AXF151" s="13"/>
      <c r="AXG151" s="13"/>
      <c r="AXH151" s="13"/>
      <c r="AXI151" s="13"/>
      <c r="AXJ151" s="13"/>
      <c r="AXK151" s="13"/>
      <c r="AXL151" s="13"/>
      <c r="AXM151" s="13"/>
      <c r="AXN151" s="13"/>
      <c r="AXO151" s="13"/>
      <c r="AXP151" s="13"/>
      <c r="AXQ151" s="13"/>
      <c r="AXR151" s="13"/>
      <c r="AXS151" s="13"/>
      <c r="AXT151" s="13"/>
      <c r="AXU151" s="13"/>
      <c r="AXV151" s="13"/>
      <c r="AXW151" s="13"/>
      <c r="AXX151" s="13"/>
      <c r="AXY151" s="13"/>
      <c r="AXZ151" s="13"/>
      <c r="AYA151" s="13"/>
      <c r="AYB151" s="13"/>
      <c r="AYC151" s="13"/>
      <c r="AYD151" s="13"/>
      <c r="AYE151" s="13"/>
      <c r="AYF151" s="13"/>
      <c r="AYG151" s="13"/>
      <c r="AYH151" s="13"/>
      <c r="AYI151" s="13"/>
      <c r="AYJ151" s="13"/>
      <c r="AYK151" s="13"/>
      <c r="AYL151" s="13"/>
      <c r="AYM151" s="13"/>
      <c r="AYN151" s="13"/>
      <c r="AYO151" s="13"/>
      <c r="AYP151" s="13"/>
      <c r="AYQ151" s="13"/>
      <c r="AYR151" s="13"/>
      <c r="AYS151" s="13"/>
      <c r="AYT151" s="13"/>
      <c r="AYU151" s="13"/>
      <c r="AYV151" s="13"/>
      <c r="AYW151" s="13"/>
      <c r="AYX151" s="13"/>
      <c r="AYY151" s="13"/>
      <c r="AYZ151" s="13"/>
      <c r="AZA151" s="13"/>
      <c r="AZB151" s="13"/>
      <c r="AZC151" s="13"/>
      <c r="AZD151" s="13"/>
      <c r="AZE151" s="13"/>
      <c r="AZF151" s="13"/>
      <c r="AZG151" s="13"/>
      <c r="AZH151" s="13"/>
      <c r="AZI151" s="13"/>
      <c r="AZJ151" s="13"/>
      <c r="AZK151" s="13"/>
      <c r="AZL151" s="13"/>
      <c r="AZM151" s="13"/>
      <c r="AZN151" s="13"/>
      <c r="AZO151" s="13"/>
      <c r="AZP151" s="13"/>
      <c r="AZQ151" s="13"/>
      <c r="AZR151" s="13"/>
      <c r="AZS151" s="13"/>
      <c r="AZT151" s="13"/>
      <c r="AZU151" s="13"/>
      <c r="AZV151" s="13"/>
      <c r="AZW151" s="13"/>
      <c r="AZX151" s="13"/>
      <c r="AZY151" s="13"/>
      <c r="AZZ151" s="13"/>
      <c r="BAA151" s="13"/>
      <c r="BAB151" s="13"/>
      <c r="BAC151" s="13"/>
      <c r="BAD151" s="13"/>
      <c r="BAE151" s="13"/>
      <c r="BAF151" s="13"/>
      <c r="BAG151" s="13"/>
      <c r="BAH151" s="13"/>
      <c r="BAI151" s="13"/>
      <c r="BAJ151" s="13"/>
      <c r="BAK151" s="13"/>
      <c r="BAL151" s="13"/>
      <c r="BAM151" s="13"/>
      <c r="BAN151" s="13"/>
      <c r="BAO151" s="13"/>
      <c r="BAP151" s="13"/>
      <c r="BAQ151" s="13"/>
      <c r="BAR151" s="13"/>
      <c r="BAS151" s="13"/>
      <c r="BAT151" s="13"/>
      <c r="BAU151" s="13"/>
      <c r="BAV151" s="13"/>
      <c r="BAW151" s="13"/>
      <c r="BAX151" s="13"/>
      <c r="BAY151" s="13"/>
      <c r="BAZ151" s="13"/>
      <c r="BBA151" s="13"/>
      <c r="BBB151" s="13"/>
      <c r="BBC151" s="13"/>
      <c r="BBD151" s="13"/>
      <c r="BBE151" s="13"/>
      <c r="BBF151" s="13"/>
      <c r="BBG151" s="13"/>
      <c r="BBH151" s="13"/>
      <c r="BBI151" s="13"/>
      <c r="BBJ151" s="13"/>
      <c r="BBK151" s="13"/>
      <c r="BBL151" s="13"/>
      <c r="BBM151" s="13"/>
      <c r="BBN151" s="13"/>
      <c r="BBO151" s="13"/>
      <c r="BBP151" s="13"/>
      <c r="BBQ151" s="13"/>
      <c r="BBR151" s="13"/>
      <c r="BBS151" s="13"/>
      <c r="BBT151" s="13"/>
      <c r="BBU151" s="13"/>
      <c r="BBV151" s="13"/>
      <c r="BBW151" s="13"/>
      <c r="BBX151" s="13"/>
      <c r="BBY151" s="13"/>
      <c r="BBZ151" s="13"/>
      <c r="BCA151" s="13"/>
      <c r="BCB151" s="13"/>
      <c r="BCC151" s="13"/>
      <c r="BCD151" s="13"/>
      <c r="BCE151" s="13"/>
      <c r="BCF151" s="13"/>
      <c r="BCG151" s="13"/>
      <c r="BCH151" s="13"/>
      <c r="BCI151" s="13"/>
      <c r="BCJ151" s="13"/>
      <c r="BCK151" s="13"/>
      <c r="BCL151" s="13"/>
      <c r="BCM151" s="13"/>
      <c r="BCN151" s="13"/>
      <c r="BCO151" s="13"/>
      <c r="BCP151" s="13"/>
      <c r="BCQ151" s="13"/>
      <c r="BCR151" s="13"/>
      <c r="BCS151" s="13"/>
      <c r="BCT151" s="13"/>
      <c r="BCU151" s="13"/>
      <c r="BCV151" s="13"/>
      <c r="BCW151" s="13"/>
      <c r="BCX151" s="13"/>
      <c r="BCY151" s="13"/>
      <c r="BCZ151" s="13"/>
      <c r="BDA151" s="13"/>
      <c r="BDB151" s="13"/>
      <c r="BDC151" s="13"/>
      <c r="BDD151" s="13"/>
      <c r="BDE151" s="13"/>
      <c r="BDF151" s="13"/>
      <c r="BDG151" s="13"/>
      <c r="BDH151" s="13"/>
      <c r="BDI151" s="13"/>
      <c r="BDJ151" s="13"/>
      <c r="BDK151" s="13"/>
      <c r="BDL151" s="13"/>
      <c r="BDM151" s="13"/>
      <c r="BDN151" s="13"/>
      <c r="BDO151" s="13"/>
      <c r="BDP151" s="13"/>
      <c r="BDQ151" s="13"/>
      <c r="BDR151" s="13"/>
      <c r="BDS151" s="13"/>
      <c r="BDT151" s="13"/>
      <c r="BDU151" s="13"/>
      <c r="BDV151" s="13"/>
      <c r="BDW151" s="13"/>
      <c r="BDX151" s="13"/>
      <c r="BDY151" s="13"/>
      <c r="BDZ151" s="13"/>
      <c r="BEA151" s="13"/>
      <c r="BEB151" s="13"/>
      <c r="BEC151" s="13"/>
      <c r="BED151" s="13"/>
      <c r="BEE151" s="13"/>
      <c r="BEF151" s="13"/>
      <c r="BEG151" s="13"/>
      <c r="BEH151" s="13"/>
      <c r="BEI151" s="13"/>
      <c r="BEJ151" s="13"/>
      <c r="BEK151" s="13"/>
      <c r="BEL151" s="13"/>
      <c r="BEM151" s="13"/>
      <c r="BEN151" s="13"/>
      <c r="BEO151" s="13"/>
      <c r="BEP151" s="13"/>
      <c r="BEQ151" s="13"/>
      <c r="BER151" s="13"/>
      <c r="BES151" s="13"/>
      <c r="BET151" s="13"/>
      <c r="BEU151" s="13"/>
      <c r="BEV151" s="13"/>
      <c r="BEW151" s="13"/>
      <c r="BEX151" s="13"/>
      <c r="BEY151" s="13"/>
      <c r="BEZ151" s="13"/>
      <c r="BFA151" s="13"/>
      <c r="BFB151" s="13"/>
      <c r="BFC151" s="13"/>
      <c r="BFD151" s="13"/>
      <c r="BFE151" s="13"/>
      <c r="BFF151" s="13"/>
      <c r="BFG151" s="13"/>
      <c r="BFH151" s="13"/>
      <c r="BFI151" s="13"/>
      <c r="BFJ151" s="13"/>
      <c r="BFK151" s="13"/>
      <c r="BFL151" s="13"/>
      <c r="BFM151" s="13"/>
      <c r="BFN151" s="13"/>
      <c r="BFO151" s="13"/>
      <c r="BFP151" s="13"/>
      <c r="BFQ151" s="13"/>
      <c r="BFR151" s="13"/>
      <c r="BFS151" s="13"/>
      <c r="BFT151" s="13"/>
      <c r="BFU151" s="13"/>
      <c r="BFV151" s="13"/>
      <c r="BFW151" s="13"/>
      <c r="BFX151" s="13"/>
      <c r="BFY151" s="13"/>
      <c r="BFZ151" s="13"/>
      <c r="BGA151" s="13"/>
      <c r="BGB151" s="13"/>
      <c r="BGC151" s="13"/>
      <c r="BGD151" s="13"/>
      <c r="BGE151" s="13"/>
      <c r="BGF151" s="13"/>
      <c r="BGG151" s="13"/>
      <c r="BGH151" s="13"/>
      <c r="BGI151" s="13"/>
      <c r="BGJ151" s="13"/>
      <c r="BGK151" s="13"/>
      <c r="BGL151" s="13"/>
      <c r="BGM151" s="13"/>
      <c r="BGN151" s="13"/>
      <c r="BGO151" s="13"/>
      <c r="BGP151" s="13"/>
      <c r="BGQ151" s="13"/>
      <c r="BGR151" s="13"/>
      <c r="BGS151" s="13"/>
      <c r="BGT151" s="13"/>
      <c r="BGU151" s="13"/>
      <c r="BGV151" s="13"/>
      <c r="BGW151" s="13"/>
      <c r="BGX151" s="13"/>
      <c r="BGY151" s="13"/>
      <c r="BGZ151" s="13"/>
      <c r="BHA151" s="13"/>
      <c r="BHB151" s="13"/>
      <c r="BHC151" s="13"/>
      <c r="BHD151" s="13"/>
      <c r="BHE151" s="13"/>
      <c r="BHF151" s="13"/>
      <c r="BHG151" s="13"/>
      <c r="BHH151" s="13"/>
      <c r="BHI151" s="13"/>
      <c r="BHJ151" s="13"/>
      <c r="BHK151" s="13"/>
      <c r="BHL151" s="13"/>
      <c r="BHM151" s="13"/>
      <c r="BHN151" s="13"/>
      <c r="BHO151" s="13"/>
      <c r="BHP151" s="13"/>
      <c r="BHQ151" s="13"/>
      <c r="BHR151" s="13"/>
      <c r="BHS151" s="13"/>
      <c r="BHT151" s="13"/>
      <c r="BHU151" s="13"/>
      <c r="BHV151" s="13"/>
      <c r="BHW151" s="13"/>
      <c r="BHX151" s="13"/>
      <c r="BHY151" s="13"/>
      <c r="BHZ151" s="13"/>
      <c r="BIA151" s="13"/>
      <c r="BIB151" s="13"/>
      <c r="BIC151" s="13"/>
      <c r="BID151" s="13"/>
      <c r="BIE151" s="13"/>
      <c r="BIF151" s="13"/>
      <c r="BIG151" s="13"/>
      <c r="BIH151" s="13"/>
      <c r="BII151" s="13"/>
      <c r="BIJ151" s="13"/>
      <c r="BIK151" s="13"/>
      <c r="BIL151" s="13"/>
      <c r="BIM151" s="13"/>
      <c r="BIN151" s="13"/>
      <c r="BIO151" s="13"/>
      <c r="BIP151" s="13"/>
      <c r="BIQ151" s="13"/>
      <c r="BIR151" s="13"/>
      <c r="BIS151" s="13"/>
      <c r="BIT151" s="13"/>
      <c r="BIU151" s="13"/>
      <c r="BIV151" s="13"/>
      <c r="BIW151" s="13"/>
      <c r="BIX151" s="13"/>
      <c r="BIY151" s="13"/>
      <c r="BIZ151" s="13"/>
      <c r="BJA151" s="13"/>
      <c r="BJB151" s="13"/>
      <c r="BJC151" s="13"/>
      <c r="BJD151" s="13"/>
      <c r="BJE151" s="13"/>
      <c r="BJF151" s="13"/>
      <c r="BJG151" s="13"/>
      <c r="BJH151" s="13"/>
      <c r="BJI151" s="13"/>
      <c r="BJJ151" s="13"/>
      <c r="BJK151" s="13"/>
      <c r="BJL151" s="13"/>
      <c r="BJM151" s="13"/>
      <c r="BJN151" s="13"/>
      <c r="BJO151" s="13"/>
      <c r="BJP151" s="13"/>
      <c r="BJQ151" s="13"/>
      <c r="BJR151" s="13"/>
      <c r="BJS151" s="13"/>
      <c r="BJT151" s="13"/>
      <c r="BJU151" s="13"/>
      <c r="BJV151" s="13"/>
      <c r="BJW151" s="13"/>
      <c r="BJX151" s="13"/>
      <c r="BJY151" s="13"/>
      <c r="BJZ151" s="13"/>
      <c r="BKA151" s="13"/>
      <c r="BKB151" s="13"/>
      <c r="BKC151" s="13"/>
      <c r="BKD151" s="13"/>
      <c r="BKE151" s="13"/>
      <c r="BKF151" s="13"/>
      <c r="BKG151" s="13"/>
      <c r="BKH151" s="13"/>
      <c r="BKI151" s="13"/>
      <c r="BKJ151" s="13"/>
      <c r="BKK151" s="13"/>
      <c r="BKL151" s="13"/>
      <c r="BKM151" s="13"/>
      <c r="BKN151" s="13"/>
      <c r="BKO151" s="13"/>
      <c r="BKP151" s="13"/>
      <c r="BKQ151" s="13"/>
      <c r="BKR151" s="13"/>
      <c r="BKS151" s="13"/>
      <c r="BKT151" s="13"/>
      <c r="BKU151" s="13"/>
      <c r="BKV151" s="13"/>
      <c r="BKW151" s="13"/>
      <c r="BKX151" s="13"/>
      <c r="BKY151" s="13"/>
      <c r="BKZ151" s="13"/>
      <c r="BLA151" s="13"/>
      <c r="BLB151" s="13"/>
      <c r="BLC151" s="13"/>
      <c r="BLD151" s="13"/>
      <c r="BLE151" s="13"/>
      <c r="BLF151" s="13"/>
      <c r="BLG151" s="13"/>
      <c r="BLH151" s="13"/>
      <c r="BLI151" s="13"/>
      <c r="BLJ151" s="13"/>
      <c r="BLK151" s="13"/>
      <c r="BLL151" s="13"/>
      <c r="BLM151" s="13"/>
      <c r="BLN151" s="13"/>
      <c r="BLO151" s="13"/>
      <c r="BLP151" s="13"/>
      <c r="BLQ151" s="13"/>
      <c r="BLR151" s="13"/>
      <c r="BLS151" s="13"/>
      <c r="BLT151" s="13"/>
      <c r="BLU151" s="13"/>
      <c r="BLV151" s="13"/>
      <c r="BLW151" s="13"/>
      <c r="BLX151" s="13"/>
      <c r="BLY151" s="13"/>
      <c r="BLZ151" s="13"/>
      <c r="BMA151" s="13"/>
      <c r="BMB151" s="13"/>
      <c r="BMC151" s="13"/>
      <c r="BMD151" s="13"/>
      <c r="BME151" s="13"/>
      <c r="BMF151" s="13"/>
      <c r="BMG151" s="13"/>
      <c r="BMH151" s="13"/>
      <c r="BMI151" s="13"/>
      <c r="BMJ151" s="13"/>
      <c r="BMK151" s="13"/>
      <c r="BML151" s="13"/>
      <c r="BMM151" s="13"/>
      <c r="BMN151" s="13"/>
      <c r="BMO151" s="13"/>
      <c r="BMP151" s="13"/>
      <c r="BMQ151" s="13"/>
      <c r="BMR151" s="13"/>
      <c r="BMS151" s="13"/>
      <c r="BMT151" s="13"/>
      <c r="BMU151" s="13"/>
      <c r="BMV151" s="13"/>
      <c r="BMW151" s="13"/>
      <c r="BMX151" s="13"/>
      <c r="BMY151" s="13"/>
      <c r="BMZ151" s="13"/>
      <c r="BNA151" s="13"/>
      <c r="BNB151" s="13"/>
      <c r="BNC151" s="13"/>
      <c r="BND151" s="13"/>
      <c r="BNE151" s="13"/>
      <c r="BNF151" s="13"/>
      <c r="BNG151" s="13"/>
      <c r="BNH151" s="13"/>
      <c r="BNI151" s="13"/>
      <c r="BNJ151" s="13"/>
      <c r="BNK151" s="13"/>
      <c r="BNL151" s="13"/>
      <c r="BNM151" s="13"/>
      <c r="BNN151" s="13"/>
      <c r="BNO151" s="13"/>
      <c r="BNP151" s="13"/>
      <c r="BNQ151" s="13"/>
      <c r="BNR151" s="13"/>
      <c r="BNS151" s="13"/>
      <c r="BNT151" s="13"/>
      <c r="BNU151" s="13"/>
      <c r="BNV151" s="13"/>
      <c r="BNW151" s="13"/>
      <c r="BNX151" s="13"/>
      <c r="BNY151" s="13"/>
      <c r="BNZ151" s="13"/>
      <c r="BOA151" s="13"/>
      <c r="BOB151" s="13"/>
      <c r="BOC151" s="13"/>
      <c r="BOD151" s="13"/>
      <c r="BOE151" s="13"/>
      <c r="BOF151" s="13"/>
      <c r="BOG151" s="13"/>
      <c r="BOH151" s="13"/>
      <c r="BOI151" s="13"/>
      <c r="BOJ151" s="13"/>
      <c r="BOK151" s="13"/>
      <c r="BOL151" s="13"/>
      <c r="BOM151" s="13"/>
      <c r="BON151" s="13"/>
      <c r="BOO151" s="13"/>
      <c r="BOP151" s="13"/>
      <c r="BOQ151" s="13"/>
      <c r="BOR151" s="13"/>
      <c r="BOS151" s="13"/>
      <c r="BOT151" s="13"/>
      <c r="BOU151" s="13"/>
      <c r="BOV151" s="13"/>
      <c r="BOW151" s="13"/>
      <c r="BOX151" s="13"/>
      <c r="BOY151" s="13"/>
      <c r="BOZ151" s="13"/>
      <c r="BPA151" s="13"/>
      <c r="BPB151" s="13"/>
      <c r="BPC151" s="13"/>
      <c r="BPD151" s="13"/>
      <c r="BPE151" s="13"/>
      <c r="BPF151" s="13"/>
      <c r="BPG151" s="13"/>
      <c r="BPH151" s="13"/>
      <c r="BPI151" s="13"/>
      <c r="BPJ151" s="13"/>
      <c r="BPK151" s="13"/>
      <c r="BPL151" s="13"/>
      <c r="BPM151" s="13"/>
      <c r="BPN151" s="13"/>
      <c r="BPO151" s="13"/>
      <c r="BPP151" s="13"/>
      <c r="BPQ151" s="13"/>
      <c r="BPR151" s="13"/>
      <c r="BPS151" s="13"/>
      <c r="BPT151" s="13"/>
      <c r="BPU151" s="13"/>
      <c r="BPV151" s="13"/>
      <c r="BPW151" s="13"/>
      <c r="BPX151" s="13"/>
      <c r="BPY151" s="13"/>
      <c r="BPZ151" s="13"/>
      <c r="BQA151" s="13"/>
      <c r="BQB151" s="13"/>
      <c r="BQC151" s="13"/>
      <c r="BQD151" s="13"/>
      <c r="BQE151" s="13"/>
      <c r="BQF151" s="13"/>
      <c r="BQG151" s="13"/>
      <c r="BQH151" s="13"/>
      <c r="BQI151" s="13"/>
      <c r="BQJ151" s="13"/>
      <c r="BQK151" s="13"/>
      <c r="BQL151" s="13"/>
      <c r="BQM151" s="13"/>
      <c r="BQN151" s="13"/>
      <c r="BQO151" s="13"/>
      <c r="BQP151" s="13"/>
      <c r="BQQ151" s="13"/>
      <c r="BQR151" s="13"/>
      <c r="BQS151" s="13"/>
      <c r="BQT151" s="13"/>
      <c r="BQU151" s="13"/>
      <c r="BQV151" s="13"/>
      <c r="BQW151" s="13"/>
      <c r="BQX151" s="13"/>
      <c r="BQY151" s="13"/>
      <c r="BQZ151" s="13"/>
      <c r="BRA151" s="13"/>
      <c r="BRB151" s="13"/>
      <c r="BRC151" s="13"/>
      <c r="BRD151" s="13"/>
      <c r="BRE151" s="13"/>
      <c r="BRF151" s="13"/>
      <c r="BRG151" s="13"/>
      <c r="BRH151" s="13"/>
      <c r="BRI151" s="13"/>
      <c r="BRJ151" s="13"/>
      <c r="BRK151" s="13"/>
      <c r="BRL151" s="13"/>
      <c r="BRM151" s="13"/>
      <c r="BRN151" s="13"/>
      <c r="BRO151" s="13"/>
      <c r="BRP151" s="13"/>
      <c r="BRQ151" s="13"/>
      <c r="BRR151" s="13"/>
      <c r="BRS151" s="13"/>
      <c r="BRT151" s="13"/>
      <c r="BRU151" s="13"/>
      <c r="BRV151" s="13"/>
      <c r="BRW151" s="13"/>
      <c r="BRX151" s="13"/>
      <c r="BRY151" s="13"/>
      <c r="BRZ151" s="13"/>
      <c r="BSA151" s="13"/>
      <c r="BSB151" s="13"/>
      <c r="BSC151" s="13"/>
      <c r="BSD151" s="13"/>
      <c r="BSE151" s="13"/>
      <c r="BSF151" s="13"/>
      <c r="BSG151" s="13"/>
      <c r="BSH151" s="13"/>
      <c r="BSI151" s="13"/>
      <c r="BSJ151" s="13"/>
      <c r="BSK151" s="13"/>
      <c r="BSL151" s="13"/>
      <c r="BSM151" s="13"/>
      <c r="BSN151" s="13"/>
      <c r="BSO151" s="13"/>
      <c r="BSP151" s="13"/>
      <c r="BSQ151" s="13"/>
      <c r="BSR151" s="13"/>
      <c r="BSS151" s="13"/>
      <c r="BST151" s="13"/>
      <c r="BSU151" s="13"/>
      <c r="BSV151" s="13"/>
      <c r="BSW151" s="13"/>
      <c r="BSX151" s="13"/>
      <c r="BSY151" s="13"/>
      <c r="BSZ151" s="13"/>
      <c r="BTA151" s="13"/>
    </row>
    <row r="152" spans="1:1873" s="13" customFormat="1" x14ac:dyDescent="0.2">
      <c r="A152" s="231" t="s">
        <v>676</v>
      </c>
      <c r="B152" s="231" t="s">
        <v>618</v>
      </c>
      <c r="C152" s="231" t="s">
        <v>477</v>
      </c>
      <c r="D152" s="231" t="s">
        <v>633</v>
      </c>
      <c r="E152" s="232" t="s">
        <v>634</v>
      </c>
      <c r="F152" s="222">
        <v>1</v>
      </c>
      <c r="G152" s="233">
        <v>3</v>
      </c>
      <c r="H152" s="222">
        <v>4</v>
      </c>
      <c r="I152" s="231" t="s">
        <v>621</v>
      </c>
      <c r="J152" s="231">
        <v>1990</v>
      </c>
      <c r="K152" s="231" t="s">
        <v>1211</v>
      </c>
      <c r="L152" s="231">
        <v>1993</v>
      </c>
      <c r="M152" s="235">
        <v>67.3</v>
      </c>
      <c r="N152" s="235">
        <v>5.8</v>
      </c>
      <c r="O152" s="18"/>
      <c r="P152" s="236">
        <f>+M152</f>
        <v>67.3</v>
      </c>
      <c r="Q152" s="231">
        <v>-9999</v>
      </c>
      <c r="R152" s="235"/>
      <c r="S152" s="231"/>
      <c r="T152" s="236">
        <f>+P152/G152</f>
        <v>22.433333333333334</v>
      </c>
      <c r="U152" s="233">
        <v>-9999</v>
      </c>
      <c r="V152" s="233"/>
      <c r="W152" s="235">
        <v>-9999</v>
      </c>
      <c r="X152" s="233">
        <v>-9999</v>
      </c>
      <c r="Y152" s="233"/>
      <c r="Z152" s="231" t="s">
        <v>637</v>
      </c>
      <c r="AA152" s="383">
        <v>15152</v>
      </c>
      <c r="AB152" s="235">
        <v>0.9</v>
      </c>
      <c r="AC152" s="231">
        <v>2.1600000000000001E-2</v>
      </c>
      <c r="AD152" s="231">
        <v>36</v>
      </c>
      <c r="AE152" s="235" t="s">
        <v>1976</v>
      </c>
      <c r="AF152" s="231">
        <v>3</v>
      </c>
      <c r="AG152" s="231">
        <v>1</v>
      </c>
      <c r="AH152" s="231" t="s">
        <v>479</v>
      </c>
      <c r="AI152" s="231" t="s">
        <v>624</v>
      </c>
      <c r="AJ152" s="231">
        <v>-9999</v>
      </c>
      <c r="AK152" s="231" t="s">
        <v>625</v>
      </c>
      <c r="AL152" s="231" t="s">
        <v>642</v>
      </c>
      <c r="AM152" s="231">
        <v>-9999</v>
      </c>
      <c r="AN152" s="231" t="s">
        <v>480</v>
      </c>
      <c r="AO152" s="231" t="s">
        <v>627</v>
      </c>
      <c r="AP152" s="231" t="s">
        <v>677</v>
      </c>
      <c r="AQ152" s="231" t="s">
        <v>626</v>
      </c>
      <c r="AR152" s="231">
        <f>224*H152</f>
        <v>896</v>
      </c>
      <c r="AS152" s="231" t="s">
        <v>1101</v>
      </c>
      <c r="AT152" s="231" t="s">
        <v>745</v>
      </c>
      <c r="AU152" s="231">
        <v>224</v>
      </c>
      <c r="AV152" s="231" t="s">
        <v>218</v>
      </c>
      <c r="AW152" s="231" t="s">
        <v>746</v>
      </c>
      <c r="AX152" s="231">
        <v>224</v>
      </c>
      <c r="AY152" s="231" t="s">
        <v>219</v>
      </c>
      <c r="AZ152" s="231" t="s">
        <v>746</v>
      </c>
      <c r="BA152" s="231">
        <v>-9999</v>
      </c>
      <c r="BB152" s="231" t="s">
        <v>626</v>
      </c>
      <c r="BC152" s="231" t="s">
        <v>641</v>
      </c>
      <c r="BD152" s="231" t="s">
        <v>642</v>
      </c>
      <c r="BE152" s="231" t="s">
        <v>643</v>
      </c>
      <c r="BF152" s="231">
        <v>-9999</v>
      </c>
      <c r="BG152" s="231">
        <v>-9999</v>
      </c>
      <c r="BH152" s="231">
        <v>-9999</v>
      </c>
      <c r="BI152" s="231" t="s">
        <v>678</v>
      </c>
      <c r="BJ152" s="231">
        <v>-9999</v>
      </c>
      <c r="BK152" s="231">
        <v>-9999</v>
      </c>
      <c r="BL152" s="231">
        <v>-9999</v>
      </c>
      <c r="BM152" s="231">
        <v>-9999</v>
      </c>
      <c r="BN152" s="231">
        <v>-9999</v>
      </c>
      <c r="BO152" s="231">
        <v>-9999</v>
      </c>
      <c r="BP152" s="231">
        <v>-9999</v>
      </c>
      <c r="BQ152" s="231">
        <v>-9999</v>
      </c>
      <c r="BR152" s="233">
        <v>-9999</v>
      </c>
      <c r="BS152" s="233">
        <v>-9999</v>
      </c>
      <c r="BT152" s="233">
        <v>-9999</v>
      </c>
      <c r="BU152" s="233">
        <v>-9999</v>
      </c>
      <c r="BV152" s="233">
        <v>-9999</v>
      </c>
      <c r="BW152" s="233"/>
      <c r="BX152" s="233">
        <v>-9999</v>
      </c>
      <c r="BY152" s="231">
        <v>-9999</v>
      </c>
      <c r="BZ152" s="238">
        <v>-9999</v>
      </c>
      <c r="CA152" s="238" t="s">
        <v>478</v>
      </c>
      <c r="CB152" s="239"/>
      <c r="CC152" s="222">
        <v>1</v>
      </c>
      <c r="CD152" s="233">
        <v>3</v>
      </c>
      <c r="CE152" s="393">
        <v>22.433333333333334</v>
      </c>
      <c r="CF152" s="99">
        <v>-9999</v>
      </c>
      <c r="CG152" s="62">
        <v>4</v>
      </c>
      <c r="CH152" s="436"/>
    </row>
    <row r="153" spans="1:1873" s="13" customFormat="1" x14ac:dyDescent="0.2">
      <c r="A153" s="18"/>
      <c r="B153" s="18"/>
      <c r="C153" s="18"/>
      <c r="D153" s="18"/>
      <c r="E153" s="19"/>
      <c r="F153" s="75"/>
      <c r="G153" s="20"/>
      <c r="H153" s="75"/>
      <c r="I153" s="18"/>
      <c r="J153" s="18"/>
      <c r="K153" s="18"/>
      <c r="L153" s="18"/>
      <c r="M153" s="21"/>
      <c r="N153" s="21"/>
      <c r="O153" s="20"/>
      <c r="P153" s="21"/>
      <c r="Q153" s="18"/>
      <c r="R153" s="21"/>
      <c r="S153" s="18"/>
      <c r="T153" s="21"/>
      <c r="U153" s="21"/>
      <c r="V153" s="21"/>
      <c r="W153" s="21"/>
      <c r="X153" s="21"/>
      <c r="Y153" s="21"/>
      <c r="Z153" s="18"/>
      <c r="AA153" s="18"/>
      <c r="AB153" s="21"/>
      <c r="AC153" s="18"/>
      <c r="AD153" s="18"/>
      <c r="AE153" s="18"/>
      <c r="AF153" s="18"/>
      <c r="AG153" s="18"/>
      <c r="AH153" s="18"/>
      <c r="AI153" s="18"/>
      <c r="AJ153" s="18"/>
      <c r="AK153" s="18"/>
      <c r="AL153" s="65"/>
      <c r="AM153" s="65"/>
      <c r="AN153" s="18"/>
      <c r="AO153" s="18"/>
      <c r="AP153" s="18"/>
      <c r="AQ153" s="18"/>
      <c r="AR153" s="18"/>
      <c r="AS153" s="18"/>
      <c r="AT153" s="18"/>
      <c r="AU153" s="18"/>
      <c r="AV153" s="18"/>
      <c r="AW153" s="18"/>
      <c r="AX153" s="18"/>
      <c r="AY153" s="18"/>
      <c r="AZ153" s="18"/>
      <c r="BA153" s="18"/>
      <c r="BB153" s="18"/>
      <c r="BC153" s="18"/>
      <c r="BD153" s="18"/>
      <c r="BE153" s="18"/>
      <c r="BF153" s="18"/>
      <c r="BG153" s="18"/>
      <c r="BH153" s="18"/>
      <c r="BI153" s="18"/>
      <c r="BJ153" s="65"/>
      <c r="BK153" s="65"/>
      <c r="BL153" s="65"/>
      <c r="BM153" s="65"/>
      <c r="BN153" s="65"/>
      <c r="BO153" s="65"/>
      <c r="BP153" s="65"/>
      <c r="BQ153" s="65"/>
      <c r="BR153" s="68"/>
      <c r="BS153" s="30"/>
      <c r="BT153" s="68"/>
      <c r="BU153" s="68"/>
      <c r="BV153" s="68"/>
      <c r="BW153" s="68"/>
      <c r="BX153" s="68"/>
      <c r="BY153" s="65"/>
      <c r="BZ153" s="69"/>
      <c r="CA153" s="69"/>
      <c r="CC153" s="75"/>
      <c r="CD153" s="20"/>
      <c r="CE153" s="342" t="s">
        <v>1576</v>
      </c>
      <c r="CF153" s="342" t="s">
        <v>1575</v>
      </c>
      <c r="CG153" s="75"/>
    </row>
    <row r="154" spans="1:1873" s="23" customFormat="1" x14ac:dyDescent="0.2">
      <c r="A154" s="234" t="s">
        <v>679</v>
      </c>
      <c r="B154" s="234" t="s">
        <v>618</v>
      </c>
      <c r="C154" s="234" t="s">
        <v>481</v>
      </c>
      <c r="D154" s="234" t="s">
        <v>633</v>
      </c>
      <c r="E154" s="493" t="s">
        <v>1502</v>
      </c>
      <c r="F154" s="234">
        <v>1</v>
      </c>
      <c r="G154" s="234">
        <v>1</v>
      </c>
      <c r="H154" s="491">
        <v>1</v>
      </c>
      <c r="I154" s="234" t="s">
        <v>621</v>
      </c>
      <c r="J154" s="234">
        <v>1987</v>
      </c>
      <c r="K154" s="234" t="s">
        <v>961</v>
      </c>
      <c r="L154" s="234">
        <v>1988</v>
      </c>
      <c r="M154" s="389">
        <v>1.1000000000000001</v>
      </c>
      <c r="N154" s="389">
        <v>-9999</v>
      </c>
      <c r="O154" s="29"/>
      <c r="P154" s="237">
        <f>+M154</f>
        <v>1.1000000000000001</v>
      </c>
      <c r="Q154" s="234">
        <v>-9999</v>
      </c>
      <c r="R154" s="389"/>
      <c r="S154" s="234"/>
      <c r="T154" s="237">
        <f t="shared" ref="T154:T163" si="0">+P154/H154</f>
        <v>1.1000000000000001</v>
      </c>
      <c r="U154" s="234">
        <v>-9999</v>
      </c>
      <c r="V154" s="234"/>
      <c r="W154" s="389">
        <v>1.1000000000000001</v>
      </c>
      <c r="X154" s="234">
        <v>-9999</v>
      </c>
      <c r="Y154" s="234"/>
      <c r="Z154" s="234" t="s">
        <v>622</v>
      </c>
      <c r="AA154" s="515">
        <v>111111</v>
      </c>
      <c r="AB154" s="389">
        <v>1</v>
      </c>
      <c r="AC154" s="234">
        <v>8.6400000000000005E-2</v>
      </c>
      <c r="AD154" s="234">
        <v>36</v>
      </c>
      <c r="AE154" s="390" t="s">
        <v>1974</v>
      </c>
      <c r="AF154" s="234">
        <v>3</v>
      </c>
      <c r="AG154" s="234">
        <v>2</v>
      </c>
      <c r="AH154" s="234" t="s">
        <v>623</v>
      </c>
      <c r="AI154" s="234" t="s">
        <v>624</v>
      </c>
      <c r="AJ154" s="234">
        <v>-9999</v>
      </c>
      <c r="AK154" s="234" t="s">
        <v>626</v>
      </c>
      <c r="AL154" s="234" t="s">
        <v>653</v>
      </c>
      <c r="AM154" s="234">
        <v>-9999</v>
      </c>
      <c r="AN154" s="234" t="s">
        <v>491</v>
      </c>
      <c r="AO154" s="234" t="s">
        <v>490</v>
      </c>
      <c r="AP154" s="234" t="s">
        <v>489</v>
      </c>
      <c r="AQ154" s="234" t="s">
        <v>626</v>
      </c>
      <c r="AR154" s="234">
        <v>336</v>
      </c>
      <c r="AS154" s="234" t="s">
        <v>1101</v>
      </c>
      <c r="AT154" s="234" t="s">
        <v>747</v>
      </c>
      <c r="AU154" s="234">
        <v>112</v>
      </c>
      <c r="AV154" s="234" t="s">
        <v>218</v>
      </c>
      <c r="AW154" s="234" t="s">
        <v>748</v>
      </c>
      <c r="AX154" s="234">
        <v>224</v>
      </c>
      <c r="AY154" s="234" t="s">
        <v>219</v>
      </c>
      <c r="AZ154" s="234" t="s">
        <v>748</v>
      </c>
      <c r="BA154" s="234">
        <v>-9999</v>
      </c>
      <c r="BB154" s="234" t="s">
        <v>626</v>
      </c>
      <c r="BC154" s="516" t="s">
        <v>37</v>
      </c>
      <c r="BD154" s="234" t="s">
        <v>674</v>
      </c>
      <c r="BE154" s="234" t="s">
        <v>36</v>
      </c>
      <c r="BF154" s="234">
        <v>-9999</v>
      </c>
      <c r="BG154" s="234">
        <v>-9999</v>
      </c>
      <c r="BH154" s="234">
        <v>-9999</v>
      </c>
      <c r="BI154" s="234" t="s">
        <v>492</v>
      </c>
      <c r="BJ154" s="234">
        <v>-9999</v>
      </c>
      <c r="BK154" s="234">
        <v>-9999</v>
      </c>
      <c r="BL154" s="234">
        <v>-9999</v>
      </c>
      <c r="BM154" s="234">
        <v>-9999</v>
      </c>
      <c r="BN154" s="234">
        <v>-9999</v>
      </c>
      <c r="BO154" s="234">
        <v>-9999</v>
      </c>
      <c r="BP154" s="234">
        <v>-9999</v>
      </c>
      <c r="BQ154" s="234">
        <v>-9999</v>
      </c>
      <c r="BR154" s="234">
        <v>-9999</v>
      </c>
      <c r="BS154" s="491">
        <v>-9999</v>
      </c>
      <c r="BT154" s="234">
        <v>-9999</v>
      </c>
      <c r="BU154" s="234">
        <v>-9999</v>
      </c>
      <c r="BV154" s="234">
        <v>-9999</v>
      </c>
      <c r="BW154" s="234"/>
      <c r="BX154" s="234">
        <v>-9999</v>
      </c>
      <c r="BY154" s="234">
        <v>-9999</v>
      </c>
      <c r="BZ154" s="496">
        <v>-9999</v>
      </c>
      <c r="CA154" s="496">
        <v>-9999</v>
      </c>
      <c r="CB154" s="499"/>
      <c r="CC154" s="57">
        <v>1</v>
      </c>
      <c r="CD154" s="57">
        <v>1</v>
      </c>
      <c r="CE154" s="292">
        <v>1.1000000000000001</v>
      </c>
      <c r="CF154" s="292">
        <v>1.1000000000000001</v>
      </c>
      <c r="CG154" s="72">
        <v>1</v>
      </c>
      <c r="CO154" s="345" t="s">
        <v>1580</v>
      </c>
    </row>
    <row r="155" spans="1:1873" s="23" customFormat="1" x14ac:dyDescent="0.2">
      <c r="A155" s="234" t="s">
        <v>679</v>
      </c>
      <c r="B155" s="234" t="s">
        <v>618</v>
      </c>
      <c r="C155" s="234" t="s">
        <v>481</v>
      </c>
      <c r="D155" s="234" t="s">
        <v>633</v>
      </c>
      <c r="E155" s="493" t="s">
        <v>1502</v>
      </c>
      <c r="F155" s="234">
        <v>2</v>
      </c>
      <c r="G155" s="234">
        <v>1</v>
      </c>
      <c r="H155" s="491">
        <v>2</v>
      </c>
      <c r="I155" s="234" t="s">
        <v>621</v>
      </c>
      <c r="J155" s="234">
        <v>1987</v>
      </c>
      <c r="K155" s="234" t="s">
        <v>962</v>
      </c>
      <c r="L155" s="234">
        <v>1988</v>
      </c>
      <c r="M155" s="389">
        <v>8.31</v>
      </c>
      <c r="N155" s="389">
        <v>-9999</v>
      </c>
      <c r="O155" s="29"/>
      <c r="P155" s="237">
        <f t="shared" ref="P155:P163" si="1">+P154+M155</f>
        <v>9.41</v>
      </c>
      <c r="Q155" s="234">
        <v>-9999</v>
      </c>
      <c r="R155" s="389"/>
      <c r="S155" s="234"/>
      <c r="T155" s="237">
        <f t="shared" si="0"/>
        <v>4.7050000000000001</v>
      </c>
      <c r="U155" s="234">
        <v>-9999</v>
      </c>
      <c r="V155" s="234"/>
      <c r="W155" s="389">
        <v>8.31</v>
      </c>
      <c r="X155" s="234">
        <v>-9999</v>
      </c>
      <c r="Y155" s="234"/>
      <c r="Z155" s="234" t="s">
        <v>622</v>
      </c>
      <c r="AA155" s="515">
        <v>111111</v>
      </c>
      <c r="AB155" s="389">
        <v>0.93</v>
      </c>
      <c r="AC155" s="234">
        <v>8.6400000000000005E-2</v>
      </c>
      <c r="AD155" s="234">
        <v>36</v>
      </c>
      <c r="AE155" s="390" t="s">
        <v>1974</v>
      </c>
      <c r="AF155" s="234">
        <v>3</v>
      </c>
      <c r="AG155" s="234">
        <v>2</v>
      </c>
      <c r="AH155" s="234" t="s">
        <v>623</v>
      </c>
      <c r="AI155" s="234" t="s">
        <v>624</v>
      </c>
      <c r="AJ155" s="234">
        <v>-9999</v>
      </c>
      <c r="AK155" s="234" t="s">
        <v>626</v>
      </c>
      <c r="AL155" s="234" t="s">
        <v>653</v>
      </c>
      <c r="AM155" s="234">
        <v>-9999</v>
      </c>
      <c r="AN155" s="234" t="s">
        <v>491</v>
      </c>
      <c r="AO155" s="234" t="s">
        <v>627</v>
      </c>
      <c r="AP155" s="234" t="s">
        <v>489</v>
      </c>
      <c r="AQ155" s="234" t="s">
        <v>626</v>
      </c>
      <c r="AR155" s="234">
        <v>336</v>
      </c>
      <c r="AS155" s="234" t="s">
        <v>1101</v>
      </c>
      <c r="AT155" s="234" t="s">
        <v>747</v>
      </c>
      <c r="AU155" s="234">
        <v>112</v>
      </c>
      <c r="AV155" s="234" t="s">
        <v>218</v>
      </c>
      <c r="AW155" s="234" t="s">
        <v>748</v>
      </c>
      <c r="AX155" s="234">
        <v>224</v>
      </c>
      <c r="AY155" s="234" t="s">
        <v>219</v>
      </c>
      <c r="AZ155" s="234" t="s">
        <v>748</v>
      </c>
      <c r="BA155" s="234">
        <v>-9999</v>
      </c>
      <c r="BB155" s="234" t="s">
        <v>626</v>
      </c>
      <c r="BC155" s="516" t="s">
        <v>37</v>
      </c>
      <c r="BD155" s="234" t="s">
        <v>674</v>
      </c>
      <c r="BE155" s="234" t="s">
        <v>36</v>
      </c>
      <c r="BF155" s="234">
        <v>-9999</v>
      </c>
      <c r="BG155" s="234">
        <v>-9999</v>
      </c>
      <c r="BH155" s="234">
        <v>-9999</v>
      </c>
      <c r="BI155" s="234" t="s">
        <v>492</v>
      </c>
      <c r="BJ155" s="234">
        <v>-9999</v>
      </c>
      <c r="BK155" s="234">
        <v>-9999</v>
      </c>
      <c r="BL155" s="234">
        <v>-9999</v>
      </c>
      <c r="BM155" s="234">
        <v>-9999</v>
      </c>
      <c r="BN155" s="234">
        <v>-9999</v>
      </c>
      <c r="BO155" s="234">
        <v>-9999</v>
      </c>
      <c r="BP155" s="234">
        <v>-9999</v>
      </c>
      <c r="BQ155" s="234">
        <v>-9999</v>
      </c>
      <c r="BR155" s="234">
        <v>-9999</v>
      </c>
      <c r="BS155" s="491">
        <v>-9999</v>
      </c>
      <c r="BT155" s="234">
        <v>-9999</v>
      </c>
      <c r="BU155" s="234">
        <v>-9999</v>
      </c>
      <c r="BV155" s="234">
        <v>-9999</v>
      </c>
      <c r="BW155" s="234"/>
      <c r="BX155" s="234">
        <v>-9999</v>
      </c>
      <c r="BY155" s="234">
        <v>-9999</v>
      </c>
      <c r="BZ155" s="496">
        <v>-9999</v>
      </c>
      <c r="CA155" s="496">
        <v>-9999</v>
      </c>
      <c r="CB155" s="499"/>
      <c r="CC155" s="57">
        <v>2</v>
      </c>
      <c r="CD155" s="57">
        <v>1</v>
      </c>
      <c r="CE155" s="292">
        <v>4.7050000000000001</v>
      </c>
      <c r="CF155" s="292">
        <v>8.31</v>
      </c>
      <c r="CG155" s="72">
        <v>2</v>
      </c>
      <c r="CO155" s="345" t="s">
        <v>1581</v>
      </c>
    </row>
    <row r="156" spans="1:1873" s="23" customFormat="1" x14ac:dyDescent="0.2">
      <c r="A156" s="234" t="s">
        <v>679</v>
      </c>
      <c r="B156" s="234" t="s">
        <v>618</v>
      </c>
      <c r="C156" s="234" t="s">
        <v>481</v>
      </c>
      <c r="D156" s="234" t="s">
        <v>633</v>
      </c>
      <c r="E156" s="493" t="s">
        <v>1502</v>
      </c>
      <c r="F156" s="234">
        <v>3</v>
      </c>
      <c r="G156" s="234">
        <v>1</v>
      </c>
      <c r="H156" s="491">
        <v>3</v>
      </c>
      <c r="I156" s="234" t="s">
        <v>621</v>
      </c>
      <c r="J156" s="234">
        <v>1987</v>
      </c>
      <c r="K156" s="234" t="s">
        <v>962</v>
      </c>
      <c r="L156" s="234">
        <v>1989</v>
      </c>
      <c r="M156" s="389">
        <v>14.1</v>
      </c>
      <c r="N156" s="389">
        <v>-9999</v>
      </c>
      <c r="O156" s="29"/>
      <c r="P156" s="237">
        <f t="shared" si="1"/>
        <v>23.509999999999998</v>
      </c>
      <c r="Q156" s="234">
        <v>-9999</v>
      </c>
      <c r="R156" s="389"/>
      <c r="S156" s="234"/>
      <c r="T156" s="237">
        <f t="shared" si="0"/>
        <v>7.836666666666666</v>
      </c>
      <c r="U156" s="234">
        <v>-9999</v>
      </c>
      <c r="V156" s="234"/>
      <c r="W156" s="389">
        <v>14.1</v>
      </c>
      <c r="X156" s="234">
        <v>-9999</v>
      </c>
      <c r="Y156" s="234"/>
      <c r="Z156" s="234" t="s">
        <v>622</v>
      </c>
      <c r="AA156" s="515">
        <v>111111</v>
      </c>
      <c r="AB156" s="389">
        <v>0.83</v>
      </c>
      <c r="AC156" s="234">
        <v>8.6400000000000005E-2</v>
      </c>
      <c r="AD156" s="234">
        <v>36</v>
      </c>
      <c r="AE156" s="390" t="s">
        <v>1974</v>
      </c>
      <c r="AF156" s="234">
        <v>3</v>
      </c>
      <c r="AG156" s="234">
        <v>2</v>
      </c>
      <c r="AH156" s="234" t="s">
        <v>623</v>
      </c>
      <c r="AI156" s="234" t="s">
        <v>624</v>
      </c>
      <c r="AJ156" s="234">
        <v>-9999</v>
      </c>
      <c r="AK156" s="234" t="s">
        <v>626</v>
      </c>
      <c r="AL156" s="234" t="s">
        <v>653</v>
      </c>
      <c r="AM156" s="234">
        <v>-9999</v>
      </c>
      <c r="AN156" s="234" t="s">
        <v>491</v>
      </c>
      <c r="AO156" s="234" t="s">
        <v>627</v>
      </c>
      <c r="AP156" s="234" t="s">
        <v>489</v>
      </c>
      <c r="AQ156" s="234" t="s">
        <v>626</v>
      </c>
      <c r="AR156" s="234">
        <v>336</v>
      </c>
      <c r="AS156" s="234" t="s">
        <v>1101</v>
      </c>
      <c r="AT156" s="234" t="s">
        <v>747</v>
      </c>
      <c r="AU156" s="234">
        <v>112</v>
      </c>
      <c r="AV156" s="234" t="s">
        <v>218</v>
      </c>
      <c r="AW156" s="234" t="s">
        <v>748</v>
      </c>
      <c r="AX156" s="234">
        <v>224</v>
      </c>
      <c r="AY156" s="234" t="s">
        <v>219</v>
      </c>
      <c r="AZ156" s="234" t="s">
        <v>748</v>
      </c>
      <c r="BA156" s="234">
        <v>-9999</v>
      </c>
      <c r="BB156" s="234" t="s">
        <v>626</v>
      </c>
      <c r="BC156" s="516" t="s">
        <v>37</v>
      </c>
      <c r="BD156" s="234" t="s">
        <v>674</v>
      </c>
      <c r="BE156" s="234" t="s">
        <v>36</v>
      </c>
      <c r="BF156" s="234">
        <v>-9999</v>
      </c>
      <c r="BG156" s="234">
        <v>-9999</v>
      </c>
      <c r="BH156" s="234">
        <v>-9999</v>
      </c>
      <c r="BI156" s="234" t="s">
        <v>492</v>
      </c>
      <c r="BJ156" s="234">
        <v>-9999</v>
      </c>
      <c r="BK156" s="234">
        <v>-9999</v>
      </c>
      <c r="BL156" s="234">
        <v>-9999</v>
      </c>
      <c r="BM156" s="234">
        <v>-9999</v>
      </c>
      <c r="BN156" s="234">
        <v>-9999</v>
      </c>
      <c r="BO156" s="234">
        <v>-9999</v>
      </c>
      <c r="BP156" s="234">
        <v>-9999</v>
      </c>
      <c r="BQ156" s="234">
        <v>-9999</v>
      </c>
      <c r="BR156" s="234">
        <v>-9999</v>
      </c>
      <c r="BS156" s="491">
        <v>-9999</v>
      </c>
      <c r="BT156" s="234">
        <v>-9999</v>
      </c>
      <c r="BU156" s="234">
        <v>-9999</v>
      </c>
      <c r="BV156" s="234">
        <v>-9999</v>
      </c>
      <c r="BW156" s="234"/>
      <c r="BX156" s="234">
        <v>-9999</v>
      </c>
      <c r="BY156" s="234">
        <v>-9999</v>
      </c>
      <c r="BZ156" s="496">
        <v>-9999</v>
      </c>
      <c r="CA156" s="496">
        <v>-9999</v>
      </c>
      <c r="CB156" s="499"/>
      <c r="CC156" s="57">
        <v>3</v>
      </c>
      <c r="CD156" s="57">
        <v>1</v>
      </c>
      <c r="CE156" s="292">
        <v>7.836666666666666</v>
      </c>
      <c r="CF156" s="292">
        <v>14.1</v>
      </c>
      <c r="CG156" s="72">
        <v>3</v>
      </c>
    </row>
    <row r="157" spans="1:1873" s="23" customFormat="1" x14ac:dyDescent="0.2">
      <c r="A157" s="234" t="s">
        <v>679</v>
      </c>
      <c r="B157" s="234" t="s">
        <v>618</v>
      </c>
      <c r="C157" s="234" t="s">
        <v>481</v>
      </c>
      <c r="D157" s="234" t="s">
        <v>633</v>
      </c>
      <c r="E157" s="493" t="s">
        <v>1502</v>
      </c>
      <c r="F157" s="234">
        <v>4</v>
      </c>
      <c r="G157" s="234">
        <v>1</v>
      </c>
      <c r="H157" s="491">
        <v>4</v>
      </c>
      <c r="I157" s="234" t="s">
        <v>621</v>
      </c>
      <c r="J157" s="234">
        <v>1987</v>
      </c>
      <c r="K157" s="234" t="s">
        <v>962</v>
      </c>
      <c r="L157" s="234">
        <v>1990</v>
      </c>
      <c r="M157" s="389">
        <v>14.8</v>
      </c>
      <c r="N157" s="389">
        <v>-9999</v>
      </c>
      <c r="O157" s="29"/>
      <c r="P157" s="237">
        <f t="shared" si="1"/>
        <v>38.31</v>
      </c>
      <c r="Q157" s="234">
        <v>-9999</v>
      </c>
      <c r="R157" s="389"/>
      <c r="S157" s="234"/>
      <c r="T157" s="237">
        <f t="shared" si="0"/>
        <v>9.5775000000000006</v>
      </c>
      <c r="U157" s="234">
        <v>-9999</v>
      </c>
      <c r="V157" s="234"/>
      <c r="W157" s="389">
        <v>14.8</v>
      </c>
      <c r="X157" s="234">
        <v>-9999</v>
      </c>
      <c r="Y157" s="234"/>
      <c r="Z157" s="234" t="s">
        <v>622</v>
      </c>
      <c r="AA157" s="515">
        <v>111111</v>
      </c>
      <c r="AB157" s="389">
        <v>0.74</v>
      </c>
      <c r="AC157" s="234">
        <v>8.6400000000000005E-2</v>
      </c>
      <c r="AD157" s="234">
        <v>36</v>
      </c>
      <c r="AE157" s="390" t="s">
        <v>1974</v>
      </c>
      <c r="AF157" s="234">
        <v>3</v>
      </c>
      <c r="AG157" s="234">
        <v>2</v>
      </c>
      <c r="AH157" s="234" t="s">
        <v>623</v>
      </c>
      <c r="AI157" s="234" t="s">
        <v>624</v>
      </c>
      <c r="AJ157" s="234">
        <v>-9999</v>
      </c>
      <c r="AK157" s="234" t="s">
        <v>626</v>
      </c>
      <c r="AL157" s="234" t="s">
        <v>653</v>
      </c>
      <c r="AM157" s="234">
        <v>-9999</v>
      </c>
      <c r="AN157" s="234" t="s">
        <v>491</v>
      </c>
      <c r="AO157" s="234" t="s">
        <v>627</v>
      </c>
      <c r="AP157" s="234" t="s">
        <v>489</v>
      </c>
      <c r="AQ157" s="234" t="s">
        <v>626</v>
      </c>
      <c r="AR157" s="234">
        <v>336</v>
      </c>
      <c r="AS157" s="234" t="s">
        <v>1101</v>
      </c>
      <c r="AT157" s="234" t="s">
        <v>747</v>
      </c>
      <c r="AU157" s="234">
        <v>112</v>
      </c>
      <c r="AV157" s="234" t="s">
        <v>218</v>
      </c>
      <c r="AW157" s="234" t="s">
        <v>748</v>
      </c>
      <c r="AX157" s="234">
        <v>224</v>
      </c>
      <c r="AY157" s="234" t="s">
        <v>219</v>
      </c>
      <c r="AZ157" s="234" t="s">
        <v>748</v>
      </c>
      <c r="BA157" s="234">
        <v>-9999</v>
      </c>
      <c r="BB157" s="234" t="s">
        <v>626</v>
      </c>
      <c r="BC157" s="516" t="s">
        <v>37</v>
      </c>
      <c r="BD157" s="234" t="s">
        <v>674</v>
      </c>
      <c r="BE157" s="234" t="s">
        <v>36</v>
      </c>
      <c r="BF157" s="234">
        <v>-9999</v>
      </c>
      <c r="BG157" s="234">
        <v>-9999</v>
      </c>
      <c r="BH157" s="234">
        <v>-9999</v>
      </c>
      <c r="BI157" s="234" t="s">
        <v>492</v>
      </c>
      <c r="BJ157" s="234">
        <v>-9999</v>
      </c>
      <c r="BK157" s="234">
        <v>-9999</v>
      </c>
      <c r="BL157" s="234">
        <v>-9999</v>
      </c>
      <c r="BM157" s="234">
        <v>-9999</v>
      </c>
      <c r="BN157" s="234">
        <v>-9999</v>
      </c>
      <c r="BO157" s="234">
        <v>-9999</v>
      </c>
      <c r="BP157" s="234">
        <v>-9999</v>
      </c>
      <c r="BQ157" s="234">
        <v>-9999</v>
      </c>
      <c r="BR157" s="234">
        <v>-9999</v>
      </c>
      <c r="BS157" s="491">
        <v>-9999</v>
      </c>
      <c r="BT157" s="234">
        <v>-9999</v>
      </c>
      <c r="BU157" s="234">
        <v>-9999</v>
      </c>
      <c r="BV157" s="234">
        <v>-9999</v>
      </c>
      <c r="BW157" s="234"/>
      <c r="BX157" s="234">
        <v>-9999</v>
      </c>
      <c r="BY157" s="234">
        <v>-9999</v>
      </c>
      <c r="BZ157" s="496">
        <v>-9999</v>
      </c>
      <c r="CA157" s="496">
        <v>-9999</v>
      </c>
      <c r="CB157" s="499"/>
      <c r="CC157" s="57">
        <v>4</v>
      </c>
      <c r="CD157" s="57">
        <v>1</v>
      </c>
      <c r="CE157" s="292">
        <v>9.5775000000000006</v>
      </c>
      <c r="CF157" s="292">
        <v>14.8</v>
      </c>
      <c r="CG157" s="72">
        <v>4</v>
      </c>
    </row>
    <row r="158" spans="1:1873" s="23" customFormat="1" x14ac:dyDescent="0.2">
      <c r="A158" s="234" t="s">
        <v>679</v>
      </c>
      <c r="B158" s="234" t="s">
        <v>618</v>
      </c>
      <c r="C158" s="234" t="s">
        <v>481</v>
      </c>
      <c r="D158" s="234" t="s">
        <v>633</v>
      </c>
      <c r="E158" s="493" t="s">
        <v>1502</v>
      </c>
      <c r="F158" s="234">
        <v>5</v>
      </c>
      <c r="G158" s="234">
        <v>1</v>
      </c>
      <c r="H158" s="491">
        <v>5</v>
      </c>
      <c r="I158" s="234" t="s">
        <v>621</v>
      </c>
      <c r="J158" s="234">
        <v>1987</v>
      </c>
      <c r="K158" s="234" t="s">
        <v>962</v>
      </c>
      <c r="L158" s="234">
        <v>1991</v>
      </c>
      <c r="M158" s="389">
        <v>16.3</v>
      </c>
      <c r="N158" s="389">
        <v>-9999</v>
      </c>
      <c r="O158" s="29"/>
      <c r="P158" s="237">
        <f t="shared" si="1"/>
        <v>54.61</v>
      </c>
      <c r="Q158" s="234">
        <v>-9999</v>
      </c>
      <c r="R158" s="389"/>
      <c r="S158" s="234"/>
      <c r="T158" s="237">
        <f t="shared" si="0"/>
        <v>10.922000000000001</v>
      </c>
      <c r="U158" s="234">
        <v>-9999</v>
      </c>
      <c r="V158" s="234"/>
      <c r="W158" s="389">
        <v>16.3</v>
      </c>
      <c r="X158" s="234">
        <v>-9999</v>
      </c>
      <c r="Y158" s="234"/>
      <c r="Z158" s="234" t="s">
        <v>622</v>
      </c>
      <c r="AA158" s="515">
        <v>111111</v>
      </c>
      <c r="AB158" s="389">
        <v>0.57999999999999996</v>
      </c>
      <c r="AC158" s="234">
        <v>8.6400000000000005E-2</v>
      </c>
      <c r="AD158" s="234">
        <v>36</v>
      </c>
      <c r="AE158" s="390" t="s">
        <v>1974</v>
      </c>
      <c r="AF158" s="234">
        <v>3</v>
      </c>
      <c r="AG158" s="234">
        <v>2</v>
      </c>
      <c r="AH158" s="234" t="s">
        <v>623</v>
      </c>
      <c r="AI158" s="234" t="s">
        <v>624</v>
      </c>
      <c r="AJ158" s="234">
        <v>-9999</v>
      </c>
      <c r="AK158" s="234" t="s">
        <v>626</v>
      </c>
      <c r="AL158" s="234" t="s">
        <v>653</v>
      </c>
      <c r="AM158" s="234">
        <v>-9999</v>
      </c>
      <c r="AN158" s="234" t="s">
        <v>491</v>
      </c>
      <c r="AO158" s="234" t="s">
        <v>627</v>
      </c>
      <c r="AP158" s="234" t="s">
        <v>489</v>
      </c>
      <c r="AQ158" s="234" t="s">
        <v>626</v>
      </c>
      <c r="AR158" s="234">
        <v>336</v>
      </c>
      <c r="AS158" s="234" t="s">
        <v>1101</v>
      </c>
      <c r="AT158" s="234" t="s">
        <v>747</v>
      </c>
      <c r="AU158" s="234">
        <v>112</v>
      </c>
      <c r="AV158" s="234" t="s">
        <v>218</v>
      </c>
      <c r="AW158" s="234" t="s">
        <v>748</v>
      </c>
      <c r="AX158" s="234">
        <v>224</v>
      </c>
      <c r="AY158" s="234" t="s">
        <v>219</v>
      </c>
      <c r="AZ158" s="234" t="s">
        <v>748</v>
      </c>
      <c r="BA158" s="234">
        <v>-9999</v>
      </c>
      <c r="BB158" s="234" t="s">
        <v>626</v>
      </c>
      <c r="BC158" s="516" t="s">
        <v>37</v>
      </c>
      <c r="BD158" s="234" t="s">
        <v>674</v>
      </c>
      <c r="BE158" s="234" t="s">
        <v>36</v>
      </c>
      <c r="BF158" s="234">
        <v>-9999</v>
      </c>
      <c r="BG158" s="234">
        <v>-9999</v>
      </c>
      <c r="BH158" s="234">
        <v>-9999</v>
      </c>
      <c r="BI158" s="234" t="s">
        <v>492</v>
      </c>
      <c r="BJ158" s="234">
        <v>-9999</v>
      </c>
      <c r="BK158" s="234">
        <v>-9999</v>
      </c>
      <c r="BL158" s="234">
        <v>-9999</v>
      </c>
      <c r="BM158" s="234">
        <v>-9999</v>
      </c>
      <c r="BN158" s="234">
        <v>-9999</v>
      </c>
      <c r="BO158" s="234">
        <v>-9999</v>
      </c>
      <c r="BP158" s="234">
        <v>-9999</v>
      </c>
      <c r="BQ158" s="234">
        <v>-9999</v>
      </c>
      <c r="BR158" s="234">
        <v>-9999</v>
      </c>
      <c r="BS158" s="491">
        <v>-9999</v>
      </c>
      <c r="BT158" s="234">
        <v>-9999</v>
      </c>
      <c r="BU158" s="234">
        <v>-9999</v>
      </c>
      <c r="BV158" s="234">
        <v>-9999</v>
      </c>
      <c r="BW158" s="234"/>
      <c r="BX158" s="234">
        <v>-9999</v>
      </c>
      <c r="BY158" s="234">
        <v>-9999</v>
      </c>
      <c r="BZ158" s="496">
        <v>-9999</v>
      </c>
      <c r="CA158" s="496">
        <v>-9999</v>
      </c>
      <c r="CB158" s="499"/>
      <c r="CC158" s="57">
        <v>5</v>
      </c>
      <c r="CD158" s="57">
        <v>1</v>
      </c>
      <c r="CE158" s="292">
        <v>10.922000000000001</v>
      </c>
      <c r="CF158" s="292">
        <v>16.3</v>
      </c>
      <c r="CG158" s="72">
        <v>5</v>
      </c>
    </row>
    <row r="159" spans="1:1873" s="23" customFormat="1" x14ac:dyDescent="0.2">
      <c r="A159" s="234" t="s">
        <v>679</v>
      </c>
      <c r="B159" s="234" t="s">
        <v>618</v>
      </c>
      <c r="C159" s="234" t="s">
        <v>481</v>
      </c>
      <c r="D159" s="234" t="s">
        <v>633</v>
      </c>
      <c r="E159" s="493" t="s">
        <v>1502</v>
      </c>
      <c r="F159" s="234">
        <v>6</v>
      </c>
      <c r="G159" s="234">
        <v>1</v>
      </c>
      <c r="H159" s="491">
        <v>6</v>
      </c>
      <c r="I159" s="234" t="s">
        <v>621</v>
      </c>
      <c r="J159" s="234">
        <v>1987</v>
      </c>
      <c r="K159" s="234" t="s">
        <v>962</v>
      </c>
      <c r="L159" s="234">
        <v>1992</v>
      </c>
      <c r="M159" s="389">
        <v>9.32</v>
      </c>
      <c r="N159" s="389">
        <v>-9999</v>
      </c>
      <c r="O159" s="29"/>
      <c r="P159" s="237">
        <f t="shared" si="1"/>
        <v>63.93</v>
      </c>
      <c r="Q159" s="234">
        <v>-9999</v>
      </c>
      <c r="R159" s="389"/>
      <c r="S159" s="234"/>
      <c r="T159" s="237">
        <f t="shared" si="0"/>
        <v>10.654999999999999</v>
      </c>
      <c r="U159" s="234">
        <v>-9999</v>
      </c>
      <c r="V159" s="234"/>
      <c r="W159" s="389">
        <v>9.32</v>
      </c>
      <c r="X159" s="234">
        <v>-9999</v>
      </c>
      <c r="Y159" s="234"/>
      <c r="Z159" s="234" t="s">
        <v>622</v>
      </c>
      <c r="AA159" s="515">
        <v>111111</v>
      </c>
      <c r="AB159" s="389">
        <v>0.43</v>
      </c>
      <c r="AC159" s="234">
        <v>8.6400000000000005E-2</v>
      </c>
      <c r="AD159" s="234">
        <v>36</v>
      </c>
      <c r="AE159" s="390" t="s">
        <v>1974</v>
      </c>
      <c r="AF159" s="234">
        <v>3</v>
      </c>
      <c r="AG159" s="234">
        <v>2</v>
      </c>
      <c r="AH159" s="234" t="s">
        <v>623</v>
      </c>
      <c r="AI159" s="234" t="s">
        <v>624</v>
      </c>
      <c r="AJ159" s="234">
        <v>-9999</v>
      </c>
      <c r="AK159" s="234" t="s">
        <v>626</v>
      </c>
      <c r="AL159" s="234" t="s">
        <v>653</v>
      </c>
      <c r="AM159" s="234">
        <v>-9999</v>
      </c>
      <c r="AN159" s="234" t="s">
        <v>491</v>
      </c>
      <c r="AO159" s="234" t="s">
        <v>627</v>
      </c>
      <c r="AP159" s="234" t="s">
        <v>489</v>
      </c>
      <c r="AQ159" s="234" t="s">
        <v>626</v>
      </c>
      <c r="AR159" s="234">
        <v>336</v>
      </c>
      <c r="AS159" s="234" t="s">
        <v>1101</v>
      </c>
      <c r="AT159" s="234" t="s">
        <v>747</v>
      </c>
      <c r="AU159" s="234">
        <v>112</v>
      </c>
      <c r="AV159" s="234" t="s">
        <v>218</v>
      </c>
      <c r="AW159" s="234" t="s">
        <v>748</v>
      </c>
      <c r="AX159" s="234">
        <v>224</v>
      </c>
      <c r="AY159" s="234" t="s">
        <v>219</v>
      </c>
      <c r="AZ159" s="234" t="s">
        <v>748</v>
      </c>
      <c r="BA159" s="234">
        <v>-9999</v>
      </c>
      <c r="BB159" s="234" t="s">
        <v>626</v>
      </c>
      <c r="BC159" s="516" t="s">
        <v>37</v>
      </c>
      <c r="BD159" s="234" t="s">
        <v>674</v>
      </c>
      <c r="BE159" s="234" t="s">
        <v>36</v>
      </c>
      <c r="BF159" s="234">
        <v>-9999</v>
      </c>
      <c r="BG159" s="234">
        <v>-9999</v>
      </c>
      <c r="BH159" s="234">
        <v>-9999</v>
      </c>
      <c r="BI159" s="234" t="s">
        <v>492</v>
      </c>
      <c r="BJ159" s="234">
        <v>-9999</v>
      </c>
      <c r="BK159" s="234">
        <v>-9999</v>
      </c>
      <c r="BL159" s="234">
        <v>-9999</v>
      </c>
      <c r="BM159" s="234">
        <v>-9999</v>
      </c>
      <c r="BN159" s="234">
        <v>-9999</v>
      </c>
      <c r="BO159" s="234">
        <v>-9999</v>
      </c>
      <c r="BP159" s="234">
        <v>-9999</v>
      </c>
      <c r="BQ159" s="234">
        <v>-9999</v>
      </c>
      <c r="BR159" s="234">
        <v>-9999</v>
      </c>
      <c r="BS159" s="491">
        <v>-9999</v>
      </c>
      <c r="BT159" s="234">
        <v>-9999</v>
      </c>
      <c r="BU159" s="234">
        <v>-9999</v>
      </c>
      <c r="BV159" s="234">
        <v>-9999</v>
      </c>
      <c r="BW159" s="234"/>
      <c r="BX159" s="234">
        <v>-9999</v>
      </c>
      <c r="BY159" s="234">
        <v>-9999</v>
      </c>
      <c r="BZ159" s="496">
        <v>-9999</v>
      </c>
      <c r="CA159" s="496">
        <v>-9999</v>
      </c>
      <c r="CB159" s="499"/>
      <c r="CC159" s="57">
        <v>6</v>
      </c>
      <c r="CD159" s="57">
        <v>1</v>
      </c>
      <c r="CE159" s="292">
        <v>10.654999999999999</v>
      </c>
      <c r="CF159" s="292">
        <v>9.32</v>
      </c>
      <c r="CG159" s="72">
        <v>6</v>
      </c>
    </row>
    <row r="160" spans="1:1873" s="23" customFormat="1" x14ac:dyDescent="0.2">
      <c r="A160" s="234" t="s">
        <v>679</v>
      </c>
      <c r="B160" s="234" t="s">
        <v>618</v>
      </c>
      <c r="C160" s="234" t="s">
        <v>481</v>
      </c>
      <c r="D160" s="234" t="s">
        <v>633</v>
      </c>
      <c r="E160" s="493" t="s">
        <v>1502</v>
      </c>
      <c r="F160" s="234">
        <v>7</v>
      </c>
      <c r="G160" s="234">
        <v>1</v>
      </c>
      <c r="H160" s="491">
        <v>7</v>
      </c>
      <c r="I160" s="234" t="s">
        <v>621</v>
      </c>
      <c r="J160" s="234">
        <v>1987</v>
      </c>
      <c r="K160" s="234" t="s">
        <v>962</v>
      </c>
      <c r="L160" s="234">
        <v>1993</v>
      </c>
      <c r="M160" s="389">
        <v>11.7</v>
      </c>
      <c r="N160" s="389">
        <v>-9999</v>
      </c>
      <c r="O160" s="29"/>
      <c r="P160" s="237">
        <f t="shared" si="1"/>
        <v>75.63</v>
      </c>
      <c r="Q160" s="234">
        <v>-9999</v>
      </c>
      <c r="R160" s="389"/>
      <c r="S160" s="234"/>
      <c r="T160" s="237">
        <f t="shared" si="0"/>
        <v>10.804285714285713</v>
      </c>
      <c r="U160" s="234">
        <v>-9999</v>
      </c>
      <c r="V160" s="234"/>
      <c r="W160" s="389">
        <v>11.7</v>
      </c>
      <c r="X160" s="234">
        <v>-9999</v>
      </c>
      <c r="Y160" s="234"/>
      <c r="Z160" s="234" t="s">
        <v>622</v>
      </c>
      <c r="AA160" s="515">
        <v>111111</v>
      </c>
      <c r="AB160" s="389">
        <v>0.43</v>
      </c>
      <c r="AC160" s="234">
        <v>8.6400000000000005E-2</v>
      </c>
      <c r="AD160" s="234">
        <v>36</v>
      </c>
      <c r="AE160" s="390" t="s">
        <v>1974</v>
      </c>
      <c r="AF160" s="234">
        <v>3</v>
      </c>
      <c r="AG160" s="234">
        <v>2</v>
      </c>
      <c r="AH160" s="234" t="s">
        <v>623</v>
      </c>
      <c r="AI160" s="234" t="s">
        <v>624</v>
      </c>
      <c r="AJ160" s="234">
        <v>-9999</v>
      </c>
      <c r="AK160" s="234" t="s">
        <v>626</v>
      </c>
      <c r="AL160" s="234" t="s">
        <v>653</v>
      </c>
      <c r="AM160" s="234">
        <v>-9999</v>
      </c>
      <c r="AN160" s="234" t="s">
        <v>491</v>
      </c>
      <c r="AO160" s="234" t="s">
        <v>627</v>
      </c>
      <c r="AP160" s="234" t="s">
        <v>489</v>
      </c>
      <c r="AQ160" s="234" t="s">
        <v>626</v>
      </c>
      <c r="AR160" s="234">
        <v>336</v>
      </c>
      <c r="AS160" s="234" t="s">
        <v>1101</v>
      </c>
      <c r="AT160" s="234" t="s">
        <v>747</v>
      </c>
      <c r="AU160" s="234">
        <v>112</v>
      </c>
      <c r="AV160" s="234" t="s">
        <v>218</v>
      </c>
      <c r="AW160" s="234" t="s">
        <v>748</v>
      </c>
      <c r="AX160" s="234">
        <v>224</v>
      </c>
      <c r="AY160" s="234" t="s">
        <v>219</v>
      </c>
      <c r="AZ160" s="234" t="s">
        <v>748</v>
      </c>
      <c r="BA160" s="234">
        <v>-9999</v>
      </c>
      <c r="BB160" s="234" t="s">
        <v>626</v>
      </c>
      <c r="BC160" s="516" t="s">
        <v>37</v>
      </c>
      <c r="BD160" s="234" t="s">
        <v>674</v>
      </c>
      <c r="BE160" s="234" t="s">
        <v>36</v>
      </c>
      <c r="BF160" s="234">
        <v>-9999</v>
      </c>
      <c r="BG160" s="234">
        <v>-9999</v>
      </c>
      <c r="BH160" s="234">
        <v>-9999</v>
      </c>
      <c r="BI160" s="234" t="s">
        <v>492</v>
      </c>
      <c r="BJ160" s="234">
        <v>-9999</v>
      </c>
      <c r="BK160" s="234">
        <v>-9999</v>
      </c>
      <c r="BL160" s="234">
        <v>-9999</v>
      </c>
      <c r="BM160" s="234">
        <v>-9999</v>
      </c>
      <c r="BN160" s="234">
        <v>-9999</v>
      </c>
      <c r="BO160" s="234">
        <v>-9999</v>
      </c>
      <c r="BP160" s="234">
        <v>-9999</v>
      </c>
      <c r="BQ160" s="234">
        <v>-9999</v>
      </c>
      <c r="BR160" s="234">
        <v>-9999</v>
      </c>
      <c r="BS160" s="491">
        <v>-9999</v>
      </c>
      <c r="BT160" s="234">
        <v>-9999</v>
      </c>
      <c r="BU160" s="234">
        <v>-9999</v>
      </c>
      <c r="BV160" s="234">
        <v>-9999</v>
      </c>
      <c r="BW160" s="234"/>
      <c r="BX160" s="234">
        <v>-9999</v>
      </c>
      <c r="BY160" s="234">
        <v>-9999</v>
      </c>
      <c r="BZ160" s="496">
        <v>-9999</v>
      </c>
      <c r="CA160" s="496">
        <v>-9999</v>
      </c>
      <c r="CB160" s="499"/>
      <c r="CC160" s="57">
        <v>7</v>
      </c>
      <c r="CD160" s="57">
        <v>1</v>
      </c>
      <c r="CE160" s="292">
        <v>10.804285714285713</v>
      </c>
      <c r="CF160" s="292">
        <v>11.7</v>
      </c>
      <c r="CG160" s="72">
        <v>7</v>
      </c>
    </row>
    <row r="161" spans="1:1873" s="23" customFormat="1" x14ac:dyDescent="0.2">
      <c r="A161" s="234" t="s">
        <v>679</v>
      </c>
      <c r="B161" s="234" t="s">
        <v>618</v>
      </c>
      <c r="C161" s="234" t="s">
        <v>481</v>
      </c>
      <c r="D161" s="234" t="s">
        <v>633</v>
      </c>
      <c r="E161" s="493" t="s">
        <v>1502</v>
      </c>
      <c r="F161" s="234">
        <v>8</v>
      </c>
      <c r="G161" s="234">
        <v>1</v>
      </c>
      <c r="H161" s="491">
        <v>8</v>
      </c>
      <c r="I161" s="234" t="s">
        <v>621</v>
      </c>
      <c r="J161" s="234">
        <v>1987</v>
      </c>
      <c r="K161" s="234" t="s">
        <v>962</v>
      </c>
      <c r="L161" s="234">
        <v>1994</v>
      </c>
      <c r="M161" s="389">
        <v>13.3</v>
      </c>
      <c r="N161" s="389">
        <v>-9999</v>
      </c>
      <c r="O161" s="29"/>
      <c r="P161" s="237">
        <f t="shared" si="1"/>
        <v>88.929999999999993</v>
      </c>
      <c r="Q161" s="234">
        <v>-9999</v>
      </c>
      <c r="R161" s="389"/>
      <c r="S161" s="234"/>
      <c r="T161" s="237">
        <f t="shared" si="0"/>
        <v>11.116249999999999</v>
      </c>
      <c r="U161" s="234">
        <v>-9999</v>
      </c>
      <c r="V161" s="234"/>
      <c r="W161" s="389">
        <v>13.3</v>
      </c>
      <c r="X161" s="234">
        <v>-9999</v>
      </c>
      <c r="Y161" s="234"/>
      <c r="Z161" s="234" t="s">
        <v>622</v>
      </c>
      <c r="AA161" s="515">
        <v>111111</v>
      </c>
      <c r="AB161" s="389">
        <v>0.33</v>
      </c>
      <c r="AC161" s="234">
        <v>8.6400000000000005E-2</v>
      </c>
      <c r="AD161" s="234">
        <v>36</v>
      </c>
      <c r="AE161" s="390" t="s">
        <v>1974</v>
      </c>
      <c r="AF161" s="234">
        <v>3</v>
      </c>
      <c r="AG161" s="234">
        <v>2</v>
      </c>
      <c r="AH161" s="234" t="s">
        <v>623</v>
      </c>
      <c r="AI161" s="234" t="s">
        <v>624</v>
      </c>
      <c r="AJ161" s="234">
        <v>-9999</v>
      </c>
      <c r="AK161" s="234" t="s">
        <v>626</v>
      </c>
      <c r="AL161" s="234" t="s">
        <v>653</v>
      </c>
      <c r="AM161" s="234">
        <v>-9999</v>
      </c>
      <c r="AN161" s="234" t="s">
        <v>491</v>
      </c>
      <c r="AO161" s="234" t="s">
        <v>627</v>
      </c>
      <c r="AP161" s="234" t="s">
        <v>489</v>
      </c>
      <c r="AQ161" s="234" t="s">
        <v>626</v>
      </c>
      <c r="AR161" s="234">
        <v>336</v>
      </c>
      <c r="AS161" s="234" t="s">
        <v>1101</v>
      </c>
      <c r="AT161" s="234" t="s">
        <v>747</v>
      </c>
      <c r="AU161" s="234">
        <v>112</v>
      </c>
      <c r="AV161" s="234" t="s">
        <v>218</v>
      </c>
      <c r="AW161" s="234" t="s">
        <v>748</v>
      </c>
      <c r="AX161" s="234">
        <v>224</v>
      </c>
      <c r="AY161" s="234" t="s">
        <v>219</v>
      </c>
      <c r="AZ161" s="234" t="s">
        <v>748</v>
      </c>
      <c r="BA161" s="234">
        <v>-9999</v>
      </c>
      <c r="BB161" s="234" t="s">
        <v>626</v>
      </c>
      <c r="BC161" s="516" t="s">
        <v>37</v>
      </c>
      <c r="BD161" s="234" t="s">
        <v>674</v>
      </c>
      <c r="BE161" s="234" t="s">
        <v>36</v>
      </c>
      <c r="BF161" s="234">
        <v>-9999</v>
      </c>
      <c r="BG161" s="234">
        <v>-9999</v>
      </c>
      <c r="BH161" s="234">
        <v>-9999</v>
      </c>
      <c r="BI161" s="234" t="s">
        <v>492</v>
      </c>
      <c r="BJ161" s="234">
        <v>-9999</v>
      </c>
      <c r="BK161" s="234">
        <v>-9999</v>
      </c>
      <c r="BL161" s="234">
        <v>-9999</v>
      </c>
      <c r="BM161" s="234">
        <v>-9999</v>
      </c>
      <c r="BN161" s="234">
        <v>-9999</v>
      </c>
      <c r="BO161" s="234">
        <v>-9999</v>
      </c>
      <c r="BP161" s="234">
        <v>-9999</v>
      </c>
      <c r="BQ161" s="234">
        <v>-9999</v>
      </c>
      <c r="BR161" s="234">
        <v>-9999</v>
      </c>
      <c r="BS161" s="491">
        <v>-9999</v>
      </c>
      <c r="BT161" s="234">
        <v>-9999</v>
      </c>
      <c r="BU161" s="234">
        <v>-9999</v>
      </c>
      <c r="BV161" s="234">
        <v>-9999</v>
      </c>
      <c r="BW161" s="234"/>
      <c r="BX161" s="234">
        <v>-9999</v>
      </c>
      <c r="BY161" s="234">
        <v>-9999</v>
      </c>
      <c r="BZ161" s="496">
        <v>-9999</v>
      </c>
      <c r="CA161" s="496">
        <v>-9999</v>
      </c>
      <c r="CB161" s="499"/>
      <c r="CC161" s="57">
        <v>8</v>
      </c>
      <c r="CD161" s="57">
        <v>1</v>
      </c>
      <c r="CE161" s="292">
        <v>11.116249999999999</v>
      </c>
      <c r="CF161" s="292">
        <v>13.3</v>
      </c>
      <c r="CG161" s="72">
        <v>8</v>
      </c>
    </row>
    <row r="162" spans="1:1873" s="178" customFormat="1" x14ac:dyDescent="0.2">
      <c r="A162" s="231" t="s">
        <v>679</v>
      </c>
      <c r="B162" s="231" t="s">
        <v>618</v>
      </c>
      <c r="C162" s="231" t="s">
        <v>481</v>
      </c>
      <c r="D162" s="231" t="s">
        <v>633</v>
      </c>
      <c r="E162" s="232" t="s">
        <v>1502</v>
      </c>
      <c r="F162" s="231">
        <v>9</v>
      </c>
      <c r="G162" s="231">
        <v>1</v>
      </c>
      <c r="H162" s="233">
        <v>9</v>
      </c>
      <c r="I162" s="231" t="s">
        <v>621</v>
      </c>
      <c r="J162" s="231">
        <v>1987</v>
      </c>
      <c r="K162" s="234" t="s">
        <v>962</v>
      </c>
      <c r="L162" s="231">
        <v>1995</v>
      </c>
      <c r="M162" s="235">
        <v>15.9</v>
      </c>
      <c r="N162" s="235">
        <v>-9999</v>
      </c>
      <c r="O162" s="18"/>
      <c r="P162" s="236">
        <f t="shared" si="1"/>
        <v>104.83</v>
      </c>
      <c r="Q162" s="231">
        <v>-9999</v>
      </c>
      <c r="R162" s="235"/>
      <c r="S162" s="231"/>
      <c r="T162" s="236">
        <f t="shared" si="0"/>
        <v>11.647777777777778</v>
      </c>
      <c r="U162" s="231">
        <v>-9999</v>
      </c>
      <c r="V162" s="231"/>
      <c r="W162" s="235">
        <v>15.9</v>
      </c>
      <c r="X162" s="231">
        <v>-9999</v>
      </c>
      <c r="Y162" s="231"/>
      <c r="Z162" s="231" t="s">
        <v>622</v>
      </c>
      <c r="AA162" s="383">
        <v>111111</v>
      </c>
      <c r="AB162" s="517">
        <v>0.33</v>
      </c>
      <c r="AC162" s="231">
        <v>8.6400000000000005E-2</v>
      </c>
      <c r="AD162" s="231">
        <v>36</v>
      </c>
      <c r="AE162" s="390" t="s">
        <v>1974</v>
      </c>
      <c r="AF162" s="231">
        <v>3</v>
      </c>
      <c r="AG162" s="231">
        <v>2</v>
      </c>
      <c r="AH162" s="231" t="s">
        <v>623</v>
      </c>
      <c r="AI162" s="231" t="s">
        <v>624</v>
      </c>
      <c r="AJ162" s="231">
        <v>-9999</v>
      </c>
      <c r="AK162" s="231" t="s">
        <v>626</v>
      </c>
      <c r="AL162" s="231" t="s">
        <v>653</v>
      </c>
      <c r="AM162" s="231">
        <v>-9999</v>
      </c>
      <c r="AN162" s="231" t="s">
        <v>491</v>
      </c>
      <c r="AO162" s="231" t="s">
        <v>627</v>
      </c>
      <c r="AP162" s="231" t="s">
        <v>489</v>
      </c>
      <c r="AQ162" s="231" t="s">
        <v>626</v>
      </c>
      <c r="AR162" s="231">
        <v>336</v>
      </c>
      <c r="AS162" s="231" t="s">
        <v>1101</v>
      </c>
      <c r="AT162" s="231" t="s">
        <v>747</v>
      </c>
      <c r="AU162" s="231">
        <v>112</v>
      </c>
      <c r="AV162" s="231" t="s">
        <v>218</v>
      </c>
      <c r="AW162" s="231" t="s">
        <v>748</v>
      </c>
      <c r="AX162" s="231">
        <v>224</v>
      </c>
      <c r="AY162" s="231" t="s">
        <v>219</v>
      </c>
      <c r="AZ162" s="231" t="s">
        <v>748</v>
      </c>
      <c r="BA162" s="231">
        <v>-9999</v>
      </c>
      <c r="BB162" s="231" t="s">
        <v>626</v>
      </c>
      <c r="BC162" s="518" t="s">
        <v>37</v>
      </c>
      <c r="BD162" s="231" t="s">
        <v>674</v>
      </c>
      <c r="BE162" s="231" t="s">
        <v>36</v>
      </c>
      <c r="BF162" s="231">
        <v>-9999</v>
      </c>
      <c r="BG162" s="231">
        <v>-9999</v>
      </c>
      <c r="BH162" s="231">
        <v>-9999</v>
      </c>
      <c r="BI162" s="231" t="s">
        <v>492</v>
      </c>
      <c r="BJ162" s="231">
        <v>-9999</v>
      </c>
      <c r="BK162" s="231">
        <v>-9999</v>
      </c>
      <c r="BL162" s="231">
        <v>-9999</v>
      </c>
      <c r="BM162" s="231">
        <v>-9999</v>
      </c>
      <c r="BN162" s="231">
        <v>-9999</v>
      </c>
      <c r="BO162" s="231">
        <v>-9999</v>
      </c>
      <c r="BP162" s="231">
        <v>-9999</v>
      </c>
      <c r="BQ162" s="231">
        <v>-9999</v>
      </c>
      <c r="BR162" s="231">
        <v>-9999</v>
      </c>
      <c r="BS162" s="491">
        <v>-9999</v>
      </c>
      <c r="BT162" s="231">
        <v>-9999</v>
      </c>
      <c r="BU162" s="231">
        <v>-9999</v>
      </c>
      <c r="BV162" s="231">
        <v>-9999</v>
      </c>
      <c r="BW162" s="231"/>
      <c r="BX162" s="231">
        <v>-9999</v>
      </c>
      <c r="BY162" s="231">
        <v>-9999</v>
      </c>
      <c r="BZ162" s="238">
        <v>-9999</v>
      </c>
      <c r="CA162" s="238">
        <v>-9999</v>
      </c>
      <c r="CB162" s="239"/>
      <c r="CC162" s="174">
        <v>9</v>
      </c>
      <c r="CD162" s="174">
        <v>1</v>
      </c>
      <c r="CE162" s="395">
        <v>11.647777777777778</v>
      </c>
      <c r="CF162" s="99">
        <v>15.9</v>
      </c>
      <c r="CG162" s="177">
        <v>9</v>
      </c>
      <c r="CH162" s="437" t="s">
        <v>1757</v>
      </c>
      <c r="CI162" s="13"/>
      <c r="CJ162" s="13"/>
      <c r="CK162" s="13"/>
      <c r="CL162" s="13"/>
      <c r="CM162" s="13"/>
      <c r="CN162" s="13"/>
      <c r="CO162" s="13"/>
      <c r="CP162" s="13"/>
      <c r="CQ162" s="13"/>
      <c r="CR162" s="13"/>
      <c r="CS162" s="13"/>
      <c r="CT162" s="13"/>
      <c r="CU162" s="13"/>
      <c r="CV162" s="13"/>
      <c r="CW162" s="13"/>
      <c r="CX162" s="13"/>
      <c r="CY162" s="13"/>
      <c r="CZ162" s="13"/>
      <c r="DA162" s="13"/>
      <c r="DB162" s="13"/>
      <c r="DC162" s="13"/>
      <c r="DD162" s="13"/>
      <c r="DE162" s="13"/>
      <c r="DF162" s="13"/>
      <c r="DG162" s="13"/>
      <c r="DH162" s="13"/>
      <c r="DI162" s="13"/>
      <c r="DJ162" s="13"/>
      <c r="DK162" s="13"/>
      <c r="DL162" s="13"/>
      <c r="DM162" s="13"/>
      <c r="DN162" s="13"/>
      <c r="DO162" s="13"/>
      <c r="DP162" s="13"/>
      <c r="DQ162" s="13"/>
      <c r="DR162" s="13"/>
      <c r="DS162" s="13"/>
      <c r="DT162" s="13"/>
      <c r="DU162" s="13"/>
      <c r="DV162" s="13"/>
      <c r="DW162" s="13"/>
      <c r="DX162" s="13"/>
      <c r="DY162" s="13"/>
      <c r="DZ162" s="13"/>
      <c r="EA162" s="13"/>
      <c r="EB162" s="13"/>
      <c r="EC162" s="13"/>
      <c r="ED162" s="13"/>
      <c r="EE162" s="13"/>
      <c r="EF162" s="13"/>
      <c r="EG162" s="13"/>
      <c r="EH162" s="13"/>
      <c r="EI162" s="13"/>
      <c r="EJ162" s="13"/>
      <c r="EK162" s="13"/>
      <c r="EL162" s="13"/>
      <c r="EM162" s="13"/>
      <c r="EN162" s="13"/>
      <c r="EO162" s="13"/>
      <c r="EP162" s="13"/>
      <c r="EQ162" s="13"/>
      <c r="ER162" s="13"/>
      <c r="ES162" s="13"/>
      <c r="ET162" s="13"/>
      <c r="EU162" s="13"/>
      <c r="EV162" s="13"/>
      <c r="EW162" s="13"/>
      <c r="EX162" s="13"/>
      <c r="EY162" s="13"/>
      <c r="EZ162" s="13"/>
      <c r="FA162" s="13"/>
      <c r="FB162" s="13"/>
      <c r="FC162" s="13"/>
      <c r="FD162" s="13"/>
      <c r="FE162" s="13"/>
      <c r="FF162" s="13"/>
      <c r="FG162" s="13"/>
      <c r="FH162" s="13"/>
      <c r="FI162" s="13"/>
      <c r="FJ162" s="13"/>
      <c r="FK162" s="13"/>
      <c r="FL162" s="13"/>
      <c r="FM162" s="13"/>
      <c r="FN162" s="13"/>
      <c r="FO162" s="13"/>
      <c r="FP162" s="13"/>
      <c r="FQ162" s="13"/>
      <c r="FR162" s="13"/>
      <c r="FS162" s="13"/>
      <c r="FT162" s="13"/>
      <c r="FU162" s="13"/>
      <c r="FV162" s="13"/>
      <c r="FW162" s="13"/>
      <c r="FX162" s="13"/>
      <c r="FY162" s="13"/>
      <c r="FZ162" s="13"/>
      <c r="GA162" s="13"/>
      <c r="GB162" s="13"/>
      <c r="GC162" s="13"/>
      <c r="GD162" s="13"/>
      <c r="GE162" s="13"/>
      <c r="GF162" s="13"/>
      <c r="GG162" s="13"/>
      <c r="GH162" s="13"/>
      <c r="GI162" s="13"/>
      <c r="GJ162" s="13"/>
      <c r="GK162" s="13"/>
      <c r="GL162" s="13"/>
      <c r="GM162" s="13"/>
      <c r="GN162" s="13"/>
      <c r="GO162" s="13"/>
      <c r="GP162" s="13"/>
      <c r="GQ162" s="13"/>
      <c r="GR162" s="13"/>
      <c r="GS162" s="13"/>
      <c r="GT162" s="13"/>
      <c r="GU162" s="13"/>
      <c r="GV162" s="13"/>
      <c r="GW162" s="13"/>
      <c r="GX162" s="13"/>
      <c r="GY162" s="13"/>
      <c r="GZ162" s="13"/>
      <c r="HA162" s="13"/>
      <c r="HB162" s="13"/>
      <c r="HC162" s="13"/>
      <c r="HD162" s="13"/>
      <c r="HE162" s="13"/>
      <c r="HF162" s="13"/>
      <c r="HG162" s="13"/>
      <c r="HH162" s="13"/>
      <c r="HI162" s="13"/>
      <c r="HJ162" s="13"/>
      <c r="HK162" s="13"/>
      <c r="HL162" s="13"/>
      <c r="HM162" s="13"/>
      <c r="HN162" s="13"/>
      <c r="HO162" s="13"/>
      <c r="HP162" s="13"/>
      <c r="HQ162" s="13"/>
      <c r="HR162" s="13"/>
      <c r="HS162" s="13"/>
      <c r="HT162" s="13"/>
      <c r="HU162" s="13"/>
      <c r="HV162" s="13"/>
      <c r="HW162" s="13"/>
      <c r="HX162" s="13"/>
      <c r="HY162" s="13"/>
      <c r="HZ162" s="13"/>
      <c r="IA162" s="13"/>
      <c r="IB162" s="13"/>
      <c r="IC162" s="13"/>
      <c r="ID162" s="13"/>
      <c r="IE162" s="13"/>
      <c r="IF162" s="13"/>
      <c r="IG162" s="13"/>
      <c r="IH162" s="13"/>
      <c r="II162" s="13"/>
      <c r="IJ162" s="13"/>
      <c r="IK162" s="13"/>
      <c r="IL162" s="13"/>
      <c r="IM162" s="13"/>
      <c r="IN162" s="13"/>
      <c r="IO162" s="13"/>
      <c r="IP162" s="13"/>
      <c r="IQ162" s="13"/>
      <c r="IR162" s="13"/>
      <c r="IS162" s="13"/>
      <c r="IT162" s="13"/>
      <c r="IU162" s="13"/>
      <c r="IV162" s="13"/>
      <c r="IW162" s="13"/>
      <c r="IX162" s="13"/>
      <c r="IY162" s="13"/>
      <c r="IZ162" s="13"/>
      <c r="JA162" s="13"/>
      <c r="JB162" s="13"/>
      <c r="JC162" s="13"/>
      <c r="JD162" s="13"/>
      <c r="JE162" s="13"/>
      <c r="JF162" s="13"/>
      <c r="JG162" s="13"/>
      <c r="JH162" s="13"/>
      <c r="JI162" s="13"/>
      <c r="JJ162" s="13"/>
      <c r="JK162" s="13"/>
      <c r="JL162" s="13"/>
      <c r="JM162" s="13"/>
      <c r="JN162" s="13"/>
      <c r="JO162" s="13"/>
      <c r="JP162" s="13"/>
      <c r="JQ162" s="13"/>
      <c r="JR162" s="13"/>
      <c r="JS162" s="13"/>
      <c r="JT162" s="13"/>
      <c r="JU162" s="13"/>
      <c r="JV162" s="13"/>
      <c r="JW162" s="13"/>
      <c r="JX162" s="13"/>
      <c r="JY162" s="13"/>
      <c r="JZ162" s="13"/>
      <c r="KA162" s="13"/>
      <c r="KB162" s="13"/>
      <c r="KC162" s="13"/>
      <c r="KD162" s="13"/>
      <c r="KE162" s="13"/>
      <c r="KF162" s="13"/>
      <c r="KG162" s="13"/>
      <c r="KH162" s="13"/>
      <c r="KI162" s="13"/>
      <c r="KJ162" s="13"/>
      <c r="KK162" s="13"/>
      <c r="KL162" s="13"/>
      <c r="KM162" s="13"/>
      <c r="KN162" s="13"/>
      <c r="KO162" s="13"/>
      <c r="KP162" s="13"/>
      <c r="KQ162" s="13"/>
      <c r="KR162" s="13"/>
      <c r="KS162" s="13"/>
      <c r="KT162" s="13"/>
      <c r="KU162" s="13"/>
      <c r="KV162" s="13"/>
      <c r="KW162" s="13"/>
      <c r="KX162" s="13"/>
      <c r="KY162" s="13"/>
      <c r="KZ162" s="13"/>
      <c r="LA162" s="13"/>
      <c r="LB162" s="13"/>
      <c r="LC162" s="13"/>
      <c r="LD162" s="13"/>
      <c r="LE162" s="13"/>
      <c r="LF162" s="13"/>
      <c r="LG162" s="13"/>
      <c r="LH162" s="13"/>
      <c r="LI162" s="13"/>
      <c r="LJ162" s="13"/>
      <c r="LK162" s="13"/>
      <c r="LL162" s="13"/>
      <c r="LM162" s="13"/>
      <c r="LN162" s="13"/>
      <c r="LO162" s="13"/>
      <c r="LP162" s="13"/>
      <c r="LQ162" s="13"/>
      <c r="LR162" s="13"/>
      <c r="LS162" s="13"/>
      <c r="LT162" s="13"/>
      <c r="LU162" s="13"/>
      <c r="LV162" s="13"/>
      <c r="LW162" s="13"/>
      <c r="LX162" s="13"/>
      <c r="LY162" s="13"/>
      <c r="LZ162" s="13"/>
      <c r="MA162" s="13"/>
      <c r="MB162" s="13"/>
      <c r="MC162" s="13"/>
      <c r="MD162" s="13"/>
      <c r="ME162" s="13"/>
      <c r="MF162" s="13"/>
      <c r="MG162" s="13"/>
      <c r="MH162" s="13"/>
      <c r="MI162" s="13"/>
      <c r="MJ162" s="13"/>
      <c r="MK162" s="13"/>
      <c r="ML162" s="13"/>
      <c r="MM162" s="13"/>
      <c r="MN162" s="13"/>
      <c r="MO162" s="13"/>
      <c r="MP162" s="13"/>
      <c r="MQ162" s="13"/>
      <c r="MR162" s="13"/>
      <c r="MS162" s="13"/>
      <c r="MT162" s="13"/>
      <c r="MU162" s="13"/>
      <c r="MV162" s="13"/>
      <c r="MW162" s="13"/>
      <c r="MX162" s="13"/>
      <c r="MY162" s="13"/>
      <c r="MZ162" s="13"/>
      <c r="NA162" s="13"/>
      <c r="NB162" s="13"/>
      <c r="NC162" s="13"/>
      <c r="ND162" s="13"/>
      <c r="NE162" s="13"/>
      <c r="NF162" s="13"/>
      <c r="NG162" s="13"/>
      <c r="NH162" s="13"/>
      <c r="NI162" s="13"/>
      <c r="NJ162" s="13"/>
      <c r="NK162" s="13"/>
      <c r="NL162" s="13"/>
      <c r="NM162" s="13"/>
      <c r="NN162" s="13"/>
      <c r="NO162" s="13"/>
      <c r="NP162" s="13"/>
      <c r="NQ162" s="13"/>
      <c r="NR162" s="13"/>
      <c r="NS162" s="13"/>
      <c r="NT162" s="13"/>
      <c r="NU162" s="13"/>
      <c r="NV162" s="13"/>
      <c r="NW162" s="13"/>
      <c r="NX162" s="13"/>
      <c r="NY162" s="13"/>
      <c r="NZ162" s="13"/>
      <c r="OA162" s="13"/>
      <c r="OB162" s="13"/>
      <c r="OC162" s="13"/>
      <c r="OD162" s="13"/>
      <c r="OE162" s="13"/>
      <c r="OF162" s="13"/>
      <c r="OG162" s="13"/>
      <c r="OH162" s="13"/>
      <c r="OI162" s="13"/>
      <c r="OJ162" s="13"/>
      <c r="OK162" s="13"/>
      <c r="OL162" s="13"/>
      <c r="OM162" s="13"/>
      <c r="ON162" s="13"/>
      <c r="OO162" s="13"/>
      <c r="OP162" s="13"/>
      <c r="OQ162" s="13"/>
      <c r="OR162" s="13"/>
      <c r="OS162" s="13"/>
      <c r="OT162" s="13"/>
      <c r="OU162" s="13"/>
      <c r="OV162" s="13"/>
      <c r="OW162" s="13"/>
      <c r="OX162" s="13"/>
      <c r="OY162" s="13"/>
      <c r="OZ162" s="13"/>
      <c r="PA162" s="13"/>
      <c r="PB162" s="13"/>
      <c r="PC162" s="13"/>
      <c r="PD162" s="13"/>
      <c r="PE162" s="13"/>
      <c r="PF162" s="13"/>
      <c r="PG162" s="13"/>
      <c r="PH162" s="13"/>
      <c r="PI162" s="13"/>
      <c r="PJ162" s="13"/>
      <c r="PK162" s="13"/>
      <c r="PL162" s="13"/>
      <c r="PM162" s="13"/>
      <c r="PN162" s="13"/>
      <c r="PO162" s="13"/>
      <c r="PP162" s="13"/>
      <c r="PQ162" s="13"/>
      <c r="PR162" s="13"/>
      <c r="PS162" s="13"/>
      <c r="PT162" s="13"/>
      <c r="PU162" s="13"/>
      <c r="PV162" s="13"/>
      <c r="PW162" s="13"/>
      <c r="PX162" s="13"/>
      <c r="PY162" s="13"/>
      <c r="PZ162" s="13"/>
      <c r="QA162" s="13"/>
      <c r="QB162" s="13"/>
      <c r="QC162" s="13"/>
      <c r="QD162" s="13"/>
      <c r="QE162" s="13"/>
      <c r="QF162" s="13"/>
      <c r="QG162" s="13"/>
      <c r="QH162" s="13"/>
      <c r="QI162" s="13"/>
      <c r="QJ162" s="13"/>
      <c r="QK162" s="13"/>
      <c r="QL162" s="13"/>
      <c r="QM162" s="13"/>
      <c r="QN162" s="13"/>
      <c r="QO162" s="13"/>
      <c r="QP162" s="13"/>
      <c r="QQ162" s="13"/>
      <c r="QR162" s="13"/>
      <c r="QS162" s="13"/>
      <c r="QT162" s="13"/>
      <c r="QU162" s="13"/>
      <c r="QV162" s="13"/>
      <c r="QW162" s="13"/>
      <c r="QX162" s="13"/>
      <c r="QY162" s="13"/>
      <c r="QZ162" s="13"/>
      <c r="RA162" s="13"/>
      <c r="RB162" s="13"/>
      <c r="RC162" s="13"/>
      <c r="RD162" s="13"/>
      <c r="RE162" s="13"/>
      <c r="RF162" s="13"/>
      <c r="RG162" s="13"/>
      <c r="RH162" s="13"/>
      <c r="RI162" s="13"/>
      <c r="RJ162" s="13"/>
      <c r="RK162" s="13"/>
      <c r="RL162" s="13"/>
      <c r="RM162" s="13"/>
      <c r="RN162" s="13"/>
      <c r="RO162" s="13"/>
      <c r="RP162" s="13"/>
      <c r="RQ162" s="13"/>
      <c r="RR162" s="13"/>
      <c r="RS162" s="13"/>
      <c r="RT162" s="13"/>
      <c r="RU162" s="13"/>
      <c r="RV162" s="13"/>
      <c r="RW162" s="13"/>
      <c r="RX162" s="13"/>
      <c r="RY162" s="13"/>
      <c r="RZ162" s="13"/>
      <c r="SA162" s="13"/>
      <c r="SB162" s="13"/>
      <c r="SC162" s="13"/>
      <c r="SD162" s="13"/>
      <c r="SE162" s="13"/>
      <c r="SF162" s="13"/>
      <c r="SG162" s="13"/>
      <c r="SH162" s="13"/>
      <c r="SI162" s="13"/>
      <c r="SJ162" s="13"/>
      <c r="SK162" s="13"/>
      <c r="SL162" s="13"/>
      <c r="SM162" s="13"/>
      <c r="SN162" s="13"/>
      <c r="SO162" s="13"/>
      <c r="SP162" s="13"/>
      <c r="SQ162" s="13"/>
      <c r="SR162" s="13"/>
      <c r="SS162" s="13"/>
      <c r="ST162" s="13"/>
      <c r="SU162" s="13"/>
      <c r="SV162" s="13"/>
      <c r="SW162" s="13"/>
      <c r="SX162" s="13"/>
      <c r="SY162" s="13"/>
      <c r="SZ162" s="13"/>
      <c r="TA162" s="13"/>
      <c r="TB162" s="13"/>
      <c r="TC162" s="13"/>
      <c r="TD162" s="13"/>
      <c r="TE162" s="13"/>
      <c r="TF162" s="13"/>
      <c r="TG162" s="13"/>
      <c r="TH162" s="13"/>
      <c r="TI162" s="13"/>
      <c r="TJ162" s="13"/>
      <c r="TK162" s="13"/>
      <c r="TL162" s="13"/>
      <c r="TM162" s="13"/>
      <c r="TN162" s="13"/>
      <c r="TO162" s="13"/>
      <c r="TP162" s="13"/>
      <c r="TQ162" s="13"/>
      <c r="TR162" s="13"/>
      <c r="TS162" s="13"/>
      <c r="TT162" s="13"/>
      <c r="TU162" s="13"/>
      <c r="TV162" s="13"/>
      <c r="TW162" s="13"/>
      <c r="TX162" s="13"/>
      <c r="TY162" s="13"/>
      <c r="TZ162" s="13"/>
      <c r="UA162" s="13"/>
      <c r="UB162" s="13"/>
      <c r="UC162" s="13"/>
      <c r="UD162" s="13"/>
      <c r="UE162" s="13"/>
      <c r="UF162" s="13"/>
      <c r="UG162" s="13"/>
      <c r="UH162" s="13"/>
      <c r="UI162" s="13"/>
      <c r="UJ162" s="13"/>
      <c r="UK162" s="13"/>
      <c r="UL162" s="13"/>
      <c r="UM162" s="13"/>
      <c r="UN162" s="13"/>
      <c r="UO162" s="13"/>
      <c r="UP162" s="13"/>
      <c r="UQ162" s="13"/>
      <c r="UR162" s="13"/>
      <c r="US162" s="13"/>
      <c r="UT162" s="13"/>
      <c r="UU162" s="13"/>
      <c r="UV162" s="13"/>
      <c r="UW162" s="13"/>
      <c r="UX162" s="13"/>
      <c r="UY162" s="13"/>
      <c r="UZ162" s="13"/>
      <c r="VA162" s="13"/>
      <c r="VB162" s="13"/>
      <c r="VC162" s="13"/>
      <c r="VD162" s="13"/>
      <c r="VE162" s="13"/>
      <c r="VF162" s="13"/>
      <c r="VG162" s="13"/>
      <c r="VH162" s="13"/>
      <c r="VI162" s="13"/>
      <c r="VJ162" s="13"/>
      <c r="VK162" s="13"/>
      <c r="VL162" s="13"/>
      <c r="VM162" s="13"/>
      <c r="VN162" s="13"/>
      <c r="VO162" s="13"/>
      <c r="VP162" s="13"/>
      <c r="VQ162" s="13"/>
      <c r="VR162" s="13"/>
      <c r="VS162" s="13"/>
      <c r="VT162" s="13"/>
      <c r="VU162" s="13"/>
      <c r="VV162" s="13"/>
      <c r="VW162" s="13"/>
      <c r="VX162" s="13"/>
      <c r="VY162" s="13"/>
      <c r="VZ162" s="13"/>
      <c r="WA162" s="13"/>
      <c r="WB162" s="13"/>
      <c r="WC162" s="13"/>
      <c r="WD162" s="13"/>
      <c r="WE162" s="13"/>
      <c r="WF162" s="13"/>
      <c r="WG162" s="13"/>
      <c r="WH162" s="13"/>
      <c r="WI162" s="13"/>
      <c r="WJ162" s="13"/>
      <c r="WK162" s="13"/>
      <c r="WL162" s="13"/>
      <c r="WM162" s="13"/>
      <c r="WN162" s="13"/>
      <c r="WO162" s="13"/>
      <c r="WP162" s="13"/>
      <c r="WQ162" s="13"/>
      <c r="WR162" s="13"/>
      <c r="WS162" s="13"/>
      <c r="WT162" s="13"/>
      <c r="WU162" s="13"/>
      <c r="WV162" s="13"/>
      <c r="WW162" s="13"/>
      <c r="WX162" s="13"/>
      <c r="WY162" s="13"/>
      <c r="WZ162" s="13"/>
      <c r="XA162" s="13"/>
      <c r="XB162" s="13"/>
      <c r="XC162" s="13"/>
      <c r="XD162" s="13"/>
      <c r="XE162" s="13"/>
      <c r="XF162" s="13"/>
      <c r="XG162" s="13"/>
      <c r="XH162" s="13"/>
      <c r="XI162" s="13"/>
      <c r="XJ162" s="13"/>
      <c r="XK162" s="13"/>
      <c r="XL162" s="13"/>
      <c r="XM162" s="13"/>
      <c r="XN162" s="13"/>
      <c r="XO162" s="13"/>
      <c r="XP162" s="13"/>
      <c r="XQ162" s="13"/>
      <c r="XR162" s="13"/>
      <c r="XS162" s="13"/>
      <c r="XT162" s="13"/>
      <c r="XU162" s="13"/>
      <c r="XV162" s="13"/>
      <c r="XW162" s="13"/>
      <c r="XX162" s="13"/>
      <c r="XY162" s="13"/>
      <c r="XZ162" s="13"/>
      <c r="YA162" s="13"/>
      <c r="YB162" s="13"/>
      <c r="YC162" s="13"/>
      <c r="YD162" s="13"/>
      <c r="YE162" s="13"/>
      <c r="YF162" s="13"/>
      <c r="YG162" s="13"/>
      <c r="YH162" s="13"/>
      <c r="YI162" s="13"/>
      <c r="YJ162" s="13"/>
      <c r="YK162" s="13"/>
      <c r="YL162" s="13"/>
      <c r="YM162" s="13"/>
      <c r="YN162" s="13"/>
      <c r="YO162" s="13"/>
      <c r="YP162" s="13"/>
      <c r="YQ162" s="13"/>
      <c r="YR162" s="13"/>
      <c r="YS162" s="13"/>
      <c r="YT162" s="13"/>
      <c r="YU162" s="13"/>
      <c r="YV162" s="13"/>
      <c r="YW162" s="13"/>
      <c r="YX162" s="13"/>
      <c r="YY162" s="13"/>
      <c r="YZ162" s="13"/>
      <c r="ZA162" s="13"/>
      <c r="ZB162" s="13"/>
      <c r="ZC162" s="13"/>
      <c r="ZD162" s="13"/>
      <c r="ZE162" s="13"/>
      <c r="ZF162" s="13"/>
      <c r="ZG162" s="13"/>
      <c r="ZH162" s="13"/>
      <c r="ZI162" s="13"/>
      <c r="ZJ162" s="13"/>
      <c r="ZK162" s="13"/>
      <c r="ZL162" s="13"/>
      <c r="ZM162" s="13"/>
      <c r="ZN162" s="13"/>
      <c r="ZO162" s="13"/>
      <c r="ZP162" s="13"/>
      <c r="ZQ162" s="13"/>
      <c r="ZR162" s="13"/>
      <c r="ZS162" s="13"/>
      <c r="ZT162" s="13"/>
      <c r="ZU162" s="13"/>
      <c r="ZV162" s="13"/>
      <c r="ZW162" s="13"/>
      <c r="ZX162" s="13"/>
      <c r="ZY162" s="13"/>
      <c r="ZZ162" s="13"/>
      <c r="AAA162" s="13"/>
      <c r="AAB162" s="13"/>
      <c r="AAC162" s="13"/>
      <c r="AAD162" s="13"/>
      <c r="AAE162" s="13"/>
      <c r="AAF162" s="13"/>
      <c r="AAG162" s="13"/>
      <c r="AAH162" s="13"/>
      <c r="AAI162" s="13"/>
      <c r="AAJ162" s="13"/>
      <c r="AAK162" s="13"/>
      <c r="AAL162" s="13"/>
      <c r="AAM162" s="13"/>
      <c r="AAN162" s="13"/>
      <c r="AAO162" s="13"/>
      <c r="AAP162" s="13"/>
      <c r="AAQ162" s="13"/>
      <c r="AAR162" s="13"/>
      <c r="AAS162" s="13"/>
      <c r="AAT162" s="13"/>
      <c r="AAU162" s="13"/>
      <c r="AAV162" s="13"/>
      <c r="AAW162" s="13"/>
      <c r="AAX162" s="13"/>
      <c r="AAY162" s="13"/>
      <c r="AAZ162" s="13"/>
      <c r="ABA162" s="13"/>
      <c r="ABB162" s="13"/>
      <c r="ABC162" s="13"/>
      <c r="ABD162" s="13"/>
      <c r="ABE162" s="13"/>
      <c r="ABF162" s="13"/>
      <c r="ABG162" s="13"/>
      <c r="ABH162" s="13"/>
      <c r="ABI162" s="13"/>
      <c r="ABJ162" s="13"/>
      <c r="ABK162" s="13"/>
      <c r="ABL162" s="13"/>
      <c r="ABM162" s="13"/>
      <c r="ABN162" s="13"/>
      <c r="ABO162" s="13"/>
      <c r="ABP162" s="13"/>
      <c r="ABQ162" s="13"/>
      <c r="ABR162" s="13"/>
      <c r="ABS162" s="13"/>
      <c r="ABT162" s="13"/>
      <c r="ABU162" s="13"/>
      <c r="ABV162" s="13"/>
      <c r="ABW162" s="13"/>
      <c r="ABX162" s="13"/>
      <c r="ABY162" s="13"/>
      <c r="ABZ162" s="13"/>
      <c r="ACA162" s="13"/>
      <c r="ACB162" s="13"/>
      <c r="ACC162" s="13"/>
      <c r="ACD162" s="13"/>
      <c r="ACE162" s="13"/>
      <c r="ACF162" s="13"/>
      <c r="ACG162" s="13"/>
      <c r="ACH162" s="13"/>
      <c r="ACI162" s="13"/>
      <c r="ACJ162" s="13"/>
      <c r="ACK162" s="13"/>
      <c r="ACL162" s="13"/>
      <c r="ACM162" s="13"/>
      <c r="ACN162" s="13"/>
      <c r="ACO162" s="13"/>
      <c r="ACP162" s="13"/>
      <c r="ACQ162" s="13"/>
      <c r="ACR162" s="13"/>
      <c r="ACS162" s="13"/>
      <c r="ACT162" s="13"/>
      <c r="ACU162" s="13"/>
      <c r="ACV162" s="13"/>
      <c r="ACW162" s="13"/>
      <c r="ACX162" s="13"/>
      <c r="ACY162" s="13"/>
      <c r="ACZ162" s="13"/>
      <c r="ADA162" s="13"/>
      <c r="ADB162" s="13"/>
      <c r="ADC162" s="13"/>
      <c r="ADD162" s="13"/>
      <c r="ADE162" s="13"/>
      <c r="ADF162" s="13"/>
      <c r="ADG162" s="13"/>
      <c r="ADH162" s="13"/>
      <c r="ADI162" s="13"/>
      <c r="ADJ162" s="13"/>
      <c r="ADK162" s="13"/>
      <c r="ADL162" s="13"/>
      <c r="ADM162" s="13"/>
      <c r="ADN162" s="13"/>
      <c r="ADO162" s="13"/>
      <c r="ADP162" s="13"/>
      <c r="ADQ162" s="13"/>
      <c r="ADR162" s="13"/>
      <c r="ADS162" s="13"/>
      <c r="ADT162" s="13"/>
      <c r="ADU162" s="13"/>
      <c r="ADV162" s="13"/>
      <c r="ADW162" s="13"/>
      <c r="ADX162" s="13"/>
      <c r="ADY162" s="13"/>
      <c r="ADZ162" s="13"/>
      <c r="AEA162" s="13"/>
      <c r="AEB162" s="13"/>
      <c r="AEC162" s="13"/>
      <c r="AED162" s="13"/>
      <c r="AEE162" s="13"/>
      <c r="AEF162" s="13"/>
      <c r="AEG162" s="13"/>
      <c r="AEH162" s="13"/>
      <c r="AEI162" s="13"/>
      <c r="AEJ162" s="13"/>
      <c r="AEK162" s="13"/>
      <c r="AEL162" s="13"/>
      <c r="AEM162" s="13"/>
      <c r="AEN162" s="13"/>
      <c r="AEO162" s="13"/>
      <c r="AEP162" s="13"/>
      <c r="AEQ162" s="13"/>
      <c r="AER162" s="13"/>
      <c r="AES162" s="13"/>
      <c r="AET162" s="13"/>
      <c r="AEU162" s="13"/>
      <c r="AEV162" s="13"/>
      <c r="AEW162" s="13"/>
      <c r="AEX162" s="13"/>
      <c r="AEY162" s="13"/>
      <c r="AEZ162" s="13"/>
      <c r="AFA162" s="13"/>
      <c r="AFB162" s="13"/>
      <c r="AFC162" s="13"/>
      <c r="AFD162" s="13"/>
      <c r="AFE162" s="13"/>
      <c r="AFF162" s="13"/>
      <c r="AFG162" s="13"/>
      <c r="AFH162" s="13"/>
      <c r="AFI162" s="13"/>
      <c r="AFJ162" s="13"/>
      <c r="AFK162" s="13"/>
      <c r="AFL162" s="13"/>
      <c r="AFM162" s="13"/>
      <c r="AFN162" s="13"/>
      <c r="AFO162" s="13"/>
      <c r="AFP162" s="13"/>
      <c r="AFQ162" s="13"/>
      <c r="AFR162" s="13"/>
      <c r="AFS162" s="13"/>
      <c r="AFT162" s="13"/>
      <c r="AFU162" s="13"/>
      <c r="AFV162" s="13"/>
      <c r="AFW162" s="13"/>
      <c r="AFX162" s="13"/>
      <c r="AFY162" s="13"/>
      <c r="AFZ162" s="13"/>
      <c r="AGA162" s="13"/>
      <c r="AGB162" s="13"/>
      <c r="AGC162" s="13"/>
      <c r="AGD162" s="13"/>
      <c r="AGE162" s="13"/>
      <c r="AGF162" s="13"/>
      <c r="AGG162" s="13"/>
      <c r="AGH162" s="13"/>
      <c r="AGI162" s="13"/>
      <c r="AGJ162" s="13"/>
      <c r="AGK162" s="13"/>
      <c r="AGL162" s="13"/>
      <c r="AGM162" s="13"/>
      <c r="AGN162" s="13"/>
      <c r="AGO162" s="13"/>
      <c r="AGP162" s="13"/>
      <c r="AGQ162" s="13"/>
      <c r="AGR162" s="13"/>
      <c r="AGS162" s="13"/>
      <c r="AGT162" s="13"/>
      <c r="AGU162" s="13"/>
      <c r="AGV162" s="13"/>
      <c r="AGW162" s="13"/>
      <c r="AGX162" s="13"/>
      <c r="AGY162" s="13"/>
      <c r="AGZ162" s="13"/>
      <c r="AHA162" s="13"/>
      <c r="AHB162" s="13"/>
      <c r="AHC162" s="13"/>
      <c r="AHD162" s="13"/>
      <c r="AHE162" s="13"/>
      <c r="AHF162" s="13"/>
      <c r="AHG162" s="13"/>
      <c r="AHH162" s="13"/>
      <c r="AHI162" s="13"/>
      <c r="AHJ162" s="13"/>
      <c r="AHK162" s="13"/>
      <c r="AHL162" s="13"/>
      <c r="AHM162" s="13"/>
      <c r="AHN162" s="13"/>
      <c r="AHO162" s="13"/>
      <c r="AHP162" s="13"/>
      <c r="AHQ162" s="13"/>
      <c r="AHR162" s="13"/>
      <c r="AHS162" s="13"/>
      <c r="AHT162" s="13"/>
      <c r="AHU162" s="13"/>
      <c r="AHV162" s="13"/>
      <c r="AHW162" s="13"/>
      <c r="AHX162" s="13"/>
      <c r="AHY162" s="13"/>
      <c r="AHZ162" s="13"/>
      <c r="AIA162" s="13"/>
      <c r="AIB162" s="13"/>
      <c r="AIC162" s="13"/>
      <c r="AID162" s="13"/>
      <c r="AIE162" s="13"/>
      <c r="AIF162" s="13"/>
      <c r="AIG162" s="13"/>
      <c r="AIH162" s="13"/>
      <c r="AII162" s="13"/>
      <c r="AIJ162" s="13"/>
      <c r="AIK162" s="13"/>
      <c r="AIL162" s="13"/>
      <c r="AIM162" s="13"/>
      <c r="AIN162" s="13"/>
      <c r="AIO162" s="13"/>
      <c r="AIP162" s="13"/>
      <c r="AIQ162" s="13"/>
      <c r="AIR162" s="13"/>
      <c r="AIS162" s="13"/>
      <c r="AIT162" s="13"/>
      <c r="AIU162" s="13"/>
      <c r="AIV162" s="13"/>
      <c r="AIW162" s="13"/>
      <c r="AIX162" s="13"/>
      <c r="AIY162" s="13"/>
      <c r="AIZ162" s="13"/>
      <c r="AJA162" s="13"/>
      <c r="AJB162" s="13"/>
      <c r="AJC162" s="13"/>
      <c r="AJD162" s="13"/>
      <c r="AJE162" s="13"/>
      <c r="AJF162" s="13"/>
      <c r="AJG162" s="13"/>
      <c r="AJH162" s="13"/>
      <c r="AJI162" s="13"/>
      <c r="AJJ162" s="13"/>
      <c r="AJK162" s="13"/>
      <c r="AJL162" s="13"/>
      <c r="AJM162" s="13"/>
      <c r="AJN162" s="13"/>
      <c r="AJO162" s="13"/>
      <c r="AJP162" s="13"/>
      <c r="AJQ162" s="13"/>
      <c r="AJR162" s="13"/>
      <c r="AJS162" s="13"/>
      <c r="AJT162" s="13"/>
      <c r="AJU162" s="13"/>
      <c r="AJV162" s="13"/>
      <c r="AJW162" s="13"/>
      <c r="AJX162" s="13"/>
      <c r="AJY162" s="13"/>
      <c r="AJZ162" s="13"/>
      <c r="AKA162" s="13"/>
      <c r="AKB162" s="13"/>
      <c r="AKC162" s="13"/>
      <c r="AKD162" s="13"/>
      <c r="AKE162" s="13"/>
      <c r="AKF162" s="13"/>
      <c r="AKG162" s="13"/>
      <c r="AKH162" s="13"/>
      <c r="AKI162" s="13"/>
      <c r="AKJ162" s="13"/>
      <c r="AKK162" s="13"/>
      <c r="AKL162" s="13"/>
      <c r="AKM162" s="13"/>
      <c r="AKN162" s="13"/>
      <c r="AKO162" s="13"/>
      <c r="AKP162" s="13"/>
      <c r="AKQ162" s="13"/>
      <c r="AKR162" s="13"/>
      <c r="AKS162" s="13"/>
      <c r="AKT162" s="13"/>
      <c r="AKU162" s="13"/>
      <c r="AKV162" s="13"/>
      <c r="AKW162" s="13"/>
      <c r="AKX162" s="13"/>
      <c r="AKY162" s="13"/>
      <c r="AKZ162" s="13"/>
      <c r="ALA162" s="13"/>
      <c r="ALB162" s="13"/>
      <c r="ALC162" s="13"/>
      <c r="ALD162" s="13"/>
      <c r="ALE162" s="13"/>
      <c r="ALF162" s="13"/>
      <c r="ALG162" s="13"/>
      <c r="ALH162" s="13"/>
      <c r="ALI162" s="13"/>
      <c r="ALJ162" s="13"/>
      <c r="ALK162" s="13"/>
      <c r="ALL162" s="13"/>
      <c r="ALM162" s="13"/>
      <c r="ALN162" s="13"/>
      <c r="ALO162" s="13"/>
      <c r="ALP162" s="13"/>
      <c r="ALQ162" s="13"/>
      <c r="ALR162" s="13"/>
      <c r="ALS162" s="13"/>
      <c r="ALT162" s="13"/>
      <c r="ALU162" s="13"/>
      <c r="ALV162" s="13"/>
      <c r="ALW162" s="13"/>
      <c r="ALX162" s="13"/>
      <c r="ALY162" s="13"/>
      <c r="ALZ162" s="13"/>
      <c r="AMA162" s="13"/>
      <c r="AMB162" s="13"/>
      <c r="AMC162" s="13"/>
      <c r="AMD162" s="13"/>
      <c r="AME162" s="13"/>
      <c r="AMF162" s="13"/>
      <c r="AMG162" s="13"/>
      <c r="AMH162" s="13"/>
      <c r="AMI162" s="13"/>
      <c r="AMJ162" s="13"/>
      <c r="AMK162" s="13"/>
      <c r="AML162" s="13"/>
      <c r="AMM162" s="13"/>
      <c r="AMN162" s="13"/>
      <c r="AMO162" s="13"/>
      <c r="AMP162" s="13"/>
      <c r="AMQ162" s="13"/>
      <c r="AMR162" s="13"/>
      <c r="AMS162" s="13"/>
      <c r="AMT162" s="13"/>
      <c r="AMU162" s="13"/>
      <c r="AMV162" s="13"/>
      <c r="AMW162" s="13"/>
      <c r="AMX162" s="13"/>
      <c r="AMY162" s="13"/>
      <c r="AMZ162" s="13"/>
      <c r="ANA162" s="13"/>
      <c r="ANB162" s="13"/>
      <c r="ANC162" s="13"/>
      <c r="AND162" s="13"/>
      <c r="ANE162" s="13"/>
      <c r="ANF162" s="13"/>
      <c r="ANG162" s="13"/>
      <c r="ANH162" s="13"/>
      <c r="ANI162" s="13"/>
      <c r="ANJ162" s="13"/>
      <c r="ANK162" s="13"/>
      <c r="ANL162" s="13"/>
      <c r="ANM162" s="13"/>
      <c r="ANN162" s="13"/>
      <c r="ANO162" s="13"/>
      <c r="ANP162" s="13"/>
      <c r="ANQ162" s="13"/>
      <c r="ANR162" s="13"/>
      <c r="ANS162" s="13"/>
      <c r="ANT162" s="13"/>
      <c r="ANU162" s="13"/>
      <c r="ANV162" s="13"/>
      <c r="ANW162" s="13"/>
      <c r="ANX162" s="13"/>
      <c r="ANY162" s="13"/>
      <c r="ANZ162" s="13"/>
      <c r="AOA162" s="13"/>
      <c r="AOB162" s="13"/>
      <c r="AOC162" s="13"/>
      <c r="AOD162" s="13"/>
      <c r="AOE162" s="13"/>
      <c r="AOF162" s="13"/>
      <c r="AOG162" s="13"/>
      <c r="AOH162" s="13"/>
      <c r="AOI162" s="13"/>
      <c r="AOJ162" s="13"/>
      <c r="AOK162" s="13"/>
      <c r="AOL162" s="13"/>
      <c r="AOM162" s="13"/>
      <c r="AON162" s="13"/>
      <c r="AOO162" s="13"/>
      <c r="AOP162" s="13"/>
      <c r="AOQ162" s="13"/>
      <c r="AOR162" s="13"/>
      <c r="AOS162" s="13"/>
      <c r="AOT162" s="13"/>
      <c r="AOU162" s="13"/>
      <c r="AOV162" s="13"/>
      <c r="AOW162" s="13"/>
      <c r="AOX162" s="13"/>
      <c r="AOY162" s="13"/>
      <c r="AOZ162" s="13"/>
      <c r="APA162" s="13"/>
      <c r="APB162" s="13"/>
      <c r="APC162" s="13"/>
      <c r="APD162" s="13"/>
      <c r="APE162" s="13"/>
      <c r="APF162" s="13"/>
      <c r="APG162" s="13"/>
      <c r="APH162" s="13"/>
      <c r="API162" s="13"/>
      <c r="APJ162" s="13"/>
      <c r="APK162" s="13"/>
      <c r="APL162" s="13"/>
      <c r="APM162" s="13"/>
      <c r="APN162" s="13"/>
      <c r="APO162" s="13"/>
      <c r="APP162" s="13"/>
      <c r="APQ162" s="13"/>
      <c r="APR162" s="13"/>
      <c r="APS162" s="13"/>
      <c r="APT162" s="13"/>
      <c r="APU162" s="13"/>
      <c r="APV162" s="13"/>
      <c r="APW162" s="13"/>
      <c r="APX162" s="13"/>
      <c r="APY162" s="13"/>
      <c r="APZ162" s="13"/>
      <c r="AQA162" s="13"/>
      <c r="AQB162" s="13"/>
      <c r="AQC162" s="13"/>
      <c r="AQD162" s="13"/>
      <c r="AQE162" s="13"/>
      <c r="AQF162" s="13"/>
      <c r="AQG162" s="13"/>
      <c r="AQH162" s="13"/>
      <c r="AQI162" s="13"/>
      <c r="AQJ162" s="13"/>
      <c r="AQK162" s="13"/>
      <c r="AQL162" s="13"/>
      <c r="AQM162" s="13"/>
      <c r="AQN162" s="13"/>
      <c r="AQO162" s="13"/>
      <c r="AQP162" s="13"/>
      <c r="AQQ162" s="13"/>
      <c r="AQR162" s="13"/>
      <c r="AQS162" s="13"/>
      <c r="AQT162" s="13"/>
      <c r="AQU162" s="13"/>
      <c r="AQV162" s="13"/>
      <c r="AQW162" s="13"/>
      <c r="AQX162" s="13"/>
      <c r="AQY162" s="13"/>
      <c r="AQZ162" s="13"/>
      <c r="ARA162" s="13"/>
      <c r="ARB162" s="13"/>
      <c r="ARC162" s="13"/>
      <c r="ARD162" s="13"/>
      <c r="ARE162" s="13"/>
      <c r="ARF162" s="13"/>
      <c r="ARG162" s="13"/>
      <c r="ARH162" s="13"/>
      <c r="ARI162" s="13"/>
      <c r="ARJ162" s="13"/>
      <c r="ARK162" s="13"/>
      <c r="ARL162" s="13"/>
      <c r="ARM162" s="13"/>
      <c r="ARN162" s="13"/>
      <c r="ARO162" s="13"/>
      <c r="ARP162" s="13"/>
      <c r="ARQ162" s="13"/>
      <c r="ARR162" s="13"/>
      <c r="ARS162" s="13"/>
      <c r="ART162" s="13"/>
      <c r="ARU162" s="13"/>
      <c r="ARV162" s="13"/>
      <c r="ARW162" s="13"/>
      <c r="ARX162" s="13"/>
      <c r="ARY162" s="13"/>
      <c r="ARZ162" s="13"/>
      <c r="ASA162" s="13"/>
      <c r="ASB162" s="13"/>
      <c r="ASC162" s="13"/>
      <c r="ASD162" s="13"/>
      <c r="ASE162" s="13"/>
      <c r="ASF162" s="13"/>
      <c r="ASG162" s="13"/>
      <c r="ASH162" s="13"/>
      <c r="ASI162" s="13"/>
      <c r="ASJ162" s="13"/>
      <c r="ASK162" s="13"/>
      <c r="ASL162" s="13"/>
      <c r="ASM162" s="13"/>
      <c r="ASN162" s="13"/>
      <c r="ASO162" s="13"/>
      <c r="ASP162" s="13"/>
      <c r="ASQ162" s="13"/>
      <c r="ASR162" s="13"/>
      <c r="ASS162" s="13"/>
      <c r="AST162" s="13"/>
      <c r="ASU162" s="13"/>
      <c r="ASV162" s="13"/>
      <c r="ASW162" s="13"/>
      <c r="ASX162" s="13"/>
      <c r="ASY162" s="13"/>
      <c r="ASZ162" s="13"/>
      <c r="ATA162" s="13"/>
      <c r="ATB162" s="13"/>
      <c r="ATC162" s="13"/>
      <c r="ATD162" s="13"/>
      <c r="ATE162" s="13"/>
      <c r="ATF162" s="13"/>
      <c r="ATG162" s="13"/>
      <c r="ATH162" s="13"/>
      <c r="ATI162" s="13"/>
      <c r="ATJ162" s="13"/>
      <c r="ATK162" s="13"/>
      <c r="ATL162" s="13"/>
      <c r="ATM162" s="13"/>
      <c r="ATN162" s="13"/>
      <c r="ATO162" s="13"/>
      <c r="ATP162" s="13"/>
      <c r="ATQ162" s="13"/>
      <c r="ATR162" s="13"/>
      <c r="ATS162" s="13"/>
      <c r="ATT162" s="13"/>
      <c r="ATU162" s="13"/>
      <c r="ATV162" s="13"/>
      <c r="ATW162" s="13"/>
      <c r="ATX162" s="13"/>
      <c r="ATY162" s="13"/>
      <c r="ATZ162" s="13"/>
      <c r="AUA162" s="13"/>
      <c r="AUB162" s="13"/>
      <c r="AUC162" s="13"/>
      <c r="AUD162" s="13"/>
      <c r="AUE162" s="13"/>
      <c r="AUF162" s="13"/>
      <c r="AUG162" s="13"/>
      <c r="AUH162" s="13"/>
      <c r="AUI162" s="13"/>
      <c r="AUJ162" s="13"/>
      <c r="AUK162" s="13"/>
      <c r="AUL162" s="13"/>
      <c r="AUM162" s="13"/>
      <c r="AUN162" s="13"/>
      <c r="AUO162" s="13"/>
      <c r="AUP162" s="13"/>
      <c r="AUQ162" s="13"/>
      <c r="AUR162" s="13"/>
      <c r="AUS162" s="13"/>
      <c r="AUT162" s="13"/>
      <c r="AUU162" s="13"/>
      <c r="AUV162" s="13"/>
      <c r="AUW162" s="13"/>
      <c r="AUX162" s="13"/>
      <c r="AUY162" s="13"/>
      <c r="AUZ162" s="13"/>
      <c r="AVA162" s="13"/>
      <c r="AVB162" s="13"/>
      <c r="AVC162" s="13"/>
      <c r="AVD162" s="13"/>
      <c r="AVE162" s="13"/>
      <c r="AVF162" s="13"/>
      <c r="AVG162" s="13"/>
      <c r="AVH162" s="13"/>
      <c r="AVI162" s="13"/>
      <c r="AVJ162" s="13"/>
      <c r="AVK162" s="13"/>
      <c r="AVL162" s="13"/>
      <c r="AVM162" s="13"/>
      <c r="AVN162" s="13"/>
      <c r="AVO162" s="13"/>
      <c r="AVP162" s="13"/>
      <c r="AVQ162" s="13"/>
      <c r="AVR162" s="13"/>
      <c r="AVS162" s="13"/>
      <c r="AVT162" s="13"/>
      <c r="AVU162" s="13"/>
      <c r="AVV162" s="13"/>
      <c r="AVW162" s="13"/>
      <c r="AVX162" s="13"/>
      <c r="AVY162" s="13"/>
      <c r="AVZ162" s="13"/>
      <c r="AWA162" s="13"/>
      <c r="AWB162" s="13"/>
      <c r="AWC162" s="13"/>
      <c r="AWD162" s="13"/>
      <c r="AWE162" s="13"/>
      <c r="AWF162" s="13"/>
      <c r="AWG162" s="13"/>
      <c r="AWH162" s="13"/>
      <c r="AWI162" s="13"/>
      <c r="AWJ162" s="13"/>
      <c r="AWK162" s="13"/>
      <c r="AWL162" s="13"/>
      <c r="AWM162" s="13"/>
      <c r="AWN162" s="13"/>
      <c r="AWO162" s="13"/>
      <c r="AWP162" s="13"/>
      <c r="AWQ162" s="13"/>
      <c r="AWR162" s="13"/>
      <c r="AWS162" s="13"/>
      <c r="AWT162" s="13"/>
      <c r="AWU162" s="13"/>
      <c r="AWV162" s="13"/>
      <c r="AWW162" s="13"/>
      <c r="AWX162" s="13"/>
      <c r="AWY162" s="13"/>
      <c r="AWZ162" s="13"/>
      <c r="AXA162" s="13"/>
      <c r="AXB162" s="13"/>
      <c r="AXC162" s="13"/>
      <c r="AXD162" s="13"/>
      <c r="AXE162" s="13"/>
      <c r="AXF162" s="13"/>
      <c r="AXG162" s="13"/>
      <c r="AXH162" s="13"/>
      <c r="AXI162" s="13"/>
      <c r="AXJ162" s="13"/>
      <c r="AXK162" s="13"/>
      <c r="AXL162" s="13"/>
      <c r="AXM162" s="13"/>
      <c r="AXN162" s="13"/>
      <c r="AXO162" s="13"/>
      <c r="AXP162" s="13"/>
      <c r="AXQ162" s="13"/>
      <c r="AXR162" s="13"/>
      <c r="AXS162" s="13"/>
      <c r="AXT162" s="13"/>
      <c r="AXU162" s="13"/>
      <c r="AXV162" s="13"/>
      <c r="AXW162" s="13"/>
      <c r="AXX162" s="13"/>
      <c r="AXY162" s="13"/>
      <c r="AXZ162" s="13"/>
      <c r="AYA162" s="13"/>
      <c r="AYB162" s="13"/>
      <c r="AYC162" s="13"/>
      <c r="AYD162" s="13"/>
      <c r="AYE162" s="13"/>
      <c r="AYF162" s="13"/>
      <c r="AYG162" s="13"/>
      <c r="AYH162" s="13"/>
      <c r="AYI162" s="13"/>
      <c r="AYJ162" s="13"/>
      <c r="AYK162" s="13"/>
      <c r="AYL162" s="13"/>
      <c r="AYM162" s="13"/>
      <c r="AYN162" s="13"/>
      <c r="AYO162" s="13"/>
      <c r="AYP162" s="13"/>
      <c r="AYQ162" s="13"/>
      <c r="AYR162" s="13"/>
      <c r="AYS162" s="13"/>
      <c r="AYT162" s="13"/>
      <c r="AYU162" s="13"/>
      <c r="AYV162" s="13"/>
      <c r="AYW162" s="13"/>
      <c r="AYX162" s="13"/>
      <c r="AYY162" s="13"/>
      <c r="AYZ162" s="13"/>
      <c r="AZA162" s="13"/>
      <c r="AZB162" s="13"/>
      <c r="AZC162" s="13"/>
      <c r="AZD162" s="13"/>
      <c r="AZE162" s="13"/>
      <c r="AZF162" s="13"/>
      <c r="AZG162" s="13"/>
      <c r="AZH162" s="13"/>
      <c r="AZI162" s="13"/>
      <c r="AZJ162" s="13"/>
      <c r="AZK162" s="13"/>
      <c r="AZL162" s="13"/>
      <c r="AZM162" s="13"/>
      <c r="AZN162" s="13"/>
      <c r="AZO162" s="13"/>
      <c r="AZP162" s="13"/>
      <c r="AZQ162" s="13"/>
      <c r="AZR162" s="13"/>
      <c r="AZS162" s="13"/>
      <c r="AZT162" s="13"/>
      <c r="AZU162" s="13"/>
      <c r="AZV162" s="13"/>
      <c r="AZW162" s="13"/>
      <c r="AZX162" s="13"/>
      <c r="AZY162" s="13"/>
      <c r="AZZ162" s="13"/>
      <c r="BAA162" s="13"/>
      <c r="BAB162" s="13"/>
      <c r="BAC162" s="13"/>
      <c r="BAD162" s="13"/>
      <c r="BAE162" s="13"/>
      <c r="BAF162" s="13"/>
      <c r="BAG162" s="13"/>
      <c r="BAH162" s="13"/>
      <c r="BAI162" s="13"/>
      <c r="BAJ162" s="13"/>
      <c r="BAK162" s="13"/>
      <c r="BAL162" s="13"/>
      <c r="BAM162" s="13"/>
      <c r="BAN162" s="13"/>
      <c r="BAO162" s="13"/>
      <c r="BAP162" s="13"/>
      <c r="BAQ162" s="13"/>
      <c r="BAR162" s="13"/>
      <c r="BAS162" s="13"/>
      <c r="BAT162" s="13"/>
      <c r="BAU162" s="13"/>
      <c r="BAV162" s="13"/>
      <c r="BAW162" s="13"/>
      <c r="BAX162" s="13"/>
      <c r="BAY162" s="13"/>
      <c r="BAZ162" s="13"/>
      <c r="BBA162" s="13"/>
      <c r="BBB162" s="13"/>
      <c r="BBC162" s="13"/>
      <c r="BBD162" s="13"/>
      <c r="BBE162" s="13"/>
      <c r="BBF162" s="13"/>
      <c r="BBG162" s="13"/>
      <c r="BBH162" s="13"/>
      <c r="BBI162" s="13"/>
      <c r="BBJ162" s="13"/>
      <c r="BBK162" s="13"/>
      <c r="BBL162" s="13"/>
      <c r="BBM162" s="13"/>
      <c r="BBN162" s="13"/>
      <c r="BBO162" s="13"/>
      <c r="BBP162" s="13"/>
      <c r="BBQ162" s="13"/>
      <c r="BBR162" s="13"/>
      <c r="BBS162" s="13"/>
      <c r="BBT162" s="13"/>
      <c r="BBU162" s="13"/>
      <c r="BBV162" s="13"/>
      <c r="BBW162" s="13"/>
      <c r="BBX162" s="13"/>
      <c r="BBY162" s="13"/>
      <c r="BBZ162" s="13"/>
      <c r="BCA162" s="13"/>
      <c r="BCB162" s="13"/>
      <c r="BCC162" s="13"/>
      <c r="BCD162" s="13"/>
      <c r="BCE162" s="13"/>
      <c r="BCF162" s="13"/>
      <c r="BCG162" s="13"/>
      <c r="BCH162" s="13"/>
      <c r="BCI162" s="13"/>
      <c r="BCJ162" s="13"/>
      <c r="BCK162" s="13"/>
      <c r="BCL162" s="13"/>
      <c r="BCM162" s="13"/>
      <c r="BCN162" s="13"/>
      <c r="BCO162" s="13"/>
      <c r="BCP162" s="13"/>
      <c r="BCQ162" s="13"/>
      <c r="BCR162" s="13"/>
      <c r="BCS162" s="13"/>
      <c r="BCT162" s="13"/>
      <c r="BCU162" s="13"/>
      <c r="BCV162" s="13"/>
      <c r="BCW162" s="13"/>
      <c r="BCX162" s="13"/>
      <c r="BCY162" s="13"/>
      <c r="BCZ162" s="13"/>
      <c r="BDA162" s="13"/>
      <c r="BDB162" s="13"/>
      <c r="BDC162" s="13"/>
      <c r="BDD162" s="13"/>
      <c r="BDE162" s="13"/>
      <c r="BDF162" s="13"/>
      <c r="BDG162" s="13"/>
      <c r="BDH162" s="13"/>
      <c r="BDI162" s="13"/>
      <c r="BDJ162" s="13"/>
      <c r="BDK162" s="13"/>
      <c r="BDL162" s="13"/>
      <c r="BDM162" s="13"/>
      <c r="BDN162" s="13"/>
      <c r="BDO162" s="13"/>
      <c r="BDP162" s="13"/>
      <c r="BDQ162" s="13"/>
      <c r="BDR162" s="13"/>
      <c r="BDS162" s="13"/>
      <c r="BDT162" s="13"/>
      <c r="BDU162" s="13"/>
      <c r="BDV162" s="13"/>
      <c r="BDW162" s="13"/>
      <c r="BDX162" s="13"/>
      <c r="BDY162" s="13"/>
      <c r="BDZ162" s="13"/>
      <c r="BEA162" s="13"/>
      <c r="BEB162" s="13"/>
      <c r="BEC162" s="13"/>
      <c r="BED162" s="13"/>
      <c r="BEE162" s="13"/>
      <c r="BEF162" s="13"/>
      <c r="BEG162" s="13"/>
      <c r="BEH162" s="13"/>
      <c r="BEI162" s="13"/>
      <c r="BEJ162" s="13"/>
      <c r="BEK162" s="13"/>
      <c r="BEL162" s="13"/>
      <c r="BEM162" s="13"/>
      <c r="BEN162" s="13"/>
      <c r="BEO162" s="13"/>
      <c r="BEP162" s="13"/>
      <c r="BEQ162" s="13"/>
      <c r="BER162" s="13"/>
      <c r="BES162" s="13"/>
      <c r="BET162" s="13"/>
      <c r="BEU162" s="13"/>
      <c r="BEV162" s="13"/>
      <c r="BEW162" s="13"/>
      <c r="BEX162" s="13"/>
      <c r="BEY162" s="13"/>
      <c r="BEZ162" s="13"/>
      <c r="BFA162" s="13"/>
      <c r="BFB162" s="13"/>
      <c r="BFC162" s="13"/>
      <c r="BFD162" s="13"/>
      <c r="BFE162" s="13"/>
      <c r="BFF162" s="13"/>
      <c r="BFG162" s="13"/>
      <c r="BFH162" s="13"/>
      <c r="BFI162" s="13"/>
      <c r="BFJ162" s="13"/>
      <c r="BFK162" s="13"/>
      <c r="BFL162" s="13"/>
      <c r="BFM162" s="13"/>
      <c r="BFN162" s="13"/>
      <c r="BFO162" s="13"/>
      <c r="BFP162" s="13"/>
      <c r="BFQ162" s="13"/>
      <c r="BFR162" s="13"/>
      <c r="BFS162" s="13"/>
      <c r="BFT162" s="13"/>
      <c r="BFU162" s="13"/>
      <c r="BFV162" s="13"/>
      <c r="BFW162" s="13"/>
      <c r="BFX162" s="13"/>
      <c r="BFY162" s="13"/>
      <c r="BFZ162" s="13"/>
      <c r="BGA162" s="13"/>
      <c r="BGB162" s="13"/>
      <c r="BGC162" s="13"/>
      <c r="BGD162" s="13"/>
      <c r="BGE162" s="13"/>
      <c r="BGF162" s="13"/>
      <c r="BGG162" s="13"/>
      <c r="BGH162" s="13"/>
      <c r="BGI162" s="13"/>
      <c r="BGJ162" s="13"/>
      <c r="BGK162" s="13"/>
      <c r="BGL162" s="13"/>
      <c r="BGM162" s="13"/>
      <c r="BGN162" s="13"/>
      <c r="BGO162" s="13"/>
      <c r="BGP162" s="13"/>
      <c r="BGQ162" s="13"/>
      <c r="BGR162" s="13"/>
      <c r="BGS162" s="13"/>
      <c r="BGT162" s="13"/>
      <c r="BGU162" s="13"/>
      <c r="BGV162" s="13"/>
      <c r="BGW162" s="13"/>
      <c r="BGX162" s="13"/>
      <c r="BGY162" s="13"/>
      <c r="BGZ162" s="13"/>
      <c r="BHA162" s="13"/>
      <c r="BHB162" s="13"/>
      <c r="BHC162" s="13"/>
      <c r="BHD162" s="13"/>
      <c r="BHE162" s="13"/>
      <c r="BHF162" s="13"/>
      <c r="BHG162" s="13"/>
      <c r="BHH162" s="13"/>
      <c r="BHI162" s="13"/>
      <c r="BHJ162" s="13"/>
      <c r="BHK162" s="13"/>
      <c r="BHL162" s="13"/>
      <c r="BHM162" s="13"/>
      <c r="BHN162" s="13"/>
      <c r="BHO162" s="13"/>
      <c r="BHP162" s="13"/>
      <c r="BHQ162" s="13"/>
      <c r="BHR162" s="13"/>
      <c r="BHS162" s="13"/>
      <c r="BHT162" s="13"/>
      <c r="BHU162" s="13"/>
      <c r="BHV162" s="13"/>
      <c r="BHW162" s="13"/>
      <c r="BHX162" s="13"/>
      <c r="BHY162" s="13"/>
      <c r="BHZ162" s="13"/>
      <c r="BIA162" s="13"/>
      <c r="BIB162" s="13"/>
      <c r="BIC162" s="13"/>
      <c r="BID162" s="13"/>
      <c r="BIE162" s="13"/>
      <c r="BIF162" s="13"/>
      <c r="BIG162" s="13"/>
      <c r="BIH162" s="13"/>
      <c r="BII162" s="13"/>
      <c r="BIJ162" s="13"/>
      <c r="BIK162" s="13"/>
      <c r="BIL162" s="13"/>
      <c r="BIM162" s="13"/>
      <c r="BIN162" s="13"/>
      <c r="BIO162" s="13"/>
      <c r="BIP162" s="13"/>
      <c r="BIQ162" s="13"/>
      <c r="BIR162" s="13"/>
      <c r="BIS162" s="13"/>
      <c r="BIT162" s="13"/>
      <c r="BIU162" s="13"/>
      <c r="BIV162" s="13"/>
      <c r="BIW162" s="13"/>
      <c r="BIX162" s="13"/>
      <c r="BIY162" s="13"/>
      <c r="BIZ162" s="13"/>
      <c r="BJA162" s="13"/>
      <c r="BJB162" s="13"/>
      <c r="BJC162" s="13"/>
      <c r="BJD162" s="13"/>
      <c r="BJE162" s="13"/>
      <c r="BJF162" s="13"/>
      <c r="BJG162" s="13"/>
      <c r="BJH162" s="13"/>
      <c r="BJI162" s="13"/>
      <c r="BJJ162" s="13"/>
      <c r="BJK162" s="13"/>
      <c r="BJL162" s="13"/>
      <c r="BJM162" s="13"/>
      <c r="BJN162" s="13"/>
      <c r="BJO162" s="13"/>
      <c r="BJP162" s="13"/>
      <c r="BJQ162" s="13"/>
      <c r="BJR162" s="13"/>
      <c r="BJS162" s="13"/>
      <c r="BJT162" s="13"/>
      <c r="BJU162" s="13"/>
      <c r="BJV162" s="13"/>
      <c r="BJW162" s="13"/>
      <c r="BJX162" s="13"/>
      <c r="BJY162" s="13"/>
      <c r="BJZ162" s="13"/>
      <c r="BKA162" s="13"/>
      <c r="BKB162" s="13"/>
      <c r="BKC162" s="13"/>
      <c r="BKD162" s="13"/>
      <c r="BKE162" s="13"/>
      <c r="BKF162" s="13"/>
      <c r="BKG162" s="13"/>
      <c r="BKH162" s="13"/>
      <c r="BKI162" s="13"/>
      <c r="BKJ162" s="13"/>
      <c r="BKK162" s="13"/>
      <c r="BKL162" s="13"/>
      <c r="BKM162" s="13"/>
      <c r="BKN162" s="13"/>
      <c r="BKO162" s="13"/>
      <c r="BKP162" s="13"/>
      <c r="BKQ162" s="13"/>
      <c r="BKR162" s="13"/>
      <c r="BKS162" s="13"/>
      <c r="BKT162" s="13"/>
      <c r="BKU162" s="13"/>
      <c r="BKV162" s="13"/>
      <c r="BKW162" s="13"/>
      <c r="BKX162" s="13"/>
      <c r="BKY162" s="13"/>
      <c r="BKZ162" s="13"/>
      <c r="BLA162" s="13"/>
      <c r="BLB162" s="13"/>
      <c r="BLC162" s="13"/>
      <c r="BLD162" s="13"/>
      <c r="BLE162" s="13"/>
      <c r="BLF162" s="13"/>
      <c r="BLG162" s="13"/>
      <c r="BLH162" s="13"/>
      <c r="BLI162" s="13"/>
      <c r="BLJ162" s="13"/>
      <c r="BLK162" s="13"/>
      <c r="BLL162" s="13"/>
      <c r="BLM162" s="13"/>
      <c r="BLN162" s="13"/>
      <c r="BLO162" s="13"/>
      <c r="BLP162" s="13"/>
      <c r="BLQ162" s="13"/>
      <c r="BLR162" s="13"/>
      <c r="BLS162" s="13"/>
      <c r="BLT162" s="13"/>
      <c r="BLU162" s="13"/>
      <c r="BLV162" s="13"/>
      <c r="BLW162" s="13"/>
      <c r="BLX162" s="13"/>
      <c r="BLY162" s="13"/>
      <c r="BLZ162" s="13"/>
      <c r="BMA162" s="13"/>
      <c r="BMB162" s="13"/>
      <c r="BMC162" s="13"/>
      <c r="BMD162" s="13"/>
      <c r="BME162" s="13"/>
      <c r="BMF162" s="13"/>
      <c r="BMG162" s="13"/>
      <c r="BMH162" s="13"/>
      <c r="BMI162" s="13"/>
      <c r="BMJ162" s="13"/>
      <c r="BMK162" s="13"/>
      <c r="BML162" s="13"/>
      <c r="BMM162" s="13"/>
      <c r="BMN162" s="13"/>
      <c r="BMO162" s="13"/>
      <c r="BMP162" s="13"/>
      <c r="BMQ162" s="13"/>
      <c r="BMR162" s="13"/>
      <c r="BMS162" s="13"/>
      <c r="BMT162" s="13"/>
      <c r="BMU162" s="13"/>
      <c r="BMV162" s="13"/>
      <c r="BMW162" s="13"/>
      <c r="BMX162" s="13"/>
      <c r="BMY162" s="13"/>
      <c r="BMZ162" s="13"/>
      <c r="BNA162" s="13"/>
      <c r="BNB162" s="13"/>
      <c r="BNC162" s="13"/>
      <c r="BND162" s="13"/>
      <c r="BNE162" s="13"/>
      <c r="BNF162" s="13"/>
      <c r="BNG162" s="13"/>
      <c r="BNH162" s="13"/>
      <c r="BNI162" s="13"/>
      <c r="BNJ162" s="13"/>
      <c r="BNK162" s="13"/>
      <c r="BNL162" s="13"/>
      <c r="BNM162" s="13"/>
      <c r="BNN162" s="13"/>
      <c r="BNO162" s="13"/>
      <c r="BNP162" s="13"/>
      <c r="BNQ162" s="13"/>
      <c r="BNR162" s="13"/>
      <c r="BNS162" s="13"/>
      <c r="BNT162" s="13"/>
      <c r="BNU162" s="13"/>
      <c r="BNV162" s="13"/>
      <c r="BNW162" s="13"/>
      <c r="BNX162" s="13"/>
      <c r="BNY162" s="13"/>
      <c r="BNZ162" s="13"/>
      <c r="BOA162" s="13"/>
      <c r="BOB162" s="13"/>
      <c r="BOC162" s="13"/>
      <c r="BOD162" s="13"/>
      <c r="BOE162" s="13"/>
      <c r="BOF162" s="13"/>
      <c r="BOG162" s="13"/>
      <c r="BOH162" s="13"/>
      <c r="BOI162" s="13"/>
      <c r="BOJ162" s="13"/>
      <c r="BOK162" s="13"/>
      <c r="BOL162" s="13"/>
      <c r="BOM162" s="13"/>
      <c r="BON162" s="13"/>
      <c r="BOO162" s="13"/>
      <c r="BOP162" s="13"/>
      <c r="BOQ162" s="13"/>
      <c r="BOR162" s="13"/>
      <c r="BOS162" s="13"/>
      <c r="BOT162" s="13"/>
      <c r="BOU162" s="13"/>
      <c r="BOV162" s="13"/>
      <c r="BOW162" s="13"/>
      <c r="BOX162" s="13"/>
      <c r="BOY162" s="13"/>
      <c r="BOZ162" s="13"/>
      <c r="BPA162" s="13"/>
      <c r="BPB162" s="13"/>
      <c r="BPC162" s="13"/>
      <c r="BPD162" s="13"/>
      <c r="BPE162" s="13"/>
      <c r="BPF162" s="13"/>
      <c r="BPG162" s="13"/>
      <c r="BPH162" s="13"/>
      <c r="BPI162" s="13"/>
      <c r="BPJ162" s="13"/>
      <c r="BPK162" s="13"/>
      <c r="BPL162" s="13"/>
      <c r="BPM162" s="13"/>
      <c r="BPN162" s="13"/>
      <c r="BPO162" s="13"/>
      <c r="BPP162" s="13"/>
      <c r="BPQ162" s="13"/>
      <c r="BPR162" s="13"/>
      <c r="BPS162" s="13"/>
      <c r="BPT162" s="13"/>
      <c r="BPU162" s="13"/>
      <c r="BPV162" s="13"/>
      <c r="BPW162" s="13"/>
      <c r="BPX162" s="13"/>
      <c r="BPY162" s="13"/>
      <c r="BPZ162" s="13"/>
      <c r="BQA162" s="13"/>
      <c r="BQB162" s="13"/>
      <c r="BQC162" s="13"/>
      <c r="BQD162" s="13"/>
      <c r="BQE162" s="13"/>
      <c r="BQF162" s="13"/>
      <c r="BQG162" s="13"/>
      <c r="BQH162" s="13"/>
      <c r="BQI162" s="13"/>
      <c r="BQJ162" s="13"/>
      <c r="BQK162" s="13"/>
      <c r="BQL162" s="13"/>
      <c r="BQM162" s="13"/>
      <c r="BQN162" s="13"/>
      <c r="BQO162" s="13"/>
      <c r="BQP162" s="13"/>
      <c r="BQQ162" s="13"/>
      <c r="BQR162" s="13"/>
      <c r="BQS162" s="13"/>
      <c r="BQT162" s="13"/>
      <c r="BQU162" s="13"/>
      <c r="BQV162" s="13"/>
      <c r="BQW162" s="13"/>
      <c r="BQX162" s="13"/>
      <c r="BQY162" s="13"/>
      <c r="BQZ162" s="13"/>
      <c r="BRA162" s="13"/>
      <c r="BRB162" s="13"/>
      <c r="BRC162" s="13"/>
      <c r="BRD162" s="13"/>
      <c r="BRE162" s="13"/>
      <c r="BRF162" s="13"/>
      <c r="BRG162" s="13"/>
      <c r="BRH162" s="13"/>
      <c r="BRI162" s="13"/>
      <c r="BRJ162" s="13"/>
      <c r="BRK162" s="13"/>
      <c r="BRL162" s="13"/>
      <c r="BRM162" s="13"/>
      <c r="BRN162" s="13"/>
      <c r="BRO162" s="13"/>
      <c r="BRP162" s="13"/>
      <c r="BRQ162" s="13"/>
      <c r="BRR162" s="13"/>
      <c r="BRS162" s="13"/>
      <c r="BRT162" s="13"/>
      <c r="BRU162" s="13"/>
      <c r="BRV162" s="13"/>
      <c r="BRW162" s="13"/>
      <c r="BRX162" s="13"/>
      <c r="BRY162" s="13"/>
      <c r="BRZ162" s="13"/>
      <c r="BSA162" s="13"/>
      <c r="BSB162" s="13"/>
      <c r="BSC162" s="13"/>
      <c r="BSD162" s="13"/>
      <c r="BSE162" s="13"/>
      <c r="BSF162" s="13"/>
      <c r="BSG162" s="13"/>
      <c r="BSH162" s="13"/>
      <c r="BSI162" s="13"/>
      <c r="BSJ162" s="13"/>
      <c r="BSK162" s="13"/>
      <c r="BSL162" s="13"/>
      <c r="BSM162" s="13"/>
      <c r="BSN162" s="13"/>
      <c r="BSO162" s="13"/>
      <c r="BSP162" s="13"/>
      <c r="BSQ162" s="13"/>
      <c r="BSR162" s="13"/>
      <c r="BSS162" s="13"/>
      <c r="BST162" s="13"/>
      <c r="BSU162" s="13"/>
      <c r="BSV162" s="13"/>
      <c r="BSW162" s="13"/>
      <c r="BSX162" s="13"/>
      <c r="BSY162" s="13"/>
      <c r="BSZ162" s="13"/>
      <c r="BTA162" s="13"/>
    </row>
    <row r="163" spans="1:1873" s="23" customFormat="1" x14ac:dyDescent="0.2">
      <c r="A163" s="234" t="s">
        <v>679</v>
      </c>
      <c r="B163" s="234" t="s">
        <v>618</v>
      </c>
      <c r="C163" s="234" t="s">
        <v>481</v>
      </c>
      <c r="D163" s="234" t="s">
        <v>633</v>
      </c>
      <c r="E163" s="493" t="s">
        <v>1502</v>
      </c>
      <c r="F163" s="234">
        <v>10</v>
      </c>
      <c r="G163" s="234">
        <v>1</v>
      </c>
      <c r="H163" s="491">
        <v>10</v>
      </c>
      <c r="I163" s="234" t="s">
        <v>621</v>
      </c>
      <c r="J163" s="234">
        <v>1987</v>
      </c>
      <c r="K163" s="234" t="s">
        <v>962</v>
      </c>
      <c r="L163" s="234">
        <v>1996</v>
      </c>
      <c r="M163" s="389">
        <v>10.8</v>
      </c>
      <c r="N163" s="389">
        <v>-9999</v>
      </c>
      <c r="O163" s="29"/>
      <c r="P163" s="237">
        <f t="shared" si="1"/>
        <v>115.63</v>
      </c>
      <c r="Q163" s="234">
        <v>-9999</v>
      </c>
      <c r="R163" s="389"/>
      <c r="S163" s="234"/>
      <c r="T163" s="237">
        <f t="shared" si="0"/>
        <v>11.562999999999999</v>
      </c>
      <c r="U163" s="234">
        <v>-9999</v>
      </c>
      <c r="V163" s="234"/>
      <c r="W163" s="389">
        <v>10.8</v>
      </c>
      <c r="X163" s="234">
        <v>-9999</v>
      </c>
      <c r="Y163" s="234"/>
      <c r="Z163" s="234" t="s">
        <v>622</v>
      </c>
      <c r="AA163" s="515">
        <v>111111</v>
      </c>
      <c r="AB163" s="412">
        <v>0.33</v>
      </c>
      <c r="AC163" s="234">
        <v>8.6400000000000005E-2</v>
      </c>
      <c r="AD163" s="234">
        <v>36</v>
      </c>
      <c r="AE163" s="390" t="s">
        <v>1974</v>
      </c>
      <c r="AF163" s="234">
        <v>3</v>
      </c>
      <c r="AG163" s="234">
        <v>2</v>
      </c>
      <c r="AH163" s="234" t="s">
        <v>623</v>
      </c>
      <c r="AI163" s="234" t="s">
        <v>624</v>
      </c>
      <c r="AJ163" s="234">
        <v>-9999</v>
      </c>
      <c r="AK163" s="234" t="s">
        <v>626</v>
      </c>
      <c r="AL163" s="234" t="s">
        <v>653</v>
      </c>
      <c r="AM163" s="234">
        <v>-9999</v>
      </c>
      <c r="AN163" s="234" t="s">
        <v>491</v>
      </c>
      <c r="AO163" s="234" t="s">
        <v>627</v>
      </c>
      <c r="AP163" s="234" t="s">
        <v>489</v>
      </c>
      <c r="AQ163" s="234" t="s">
        <v>626</v>
      </c>
      <c r="AR163" s="234">
        <v>336</v>
      </c>
      <c r="AS163" s="234" t="s">
        <v>1101</v>
      </c>
      <c r="AT163" s="234" t="s">
        <v>747</v>
      </c>
      <c r="AU163" s="234">
        <v>112</v>
      </c>
      <c r="AV163" s="234" t="s">
        <v>218</v>
      </c>
      <c r="AW163" s="234" t="s">
        <v>748</v>
      </c>
      <c r="AX163" s="234">
        <v>224</v>
      </c>
      <c r="AY163" s="234" t="s">
        <v>219</v>
      </c>
      <c r="AZ163" s="234" t="s">
        <v>748</v>
      </c>
      <c r="BA163" s="234">
        <v>-9999</v>
      </c>
      <c r="BB163" s="234" t="s">
        <v>626</v>
      </c>
      <c r="BC163" s="516" t="s">
        <v>37</v>
      </c>
      <c r="BD163" s="234" t="s">
        <v>674</v>
      </c>
      <c r="BE163" s="234" t="s">
        <v>36</v>
      </c>
      <c r="BF163" s="234">
        <v>-9999</v>
      </c>
      <c r="BG163" s="234">
        <v>-9999</v>
      </c>
      <c r="BH163" s="234">
        <v>-9999</v>
      </c>
      <c r="BI163" s="234" t="s">
        <v>492</v>
      </c>
      <c r="BJ163" s="234">
        <v>-9999</v>
      </c>
      <c r="BK163" s="234">
        <v>-9999</v>
      </c>
      <c r="BL163" s="234">
        <v>-9999</v>
      </c>
      <c r="BM163" s="234">
        <v>-9999</v>
      </c>
      <c r="BN163" s="234">
        <v>-9999</v>
      </c>
      <c r="BO163" s="234">
        <v>-9999</v>
      </c>
      <c r="BP163" s="234">
        <v>-9999</v>
      </c>
      <c r="BQ163" s="234">
        <v>-9999</v>
      </c>
      <c r="BR163" s="234">
        <v>-9999</v>
      </c>
      <c r="BS163" s="491">
        <v>-9999</v>
      </c>
      <c r="BT163" s="234">
        <v>-9999</v>
      </c>
      <c r="BU163" s="234">
        <v>-9999</v>
      </c>
      <c r="BV163" s="234">
        <v>-9999</v>
      </c>
      <c r="BW163" s="234"/>
      <c r="BX163" s="234">
        <v>-9999</v>
      </c>
      <c r="BY163" s="234">
        <v>-9999</v>
      </c>
      <c r="BZ163" s="496">
        <v>-9999</v>
      </c>
      <c r="CA163" s="496">
        <v>-9999</v>
      </c>
      <c r="CB163" s="499"/>
      <c r="CC163" s="57">
        <v>10</v>
      </c>
      <c r="CD163" s="57">
        <v>1</v>
      </c>
      <c r="CE163" s="292">
        <v>11.562999999999999</v>
      </c>
      <c r="CF163" s="292">
        <v>10.8</v>
      </c>
      <c r="CG163" s="72">
        <v>10</v>
      </c>
    </row>
    <row r="164" spans="1:1873" s="23" customFormat="1" x14ac:dyDescent="0.2">
      <c r="A164" s="234"/>
      <c r="B164" s="234"/>
      <c r="C164" s="234"/>
      <c r="D164" s="234"/>
      <c r="E164" s="493"/>
      <c r="F164" s="234"/>
      <c r="G164" s="234"/>
      <c r="H164" s="491"/>
      <c r="I164" s="234"/>
      <c r="J164" s="234"/>
      <c r="K164" s="234"/>
      <c r="L164" s="234"/>
      <c r="M164" s="389"/>
      <c r="N164" s="389"/>
      <c r="O164" s="29"/>
      <c r="P164" s="237"/>
      <c r="Q164" s="234"/>
      <c r="R164" s="389"/>
      <c r="S164" s="234"/>
      <c r="T164" s="237"/>
      <c r="U164" s="234"/>
      <c r="V164" s="234"/>
      <c r="W164" s="389"/>
      <c r="X164" s="234"/>
      <c r="Y164" s="234"/>
      <c r="Z164" s="234"/>
      <c r="AA164" s="515"/>
      <c r="AB164" s="389"/>
      <c r="AC164" s="234"/>
      <c r="AD164" s="234"/>
      <c r="AE164" s="234"/>
      <c r="AF164" s="234"/>
      <c r="AG164" s="234"/>
      <c r="AH164" s="234"/>
      <c r="AI164" s="234"/>
      <c r="AJ164" s="234"/>
      <c r="AK164" s="234"/>
      <c r="AL164" s="234"/>
      <c r="AM164" s="234"/>
      <c r="AN164" s="234"/>
      <c r="AO164" s="234"/>
      <c r="AP164" s="234"/>
      <c r="AQ164" s="234"/>
      <c r="AR164" s="234"/>
      <c r="AS164" s="234"/>
      <c r="AT164" s="234"/>
      <c r="AU164" s="234"/>
      <c r="AV164" s="234"/>
      <c r="AW164" s="234"/>
      <c r="AX164" s="234"/>
      <c r="AY164" s="234"/>
      <c r="AZ164" s="234"/>
      <c r="BA164" s="234"/>
      <c r="BB164" s="234"/>
      <c r="BC164" s="516"/>
      <c r="BD164" s="234"/>
      <c r="BE164" s="234"/>
      <c r="BF164" s="234"/>
      <c r="BG164" s="234"/>
      <c r="BH164" s="234"/>
      <c r="BI164" s="234"/>
      <c r="BJ164" s="234"/>
      <c r="BK164" s="234"/>
      <c r="BL164" s="234"/>
      <c r="BM164" s="234"/>
      <c r="BN164" s="234"/>
      <c r="BO164" s="234"/>
      <c r="BP164" s="234"/>
      <c r="BQ164" s="234"/>
      <c r="BR164" s="234"/>
      <c r="BS164" s="491"/>
      <c r="BT164" s="234"/>
      <c r="BU164" s="234"/>
      <c r="BV164" s="234"/>
      <c r="BW164" s="234"/>
      <c r="BX164" s="234"/>
      <c r="BY164" s="234"/>
      <c r="BZ164" s="496"/>
      <c r="CA164" s="496"/>
      <c r="CB164" s="499"/>
      <c r="CC164" s="57"/>
      <c r="CD164" s="57"/>
      <c r="CE164" s="342" t="s">
        <v>1576</v>
      </c>
      <c r="CF164" s="342" t="s">
        <v>1575</v>
      </c>
      <c r="CG164" s="72"/>
    </row>
    <row r="165" spans="1:1873" s="23" customFormat="1" x14ac:dyDescent="0.2">
      <c r="A165" s="234" t="s">
        <v>679</v>
      </c>
      <c r="B165" s="234" t="s">
        <v>618</v>
      </c>
      <c r="C165" s="234" t="s">
        <v>482</v>
      </c>
      <c r="D165" s="234" t="s">
        <v>633</v>
      </c>
      <c r="E165" s="493" t="s">
        <v>1502</v>
      </c>
      <c r="F165" s="234">
        <v>1</v>
      </c>
      <c r="G165" s="234">
        <v>1</v>
      </c>
      <c r="H165" s="491">
        <v>1</v>
      </c>
      <c r="I165" s="234" t="s">
        <v>621</v>
      </c>
      <c r="J165" s="234">
        <v>1987</v>
      </c>
      <c r="K165" s="234" t="s">
        <v>961</v>
      </c>
      <c r="L165" s="234">
        <v>1987</v>
      </c>
      <c r="M165" s="389">
        <v>1.04</v>
      </c>
      <c r="N165" s="389">
        <v>-9999</v>
      </c>
      <c r="O165" s="29"/>
      <c r="P165" s="237">
        <f>+M165</f>
        <v>1.04</v>
      </c>
      <c r="Q165" s="234">
        <v>-9999</v>
      </c>
      <c r="R165" s="389"/>
      <c r="S165" s="234"/>
      <c r="T165" s="237">
        <f t="shared" ref="T165:T174" si="2">+P165/H165</f>
        <v>1.04</v>
      </c>
      <c r="U165" s="234">
        <v>-9999</v>
      </c>
      <c r="V165" s="234"/>
      <c r="W165" s="389">
        <v>1.04</v>
      </c>
      <c r="X165" s="234">
        <v>-9999</v>
      </c>
      <c r="Y165" s="234"/>
      <c r="Z165" s="234" t="s">
        <v>622</v>
      </c>
      <c r="AA165" s="515">
        <v>111111</v>
      </c>
      <c r="AB165" s="389">
        <v>1</v>
      </c>
      <c r="AC165" s="234">
        <v>8.6400000000000005E-2</v>
      </c>
      <c r="AD165" s="234">
        <v>36</v>
      </c>
      <c r="AE165" s="390" t="s">
        <v>1974</v>
      </c>
      <c r="AF165" s="234">
        <v>3</v>
      </c>
      <c r="AG165" s="234">
        <v>2</v>
      </c>
      <c r="AH165" s="234" t="s">
        <v>623</v>
      </c>
      <c r="AI165" s="234" t="s">
        <v>624</v>
      </c>
      <c r="AJ165" s="234">
        <v>-9999</v>
      </c>
      <c r="AK165" s="234" t="s">
        <v>626</v>
      </c>
      <c r="AL165" s="234" t="s">
        <v>653</v>
      </c>
      <c r="AM165" s="234">
        <v>-9999</v>
      </c>
      <c r="AN165" s="234" t="s">
        <v>491</v>
      </c>
      <c r="AO165" s="234" t="s">
        <v>627</v>
      </c>
      <c r="AP165" s="234" t="s">
        <v>489</v>
      </c>
      <c r="AQ165" s="234" t="s">
        <v>631</v>
      </c>
      <c r="AR165" s="234">
        <v>0</v>
      </c>
      <c r="AS165" s="234">
        <v>-9999</v>
      </c>
      <c r="AT165" s="234">
        <v>-9999</v>
      </c>
      <c r="AU165" s="234">
        <v>0</v>
      </c>
      <c r="AV165" s="234">
        <v>-9999</v>
      </c>
      <c r="AW165" s="234">
        <v>-9999</v>
      </c>
      <c r="AX165" s="234">
        <v>0</v>
      </c>
      <c r="AY165" s="234">
        <v>-9999</v>
      </c>
      <c r="AZ165" s="234">
        <v>-9999</v>
      </c>
      <c r="BA165" s="234">
        <v>-9999</v>
      </c>
      <c r="BB165" s="234" t="s">
        <v>626</v>
      </c>
      <c r="BC165" s="516" t="s">
        <v>37</v>
      </c>
      <c r="BD165" s="234" t="s">
        <v>674</v>
      </c>
      <c r="BE165" s="234" t="s">
        <v>36</v>
      </c>
      <c r="BF165" s="234">
        <v>-9999</v>
      </c>
      <c r="BG165" s="234">
        <v>-9999</v>
      </c>
      <c r="BH165" s="234">
        <v>-9999</v>
      </c>
      <c r="BI165" s="234" t="s">
        <v>492</v>
      </c>
      <c r="BJ165" s="234">
        <v>-9999</v>
      </c>
      <c r="BK165" s="234">
        <v>-9999</v>
      </c>
      <c r="BL165" s="234">
        <v>-9999</v>
      </c>
      <c r="BM165" s="234">
        <v>-9999</v>
      </c>
      <c r="BN165" s="234">
        <v>-9999</v>
      </c>
      <c r="BO165" s="234">
        <v>-9999</v>
      </c>
      <c r="BP165" s="234">
        <v>-9999</v>
      </c>
      <c r="BQ165" s="234">
        <v>-9999</v>
      </c>
      <c r="BR165" s="234">
        <v>-9999</v>
      </c>
      <c r="BS165" s="491">
        <v>-9999</v>
      </c>
      <c r="BT165" s="234">
        <v>-9999</v>
      </c>
      <c r="BU165" s="234">
        <v>-9999</v>
      </c>
      <c r="BV165" s="234">
        <v>-9999</v>
      </c>
      <c r="BW165" s="234"/>
      <c r="BX165" s="234">
        <v>-9999</v>
      </c>
      <c r="BY165" s="234">
        <v>-9999</v>
      </c>
      <c r="BZ165" s="496">
        <v>-9999</v>
      </c>
      <c r="CA165" s="496">
        <v>-9999</v>
      </c>
      <c r="CB165" s="499"/>
      <c r="CC165" s="57">
        <v>1</v>
      </c>
      <c r="CD165" s="57">
        <v>1</v>
      </c>
      <c r="CE165" s="292">
        <v>1.04</v>
      </c>
      <c r="CF165" s="292">
        <v>1.04</v>
      </c>
      <c r="CG165" s="72">
        <v>1</v>
      </c>
      <c r="CO165" s="345" t="s">
        <v>1580</v>
      </c>
    </row>
    <row r="166" spans="1:1873" s="23" customFormat="1" x14ac:dyDescent="0.2">
      <c r="A166" s="234" t="s">
        <v>679</v>
      </c>
      <c r="B166" s="234" t="s">
        <v>618</v>
      </c>
      <c r="C166" s="234" t="s">
        <v>482</v>
      </c>
      <c r="D166" s="234" t="s">
        <v>633</v>
      </c>
      <c r="E166" s="493" t="s">
        <v>1502</v>
      </c>
      <c r="F166" s="234">
        <v>2</v>
      </c>
      <c r="G166" s="234">
        <v>1</v>
      </c>
      <c r="H166" s="491">
        <v>2</v>
      </c>
      <c r="I166" s="234" t="s">
        <v>621</v>
      </c>
      <c r="J166" s="234">
        <v>1987</v>
      </c>
      <c r="K166" s="234" t="s">
        <v>962</v>
      </c>
      <c r="L166" s="234">
        <v>1988</v>
      </c>
      <c r="M166" s="389">
        <v>5.97</v>
      </c>
      <c r="N166" s="389">
        <v>-9999</v>
      </c>
      <c r="O166" s="29"/>
      <c r="P166" s="237">
        <f t="shared" ref="P166:P174" si="3">+P165+M166</f>
        <v>7.01</v>
      </c>
      <c r="Q166" s="234">
        <v>-9999</v>
      </c>
      <c r="R166" s="389"/>
      <c r="S166" s="234"/>
      <c r="T166" s="237">
        <f t="shared" si="2"/>
        <v>3.5049999999999999</v>
      </c>
      <c r="U166" s="234">
        <v>-9999</v>
      </c>
      <c r="V166" s="234"/>
      <c r="W166" s="389">
        <v>5.97</v>
      </c>
      <c r="X166" s="234">
        <v>-9999</v>
      </c>
      <c r="Y166" s="234"/>
      <c r="Z166" s="234" t="s">
        <v>622</v>
      </c>
      <c r="AA166" s="515">
        <v>111111</v>
      </c>
      <c r="AB166" s="389">
        <v>0.9</v>
      </c>
      <c r="AC166" s="234">
        <v>8.6400000000000005E-2</v>
      </c>
      <c r="AD166" s="234">
        <v>36</v>
      </c>
      <c r="AE166" s="390" t="s">
        <v>1974</v>
      </c>
      <c r="AF166" s="234">
        <v>3</v>
      </c>
      <c r="AG166" s="234">
        <v>2</v>
      </c>
      <c r="AH166" s="234" t="s">
        <v>623</v>
      </c>
      <c r="AI166" s="234" t="s">
        <v>624</v>
      </c>
      <c r="AJ166" s="234">
        <v>-9999</v>
      </c>
      <c r="AK166" s="234" t="s">
        <v>626</v>
      </c>
      <c r="AL166" s="234" t="s">
        <v>653</v>
      </c>
      <c r="AM166" s="234">
        <v>-9999</v>
      </c>
      <c r="AN166" s="234" t="s">
        <v>491</v>
      </c>
      <c r="AO166" s="234" t="s">
        <v>627</v>
      </c>
      <c r="AP166" s="234" t="s">
        <v>489</v>
      </c>
      <c r="AQ166" s="234" t="s">
        <v>631</v>
      </c>
      <c r="AR166" s="234">
        <v>0</v>
      </c>
      <c r="AS166" s="234">
        <v>-9999</v>
      </c>
      <c r="AT166" s="234">
        <v>-9999</v>
      </c>
      <c r="AU166" s="234">
        <v>0</v>
      </c>
      <c r="AV166" s="234">
        <v>-9999</v>
      </c>
      <c r="AW166" s="234">
        <v>-9999</v>
      </c>
      <c r="AX166" s="234">
        <v>0</v>
      </c>
      <c r="AY166" s="234">
        <v>-9999</v>
      </c>
      <c r="AZ166" s="234">
        <v>-9999</v>
      </c>
      <c r="BA166" s="234">
        <v>-9999</v>
      </c>
      <c r="BB166" s="234" t="s">
        <v>626</v>
      </c>
      <c r="BC166" s="516" t="s">
        <v>37</v>
      </c>
      <c r="BD166" s="234" t="s">
        <v>674</v>
      </c>
      <c r="BE166" s="234" t="s">
        <v>36</v>
      </c>
      <c r="BF166" s="234">
        <v>-9999</v>
      </c>
      <c r="BG166" s="234">
        <v>-9999</v>
      </c>
      <c r="BH166" s="234">
        <v>-9999</v>
      </c>
      <c r="BI166" s="234" t="s">
        <v>492</v>
      </c>
      <c r="BJ166" s="234">
        <v>-9999</v>
      </c>
      <c r="BK166" s="234">
        <v>-9999</v>
      </c>
      <c r="BL166" s="234">
        <v>-9999</v>
      </c>
      <c r="BM166" s="234">
        <v>-9999</v>
      </c>
      <c r="BN166" s="234">
        <v>-9999</v>
      </c>
      <c r="BO166" s="234">
        <v>-9999</v>
      </c>
      <c r="BP166" s="234">
        <v>-9999</v>
      </c>
      <c r="BQ166" s="234">
        <v>-9999</v>
      </c>
      <c r="BR166" s="234">
        <v>-9999</v>
      </c>
      <c r="BS166" s="491">
        <v>-9999</v>
      </c>
      <c r="BT166" s="234">
        <v>-9999</v>
      </c>
      <c r="BU166" s="234">
        <v>-9999</v>
      </c>
      <c r="BV166" s="234">
        <v>-9999</v>
      </c>
      <c r="BW166" s="234"/>
      <c r="BX166" s="234">
        <v>-9999</v>
      </c>
      <c r="BY166" s="234">
        <v>-9999</v>
      </c>
      <c r="BZ166" s="496">
        <v>-9999</v>
      </c>
      <c r="CA166" s="496">
        <v>-9999</v>
      </c>
      <c r="CB166" s="499"/>
      <c r="CC166" s="57">
        <v>2</v>
      </c>
      <c r="CD166" s="57">
        <v>1</v>
      </c>
      <c r="CE166" s="292">
        <v>3.5049999999999999</v>
      </c>
      <c r="CF166" s="292">
        <v>5.97</v>
      </c>
      <c r="CG166" s="72">
        <v>2</v>
      </c>
      <c r="CO166" s="345" t="s">
        <v>1581</v>
      </c>
    </row>
    <row r="167" spans="1:1873" s="23" customFormat="1" x14ac:dyDescent="0.2">
      <c r="A167" s="234" t="s">
        <v>679</v>
      </c>
      <c r="B167" s="234" t="s">
        <v>618</v>
      </c>
      <c r="C167" s="234" t="s">
        <v>482</v>
      </c>
      <c r="D167" s="234" t="s">
        <v>633</v>
      </c>
      <c r="E167" s="493" t="s">
        <v>1502</v>
      </c>
      <c r="F167" s="234">
        <v>3</v>
      </c>
      <c r="G167" s="234">
        <v>1</v>
      </c>
      <c r="H167" s="491">
        <v>3</v>
      </c>
      <c r="I167" s="234" t="s">
        <v>621</v>
      </c>
      <c r="J167" s="234">
        <v>1987</v>
      </c>
      <c r="K167" s="234" t="s">
        <v>962</v>
      </c>
      <c r="L167" s="234">
        <v>1989</v>
      </c>
      <c r="M167" s="389">
        <v>10.89</v>
      </c>
      <c r="N167" s="389">
        <v>-9999</v>
      </c>
      <c r="O167" s="29"/>
      <c r="P167" s="237">
        <f t="shared" si="3"/>
        <v>17.899999999999999</v>
      </c>
      <c r="Q167" s="234">
        <v>-9999</v>
      </c>
      <c r="R167" s="389"/>
      <c r="S167" s="234"/>
      <c r="T167" s="237">
        <f t="shared" si="2"/>
        <v>5.9666666666666659</v>
      </c>
      <c r="U167" s="234">
        <v>-9999</v>
      </c>
      <c r="V167" s="234"/>
      <c r="W167" s="389">
        <v>10.89</v>
      </c>
      <c r="X167" s="234">
        <v>-9999</v>
      </c>
      <c r="Y167" s="234"/>
      <c r="Z167" s="234" t="s">
        <v>622</v>
      </c>
      <c r="AA167" s="515">
        <v>111111</v>
      </c>
      <c r="AB167" s="389">
        <v>0.8</v>
      </c>
      <c r="AC167" s="234">
        <v>8.6400000000000005E-2</v>
      </c>
      <c r="AD167" s="234">
        <v>36</v>
      </c>
      <c r="AE167" s="390" t="s">
        <v>1974</v>
      </c>
      <c r="AF167" s="234">
        <v>3</v>
      </c>
      <c r="AG167" s="234">
        <v>2</v>
      </c>
      <c r="AH167" s="234" t="s">
        <v>623</v>
      </c>
      <c r="AI167" s="234" t="s">
        <v>624</v>
      </c>
      <c r="AJ167" s="234">
        <v>-9999</v>
      </c>
      <c r="AK167" s="234" t="s">
        <v>626</v>
      </c>
      <c r="AL167" s="234" t="s">
        <v>653</v>
      </c>
      <c r="AM167" s="234">
        <v>-9999</v>
      </c>
      <c r="AN167" s="234" t="s">
        <v>491</v>
      </c>
      <c r="AO167" s="234" t="s">
        <v>627</v>
      </c>
      <c r="AP167" s="234" t="s">
        <v>489</v>
      </c>
      <c r="AQ167" s="234" t="s">
        <v>631</v>
      </c>
      <c r="AR167" s="234">
        <v>0</v>
      </c>
      <c r="AS167" s="234">
        <v>-9999</v>
      </c>
      <c r="AT167" s="234">
        <v>-9999</v>
      </c>
      <c r="AU167" s="234">
        <v>0</v>
      </c>
      <c r="AV167" s="234">
        <v>-9999</v>
      </c>
      <c r="AW167" s="234">
        <v>-9999</v>
      </c>
      <c r="AX167" s="234">
        <v>0</v>
      </c>
      <c r="AY167" s="234">
        <v>-9999</v>
      </c>
      <c r="AZ167" s="234">
        <v>-9999</v>
      </c>
      <c r="BA167" s="234">
        <v>-9999</v>
      </c>
      <c r="BB167" s="234" t="s">
        <v>626</v>
      </c>
      <c r="BC167" s="516" t="s">
        <v>37</v>
      </c>
      <c r="BD167" s="234" t="s">
        <v>674</v>
      </c>
      <c r="BE167" s="234" t="s">
        <v>36</v>
      </c>
      <c r="BF167" s="234">
        <v>-9999</v>
      </c>
      <c r="BG167" s="234">
        <v>-9999</v>
      </c>
      <c r="BH167" s="234">
        <v>-9999</v>
      </c>
      <c r="BI167" s="234" t="s">
        <v>492</v>
      </c>
      <c r="BJ167" s="234">
        <v>-9999</v>
      </c>
      <c r="BK167" s="234">
        <v>-9999</v>
      </c>
      <c r="BL167" s="234">
        <v>-9999</v>
      </c>
      <c r="BM167" s="234">
        <v>-9999</v>
      </c>
      <c r="BN167" s="234">
        <v>-9999</v>
      </c>
      <c r="BO167" s="234">
        <v>-9999</v>
      </c>
      <c r="BP167" s="234">
        <v>-9999</v>
      </c>
      <c r="BQ167" s="234">
        <v>-9999</v>
      </c>
      <c r="BR167" s="234">
        <v>-9999</v>
      </c>
      <c r="BS167" s="491">
        <v>-9999</v>
      </c>
      <c r="BT167" s="234">
        <v>-9999</v>
      </c>
      <c r="BU167" s="234">
        <v>-9999</v>
      </c>
      <c r="BV167" s="234">
        <v>-9999</v>
      </c>
      <c r="BW167" s="234"/>
      <c r="BX167" s="234">
        <v>-9999</v>
      </c>
      <c r="BY167" s="234">
        <v>-9999</v>
      </c>
      <c r="BZ167" s="496">
        <v>-9999</v>
      </c>
      <c r="CA167" s="496">
        <v>-9999</v>
      </c>
      <c r="CB167" s="499"/>
      <c r="CC167" s="57">
        <v>3</v>
      </c>
      <c r="CD167" s="57">
        <v>1</v>
      </c>
      <c r="CE167" s="292">
        <v>5.9666666666666659</v>
      </c>
      <c r="CF167" s="292">
        <v>10.89</v>
      </c>
      <c r="CG167" s="72">
        <v>3</v>
      </c>
    </row>
    <row r="168" spans="1:1873" s="23" customFormat="1" x14ac:dyDescent="0.2">
      <c r="A168" s="234" t="s">
        <v>679</v>
      </c>
      <c r="B168" s="234" t="s">
        <v>618</v>
      </c>
      <c r="C168" s="234" t="s">
        <v>482</v>
      </c>
      <c r="D168" s="234" t="s">
        <v>633</v>
      </c>
      <c r="E168" s="493" t="s">
        <v>1502</v>
      </c>
      <c r="F168" s="234">
        <v>4</v>
      </c>
      <c r="G168" s="234">
        <v>1</v>
      </c>
      <c r="H168" s="491">
        <v>4</v>
      </c>
      <c r="I168" s="234" t="s">
        <v>621</v>
      </c>
      <c r="J168" s="234">
        <v>1987</v>
      </c>
      <c r="K168" s="234" t="s">
        <v>962</v>
      </c>
      <c r="L168" s="234">
        <v>1990</v>
      </c>
      <c r="M168" s="389">
        <v>13.88</v>
      </c>
      <c r="N168" s="389">
        <v>-9999</v>
      </c>
      <c r="O168" s="29"/>
      <c r="P168" s="237">
        <f t="shared" si="3"/>
        <v>31.78</v>
      </c>
      <c r="Q168" s="234">
        <v>-9999</v>
      </c>
      <c r="R168" s="389"/>
      <c r="S168" s="234"/>
      <c r="T168" s="237">
        <f t="shared" si="2"/>
        <v>7.9450000000000003</v>
      </c>
      <c r="U168" s="234">
        <v>-9999</v>
      </c>
      <c r="V168" s="234"/>
      <c r="W168" s="389">
        <v>13.88</v>
      </c>
      <c r="X168" s="234">
        <v>-9999</v>
      </c>
      <c r="Y168" s="234"/>
      <c r="Z168" s="234" t="s">
        <v>622</v>
      </c>
      <c r="AA168" s="515">
        <v>111111</v>
      </c>
      <c r="AB168" s="389">
        <v>0.7</v>
      </c>
      <c r="AC168" s="234">
        <v>8.6400000000000005E-2</v>
      </c>
      <c r="AD168" s="234">
        <v>36</v>
      </c>
      <c r="AE168" s="390" t="s">
        <v>1974</v>
      </c>
      <c r="AF168" s="234">
        <v>3</v>
      </c>
      <c r="AG168" s="234">
        <v>2</v>
      </c>
      <c r="AH168" s="234" t="s">
        <v>623</v>
      </c>
      <c r="AI168" s="234" t="s">
        <v>624</v>
      </c>
      <c r="AJ168" s="234">
        <v>-9999</v>
      </c>
      <c r="AK168" s="234" t="s">
        <v>626</v>
      </c>
      <c r="AL168" s="234" t="s">
        <v>653</v>
      </c>
      <c r="AM168" s="234">
        <v>-9999</v>
      </c>
      <c r="AN168" s="234" t="s">
        <v>491</v>
      </c>
      <c r="AO168" s="234" t="s">
        <v>627</v>
      </c>
      <c r="AP168" s="234" t="s">
        <v>489</v>
      </c>
      <c r="AQ168" s="234" t="s">
        <v>631</v>
      </c>
      <c r="AR168" s="234">
        <v>0</v>
      </c>
      <c r="AS168" s="234">
        <v>-9999</v>
      </c>
      <c r="AT168" s="234">
        <v>-9999</v>
      </c>
      <c r="AU168" s="234">
        <v>0</v>
      </c>
      <c r="AV168" s="234">
        <v>-9999</v>
      </c>
      <c r="AW168" s="234">
        <v>-9999</v>
      </c>
      <c r="AX168" s="234">
        <v>0</v>
      </c>
      <c r="AY168" s="234">
        <v>-9999</v>
      </c>
      <c r="AZ168" s="234">
        <v>-9999</v>
      </c>
      <c r="BA168" s="234">
        <v>-9999</v>
      </c>
      <c r="BB168" s="234" t="s">
        <v>626</v>
      </c>
      <c r="BC168" s="516" t="s">
        <v>37</v>
      </c>
      <c r="BD168" s="234" t="s">
        <v>674</v>
      </c>
      <c r="BE168" s="234" t="s">
        <v>36</v>
      </c>
      <c r="BF168" s="234">
        <v>-9999</v>
      </c>
      <c r="BG168" s="234">
        <v>-9999</v>
      </c>
      <c r="BH168" s="234">
        <v>-9999</v>
      </c>
      <c r="BI168" s="234" t="s">
        <v>492</v>
      </c>
      <c r="BJ168" s="234">
        <v>-9999</v>
      </c>
      <c r="BK168" s="234">
        <v>-9999</v>
      </c>
      <c r="BL168" s="234">
        <v>-9999</v>
      </c>
      <c r="BM168" s="234">
        <v>-9999</v>
      </c>
      <c r="BN168" s="234">
        <v>-9999</v>
      </c>
      <c r="BO168" s="234">
        <v>-9999</v>
      </c>
      <c r="BP168" s="234">
        <v>-9999</v>
      </c>
      <c r="BQ168" s="234">
        <v>-9999</v>
      </c>
      <c r="BR168" s="234">
        <v>-9999</v>
      </c>
      <c r="BS168" s="491">
        <v>-9999</v>
      </c>
      <c r="BT168" s="234">
        <v>-9999</v>
      </c>
      <c r="BU168" s="234">
        <v>-9999</v>
      </c>
      <c r="BV168" s="234">
        <v>-9999</v>
      </c>
      <c r="BW168" s="234"/>
      <c r="BX168" s="234">
        <v>-9999</v>
      </c>
      <c r="BY168" s="234">
        <v>-9999</v>
      </c>
      <c r="BZ168" s="496">
        <v>-9999</v>
      </c>
      <c r="CA168" s="496">
        <v>-9999</v>
      </c>
      <c r="CB168" s="499"/>
      <c r="CC168" s="57">
        <v>4</v>
      </c>
      <c r="CD168" s="57">
        <v>1</v>
      </c>
      <c r="CE168" s="292">
        <v>7.9450000000000003</v>
      </c>
      <c r="CF168" s="292">
        <v>13.88</v>
      </c>
      <c r="CG168" s="72">
        <v>4</v>
      </c>
    </row>
    <row r="169" spans="1:1873" s="23" customFormat="1" x14ac:dyDescent="0.2">
      <c r="A169" s="234" t="s">
        <v>679</v>
      </c>
      <c r="B169" s="234" t="s">
        <v>618</v>
      </c>
      <c r="C169" s="234" t="s">
        <v>482</v>
      </c>
      <c r="D169" s="234" t="s">
        <v>633</v>
      </c>
      <c r="E169" s="493" t="s">
        <v>1502</v>
      </c>
      <c r="F169" s="234">
        <v>5</v>
      </c>
      <c r="G169" s="234">
        <v>1</v>
      </c>
      <c r="H169" s="491">
        <v>5</v>
      </c>
      <c r="I169" s="234" t="s">
        <v>621</v>
      </c>
      <c r="J169" s="234">
        <v>1987</v>
      </c>
      <c r="K169" s="234" t="s">
        <v>962</v>
      </c>
      <c r="L169" s="234">
        <v>1991</v>
      </c>
      <c r="M169" s="389">
        <v>15.24</v>
      </c>
      <c r="N169" s="389">
        <v>-9999</v>
      </c>
      <c r="O169" s="29"/>
      <c r="P169" s="237">
        <f t="shared" si="3"/>
        <v>47.02</v>
      </c>
      <c r="Q169" s="234">
        <v>-9999</v>
      </c>
      <c r="R169" s="389"/>
      <c r="S169" s="234"/>
      <c r="T169" s="237">
        <f t="shared" si="2"/>
        <v>9.4039999999999999</v>
      </c>
      <c r="U169" s="234">
        <v>-9999</v>
      </c>
      <c r="V169" s="234"/>
      <c r="W169" s="389">
        <v>15.24</v>
      </c>
      <c r="X169" s="234">
        <v>-9999</v>
      </c>
      <c r="Y169" s="234"/>
      <c r="Z169" s="234" t="s">
        <v>622</v>
      </c>
      <c r="AA169" s="515">
        <v>111111</v>
      </c>
      <c r="AB169" s="389">
        <v>0.61</v>
      </c>
      <c r="AC169" s="234">
        <v>8.6400000000000005E-2</v>
      </c>
      <c r="AD169" s="234">
        <v>36</v>
      </c>
      <c r="AE169" s="390" t="s">
        <v>1974</v>
      </c>
      <c r="AF169" s="234">
        <v>3</v>
      </c>
      <c r="AG169" s="234">
        <v>2</v>
      </c>
      <c r="AH169" s="234" t="s">
        <v>623</v>
      </c>
      <c r="AI169" s="234" t="s">
        <v>624</v>
      </c>
      <c r="AJ169" s="234">
        <v>-9999</v>
      </c>
      <c r="AK169" s="234" t="s">
        <v>626</v>
      </c>
      <c r="AL169" s="234" t="s">
        <v>653</v>
      </c>
      <c r="AM169" s="234">
        <v>-9999</v>
      </c>
      <c r="AN169" s="234" t="s">
        <v>491</v>
      </c>
      <c r="AO169" s="234" t="s">
        <v>627</v>
      </c>
      <c r="AP169" s="234" t="s">
        <v>489</v>
      </c>
      <c r="AQ169" s="234" t="s">
        <v>631</v>
      </c>
      <c r="AR169" s="234">
        <v>0</v>
      </c>
      <c r="AS169" s="234">
        <v>-9999</v>
      </c>
      <c r="AT169" s="234">
        <v>-9999</v>
      </c>
      <c r="AU169" s="234">
        <v>0</v>
      </c>
      <c r="AV169" s="234">
        <v>-9999</v>
      </c>
      <c r="AW169" s="234">
        <v>-9999</v>
      </c>
      <c r="AX169" s="234">
        <v>0</v>
      </c>
      <c r="AY169" s="234">
        <v>-9999</v>
      </c>
      <c r="AZ169" s="234">
        <v>-9999</v>
      </c>
      <c r="BA169" s="234">
        <v>-9999</v>
      </c>
      <c r="BB169" s="234" t="s">
        <v>626</v>
      </c>
      <c r="BC169" s="516" t="s">
        <v>37</v>
      </c>
      <c r="BD169" s="234" t="s">
        <v>674</v>
      </c>
      <c r="BE169" s="234" t="s">
        <v>36</v>
      </c>
      <c r="BF169" s="234">
        <v>-9999</v>
      </c>
      <c r="BG169" s="234">
        <v>-9999</v>
      </c>
      <c r="BH169" s="234">
        <v>-9999</v>
      </c>
      <c r="BI169" s="234" t="s">
        <v>492</v>
      </c>
      <c r="BJ169" s="234">
        <v>-9999</v>
      </c>
      <c r="BK169" s="234">
        <v>-9999</v>
      </c>
      <c r="BL169" s="234">
        <v>-9999</v>
      </c>
      <c r="BM169" s="234">
        <v>-9999</v>
      </c>
      <c r="BN169" s="234">
        <v>-9999</v>
      </c>
      <c r="BO169" s="234">
        <v>-9999</v>
      </c>
      <c r="BP169" s="234">
        <v>-9999</v>
      </c>
      <c r="BQ169" s="234">
        <v>-9999</v>
      </c>
      <c r="BR169" s="234">
        <v>-9999</v>
      </c>
      <c r="BS169" s="491">
        <v>-9999</v>
      </c>
      <c r="BT169" s="234">
        <v>-9999</v>
      </c>
      <c r="BU169" s="234">
        <v>-9999</v>
      </c>
      <c r="BV169" s="234">
        <v>-9999</v>
      </c>
      <c r="BW169" s="234"/>
      <c r="BX169" s="234">
        <v>-9999</v>
      </c>
      <c r="BY169" s="234">
        <v>-9999</v>
      </c>
      <c r="BZ169" s="496">
        <v>-9999</v>
      </c>
      <c r="CA169" s="496">
        <v>-9999</v>
      </c>
      <c r="CB169" s="499"/>
      <c r="CC169" s="57">
        <v>5</v>
      </c>
      <c r="CD169" s="57">
        <v>1</v>
      </c>
      <c r="CE169" s="292">
        <v>9.4039999999999999</v>
      </c>
      <c r="CF169" s="292">
        <v>15.24</v>
      </c>
      <c r="CG169" s="72">
        <v>5</v>
      </c>
    </row>
    <row r="170" spans="1:1873" s="23" customFormat="1" x14ac:dyDescent="0.2">
      <c r="A170" s="234" t="s">
        <v>679</v>
      </c>
      <c r="B170" s="234" t="s">
        <v>618</v>
      </c>
      <c r="C170" s="234" t="s">
        <v>482</v>
      </c>
      <c r="D170" s="234" t="s">
        <v>633</v>
      </c>
      <c r="E170" s="493" t="s">
        <v>1502</v>
      </c>
      <c r="F170" s="234">
        <v>6</v>
      </c>
      <c r="G170" s="234">
        <v>1</v>
      </c>
      <c r="H170" s="491">
        <v>6</v>
      </c>
      <c r="I170" s="234" t="s">
        <v>621</v>
      </c>
      <c r="J170" s="234">
        <v>1987</v>
      </c>
      <c r="K170" s="234" t="s">
        <v>962</v>
      </c>
      <c r="L170" s="234">
        <v>1992</v>
      </c>
      <c r="M170" s="389">
        <v>8.85</v>
      </c>
      <c r="N170" s="389">
        <v>-9999</v>
      </c>
      <c r="O170" s="29"/>
      <c r="P170" s="237">
        <f t="shared" si="3"/>
        <v>55.870000000000005</v>
      </c>
      <c r="Q170" s="234">
        <v>-9999</v>
      </c>
      <c r="R170" s="389"/>
      <c r="S170" s="234"/>
      <c r="T170" s="237">
        <f t="shared" si="2"/>
        <v>9.3116666666666674</v>
      </c>
      <c r="U170" s="234">
        <v>-9999</v>
      </c>
      <c r="V170" s="234"/>
      <c r="W170" s="389">
        <v>8.85</v>
      </c>
      <c r="X170" s="234">
        <v>-9999</v>
      </c>
      <c r="Y170" s="234"/>
      <c r="Z170" s="234" t="s">
        <v>622</v>
      </c>
      <c r="AA170" s="515">
        <v>111111</v>
      </c>
      <c r="AB170" s="389">
        <v>0.56000000000000005</v>
      </c>
      <c r="AC170" s="234">
        <v>8.6400000000000005E-2</v>
      </c>
      <c r="AD170" s="234">
        <v>36</v>
      </c>
      <c r="AE170" s="390" t="s">
        <v>1974</v>
      </c>
      <c r="AF170" s="234">
        <v>3</v>
      </c>
      <c r="AG170" s="234">
        <v>2</v>
      </c>
      <c r="AH170" s="234" t="s">
        <v>623</v>
      </c>
      <c r="AI170" s="234" t="s">
        <v>624</v>
      </c>
      <c r="AJ170" s="234">
        <v>-9999</v>
      </c>
      <c r="AK170" s="234" t="s">
        <v>626</v>
      </c>
      <c r="AL170" s="234" t="s">
        <v>653</v>
      </c>
      <c r="AM170" s="234">
        <v>-9999</v>
      </c>
      <c r="AN170" s="234" t="s">
        <v>491</v>
      </c>
      <c r="AO170" s="234" t="s">
        <v>627</v>
      </c>
      <c r="AP170" s="234" t="s">
        <v>489</v>
      </c>
      <c r="AQ170" s="234" t="s">
        <v>631</v>
      </c>
      <c r="AR170" s="234">
        <v>0</v>
      </c>
      <c r="AS170" s="234">
        <v>-9999</v>
      </c>
      <c r="AT170" s="234">
        <v>-9999</v>
      </c>
      <c r="AU170" s="234">
        <v>0</v>
      </c>
      <c r="AV170" s="234">
        <v>-9999</v>
      </c>
      <c r="AW170" s="234">
        <v>-9999</v>
      </c>
      <c r="AX170" s="234">
        <v>0</v>
      </c>
      <c r="AY170" s="234">
        <v>-9999</v>
      </c>
      <c r="AZ170" s="234">
        <v>-9999</v>
      </c>
      <c r="BA170" s="234">
        <v>-9999</v>
      </c>
      <c r="BB170" s="234" t="s">
        <v>626</v>
      </c>
      <c r="BC170" s="516" t="s">
        <v>37</v>
      </c>
      <c r="BD170" s="234" t="s">
        <v>674</v>
      </c>
      <c r="BE170" s="234" t="s">
        <v>36</v>
      </c>
      <c r="BF170" s="234">
        <v>-9999</v>
      </c>
      <c r="BG170" s="234">
        <v>-9999</v>
      </c>
      <c r="BH170" s="234">
        <v>-9999</v>
      </c>
      <c r="BI170" s="234" t="s">
        <v>492</v>
      </c>
      <c r="BJ170" s="234">
        <v>-9999</v>
      </c>
      <c r="BK170" s="234">
        <v>-9999</v>
      </c>
      <c r="BL170" s="234">
        <v>-9999</v>
      </c>
      <c r="BM170" s="234">
        <v>-9999</v>
      </c>
      <c r="BN170" s="234">
        <v>-9999</v>
      </c>
      <c r="BO170" s="234">
        <v>-9999</v>
      </c>
      <c r="BP170" s="234">
        <v>-9999</v>
      </c>
      <c r="BQ170" s="234">
        <v>-9999</v>
      </c>
      <c r="BR170" s="234">
        <v>-9999</v>
      </c>
      <c r="BS170" s="491">
        <v>-9999</v>
      </c>
      <c r="BT170" s="234">
        <v>-9999</v>
      </c>
      <c r="BU170" s="234">
        <v>-9999</v>
      </c>
      <c r="BV170" s="234">
        <v>-9999</v>
      </c>
      <c r="BW170" s="234"/>
      <c r="BX170" s="234">
        <v>-9999</v>
      </c>
      <c r="BY170" s="234">
        <v>-9999</v>
      </c>
      <c r="BZ170" s="496">
        <v>-9999</v>
      </c>
      <c r="CA170" s="496">
        <v>-9999</v>
      </c>
      <c r="CB170" s="499"/>
      <c r="CC170" s="57">
        <v>6</v>
      </c>
      <c r="CD170" s="57">
        <v>1</v>
      </c>
      <c r="CE170" s="292">
        <v>9.3116666666666674</v>
      </c>
      <c r="CF170" s="292">
        <v>8.85</v>
      </c>
      <c r="CG170" s="72">
        <v>6</v>
      </c>
    </row>
    <row r="171" spans="1:1873" s="23" customFormat="1" x14ac:dyDescent="0.2">
      <c r="A171" s="234" t="s">
        <v>679</v>
      </c>
      <c r="B171" s="234" t="s">
        <v>618</v>
      </c>
      <c r="C171" s="234" t="s">
        <v>482</v>
      </c>
      <c r="D171" s="234" t="s">
        <v>633</v>
      </c>
      <c r="E171" s="493" t="s">
        <v>1502</v>
      </c>
      <c r="F171" s="234">
        <v>7</v>
      </c>
      <c r="G171" s="234">
        <v>1</v>
      </c>
      <c r="H171" s="491">
        <v>7</v>
      </c>
      <c r="I171" s="234" t="s">
        <v>621</v>
      </c>
      <c r="J171" s="234">
        <v>1987</v>
      </c>
      <c r="K171" s="234" t="s">
        <v>962</v>
      </c>
      <c r="L171" s="234">
        <v>1993</v>
      </c>
      <c r="M171" s="389">
        <v>10.65</v>
      </c>
      <c r="N171" s="389">
        <v>-9999</v>
      </c>
      <c r="O171" s="29"/>
      <c r="P171" s="237">
        <f t="shared" si="3"/>
        <v>66.52000000000001</v>
      </c>
      <c r="Q171" s="234">
        <v>-9999</v>
      </c>
      <c r="R171" s="389"/>
      <c r="S171" s="234"/>
      <c r="T171" s="237">
        <f t="shared" si="2"/>
        <v>9.5028571428571436</v>
      </c>
      <c r="U171" s="234">
        <v>-9999</v>
      </c>
      <c r="V171" s="234"/>
      <c r="W171" s="389">
        <v>10.65</v>
      </c>
      <c r="X171" s="234">
        <v>-9999</v>
      </c>
      <c r="Y171" s="234"/>
      <c r="Z171" s="234" t="s">
        <v>622</v>
      </c>
      <c r="AA171" s="515">
        <v>111111</v>
      </c>
      <c r="AB171" s="389">
        <v>0.48</v>
      </c>
      <c r="AC171" s="234">
        <v>8.6400000000000005E-2</v>
      </c>
      <c r="AD171" s="234">
        <v>36</v>
      </c>
      <c r="AE171" s="390" t="s">
        <v>1974</v>
      </c>
      <c r="AF171" s="234">
        <v>3</v>
      </c>
      <c r="AG171" s="234">
        <v>2</v>
      </c>
      <c r="AH171" s="234" t="s">
        <v>623</v>
      </c>
      <c r="AI171" s="234" t="s">
        <v>624</v>
      </c>
      <c r="AJ171" s="234">
        <v>-9999</v>
      </c>
      <c r="AK171" s="234" t="s">
        <v>626</v>
      </c>
      <c r="AL171" s="234" t="s">
        <v>653</v>
      </c>
      <c r="AM171" s="234">
        <v>-9999</v>
      </c>
      <c r="AN171" s="234" t="s">
        <v>491</v>
      </c>
      <c r="AO171" s="234" t="s">
        <v>627</v>
      </c>
      <c r="AP171" s="234" t="s">
        <v>489</v>
      </c>
      <c r="AQ171" s="234" t="s">
        <v>631</v>
      </c>
      <c r="AR171" s="234">
        <v>0</v>
      </c>
      <c r="AS171" s="234">
        <v>-9999</v>
      </c>
      <c r="AT171" s="234">
        <v>-9999</v>
      </c>
      <c r="AU171" s="234">
        <v>0</v>
      </c>
      <c r="AV171" s="234">
        <v>-9999</v>
      </c>
      <c r="AW171" s="234">
        <v>-9999</v>
      </c>
      <c r="AX171" s="234">
        <v>0</v>
      </c>
      <c r="AY171" s="234">
        <v>-9999</v>
      </c>
      <c r="AZ171" s="234">
        <v>-9999</v>
      </c>
      <c r="BA171" s="234">
        <v>-9999</v>
      </c>
      <c r="BB171" s="234" t="s">
        <v>626</v>
      </c>
      <c r="BC171" s="516" t="s">
        <v>37</v>
      </c>
      <c r="BD171" s="234" t="s">
        <v>674</v>
      </c>
      <c r="BE171" s="234" t="s">
        <v>36</v>
      </c>
      <c r="BF171" s="234">
        <v>-9999</v>
      </c>
      <c r="BG171" s="234">
        <v>-9999</v>
      </c>
      <c r="BH171" s="234">
        <v>-9999</v>
      </c>
      <c r="BI171" s="234" t="s">
        <v>492</v>
      </c>
      <c r="BJ171" s="234">
        <v>-9999</v>
      </c>
      <c r="BK171" s="234">
        <v>-9999</v>
      </c>
      <c r="BL171" s="234">
        <v>-9999</v>
      </c>
      <c r="BM171" s="234">
        <v>-9999</v>
      </c>
      <c r="BN171" s="234">
        <v>-9999</v>
      </c>
      <c r="BO171" s="234">
        <v>-9999</v>
      </c>
      <c r="BP171" s="234">
        <v>-9999</v>
      </c>
      <c r="BQ171" s="234">
        <v>-9999</v>
      </c>
      <c r="BR171" s="234">
        <v>-9999</v>
      </c>
      <c r="BS171" s="491">
        <v>-9999</v>
      </c>
      <c r="BT171" s="234">
        <v>-9999</v>
      </c>
      <c r="BU171" s="234">
        <v>-9999</v>
      </c>
      <c r="BV171" s="234">
        <v>-9999</v>
      </c>
      <c r="BW171" s="234"/>
      <c r="BX171" s="234">
        <v>-9999</v>
      </c>
      <c r="BY171" s="234">
        <v>-9999</v>
      </c>
      <c r="BZ171" s="496">
        <v>-9999</v>
      </c>
      <c r="CA171" s="496">
        <v>-9999</v>
      </c>
      <c r="CB171" s="499"/>
      <c r="CC171" s="57">
        <v>7</v>
      </c>
      <c r="CD171" s="57">
        <v>1</v>
      </c>
      <c r="CE171" s="292">
        <v>9.5028571428571436</v>
      </c>
      <c r="CF171" s="292">
        <v>10.65</v>
      </c>
      <c r="CG171" s="72">
        <v>7</v>
      </c>
    </row>
    <row r="172" spans="1:1873" s="23" customFormat="1" x14ac:dyDescent="0.2">
      <c r="A172" s="234" t="s">
        <v>679</v>
      </c>
      <c r="B172" s="234" t="s">
        <v>618</v>
      </c>
      <c r="C172" s="234" t="s">
        <v>482</v>
      </c>
      <c r="D172" s="234" t="s">
        <v>633</v>
      </c>
      <c r="E172" s="493" t="s">
        <v>1502</v>
      </c>
      <c r="F172" s="234">
        <v>8</v>
      </c>
      <c r="G172" s="234">
        <v>1</v>
      </c>
      <c r="H172" s="491">
        <v>8</v>
      </c>
      <c r="I172" s="234" t="s">
        <v>621</v>
      </c>
      <c r="J172" s="234">
        <v>1987</v>
      </c>
      <c r="K172" s="234" t="s">
        <v>962</v>
      </c>
      <c r="L172" s="234">
        <v>1994</v>
      </c>
      <c r="M172" s="389">
        <v>12.75</v>
      </c>
      <c r="N172" s="389">
        <v>-9999</v>
      </c>
      <c r="O172" s="29"/>
      <c r="P172" s="237">
        <f t="shared" si="3"/>
        <v>79.27000000000001</v>
      </c>
      <c r="Q172" s="234">
        <v>-9999</v>
      </c>
      <c r="R172" s="389"/>
      <c r="S172" s="234"/>
      <c r="T172" s="237">
        <f t="shared" si="2"/>
        <v>9.9087500000000013</v>
      </c>
      <c r="U172" s="234">
        <v>-9999</v>
      </c>
      <c r="V172" s="234"/>
      <c r="W172" s="389">
        <v>12.75</v>
      </c>
      <c r="X172" s="234">
        <v>-9999</v>
      </c>
      <c r="Y172" s="234"/>
      <c r="Z172" s="234" t="s">
        <v>622</v>
      </c>
      <c r="AA172" s="515">
        <v>111111</v>
      </c>
      <c r="AB172" s="389">
        <v>0.39</v>
      </c>
      <c r="AC172" s="234">
        <v>8.6400000000000005E-2</v>
      </c>
      <c r="AD172" s="234">
        <v>36</v>
      </c>
      <c r="AE172" s="390" t="s">
        <v>1974</v>
      </c>
      <c r="AF172" s="234">
        <v>3</v>
      </c>
      <c r="AG172" s="234">
        <v>2</v>
      </c>
      <c r="AH172" s="234" t="s">
        <v>623</v>
      </c>
      <c r="AI172" s="234" t="s">
        <v>624</v>
      </c>
      <c r="AJ172" s="234">
        <v>-9999</v>
      </c>
      <c r="AK172" s="234" t="s">
        <v>626</v>
      </c>
      <c r="AL172" s="234" t="s">
        <v>653</v>
      </c>
      <c r="AM172" s="234">
        <v>-9999</v>
      </c>
      <c r="AN172" s="234" t="s">
        <v>491</v>
      </c>
      <c r="AO172" s="234" t="s">
        <v>627</v>
      </c>
      <c r="AP172" s="234" t="s">
        <v>489</v>
      </c>
      <c r="AQ172" s="234" t="s">
        <v>631</v>
      </c>
      <c r="AR172" s="234">
        <v>0</v>
      </c>
      <c r="AS172" s="234">
        <v>-9999</v>
      </c>
      <c r="AT172" s="234">
        <v>-9999</v>
      </c>
      <c r="AU172" s="234">
        <v>0</v>
      </c>
      <c r="AV172" s="234">
        <v>-9999</v>
      </c>
      <c r="AW172" s="234">
        <v>-9999</v>
      </c>
      <c r="AX172" s="234">
        <v>0</v>
      </c>
      <c r="AY172" s="234">
        <v>-9999</v>
      </c>
      <c r="AZ172" s="234">
        <v>-9999</v>
      </c>
      <c r="BA172" s="234">
        <v>-9999</v>
      </c>
      <c r="BB172" s="234" t="s">
        <v>626</v>
      </c>
      <c r="BC172" s="516" t="s">
        <v>37</v>
      </c>
      <c r="BD172" s="234" t="s">
        <v>674</v>
      </c>
      <c r="BE172" s="234" t="s">
        <v>36</v>
      </c>
      <c r="BF172" s="234">
        <v>-9999</v>
      </c>
      <c r="BG172" s="234">
        <v>-9999</v>
      </c>
      <c r="BH172" s="234">
        <v>-9999</v>
      </c>
      <c r="BI172" s="234" t="s">
        <v>492</v>
      </c>
      <c r="BJ172" s="234">
        <v>-9999</v>
      </c>
      <c r="BK172" s="234">
        <v>-9999</v>
      </c>
      <c r="BL172" s="234">
        <v>-9999</v>
      </c>
      <c r="BM172" s="234">
        <v>-9999</v>
      </c>
      <c r="BN172" s="234">
        <v>-9999</v>
      </c>
      <c r="BO172" s="234">
        <v>-9999</v>
      </c>
      <c r="BP172" s="234">
        <v>-9999</v>
      </c>
      <c r="BQ172" s="234">
        <v>-9999</v>
      </c>
      <c r="BR172" s="234">
        <v>-9999</v>
      </c>
      <c r="BS172" s="491">
        <v>-9999</v>
      </c>
      <c r="BT172" s="234">
        <v>-9999</v>
      </c>
      <c r="BU172" s="234">
        <v>-9999</v>
      </c>
      <c r="BV172" s="234">
        <v>-9999</v>
      </c>
      <c r="BW172" s="234"/>
      <c r="BX172" s="234">
        <v>-9999</v>
      </c>
      <c r="BY172" s="234">
        <v>-9999</v>
      </c>
      <c r="BZ172" s="496">
        <v>-9999</v>
      </c>
      <c r="CA172" s="496">
        <v>-9999</v>
      </c>
      <c r="CB172" s="499"/>
      <c r="CC172" s="57">
        <v>8</v>
      </c>
      <c r="CD172" s="57">
        <v>1</v>
      </c>
      <c r="CE172" s="292">
        <v>9.9087500000000013</v>
      </c>
      <c r="CF172" s="292">
        <v>12.75</v>
      </c>
      <c r="CG172" s="72">
        <v>8</v>
      </c>
    </row>
    <row r="173" spans="1:1873" s="178" customFormat="1" x14ac:dyDescent="0.2">
      <c r="A173" s="231" t="s">
        <v>679</v>
      </c>
      <c r="B173" s="231" t="s">
        <v>618</v>
      </c>
      <c r="C173" s="231" t="s">
        <v>482</v>
      </c>
      <c r="D173" s="231" t="s">
        <v>633</v>
      </c>
      <c r="E173" s="232" t="s">
        <v>1502</v>
      </c>
      <c r="F173" s="231">
        <v>9</v>
      </c>
      <c r="G173" s="231">
        <v>1</v>
      </c>
      <c r="H173" s="233">
        <v>9</v>
      </c>
      <c r="I173" s="231" t="s">
        <v>621</v>
      </c>
      <c r="J173" s="231">
        <v>1987</v>
      </c>
      <c r="K173" s="234" t="s">
        <v>962</v>
      </c>
      <c r="L173" s="231">
        <v>1995</v>
      </c>
      <c r="M173" s="235">
        <v>11.13</v>
      </c>
      <c r="N173" s="235">
        <v>-9999</v>
      </c>
      <c r="O173" s="18"/>
      <c r="P173" s="236">
        <f t="shared" si="3"/>
        <v>90.4</v>
      </c>
      <c r="Q173" s="231">
        <v>-9999</v>
      </c>
      <c r="R173" s="235"/>
      <c r="S173" s="231"/>
      <c r="T173" s="236">
        <f t="shared" si="2"/>
        <v>10.044444444444444</v>
      </c>
      <c r="U173" s="231">
        <v>-9999</v>
      </c>
      <c r="V173" s="231"/>
      <c r="W173" s="235">
        <v>11.13</v>
      </c>
      <c r="X173" s="231">
        <v>-9999</v>
      </c>
      <c r="Y173" s="231"/>
      <c r="Z173" s="231" t="s">
        <v>622</v>
      </c>
      <c r="AA173" s="383">
        <v>111111</v>
      </c>
      <c r="AB173" s="517">
        <v>0.39</v>
      </c>
      <c r="AC173" s="231">
        <v>8.6400000000000005E-2</v>
      </c>
      <c r="AD173" s="231">
        <v>36</v>
      </c>
      <c r="AE173" s="390" t="s">
        <v>1974</v>
      </c>
      <c r="AF173" s="231">
        <v>3</v>
      </c>
      <c r="AG173" s="231">
        <v>2</v>
      </c>
      <c r="AH173" s="231" t="s">
        <v>623</v>
      </c>
      <c r="AI173" s="231" t="s">
        <v>624</v>
      </c>
      <c r="AJ173" s="231">
        <v>-9999</v>
      </c>
      <c r="AK173" s="231" t="s">
        <v>626</v>
      </c>
      <c r="AL173" s="231" t="s">
        <v>653</v>
      </c>
      <c r="AM173" s="231">
        <v>-9999</v>
      </c>
      <c r="AN173" s="231" t="s">
        <v>491</v>
      </c>
      <c r="AO173" s="231" t="s">
        <v>627</v>
      </c>
      <c r="AP173" s="231" t="s">
        <v>489</v>
      </c>
      <c r="AQ173" s="231" t="s">
        <v>631</v>
      </c>
      <c r="AR173" s="231">
        <v>0</v>
      </c>
      <c r="AS173" s="231">
        <v>-9999</v>
      </c>
      <c r="AT173" s="231">
        <v>-9999</v>
      </c>
      <c r="AU173" s="231">
        <v>0</v>
      </c>
      <c r="AV173" s="231">
        <v>-9999</v>
      </c>
      <c r="AW173" s="231">
        <v>-9999</v>
      </c>
      <c r="AX173" s="231">
        <v>0</v>
      </c>
      <c r="AY173" s="231">
        <v>-9999</v>
      </c>
      <c r="AZ173" s="231">
        <v>-9999</v>
      </c>
      <c r="BA173" s="231">
        <v>-9999</v>
      </c>
      <c r="BB173" s="231" t="s">
        <v>626</v>
      </c>
      <c r="BC173" s="518" t="s">
        <v>37</v>
      </c>
      <c r="BD173" s="231" t="s">
        <v>674</v>
      </c>
      <c r="BE173" s="231" t="s">
        <v>36</v>
      </c>
      <c r="BF173" s="231">
        <v>-9999</v>
      </c>
      <c r="BG173" s="231">
        <v>-9999</v>
      </c>
      <c r="BH173" s="231">
        <v>-9999</v>
      </c>
      <c r="BI173" s="231" t="s">
        <v>492</v>
      </c>
      <c r="BJ173" s="231">
        <v>-9999</v>
      </c>
      <c r="BK173" s="231">
        <v>-9999</v>
      </c>
      <c r="BL173" s="231">
        <v>-9999</v>
      </c>
      <c r="BM173" s="231">
        <v>-9999</v>
      </c>
      <c r="BN173" s="231">
        <v>-9999</v>
      </c>
      <c r="BO173" s="231">
        <v>-9999</v>
      </c>
      <c r="BP173" s="231">
        <v>-9999</v>
      </c>
      <c r="BQ173" s="231">
        <v>-9999</v>
      </c>
      <c r="BR173" s="231">
        <v>-9999</v>
      </c>
      <c r="BS173" s="491">
        <v>-9999</v>
      </c>
      <c r="BT173" s="231">
        <v>-9999</v>
      </c>
      <c r="BU173" s="231">
        <v>-9999</v>
      </c>
      <c r="BV173" s="231">
        <v>-9999</v>
      </c>
      <c r="BW173" s="231"/>
      <c r="BX173" s="231">
        <v>-9999</v>
      </c>
      <c r="BY173" s="231">
        <v>-9999</v>
      </c>
      <c r="BZ173" s="238">
        <v>-9999</v>
      </c>
      <c r="CA173" s="238">
        <v>-9999</v>
      </c>
      <c r="CB173" s="239"/>
      <c r="CC173" s="174">
        <v>9</v>
      </c>
      <c r="CD173" s="174">
        <v>1</v>
      </c>
      <c r="CE173" s="395">
        <v>10.044444444444444</v>
      </c>
      <c r="CF173" s="99">
        <v>11.13</v>
      </c>
      <c r="CG173" s="177">
        <v>9</v>
      </c>
      <c r="CH173" s="437" t="s">
        <v>1757</v>
      </c>
      <c r="CI173" s="13"/>
      <c r="CJ173" s="13"/>
      <c r="CK173" s="13"/>
      <c r="CL173" s="13"/>
      <c r="CM173" s="13"/>
      <c r="CN173" s="13"/>
      <c r="CO173" s="13"/>
      <c r="CP173" s="13"/>
      <c r="CQ173" s="13"/>
      <c r="CR173" s="13"/>
      <c r="CS173" s="13"/>
      <c r="CT173" s="13"/>
      <c r="CU173" s="13"/>
      <c r="CV173" s="13"/>
      <c r="CW173" s="13"/>
      <c r="CX173" s="13"/>
      <c r="CY173" s="13"/>
      <c r="CZ173" s="13"/>
      <c r="DA173" s="13"/>
      <c r="DB173" s="13"/>
      <c r="DC173" s="13"/>
      <c r="DD173" s="13"/>
      <c r="DE173" s="13"/>
      <c r="DF173" s="13"/>
      <c r="DG173" s="13"/>
      <c r="DH173" s="13"/>
      <c r="DI173" s="13"/>
      <c r="DJ173" s="13"/>
      <c r="DK173" s="13"/>
      <c r="DL173" s="13"/>
      <c r="DM173" s="13"/>
      <c r="DN173" s="13"/>
      <c r="DO173" s="13"/>
      <c r="DP173" s="13"/>
      <c r="DQ173" s="13"/>
      <c r="DR173" s="13"/>
      <c r="DS173" s="13"/>
      <c r="DT173" s="13"/>
      <c r="DU173" s="13"/>
      <c r="DV173" s="13"/>
      <c r="DW173" s="13"/>
      <c r="DX173" s="13"/>
      <c r="DY173" s="13"/>
      <c r="DZ173" s="13"/>
      <c r="EA173" s="13"/>
      <c r="EB173" s="13"/>
      <c r="EC173" s="13"/>
      <c r="ED173" s="13"/>
      <c r="EE173" s="13"/>
      <c r="EF173" s="13"/>
      <c r="EG173" s="13"/>
      <c r="EH173" s="13"/>
      <c r="EI173" s="13"/>
      <c r="EJ173" s="13"/>
      <c r="EK173" s="13"/>
      <c r="EL173" s="13"/>
      <c r="EM173" s="13"/>
      <c r="EN173" s="13"/>
      <c r="EO173" s="13"/>
      <c r="EP173" s="13"/>
      <c r="EQ173" s="13"/>
      <c r="ER173" s="13"/>
      <c r="ES173" s="13"/>
      <c r="ET173" s="13"/>
      <c r="EU173" s="13"/>
      <c r="EV173" s="13"/>
      <c r="EW173" s="13"/>
      <c r="EX173" s="13"/>
      <c r="EY173" s="13"/>
      <c r="EZ173" s="13"/>
      <c r="FA173" s="13"/>
      <c r="FB173" s="13"/>
      <c r="FC173" s="13"/>
      <c r="FD173" s="13"/>
      <c r="FE173" s="13"/>
      <c r="FF173" s="13"/>
      <c r="FG173" s="13"/>
      <c r="FH173" s="13"/>
      <c r="FI173" s="13"/>
      <c r="FJ173" s="13"/>
      <c r="FK173" s="13"/>
      <c r="FL173" s="13"/>
      <c r="FM173" s="13"/>
      <c r="FN173" s="13"/>
      <c r="FO173" s="13"/>
      <c r="FP173" s="13"/>
      <c r="FQ173" s="13"/>
      <c r="FR173" s="13"/>
      <c r="FS173" s="13"/>
      <c r="FT173" s="13"/>
      <c r="FU173" s="13"/>
      <c r="FV173" s="13"/>
      <c r="FW173" s="13"/>
      <c r="FX173" s="13"/>
      <c r="FY173" s="13"/>
      <c r="FZ173" s="13"/>
      <c r="GA173" s="13"/>
      <c r="GB173" s="13"/>
      <c r="GC173" s="13"/>
      <c r="GD173" s="13"/>
      <c r="GE173" s="13"/>
      <c r="GF173" s="13"/>
      <c r="GG173" s="13"/>
      <c r="GH173" s="13"/>
      <c r="GI173" s="13"/>
      <c r="GJ173" s="13"/>
      <c r="GK173" s="13"/>
      <c r="GL173" s="13"/>
      <c r="GM173" s="13"/>
      <c r="GN173" s="13"/>
      <c r="GO173" s="13"/>
      <c r="GP173" s="13"/>
      <c r="GQ173" s="13"/>
      <c r="GR173" s="13"/>
      <c r="GS173" s="13"/>
      <c r="GT173" s="13"/>
      <c r="GU173" s="13"/>
      <c r="GV173" s="13"/>
      <c r="GW173" s="13"/>
      <c r="GX173" s="13"/>
      <c r="GY173" s="13"/>
      <c r="GZ173" s="13"/>
      <c r="HA173" s="13"/>
      <c r="HB173" s="13"/>
      <c r="HC173" s="13"/>
      <c r="HD173" s="13"/>
      <c r="HE173" s="13"/>
      <c r="HF173" s="13"/>
      <c r="HG173" s="13"/>
      <c r="HH173" s="13"/>
      <c r="HI173" s="13"/>
      <c r="HJ173" s="13"/>
      <c r="HK173" s="13"/>
      <c r="HL173" s="13"/>
      <c r="HM173" s="13"/>
      <c r="HN173" s="13"/>
      <c r="HO173" s="13"/>
      <c r="HP173" s="13"/>
      <c r="HQ173" s="13"/>
      <c r="HR173" s="13"/>
      <c r="HS173" s="13"/>
      <c r="HT173" s="13"/>
      <c r="HU173" s="13"/>
      <c r="HV173" s="13"/>
      <c r="HW173" s="13"/>
      <c r="HX173" s="13"/>
      <c r="HY173" s="13"/>
      <c r="HZ173" s="13"/>
      <c r="IA173" s="13"/>
      <c r="IB173" s="13"/>
      <c r="IC173" s="13"/>
      <c r="ID173" s="13"/>
      <c r="IE173" s="13"/>
      <c r="IF173" s="13"/>
      <c r="IG173" s="13"/>
      <c r="IH173" s="13"/>
      <c r="II173" s="13"/>
      <c r="IJ173" s="13"/>
      <c r="IK173" s="13"/>
      <c r="IL173" s="13"/>
      <c r="IM173" s="13"/>
      <c r="IN173" s="13"/>
      <c r="IO173" s="13"/>
      <c r="IP173" s="13"/>
      <c r="IQ173" s="13"/>
      <c r="IR173" s="13"/>
      <c r="IS173" s="13"/>
      <c r="IT173" s="13"/>
      <c r="IU173" s="13"/>
      <c r="IV173" s="13"/>
      <c r="IW173" s="13"/>
      <c r="IX173" s="13"/>
      <c r="IY173" s="13"/>
      <c r="IZ173" s="13"/>
      <c r="JA173" s="13"/>
      <c r="JB173" s="13"/>
      <c r="JC173" s="13"/>
      <c r="JD173" s="13"/>
      <c r="JE173" s="13"/>
      <c r="JF173" s="13"/>
      <c r="JG173" s="13"/>
      <c r="JH173" s="13"/>
      <c r="JI173" s="13"/>
      <c r="JJ173" s="13"/>
      <c r="JK173" s="13"/>
      <c r="JL173" s="13"/>
      <c r="JM173" s="13"/>
      <c r="JN173" s="13"/>
      <c r="JO173" s="13"/>
      <c r="JP173" s="13"/>
      <c r="JQ173" s="13"/>
      <c r="JR173" s="13"/>
      <c r="JS173" s="13"/>
      <c r="JT173" s="13"/>
      <c r="JU173" s="13"/>
      <c r="JV173" s="13"/>
      <c r="JW173" s="13"/>
      <c r="JX173" s="13"/>
      <c r="JY173" s="13"/>
      <c r="JZ173" s="13"/>
      <c r="KA173" s="13"/>
      <c r="KB173" s="13"/>
      <c r="KC173" s="13"/>
      <c r="KD173" s="13"/>
      <c r="KE173" s="13"/>
      <c r="KF173" s="13"/>
      <c r="KG173" s="13"/>
      <c r="KH173" s="13"/>
      <c r="KI173" s="13"/>
      <c r="KJ173" s="13"/>
      <c r="KK173" s="13"/>
      <c r="KL173" s="13"/>
      <c r="KM173" s="13"/>
      <c r="KN173" s="13"/>
      <c r="KO173" s="13"/>
      <c r="KP173" s="13"/>
      <c r="KQ173" s="13"/>
      <c r="KR173" s="13"/>
      <c r="KS173" s="13"/>
      <c r="KT173" s="13"/>
      <c r="KU173" s="13"/>
      <c r="KV173" s="13"/>
      <c r="KW173" s="13"/>
      <c r="KX173" s="13"/>
      <c r="KY173" s="13"/>
      <c r="KZ173" s="13"/>
      <c r="LA173" s="13"/>
      <c r="LB173" s="13"/>
      <c r="LC173" s="13"/>
      <c r="LD173" s="13"/>
      <c r="LE173" s="13"/>
      <c r="LF173" s="13"/>
      <c r="LG173" s="13"/>
      <c r="LH173" s="13"/>
      <c r="LI173" s="13"/>
      <c r="LJ173" s="13"/>
      <c r="LK173" s="13"/>
      <c r="LL173" s="13"/>
      <c r="LM173" s="13"/>
      <c r="LN173" s="13"/>
      <c r="LO173" s="13"/>
      <c r="LP173" s="13"/>
      <c r="LQ173" s="13"/>
      <c r="LR173" s="13"/>
      <c r="LS173" s="13"/>
      <c r="LT173" s="13"/>
      <c r="LU173" s="13"/>
      <c r="LV173" s="13"/>
      <c r="LW173" s="13"/>
      <c r="LX173" s="13"/>
      <c r="LY173" s="13"/>
      <c r="LZ173" s="13"/>
      <c r="MA173" s="13"/>
      <c r="MB173" s="13"/>
      <c r="MC173" s="13"/>
      <c r="MD173" s="13"/>
      <c r="ME173" s="13"/>
      <c r="MF173" s="13"/>
      <c r="MG173" s="13"/>
      <c r="MH173" s="13"/>
      <c r="MI173" s="13"/>
      <c r="MJ173" s="13"/>
      <c r="MK173" s="13"/>
      <c r="ML173" s="13"/>
      <c r="MM173" s="13"/>
      <c r="MN173" s="13"/>
      <c r="MO173" s="13"/>
      <c r="MP173" s="13"/>
      <c r="MQ173" s="13"/>
      <c r="MR173" s="13"/>
      <c r="MS173" s="13"/>
      <c r="MT173" s="13"/>
      <c r="MU173" s="13"/>
      <c r="MV173" s="13"/>
      <c r="MW173" s="13"/>
      <c r="MX173" s="13"/>
      <c r="MY173" s="13"/>
      <c r="MZ173" s="13"/>
      <c r="NA173" s="13"/>
      <c r="NB173" s="13"/>
      <c r="NC173" s="13"/>
      <c r="ND173" s="13"/>
      <c r="NE173" s="13"/>
      <c r="NF173" s="13"/>
      <c r="NG173" s="13"/>
      <c r="NH173" s="13"/>
      <c r="NI173" s="13"/>
      <c r="NJ173" s="13"/>
      <c r="NK173" s="13"/>
      <c r="NL173" s="13"/>
      <c r="NM173" s="13"/>
      <c r="NN173" s="13"/>
      <c r="NO173" s="13"/>
      <c r="NP173" s="13"/>
      <c r="NQ173" s="13"/>
      <c r="NR173" s="13"/>
      <c r="NS173" s="13"/>
      <c r="NT173" s="13"/>
      <c r="NU173" s="13"/>
      <c r="NV173" s="13"/>
      <c r="NW173" s="13"/>
      <c r="NX173" s="13"/>
      <c r="NY173" s="13"/>
      <c r="NZ173" s="13"/>
      <c r="OA173" s="13"/>
      <c r="OB173" s="13"/>
      <c r="OC173" s="13"/>
      <c r="OD173" s="13"/>
      <c r="OE173" s="13"/>
      <c r="OF173" s="13"/>
      <c r="OG173" s="13"/>
      <c r="OH173" s="13"/>
      <c r="OI173" s="13"/>
      <c r="OJ173" s="13"/>
      <c r="OK173" s="13"/>
      <c r="OL173" s="13"/>
      <c r="OM173" s="13"/>
      <c r="ON173" s="13"/>
      <c r="OO173" s="13"/>
      <c r="OP173" s="13"/>
      <c r="OQ173" s="13"/>
      <c r="OR173" s="13"/>
      <c r="OS173" s="13"/>
      <c r="OT173" s="13"/>
      <c r="OU173" s="13"/>
      <c r="OV173" s="13"/>
      <c r="OW173" s="13"/>
      <c r="OX173" s="13"/>
      <c r="OY173" s="13"/>
      <c r="OZ173" s="13"/>
      <c r="PA173" s="13"/>
      <c r="PB173" s="13"/>
      <c r="PC173" s="13"/>
      <c r="PD173" s="13"/>
      <c r="PE173" s="13"/>
      <c r="PF173" s="13"/>
      <c r="PG173" s="13"/>
      <c r="PH173" s="13"/>
      <c r="PI173" s="13"/>
      <c r="PJ173" s="13"/>
      <c r="PK173" s="13"/>
      <c r="PL173" s="13"/>
      <c r="PM173" s="13"/>
      <c r="PN173" s="13"/>
      <c r="PO173" s="13"/>
      <c r="PP173" s="13"/>
      <c r="PQ173" s="13"/>
      <c r="PR173" s="13"/>
      <c r="PS173" s="13"/>
      <c r="PT173" s="13"/>
      <c r="PU173" s="13"/>
      <c r="PV173" s="13"/>
      <c r="PW173" s="13"/>
      <c r="PX173" s="13"/>
      <c r="PY173" s="13"/>
      <c r="PZ173" s="13"/>
      <c r="QA173" s="13"/>
      <c r="QB173" s="13"/>
      <c r="QC173" s="13"/>
      <c r="QD173" s="13"/>
      <c r="QE173" s="13"/>
      <c r="QF173" s="13"/>
      <c r="QG173" s="13"/>
      <c r="QH173" s="13"/>
      <c r="QI173" s="13"/>
      <c r="QJ173" s="13"/>
      <c r="QK173" s="13"/>
      <c r="QL173" s="13"/>
      <c r="QM173" s="13"/>
      <c r="QN173" s="13"/>
      <c r="QO173" s="13"/>
      <c r="QP173" s="13"/>
      <c r="QQ173" s="13"/>
      <c r="QR173" s="13"/>
      <c r="QS173" s="13"/>
      <c r="QT173" s="13"/>
      <c r="QU173" s="13"/>
      <c r="QV173" s="13"/>
      <c r="QW173" s="13"/>
      <c r="QX173" s="13"/>
      <c r="QY173" s="13"/>
      <c r="QZ173" s="13"/>
      <c r="RA173" s="13"/>
      <c r="RB173" s="13"/>
      <c r="RC173" s="13"/>
      <c r="RD173" s="13"/>
      <c r="RE173" s="13"/>
      <c r="RF173" s="13"/>
      <c r="RG173" s="13"/>
      <c r="RH173" s="13"/>
      <c r="RI173" s="13"/>
      <c r="RJ173" s="13"/>
      <c r="RK173" s="13"/>
      <c r="RL173" s="13"/>
      <c r="RM173" s="13"/>
      <c r="RN173" s="13"/>
      <c r="RO173" s="13"/>
      <c r="RP173" s="13"/>
      <c r="RQ173" s="13"/>
      <c r="RR173" s="13"/>
      <c r="RS173" s="13"/>
      <c r="RT173" s="13"/>
      <c r="RU173" s="13"/>
      <c r="RV173" s="13"/>
      <c r="RW173" s="13"/>
      <c r="RX173" s="13"/>
      <c r="RY173" s="13"/>
      <c r="RZ173" s="13"/>
      <c r="SA173" s="13"/>
      <c r="SB173" s="13"/>
      <c r="SC173" s="13"/>
      <c r="SD173" s="13"/>
      <c r="SE173" s="13"/>
      <c r="SF173" s="13"/>
      <c r="SG173" s="13"/>
      <c r="SH173" s="13"/>
      <c r="SI173" s="13"/>
      <c r="SJ173" s="13"/>
      <c r="SK173" s="13"/>
      <c r="SL173" s="13"/>
      <c r="SM173" s="13"/>
      <c r="SN173" s="13"/>
      <c r="SO173" s="13"/>
      <c r="SP173" s="13"/>
      <c r="SQ173" s="13"/>
      <c r="SR173" s="13"/>
      <c r="SS173" s="13"/>
      <c r="ST173" s="13"/>
      <c r="SU173" s="13"/>
      <c r="SV173" s="13"/>
      <c r="SW173" s="13"/>
      <c r="SX173" s="13"/>
      <c r="SY173" s="13"/>
      <c r="SZ173" s="13"/>
      <c r="TA173" s="13"/>
      <c r="TB173" s="13"/>
      <c r="TC173" s="13"/>
      <c r="TD173" s="13"/>
      <c r="TE173" s="13"/>
      <c r="TF173" s="13"/>
      <c r="TG173" s="13"/>
      <c r="TH173" s="13"/>
      <c r="TI173" s="13"/>
      <c r="TJ173" s="13"/>
      <c r="TK173" s="13"/>
      <c r="TL173" s="13"/>
      <c r="TM173" s="13"/>
      <c r="TN173" s="13"/>
      <c r="TO173" s="13"/>
      <c r="TP173" s="13"/>
      <c r="TQ173" s="13"/>
      <c r="TR173" s="13"/>
      <c r="TS173" s="13"/>
      <c r="TT173" s="13"/>
      <c r="TU173" s="13"/>
      <c r="TV173" s="13"/>
      <c r="TW173" s="13"/>
      <c r="TX173" s="13"/>
      <c r="TY173" s="13"/>
      <c r="TZ173" s="13"/>
      <c r="UA173" s="13"/>
      <c r="UB173" s="13"/>
      <c r="UC173" s="13"/>
      <c r="UD173" s="13"/>
      <c r="UE173" s="13"/>
      <c r="UF173" s="13"/>
      <c r="UG173" s="13"/>
      <c r="UH173" s="13"/>
      <c r="UI173" s="13"/>
      <c r="UJ173" s="13"/>
      <c r="UK173" s="13"/>
      <c r="UL173" s="13"/>
      <c r="UM173" s="13"/>
      <c r="UN173" s="13"/>
      <c r="UO173" s="13"/>
      <c r="UP173" s="13"/>
      <c r="UQ173" s="13"/>
      <c r="UR173" s="13"/>
      <c r="US173" s="13"/>
      <c r="UT173" s="13"/>
      <c r="UU173" s="13"/>
      <c r="UV173" s="13"/>
      <c r="UW173" s="13"/>
      <c r="UX173" s="13"/>
      <c r="UY173" s="13"/>
      <c r="UZ173" s="13"/>
      <c r="VA173" s="13"/>
      <c r="VB173" s="13"/>
      <c r="VC173" s="13"/>
      <c r="VD173" s="13"/>
      <c r="VE173" s="13"/>
      <c r="VF173" s="13"/>
      <c r="VG173" s="13"/>
      <c r="VH173" s="13"/>
      <c r="VI173" s="13"/>
      <c r="VJ173" s="13"/>
      <c r="VK173" s="13"/>
      <c r="VL173" s="13"/>
      <c r="VM173" s="13"/>
      <c r="VN173" s="13"/>
      <c r="VO173" s="13"/>
      <c r="VP173" s="13"/>
      <c r="VQ173" s="13"/>
      <c r="VR173" s="13"/>
      <c r="VS173" s="13"/>
      <c r="VT173" s="13"/>
      <c r="VU173" s="13"/>
      <c r="VV173" s="13"/>
      <c r="VW173" s="13"/>
      <c r="VX173" s="13"/>
      <c r="VY173" s="13"/>
      <c r="VZ173" s="13"/>
      <c r="WA173" s="13"/>
      <c r="WB173" s="13"/>
      <c r="WC173" s="13"/>
      <c r="WD173" s="13"/>
      <c r="WE173" s="13"/>
      <c r="WF173" s="13"/>
      <c r="WG173" s="13"/>
      <c r="WH173" s="13"/>
      <c r="WI173" s="13"/>
      <c r="WJ173" s="13"/>
      <c r="WK173" s="13"/>
      <c r="WL173" s="13"/>
      <c r="WM173" s="13"/>
      <c r="WN173" s="13"/>
      <c r="WO173" s="13"/>
      <c r="WP173" s="13"/>
      <c r="WQ173" s="13"/>
      <c r="WR173" s="13"/>
      <c r="WS173" s="13"/>
      <c r="WT173" s="13"/>
      <c r="WU173" s="13"/>
      <c r="WV173" s="13"/>
      <c r="WW173" s="13"/>
      <c r="WX173" s="13"/>
      <c r="WY173" s="13"/>
      <c r="WZ173" s="13"/>
      <c r="XA173" s="13"/>
      <c r="XB173" s="13"/>
      <c r="XC173" s="13"/>
      <c r="XD173" s="13"/>
      <c r="XE173" s="13"/>
      <c r="XF173" s="13"/>
      <c r="XG173" s="13"/>
      <c r="XH173" s="13"/>
      <c r="XI173" s="13"/>
      <c r="XJ173" s="13"/>
      <c r="XK173" s="13"/>
      <c r="XL173" s="13"/>
      <c r="XM173" s="13"/>
      <c r="XN173" s="13"/>
      <c r="XO173" s="13"/>
      <c r="XP173" s="13"/>
      <c r="XQ173" s="13"/>
      <c r="XR173" s="13"/>
      <c r="XS173" s="13"/>
      <c r="XT173" s="13"/>
      <c r="XU173" s="13"/>
      <c r="XV173" s="13"/>
      <c r="XW173" s="13"/>
      <c r="XX173" s="13"/>
      <c r="XY173" s="13"/>
      <c r="XZ173" s="13"/>
      <c r="YA173" s="13"/>
      <c r="YB173" s="13"/>
      <c r="YC173" s="13"/>
      <c r="YD173" s="13"/>
      <c r="YE173" s="13"/>
      <c r="YF173" s="13"/>
      <c r="YG173" s="13"/>
      <c r="YH173" s="13"/>
      <c r="YI173" s="13"/>
      <c r="YJ173" s="13"/>
      <c r="YK173" s="13"/>
      <c r="YL173" s="13"/>
      <c r="YM173" s="13"/>
      <c r="YN173" s="13"/>
      <c r="YO173" s="13"/>
      <c r="YP173" s="13"/>
      <c r="YQ173" s="13"/>
      <c r="YR173" s="13"/>
      <c r="YS173" s="13"/>
      <c r="YT173" s="13"/>
      <c r="YU173" s="13"/>
      <c r="YV173" s="13"/>
      <c r="YW173" s="13"/>
      <c r="YX173" s="13"/>
      <c r="YY173" s="13"/>
      <c r="YZ173" s="13"/>
      <c r="ZA173" s="13"/>
      <c r="ZB173" s="13"/>
      <c r="ZC173" s="13"/>
      <c r="ZD173" s="13"/>
      <c r="ZE173" s="13"/>
      <c r="ZF173" s="13"/>
      <c r="ZG173" s="13"/>
      <c r="ZH173" s="13"/>
      <c r="ZI173" s="13"/>
      <c r="ZJ173" s="13"/>
      <c r="ZK173" s="13"/>
      <c r="ZL173" s="13"/>
      <c r="ZM173" s="13"/>
      <c r="ZN173" s="13"/>
      <c r="ZO173" s="13"/>
      <c r="ZP173" s="13"/>
      <c r="ZQ173" s="13"/>
      <c r="ZR173" s="13"/>
      <c r="ZS173" s="13"/>
      <c r="ZT173" s="13"/>
      <c r="ZU173" s="13"/>
      <c r="ZV173" s="13"/>
      <c r="ZW173" s="13"/>
      <c r="ZX173" s="13"/>
      <c r="ZY173" s="13"/>
      <c r="ZZ173" s="13"/>
      <c r="AAA173" s="13"/>
      <c r="AAB173" s="13"/>
      <c r="AAC173" s="13"/>
      <c r="AAD173" s="13"/>
      <c r="AAE173" s="13"/>
      <c r="AAF173" s="13"/>
      <c r="AAG173" s="13"/>
      <c r="AAH173" s="13"/>
      <c r="AAI173" s="13"/>
      <c r="AAJ173" s="13"/>
      <c r="AAK173" s="13"/>
      <c r="AAL173" s="13"/>
      <c r="AAM173" s="13"/>
      <c r="AAN173" s="13"/>
      <c r="AAO173" s="13"/>
      <c r="AAP173" s="13"/>
      <c r="AAQ173" s="13"/>
      <c r="AAR173" s="13"/>
      <c r="AAS173" s="13"/>
      <c r="AAT173" s="13"/>
      <c r="AAU173" s="13"/>
      <c r="AAV173" s="13"/>
      <c r="AAW173" s="13"/>
      <c r="AAX173" s="13"/>
      <c r="AAY173" s="13"/>
      <c r="AAZ173" s="13"/>
      <c r="ABA173" s="13"/>
      <c r="ABB173" s="13"/>
      <c r="ABC173" s="13"/>
      <c r="ABD173" s="13"/>
      <c r="ABE173" s="13"/>
      <c r="ABF173" s="13"/>
      <c r="ABG173" s="13"/>
      <c r="ABH173" s="13"/>
      <c r="ABI173" s="13"/>
      <c r="ABJ173" s="13"/>
      <c r="ABK173" s="13"/>
      <c r="ABL173" s="13"/>
      <c r="ABM173" s="13"/>
      <c r="ABN173" s="13"/>
      <c r="ABO173" s="13"/>
      <c r="ABP173" s="13"/>
      <c r="ABQ173" s="13"/>
      <c r="ABR173" s="13"/>
      <c r="ABS173" s="13"/>
      <c r="ABT173" s="13"/>
      <c r="ABU173" s="13"/>
      <c r="ABV173" s="13"/>
      <c r="ABW173" s="13"/>
      <c r="ABX173" s="13"/>
      <c r="ABY173" s="13"/>
      <c r="ABZ173" s="13"/>
      <c r="ACA173" s="13"/>
      <c r="ACB173" s="13"/>
      <c r="ACC173" s="13"/>
      <c r="ACD173" s="13"/>
      <c r="ACE173" s="13"/>
      <c r="ACF173" s="13"/>
      <c r="ACG173" s="13"/>
      <c r="ACH173" s="13"/>
      <c r="ACI173" s="13"/>
      <c r="ACJ173" s="13"/>
      <c r="ACK173" s="13"/>
      <c r="ACL173" s="13"/>
      <c r="ACM173" s="13"/>
      <c r="ACN173" s="13"/>
      <c r="ACO173" s="13"/>
      <c r="ACP173" s="13"/>
      <c r="ACQ173" s="13"/>
      <c r="ACR173" s="13"/>
      <c r="ACS173" s="13"/>
      <c r="ACT173" s="13"/>
      <c r="ACU173" s="13"/>
      <c r="ACV173" s="13"/>
      <c r="ACW173" s="13"/>
      <c r="ACX173" s="13"/>
      <c r="ACY173" s="13"/>
      <c r="ACZ173" s="13"/>
      <c r="ADA173" s="13"/>
      <c r="ADB173" s="13"/>
      <c r="ADC173" s="13"/>
      <c r="ADD173" s="13"/>
      <c r="ADE173" s="13"/>
      <c r="ADF173" s="13"/>
      <c r="ADG173" s="13"/>
      <c r="ADH173" s="13"/>
      <c r="ADI173" s="13"/>
      <c r="ADJ173" s="13"/>
      <c r="ADK173" s="13"/>
      <c r="ADL173" s="13"/>
      <c r="ADM173" s="13"/>
      <c r="ADN173" s="13"/>
      <c r="ADO173" s="13"/>
      <c r="ADP173" s="13"/>
      <c r="ADQ173" s="13"/>
      <c r="ADR173" s="13"/>
      <c r="ADS173" s="13"/>
      <c r="ADT173" s="13"/>
      <c r="ADU173" s="13"/>
      <c r="ADV173" s="13"/>
      <c r="ADW173" s="13"/>
      <c r="ADX173" s="13"/>
      <c r="ADY173" s="13"/>
      <c r="ADZ173" s="13"/>
      <c r="AEA173" s="13"/>
      <c r="AEB173" s="13"/>
      <c r="AEC173" s="13"/>
      <c r="AED173" s="13"/>
      <c r="AEE173" s="13"/>
      <c r="AEF173" s="13"/>
      <c r="AEG173" s="13"/>
      <c r="AEH173" s="13"/>
      <c r="AEI173" s="13"/>
      <c r="AEJ173" s="13"/>
      <c r="AEK173" s="13"/>
      <c r="AEL173" s="13"/>
      <c r="AEM173" s="13"/>
      <c r="AEN173" s="13"/>
      <c r="AEO173" s="13"/>
      <c r="AEP173" s="13"/>
      <c r="AEQ173" s="13"/>
      <c r="AER173" s="13"/>
      <c r="AES173" s="13"/>
      <c r="AET173" s="13"/>
      <c r="AEU173" s="13"/>
      <c r="AEV173" s="13"/>
      <c r="AEW173" s="13"/>
      <c r="AEX173" s="13"/>
      <c r="AEY173" s="13"/>
      <c r="AEZ173" s="13"/>
      <c r="AFA173" s="13"/>
      <c r="AFB173" s="13"/>
      <c r="AFC173" s="13"/>
      <c r="AFD173" s="13"/>
      <c r="AFE173" s="13"/>
      <c r="AFF173" s="13"/>
      <c r="AFG173" s="13"/>
      <c r="AFH173" s="13"/>
      <c r="AFI173" s="13"/>
      <c r="AFJ173" s="13"/>
      <c r="AFK173" s="13"/>
      <c r="AFL173" s="13"/>
      <c r="AFM173" s="13"/>
      <c r="AFN173" s="13"/>
      <c r="AFO173" s="13"/>
      <c r="AFP173" s="13"/>
      <c r="AFQ173" s="13"/>
      <c r="AFR173" s="13"/>
      <c r="AFS173" s="13"/>
      <c r="AFT173" s="13"/>
      <c r="AFU173" s="13"/>
      <c r="AFV173" s="13"/>
      <c r="AFW173" s="13"/>
      <c r="AFX173" s="13"/>
      <c r="AFY173" s="13"/>
      <c r="AFZ173" s="13"/>
      <c r="AGA173" s="13"/>
      <c r="AGB173" s="13"/>
      <c r="AGC173" s="13"/>
      <c r="AGD173" s="13"/>
      <c r="AGE173" s="13"/>
      <c r="AGF173" s="13"/>
      <c r="AGG173" s="13"/>
      <c r="AGH173" s="13"/>
      <c r="AGI173" s="13"/>
      <c r="AGJ173" s="13"/>
      <c r="AGK173" s="13"/>
      <c r="AGL173" s="13"/>
      <c r="AGM173" s="13"/>
      <c r="AGN173" s="13"/>
      <c r="AGO173" s="13"/>
      <c r="AGP173" s="13"/>
      <c r="AGQ173" s="13"/>
      <c r="AGR173" s="13"/>
      <c r="AGS173" s="13"/>
      <c r="AGT173" s="13"/>
      <c r="AGU173" s="13"/>
      <c r="AGV173" s="13"/>
      <c r="AGW173" s="13"/>
      <c r="AGX173" s="13"/>
      <c r="AGY173" s="13"/>
      <c r="AGZ173" s="13"/>
      <c r="AHA173" s="13"/>
      <c r="AHB173" s="13"/>
      <c r="AHC173" s="13"/>
      <c r="AHD173" s="13"/>
      <c r="AHE173" s="13"/>
      <c r="AHF173" s="13"/>
      <c r="AHG173" s="13"/>
      <c r="AHH173" s="13"/>
      <c r="AHI173" s="13"/>
      <c r="AHJ173" s="13"/>
      <c r="AHK173" s="13"/>
      <c r="AHL173" s="13"/>
      <c r="AHM173" s="13"/>
      <c r="AHN173" s="13"/>
      <c r="AHO173" s="13"/>
      <c r="AHP173" s="13"/>
      <c r="AHQ173" s="13"/>
      <c r="AHR173" s="13"/>
      <c r="AHS173" s="13"/>
      <c r="AHT173" s="13"/>
      <c r="AHU173" s="13"/>
      <c r="AHV173" s="13"/>
      <c r="AHW173" s="13"/>
      <c r="AHX173" s="13"/>
      <c r="AHY173" s="13"/>
      <c r="AHZ173" s="13"/>
      <c r="AIA173" s="13"/>
      <c r="AIB173" s="13"/>
      <c r="AIC173" s="13"/>
      <c r="AID173" s="13"/>
      <c r="AIE173" s="13"/>
      <c r="AIF173" s="13"/>
      <c r="AIG173" s="13"/>
      <c r="AIH173" s="13"/>
      <c r="AII173" s="13"/>
      <c r="AIJ173" s="13"/>
      <c r="AIK173" s="13"/>
      <c r="AIL173" s="13"/>
      <c r="AIM173" s="13"/>
      <c r="AIN173" s="13"/>
      <c r="AIO173" s="13"/>
      <c r="AIP173" s="13"/>
      <c r="AIQ173" s="13"/>
      <c r="AIR173" s="13"/>
      <c r="AIS173" s="13"/>
      <c r="AIT173" s="13"/>
      <c r="AIU173" s="13"/>
      <c r="AIV173" s="13"/>
      <c r="AIW173" s="13"/>
      <c r="AIX173" s="13"/>
      <c r="AIY173" s="13"/>
      <c r="AIZ173" s="13"/>
      <c r="AJA173" s="13"/>
      <c r="AJB173" s="13"/>
      <c r="AJC173" s="13"/>
      <c r="AJD173" s="13"/>
      <c r="AJE173" s="13"/>
      <c r="AJF173" s="13"/>
      <c r="AJG173" s="13"/>
      <c r="AJH173" s="13"/>
      <c r="AJI173" s="13"/>
      <c r="AJJ173" s="13"/>
      <c r="AJK173" s="13"/>
      <c r="AJL173" s="13"/>
      <c r="AJM173" s="13"/>
      <c r="AJN173" s="13"/>
      <c r="AJO173" s="13"/>
      <c r="AJP173" s="13"/>
      <c r="AJQ173" s="13"/>
      <c r="AJR173" s="13"/>
      <c r="AJS173" s="13"/>
      <c r="AJT173" s="13"/>
      <c r="AJU173" s="13"/>
      <c r="AJV173" s="13"/>
      <c r="AJW173" s="13"/>
      <c r="AJX173" s="13"/>
      <c r="AJY173" s="13"/>
      <c r="AJZ173" s="13"/>
      <c r="AKA173" s="13"/>
      <c r="AKB173" s="13"/>
      <c r="AKC173" s="13"/>
      <c r="AKD173" s="13"/>
      <c r="AKE173" s="13"/>
      <c r="AKF173" s="13"/>
      <c r="AKG173" s="13"/>
      <c r="AKH173" s="13"/>
      <c r="AKI173" s="13"/>
      <c r="AKJ173" s="13"/>
      <c r="AKK173" s="13"/>
      <c r="AKL173" s="13"/>
      <c r="AKM173" s="13"/>
      <c r="AKN173" s="13"/>
      <c r="AKO173" s="13"/>
      <c r="AKP173" s="13"/>
      <c r="AKQ173" s="13"/>
      <c r="AKR173" s="13"/>
      <c r="AKS173" s="13"/>
      <c r="AKT173" s="13"/>
      <c r="AKU173" s="13"/>
      <c r="AKV173" s="13"/>
      <c r="AKW173" s="13"/>
      <c r="AKX173" s="13"/>
      <c r="AKY173" s="13"/>
      <c r="AKZ173" s="13"/>
      <c r="ALA173" s="13"/>
      <c r="ALB173" s="13"/>
      <c r="ALC173" s="13"/>
      <c r="ALD173" s="13"/>
      <c r="ALE173" s="13"/>
      <c r="ALF173" s="13"/>
      <c r="ALG173" s="13"/>
      <c r="ALH173" s="13"/>
      <c r="ALI173" s="13"/>
      <c r="ALJ173" s="13"/>
      <c r="ALK173" s="13"/>
      <c r="ALL173" s="13"/>
      <c r="ALM173" s="13"/>
      <c r="ALN173" s="13"/>
      <c r="ALO173" s="13"/>
      <c r="ALP173" s="13"/>
      <c r="ALQ173" s="13"/>
      <c r="ALR173" s="13"/>
      <c r="ALS173" s="13"/>
      <c r="ALT173" s="13"/>
      <c r="ALU173" s="13"/>
      <c r="ALV173" s="13"/>
      <c r="ALW173" s="13"/>
      <c r="ALX173" s="13"/>
      <c r="ALY173" s="13"/>
      <c r="ALZ173" s="13"/>
      <c r="AMA173" s="13"/>
      <c r="AMB173" s="13"/>
      <c r="AMC173" s="13"/>
      <c r="AMD173" s="13"/>
      <c r="AME173" s="13"/>
      <c r="AMF173" s="13"/>
      <c r="AMG173" s="13"/>
      <c r="AMH173" s="13"/>
      <c r="AMI173" s="13"/>
      <c r="AMJ173" s="13"/>
      <c r="AMK173" s="13"/>
      <c r="AML173" s="13"/>
      <c r="AMM173" s="13"/>
      <c r="AMN173" s="13"/>
      <c r="AMO173" s="13"/>
      <c r="AMP173" s="13"/>
      <c r="AMQ173" s="13"/>
      <c r="AMR173" s="13"/>
      <c r="AMS173" s="13"/>
      <c r="AMT173" s="13"/>
      <c r="AMU173" s="13"/>
      <c r="AMV173" s="13"/>
      <c r="AMW173" s="13"/>
      <c r="AMX173" s="13"/>
      <c r="AMY173" s="13"/>
      <c r="AMZ173" s="13"/>
      <c r="ANA173" s="13"/>
      <c r="ANB173" s="13"/>
      <c r="ANC173" s="13"/>
      <c r="AND173" s="13"/>
      <c r="ANE173" s="13"/>
      <c r="ANF173" s="13"/>
      <c r="ANG173" s="13"/>
      <c r="ANH173" s="13"/>
      <c r="ANI173" s="13"/>
      <c r="ANJ173" s="13"/>
      <c r="ANK173" s="13"/>
      <c r="ANL173" s="13"/>
      <c r="ANM173" s="13"/>
      <c r="ANN173" s="13"/>
      <c r="ANO173" s="13"/>
      <c r="ANP173" s="13"/>
      <c r="ANQ173" s="13"/>
      <c r="ANR173" s="13"/>
      <c r="ANS173" s="13"/>
      <c r="ANT173" s="13"/>
      <c r="ANU173" s="13"/>
      <c r="ANV173" s="13"/>
      <c r="ANW173" s="13"/>
      <c r="ANX173" s="13"/>
      <c r="ANY173" s="13"/>
      <c r="ANZ173" s="13"/>
      <c r="AOA173" s="13"/>
      <c r="AOB173" s="13"/>
      <c r="AOC173" s="13"/>
      <c r="AOD173" s="13"/>
      <c r="AOE173" s="13"/>
      <c r="AOF173" s="13"/>
      <c r="AOG173" s="13"/>
      <c r="AOH173" s="13"/>
      <c r="AOI173" s="13"/>
      <c r="AOJ173" s="13"/>
      <c r="AOK173" s="13"/>
      <c r="AOL173" s="13"/>
      <c r="AOM173" s="13"/>
      <c r="AON173" s="13"/>
      <c r="AOO173" s="13"/>
      <c r="AOP173" s="13"/>
      <c r="AOQ173" s="13"/>
      <c r="AOR173" s="13"/>
      <c r="AOS173" s="13"/>
      <c r="AOT173" s="13"/>
      <c r="AOU173" s="13"/>
      <c r="AOV173" s="13"/>
      <c r="AOW173" s="13"/>
      <c r="AOX173" s="13"/>
      <c r="AOY173" s="13"/>
      <c r="AOZ173" s="13"/>
      <c r="APA173" s="13"/>
      <c r="APB173" s="13"/>
      <c r="APC173" s="13"/>
      <c r="APD173" s="13"/>
      <c r="APE173" s="13"/>
      <c r="APF173" s="13"/>
      <c r="APG173" s="13"/>
      <c r="APH173" s="13"/>
      <c r="API173" s="13"/>
      <c r="APJ173" s="13"/>
      <c r="APK173" s="13"/>
      <c r="APL173" s="13"/>
      <c r="APM173" s="13"/>
      <c r="APN173" s="13"/>
      <c r="APO173" s="13"/>
      <c r="APP173" s="13"/>
      <c r="APQ173" s="13"/>
      <c r="APR173" s="13"/>
      <c r="APS173" s="13"/>
      <c r="APT173" s="13"/>
      <c r="APU173" s="13"/>
      <c r="APV173" s="13"/>
      <c r="APW173" s="13"/>
      <c r="APX173" s="13"/>
      <c r="APY173" s="13"/>
      <c r="APZ173" s="13"/>
      <c r="AQA173" s="13"/>
      <c r="AQB173" s="13"/>
      <c r="AQC173" s="13"/>
      <c r="AQD173" s="13"/>
      <c r="AQE173" s="13"/>
      <c r="AQF173" s="13"/>
      <c r="AQG173" s="13"/>
      <c r="AQH173" s="13"/>
      <c r="AQI173" s="13"/>
      <c r="AQJ173" s="13"/>
      <c r="AQK173" s="13"/>
      <c r="AQL173" s="13"/>
      <c r="AQM173" s="13"/>
      <c r="AQN173" s="13"/>
      <c r="AQO173" s="13"/>
      <c r="AQP173" s="13"/>
      <c r="AQQ173" s="13"/>
      <c r="AQR173" s="13"/>
      <c r="AQS173" s="13"/>
      <c r="AQT173" s="13"/>
      <c r="AQU173" s="13"/>
      <c r="AQV173" s="13"/>
      <c r="AQW173" s="13"/>
      <c r="AQX173" s="13"/>
      <c r="AQY173" s="13"/>
      <c r="AQZ173" s="13"/>
      <c r="ARA173" s="13"/>
      <c r="ARB173" s="13"/>
      <c r="ARC173" s="13"/>
      <c r="ARD173" s="13"/>
      <c r="ARE173" s="13"/>
      <c r="ARF173" s="13"/>
      <c r="ARG173" s="13"/>
      <c r="ARH173" s="13"/>
      <c r="ARI173" s="13"/>
      <c r="ARJ173" s="13"/>
      <c r="ARK173" s="13"/>
      <c r="ARL173" s="13"/>
      <c r="ARM173" s="13"/>
      <c r="ARN173" s="13"/>
      <c r="ARO173" s="13"/>
      <c r="ARP173" s="13"/>
      <c r="ARQ173" s="13"/>
      <c r="ARR173" s="13"/>
      <c r="ARS173" s="13"/>
      <c r="ART173" s="13"/>
      <c r="ARU173" s="13"/>
      <c r="ARV173" s="13"/>
      <c r="ARW173" s="13"/>
      <c r="ARX173" s="13"/>
      <c r="ARY173" s="13"/>
      <c r="ARZ173" s="13"/>
      <c r="ASA173" s="13"/>
      <c r="ASB173" s="13"/>
      <c r="ASC173" s="13"/>
      <c r="ASD173" s="13"/>
      <c r="ASE173" s="13"/>
      <c r="ASF173" s="13"/>
      <c r="ASG173" s="13"/>
      <c r="ASH173" s="13"/>
      <c r="ASI173" s="13"/>
      <c r="ASJ173" s="13"/>
      <c r="ASK173" s="13"/>
      <c r="ASL173" s="13"/>
      <c r="ASM173" s="13"/>
      <c r="ASN173" s="13"/>
      <c r="ASO173" s="13"/>
      <c r="ASP173" s="13"/>
      <c r="ASQ173" s="13"/>
      <c r="ASR173" s="13"/>
      <c r="ASS173" s="13"/>
      <c r="AST173" s="13"/>
      <c r="ASU173" s="13"/>
      <c r="ASV173" s="13"/>
      <c r="ASW173" s="13"/>
      <c r="ASX173" s="13"/>
      <c r="ASY173" s="13"/>
      <c r="ASZ173" s="13"/>
      <c r="ATA173" s="13"/>
      <c r="ATB173" s="13"/>
      <c r="ATC173" s="13"/>
      <c r="ATD173" s="13"/>
      <c r="ATE173" s="13"/>
      <c r="ATF173" s="13"/>
      <c r="ATG173" s="13"/>
      <c r="ATH173" s="13"/>
      <c r="ATI173" s="13"/>
      <c r="ATJ173" s="13"/>
      <c r="ATK173" s="13"/>
      <c r="ATL173" s="13"/>
      <c r="ATM173" s="13"/>
      <c r="ATN173" s="13"/>
      <c r="ATO173" s="13"/>
      <c r="ATP173" s="13"/>
      <c r="ATQ173" s="13"/>
      <c r="ATR173" s="13"/>
      <c r="ATS173" s="13"/>
      <c r="ATT173" s="13"/>
      <c r="ATU173" s="13"/>
      <c r="ATV173" s="13"/>
      <c r="ATW173" s="13"/>
      <c r="ATX173" s="13"/>
      <c r="ATY173" s="13"/>
      <c r="ATZ173" s="13"/>
      <c r="AUA173" s="13"/>
      <c r="AUB173" s="13"/>
      <c r="AUC173" s="13"/>
      <c r="AUD173" s="13"/>
      <c r="AUE173" s="13"/>
      <c r="AUF173" s="13"/>
      <c r="AUG173" s="13"/>
      <c r="AUH173" s="13"/>
      <c r="AUI173" s="13"/>
      <c r="AUJ173" s="13"/>
      <c r="AUK173" s="13"/>
      <c r="AUL173" s="13"/>
      <c r="AUM173" s="13"/>
      <c r="AUN173" s="13"/>
      <c r="AUO173" s="13"/>
      <c r="AUP173" s="13"/>
      <c r="AUQ173" s="13"/>
      <c r="AUR173" s="13"/>
      <c r="AUS173" s="13"/>
      <c r="AUT173" s="13"/>
      <c r="AUU173" s="13"/>
      <c r="AUV173" s="13"/>
      <c r="AUW173" s="13"/>
      <c r="AUX173" s="13"/>
      <c r="AUY173" s="13"/>
      <c r="AUZ173" s="13"/>
      <c r="AVA173" s="13"/>
      <c r="AVB173" s="13"/>
      <c r="AVC173" s="13"/>
      <c r="AVD173" s="13"/>
      <c r="AVE173" s="13"/>
      <c r="AVF173" s="13"/>
      <c r="AVG173" s="13"/>
      <c r="AVH173" s="13"/>
      <c r="AVI173" s="13"/>
      <c r="AVJ173" s="13"/>
      <c r="AVK173" s="13"/>
      <c r="AVL173" s="13"/>
      <c r="AVM173" s="13"/>
      <c r="AVN173" s="13"/>
      <c r="AVO173" s="13"/>
      <c r="AVP173" s="13"/>
      <c r="AVQ173" s="13"/>
      <c r="AVR173" s="13"/>
      <c r="AVS173" s="13"/>
      <c r="AVT173" s="13"/>
      <c r="AVU173" s="13"/>
      <c r="AVV173" s="13"/>
      <c r="AVW173" s="13"/>
      <c r="AVX173" s="13"/>
      <c r="AVY173" s="13"/>
      <c r="AVZ173" s="13"/>
      <c r="AWA173" s="13"/>
      <c r="AWB173" s="13"/>
      <c r="AWC173" s="13"/>
      <c r="AWD173" s="13"/>
      <c r="AWE173" s="13"/>
      <c r="AWF173" s="13"/>
      <c r="AWG173" s="13"/>
      <c r="AWH173" s="13"/>
      <c r="AWI173" s="13"/>
      <c r="AWJ173" s="13"/>
      <c r="AWK173" s="13"/>
      <c r="AWL173" s="13"/>
      <c r="AWM173" s="13"/>
      <c r="AWN173" s="13"/>
      <c r="AWO173" s="13"/>
      <c r="AWP173" s="13"/>
      <c r="AWQ173" s="13"/>
      <c r="AWR173" s="13"/>
      <c r="AWS173" s="13"/>
      <c r="AWT173" s="13"/>
      <c r="AWU173" s="13"/>
      <c r="AWV173" s="13"/>
      <c r="AWW173" s="13"/>
      <c r="AWX173" s="13"/>
      <c r="AWY173" s="13"/>
      <c r="AWZ173" s="13"/>
      <c r="AXA173" s="13"/>
      <c r="AXB173" s="13"/>
      <c r="AXC173" s="13"/>
      <c r="AXD173" s="13"/>
      <c r="AXE173" s="13"/>
      <c r="AXF173" s="13"/>
      <c r="AXG173" s="13"/>
      <c r="AXH173" s="13"/>
      <c r="AXI173" s="13"/>
      <c r="AXJ173" s="13"/>
      <c r="AXK173" s="13"/>
      <c r="AXL173" s="13"/>
      <c r="AXM173" s="13"/>
      <c r="AXN173" s="13"/>
      <c r="AXO173" s="13"/>
      <c r="AXP173" s="13"/>
      <c r="AXQ173" s="13"/>
      <c r="AXR173" s="13"/>
      <c r="AXS173" s="13"/>
      <c r="AXT173" s="13"/>
      <c r="AXU173" s="13"/>
      <c r="AXV173" s="13"/>
      <c r="AXW173" s="13"/>
      <c r="AXX173" s="13"/>
      <c r="AXY173" s="13"/>
      <c r="AXZ173" s="13"/>
      <c r="AYA173" s="13"/>
      <c r="AYB173" s="13"/>
      <c r="AYC173" s="13"/>
      <c r="AYD173" s="13"/>
      <c r="AYE173" s="13"/>
      <c r="AYF173" s="13"/>
      <c r="AYG173" s="13"/>
      <c r="AYH173" s="13"/>
      <c r="AYI173" s="13"/>
      <c r="AYJ173" s="13"/>
      <c r="AYK173" s="13"/>
      <c r="AYL173" s="13"/>
      <c r="AYM173" s="13"/>
      <c r="AYN173" s="13"/>
      <c r="AYO173" s="13"/>
      <c r="AYP173" s="13"/>
      <c r="AYQ173" s="13"/>
      <c r="AYR173" s="13"/>
      <c r="AYS173" s="13"/>
      <c r="AYT173" s="13"/>
      <c r="AYU173" s="13"/>
      <c r="AYV173" s="13"/>
      <c r="AYW173" s="13"/>
      <c r="AYX173" s="13"/>
      <c r="AYY173" s="13"/>
      <c r="AYZ173" s="13"/>
      <c r="AZA173" s="13"/>
      <c r="AZB173" s="13"/>
      <c r="AZC173" s="13"/>
      <c r="AZD173" s="13"/>
      <c r="AZE173" s="13"/>
      <c r="AZF173" s="13"/>
      <c r="AZG173" s="13"/>
      <c r="AZH173" s="13"/>
      <c r="AZI173" s="13"/>
      <c r="AZJ173" s="13"/>
      <c r="AZK173" s="13"/>
      <c r="AZL173" s="13"/>
      <c r="AZM173" s="13"/>
      <c r="AZN173" s="13"/>
      <c r="AZO173" s="13"/>
      <c r="AZP173" s="13"/>
      <c r="AZQ173" s="13"/>
      <c r="AZR173" s="13"/>
      <c r="AZS173" s="13"/>
      <c r="AZT173" s="13"/>
      <c r="AZU173" s="13"/>
      <c r="AZV173" s="13"/>
      <c r="AZW173" s="13"/>
      <c r="AZX173" s="13"/>
      <c r="AZY173" s="13"/>
      <c r="AZZ173" s="13"/>
      <c r="BAA173" s="13"/>
      <c r="BAB173" s="13"/>
      <c r="BAC173" s="13"/>
      <c r="BAD173" s="13"/>
      <c r="BAE173" s="13"/>
      <c r="BAF173" s="13"/>
      <c r="BAG173" s="13"/>
      <c r="BAH173" s="13"/>
      <c r="BAI173" s="13"/>
      <c r="BAJ173" s="13"/>
      <c r="BAK173" s="13"/>
      <c r="BAL173" s="13"/>
      <c r="BAM173" s="13"/>
      <c r="BAN173" s="13"/>
      <c r="BAO173" s="13"/>
      <c r="BAP173" s="13"/>
      <c r="BAQ173" s="13"/>
      <c r="BAR173" s="13"/>
      <c r="BAS173" s="13"/>
      <c r="BAT173" s="13"/>
      <c r="BAU173" s="13"/>
      <c r="BAV173" s="13"/>
      <c r="BAW173" s="13"/>
      <c r="BAX173" s="13"/>
      <c r="BAY173" s="13"/>
      <c r="BAZ173" s="13"/>
      <c r="BBA173" s="13"/>
      <c r="BBB173" s="13"/>
      <c r="BBC173" s="13"/>
      <c r="BBD173" s="13"/>
      <c r="BBE173" s="13"/>
      <c r="BBF173" s="13"/>
      <c r="BBG173" s="13"/>
      <c r="BBH173" s="13"/>
      <c r="BBI173" s="13"/>
      <c r="BBJ173" s="13"/>
      <c r="BBK173" s="13"/>
      <c r="BBL173" s="13"/>
      <c r="BBM173" s="13"/>
      <c r="BBN173" s="13"/>
      <c r="BBO173" s="13"/>
      <c r="BBP173" s="13"/>
      <c r="BBQ173" s="13"/>
      <c r="BBR173" s="13"/>
      <c r="BBS173" s="13"/>
      <c r="BBT173" s="13"/>
      <c r="BBU173" s="13"/>
      <c r="BBV173" s="13"/>
      <c r="BBW173" s="13"/>
      <c r="BBX173" s="13"/>
      <c r="BBY173" s="13"/>
      <c r="BBZ173" s="13"/>
      <c r="BCA173" s="13"/>
      <c r="BCB173" s="13"/>
      <c r="BCC173" s="13"/>
      <c r="BCD173" s="13"/>
      <c r="BCE173" s="13"/>
      <c r="BCF173" s="13"/>
      <c r="BCG173" s="13"/>
      <c r="BCH173" s="13"/>
      <c r="BCI173" s="13"/>
      <c r="BCJ173" s="13"/>
      <c r="BCK173" s="13"/>
      <c r="BCL173" s="13"/>
      <c r="BCM173" s="13"/>
      <c r="BCN173" s="13"/>
      <c r="BCO173" s="13"/>
      <c r="BCP173" s="13"/>
      <c r="BCQ173" s="13"/>
      <c r="BCR173" s="13"/>
      <c r="BCS173" s="13"/>
      <c r="BCT173" s="13"/>
      <c r="BCU173" s="13"/>
      <c r="BCV173" s="13"/>
      <c r="BCW173" s="13"/>
      <c r="BCX173" s="13"/>
      <c r="BCY173" s="13"/>
      <c r="BCZ173" s="13"/>
      <c r="BDA173" s="13"/>
      <c r="BDB173" s="13"/>
      <c r="BDC173" s="13"/>
      <c r="BDD173" s="13"/>
      <c r="BDE173" s="13"/>
      <c r="BDF173" s="13"/>
      <c r="BDG173" s="13"/>
      <c r="BDH173" s="13"/>
      <c r="BDI173" s="13"/>
      <c r="BDJ173" s="13"/>
      <c r="BDK173" s="13"/>
      <c r="BDL173" s="13"/>
      <c r="BDM173" s="13"/>
      <c r="BDN173" s="13"/>
      <c r="BDO173" s="13"/>
      <c r="BDP173" s="13"/>
      <c r="BDQ173" s="13"/>
      <c r="BDR173" s="13"/>
      <c r="BDS173" s="13"/>
      <c r="BDT173" s="13"/>
      <c r="BDU173" s="13"/>
      <c r="BDV173" s="13"/>
      <c r="BDW173" s="13"/>
      <c r="BDX173" s="13"/>
      <c r="BDY173" s="13"/>
      <c r="BDZ173" s="13"/>
      <c r="BEA173" s="13"/>
      <c r="BEB173" s="13"/>
      <c r="BEC173" s="13"/>
      <c r="BED173" s="13"/>
      <c r="BEE173" s="13"/>
      <c r="BEF173" s="13"/>
      <c r="BEG173" s="13"/>
      <c r="BEH173" s="13"/>
      <c r="BEI173" s="13"/>
      <c r="BEJ173" s="13"/>
      <c r="BEK173" s="13"/>
      <c r="BEL173" s="13"/>
      <c r="BEM173" s="13"/>
      <c r="BEN173" s="13"/>
      <c r="BEO173" s="13"/>
      <c r="BEP173" s="13"/>
      <c r="BEQ173" s="13"/>
      <c r="BER173" s="13"/>
      <c r="BES173" s="13"/>
      <c r="BET173" s="13"/>
      <c r="BEU173" s="13"/>
      <c r="BEV173" s="13"/>
      <c r="BEW173" s="13"/>
      <c r="BEX173" s="13"/>
      <c r="BEY173" s="13"/>
      <c r="BEZ173" s="13"/>
      <c r="BFA173" s="13"/>
      <c r="BFB173" s="13"/>
      <c r="BFC173" s="13"/>
      <c r="BFD173" s="13"/>
      <c r="BFE173" s="13"/>
      <c r="BFF173" s="13"/>
      <c r="BFG173" s="13"/>
      <c r="BFH173" s="13"/>
      <c r="BFI173" s="13"/>
      <c r="BFJ173" s="13"/>
      <c r="BFK173" s="13"/>
      <c r="BFL173" s="13"/>
      <c r="BFM173" s="13"/>
      <c r="BFN173" s="13"/>
      <c r="BFO173" s="13"/>
      <c r="BFP173" s="13"/>
      <c r="BFQ173" s="13"/>
      <c r="BFR173" s="13"/>
      <c r="BFS173" s="13"/>
      <c r="BFT173" s="13"/>
      <c r="BFU173" s="13"/>
      <c r="BFV173" s="13"/>
      <c r="BFW173" s="13"/>
      <c r="BFX173" s="13"/>
      <c r="BFY173" s="13"/>
      <c r="BFZ173" s="13"/>
      <c r="BGA173" s="13"/>
      <c r="BGB173" s="13"/>
      <c r="BGC173" s="13"/>
      <c r="BGD173" s="13"/>
      <c r="BGE173" s="13"/>
      <c r="BGF173" s="13"/>
      <c r="BGG173" s="13"/>
      <c r="BGH173" s="13"/>
      <c r="BGI173" s="13"/>
      <c r="BGJ173" s="13"/>
      <c r="BGK173" s="13"/>
      <c r="BGL173" s="13"/>
      <c r="BGM173" s="13"/>
      <c r="BGN173" s="13"/>
      <c r="BGO173" s="13"/>
      <c r="BGP173" s="13"/>
      <c r="BGQ173" s="13"/>
      <c r="BGR173" s="13"/>
      <c r="BGS173" s="13"/>
      <c r="BGT173" s="13"/>
      <c r="BGU173" s="13"/>
      <c r="BGV173" s="13"/>
      <c r="BGW173" s="13"/>
      <c r="BGX173" s="13"/>
      <c r="BGY173" s="13"/>
      <c r="BGZ173" s="13"/>
      <c r="BHA173" s="13"/>
      <c r="BHB173" s="13"/>
      <c r="BHC173" s="13"/>
      <c r="BHD173" s="13"/>
      <c r="BHE173" s="13"/>
      <c r="BHF173" s="13"/>
      <c r="BHG173" s="13"/>
      <c r="BHH173" s="13"/>
      <c r="BHI173" s="13"/>
      <c r="BHJ173" s="13"/>
      <c r="BHK173" s="13"/>
      <c r="BHL173" s="13"/>
      <c r="BHM173" s="13"/>
      <c r="BHN173" s="13"/>
      <c r="BHO173" s="13"/>
      <c r="BHP173" s="13"/>
      <c r="BHQ173" s="13"/>
      <c r="BHR173" s="13"/>
      <c r="BHS173" s="13"/>
      <c r="BHT173" s="13"/>
      <c r="BHU173" s="13"/>
      <c r="BHV173" s="13"/>
      <c r="BHW173" s="13"/>
      <c r="BHX173" s="13"/>
      <c r="BHY173" s="13"/>
      <c r="BHZ173" s="13"/>
      <c r="BIA173" s="13"/>
      <c r="BIB173" s="13"/>
      <c r="BIC173" s="13"/>
      <c r="BID173" s="13"/>
      <c r="BIE173" s="13"/>
      <c r="BIF173" s="13"/>
      <c r="BIG173" s="13"/>
      <c r="BIH173" s="13"/>
      <c r="BII173" s="13"/>
      <c r="BIJ173" s="13"/>
      <c r="BIK173" s="13"/>
      <c r="BIL173" s="13"/>
      <c r="BIM173" s="13"/>
      <c r="BIN173" s="13"/>
      <c r="BIO173" s="13"/>
      <c r="BIP173" s="13"/>
      <c r="BIQ173" s="13"/>
      <c r="BIR173" s="13"/>
      <c r="BIS173" s="13"/>
      <c r="BIT173" s="13"/>
      <c r="BIU173" s="13"/>
      <c r="BIV173" s="13"/>
      <c r="BIW173" s="13"/>
      <c r="BIX173" s="13"/>
      <c r="BIY173" s="13"/>
      <c r="BIZ173" s="13"/>
      <c r="BJA173" s="13"/>
      <c r="BJB173" s="13"/>
      <c r="BJC173" s="13"/>
      <c r="BJD173" s="13"/>
      <c r="BJE173" s="13"/>
      <c r="BJF173" s="13"/>
      <c r="BJG173" s="13"/>
      <c r="BJH173" s="13"/>
      <c r="BJI173" s="13"/>
      <c r="BJJ173" s="13"/>
      <c r="BJK173" s="13"/>
      <c r="BJL173" s="13"/>
      <c r="BJM173" s="13"/>
      <c r="BJN173" s="13"/>
      <c r="BJO173" s="13"/>
      <c r="BJP173" s="13"/>
      <c r="BJQ173" s="13"/>
      <c r="BJR173" s="13"/>
      <c r="BJS173" s="13"/>
      <c r="BJT173" s="13"/>
      <c r="BJU173" s="13"/>
      <c r="BJV173" s="13"/>
      <c r="BJW173" s="13"/>
      <c r="BJX173" s="13"/>
      <c r="BJY173" s="13"/>
      <c r="BJZ173" s="13"/>
      <c r="BKA173" s="13"/>
      <c r="BKB173" s="13"/>
      <c r="BKC173" s="13"/>
      <c r="BKD173" s="13"/>
      <c r="BKE173" s="13"/>
      <c r="BKF173" s="13"/>
      <c r="BKG173" s="13"/>
      <c r="BKH173" s="13"/>
      <c r="BKI173" s="13"/>
      <c r="BKJ173" s="13"/>
      <c r="BKK173" s="13"/>
      <c r="BKL173" s="13"/>
      <c r="BKM173" s="13"/>
      <c r="BKN173" s="13"/>
      <c r="BKO173" s="13"/>
      <c r="BKP173" s="13"/>
      <c r="BKQ173" s="13"/>
      <c r="BKR173" s="13"/>
      <c r="BKS173" s="13"/>
      <c r="BKT173" s="13"/>
      <c r="BKU173" s="13"/>
      <c r="BKV173" s="13"/>
      <c r="BKW173" s="13"/>
      <c r="BKX173" s="13"/>
      <c r="BKY173" s="13"/>
      <c r="BKZ173" s="13"/>
      <c r="BLA173" s="13"/>
      <c r="BLB173" s="13"/>
      <c r="BLC173" s="13"/>
      <c r="BLD173" s="13"/>
      <c r="BLE173" s="13"/>
      <c r="BLF173" s="13"/>
      <c r="BLG173" s="13"/>
      <c r="BLH173" s="13"/>
      <c r="BLI173" s="13"/>
      <c r="BLJ173" s="13"/>
      <c r="BLK173" s="13"/>
      <c r="BLL173" s="13"/>
      <c r="BLM173" s="13"/>
      <c r="BLN173" s="13"/>
      <c r="BLO173" s="13"/>
      <c r="BLP173" s="13"/>
      <c r="BLQ173" s="13"/>
      <c r="BLR173" s="13"/>
      <c r="BLS173" s="13"/>
      <c r="BLT173" s="13"/>
      <c r="BLU173" s="13"/>
      <c r="BLV173" s="13"/>
      <c r="BLW173" s="13"/>
      <c r="BLX173" s="13"/>
      <c r="BLY173" s="13"/>
      <c r="BLZ173" s="13"/>
      <c r="BMA173" s="13"/>
      <c r="BMB173" s="13"/>
      <c r="BMC173" s="13"/>
      <c r="BMD173" s="13"/>
      <c r="BME173" s="13"/>
      <c r="BMF173" s="13"/>
      <c r="BMG173" s="13"/>
      <c r="BMH173" s="13"/>
      <c r="BMI173" s="13"/>
      <c r="BMJ173" s="13"/>
      <c r="BMK173" s="13"/>
      <c r="BML173" s="13"/>
      <c r="BMM173" s="13"/>
      <c r="BMN173" s="13"/>
      <c r="BMO173" s="13"/>
      <c r="BMP173" s="13"/>
      <c r="BMQ173" s="13"/>
      <c r="BMR173" s="13"/>
      <c r="BMS173" s="13"/>
      <c r="BMT173" s="13"/>
      <c r="BMU173" s="13"/>
      <c r="BMV173" s="13"/>
      <c r="BMW173" s="13"/>
      <c r="BMX173" s="13"/>
      <c r="BMY173" s="13"/>
      <c r="BMZ173" s="13"/>
      <c r="BNA173" s="13"/>
      <c r="BNB173" s="13"/>
      <c r="BNC173" s="13"/>
      <c r="BND173" s="13"/>
      <c r="BNE173" s="13"/>
      <c r="BNF173" s="13"/>
      <c r="BNG173" s="13"/>
      <c r="BNH173" s="13"/>
      <c r="BNI173" s="13"/>
      <c r="BNJ173" s="13"/>
      <c r="BNK173" s="13"/>
      <c r="BNL173" s="13"/>
      <c r="BNM173" s="13"/>
      <c r="BNN173" s="13"/>
      <c r="BNO173" s="13"/>
      <c r="BNP173" s="13"/>
      <c r="BNQ173" s="13"/>
      <c r="BNR173" s="13"/>
      <c r="BNS173" s="13"/>
      <c r="BNT173" s="13"/>
      <c r="BNU173" s="13"/>
      <c r="BNV173" s="13"/>
      <c r="BNW173" s="13"/>
      <c r="BNX173" s="13"/>
      <c r="BNY173" s="13"/>
      <c r="BNZ173" s="13"/>
      <c r="BOA173" s="13"/>
      <c r="BOB173" s="13"/>
      <c r="BOC173" s="13"/>
      <c r="BOD173" s="13"/>
      <c r="BOE173" s="13"/>
      <c r="BOF173" s="13"/>
      <c r="BOG173" s="13"/>
      <c r="BOH173" s="13"/>
      <c r="BOI173" s="13"/>
      <c r="BOJ173" s="13"/>
      <c r="BOK173" s="13"/>
      <c r="BOL173" s="13"/>
      <c r="BOM173" s="13"/>
      <c r="BON173" s="13"/>
      <c r="BOO173" s="13"/>
      <c r="BOP173" s="13"/>
      <c r="BOQ173" s="13"/>
      <c r="BOR173" s="13"/>
      <c r="BOS173" s="13"/>
      <c r="BOT173" s="13"/>
      <c r="BOU173" s="13"/>
      <c r="BOV173" s="13"/>
      <c r="BOW173" s="13"/>
      <c r="BOX173" s="13"/>
      <c r="BOY173" s="13"/>
      <c r="BOZ173" s="13"/>
      <c r="BPA173" s="13"/>
      <c r="BPB173" s="13"/>
      <c r="BPC173" s="13"/>
      <c r="BPD173" s="13"/>
      <c r="BPE173" s="13"/>
      <c r="BPF173" s="13"/>
      <c r="BPG173" s="13"/>
      <c r="BPH173" s="13"/>
      <c r="BPI173" s="13"/>
      <c r="BPJ173" s="13"/>
      <c r="BPK173" s="13"/>
      <c r="BPL173" s="13"/>
      <c r="BPM173" s="13"/>
      <c r="BPN173" s="13"/>
      <c r="BPO173" s="13"/>
      <c r="BPP173" s="13"/>
      <c r="BPQ173" s="13"/>
      <c r="BPR173" s="13"/>
      <c r="BPS173" s="13"/>
      <c r="BPT173" s="13"/>
      <c r="BPU173" s="13"/>
      <c r="BPV173" s="13"/>
      <c r="BPW173" s="13"/>
      <c r="BPX173" s="13"/>
      <c r="BPY173" s="13"/>
      <c r="BPZ173" s="13"/>
      <c r="BQA173" s="13"/>
      <c r="BQB173" s="13"/>
      <c r="BQC173" s="13"/>
      <c r="BQD173" s="13"/>
      <c r="BQE173" s="13"/>
      <c r="BQF173" s="13"/>
      <c r="BQG173" s="13"/>
      <c r="BQH173" s="13"/>
      <c r="BQI173" s="13"/>
      <c r="BQJ173" s="13"/>
      <c r="BQK173" s="13"/>
      <c r="BQL173" s="13"/>
      <c r="BQM173" s="13"/>
      <c r="BQN173" s="13"/>
      <c r="BQO173" s="13"/>
      <c r="BQP173" s="13"/>
      <c r="BQQ173" s="13"/>
      <c r="BQR173" s="13"/>
      <c r="BQS173" s="13"/>
      <c r="BQT173" s="13"/>
      <c r="BQU173" s="13"/>
      <c r="BQV173" s="13"/>
      <c r="BQW173" s="13"/>
      <c r="BQX173" s="13"/>
      <c r="BQY173" s="13"/>
      <c r="BQZ173" s="13"/>
      <c r="BRA173" s="13"/>
      <c r="BRB173" s="13"/>
      <c r="BRC173" s="13"/>
      <c r="BRD173" s="13"/>
      <c r="BRE173" s="13"/>
      <c r="BRF173" s="13"/>
      <c r="BRG173" s="13"/>
      <c r="BRH173" s="13"/>
      <c r="BRI173" s="13"/>
      <c r="BRJ173" s="13"/>
      <c r="BRK173" s="13"/>
      <c r="BRL173" s="13"/>
      <c r="BRM173" s="13"/>
      <c r="BRN173" s="13"/>
      <c r="BRO173" s="13"/>
      <c r="BRP173" s="13"/>
      <c r="BRQ173" s="13"/>
      <c r="BRR173" s="13"/>
      <c r="BRS173" s="13"/>
      <c r="BRT173" s="13"/>
      <c r="BRU173" s="13"/>
      <c r="BRV173" s="13"/>
      <c r="BRW173" s="13"/>
      <c r="BRX173" s="13"/>
      <c r="BRY173" s="13"/>
      <c r="BRZ173" s="13"/>
      <c r="BSA173" s="13"/>
      <c r="BSB173" s="13"/>
      <c r="BSC173" s="13"/>
      <c r="BSD173" s="13"/>
      <c r="BSE173" s="13"/>
      <c r="BSF173" s="13"/>
      <c r="BSG173" s="13"/>
      <c r="BSH173" s="13"/>
      <c r="BSI173" s="13"/>
      <c r="BSJ173" s="13"/>
      <c r="BSK173" s="13"/>
      <c r="BSL173" s="13"/>
      <c r="BSM173" s="13"/>
      <c r="BSN173" s="13"/>
      <c r="BSO173" s="13"/>
      <c r="BSP173" s="13"/>
      <c r="BSQ173" s="13"/>
      <c r="BSR173" s="13"/>
      <c r="BSS173" s="13"/>
      <c r="BST173" s="13"/>
      <c r="BSU173" s="13"/>
      <c r="BSV173" s="13"/>
      <c r="BSW173" s="13"/>
      <c r="BSX173" s="13"/>
      <c r="BSY173" s="13"/>
      <c r="BSZ173" s="13"/>
      <c r="BTA173" s="13"/>
    </row>
    <row r="174" spans="1:1873" s="23" customFormat="1" x14ac:dyDescent="0.2">
      <c r="A174" s="234" t="s">
        <v>679</v>
      </c>
      <c r="B174" s="234" t="s">
        <v>618</v>
      </c>
      <c r="C174" s="234" t="s">
        <v>482</v>
      </c>
      <c r="D174" s="234" t="s">
        <v>633</v>
      </c>
      <c r="E174" s="493" t="s">
        <v>1502</v>
      </c>
      <c r="F174" s="234">
        <v>10</v>
      </c>
      <c r="G174" s="234">
        <v>1</v>
      </c>
      <c r="H174" s="491">
        <v>10</v>
      </c>
      <c r="I174" s="234" t="s">
        <v>621</v>
      </c>
      <c r="J174" s="234">
        <v>1987</v>
      </c>
      <c r="K174" s="234" t="s">
        <v>962</v>
      </c>
      <c r="L174" s="234">
        <v>1996</v>
      </c>
      <c r="M174" s="389">
        <v>8.6199999999999992</v>
      </c>
      <c r="N174" s="389">
        <v>-9999</v>
      </c>
      <c r="O174" s="29"/>
      <c r="P174" s="237">
        <f t="shared" si="3"/>
        <v>99.02000000000001</v>
      </c>
      <c r="Q174" s="234">
        <v>-9999</v>
      </c>
      <c r="R174" s="389"/>
      <c r="S174" s="234"/>
      <c r="T174" s="237">
        <f t="shared" si="2"/>
        <v>9.902000000000001</v>
      </c>
      <c r="U174" s="234">
        <v>-9999</v>
      </c>
      <c r="V174" s="234"/>
      <c r="W174" s="389">
        <v>8.6199999999999992</v>
      </c>
      <c r="X174" s="234">
        <v>-9999</v>
      </c>
      <c r="Y174" s="234"/>
      <c r="Z174" s="234" t="s">
        <v>622</v>
      </c>
      <c r="AA174" s="515">
        <v>111111</v>
      </c>
      <c r="AB174" s="412">
        <v>0.39</v>
      </c>
      <c r="AC174" s="234">
        <v>8.6400000000000005E-2</v>
      </c>
      <c r="AD174" s="234">
        <v>36</v>
      </c>
      <c r="AE174" s="390" t="s">
        <v>1974</v>
      </c>
      <c r="AF174" s="234">
        <v>3</v>
      </c>
      <c r="AG174" s="234">
        <v>2</v>
      </c>
      <c r="AH174" s="234" t="s">
        <v>623</v>
      </c>
      <c r="AI174" s="234" t="s">
        <v>624</v>
      </c>
      <c r="AJ174" s="234">
        <v>-9999</v>
      </c>
      <c r="AK174" s="234" t="s">
        <v>626</v>
      </c>
      <c r="AL174" s="234" t="s">
        <v>653</v>
      </c>
      <c r="AM174" s="234">
        <v>-9999</v>
      </c>
      <c r="AN174" s="234" t="s">
        <v>491</v>
      </c>
      <c r="AO174" s="234" t="s">
        <v>627</v>
      </c>
      <c r="AP174" s="234" t="s">
        <v>489</v>
      </c>
      <c r="AQ174" s="234" t="s">
        <v>631</v>
      </c>
      <c r="AR174" s="234">
        <v>0</v>
      </c>
      <c r="AS174" s="234">
        <v>-9999</v>
      </c>
      <c r="AT174" s="234">
        <v>-9999</v>
      </c>
      <c r="AU174" s="234">
        <v>0</v>
      </c>
      <c r="AV174" s="234">
        <v>-9999</v>
      </c>
      <c r="AW174" s="234">
        <v>-9999</v>
      </c>
      <c r="AX174" s="234">
        <v>0</v>
      </c>
      <c r="AY174" s="234">
        <v>-9999</v>
      </c>
      <c r="AZ174" s="234">
        <v>-9999</v>
      </c>
      <c r="BA174" s="234">
        <v>-9999</v>
      </c>
      <c r="BB174" s="234" t="s">
        <v>626</v>
      </c>
      <c r="BC174" s="516" t="s">
        <v>37</v>
      </c>
      <c r="BD174" s="234" t="s">
        <v>674</v>
      </c>
      <c r="BE174" s="234" t="s">
        <v>36</v>
      </c>
      <c r="BF174" s="234">
        <v>-9999</v>
      </c>
      <c r="BG174" s="234">
        <v>-9999</v>
      </c>
      <c r="BH174" s="234">
        <v>-9999</v>
      </c>
      <c r="BI174" s="234" t="s">
        <v>492</v>
      </c>
      <c r="BJ174" s="234">
        <v>-9999</v>
      </c>
      <c r="BK174" s="234">
        <v>-9999</v>
      </c>
      <c r="BL174" s="234">
        <v>-9999</v>
      </c>
      <c r="BM174" s="234">
        <v>-9999</v>
      </c>
      <c r="BN174" s="234">
        <v>-9999</v>
      </c>
      <c r="BO174" s="234">
        <v>-9999</v>
      </c>
      <c r="BP174" s="234">
        <v>-9999</v>
      </c>
      <c r="BQ174" s="234">
        <v>-9999</v>
      </c>
      <c r="BR174" s="234">
        <v>-9999</v>
      </c>
      <c r="BS174" s="491">
        <v>-9999</v>
      </c>
      <c r="BT174" s="234">
        <v>-9999</v>
      </c>
      <c r="BU174" s="234">
        <v>-9999</v>
      </c>
      <c r="BV174" s="234">
        <v>-9999</v>
      </c>
      <c r="BW174" s="234"/>
      <c r="BX174" s="234">
        <v>-9999</v>
      </c>
      <c r="BY174" s="234">
        <v>-9999</v>
      </c>
      <c r="BZ174" s="496">
        <v>-9999</v>
      </c>
      <c r="CA174" s="496">
        <v>-9999</v>
      </c>
      <c r="CB174" s="499"/>
      <c r="CC174" s="57">
        <v>10</v>
      </c>
      <c r="CD174" s="57">
        <v>1</v>
      </c>
      <c r="CE174" s="292">
        <v>9.902000000000001</v>
      </c>
      <c r="CF174" s="292">
        <v>8.6199999999999992</v>
      </c>
      <c r="CG174" s="72">
        <v>10</v>
      </c>
    </row>
    <row r="175" spans="1:1873" s="23" customFormat="1" x14ac:dyDescent="0.2">
      <c r="A175" s="234"/>
      <c r="B175" s="234"/>
      <c r="C175" s="234"/>
      <c r="D175" s="234"/>
      <c r="E175" s="493"/>
      <c r="F175" s="234"/>
      <c r="G175" s="234"/>
      <c r="H175" s="491"/>
      <c r="I175" s="234"/>
      <c r="J175" s="234"/>
      <c r="K175" s="234"/>
      <c r="L175" s="234"/>
      <c r="M175" s="389"/>
      <c r="N175" s="389"/>
      <c r="O175" s="29"/>
      <c r="P175" s="237"/>
      <c r="Q175" s="234"/>
      <c r="R175" s="389"/>
      <c r="S175" s="234"/>
      <c r="T175" s="237"/>
      <c r="U175" s="234"/>
      <c r="V175" s="234"/>
      <c r="W175" s="389"/>
      <c r="X175" s="234"/>
      <c r="Y175" s="234"/>
      <c r="Z175" s="234"/>
      <c r="AA175" s="515"/>
      <c r="AB175" s="389"/>
      <c r="AC175" s="234"/>
      <c r="AD175" s="234"/>
      <c r="AE175" s="234"/>
      <c r="AF175" s="234"/>
      <c r="AG175" s="234"/>
      <c r="AH175" s="234"/>
      <c r="AI175" s="234"/>
      <c r="AJ175" s="234"/>
      <c r="AK175" s="234"/>
      <c r="AL175" s="234"/>
      <c r="AM175" s="234"/>
      <c r="AN175" s="234"/>
      <c r="AO175" s="234"/>
      <c r="AP175" s="234"/>
      <c r="AQ175" s="234"/>
      <c r="AR175" s="234"/>
      <c r="AS175" s="234"/>
      <c r="AT175" s="234"/>
      <c r="AU175" s="234"/>
      <c r="AV175" s="234"/>
      <c r="AW175" s="234"/>
      <c r="AX175" s="234"/>
      <c r="AY175" s="234"/>
      <c r="AZ175" s="234"/>
      <c r="BA175" s="234"/>
      <c r="BB175" s="234"/>
      <c r="BC175" s="516"/>
      <c r="BD175" s="234"/>
      <c r="BE175" s="234"/>
      <c r="BF175" s="234"/>
      <c r="BG175" s="234"/>
      <c r="BH175" s="234"/>
      <c r="BI175" s="234"/>
      <c r="BJ175" s="234"/>
      <c r="BK175" s="234"/>
      <c r="BL175" s="234"/>
      <c r="BM175" s="234"/>
      <c r="BN175" s="234"/>
      <c r="BO175" s="234"/>
      <c r="BP175" s="234"/>
      <c r="BQ175" s="234"/>
      <c r="BR175" s="234"/>
      <c r="BS175" s="491"/>
      <c r="BT175" s="234"/>
      <c r="BU175" s="234"/>
      <c r="BV175" s="234"/>
      <c r="BW175" s="234"/>
      <c r="BX175" s="234"/>
      <c r="BY175" s="234"/>
      <c r="BZ175" s="496"/>
      <c r="CA175" s="496"/>
      <c r="CB175" s="499"/>
      <c r="CC175" s="57"/>
      <c r="CD175" s="57"/>
      <c r="CE175" s="342" t="s">
        <v>1576</v>
      </c>
      <c r="CF175" s="342" t="s">
        <v>1575</v>
      </c>
      <c r="CG175" s="72"/>
    </row>
    <row r="176" spans="1:1873" s="23" customFormat="1" x14ac:dyDescent="0.2">
      <c r="A176" s="234" t="s">
        <v>679</v>
      </c>
      <c r="B176" s="234" t="s">
        <v>618</v>
      </c>
      <c r="C176" s="234" t="s">
        <v>483</v>
      </c>
      <c r="D176" s="234" t="s">
        <v>633</v>
      </c>
      <c r="E176" s="493" t="s">
        <v>1516</v>
      </c>
      <c r="F176" s="234">
        <v>1</v>
      </c>
      <c r="G176" s="234">
        <v>1</v>
      </c>
      <c r="H176" s="491">
        <v>1</v>
      </c>
      <c r="I176" s="234" t="s">
        <v>621</v>
      </c>
      <c r="J176" s="234">
        <v>1987</v>
      </c>
      <c r="K176" s="234" t="s">
        <v>961</v>
      </c>
      <c r="L176" s="234">
        <v>1987</v>
      </c>
      <c r="M176" s="389">
        <v>1.26</v>
      </c>
      <c r="N176" s="389">
        <v>-9999</v>
      </c>
      <c r="O176" s="29"/>
      <c r="P176" s="237">
        <f>+M176</f>
        <v>1.26</v>
      </c>
      <c r="Q176" s="234">
        <v>-9999</v>
      </c>
      <c r="R176" s="389"/>
      <c r="S176" s="234"/>
      <c r="T176" s="237">
        <f t="shared" ref="T176:T185" si="4">+P176/H176</f>
        <v>1.26</v>
      </c>
      <c r="U176" s="234">
        <v>-9999</v>
      </c>
      <c r="V176" s="234"/>
      <c r="W176" s="389">
        <v>1.26</v>
      </c>
      <c r="X176" s="234">
        <v>-9999</v>
      </c>
      <c r="Y176" s="234"/>
      <c r="Z176" s="234" t="s">
        <v>622</v>
      </c>
      <c r="AA176" s="515">
        <v>111111</v>
      </c>
      <c r="AB176" s="389">
        <v>1</v>
      </c>
      <c r="AC176" s="234">
        <v>8.6400000000000005E-2</v>
      </c>
      <c r="AD176" s="234">
        <v>36</v>
      </c>
      <c r="AE176" s="390" t="s">
        <v>1974</v>
      </c>
      <c r="AF176" s="234">
        <v>3</v>
      </c>
      <c r="AG176" s="234">
        <v>2</v>
      </c>
      <c r="AH176" s="234" t="s">
        <v>623</v>
      </c>
      <c r="AI176" s="234" t="s">
        <v>624</v>
      </c>
      <c r="AJ176" s="234">
        <v>-9999</v>
      </c>
      <c r="AK176" s="234" t="s">
        <v>626</v>
      </c>
      <c r="AL176" s="234" t="s">
        <v>653</v>
      </c>
      <c r="AM176" s="234">
        <v>-9999</v>
      </c>
      <c r="AN176" s="234" t="s">
        <v>491</v>
      </c>
      <c r="AO176" s="234" t="s">
        <v>627</v>
      </c>
      <c r="AP176" s="234" t="s">
        <v>489</v>
      </c>
      <c r="AQ176" s="234" t="s">
        <v>626</v>
      </c>
      <c r="AR176" s="234">
        <v>336</v>
      </c>
      <c r="AS176" s="234" t="s">
        <v>1101</v>
      </c>
      <c r="AT176" s="234" t="s">
        <v>747</v>
      </c>
      <c r="AU176" s="234">
        <v>112</v>
      </c>
      <c r="AV176" s="234" t="s">
        <v>218</v>
      </c>
      <c r="AW176" s="234" t="s">
        <v>748</v>
      </c>
      <c r="AX176" s="234">
        <v>224</v>
      </c>
      <c r="AY176" s="234" t="s">
        <v>219</v>
      </c>
      <c r="AZ176" s="234" t="s">
        <v>748</v>
      </c>
      <c r="BA176" s="234">
        <v>-9999</v>
      </c>
      <c r="BB176" s="234" t="s">
        <v>626</v>
      </c>
      <c r="BC176" s="516" t="s">
        <v>37</v>
      </c>
      <c r="BD176" s="234" t="s">
        <v>674</v>
      </c>
      <c r="BE176" s="234" t="s">
        <v>36</v>
      </c>
      <c r="BF176" s="234">
        <v>-9999</v>
      </c>
      <c r="BG176" s="234">
        <v>-9999</v>
      </c>
      <c r="BH176" s="234">
        <v>-9999</v>
      </c>
      <c r="BI176" s="234" t="s">
        <v>492</v>
      </c>
      <c r="BJ176" s="234">
        <v>-9999</v>
      </c>
      <c r="BK176" s="234">
        <v>-9999</v>
      </c>
      <c r="BL176" s="234">
        <v>-9999</v>
      </c>
      <c r="BM176" s="234">
        <v>-9999</v>
      </c>
      <c r="BN176" s="234">
        <v>-9999</v>
      </c>
      <c r="BO176" s="234">
        <v>-9999</v>
      </c>
      <c r="BP176" s="234">
        <v>-9999</v>
      </c>
      <c r="BQ176" s="234">
        <v>-9999</v>
      </c>
      <c r="BR176" s="234">
        <v>-9999</v>
      </c>
      <c r="BS176" s="491">
        <v>-9999</v>
      </c>
      <c r="BT176" s="234">
        <v>-9999</v>
      </c>
      <c r="BU176" s="234">
        <v>-9999</v>
      </c>
      <c r="BV176" s="234">
        <v>-9999</v>
      </c>
      <c r="BW176" s="234"/>
      <c r="BX176" s="234">
        <v>-9999</v>
      </c>
      <c r="BY176" s="234">
        <v>-9999</v>
      </c>
      <c r="BZ176" s="496">
        <v>-9999</v>
      </c>
      <c r="CA176" s="496">
        <v>-9999</v>
      </c>
      <c r="CB176" s="499"/>
      <c r="CC176" s="57">
        <v>1</v>
      </c>
      <c r="CD176" s="57">
        <v>1</v>
      </c>
      <c r="CE176" s="292">
        <v>1.26</v>
      </c>
      <c r="CF176" s="292">
        <v>1.26</v>
      </c>
      <c r="CG176" s="72">
        <v>1</v>
      </c>
      <c r="CO176" s="345" t="s">
        <v>1580</v>
      </c>
    </row>
    <row r="177" spans="1:93" s="23" customFormat="1" x14ac:dyDescent="0.2">
      <c r="A177" s="234" t="s">
        <v>679</v>
      </c>
      <c r="B177" s="234" t="s">
        <v>618</v>
      </c>
      <c r="C177" s="234" t="s">
        <v>483</v>
      </c>
      <c r="D177" s="234" t="s">
        <v>633</v>
      </c>
      <c r="E177" s="493" t="s">
        <v>1516</v>
      </c>
      <c r="F177" s="234">
        <v>2</v>
      </c>
      <c r="G177" s="234">
        <v>1</v>
      </c>
      <c r="H177" s="491">
        <v>2</v>
      </c>
      <c r="I177" s="234" t="s">
        <v>621</v>
      </c>
      <c r="J177" s="234">
        <v>1987</v>
      </c>
      <c r="K177" s="234" t="s">
        <v>962</v>
      </c>
      <c r="L177" s="234">
        <v>1988</v>
      </c>
      <c r="M177" s="389">
        <v>4.72</v>
      </c>
      <c r="N177" s="389">
        <v>-9999</v>
      </c>
      <c r="O177" s="29"/>
      <c r="P177" s="237">
        <f t="shared" ref="P177:P185" si="5">+P176+M177</f>
        <v>5.9799999999999995</v>
      </c>
      <c r="Q177" s="234">
        <v>-9999</v>
      </c>
      <c r="R177" s="389"/>
      <c r="S177" s="234"/>
      <c r="T177" s="237">
        <f t="shared" si="4"/>
        <v>2.9899999999999998</v>
      </c>
      <c r="U177" s="234">
        <v>-9999</v>
      </c>
      <c r="V177" s="234"/>
      <c r="W177" s="389">
        <v>4.72</v>
      </c>
      <c r="X177" s="234">
        <v>-9999</v>
      </c>
      <c r="Y177" s="234"/>
      <c r="Z177" s="234" t="s">
        <v>622</v>
      </c>
      <c r="AA177" s="515">
        <v>111111</v>
      </c>
      <c r="AB177" s="389">
        <v>0.9</v>
      </c>
      <c r="AC177" s="234">
        <v>8.6400000000000005E-2</v>
      </c>
      <c r="AD177" s="234">
        <v>36</v>
      </c>
      <c r="AE177" s="390" t="s">
        <v>1974</v>
      </c>
      <c r="AF177" s="234">
        <v>3</v>
      </c>
      <c r="AG177" s="234">
        <v>2</v>
      </c>
      <c r="AH177" s="234" t="s">
        <v>623</v>
      </c>
      <c r="AI177" s="234" t="s">
        <v>624</v>
      </c>
      <c r="AJ177" s="234">
        <v>-9999</v>
      </c>
      <c r="AK177" s="234" t="s">
        <v>626</v>
      </c>
      <c r="AL177" s="234" t="s">
        <v>653</v>
      </c>
      <c r="AM177" s="234">
        <v>-9999</v>
      </c>
      <c r="AN177" s="234" t="s">
        <v>491</v>
      </c>
      <c r="AO177" s="234" t="s">
        <v>627</v>
      </c>
      <c r="AP177" s="234" t="s">
        <v>489</v>
      </c>
      <c r="AQ177" s="234" t="s">
        <v>626</v>
      </c>
      <c r="AR177" s="234">
        <v>336</v>
      </c>
      <c r="AS177" s="234" t="s">
        <v>1101</v>
      </c>
      <c r="AT177" s="234" t="s">
        <v>747</v>
      </c>
      <c r="AU177" s="234">
        <v>112</v>
      </c>
      <c r="AV177" s="234" t="s">
        <v>218</v>
      </c>
      <c r="AW177" s="234" t="s">
        <v>748</v>
      </c>
      <c r="AX177" s="234">
        <v>224</v>
      </c>
      <c r="AY177" s="234" t="s">
        <v>219</v>
      </c>
      <c r="AZ177" s="234" t="s">
        <v>748</v>
      </c>
      <c r="BA177" s="234">
        <v>-9999</v>
      </c>
      <c r="BB177" s="234" t="s">
        <v>626</v>
      </c>
      <c r="BC177" s="516" t="s">
        <v>37</v>
      </c>
      <c r="BD177" s="234" t="s">
        <v>674</v>
      </c>
      <c r="BE177" s="234" t="s">
        <v>36</v>
      </c>
      <c r="BF177" s="234">
        <v>-9999</v>
      </c>
      <c r="BG177" s="234">
        <v>-9999</v>
      </c>
      <c r="BH177" s="234">
        <v>-9999</v>
      </c>
      <c r="BI177" s="234" t="s">
        <v>492</v>
      </c>
      <c r="BJ177" s="234">
        <v>-9999</v>
      </c>
      <c r="BK177" s="234">
        <v>-9999</v>
      </c>
      <c r="BL177" s="234">
        <v>-9999</v>
      </c>
      <c r="BM177" s="234">
        <v>-9999</v>
      </c>
      <c r="BN177" s="234">
        <v>-9999</v>
      </c>
      <c r="BO177" s="234">
        <v>-9999</v>
      </c>
      <c r="BP177" s="234">
        <v>-9999</v>
      </c>
      <c r="BQ177" s="234">
        <v>-9999</v>
      </c>
      <c r="BR177" s="234">
        <v>-9999</v>
      </c>
      <c r="BS177" s="491">
        <v>-9999</v>
      </c>
      <c r="BT177" s="234">
        <v>-9999</v>
      </c>
      <c r="BU177" s="234">
        <v>-9999</v>
      </c>
      <c r="BV177" s="234">
        <v>-9999</v>
      </c>
      <c r="BW177" s="234"/>
      <c r="BX177" s="234">
        <v>-9999</v>
      </c>
      <c r="BY177" s="234">
        <v>-9999</v>
      </c>
      <c r="BZ177" s="496">
        <v>-9999</v>
      </c>
      <c r="CA177" s="496">
        <v>-9999</v>
      </c>
      <c r="CB177" s="499"/>
      <c r="CC177" s="57">
        <v>2</v>
      </c>
      <c r="CD177" s="57">
        <v>1</v>
      </c>
      <c r="CE177" s="292">
        <v>2.9899999999999998</v>
      </c>
      <c r="CF177" s="292">
        <v>4.72</v>
      </c>
      <c r="CG177" s="72">
        <v>2</v>
      </c>
      <c r="CO177" s="345" t="s">
        <v>1581</v>
      </c>
    </row>
    <row r="178" spans="1:93" s="23" customFormat="1" x14ac:dyDescent="0.2">
      <c r="A178" s="234" t="s">
        <v>679</v>
      </c>
      <c r="B178" s="234" t="s">
        <v>618</v>
      </c>
      <c r="C178" s="234" t="s">
        <v>483</v>
      </c>
      <c r="D178" s="234" t="s">
        <v>633</v>
      </c>
      <c r="E178" s="493" t="s">
        <v>1516</v>
      </c>
      <c r="F178" s="234">
        <v>3</v>
      </c>
      <c r="G178" s="234">
        <v>1</v>
      </c>
      <c r="H178" s="491">
        <v>3</v>
      </c>
      <c r="I178" s="234" t="s">
        <v>621</v>
      </c>
      <c r="J178" s="234">
        <v>1987</v>
      </c>
      <c r="K178" s="234" t="s">
        <v>962</v>
      </c>
      <c r="L178" s="234">
        <v>1989</v>
      </c>
      <c r="M178" s="389">
        <v>11.8</v>
      </c>
      <c r="N178" s="389">
        <v>-9999</v>
      </c>
      <c r="O178" s="29"/>
      <c r="P178" s="237">
        <f t="shared" si="5"/>
        <v>17.78</v>
      </c>
      <c r="Q178" s="234">
        <v>-9999</v>
      </c>
      <c r="R178" s="389"/>
      <c r="S178" s="234"/>
      <c r="T178" s="237">
        <f t="shared" si="4"/>
        <v>5.9266666666666667</v>
      </c>
      <c r="U178" s="234">
        <v>-9999</v>
      </c>
      <c r="V178" s="234"/>
      <c r="W178" s="389">
        <v>11.8</v>
      </c>
      <c r="X178" s="234">
        <v>-9999</v>
      </c>
      <c r="Y178" s="234"/>
      <c r="Z178" s="234" t="s">
        <v>622</v>
      </c>
      <c r="AA178" s="515">
        <v>111111</v>
      </c>
      <c r="AB178" s="389">
        <v>0.8</v>
      </c>
      <c r="AC178" s="234">
        <v>8.6400000000000005E-2</v>
      </c>
      <c r="AD178" s="234">
        <v>36</v>
      </c>
      <c r="AE178" s="390" t="s">
        <v>1974</v>
      </c>
      <c r="AF178" s="234">
        <v>3</v>
      </c>
      <c r="AG178" s="234">
        <v>2</v>
      </c>
      <c r="AH178" s="234" t="s">
        <v>623</v>
      </c>
      <c r="AI178" s="234" t="s">
        <v>624</v>
      </c>
      <c r="AJ178" s="234">
        <v>-9999</v>
      </c>
      <c r="AK178" s="234" t="s">
        <v>626</v>
      </c>
      <c r="AL178" s="234" t="s">
        <v>653</v>
      </c>
      <c r="AM178" s="234">
        <v>-9999</v>
      </c>
      <c r="AN178" s="234" t="s">
        <v>491</v>
      </c>
      <c r="AO178" s="234" t="s">
        <v>627</v>
      </c>
      <c r="AP178" s="234" t="s">
        <v>489</v>
      </c>
      <c r="AQ178" s="234" t="s">
        <v>626</v>
      </c>
      <c r="AR178" s="234">
        <v>336</v>
      </c>
      <c r="AS178" s="234" t="s">
        <v>1101</v>
      </c>
      <c r="AT178" s="234" t="s">
        <v>747</v>
      </c>
      <c r="AU178" s="234">
        <v>112</v>
      </c>
      <c r="AV178" s="234" t="s">
        <v>218</v>
      </c>
      <c r="AW178" s="234" t="s">
        <v>748</v>
      </c>
      <c r="AX178" s="234">
        <v>224</v>
      </c>
      <c r="AY178" s="234" t="s">
        <v>219</v>
      </c>
      <c r="AZ178" s="234" t="s">
        <v>748</v>
      </c>
      <c r="BA178" s="234">
        <v>-9999</v>
      </c>
      <c r="BB178" s="234" t="s">
        <v>626</v>
      </c>
      <c r="BC178" s="516" t="s">
        <v>37</v>
      </c>
      <c r="BD178" s="234" t="s">
        <v>674</v>
      </c>
      <c r="BE178" s="234" t="s">
        <v>36</v>
      </c>
      <c r="BF178" s="234">
        <v>-9999</v>
      </c>
      <c r="BG178" s="234">
        <v>-9999</v>
      </c>
      <c r="BH178" s="234">
        <v>-9999</v>
      </c>
      <c r="BI178" s="234" t="s">
        <v>492</v>
      </c>
      <c r="BJ178" s="234">
        <v>-9999</v>
      </c>
      <c r="BK178" s="234">
        <v>-9999</v>
      </c>
      <c r="BL178" s="234">
        <v>-9999</v>
      </c>
      <c r="BM178" s="234">
        <v>-9999</v>
      </c>
      <c r="BN178" s="234">
        <v>-9999</v>
      </c>
      <c r="BO178" s="234">
        <v>-9999</v>
      </c>
      <c r="BP178" s="234">
        <v>-9999</v>
      </c>
      <c r="BQ178" s="234">
        <v>-9999</v>
      </c>
      <c r="BR178" s="234">
        <v>-9999</v>
      </c>
      <c r="BS178" s="491">
        <v>-9999</v>
      </c>
      <c r="BT178" s="234">
        <v>-9999</v>
      </c>
      <c r="BU178" s="234">
        <v>-9999</v>
      </c>
      <c r="BV178" s="234">
        <v>-9999</v>
      </c>
      <c r="BW178" s="234"/>
      <c r="BX178" s="234">
        <v>-9999</v>
      </c>
      <c r="BY178" s="234">
        <v>-9999</v>
      </c>
      <c r="BZ178" s="496">
        <v>-9999</v>
      </c>
      <c r="CA178" s="496">
        <v>-9999</v>
      </c>
      <c r="CB178" s="499"/>
      <c r="CC178" s="57">
        <v>3</v>
      </c>
      <c r="CD178" s="57">
        <v>1</v>
      </c>
      <c r="CE178" s="292">
        <v>5.9266666666666667</v>
      </c>
      <c r="CF178" s="292">
        <v>11.8</v>
      </c>
      <c r="CG178" s="72">
        <v>3</v>
      </c>
    </row>
    <row r="179" spans="1:93" s="23" customFormat="1" x14ac:dyDescent="0.2">
      <c r="A179" s="234" t="s">
        <v>679</v>
      </c>
      <c r="B179" s="234" t="s">
        <v>618</v>
      </c>
      <c r="C179" s="234" t="s">
        <v>483</v>
      </c>
      <c r="D179" s="234" t="s">
        <v>633</v>
      </c>
      <c r="E179" s="493" t="s">
        <v>1516</v>
      </c>
      <c r="F179" s="234">
        <v>4</v>
      </c>
      <c r="G179" s="234">
        <v>1</v>
      </c>
      <c r="H179" s="491">
        <v>4</v>
      </c>
      <c r="I179" s="234" t="s">
        <v>621</v>
      </c>
      <c r="J179" s="234">
        <v>1987</v>
      </c>
      <c r="K179" s="234" t="s">
        <v>962</v>
      </c>
      <c r="L179" s="234">
        <v>1990</v>
      </c>
      <c r="M179" s="389">
        <v>11.9</v>
      </c>
      <c r="N179" s="389">
        <v>-9999</v>
      </c>
      <c r="O179" s="29"/>
      <c r="P179" s="237">
        <f t="shared" si="5"/>
        <v>29.68</v>
      </c>
      <c r="Q179" s="234">
        <v>-9999</v>
      </c>
      <c r="R179" s="389"/>
      <c r="S179" s="234"/>
      <c r="T179" s="237">
        <f t="shared" si="4"/>
        <v>7.42</v>
      </c>
      <c r="U179" s="234">
        <v>-9999</v>
      </c>
      <c r="V179" s="234"/>
      <c r="W179" s="389">
        <v>11.9</v>
      </c>
      <c r="X179" s="234">
        <v>-9999</v>
      </c>
      <c r="Y179" s="234"/>
      <c r="Z179" s="234" t="s">
        <v>622</v>
      </c>
      <c r="AA179" s="515">
        <v>111111</v>
      </c>
      <c r="AB179" s="389">
        <v>0.7</v>
      </c>
      <c r="AC179" s="234">
        <v>8.6400000000000005E-2</v>
      </c>
      <c r="AD179" s="234">
        <v>36</v>
      </c>
      <c r="AE179" s="390" t="s">
        <v>1974</v>
      </c>
      <c r="AF179" s="234">
        <v>3</v>
      </c>
      <c r="AG179" s="234">
        <v>2</v>
      </c>
      <c r="AH179" s="234" t="s">
        <v>623</v>
      </c>
      <c r="AI179" s="234" t="s">
        <v>624</v>
      </c>
      <c r="AJ179" s="234">
        <v>-9999</v>
      </c>
      <c r="AK179" s="234" t="s">
        <v>626</v>
      </c>
      <c r="AL179" s="234" t="s">
        <v>653</v>
      </c>
      <c r="AM179" s="234">
        <v>-9999</v>
      </c>
      <c r="AN179" s="234" t="s">
        <v>491</v>
      </c>
      <c r="AO179" s="234" t="s">
        <v>627</v>
      </c>
      <c r="AP179" s="234" t="s">
        <v>489</v>
      </c>
      <c r="AQ179" s="234" t="s">
        <v>626</v>
      </c>
      <c r="AR179" s="234">
        <v>336</v>
      </c>
      <c r="AS179" s="234" t="s">
        <v>1101</v>
      </c>
      <c r="AT179" s="234" t="s">
        <v>747</v>
      </c>
      <c r="AU179" s="234">
        <v>112</v>
      </c>
      <c r="AV179" s="234" t="s">
        <v>218</v>
      </c>
      <c r="AW179" s="234" t="s">
        <v>748</v>
      </c>
      <c r="AX179" s="234">
        <v>224</v>
      </c>
      <c r="AY179" s="234" t="s">
        <v>219</v>
      </c>
      <c r="AZ179" s="234" t="s">
        <v>748</v>
      </c>
      <c r="BA179" s="234">
        <v>-9999</v>
      </c>
      <c r="BB179" s="234" t="s">
        <v>626</v>
      </c>
      <c r="BC179" s="516" t="s">
        <v>37</v>
      </c>
      <c r="BD179" s="234" t="s">
        <v>674</v>
      </c>
      <c r="BE179" s="234" t="s">
        <v>36</v>
      </c>
      <c r="BF179" s="234">
        <v>-9999</v>
      </c>
      <c r="BG179" s="234">
        <v>-9999</v>
      </c>
      <c r="BH179" s="234">
        <v>-9999</v>
      </c>
      <c r="BI179" s="234" t="s">
        <v>492</v>
      </c>
      <c r="BJ179" s="234">
        <v>-9999</v>
      </c>
      <c r="BK179" s="234">
        <v>-9999</v>
      </c>
      <c r="BL179" s="234">
        <v>-9999</v>
      </c>
      <c r="BM179" s="234">
        <v>-9999</v>
      </c>
      <c r="BN179" s="234">
        <v>-9999</v>
      </c>
      <c r="BO179" s="234">
        <v>-9999</v>
      </c>
      <c r="BP179" s="234">
        <v>-9999</v>
      </c>
      <c r="BQ179" s="234">
        <v>-9999</v>
      </c>
      <c r="BR179" s="234">
        <v>-9999</v>
      </c>
      <c r="BS179" s="491">
        <v>-9999</v>
      </c>
      <c r="BT179" s="234">
        <v>-9999</v>
      </c>
      <c r="BU179" s="234">
        <v>-9999</v>
      </c>
      <c r="BV179" s="234">
        <v>-9999</v>
      </c>
      <c r="BW179" s="234"/>
      <c r="BX179" s="234">
        <v>-9999</v>
      </c>
      <c r="BY179" s="234">
        <v>-9999</v>
      </c>
      <c r="BZ179" s="496">
        <v>-9999</v>
      </c>
      <c r="CA179" s="496">
        <v>-9999</v>
      </c>
      <c r="CB179" s="499"/>
      <c r="CC179" s="57">
        <v>4</v>
      </c>
      <c r="CD179" s="57">
        <v>1</v>
      </c>
      <c r="CE179" s="292">
        <v>7.42</v>
      </c>
      <c r="CF179" s="292">
        <v>11.9</v>
      </c>
      <c r="CG179" s="72">
        <v>4</v>
      </c>
    </row>
    <row r="180" spans="1:93" s="23" customFormat="1" x14ac:dyDescent="0.2">
      <c r="A180" s="234" t="s">
        <v>679</v>
      </c>
      <c r="B180" s="234" t="s">
        <v>618</v>
      </c>
      <c r="C180" s="234" t="s">
        <v>483</v>
      </c>
      <c r="D180" s="234" t="s">
        <v>633</v>
      </c>
      <c r="E180" s="493" t="s">
        <v>1516</v>
      </c>
      <c r="F180" s="234">
        <v>5</v>
      </c>
      <c r="G180" s="234">
        <v>1</v>
      </c>
      <c r="H180" s="491">
        <v>5</v>
      </c>
      <c r="I180" s="234" t="s">
        <v>621</v>
      </c>
      <c r="J180" s="234">
        <v>1987</v>
      </c>
      <c r="K180" s="234" t="s">
        <v>962</v>
      </c>
      <c r="L180" s="234">
        <v>1991</v>
      </c>
      <c r="M180" s="389">
        <v>12.6</v>
      </c>
      <c r="N180" s="389">
        <v>-9999</v>
      </c>
      <c r="O180" s="29"/>
      <c r="P180" s="237">
        <f t="shared" si="5"/>
        <v>42.28</v>
      </c>
      <c r="Q180" s="234">
        <v>-9999</v>
      </c>
      <c r="R180" s="389"/>
      <c r="S180" s="234"/>
      <c r="T180" s="237">
        <f t="shared" si="4"/>
        <v>8.4559999999999995</v>
      </c>
      <c r="U180" s="234">
        <v>-9999</v>
      </c>
      <c r="V180" s="234"/>
      <c r="W180" s="389">
        <v>12.6</v>
      </c>
      <c r="X180" s="234">
        <v>-9999</v>
      </c>
      <c r="Y180" s="234"/>
      <c r="Z180" s="234" t="s">
        <v>622</v>
      </c>
      <c r="AA180" s="515">
        <v>111111</v>
      </c>
      <c r="AB180" s="389">
        <v>0.61</v>
      </c>
      <c r="AC180" s="234">
        <v>8.6400000000000005E-2</v>
      </c>
      <c r="AD180" s="234">
        <v>36</v>
      </c>
      <c r="AE180" s="390" t="s">
        <v>1974</v>
      </c>
      <c r="AF180" s="234">
        <v>3</v>
      </c>
      <c r="AG180" s="234">
        <v>2</v>
      </c>
      <c r="AH180" s="234" t="s">
        <v>623</v>
      </c>
      <c r="AI180" s="234" t="s">
        <v>624</v>
      </c>
      <c r="AJ180" s="234">
        <v>-9999</v>
      </c>
      <c r="AK180" s="234" t="s">
        <v>626</v>
      </c>
      <c r="AL180" s="234" t="s">
        <v>653</v>
      </c>
      <c r="AM180" s="234">
        <v>-9999</v>
      </c>
      <c r="AN180" s="234" t="s">
        <v>491</v>
      </c>
      <c r="AO180" s="234" t="s">
        <v>627</v>
      </c>
      <c r="AP180" s="234" t="s">
        <v>489</v>
      </c>
      <c r="AQ180" s="234" t="s">
        <v>626</v>
      </c>
      <c r="AR180" s="234">
        <v>336</v>
      </c>
      <c r="AS180" s="234" t="s">
        <v>1101</v>
      </c>
      <c r="AT180" s="234" t="s">
        <v>747</v>
      </c>
      <c r="AU180" s="234">
        <v>112</v>
      </c>
      <c r="AV180" s="234" t="s">
        <v>218</v>
      </c>
      <c r="AW180" s="234" t="s">
        <v>748</v>
      </c>
      <c r="AX180" s="234">
        <v>224</v>
      </c>
      <c r="AY180" s="234" t="s">
        <v>219</v>
      </c>
      <c r="AZ180" s="234" t="s">
        <v>748</v>
      </c>
      <c r="BA180" s="234">
        <v>-9999</v>
      </c>
      <c r="BB180" s="234" t="s">
        <v>626</v>
      </c>
      <c r="BC180" s="516" t="s">
        <v>37</v>
      </c>
      <c r="BD180" s="234" t="s">
        <v>674</v>
      </c>
      <c r="BE180" s="234" t="s">
        <v>36</v>
      </c>
      <c r="BF180" s="234">
        <v>-9999</v>
      </c>
      <c r="BG180" s="234">
        <v>-9999</v>
      </c>
      <c r="BH180" s="234">
        <v>-9999</v>
      </c>
      <c r="BI180" s="234" t="s">
        <v>492</v>
      </c>
      <c r="BJ180" s="234">
        <v>-9999</v>
      </c>
      <c r="BK180" s="234">
        <v>-9999</v>
      </c>
      <c r="BL180" s="234">
        <v>-9999</v>
      </c>
      <c r="BM180" s="234">
        <v>-9999</v>
      </c>
      <c r="BN180" s="234">
        <v>-9999</v>
      </c>
      <c r="BO180" s="234">
        <v>-9999</v>
      </c>
      <c r="BP180" s="234">
        <v>-9999</v>
      </c>
      <c r="BQ180" s="234">
        <v>-9999</v>
      </c>
      <c r="BR180" s="234">
        <v>-9999</v>
      </c>
      <c r="BS180" s="491">
        <v>-9999</v>
      </c>
      <c r="BT180" s="234">
        <v>-9999</v>
      </c>
      <c r="BU180" s="234">
        <v>-9999</v>
      </c>
      <c r="BV180" s="234">
        <v>-9999</v>
      </c>
      <c r="BW180" s="234"/>
      <c r="BX180" s="234">
        <v>-9999</v>
      </c>
      <c r="BY180" s="234">
        <v>-9999</v>
      </c>
      <c r="BZ180" s="496">
        <v>-9999</v>
      </c>
      <c r="CA180" s="496">
        <v>-9999</v>
      </c>
      <c r="CB180" s="499"/>
      <c r="CC180" s="57">
        <v>5</v>
      </c>
      <c r="CD180" s="57">
        <v>1</v>
      </c>
      <c r="CE180" s="292">
        <v>8.4559999999999995</v>
      </c>
      <c r="CF180" s="292">
        <v>12.6</v>
      </c>
      <c r="CG180" s="72">
        <v>5</v>
      </c>
    </row>
    <row r="181" spans="1:93" s="23" customFormat="1" x14ac:dyDescent="0.2">
      <c r="A181" s="234" t="s">
        <v>679</v>
      </c>
      <c r="B181" s="234" t="s">
        <v>618</v>
      </c>
      <c r="C181" s="234" t="s">
        <v>483</v>
      </c>
      <c r="D181" s="234" t="s">
        <v>633</v>
      </c>
      <c r="E181" s="493" t="s">
        <v>1516</v>
      </c>
      <c r="F181" s="234">
        <v>6</v>
      </c>
      <c r="G181" s="234">
        <v>1</v>
      </c>
      <c r="H181" s="491">
        <v>6</v>
      </c>
      <c r="I181" s="234" t="s">
        <v>621</v>
      </c>
      <c r="J181" s="234">
        <v>1987</v>
      </c>
      <c r="K181" s="234" t="s">
        <v>962</v>
      </c>
      <c r="L181" s="234">
        <v>1992</v>
      </c>
      <c r="M181" s="389">
        <v>8.07</v>
      </c>
      <c r="N181" s="389">
        <v>-9999</v>
      </c>
      <c r="O181" s="29"/>
      <c r="P181" s="237">
        <f t="shared" si="5"/>
        <v>50.35</v>
      </c>
      <c r="Q181" s="234">
        <v>-9999</v>
      </c>
      <c r="R181" s="389"/>
      <c r="S181" s="234"/>
      <c r="T181" s="237">
        <f t="shared" si="4"/>
        <v>8.3916666666666675</v>
      </c>
      <c r="U181" s="234">
        <v>-9999</v>
      </c>
      <c r="V181" s="234"/>
      <c r="W181" s="389">
        <v>8.07</v>
      </c>
      <c r="X181" s="234">
        <v>-9999</v>
      </c>
      <c r="Y181" s="234"/>
      <c r="Z181" s="234" t="s">
        <v>622</v>
      </c>
      <c r="AA181" s="515">
        <v>111111</v>
      </c>
      <c r="AB181" s="389">
        <v>0.56000000000000005</v>
      </c>
      <c r="AC181" s="234">
        <v>8.6400000000000005E-2</v>
      </c>
      <c r="AD181" s="234">
        <v>36</v>
      </c>
      <c r="AE181" s="390" t="s">
        <v>1974</v>
      </c>
      <c r="AF181" s="234">
        <v>3</v>
      </c>
      <c r="AG181" s="234">
        <v>2</v>
      </c>
      <c r="AH181" s="234" t="s">
        <v>623</v>
      </c>
      <c r="AI181" s="234" t="s">
        <v>624</v>
      </c>
      <c r="AJ181" s="234">
        <v>-9999</v>
      </c>
      <c r="AK181" s="234" t="s">
        <v>626</v>
      </c>
      <c r="AL181" s="234" t="s">
        <v>653</v>
      </c>
      <c r="AM181" s="234">
        <v>-9999</v>
      </c>
      <c r="AN181" s="234" t="s">
        <v>491</v>
      </c>
      <c r="AO181" s="234" t="s">
        <v>627</v>
      </c>
      <c r="AP181" s="234" t="s">
        <v>489</v>
      </c>
      <c r="AQ181" s="234" t="s">
        <v>626</v>
      </c>
      <c r="AR181" s="234">
        <v>336</v>
      </c>
      <c r="AS181" s="234" t="s">
        <v>1101</v>
      </c>
      <c r="AT181" s="234" t="s">
        <v>747</v>
      </c>
      <c r="AU181" s="234">
        <v>112</v>
      </c>
      <c r="AV181" s="234" t="s">
        <v>218</v>
      </c>
      <c r="AW181" s="234" t="s">
        <v>748</v>
      </c>
      <c r="AX181" s="234">
        <v>224</v>
      </c>
      <c r="AY181" s="234" t="s">
        <v>219</v>
      </c>
      <c r="AZ181" s="234" t="s">
        <v>748</v>
      </c>
      <c r="BA181" s="234">
        <v>-9999</v>
      </c>
      <c r="BB181" s="234" t="s">
        <v>626</v>
      </c>
      <c r="BC181" s="516" t="s">
        <v>37</v>
      </c>
      <c r="BD181" s="234" t="s">
        <v>674</v>
      </c>
      <c r="BE181" s="234" t="s">
        <v>36</v>
      </c>
      <c r="BF181" s="234">
        <v>-9999</v>
      </c>
      <c r="BG181" s="234">
        <v>-9999</v>
      </c>
      <c r="BH181" s="234">
        <v>-9999</v>
      </c>
      <c r="BI181" s="234" t="s">
        <v>492</v>
      </c>
      <c r="BJ181" s="234">
        <v>-9999</v>
      </c>
      <c r="BK181" s="234">
        <v>-9999</v>
      </c>
      <c r="BL181" s="234">
        <v>-9999</v>
      </c>
      <c r="BM181" s="234">
        <v>-9999</v>
      </c>
      <c r="BN181" s="234">
        <v>-9999</v>
      </c>
      <c r="BO181" s="234">
        <v>-9999</v>
      </c>
      <c r="BP181" s="234">
        <v>-9999</v>
      </c>
      <c r="BQ181" s="234">
        <v>-9999</v>
      </c>
      <c r="BR181" s="234">
        <v>-9999</v>
      </c>
      <c r="BS181" s="491">
        <v>-9999</v>
      </c>
      <c r="BT181" s="234">
        <v>-9999</v>
      </c>
      <c r="BU181" s="234">
        <v>-9999</v>
      </c>
      <c r="BV181" s="234">
        <v>-9999</v>
      </c>
      <c r="BW181" s="234"/>
      <c r="BX181" s="234">
        <v>-9999</v>
      </c>
      <c r="BY181" s="234">
        <v>-9999</v>
      </c>
      <c r="BZ181" s="496">
        <v>-9999</v>
      </c>
      <c r="CA181" s="496">
        <v>-9999</v>
      </c>
      <c r="CB181" s="499"/>
      <c r="CC181" s="57">
        <v>6</v>
      </c>
      <c r="CD181" s="57">
        <v>1</v>
      </c>
      <c r="CE181" s="292">
        <v>8.3916666666666675</v>
      </c>
      <c r="CF181" s="292">
        <v>8.07</v>
      </c>
      <c r="CG181" s="72">
        <v>6</v>
      </c>
    </row>
    <row r="182" spans="1:93" s="23" customFormat="1" x14ac:dyDescent="0.2">
      <c r="A182" s="234" t="s">
        <v>679</v>
      </c>
      <c r="B182" s="234" t="s">
        <v>618</v>
      </c>
      <c r="C182" s="234" t="s">
        <v>483</v>
      </c>
      <c r="D182" s="234" t="s">
        <v>633</v>
      </c>
      <c r="E182" s="493" t="s">
        <v>1516</v>
      </c>
      <c r="F182" s="234">
        <v>7</v>
      </c>
      <c r="G182" s="234">
        <v>1</v>
      </c>
      <c r="H182" s="491">
        <v>7</v>
      </c>
      <c r="I182" s="234" t="s">
        <v>621</v>
      </c>
      <c r="J182" s="234">
        <v>1987</v>
      </c>
      <c r="K182" s="234" t="s">
        <v>962</v>
      </c>
      <c r="L182" s="234">
        <v>1993</v>
      </c>
      <c r="M182" s="389">
        <v>9.65</v>
      </c>
      <c r="N182" s="389">
        <v>-9999</v>
      </c>
      <c r="O182" s="29"/>
      <c r="P182" s="237">
        <f t="shared" si="5"/>
        <v>60</v>
      </c>
      <c r="Q182" s="234">
        <v>-9999</v>
      </c>
      <c r="R182" s="389"/>
      <c r="S182" s="234"/>
      <c r="T182" s="237">
        <f t="shared" si="4"/>
        <v>8.5714285714285712</v>
      </c>
      <c r="U182" s="234">
        <v>-9999</v>
      </c>
      <c r="V182" s="234"/>
      <c r="W182" s="389">
        <v>9.65</v>
      </c>
      <c r="X182" s="234">
        <v>-9999</v>
      </c>
      <c r="Y182" s="234"/>
      <c r="Z182" s="234" t="s">
        <v>622</v>
      </c>
      <c r="AA182" s="515">
        <v>111111</v>
      </c>
      <c r="AB182" s="389">
        <v>0.48</v>
      </c>
      <c r="AC182" s="234">
        <v>8.6400000000000005E-2</v>
      </c>
      <c r="AD182" s="234">
        <v>36</v>
      </c>
      <c r="AE182" s="390" t="s">
        <v>1974</v>
      </c>
      <c r="AF182" s="234">
        <v>3</v>
      </c>
      <c r="AG182" s="234">
        <v>2</v>
      </c>
      <c r="AH182" s="234" t="s">
        <v>623</v>
      </c>
      <c r="AI182" s="234" t="s">
        <v>624</v>
      </c>
      <c r="AJ182" s="234">
        <v>-9999</v>
      </c>
      <c r="AK182" s="234" t="s">
        <v>626</v>
      </c>
      <c r="AL182" s="234" t="s">
        <v>653</v>
      </c>
      <c r="AM182" s="234">
        <v>-9999</v>
      </c>
      <c r="AN182" s="234" t="s">
        <v>491</v>
      </c>
      <c r="AO182" s="234" t="s">
        <v>627</v>
      </c>
      <c r="AP182" s="234" t="s">
        <v>489</v>
      </c>
      <c r="AQ182" s="234" t="s">
        <v>626</v>
      </c>
      <c r="AR182" s="234">
        <v>336</v>
      </c>
      <c r="AS182" s="234" t="s">
        <v>1101</v>
      </c>
      <c r="AT182" s="234" t="s">
        <v>747</v>
      </c>
      <c r="AU182" s="234">
        <v>112</v>
      </c>
      <c r="AV182" s="234" t="s">
        <v>218</v>
      </c>
      <c r="AW182" s="234" t="s">
        <v>748</v>
      </c>
      <c r="AX182" s="234">
        <v>224</v>
      </c>
      <c r="AY182" s="234" t="s">
        <v>219</v>
      </c>
      <c r="AZ182" s="234" t="s">
        <v>748</v>
      </c>
      <c r="BA182" s="234">
        <v>-9999</v>
      </c>
      <c r="BB182" s="234" t="s">
        <v>626</v>
      </c>
      <c r="BC182" s="516" t="s">
        <v>37</v>
      </c>
      <c r="BD182" s="234" t="s">
        <v>674</v>
      </c>
      <c r="BE182" s="234" t="s">
        <v>36</v>
      </c>
      <c r="BF182" s="234">
        <v>-9999</v>
      </c>
      <c r="BG182" s="234">
        <v>-9999</v>
      </c>
      <c r="BH182" s="234">
        <v>-9999</v>
      </c>
      <c r="BI182" s="234" t="s">
        <v>492</v>
      </c>
      <c r="BJ182" s="234">
        <v>-9999</v>
      </c>
      <c r="BK182" s="234">
        <v>-9999</v>
      </c>
      <c r="BL182" s="234">
        <v>-9999</v>
      </c>
      <c r="BM182" s="234">
        <v>-9999</v>
      </c>
      <c r="BN182" s="234">
        <v>-9999</v>
      </c>
      <c r="BO182" s="234">
        <v>-9999</v>
      </c>
      <c r="BP182" s="234">
        <v>-9999</v>
      </c>
      <c r="BQ182" s="234">
        <v>-9999</v>
      </c>
      <c r="BR182" s="234">
        <v>-9999</v>
      </c>
      <c r="BS182" s="491">
        <v>-9999</v>
      </c>
      <c r="BT182" s="234">
        <v>-9999</v>
      </c>
      <c r="BU182" s="234">
        <v>-9999</v>
      </c>
      <c r="BV182" s="234">
        <v>-9999</v>
      </c>
      <c r="BW182" s="234"/>
      <c r="BX182" s="234">
        <v>-9999</v>
      </c>
      <c r="BY182" s="234">
        <v>-9999</v>
      </c>
      <c r="BZ182" s="496">
        <v>-9999</v>
      </c>
      <c r="CA182" s="496">
        <v>-9999</v>
      </c>
      <c r="CB182" s="499"/>
      <c r="CC182" s="57">
        <v>7</v>
      </c>
      <c r="CD182" s="57">
        <v>1</v>
      </c>
      <c r="CE182" s="292">
        <v>8.5714285714285712</v>
      </c>
      <c r="CF182" s="292">
        <v>9.65</v>
      </c>
      <c r="CG182" s="72">
        <v>7</v>
      </c>
    </row>
    <row r="183" spans="1:93" s="23" customFormat="1" x14ac:dyDescent="0.2">
      <c r="A183" s="234" t="s">
        <v>679</v>
      </c>
      <c r="B183" s="234" t="s">
        <v>618</v>
      </c>
      <c r="C183" s="234" t="s">
        <v>483</v>
      </c>
      <c r="D183" s="234" t="s">
        <v>633</v>
      </c>
      <c r="E183" s="493" t="s">
        <v>1516</v>
      </c>
      <c r="F183" s="234">
        <v>8</v>
      </c>
      <c r="G183" s="234">
        <v>1</v>
      </c>
      <c r="H183" s="491">
        <v>8</v>
      </c>
      <c r="I183" s="234" t="s">
        <v>621</v>
      </c>
      <c r="J183" s="234">
        <v>1987</v>
      </c>
      <c r="K183" s="234" t="s">
        <v>962</v>
      </c>
      <c r="L183" s="234">
        <v>1994</v>
      </c>
      <c r="M183" s="389">
        <v>10.6</v>
      </c>
      <c r="N183" s="389">
        <v>-9999</v>
      </c>
      <c r="O183" s="29"/>
      <c r="P183" s="237">
        <f t="shared" si="5"/>
        <v>70.599999999999994</v>
      </c>
      <c r="Q183" s="234">
        <v>-9999</v>
      </c>
      <c r="R183" s="389"/>
      <c r="S183" s="234"/>
      <c r="T183" s="237">
        <f t="shared" si="4"/>
        <v>8.8249999999999993</v>
      </c>
      <c r="U183" s="234">
        <v>-9999</v>
      </c>
      <c r="V183" s="234"/>
      <c r="W183" s="389">
        <v>10.6</v>
      </c>
      <c r="X183" s="234">
        <v>-9999</v>
      </c>
      <c r="Y183" s="234"/>
      <c r="Z183" s="234" t="s">
        <v>622</v>
      </c>
      <c r="AA183" s="515">
        <v>111111</v>
      </c>
      <c r="AB183" s="389">
        <v>0.39</v>
      </c>
      <c r="AC183" s="234">
        <v>8.6400000000000005E-2</v>
      </c>
      <c r="AD183" s="234">
        <v>36</v>
      </c>
      <c r="AE183" s="390" t="s">
        <v>1974</v>
      </c>
      <c r="AF183" s="234">
        <v>3</v>
      </c>
      <c r="AG183" s="234">
        <v>2</v>
      </c>
      <c r="AH183" s="234" t="s">
        <v>623</v>
      </c>
      <c r="AI183" s="234" t="s">
        <v>624</v>
      </c>
      <c r="AJ183" s="234">
        <v>-9999</v>
      </c>
      <c r="AK183" s="234" t="s">
        <v>626</v>
      </c>
      <c r="AL183" s="234" t="s">
        <v>653</v>
      </c>
      <c r="AM183" s="234">
        <v>-9999</v>
      </c>
      <c r="AN183" s="234" t="s">
        <v>491</v>
      </c>
      <c r="AO183" s="234" t="s">
        <v>627</v>
      </c>
      <c r="AP183" s="234" t="s">
        <v>489</v>
      </c>
      <c r="AQ183" s="234" t="s">
        <v>626</v>
      </c>
      <c r="AR183" s="234">
        <v>336</v>
      </c>
      <c r="AS183" s="234" t="s">
        <v>1101</v>
      </c>
      <c r="AT183" s="234" t="s">
        <v>747</v>
      </c>
      <c r="AU183" s="234">
        <v>112</v>
      </c>
      <c r="AV183" s="234" t="s">
        <v>218</v>
      </c>
      <c r="AW183" s="234" t="s">
        <v>748</v>
      </c>
      <c r="AX183" s="234">
        <v>224</v>
      </c>
      <c r="AY183" s="234" t="s">
        <v>219</v>
      </c>
      <c r="AZ183" s="234" t="s">
        <v>748</v>
      </c>
      <c r="BA183" s="234">
        <v>-9999</v>
      </c>
      <c r="BB183" s="234" t="s">
        <v>626</v>
      </c>
      <c r="BC183" s="516" t="s">
        <v>37</v>
      </c>
      <c r="BD183" s="234" t="s">
        <v>674</v>
      </c>
      <c r="BE183" s="234" t="s">
        <v>36</v>
      </c>
      <c r="BF183" s="234">
        <v>-9999</v>
      </c>
      <c r="BG183" s="234">
        <v>-9999</v>
      </c>
      <c r="BH183" s="234">
        <v>-9999</v>
      </c>
      <c r="BI183" s="234" t="s">
        <v>492</v>
      </c>
      <c r="BJ183" s="234">
        <v>-9999</v>
      </c>
      <c r="BK183" s="234">
        <v>-9999</v>
      </c>
      <c r="BL183" s="234">
        <v>-9999</v>
      </c>
      <c r="BM183" s="234">
        <v>-9999</v>
      </c>
      <c r="BN183" s="234">
        <v>-9999</v>
      </c>
      <c r="BO183" s="234">
        <v>-9999</v>
      </c>
      <c r="BP183" s="234">
        <v>-9999</v>
      </c>
      <c r="BQ183" s="234">
        <v>-9999</v>
      </c>
      <c r="BR183" s="234">
        <v>-9999</v>
      </c>
      <c r="BS183" s="491">
        <v>-9999</v>
      </c>
      <c r="BT183" s="234">
        <v>-9999</v>
      </c>
      <c r="BU183" s="234">
        <v>-9999</v>
      </c>
      <c r="BV183" s="234">
        <v>-9999</v>
      </c>
      <c r="BW183" s="234"/>
      <c r="BX183" s="234">
        <v>-9999</v>
      </c>
      <c r="BY183" s="234">
        <v>-9999</v>
      </c>
      <c r="BZ183" s="496">
        <v>-9999</v>
      </c>
      <c r="CA183" s="496">
        <v>-9999</v>
      </c>
      <c r="CB183" s="499"/>
      <c r="CC183" s="57">
        <v>8</v>
      </c>
      <c r="CD183" s="57">
        <v>1</v>
      </c>
      <c r="CE183" s="292">
        <v>8.8249999999999993</v>
      </c>
      <c r="CF183" s="292">
        <v>10.6</v>
      </c>
      <c r="CG183" s="72">
        <v>8</v>
      </c>
    </row>
    <row r="184" spans="1:93" s="23" customFormat="1" x14ac:dyDescent="0.2">
      <c r="A184" s="234" t="s">
        <v>679</v>
      </c>
      <c r="B184" s="234" t="s">
        <v>618</v>
      </c>
      <c r="C184" s="234" t="s">
        <v>483</v>
      </c>
      <c r="D184" s="234" t="s">
        <v>633</v>
      </c>
      <c r="E184" s="493" t="s">
        <v>1516</v>
      </c>
      <c r="F184" s="234">
        <v>9</v>
      </c>
      <c r="G184" s="234">
        <v>1</v>
      </c>
      <c r="H184" s="491">
        <v>9</v>
      </c>
      <c r="I184" s="234" t="s">
        <v>621</v>
      </c>
      <c r="J184" s="234">
        <v>1987</v>
      </c>
      <c r="K184" s="234" t="s">
        <v>962</v>
      </c>
      <c r="L184" s="234">
        <v>1995</v>
      </c>
      <c r="M184" s="389">
        <v>10.3</v>
      </c>
      <c r="N184" s="389">
        <v>-9999</v>
      </c>
      <c r="O184" s="29"/>
      <c r="P184" s="237">
        <f t="shared" si="5"/>
        <v>80.899999999999991</v>
      </c>
      <c r="Q184" s="234">
        <v>-9999</v>
      </c>
      <c r="R184" s="389"/>
      <c r="S184" s="234"/>
      <c r="T184" s="237">
        <f t="shared" si="4"/>
        <v>8.9888888888888872</v>
      </c>
      <c r="U184" s="234">
        <v>-9999</v>
      </c>
      <c r="V184" s="234"/>
      <c r="W184" s="389">
        <v>10.3</v>
      </c>
      <c r="X184" s="234">
        <v>-9999</v>
      </c>
      <c r="Y184" s="234"/>
      <c r="Z184" s="234" t="s">
        <v>622</v>
      </c>
      <c r="AA184" s="515">
        <v>111111</v>
      </c>
      <c r="AB184" s="412">
        <v>0.39</v>
      </c>
      <c r="AC184" s="234">
        <v>8.6400000000000005E-2</v>
      </c>
      <c r="AD184" s="234">
        <v>36</v>
      </c>
      <c r="AE184" s="390" t="s">
        <v>1974</v>
      </c>
      <c r="AF184" s="234">
        <v>3</v>
      </c>
      <c r="AG184" s="234">
        <v>2</v>
      </c>
      <c r="AH184" s="234" t="s">
        <v>623</v>
      </c>
      <c r="AI184" s="234" t="s">
        <v>624</v>
      </c>
      <c r="AJ184" s="234">
        <v>-9999</v>
      </c>
      <c r="AK184" s="234" t="s">
        <v>626</v>
      </c>
      <c r="AL184" s="234" t="s">
        <v>653</v>
      </c>
      <c r="AM184" s="234">
        <v>-9999</v>
      </c>
      <c r="AN184" s="234" t="s">
        <v>491</v>
      </c>
      <c r="AO184" s="234" t="s">
        <v>627</v>
      </c>
      <c r="AP184" s="234" t="s">
        <v>489</v>
      </c>
      <c r="AQ184" s="234" t="s">
        <v>626</v>
      </c>
      <c r="AR184" s="234">
        <v>336</v>
      </c>
      <c r="AS184" s="234" t="s">
        <v>1101</v>
      </c>
      <c r="AT184" s="234" t="s">
        <v>747</v>
      </c>
      <c r="AU184" s="234">
        <v>112</v>
      </c>
      <c r="AV184" s="234" t="s">
        <v>218</v>
      </c>
      <c r="AW184" s="234" t="s">
        <v>748</v>
      </c>
      <c r="AX184" s="234">
        <v>224</v>
      </c>
      <c r="AY184" s="234" t="s">
        <v>219</v>
      </c>
      <c r="AZ184" s="234" t="s">
        <v>748</v>
      </c>
      <c r="BA184" s="234">
        <v>-9999</v>
      </c>
      <c r="BB184" s="234" t="s">
        <v>626</v>
      </c>
      <c r="BC184" s="516" t="s">
        <v>37</v>
      </c>
      <c r="BD184" s="234" t="s">
        <v>674</v>
      </c>
      <c r="BE184" s="234" t="s">
        <v>36</v>
      </c>
      <c r="BF184" s="234">
        <v>-9999</v>
      </c>
      <c r="BG184" s="234">
        <v>-9999</v>
      </c>
      <c r="BH184" s="234">
        <v>-9999</v>
      </c>
      <c r="BI184" s="234" t="s">
        <v>492</v>
      </c>
      <c r="BJ184" s="234">
        <v>-9999</v>
      </c>
      <c r="BK184" s="234">
        <v>-9999</v>
      </c>
      <c r="BL184" s="234">
        <v>-9999</v>
      </c>
      <c r="BM184" s="234">
        <v>-9999</v>
      </c>
      <c r="BN184" s="234">
        <v>-9999</v>
      </c>
      <c r="BO184" s="234">
        <v>-9999</v>
      </c>
      <c r="BP184" s="234">
        <v>-9999</v>
      </c>
      <c r="BQ184" s="234">
        <v>-9999</v>
      </c>
      <c r="BR184" s="234">
        <v>-9999</v>
      </c>
      <c r="BS184" s="491">
        <v>-9999</v>
      </c>
      <c r="BT184" s="234">
        <v>-9999</v>
      </c>
      <c r="BU184" s="234">
        <v>-9999</v>
      </c>
      <c r="BV184" s="234">
        <v>-9999</v>
      </c>
      <c r="BW184" s="234"/>
      <c r="BX184" s="234">
        <v>-9999</v>
      </c>
      <c r="BY184" s="234">
        <v>-9999</v>
      </c>
      <c r="BZ184" s="496">
        <v>-9999</v>
      </c>
      <c r="CA184" s="496">
        <v>-9999</v>
      </c>
      <c r="CB184" s="499"/>
      <c r="CC184" s="57">
        <v>9</v>
      </c>
      <c r="CD184" s="57">
        <v>1</v>
      </c>
      <c r="CE184" s="292">
        <v>8.9888888888888872</v>
      </c>
      <c r="CF184" s="292">
        <v>10.3</v>
      </c>
      <c r="CG184" s="72">
        <v>9</v>
      </c>
    </row>
    <row r="185" spans="1:93" s="23" customFormat="1" ht="12.6" customHeight="1" x14ac:dyDescent="0.2">
      <c r="A185" s="234" t="s">
        <v>679</v>
      </c>
      <c r="B185" s="234" t="s">
        <v>618</v>
      </c>
      <c r="C185" s="234" t="s">
        <v>483</v>
      </c>
      <c r="D185" s="234" t="s">
        <v>633</v>
      </c>
      <c r="E185" s="493" t="s">
        <v>1516</v>
      </c>
      <c r="F185" s="234">
        <v>10</v>
      </c>
      <c r="G185" s="234">
        <v>1</v>
      </c>
      <c r="H185" s="491">
        <v>10</v>
      </c>
      <c r="I185" s="234" t="s">
        <v>621</v>
      </c>
      <c r="J185" s="234">
        <v>1987</v>
      </c>
      <c r="K185" s="234" t="s">
        <v>962</v>
      </c>
      <c r="L185" s="234">
        <v>1996</v>
      </c>
      <c r="M185" s="389">
        <v>10.199999999999999</v>
      </c>
      <c r="N185" s="389">
        <v>-9999</v>
      </c>
      <c r="O185" s="29"/>
      <c r="P185" s="237">
        <f t="shared" si="5"/>
        <v>91.1</v>
      </c>
      <c r="Q185" s="234">
        <v>-9999</v>
      </c>
      <c r="R185" s="389"/>
      <c r="S185" s="234"/>
      <c r="T185" s="237">
        <f t="shared" si="4"/>
        <v>9.11</v>
      </c>
      <c r="U185" s="234">
        <v>-9999</v>
      </c>
      <c r="V185" s="234"/>
      <c r="W185" s="389">
        <v>10.199999999999999</v>
      </c>
      <c r="X185" s="234">
        <v>-9999</v>
      </c>
      <c r="Y185" s="234"/>
      <c r="Z185" s="234" t="s">
        <v>622</v>
      </c>
      <c r="AA185" s="515">
        <v>111111</v>
      </c>
      <c r="AB185" s="412">
        <v>0.39</v>
      </c>
      <c r="AC185" s="234">
        <v>8.6400000000000005E-2</v>
      </c>
      <c r="AD185" s="234">
        <v>36</v>
      </c>
      <c r="AE185" s="390" t="s">
        <v>1974</v>
      </c>
      <c r="AF185" s="234">
        <v>3</v>
      </c>
      <c r="AG185" s="234">
        <v>2</v>
      </c>
      <c r="AH185" s="234" t="s">
        <v>623</v>
      </c>
      <c r="AI185" s="234" t="s">
        <v>624</v>
      </c>
      <c r="AJ185" s="234">
        <v>-9999</v>
      </c>
      <c r="AK185" s="234" t="s">
        <v>626</v>
      </c>
      <c r="AL185" s="234" t="s">
        <v>653</v>
      </c>
      <c r="AM185" s="234">
        <v>-9999</v>
      </c>
      <c r="AN185" s="234" t="s">
        <v>491</v>
      </c>
      <c r="AO185" s="234" t="s">
        <v>627</v>
      </c>
      <c r="AP185" s="234" t="s">
        <v>489</v>
      </c>
      <c r="AQ185" s="234" t="s">
        <v>626</v>
      </c>
      <c r="AR185" s="234">
        <v>336</v>
      </c>
      <c r="AS185" s="234" t="s">
        <v>1101</v>
      </c>
      <c r="AT185" s="234" t="s">
        <v>747</v>
      </c>
      <c r="AU185" s="234">
        <v>112</v>
      </c>
      <c r="AV185" s="234" t="s">
        <v>218</v>
      </c>
      <c r="AW185" s="234" t="s">
        <v>748</v>
      </c>
      <c r="AX185" s="234">
        <v>224</v>
      </c>
      <c r="AY185" s="234" t="s">
        <v>219</v>
      </c>
      <c r="AZ185" s="234" t="s">
        <v>748</v>
      </c>
      <c r="BA185" s="234">
        <v>-9999</v>
      </c>
      <c r="BB185" s="234" t="s">
        <v>626</v>
      </c>
      <c r="BC185" s="516" t="s">
        <v>37</v>
      </c>
      <c r="BD185" s="234" t="s">
        <v>674</v>
      </c>
      <c r="BE185" s="234" t="s">
        <v>36</v>
      </c>
      <c r="BF185" s="234">
        <v>-9999</v>
      </c>
      <c r="BG185" s="234">
        <v>-9999</v>
      </c>
      <c r="BH185" s="234">
        <v>-9999</v>
      </c>
      <c r="BI185" s="234" t="s">
        <v>492</v>
      </c>
      <c r="BJ185" s="234">
        <v>-9999</v>
      </c>
      <c r="BK185" s="234">
        <v>-9999</v>
      </c>
      <c r="BL185" s="234">
        <v>-9999</v>
      </c>
      <c r="BM185" s="234">
        <v>-9999</v>
      </c>
      <c r="BN185" s="234">
        <v>-9999</v>
      </c>
      <c r="BO185" s="234">
        <v>-9999</v>
      </c>
      <c r="BP185" s="234">
        <v>-9999</v>
      </c>
      <c r="BQ185" s="234">
        <v>-9999</v>
      </c>
      <c r="BR185" s="234">
        <v>-9999</v>
      </c>
      <c r="BS185" s="491">
        <v>-9999</v>
      </c>
      <c r="BT185" s="234">
        <v>-9999</v>
      </c>
      <c r="BU185" s="234">
        <v>-9999</v>
      </c>
      <c r="BV185" s="234">
        <v>-9999</v>
      </c>
      <c r="BW185" s="234"/>
      <c r="BX185" s="234">
        <v>-9999</v>
      </c>
      <c r="BY185" s="234">
        <v>-9999</v>
      </c>
      <c r="BZ185" s="496">
        <v>-9999</v>
      </c>
      <c r="CA185" s="496">
        <v>-9999</v>
      </c>
      <c r="CB185" s="499"/>
      <c r="CC185" s="57">
        <v>10</v>
      </c>
      <c r="CD185" s="57">
        <v>1</v>
      </c>
      <c r="CE185" s="401">
        <v>9.11</v>
      </c>
      <c r="CF185" s="292">
        <v>10.199999999999999</v>
      </c>
      <c r="CG185" s="72">
        <v>10</v>
      </c>
      <c r="CH185" s="479"/>
    </row>
    <row r="186" spans="1:93" s="23" customFormat="1" ht="12.6" customHeight="1" x14ac:dyDescent="0.2">
      <c r="A186" s="234"/>
      <c r="B186" s="234"/>
      <c r="C186" s="234"/>
      <c r="D186" s="234"/>
      <c r="E186" s="493"/>
      <c r="F186" s="234"/>
      <c r="G186" s="234"/>
      <c r="H186" s="491"/>
      <c r="I186" s="234"/>
      <c r="J186" s="234"/>
      <c r="K186" s="234"/>
      <c r="L186" s="234"/>
      <c r="M186" s="389"/>
      <c r="N186" s="389"/>
      <c r="O186" s="29"/>
      <c r="P186" s="237"/>
      <c r="Q186" s="234"/>
      <c r="R186" s="389"/>
      <c r="S186" s="234"/>
      <c r="T186" s="237"/>
      <c r="U186" s="234"/>
      <c r="V186" s="234"/>
      <c r="W186" s="389"/>
      <c r="X186" s="234"/>
      <c r="Y186" s="234"/>
      <c r="Z186" s="234"/>
      <c r="AA186" s="515"/>
      <c r="AB186" s="389"/>
      <c r="AC186" s="234"/>
      <c r="AD186" s="234"/>
      <c r="AE186" s="234"/>
      <c r="AF186" s="234"/>
      <c r="AG186" s="234"/>
      <c r="AH186" s="234"/>
      <c r="AI186" s="234"/>
      <c r="AJ186" s="234"/>
      <c r="AK186" s="234"/>
      <c r="AL186" s="234"/>
      <c r="AM186" s="234"/>
      <c r="AN186" s="234"/>
      <c r="AO186" s="234"/>
      <c r="AP186" s="234"/>
      <c r="AQ186" s="234"/>
      <c r="AR186" s="234"/>
      <c r="AS186" s="234"/>
      <c r="AT186" s="234"/>
      <c r="AU186" s="234"/>
      <c r="AV186" s="234"/>
      <c r="AW186" s="234"/>
      <c r="AX186" s="234"/>
      <c r="AY186" s="234"/>
      <c r="AZ186" s="234"/>
      <c r="BA186" s="234"/>
      <c r="BB186" s="234"/>
      <c r="BC186" s="516"/>
      <c r="BD186" s="234"/>
      <c r="BE186" s="234"/>
      <c r="BF186" s="234"/>
      <c r="BG186" s="234"/>
      <c r="BH186" s="234"/>
      <c r="BI186" s="234"/>
      <c r="BJ186" s="234"/>
      <c r="BK186" s="234"/>
      <c r="BL186" s="234"/>
      <c r="BM186" s="234"/>
      <c r="BN186" s="234"/>
      <c r="BO186" s="234"/>
      <c r="BP186" s="234"/>
      <c r="BQ186" s="234"/>
      <c r="BR186" s="234"/>
      <c r="BS186" s="491"/>
      <c r="BT186" s="234"/>
      <c r="BU186" s="234"/>
      <c r="BV186" s="234"/>
      <c r="BW186" s="234"/>
      <c r="BX186" s="234"/>
      <c r="BY186" s="234"/>
      <c r="BZ186" s="496"/>
      <c r="CA186" s="496"/>
      <c r="CB186" s="499"/>
      <c r="CC186" s="57"/>
      <c r="CD186" s="57"/>
      <c r="CE186" s="342" t="s">
        <v>1576</v>
      </c>
      <c r="CF186" s="342" t="s">
        <v>1575</v>
      </c>
      <c r="CG186" s="72"/>
    </row>
    <row r="187" spans="1:93" s="23" customFormat="1" x14ac:dyDescent="0.2">
      <c r="A187" s="234" t="s">
        <v>679</v>
      </c>
      <c r="B187" s="234" t="s">
        <v>618</v>
      </c>
      <c r="C187" s="234" t="s">
        <v>484</v>
      </c>
      <c r="D187" s="234" t="s">
        <v>633</v>
      </c>
      <c r="E187" s="493" t="s">
        <v>1516</v>
      </c>
      <c r="F187" s="234">
        <v>1</v>
      </c>
      <c r="G187" s="234">
        <v>1</v>
      </c>
      <c r="H187" s="491">
        <v>1</v>
      </c>
      <c r="I187" s="234" t="s">
        <v>621</v>
      </c>
      <c r="J187" s="234">
        <v>1987</v>
      </c>
      <c r="K187" s="234" t="s">
        <v>961</v>
      </c>
      <c r="L187" s="234">
        <v>1987</v>
      </c>
      <c r="M187" s="389">
        <v>1.49</v>
      </c>
      <c r="N187" s="389">
        <v>-9999</v>
      </c>
      <c r="O187" s="29"/>
      <c r="P187" s="237">
        <f>+M187</f>
        <v>1.49</v>
      </c>
      <c r="Q187" s="234">
        <v>-9999</v>
      </c>
      <c r="R187" s="389"/>
      <c r="S187" s="234"/>
      <c r="T187" s="237">
        <f t="shared" ref="T187:T196" si="6">+P187/H187</f>
        <v>1.49</v>
      </c>
      <c r="U187" s="234">
        <v>-9999</v>
      </c>
      <c r="V187" s="234"/>
      <c r="W187" s="389">
        <v>1.49</v>
      </c>
      <c r="X187" s="234">
        <v>-9999</v>
      </c>
      <c r="Y187" s="234"/>
      <c r="Z187" s="234" t="s">
        <v>622</v>
      </c>
      <c r="AA187" s="515">
        <v>111111</v>
      </c>
      <c r="AB187" s="389">
        <v>1</v>
      </c>
      <c r="AC187" s="234">
        <v>8.6400000000000005E-2</v>
      </c>
      <c r="AD187" s="234">
        <v>36</v>
      </c>
      <c r="AE187" s="390" t="s">
        <v>1974</v>
      </c>
      <c r="AF187" s="234">
        <v>3</v>
      </c>
      <c r="AG187" s="234">
        <v>2</v>
      </c>
      <c r="AH187" s="234" t="s">
        <v>623</v>
      </c>
      <c r="AI187" s="234" t="s">
        <v>624</v>
      </c>
      <c r="AJ187" s="234">
        <v>-9999</v>
      </c>
      <c r="AK187" s="234" t="s">
        <v>626</v>
      </c>
      <c r="AL187" s="234" t="s">
        <v>653</v>
      </c>
      <c r="AM187" s="234">
        <v>-9999</v>
      </c>
      <c r="AN187" s="234" t="s">
        <v>491</v>
      </c>
      <c r="AO187" s="234" t="s">
        <v>627</v>
      </c>
      <c r="AP187" s="234" t="s">
        <v>489</v>
      </c>
      <c r="AQ187" s="234" t="s">
        <v>631</v>
      </c>
      <c r="AR187" s="234">
        <v>0</v>
      </c>
      <c r="AS187" s="234">
        <v>-9999</v>
      </c>
      <c r="AT187" s="234">
        <v>-9999</v>
      </c>
      <c r="AU187" s="234">
        <v>0</v>
      </c>
      <c r="AV187" s="234">
        <v>-9999</v>
      </c>
      <c r="AW187" s="234">
        <v>-9999</v>
      </c>
      <c r="AX187" s="234">
        <v>0</v>
      </c>
      <c r="AY187" s="234">
        <v>-9999</v>
      </c>
      <c r="AZ187" s="234">
        <v>-9999</v>
      </c>
      <c r="BA187" s="234">
        <v>-9999</v>
      </c>
      <c r="BB187" s="234" t="s">
        <v>626</v>
      </c>
      <c r="BC187" s="516" t="s">
        <v>37</v>
      </c>
      <c r="BD187" s="234" t="s">
        <v>674</v>
      </c>
      <c r="BE187" s="234" t="s">
        <v>36</v>
      </c>
      <c r="BF187" s="234">
        <v>-9999</v>
      </c>
      <c r="BG187" s="234">
        <v>-9999</v>
      </c>
      <c r="BH187" s="234">
        <v>-9999</v>
      </c>
      <c r="BI187" s="234" t="s">
        <v>492</v>
      </c>
      <c r="BJ187" s="234">
        <v>-9999</v>
      </c>
      <c r="BK187" s="234">
        <v>-9999</v>
      </c>
      <c r="BL187" s="234">
        <v>-9999</v>
      </c>
      <c r="BM187" s="234">
        <v>-9999</v>
      </c>
      <c r="BN187" s="234">
        <v>-9999</v>
      </c>
      <c r="BO187" s="234">
        <v>-9999</v>
      </c>
      <c r="BP187" s="234">
        <v>-9999</v>
      </c>
      <c r="BQ187" s="234">
        <v>-9999</v>
      </c>
      <c r="BR187" s="234">
        <v>-9999</v>
      </c>
      <c r="BS187" s="491">
        <v>-9999</v>
      </c>
      <c r="BT187" s="234">
        <v>-9999</v>
      </c>
      <c r="BU187" s="234">
        <v>-9999</v>
      </c>
      <c r="BV187" s="234">
        <v>-9999</v>
      </c>
      <c r="BW187" s="234"/>
      <c r="BX187" s="234">
        <v>-9999</v>
      </c>
      <c r="BY187" s="234">
        <v>-9999</v>
      </c>
      <c r="BZ187" s="496">
        <v>-9999</v>
      </c>
      <c r="CA187" s="496">
        <v>-9999</v>
      </c>
      <c r="CB187" s="499"/>
      <c r="CC187" s="57">
        <v>1</v>
      </c>
      <c r="CD187" s="57">
        <v>1</v>
      </c>
      <c r="CE187" s="292">
        <v>1.49</v>
      </c>
      <c r="CF187" s="292">
        <v>1.49</v>
      </c>
      <c r="CG187" s="72">
        <v>1</v>
      </c>
      <c r="CO187" s="345" t="s">
        <v>1580</v>
      </c>
    </row>
    <row r="188" spans="1:93" s="23" customFormat="1" x14ac:dyDescent="0.2">
      <c r="A188" s="234" t="s">
        <v>679</v>
      </c>
      <c r="B188" s="234" t="s">
        <v>618</v>
      </c>
      <c r="C188" s="234" t="s">
        <v>484</v>
      </c>
      <c r="D188" s="234" t="s">
        <v>633</v>
      </c>
      <c r="E188" s="493" t="s">
        <v>1516</v>
      </c>
      <c r="F188" s="234">
        <v>2</v>
      </c>
      <c r="G188" s="234">
        <v>1</v>
      </c>
      <c r="H188" s="491">
        <v>2</v>
      </c>
      <c r="I188" s="234" t="s">
        <v>621</v>
      </c>
      <c r="J188" s="234">
        <v>1987</v>
      </c>
      <c r="K188" s="234" t="s">
        <v>962</v>
      </c>
      <c r="L188" s="234">
        <v>1988</v>
      </c>
      <c r="M188" s="389">
        <v>4.04</v>
      </c>
      <c r="N188" s="389">
        <v>-9999</v>
      </c>
      <c r="O188" s="29"/>
      <c r="P188" s="237">
        <f t="shared" ref="P188:P196" si="7">+P187+M188</f>
        <v>5.53</v>
      </c>
      <c r="Q188" s="234">
        <v>-9999</v>
      </c>
      <c r="R188" s="389"/>
      <c r="S188" s="234"/>
      <c r="T188" s="237">
        <f t="shared" si="6"/>
        <v>2.7650000000000001</v>
      </c>
      <c r="U188" s="234">
        <v>-9999</v>
      </c>
      <c r="V188" s="234"/>
      <c r="W188" s="389">
        <v>4.04</v>
      </c>
      <c r="X188" s="234">
        <v>-9999</v>
      </c>
      <c r="Y188" s="234"/>
      <c r="Z188" s="234" t="s">
        <v>622</v>
      </c>
      <c r="AA188" s="515">
        <v>111111</v>
      </c>
      <c r="AB188" s="389">
        <v>0.94</v>
      </c>
      <c r="AC188" s="234">
        <v>8.6400000000000005E-2</v>
      </c>
      <c r="AD188" s="234">
        <v>36</v>
      </c>
      <c r="AE188" s="390" t="s">
        <v>1974</v>
      </c>
      <c r="AF188" s="234">
        <v>3</v>
      </c>
      <c r="AG188" s="234">
        <v>2</v>
      </c>
      <c r="AH188" s="234" t="s">
        <v>623</v>
      </c>
      <c r="AI188" s="234" t="s">
        <v>624</v>
      </c>
      <c r="AJ188" s="234">
        <v>-9999</v>
      </c>
      <c r="AK188" s="234" t="s">
        <v>626</v>
      </c>
      <c r="AL188" s="234" t="s">
        <v>653</v>
      </c>
      <c r="AM188" s="234">
        <v>-9999</v>
      </c>
      <c r="AN188" s="234" t="s">
        <v>491</v>
      </c>
      <c r="AO188" s="234" t="s">
        <v>627</v>
      </c>
      <c r="AP188" s="234" t="s">
        <v>489</v>
      </c>
      <c r="AQ188" s="234" t="s">
        <v>631</v>
      </c>
      <c r="AR188" s="234">
        <v>0</v>
      </c>
      <c r="AS188" s="234">
        <v>-9999</v>
      </c>
      <c r="AT188" s="234">
        <v>-9999</v>
      </c>
      <c r="AU188" s="234">
        <v>0</v>
      </c>
      <c r="AV188" s="234">
        <v>-9999</v>
      </c>
      <c r="AW188" s="234">
        <v>-9999</v>
      </c>
      <c r="AX188" s="234">
        <v>0</v>
      </c>
      <c r="AY188" s="234">
        <v>-9999</v>
      </c>
      <c r="AZ188" s="234">
        <v>-9999</v>
      </c>
      <c r="BA188" s="234">
        <v>-9999</v>
      </c>
      <c r="BB188" s="234" t="s">
        <v>626</v>
      </c>
      <c r="BC188" s="516" t="s">
        <v>37</v>
      </c>
      <c r="BD188" s="234" t="s">
        <v>674</v>
      </c>
      <c r="BE188" s="234" t="s">
        <v>36</v>
      </c>
      <c r="BF188" s="234">
        <v>-9999</v>
      </c>
      <c r="BG188" s="234">
        <v>-9999</v>
      </c>
      <c r="BH188" s="234">
        <v>-9999</v>
      </c>
      <c r="BI188" s="234" t="s">
        <v>492</v>
      </c>
      <c r="BJ188" s="234">
        <v>-9999</v>
      </c>
      <c r="BK188" s="234">
        <v>-9999</v>
      </c>
      <c r="BL188" s="234">
        <v>-9999</v>
      </c>
      <c r="BM188" s="234">
        <v>-9999</v>
      </c>
      <c r="BN188" s="234">
        <v>-9999</v>
      </c>
      <c r="BO188" s="234">
        <v>-9999</v>
      </c>
      <c r="BP188" s="234">
        <v>-9999</v>
      </c>
      <c r="BQ188" s="234">
        <v>-9999</v>
      </c>
      <c r="BR188" s="234">
        <v>-9999</v>
      </c>
      <c r="BS188" s="491">
        <v>-9999</v>
      </c>
      <c r="BT188" s="234">
        <v>-9999</v>
      </c>
      <c r="BU188" s="234">
        <v>-9999</v>
      </c>
      <c r="BV188" s="234">
        <v>-9999</v>
      </c>
      <c r="BW188" s="234"/>
      <c r="BX188" s="234">
        <v>-9999</v>
      </c>
      <c r="BY188" s="234">
        <v>-9999</v>
      </c>
      <c r="BZ188" s="496">
        <v>-9999</v>
      </c>
      <c r="CA188" s="496">
        <v>-9999</v>
      </c>
      <c r="CB188" s="499"/>
      <c r="CC188" s="57">
        <v>2</v>
      </c>
      <c r="CD188" s="57">
        <v>1</v>
      </c>
      <c r="CE188" s="292">
        <v>2.7650000000000001</v>
      </c>
      <c r="CF188" s="292">
        <v>4.04</v>
      </c>
      <c r="CG188" s="72">
        <v>2</v>
      </c>
      <c r="CO188" s="345" t="s">
        <v>1581</v>
      </c>
    </row>
    <row r="189" spans="1:93" s="23" customFormat="1" x14ac:dyDescent="0.2">
      <c r="A189" s="234" t="s">
        <v>679</v>
      </c>
      <c r="B189" s="234" t="s">
        <v>618</v>
      </c>
      <c r="C189" s="234" t="s">
        <v>484</v>
      </c>
      <c r="D189" s="234" t="s">
        <v>633</v>
      </c>
      <c r="E189" s="493" t="s">
        <v>1516</v>
      </c>
      <c r="F189" s="234">
        <v>3</v>
      </c>
      <c r="G189" s="234">
        <v>1</v>
      </c>
      <c r="H189" s="491">
        <v>3</v>
      </c>
      <c r="I189" s="234" t="s">
        <v>621</v>
      </c>
      <c r="J189" s="234">
        <v>1987</v>
      </c>
      <c r="K189" s="234" t="s">
        <v>962</v>
      </c>
      <c r="L189" s="234">
        <v>1989</v>
      </c>
      <c r="M189" s="389">
        <v>8.81</v>
      </c>
      <c r="N189" s="389">
        <v>-9999</v>
      </c>
      <c r="O189" s="29"/>
      <c r="P189" s="237">
        <f t="shared" si="7"/>
        <v>14.34</v>
      </c>
      <c r="Q189" s="234">
        <v>-9999</v>
      </c>
      <c r="R189" s="389"/>
      <c r="S189" s="234"/>
      <c r="T189" s="237">
        <f t="shared" si="6"/>
        <v>4.78</v>
      </c>
      <c r="U189" s="234">
        <v>-9999</v>
      </c>
      <c r="V189" s="234"/>
      <c r="W189" s="389">
        <v>8.81</v>
      </c>
      <c r="X189" s="234">
        <v>-9999</v>
      </c>
      <c r="Y189" s="234"/>
      <c r="Z189" s="234" t="s">
        <v>622</v>
      </c>
      <c r="AA189" s="515">
        <v>111111</v>
      </c>
      <c r="AB189" s="389">
        <v>0.93</v>
      </c>
      <c r="AC189" s="234">
        <v>8.6400000000000005E-2</v>
      </c>
      <c r="AD189" s="234">
        <v>36</v>
      </c>
      <c r="AE189" s="390" t="s">
        <v>1974</v>
      </c>
      <c r="AF189" s="234">
        <v>3</v>
      </c>
      <c r="AG189" s="234">
        <v>2</v>
      </c>
      <c r="AH189" s="234" t="s">
        <v>623</v>
      </c>
      <c r="AI189" s="234" t="s">
        <v>624</v>
      </c>
      <c r="AJ189" s="234">
        <v>-9999</v>
      </c>
      <c r="AK189" s="234" t="s">
        <v>626</v>
      </c>
      <c r="AL189" s="234" t="s">
        <v>653</v>
      </c>
      <c r="AM189" s="234">
        <v>-9999</v>
      </c>
      <c r="AN189" s="234" t="s">
        <v>491</v>
      </c>
      <c r="AO189" s="234" t="s">
        <v>627</v>
      </c>
      <c r="AP189" s="234" t="s">
        <v>489</v>
      </c>
      <c r="AQ189" s="234" t="s">
        <v>631</v>
      </c>
      <c r="AR189" s="234">
        <v>0</v>
      </c>
      <c r="AS189" s="234">
        <v>-9999</v>
      </c>
      <c r="AT189" s="234">
        <v>-9999</v>
      </c>
      <c r="AU189" s="234">
        <v>0</v>
      </c>
      <c r="AV189" s="234">
        <v>-9999</v>
      </c>
      <c r="AW189" s="234">
        <v>-9999</v>
      </c>
      <c r="AX189" s="234">
        <v>0</v>
      </c>
      <c r="AY189" s="234">
        <v>-9999</v>
      </c>
      <c r="AZ189" s="234">
        <v>-9999</v>
      </c>
      <c r="BA189" s="234">
        <v>-9999</v>
      </c>
      <c r="BB189" s="234" t="s">
        <v>626</v>
      </c>
      <c r="BC189" s="516" t="s">
        <v>37</v>
      </c>
      <c r="BD189" s="234" t="s">
        <v>674</v>
      </c>
      <c r="BE189" s="234" t="s">
        <v>36</v>
      </c>
      <c r="BF189" s="234">
        <v>-9999</v>
      </c>
      <c r="BG189" s="234">
        <v>-9999</v>
      </c>
      <c r="BH189" s="234">
        <v>-9999</v>
      </c>
      <c r="BI189" s="234" t="s">
        <v>492</v>
      </c>
      <c r="BJ189" s="234">
        <v>-9999</v>
      </c>
      <c r="BK189" s="234">
        <v>-9999</v>
      </c>
      <c r="BL189" s="234">
        <v>-9999</v>
      </c>
      <c r="BM189" s="234">
        <v>-9999</v>
      </c>
      <c r="BN189" s="234">
        <v>-9999</v>
      </c>
      <c r="BO189" s="234">
        <v>-9999</v>
      </c>
      <c r="BP189" s="234">
        <v>-9999</v>
      </c>
      <c r="BQ189" s="234">
        <v>-9999</v>
      </c>
      <c r="BR189" s="234">
        <v>-9999</v>
      </c>
      <c r="BS189" s="491">
        <v>-9999</v>
      </c>
      <c r="BT189" s="234">
        <v>-9999</v>
      </c>
      <c r="BU189" s="234">
        <v>-9999</v>
      </c>
      <c r="BV189" s="234">
        <v>-9999</v>
      </c>
      <c r="BW189" s="234"/>
      <c r="BX189" s="234">
        <v>-9999</v>
      </c>
      <c r="BY189" s="234">
        <v>-9999</v>
      </c>
      <c r="BZ189" s="496">
        <v>-9999</v>
      </c>
      <c r="CA189" s="496">
        <v>-9999</v>
      </c>
      <c r="CB189" s="499"/>
      <c r="CC189" s="57">
        <v>3</v>
      </c>
      <c r="CD189" s="57">
        <v>1</v>
      </c>
      <c r="CE189" s="292">
        <v>4.78</v>
      </c>
      <c r="CF189" s="292">
        <v>8.81</v>
      </c>
      <c r="CG189" s="72">
        <v>3</v>
      </c>
    </row>
    <row r="190" spans="1:93" s="23" customFormat="1" x14ac:dyDescent="0.2">
      <c r="A190" s="234" t="s">
        <v>679</v>
      </c>
      <c r="B190" s="234" t="s">
        <v>618</v>
      </c>
      <c r="C190" s="234" t="s">
        <v>484</v>
      </c>
      <c r="D190" s="234" t="s">
        <v>633</v>
      </c>
      <c r="E190" s="493" t="s">
        <v>1516</v>
      </c>
      <c r="F190" s="234">
        <v>4</v>
      </c>
      <c r="G190" s="234">
        <v>1</v>
      </c>
      <c r="H190" s="491">
        <v>4</v>
      </c>
      <c r="I190" s="234" t="s">
        <v>621</v>
      </c>
      <c r="J190" s="234">
        <v>1987</v>
      </c>
      <c r="K190" s="234" t="s">
        <v>962</v>
      </c>
      <c r="L190" s="234">
        <v>1990</v>
      </c>
      <c r="M190" s="389">
        <v>12.4</v>
      </c>
      <c r="N190" s="389">
        <v>-9999</v>
      </c>
      <c r="O190" s="29"/>
      <c r="P190" s="237">
        <f t="shared" si="7"/>
        <v>26.740000000000002</v>
      </c>
      <c r="Q190" s="234">
        <v>-9999</v>
      </c>
      <c r="R190" s="389"/>
      <c r="S190" s="234"/>
      <c r="T190" s="237">
        <f t="shared" si="6"/>
        <v>6.6850000000000005</v>
      </c>
      <c r="U190" s="234">
        <v>-9999</v>
      </c>
      <c r="V190" s="234"/>
      <c r="W190" s="389">
        <v>12.4</v>
      </c>
      <c r="X190" s="234">
        <v>-9999</v>
      </c>
      <c r="Y190" s="234"/>
      <c r="Z190" s="234" t="s">
        <v>622</v>
      </c>
      <c r="AA190" s="515">
        <v>111111</v>
      </c>
      <c r="AB190" s="389">
        <v>0.91</v>
      </c>
      <c r="AC190" s="234">
        <v>8.6400000000000005E-2</v>
      </c>
      <c r="AD190" s="234">
        <v>36</v>
      </c>
      <c r="AE190" s="390" t="s">
        <v>1974</v>
      </c>
      <c r="AF190" s="234">
        <v>3</v>
      </c>
      <c r="AG190" s="234">
        <v>2</v>
      </c>
      <c r="AH190" s="234" t="s">
        <v>623</v>
      </c>
      <c r="AI190" s="234" t="s">
        <v>624</v>
      </c>
      <c r="AJ190" s="234">
        <v>-9999</v>
      </c>
      <c r="AK190" s="234" t="s">
        <v>626</v>
      </c>
      <c r="AL190" s="234" t="s">
        <v>653</v>
      </c>
      <c r="AM190" s="234">
        <v>-9999</v>
      </c>
      <c r="AN190" s="234" t="s">
        <v>491</v>
      </c>
      <c r="AO190" s="234" t="s">
        <v>627</v>
      </c>
      <c r="AP190" s="234" t="s">
        <v>489</v>
      </c>
      <c r="AQ190" s="234" t="s">
        <v>631</v>
      </c>
      <c r="AR190" s="234">
        <v>0</v>
      </c>
      <c r="AS190" s="234">
        <v>-9999</v>
      </c>
      <c r="AT190" s="234">
        <v>-9999</v>
      </c>
      <c r="AU190" s="234">
        <v>0</v>
      </c>
      <c r="AV190" s="234">
        <v>-9999</v>
      </c>
      <c r="AW190" s="234">
        <v>-9999</v>
      </c>
      <c r="AX190" s="234">
        <v>0</v>
      </c>
      <c r="AY190" s="234">
        <v>-9999</v>
      </c>
      <c r="AZ190" s="234">
        <v>-9999</v>
      </c>
      <c r="BA190" s="234">
        <v>-9999</v>
      </c>
      <c r="BB190" s="234" t="s">
        <v>626</v>
      </c>
      <c r="BC190" s="516" t="s">
        <v>37</v>
      </c>
      <c r="BD190" s="234" t="s">
        <v>674</v>
      </c>
      <c r="BE190" s="234" t="s">
        <v>36</v>
      </c>
      <c r="BF190" s="234">
        <v>-9999</v>
      </c>
      <c r="BG190" s="234">
        <v>-9999</v>
      </c>
      <c r="BH190" s="234">
        <v>-9999</v>
      </c>
      <c r="BI190" s="234" t="s">
        <v>492</v>
      </c>
      <c r="BJ190" s="234">
        <v>-9999</v>
      </c>
      <c r="BK190" s="234">
        <v>-9999</v>
      </c>
      <c r="BL190" s="234">
        <v>-9999</v>
      </c>
      <c r="BM190" s="234">
        <v>-9999</v>
      </c>
      <c r="BN190" s="234">
        <v>-9999</v>
      </c>
      <c r="BO190" s="234">
        <v>-9999</v>
      </c>
      <c r="BP190" s="234">
        <v>-9999</v>
      </c>
      <c r="BQ190" s="234">
        <v>-9999</v>
      </c>
      <c r="BR190" s="234">
        <v>-9999</v>
      </c>
      <c r="BS190" s="491">
        <v>-9999</v>
      </c>
      <c r="BT190" s="234">
        <v>-9999</v>
      </c>
      <c r="BU190" s="234">
        <v>-9999</v>
      </c>
      <c r="BV190" s="234">
        <v>-9999</v>
      </c>
      <c r="BW190" s="234"/>
      <c r="BX190" s="234">
        <v>-9999</v>
      </c>
      <c r="BY190" s="234">
        <v>-9999</v>
      </c>
      <c r="BZ190" s="496">
        <v>-9999</v>
      </c>
      <c r="CA190" s="496">
        <v>-9999</v>
      </c>
      <c r="CB190" s="499"/>
      <c r="CC190" s="57">
        <v>4</v>
      </c>
      <c r="CD190" s="57">
        <v>1</v>
      </c>
      <c r="CE190" s="292">
        <v>6.6850000000000005</v>
      </c>
      <c r="CF190" s="292">
        <v>12.4</v>
      </c>
      <c r="CG190" s="72">
        <v>4</v>
      </c>
    </row>
    <row r="191" spans="1:93" s="23" customFormat="1" x14ac:dyDescent="0.2">
      <c r="A191" s="234" t="s">
        <v>679</v>
      </c>
      <c r="B191" s="234" t="s">
        <v>618</v>
      </c>
      <c r="C191" s="234" t="s">
        <v>484</v>
      </c>
      <c r="D191" s="234" t="s">
        <v>633</v>
      </c>
      <c r="E191" s="493" t="s">
        <v>1516</v>
      </c>
      <c r="F191" s="234">
        <v>5</v>
      </c>
      <c r="G191" s="234">
        <v>1</v>
      </c>
      <c r="H191" s="491">
        <v>5</v>
      </c>
      <c r="I191" s="234" t="s">
        <v>621</v>
      </c>
      <c r="J191" s="234">
        <v>1987</v>
      </c>
      <c r="K191" s="234" t="s">
        <v>962</v>
      </c>
      <c r="L191" s="234">
        <v>1991</v>
      </c>
      <c r="M191" s="389">
        <v>13.31</v>
      </c>
      <c r="N191" s="389">
        <v>-9999</v>
      </c>
      <c r="O191" s="29"/>
      <c r="P191" s="237">
        <f t="shared" si="7"/>
        <v>40.050000000000004</v>
      </c>
      <c r="Q191" s="234">
        <v>-9999</v>
      </c>
      <c r="R191" s="389"/>
      <c r="S191" s="234"/>
      <c r="T191" s="237">
        <f t="shared" si="6"/>
        <v>8.0100000000000016</v>
      </c>
      <c r="U191" s="234">
        <v>-9999</v>
      </c>
      <c r="V191" s="234"/>
      <c r="W191" s="389">
        <v>13.31</v>
      </c>
      <c r="X191" s="234">
        <v>-9999</v>
      </c>
      <c r="Y191" s="234"/>
      <c r="Z191" s="234" t="s">
        <v>622</v>
      </c>
      <c r="AA191" s="515">
        <v>111111</v>
      </c>
      <c r="AB191" s="389">
        <v>0.88</v>
      </c>
      <c r="AC191" s="234">
        <v>8.6400000000000005E-2</v>
      </c>
      <c r="AD191" s="234">
        <v>36</v>
      </c>
      <c r="AE191" s="390" t="s">
        <v>1974</v>
      </c>
      <c r="AF191" s="234">
        <v>3</v>
      </c>
      <c r="AG191" s="234">
        <v>2</v>
      </c>
      <c r="AH191" s="234" t="s">
        <v>623</v>
      </c>
      <c r="AI191" s="234" t="s">
        <v>624</v>
      </c>
      <c r="AJ191" s="234">
        <v>-9999</v>
      </c>
      <c r="AK191" s="234" t="s">
        <v>626</v>
      </c>
      <c r="AL191" s="234" t="s">
        <v>653</v>
      </c>
      <c r="AM191" s="234">
        <v>-9999</v>
      </c>
      <c r="AN191" s="234" t="s">
        <v>491</v>
      </c>
      <c r="AO191" s="234" t="s">
        <v>627</v>
      </c>
      <c r="AP191" s="234" t="s">
        <v>489</v>
      </c>
      <c r="AQ191" s="234" t="s">
        <v>631</v>
      </c>
      <c r="AR191" s="234">
        <v>0</v>
      </c>
      <c r="AS191" s="234">
        <v>-9999</v>
      </c>
      <c r="AT191" s="234">
        <v>-9999</v>
      </c>
      <c r="AU191" s="234">
        <v>0</v>
      </c>
      <c r="AV191" s="234">
        <v>-9999</v>
      </c>
      <c r="AW191" s="234">
        <v>-9999</v>
      </c>
      <c r="AX191" s="234">
        <v>0</v>
      </c>
      <c r="AY191" s="234">
        <v>-9999</v>
      </c>
      <c r="AZ191" s="234">
        <v>-9999</v>
      </c>
      <c r="BA191" s="234">
        <v>-9999</v>
      </c>
      <c r="BB191" s="234" t="s">
        <v>626</v>
      </c>
      <c r="BC191" s="516" t="s">
        <v>37</v>
      </c>
      <c r="BD191" s="234" t="s">
        <v>674</v>
      </c>
      <c r="BE191" s="234" t="s">
        <v>36</v>
      </c>
      <c r="BF191" s="234">
        <v>-9999</v>
      </c>
      <c r="BG191" s="234">
        <v>-9999</v>
      </c>
      <c r="BH191" s="234">
        <v>-9999</v>
      </c>
      <c r="BI191" s="234" t="s">
        <v>492</v>
      </c>
      <c r="BJ191" s="234">
        <v>-9999</v>
      </c>
      <c r="BK191" s="234">
        <v>-9999</v>
      </c>
      <c r="BL191" s="234">
        <v>-9999</v>
      </c>
      <c r="BM191" s="234">
        <v>-9999</v>
      </c>
      <c r="BN191" s="234">
        <v>-9999</v>
      </c>
      <c r="BO191" s="234">
        <v>-9999</v>
      </c>
      <c r="BP191" s="234">
        <v>-9999</v>
      </c>
      <c r="BQ191" s="234">
        <v>-9999</v>
      </c>
      <c r="BR191" s="234">
        <v>-9999</v>
      </c>
      <c r="BS191" s="491">
        <v>-9999</v>
      </c>
      <c r="BT191" s="234">
        <v>-9999</v>
      </c>
      <c r="BU191" s="234">
        <v>-9999</v>
      </c>
      <c r="BV191" s="234">
        <v>-9999</v>
      </c>
      <c r="BW191" s="234"/>
      <c r="BX191" s="234">
        <v>-9999</v>
      </c>
      <c r="BY191" s="234">
        <v>-9999</v>
      </c>
      <c r="BZ191" s="496">
        <v>-9999</v>
      </c>
      <c r="CA191" s="496">
        <v>-9999</v>
      </c>
      <c r="CB191" s="499"/>
      <c r="CC191" s="57">
        <v>5</v>
      </c>
      <c r="CD191" s="57">
        <v>1</v>
      </c>
      <c r="CE191" s="401">
        <v>8.0100000000000016</v>
      </c>
      <c r="CF191" s="292">
        <v>13.31</v>
      </c>
      <c r="CG191" s="72">
        <v>5</v>
      </c>
      <c r="CH191" s="479"/>
    </row>
    <row r="192" spans="1:93" s="23" customFormat="1" x14ac:dyDescent="0.2">
      <c r="A192" s="234" t="s">
        <v>679</v>
      </c>
      <c r="B192" s="234" t="s">
        <v>618</v>
      </c>
      <c r="C192" s="234" t="s">
        <v>484</v>
      </c>
      <c r="D192" s="234" t="s">
        <v>633</v>
      </c>
      <c r="E192" s="493" t="s">
        <v>1516</v>
      </c>
      <c r="F192" s="234">
        <v>6</v>
      </c>
      <c r="G192" s="234">
        <v>1</v>
      </c>
      <c r="H192" s="491">
        <v>6</v>
      </c>
      <c r="I192" s="234" t="s">
        <v>621</v>
      </c>
      <c r="J192" s="234">
        <v>1987</v>
      </c>
      <c r="K192" s="234" t="s">
        <v>962</v>
      </c>
      <c r="L192" s="234">
        <v>1992</v>
      </c>
      <c r="M192" s="389">
        <v>9.31</v>
      </c>
      <c r="N192" s="389">
        <v>-9999</v>
      </c>
      <c r="O192" s="29"/>
      <c r="P192" s="237">
        <f t="shared" si="7"/>
        <v>49.360000000000007</v>
      </c>
      <c r="Q192" s="234">
        <v>-9999</v>
      </c>
      <c r="R192" s="389"/>
      <c r="S192" s="234"/>
      <c r="T192" s="237">
        <f t="shared" si="6"/>
        <v>8.2266666666666683</v>
      </c>
      <c r="U192" s="234">
        <v>-9999</v>
      </c>
      <c r="V192" s="234"/>
      <c r="W192" s="389">
        <v>9.31</v>
      </c>
      <c r="X192" s="234">
        <v>-9999</v>
      </c>
      <c r="Y192" s="234"/>
      <c r="Z192" s="234" t="s">
        <v>622</v>
      </c>
      <c r="AA192" s="515">
        <v>111111</v>
      </c>
      <c r="AB192" s="389">
        <v>0.86</v>
      </c>
      <c r="AC192" s="234">
        <v>8.6400000000000005E-2</v>
      </c>
      <c r="AD192" s="234">
        <v>36</v>
      </c>
      <c r="AE192" s="390" t="s">
        <v>1974</v>
      </c>
      <c r="AF192" s="234">
        <v>3</v>
      </c>
      <c r="AG192" s="234">
        <v>2</v>
      </c>
      <c r="AH192" s="234" t="s">
        <v>623</v>
      </c>
      <c r="AI192" s="234" t="s">
        <v>624</v>
      </c>
      <c r="AJ192" s="234">
        <v>-9999</v>
      </c>
      <c r="AK192" s="234" t="s">
        <v>626</v>
      </c>
      <c r="AL192" s="234" t="s">
        <v>653</v>
      </c>
      <c r="AM192" s="234">
        <v>-9999</v>
      </c>
      <c r="AN192" s="234" t="s">
        <v>491</v>
      </c>
      <c r="AO192" s="234" t="s">
        <v>627</v>
      </c>
      <c r="AP192" s="234" t="s">
        <v>489</v>
      </c>
      <c r="AQ192" s="234" t="s">
        <v>631</v>
      </c>
      <c r="AR192" s="234">
        <v>0</v>
      </c>
      <c r="AS192" s="234">
        <v>-9999</v>
      </c>
      <c r="AT192" s="234">
        <v>-9999</v>
      </c>
      <c r="AU192" s="234">
        <v>0</v>
      </c>
      <c r="AV192" s="234">
        <v>-9999</v>
      </c>
      <c r="AW192" s="234">
        <v>-9999</v>
      </c>
      <c r="AX192" s="234">
        <v>0</v>
      </c>
      <c r="AY192" s="234">
        <v>-9999</v>
      </c>
      <c r="AZ192" s="234">
        <v>-9999</v>
      </c>
      <c r="BA192" s="234">
        <v>-9999</v>
      </c>
      <c r="BB192" s="234" t="s">
        <v>626</v>
      </c>
      <c r="BC192" s="516" t="s">
        <v>37</v>
      </c>
      <c r="BD192" s="234" t="s">
        <v>674</v>
      </c>
      <c r="BE192" s="234" t="s">
        <v>36</v>
      </c>
      <c r="BF192" s="234">
        <v>-9999</v>
      </c>
      <c r="BG192" s="234">
        <v>-9999</v>
      </c>
      <c r="BH192" s="234">
        <v>-9999</v>
      </c>
      <c r="BI192" s="234" t="s">
        <v>492</v>
      </c>
      <c r="BJ192" s="234">
        <v>-9999</v>
      </c>
      <c r="BK192" s="234">
        <v>-9999</v>
      </c>
      <c r="BL192" s="234">
        <v>-9999</v>
      </c>
      <c r="BM192" s="234">
        <v>-9999</v>
      </c>
      <c r="BN192" s="234">
        <v>-9999</v>
      </c>
      <c r="BO192" s="234">
        <v>-9999</v>
      </c>
      <c r="BP192" s="234">
        <v>-9999</v>
      </c>
      <c r="BQ192" s="234">
        <v>-9999</v>
      </c>
      <c r="BR192" s="234">
        <v>-9999</v>
      </c>
      <c r="BS192" s="491">
        <v>-9999</v>
      </c>
      <c r="BT192" s="234">
        <v>-9999</v>
      </c>
      <c r="BU192" s="234">
        <v>-9999</v>
      </c>
      <c r="BV192" s="234">
        <v>-9999</v>
      </c>
      <c r="BW192" s="234"/>
      <c r="BX192" s="234">
        <v>-9999</v>
      </c>
      <c r="BY192" s="234">
        <v>-9999</v>
      </c>
      <c r="BZ192" s="496">
        <v>-9999</v>
      </c>
      <c r="CA192" s="496">
        <v>-9999</v>
      </c>
      <c r="CB192" s="499"/>
      <c r="CC192" s="57">
        <v>6</v>
      </c>
      <c r="CD192" s="57">
        <v>1</v>
      </c>
      <c r="CE192" s="292">
        <v>8.2266666666666683</v>
      </c>
      <c r="CF192" s="292">
        <v>9.31</v>
      </c>
      <c r="CG192" s="72">
        <v>6</v>
      </c>
    </row>
    <row r="193" spans="1:93" s="23" customFormat="1" x14ac:dyDescent="0.2">
      <c r="A193" s="234" t="s">
        <v>679</v>
      </c>
      <c r="B193" s="234" t="s">
        <v>618</v>
      </c>
      <c r="C193" s="234" t="s">
        <v>484</v>
      </c>
      <c r="D193" s="234" t="s">
        <v>633</v>
      </c>
      <c r="E193" s="493" t="s">
        <v>1516</v>
      </c>
      <c r="F193" s="234">
        <v>7</v>
      </c>
      <c r="G193" s="234">
        <v>1</v>
      </c>
      <c r="H193" s="491">
        <v>7</v>
      </c>
      <c r="I193" s="234" t="s">
        <v>621</v>
      </c>
      <c r="J193" s="234">
        <v>1987</v>
      </c>
      <c r="K193" s="234" t="s">
        <v>962</v>
      </c>
      <c r="L193" s="234">
        <v>1993</v>
      </c>
      <c r="M193" s="389">
        <v>10.06</v>
      </c>
      <c r="N193" s="389">
        <v>-9999</v>
      </c>
      <c r="O193" s="29"/>
      <c r="P193" s="237">
        <f t="shared" si="7"/>
        <v>59.420000000000009</v>
      </c>
      <c r="Q193" s="234">
        <v>-9999</v>
      </c>
      <c r="R193" s="389"/>
      <c r="S193" s="234"/>
      <c r="T193" s="237">
        <f t="shared" si="6"/>
        <v>8.4885714285714293</v>
      </c>
      <c r="U193" s="234">
        <v>-9999</v>
      </c>
      <c r="V193" s="234"/>
      <c r="W193" s="389">
        <v>10.06</v>
      </c>
      <c r="X193" s="234">
        <v>-9999</v>
      </c>
      <c r="Y193" s="234"/>
      <c r="Z193" s="234" t="s">
        <v>622</v>
      </c>
      <c r="AA193" s="515">
        <v>111111</v>
      </c>
      <c r="AB193" s="389">
        <v>0.77</v>
      </c>
      <c r="AC193" s="234">
        <v>8.6400000000000005E-2</v>
      </c>
      <c r="AD193" s="234">
        <v>36</v>
      </c>
      <c r="AE193" s="390" t="s">
        <v>1974</v>
      </c>
      <c r="AF193" s="234">
        <v>3</v>
      </c>
      <c r="AG193" s="234">
        <v>2</v>
      </c>
      <c r="AH193" s="234" t="s">
        <v>623</v>
      </c>
      <c r="AI193" s="234" t="s">
        <v>624</v>
      </c>
      <c r="AJ193" s="234">
        <v>-9999</v>
      </c>
      <c r="AK193" s="234" t="s">
        <v>626</v>
      </c>
      <c r="AL193" s="234" t="s">
        <v>653</v>
      </c>
      <c r="AM193" s="234">
        <v>-9999</v>
      </c>
      <c r="AN193" s="234" t="s">
        <v>491</v>
      </c>
      <c r="AO193" s="234" t="s">
        <v>627</v>
      </c>
      <c r="AP193" s="234" t="s">
        <v>489</v>
      </c>
      <c r="AQ193" s="234" t="s">
        <v>631</v>
      </c>
      <c r="AR193" s="234">
        <v>0</v>
      </c>
      <c r="AS193" s="234">
        <v>-9999</v>
      </c>
      <c r="AT193" s="234">
        <v>-9999</v>
      </c>
      <c r="AU193" s="234">
        <v>0</v>
      </c>
      <c r="AV193" s="234">
        <v>-9999</v>
      </c>
      <c r="AW193" s="234">
        <v>-9999</v>
      </c>
      <c r="AX193" s="234">
        <v>0</v>
      </c>
      <c r="AY193" s="234">
        <v>-9999</v>
      </c>
      <c r="AZ193" s="234">
        <v>-9999</v>
      </c>
      <c r="BA193" s="234">
        <v>-9999</v>
      </c>
      <c r="BB193" s="234" t="s">
        <v>626</v>
      </c>
      <c r="BC193" s="516" t="s">
        <v>37</v>
      </c>
      <c r="BD193" s="234" t="s">
        <v>674</v>
      </c>
      <c r="BE193" s="234" t="s">
        <v>36</v>
      </c>
      <c r="BF193" s="234">
        <v>-9999</v>
      </c>
      <c r="BG193" s="234">
        <v>-9999</v>
      </c>
      <c r="BH193" s="234">
        <v>-9999</v>
      </c>
      <c r="BI193" s="234" t="s">
        <v>492</v>
      </c>
      <c r="BJ193" s="234">
        <v>-9999</v>
      </c>
      <c r="BK193" s="234">
        <v>-9999</v>
      </c>
      <c r="BL193" s="234">
        <v>-9999</v>
      </c>
      <c r="BM193" s="234">
        <v>-9999</v>
      </c>
      <c r="BN193" s="234">
        <v>-9999</v>
      </c>
      <c r="BO193" s="234">
        <v>-9999</v>
      </c>
      <c r="BP193" s="234">
        <v>-9999</v>
      </c>
      <c r="BQ193" s="234">
        <v>-9999</v>
      </c>
      <c r="BR193" s="234">
        <v>-9999</v>
      </c>
      <c r="BS193" s="491">
        <v>-9999</v>
      </c>
      <c r="BT193" s="234">
        <v>-9999</v>
      </c>
      <c r="BU193" s="234">
        <v>-9999</v>
      </c>
      <c r="BV193" s="234">
        <v>-9999</v>
      </c>
      <c r="BW193" s="234"/>
      <c r="BX193" s="234">
        <v>-9999</v>
      </c>
      <c r="BY193" s="234">
        <v>-9999</v>
      </c>
      <c r="BZ193" s="496">
        <v>-9999</v>
      </c>
      <c r="CA193" s="496">
        <v>-9999</v>
      </c>
      <c r="CB193" s="499"/>
      <c r="CC193" s="57">
        <v>7</v>
      </c>
      <c r="CD193" s="57">
        <v>1</v>
      </c>
      <c r="CE193" s="292">
        <v>8.4885714285714293</v>
      </c>
      <c r="CF193" s="292">
        <v>10.06</v>
      </c>
      <c r="CG193" s="72">
        <v>7</v>
      </c>
    </row>
    <row r="194" spans="1:93" s="23" customFormat="1" x14ac:dyDescent="0.2">
      <c r="A194" s="234" t="s">
        <v>679</v>
      </c>
      <c r="B194" s="234" t="s">
        <v>618</v>
      </c>
      <c r="C194" s="234" t="s">
        <v>484</v>
      </c>
      <c r="D194" s="234" t="s">
        <v>633</v>
      </c>
      <c r="E194" s="493" t="s">
        <v>1516</v>
      </c>
      <c r="F194" s="234">
        <v>8</v>
      </c>
      <c r="G194" s="234">
        <v>1</v>
      </c>
      <c r="H194" s="491">
        <v>8</v>
      </c>
      <c r="I194" s="234" t="s">
        <v>621</v>
      </c>
      <c r="J194" s="234">
        <v>1987</v>
      </c>
      <c r="K194" s="234" t="s">
        <v>962</v>
      </c>
      <c r="L194" s="234">
        <v>1994</v>
      </c>
      <c r="M194" s="389">
        <v>10.23</v>
      </c>
      <c r="N194" s="389">
        <v>-9999</v>
      </c>
      <c r="O194" s="29"/>
      <c r="P194" s="237">
        <f t="shared" si="7"/>
        <v>69.650000000000006</v>
      </c>
      <c r="Q194" s="234">
        <v>-9999</v>
      </c>
      <c r="R194" s="389"/>
      <c r="S194" s="234"/>
      <c r="T194" s="237">
        <f t="shared" si="6"/>
        <v>8.7062500000000007</v>
      </c>
      <c r="U194" s="234">
        <v>-9999</v>
      </c>
      <c r="V194" s="234"/>
      <c r="W194" s="389">
        <v>10.23</v>
      </c>
      <c r="X194" s="234">
        <v>-9999</v>
      </c>
      <c r="Y194" s="234"/>
      <c r="Z194" s="234" t="s">
        <v>622</v>
      </c>
      <c r="AA194" s="515">
        <v>111111</v>
      </c>
      <c r="AB194" s="389">
        <v>0.76</v>
      </c>
      <c r="AC194" s="234">
        <v>8.6400000000000005E-2</v>
      </c>
      <c r="AD194" s="234">
        <v>36</v>
      </c>
      <c r="AE194" s="390" t="s">
        <v>1974</v>
      </c>
      <c r="AF194" s="234">
        <v>3</v>
      </c>
      <c r="AG194" s="234">
        <v>2</v>
      </c>
      <c r="AH194" s="234" t="s">
        <v>623</v>
      </c>
      <c r="AI194" s="234" t="s">
        <v>624</v>
      </c>
      <c r="AJ194" s="234">
        <v>-9999</v>
      </c>
      <c r="AK194" s="234" t="s">
        <v>626</v>
      </c>
      <c r="AL194" s="234" t="s">
        <v>653</v>
      </c>
      <c r="AM194" s="234">
        <v>-9999</v>
      </c>
      <c r="AN194" s="234" t="s">
        <v>491</v>
      </c>
      <c r="AO194" s="234" t="s">
        <v>627</v>
      </c>
      <c r="AP194" s="234" t="s">
        <v>489</v>
      </c>
      <c r="AQ194" s="234" t="s">
        <v>631</v>
      </c>
      <c r="AR194" s="234">
        <v>0</v>
      </c>
      <c r="AS194" s="234">
        <v>-9999</v>
      </c>
      <c r="AT194" s="234">
        <v>-9999</v>
      </c>
      <c r="AU194" s="234">
        <v>0</v>
      </c>
      <c r="AV194" s="234">
        <v>-9999</v>
      </c>
      <c r="AW194" s="234">
        <v>-9999</v>
      </c>
      <c r="AX194" s="234">
        <v>0</v>
      </c>
      <c r="AY194" s="234">
        <v>-9999</v>
      </c>
      <c r="AZ194" s="234">
        <v>-9999</v>
      </c>
      <c r="BA194" s="234">
        <v>-9999</v>
      </c>
      <c r="BB194" s="234" t="s">
        <v>626</v>
      </c>
      <c r="BC194" s="516" t="s">
        <v>37</v>
      </c>
      <c r="BD194" s="234" t="s">
        <v>674</v>
      </c>
      <c r="BE194" s="234" t="s">
        <v>36</v>
      </c>
      <c r="BF194" s="234">
        <v>-9999</v>
      </c>
      <c r="BG194" s="234">
        <v>-9999</v>
      </c>
      <c r="BH194" s="234">
        <v>-9999</v>
      </c>
      <c r="BI194" s="234" t="s">
        <v>492</v>
      </c>
      <c r="BJ194" s="234">
        <v>-9999</v>
      </c>
      <c r="BK194" s="234">
        <v>-9999</v>
      </c>
      <c r="BL194" s="234">
        <v>-9999</v>
      </c>
      <c r="BM194" s="234">
        <v>-9999</v>
      </c>
      <c r="BN194" s="234">
        <v>-9999</v>
      </c>
      <c r="BO194" s="234">
        <v>-9999</v>
      </c>
      <c r="BP194" s="234">
        <v>-9999</v>
      </c>
      <c r="BQ194" s="234">
        <v>-9999</v>
      </c>
      <c r="BR194" s="234">
        <v>-9999</v>
      </c>
      <c r="BS194" s="491">
        <v>-9999</v>
      </c>
      <c r="BT194" s="234">
        <v>-9999</v>
      </c>
      <c r="BU194" s="234">
        <v>-9999</v>
      </c>
      <c r="BV194" s="234">
        <v>-9999</v>
      </c>
      <c r="BW194" s="234"/>
      <c r="BX194" s="234">
        <v>-9999</v>
      </c>
      <c r="BY194" s="234">
        <v>-9999</v>
      </c>
      <c r="BZ194" s="496">
        <v>-9999</v>
      </c>
      <c r="CA194" s="496">
        <v>-9999</v>
      </c>
      <c r="CB194" s="499"/>
      <c r="CC194" s="57">
        <v>8</v>
      </c>
      <c r="CD194" s="57">
        <v>1</v>
      </c>
      <c r="CE194" s="292">
        <v>8.7062500000000007</v>
      </c>
      <c r="CF194" s="292">
        <v>10.23</v>
      </c>
      <c r="CG194" s="72">
        <v>8</v>
      </c>
    </row>
    <row r="195" spans="1:93" s="23" customFormat="1" x14ac:dyDescent="0.2">
      <c r="A195" s="234" t="s">
        <v>679</v>
      </c>
      <c r="B195" s="234" t="s">
        <v>618</v>
      </c>
      <c r="C195" s="234" t="s">
        <v>484</v>
      </c>
      <c r="D195" s="234" t="s">
        <v>633</v>
      </c>
      <c r="E195" s="493" t="s">
        <v>1516</v>
      </c>
      <c r="F195" s="234">
        <v>9</v>
      </c>
      <c r="G195" s="234">
        <v>1</v>
      </c>
      <c r="H195" s="491">
        <v>9</v>
      </c>
      <c r="I195" s="234" t="s">
        <v>621</v>
      </c>
      <c r="J195" s="234">
        <v>1987</v>
      </c>
      <c r="K195" s="234" t="s">
        <v>962</v>
      </c>
      <c r="L195" s="234">
        <v>1995</v>
      </c>
      <c r="M195" s="389">
        <v>10.84</v>
      </c>
      <c r="N195" s="389">
        <v>-9999</v>
      </c>
      <c r="O195" s="29"/>
      <c r="P195" s="237">
        <f t="shared" si="7"/>
        <v>80.490000000000009</v>
      </c>
      <c r="Q195" s="234">
        <v>-9999</v>
      </c>
      <c r="R195" s="389"/>
      <c r="S195" s="234"/>
      <c r="T195" s="237">
        <f t="shared" si="6"/>
        <v>8.9433333333333351</v>
      </c>
      <c r="U195" s="234">
        <v>-9999</v>
      </c>
      <c r="V195" s="234"/>
      <c r="W195" s="389">
        <v>10.84</v>
      </c>
      <c r="X195" s="234">
        <v>-9999</v>
      </c>
      <c r="Y195" s="234"/>
      <c r="Z195" s="234" t="s">
        <v>622</v>
      </c>
      <c r="AA195" s="515">
        <v>111111</v>
      </c>
      <c r="AB195" s="412">
        <v>0.76</v>
      </c>
      <c r="AC195" s="234">
        <v>8.6400000000000005E-2</v>
      </c>
      <c r="AD195" s="234">
        <v>36</v>
      </c>
      <c r="AE195" s="390" t="s">
        <v>1974</v>
      </c>
      <c r="AF195" s="234">
        <v>3</v>
      </c>
      <c r="AG195" s="234">
        <v>2</v>
      </c>
      <c r="AH195" s="234" t="s">
        <v>623</v>
      </c>
      <c r="AI195" s="234" t="s">
        <v>624</v>
      </c>
      <c r="AJ195" s="234">
        <v>-9999</v>
      </c>
      <c r="AK195" s="234" t="s">
        <v>626</v>
      </c>
      <c r="AL195" s="234" t="s">
        <v>653</v>
      </c>
      <c r="AM195" s="234">
        <v>-9999</v>
      </c>
      <c r="AN195" s="234" t="s">
        <v>491</v>
      </c>
      <c r="AO195" s="234" t="s">
        <v>627</v>
      </c>
      <c r="AP195" s="234" t="s">
        <v>489</v>
      </c>
      <c r="AQ195" s="234" t="s">
        <v>631</v>
      </c>
      <c r="AR195" s="234">
        <v>0</v>
      </c>
      <c r="AS195" s="234">
        <v>-9999</v>
      </c>
      <c r="AT195" s="234">
        <v>-9999</v>
      </c>
      <c r="AU195" s="234">
        <v>0</v>
      </c>
      <c r="AV195" s="234">
        <v>-9999</v>
      </c>
      <c r="AW195" s="234">
        <v>-9999</v>
      </c>
      <c r="AX195" s="234">
        <v>0</v>
      </c>
      <c r="AY195" s="234">
        <v>-9999</v>
      </c>
      <c r="AZ195" s="234">
        <v>-9999</v>
      </c>
      <c r="BA195" s="234">
        <v>-9999</v>
      </c>
      <c r="BB195" s="234" t="s">
        <v>626</v>
      </c>
      <c r="BC195" s="516" t="s">
        <v>37</v>
      </c>
      <c r="BD195" s="234" t="s">
        <v>674</v>
      </c>
      <c r="BE195" s="234" t="s">
        <v>36</v>
      </c>
      <c r="BF195" s="234">
        <v>-9999</v>
      </c>
      <c r="BG195" s="234">
        <v>-9999</v>
      </c>
      <c r="BH195" s="234">
        <v>-9999</v>
      </c>
      <c r="BI195" s="234" t="s">
        <v>492</v>
      </c>
      <c r="BJ195" s="234">
        <v>-9999</v>
      </c>
      <c r="BK195" s="234">
        <v>-9999</v>
      </c>
      <c r="BL195" s="234">
        <v>-9999</v>
      </c>
      <c r="BM195" s="234">
        <v>-9999</v>
      </c>
      <c r="BN195" s="234">
        <v>-9999</v>
      </c>
      <c r="BO195" s="234">
        <v>-9999</v>
      </c>
      <c r="BP195" s="234">
        <v>-9999</v>
      </c>
      <c r="BQ195" s="234">
        <v>-9999</v>
      </c>
      <c r="BR195" s="234">
        <v>-9999</v>
      </c>
      <c r="BS195" s="491">
        <v>-9999</v>
      </c>
      <c r="BT195" s="234">
        <v>-9999</v>
      </c>
      <c r="BU195" s="234">
        <v>-9999</v>
      </c>
      <c r="BV195" s="234">
        <v>-9999</v>
      </c>
      <c r="BW195" s="234"/>
      <c r="BX195" s="234">
        <v>-9999</v>
      </c>
      <c r="BY195" s="234">
        <v>-9999</v>
      </c>
      <c r="BZ195" s="496">
        <v>-9999</v>
      </c>
      <c r="CA195" s="496">
        <v>-9999</v>
      </c>
      <c r="CB195" s="499"/>
      <c r="CC195" s="57">
        <v>9</v>
      </c>
      <c r="CD195" s="57">
        <v>1</v>
      </c>
      <c r="CE195" s="292">
        <v>8.9433333333333351</v>
      </c>
      <c r="CF195" s="292">
        <v>10.84</v>
      </c>
      <c r="CG195" s="72">
        <v>9</v>
      </c>
    </row>
    <row r="196" spans="1:93" s="23" customFormat="1" x14ac:dyDescent="0.2">
      <c r="A196" s="234" t="s">
        <v>679</v>
      </c>
      <c r="B196" s="234" t="s">
        <v>618</v>
      </c>
      <c r="C196" s="234" t="s">
        <v>484</v>
      </c>
      <c r="D196" s="234" t="s">
        <v>633</v>
      </c>
      <c r="E196" s="493" t="s">
        <v>1516</v>
      </c>
      <c r="F196" s="234">
        <v>10</v>
      </c>
      <c r="G196" s="234">
        <v>1</v>
      </c>
      <c r="H196" s="491">
        <v>10</v>
      </c>
      <c r="I196" s="234" t="s">
        <v>621</v>
      </c>
      <c r="J196" s="234">
        <v>1987</v>
      </c>
      <c r="K196" s="234" t="s">
        <v>962</v>
      </c>
      <c r="L196" s="234">
        <v>1996</v>
      </c>
      <c r="M196" s="389">
        <v>9.2200000000000006</v>
      </c>
      <c r="N196" s="389">
        <v>-9999</v>
      </c>
      <c r="O196" s="29"/>
      <c r="P196" s="237">
        <f t="shared" si="7"/>
        <v>89.710000000000008</v>
      </c>
      <c r="Q196" s="234">
        <v>-9999</v>
      </c>
      <c r="R196" s="389"/>
      <c r="S196" s="234"/>
      <c r="T196" s="237">
        <f t="shared" si="6"/>
        <v>8.9710000000000001</v>
      </c>
      <c r="U196" s="234">
        <v>-9999</v>
      </c>
      <c r="V196" s="234"/>
      <c r="W196" s="389">
        <v>9.2200000000000006</v>
      </c>
      <c r="X196" s="234">
        <v>-9999</v>
      </c>
      <c r="Y196" s="234"/>
      <c r="Z196" s="234" t="s">
        <v>622</v>
      </c>
      <c r="AA196" s="515">
        <v>111111</v>
      </c>
      <c r="AB196" s="412">
        <v>0.76</v>
      </c>
      <c r="AC196" s="234">
        <v>8.6400000000000005E-2</v>
      </c>
      <c r="AD196" s="234">
        <v>36</v>
      </c>
      <c r="AE196" s="390" t="s">
        <v>1974</v>
      </c>
      <c r="AF196" s="234">
        <v>3</v>
      </c>
      <c r="AG196" s="234">
        <v>2</v>
      </c>
      <c r="AH196" s="234" t="s">
        <v>623</v>
      </c>
      <c r="AI196" s="234" t="s">
        <v>624</v>
      </c>
      <c r="AJ196" s="234">
        <v>-9999</v>
      </c>
      <c r="AK196" s="234" t="s">
        <v>626</v>
      </c>
      <c r="AL196" s="234" t="s">
        <v>653</v>
      </c>
      <c r="AM196" s="234">
        <v>-9999</v>
      </c>
      <c r="AN196" s="234" t="s">
        <v>491</v>
      </c>
      <c r="AO196" s="234" t="s">
        <v>627</v>
      </c>
      <c r="AP196" s="234" t="s">
        <v>489</v>
      </c>
      <c r="AQ196" s="234" t="s">
        <v>631</v>
      </c>
      <c r="AR196" s="234">
        <v>0</v>
      </c>
      <c r="AS196" s="234">
        <v>-9999</v>
      </c>
      <c r="AT196" s="234">
        <v>-9999</v>
      </c>
      <c r="AU196" s="234">
        <v>0</v>
      </c>
      <c r="AV196" s="234">
        <v>-9999</v>
      </c>
      <c r="AW196" s="234">
        <v>-9999</v>
      </c>
      <c r="AX196" s="234">
        <v>0</v>
      </c>
      <c r="AY196" s="234">
        <v>-9999</v>
      </c>
      <c r="AZ196" s="234">
        <v>-9999</v>
      </c>
      <c r="BA196" s="234">
        <v>-9999</v>
      </c>
      <c r="BB196" s="234" t="s">
        <v>626</v>
      </c>
      <c r="BC196" s="516" t="s">
        <v>37</v>
      </c>
      <c r="BD196" s="234" t="s">
        <v>674</v>
      </c>
      <c r="BE196" s="234" t="s">
        <v>36</v>
      </c>
      <c r="BF196" s="234">
        <v>-9999</v>
      </c>
      <c r="BG196" s="234">
        <v>-9999</v>
      </c>
      <c r="BH196" s="234">
        <v>-9999</v>
      </c>
      <c r="BI196" s="234" t="s">
        <v>492</v>
      </c>
      <c r="BJ196" s="234">
        <v>-9999</v>
      </c>
      <c r="BK196" s="234">
        <v>-9999</v>
      </c>
      <c r="BL196" s="234">
        <v>-9999</v>
      </c>
      <c r="BM196" s="234">
        <v>-9999</v>
      </c>
      <c r="BN196" s="234">
        <v>-9999</v>
      </c>
      <c r="BO196" s="234">
        <v>-9999</v>
      </c>
      <c r="BP196" s="234">
        <v>-9999</v>
      </c>
      <c r="BQ196" s="234">
        <v>-9999</v>
      </c>
      <c r="BR196" s="234">
        <v>-9999</v>
      </c>
      <c r="BS196" s="491">
        <v>-9999</v>
      </c>
      <c r="BT196" s="234">
        <v>-9999</v>
      </c>
      <c r="BU196" s="234">
        <v>-9999</v>
      </c>
      <c r="BV196" s="234">
        <v>-9999</v>
      </c>
      <c r="BW196" s="234"/>
      <c r="BX196" s="234">
        <v>-9999</v>
      </c>
      <c r="BY196" s="234">
        <v>-9999</v>
      </c>
      <c r="BZ196" s="496">
        <v>-9999</v>
      </c>
      <c r="CA196" s="496">
        <v>-9999</v>
      </c>
      <c r="CB196" s="499"/>
      <c r="CC196" s="57">
        <v>10</v>
      </c>
      <c r="CD196" s="57">
        <v>1</v>
      </c>
      <c r="CE196" s="401">
        <v>8.9710000000000001</v>
      </c>
      <c r="CF196" s="292">
        <v>9.2200000000000006</v>
      </c>
      <c r="CG196" s="72">
        <v>10</v>
      </c>
      <c r="CH196" s="479"/>
    </row>
    <row r="197" spans="1:93" s="23" customFormat="1" x14ac:dyDescent="0.2">
      <c r="A197" s="234"/>
      <c r="B197" s="234"/>
      <c r="C197" s="234"/>
      <c r="D197" s="234"/>
      <c r="E197" s="493"/>
      <c r="F197" s="234"/>
      <c r="G197" s="234"/>
      <c r="H197" s="491"/>
      <c r="I197" s="234"/>
      <c r="J197" s="234"/>
      <c r="K197" s="234"/>
      <c r="L197" s="234"/>
      <c r="M197" s="389"/>
      <c r="N197" s="389"/>
      <c r="O197" s="29"/>
      <c r="P197" s="237"/>
      <c r="Q197" s="234"/>
      <c r="R197" s="389"/>
      <c r="S197" s="234"/>
      <c r="T197" s="237"/>
      <c r="U197" s="234"/>
      <c r="V197" s="234"/>
      <c r="W197" s="389"/>
      <c r="X197" s="234"/>
      <c r="Y197" s="234"/>
      <c r="Z197" s="234"/>
      <c r="AA197" s="515"/>
      <c r="AB197" s="389"/>
      <c r="AC197" s="234"/>
      <c r="AD197" s="234"/>
      <c r="AE197" s="234"/>
      <c r="AF197" s="234"/>
      <c r="AG197" s="234"/>
      <c r="AH197" s="234"/>
      <c r="AI197" s="234"/>
      <c r="AJ197" s="234"/>
      <c r="AK197" s="234"/>
      <c r="AL197" s="234"/>
      <c r="AM197" s="234"/>
      <c r="AN197" s="234"/>
      <c r="AO197" s="234"/>
      <c r="AP197" s="234"/>
      <c r="AQ197" s="234"/>
      <c r="AR197" s="234"/>
      <c r="AS197" s="234"/>
      <c r="AT197" s="234"/>
      <c r="AU197" s="234"/>
      <c r="AV197" s="234"/>
      <c r="AW197" s="234"/>
      <c r="AX197" s="234"/>
      <c r="AY197" s="234"/>
      <c r="AZ197" s="234"/>
      <c r="BA197" s="234"/>
      <c r="BB197" s="234"/>
      <c r="BC197" s="516"/>
      <c r="BD197" s="234"/>
      <c r="BE197" s="234"/>
      <c r="BF197" s="234"/>
      <c r="BG197" s="234"/>
      <c r="BH197" s="234"/>
      <c r="BI197" s="234"/>
      <c r="BJ197" s="234"/>
      <c r="BK197" s="234"/>
      <c r="BL197" s="234"/>
      <c r="BM197" s="234"/>
      <c r="BN197" s="234"/>
      <c r="BO197" s="234"/>
      <c r="BP197" s="234"/>
      <c r="BQ197" s="234"/>
      <c r="BR197" s="234"/>
      <c r="BS197" s="491"/>
      <c r="BT197" s="234"/>
      <c r="BU197" s="234"/>
      <c r="BV197" s="234"/>
      <c r="BW197" s="234"/>
      <c r="BX197" s="234"/>
      <c r="BY197" s="234"/>
      <c r="BZ197" s="496"/>
      <c r="CA197" s="496"/>
      <c r="CB197" s="499"/>
      <c r="CC197" s="57"/>
      <c r="CD197" s="57"/>
      <c r="CE197" s="342" t="s">
        <v>1576</v>
      </c>
      <c r="CF197" s="342" t="s">
        <v>1575</v>
      </c>
      <c r="CG197" s="72"/>
    </row>
    <row r="198" spans="1:93" s="23" customFormat="1" x14ac:dyDescent="0.2">
      <c r="A198" s="234" t="s">
        <v>679</v>
      </c>
      <c r="B198" s="234" t="s">
        <v>618</v>
      </c>
      <c r="C198" s="234" t="s">
        <v>485</v>
      </c>
      <c r="D198" s="234" t="s">
        <v>633</v>
      </c>
      <c r="E198" s="493" t="s">
        <v>1517</v>
      </c>
      <c r="F198" s="234">
        <v>1</v>
      </c>
      <c r="G198" s="234">
        <v>1</v>
      </c>
      <c r="H198" s="491">
        <v>1</v>
      </c>
      <c r="I198" s="234" t="s">
        <v>621</v>
      </c>
      <c r="J198" s="234">
        <v>1987</v>
      </c>
      <c r="K198" s="234" t="s">
        <v>961</v>
      </c>
      <c r="L198" s="234">
        <v>1987</v>
      </c>
      <c r="M198" s="389">
        <v>0.64</v>
      </c>
      <c r="N198" s="389">
        <v>-9999</v>
      </c>
      <c r="O198" s="29"/>
      <c r="P198" s="237">
        <f>+M198</f>
        <v>0.64</v>
      </c>
      <c r="Q198" s="234">
        <v>-9999</v>
      </c>
      <c r="R198" s="389"/>
      <c r="S198" s="234"/>
      <c r="T198" s="237">
        <f t="shared" ref="T198:T207" si="8">+P198/H198</f>
        <v>0.64</v>
      </c>
      <c r="U198" s="234">
        <v>-9999</v>
      </c>
      <c r="V198" s="234"/>
      <c r="W198" s="389">
        <v>0.64</v>
      </c>
      <c r="X198" s="234">
        <v>-9999</v>
      </c>
      <c r="Y198" s="234"/>
      <c r="Z198" s="234" t="s">
        <v>622</v>
      </c>
      <c r="AA198" s="515">
        <v>111111</v>
      </c>
      <c r="AB198" s="389">
        <v>1</v>
      </c>
      <c r="AC198" s="234">
        <v>8.6400000000000005E-2</v>
      </c>
      <c r="AD198" s="234">
        <v>36</v>
      </c>
      <c r="AE198" s="390" t="s">
        <v>1974</v>
      </c>
      <c r="AF198" s="234">
        <v>3</v>
      </c>
      <c r="AG198" s="234">
        <v>2</v>
      </c>
      <c r="AH198" s="234" t="s">
        <v>623</v>
      </c>
      <c r="AI198" s="234" t="s">
        <v>624</v>
      </c>
      <c r="AJ198" s="234">
        <v>-9999</v>
      </c>
      <c r="AK198" s="234" t="s">
        <v>626</v>
      </c>
      <c r="AL198" s="234" t="s">
        <v>653</v>
      </c>
      <c r="AM198" s="234">
        <v>-9999</v>
      </c>
      <c r="AN198" s="234" t="s">
        <v>491</v>
      </c>
      <c r="AO198" s="234" t="s">
        <v>627</v>
      </c>
      <c r="AP198" s="234" t="s">
        <v>489</v>
      </c>
      <c r="AQ198" s="234" t="s">
        <v>626</v>
      </c>
      <c r="AR198" s="234">
        <v>336</v>
      </c>
      <c r="AS198" s="234" t="s">
        <v>1101</v>
      </c>
      <c r="AT198" s="234" t="s">
        <v>747</v>
      </c>
      <c r="AU198" s="234">
        <v>112</v>
      </c>
      <c r="AV198" s="234" t="s">
        <v>218</v>
      </c>
      <c r="AW198" s="234" t="s">
        <v>748</v>
      </c>
      <c r="AX198" s="234">
        <v>224</v>
      </c>
      <c r="AY198" s="234" t="s">
        <v>219</v>
      </c>
      <c r="AZ198" s="234" t="s">
        <v>748</v>
      </c>
      <c r="BA198" s="234">
        <v>-9999</v>
      </c>
      <c r="BB198" s="234" t="s">
        <v>626</v>
      </c>
      <c r="BC198" s="516" t="s">
        <v>37</v>
      </c>
      <c r="BD198" s="234" t="s">
        <v>674</v>
      </c>
      <c r="BE198" s="234" t="s">
        <v>36</v>
      </c>
      <c r="BF198" s="234">
        <v>-9999</v>
      </c>
      <c r="BG198" s="234">
        <v>-9999</v>
      </c>
      <c r="BH198" s="234">
        <v>-9999</v>
      </c>
      <c r="BI198" s="234" t="s">
        <v>492</v>
      </c>
      <c r="BJ198" s="234">
        <v>-9999</v>
      </c>
      <c r="BK198" s="234">
        <v>-9999</v>
      </c>
      <c r="BL198" s="234">
        <v>-9999</v>
      </c>
      <c r="BM198" s="234">
        <v>-9999</v>
      </c>
      <c r="BN198" s="234">
        <v>-9999</v>
      </c>
      <c r="BO198" s="234">
        <v>-9999</v>
      </c>
      <c r="BP198" s="234">
        <v>-9999</v>
      </c>
      <c r="BQ198" s="234">
        <v>-9999</v>
      </c>
      <c r="BR198" s="234">
        <v>-9999</v>
      </c>
      <c r="BS198" s="491">
        <v>-9999</v>
      </c>
      <c r="BT198" s="234">
        <v>-9999</v>
      </c>
      <c r="BU198" s="234">
        <v>-9999</v>
      </c>
      <c r="BV198" s="234">
        <v>-9999</v>
      </c>
      <c r="BW198" s="234"/>
      <c r="BX198" s="234">
        <v>-9999</v>
      </c>
      <c r="BY198" s="234">
        <v>-9999</v>
      </c>
      <c r="BZ198" s="496">
        <v>-9999</v>
      </c>
      <c r="CA198" s="496">
        <v>-9999</v>
      </c>
      <c r="CB198" s="499"/>
      <c r="CC198" s="57">
        <v>1</v>
      </c>
      <c r="CD198" s="57">
        <v>1</v>
      </c>
      <c r="CE198" s="292">
        <v>0.64</v>
      </c>
      <c r="CF198" s="292">
        <v>0.64</v>
      </c>
      <c r="CG198" s="72">
        <v>1</v>
      </c>
      <c r="CO198" s="345" t="s">
        <v>1580</v>
      </c>
    </row>
    <row r="199" spans="1:93" s="23" customFormat="1" x14ac:dyDescent="0.2">
      <c r="A199" s="234" t="s">
        <v>679</v>
      </c>
      <c r="B199" s="234" t="s">
        <v>618</v>
      </c>
      <c r="C199" s="234" t="s">
        <v>485</v>
      </c>
      <c r="D199" s="234" t="s">
        <v>633</v>
      </c>
      <c r="E199" s="493" t="s">
        <v>1517</v>
      </c>
      <c r="F199" s="234">
        <v>2</v>
      </c>
      <c r="G199" s="234">
        <v>1</v>
      </c>
      <c r="H199" s="491">
        <v>2</v>
      </c>
      <c r="I199" s="234" t="s">
        <v>621</v>
      </c>
      <c r="J199" s="234">
        <v>1987</v>
      </c>
      <c r="K199" s="234" t="s">
        <v>962</v>
      </c>
      <c r="L199" s="234">
        <v>1988</v>
      </c>
      <c r="M199" s="389">
        <v>3.78</v>
      </c>
      <c r="N199" s="389">
        <v>-9999</v>
      </c>
      <c r="O199" s="29"/>
      <c r="P199" s="237">
        <f t="shared" ref="P199:P207" si="9">+P198+M199</f>
        <v>4.42</v>
      </c>
      <c r="Q199" s="234">
        <v>-9999</v>
      </c>
      <c r="R199" s="389"/>
      <c r="S199" s="234"/>
      <c r="T199" s="237">
        <f t="shared" si="8"/>
        <v>2.21</v>
      </c>
      <c r="U199" s="234">
        <v>-9999</v>
      </c>
      <c r="V199" s="234"/>
      <c r="W199" s="389">
        <v>3.78</v>
      </c>
      <c r="X199" s="234">
        <v>-9999</v>
      </c>
      <c r="Y199" s="234"/>
      <c r="Z199" s="234" t="s">
        <v>622</v>
      </c>
      <c r="AA199" s="515">
        <v>111111</v>
      </c>
      <c r="AB199" s="389">
        <v>0.92</v>
      </c>
      <c r="AC199" s="234">
        <v>8.6400000000000005E-2</v>
      </c>
      <c r="AD199" s="234">
        <v>36</v>
      </c>
      <c r="AE199" s="390" t="s">
        <v>1974</v>
      </c>
      <c r="AF199" s="234">
        <v>3</v>
      </c>
      <c r="AG199" s="234">
        <v>2</v>
      </c>
      <c r="AH199" s="234" t="s">
        <v>623</v>
      </c>
      <c r="AI199" s="234" t="s">
        <v>624</v>
      </c>
      <c r="AJ199" s="234">
        <v>-9999</v>
      </c>
      <c r="AK199" s="234" t="s">
        <v>626</v>
      </c>
      <c r="AL199" s="234" t="s">
        <v>653</v>
      </c>
      <c r="AM199" s="234">
        <v>-9999</v>
      </c>
      <c r="AN199" s="234" t="s">
        <v>491</v>
      </c>
      <c r="AO199" s="234" t="s">
        <v>627</v>
      </c>
      <c r="AP199" s="234" t="s">
        <v>489</v>
      </c>
      <c r="AQ199" s="234" t="s">
        <v>626</v>
      </c>
      <c r="AR199" s="234">
        <v>336</v>
      </c>
      <c r="AS199" s="234" t="s">
        <v>1101</v>
      </c>
      <c r="AT199" s="234" t="s">
        <v>747</v>
      </c>
      <c r="AU199" s="234">
        <v>112</v>
      </c>
      <c r="AV199" s="234" t="s">
        <v>218</v>
      </c>
      <c r="AW199" s="234" t="s">
        <v>748</v>
      </c>
      <c r="AX199" s="234">
        <v>224</v>
      </c>
      <c r="AY199" s="234" t="s">
        <v>219</v>
      </c>
      <c r="AZ199" s="234" t="s">
        <v>748</v>
      </c>
      <c r="BA199" s="234">
        <v>-9999</v>
      </c>
      <c r="BB199" s="234" t="s">
        <v>626</v>
      </c>
      <c r="BC199" s="516" t="s">
        <v>37</v>
      </c>
      <c r="BD199" s="234" t="s">
        <v>674</v>
      </c>
      <c r="BE199" s="234" t="s">
        <v>36</v>
      </c>
      <c r="BF199" s="234">
        <v>-9999</v>
      </c>
      <c r="BG199" s="234">
        <v>-9999</v>
      </c>
      <c r="BH199" s="234">
        <v>-9999</v>
      </c>
      <c r="BI199" s="234" t="s">
        <v>492</v>
      </c>
      <c r="BJ199" s="234">
        <v>-9999</v>
      </c>
      <c r="BK199" s="234">
        <v>-9999</v>
      </c>
      <c r="BL199" s="234">
        <v>-9999</v>
      </c>
      <c r="BM199" s="234">
        <v>-9999</v>
      </c>
      <c r="BN199" s="234">
        <v>-9999</v>
      </c>
      <c r="BO199" s="234">
        <v>-9999</v>
      </c>
      <c r="BP199" s="234">
        <v>-9999</v>
      </c>
      <c r="BQ199" s="234">
        <v>-9999</v>
      </c>
      <c r="BR199" s="234">
        <v>-9999</v>
      </c>
      <c r="BS199" s="491">
        <v>-9999</v>
      </c>
      <c r="BT199" s="234">
        <v>-9999</v>
      </c>
      <c r="BU199" s="234">
        <v>-9999</v>
      </c>
      <c r="BV199" s="234">
        <v>-9999</v>
      </c>
      <c r="BW199" s="234"/>
      <c r="BX199" s="234">
        <v>-9999</v>
      </c>
      <c r="BY199" s="234">
        <v>-9999</v>
      </c>
      <c r="BZ199" s="496">
        <v>-9999</v>
      </c>
      <c r="CA199" s="496">
        <v>-9999</v>
      </c>
      <c r="CB199" s="499"/>
      <c r="CC199" s="57">
        <v>2</v>
      </c>
      <c r="CD199" s="57">
        <v>1</v>
      </c>
      <c r="CE199" s="292">
        <v>2.21</v>
      </c>
      <c r="CF199" s="292">
        <v>3.78</v>
      </c>
      <c r="CG199" s="72">
        <v>2</v>
      </c>
      <c r="CO199" s="345" t="s">
        <v>1581</v>
      </c>
    </row>
    <row r="200" spans="1:93" s="23" customFormat="1" x14ac:dyDescent="0.2">
      <c r="A200" s="234" t="s">
        <v>679</v>
      </c>
      <c r="B200" s="234" t="s">
        <v>618</v>
      </c>
      <c r="C200" s="234" t="s">
        <v>485</v>
      </c>
      <c r="D200" s="234" t="s">
        <v>633</v>
      </c>
      <c r="E200" s="493" t="s">
        <v>1517</v>
      </c>
      <c r="F200" s="234">
        <v>3</v>
      </c>
      <c r="G200" s="234">
        <v>1</v>
      </c>
      <c r="H200" s="491">
        <v>3</v>
      </c>
      <c r="I200" s="234" t="s">
        <v>621</v>
      </c>
      <c r="J200" s="234">
        <v>1987</v>
      </c>
      <c r="K200" s="234" t="s">
        <v>962</v>
      </c>
      <c r="L200" s="234">
        <v>1989</v>
      </c>
      <c r="M200" s="389">
        <v>12.4</v>
      </c>
      <c r="N200" s="389">
        <v>-9999</v>
      </c>
      <c r="O200" s="29"/>
      <c r="P200" s="237">
        <f t="shared" si="9"/>
        <v>16.82</v>
      </c>
      <c r="Q200" s="234">
        <v>-9999</v>
      </c>
      <c r="R200" s="389"/>
      <c r="S200" s="234"/>
      <c r="T200" s="237">
        <f t="shared" si="8"/>
        <v>5.6066666666666665</v>
      </c>
      <c r="U200" s="234">
        <v>-9999</v>
      </c>
      <c r="V200" s="234"/>
      <c r="W200" s="389">
        <v>12.4</v>
      </c>
      <c r="X200" s="234">
        <v>-9999</v>
      </c>
      <c r="Y200" s="234"/>
      <c r="Z200" s="234" t="s">
        <v>622</v>
      </c>
      <c r="AA200" s="515">
        <v>111111</v>
      </c>
      <c r="AB200" s="389">
        <v>0.81</v>
      </c>
      <c r="AC200" s="234">
        <v>8.6400000000000005E-2</v>
      </c>
      <c r="AD200" s="234">
        <v>36</v>
      </c>
      <c r="AE200" s="390" t="s">
        <v>1974</v>
      </c>
      <c r="AF200" s="234">
        <v>3</v>
      </c>
      <c r="AG200" s="234">
        <v>2</v>
      </c>
      <c r="AH200" s="234" t="s">
        <v>623</v>
      </c>
      <c r="AI200" s="234" t="s">
        <v>624</v>
      </c>
      <c r="AJ200" s="234">
        <v>-9999</v>
      </c>
      <c r="AK200" s="234" t="s">
        <v>626</v>
      </c>
      <c r="AL200" s="234" t="s">
        <v>653</v>
      </c>
      <c r="AM200" s="234">
        <v>-9999</v>
      </c>
      <c r="AN200" s="234" t="s">
        <v>491</v>
      </c>
      <c r="AO200" s="234" t="s">
        <v>627</v>
      </c>
      <c r="AP200" s="234" t="s">
        <v>489</v>
      </c>
      <c r="AQ200" s="234" t="s">
        <v>626</v>
      </c>
      <c r="AR200" s="234">
        <v>336</v>
      </c>
      <c r="AS200" s="234" t="s">
        <v>1101</v>
      </c>
      <c r="AT200" s="234" t="s">
        <v>747</v>
      </c>
      <c r="AU200" s="234">
        <v>112</v>
      </c>
      <c r="AV200" s="234" t="s">
        <v>218</v>
      </c>
      <c r="AW200" s="234" t="s">
        <v>748</v>
      </c>
      <c r="AX200" s="234">
        <v>224</v>
      </c>
      <c r="AY200" s="234" t="s">
        <v>219</v>
      </c>
      <c r="AZ200" s="234" t="s">
        <v>748</v>
      </c>
      <c r="BA200" s="234">
        <v>-9999</v>
      </c>
      <c r="BB200" s="234" t="s">
        <v>626</v>
      </c>
      <c r="BC200" s="516" t="s">
        <v>37</v>
      </c>
      <c r="BD200" s="234" t="s">
        <v>674</v>
      </c>
      <c r="BE200" s="234" t="s">
        <v>36</v>
      </c>
      <c r="BF200" s="234">
        <v>-9999</v>
      </c>
      <c r="BG200" s="234">
        <v>-9999</v>
      </c>
      <c r="BH200" s="234">
        <v>-9999</v>
      </c>
      <c r="BI200" s="234" t="s">
        <v>492</v>
      </c>
      <c r="BJ200" s="234">
        <v>-9999</v>
      </c>
      <c r="BK200" s="234">
        <v>-9999</v>
      </c>
      <c r="BL200" s="234">
        <v>-9999</v>
      </c>
      <c r="BM200" s="234">
        <v>-9999</v>
      </c>
      <c r="BN200" s="234">
        <v>-9999</v>
      </c>
      <c r="BO200" s="234">
        <v>-9999</v>
      </c>
      <c r="BP200" s="234">
        <v>-9999</v>
      </c>
      <c r="BQ200" s="234">
        <v>-9999</v>
      </c>
      <c r="BR200" s="234">
        <v>-9999</v>
      </c>
      <c r="BS200" s="491">
        <v>-9999</v>
      </c>
      <c r="BT200" s="234">
        <v>-9999</v>
      </c>
      <c r="BU200" s="234">
        <v>-9999</v>
      </c>
      <c r="BV200" s="234">
        <v>-9999</v>
      </c>
      <c r="BW200" s="234"/>
      <c r="BX200" s="234">
        <v>-9999</v>
      </c>
      <c r="BY200" s="234">
        <v>-9999</v>
      </c>
      <c r="BZ200" s="496">
        <v>-9999</v>
      </c>
      <c r="CA200" s="496">
        <v>-9999</v>
      </c>
      <c r="CB200" s="499"/>
      <c r="CC200" s="57">
        <v>3</v>
      </c>
      <c r="CD200" s="57">
        <v>1</v>
      </c>
      <c r="CE200" s="292">
        <v>5.6066666666666665</v>
      </c>
      <c r="CF200" s="292">
        <v>12.4</v>
      </c>
      <c r="CG200" s="72">
        <v>3</v>
      </c>
    </row>
    <row r="201" spans="1:93" s="23" customFormat="1" x14ac:dyDescent="0.2">
      <c r="A201" s="234" t="s">
        <v>679</v>
      </c>
      <c r="B201" s="234" t="s">
        <v>618</v>
      </c>
      <c r="C201" s="234" t="s">
        <v>485</v>
      </c>
      <c r="D201" s="234" t="s">
        <v>633</v>
      </c>
      <c r="E201" s="493" t="s">
        <v>1517</v>
      </c>
      <c r="F201" s="234">
        <v>4</v>
      </c>
      <c r="G201" s="234">
        <v>1</v>
      </c>
      <c r="H201" s="491">
        <v>4</v>
      </c>
      <c r="I201" s="234" t="s">
        <v>621</v>
      </c>
      <c r="J201" s="234">
        <v>1987</v>
      </c>
      <c r="K201" s="234" t="s">
        <v>962</v>
      </c>
      <c r="L201" s="234">
        <v>1990</v>
      </c>
      <c r="M201" s="389">
        <v>13.4</v>
      </c>
      <c r="N201" s="389">
        <v>-9999</v>
      </c>
      <c r="O201" s="29"/>
      <c r="P201" s="237">
        <f t="shared" si="9"/>
        <v>30.22</v>
      </c>
      <c r="Q201" s="234">
        <v>-9999</v>
      </c>
      <c r="R201" s="389"/>
      <c r="S201" s="234"/>
      <c r="T201" s="237">
        <f t="shared" si="8"/>
        <v>7.5549999999999997</v>
      </c>
      <c r="U201" s="234">
        <v>-9999</v>
      </c>
      <c r="V201" s="234"/>
      <c r="W201" s="389">
        <v>13.4</v>
      </c>
      <c r="X201" s="234">
        <v>-9999</v>
      </c>
      <c r="Y201" s="234"/>
      <c r="Z201" s="234" t="s">
        <v>622</v>
      </c>
      <c r="AA201" s="515">
        <v>111111</v>
      </c>
      <c r="AB201" s="389">
        <v>0.7</v>
      </c>
      <c r="AC201" s="234">
        <v>8.6400000000000005E-2</v>
      </c>
      <c r="AD201" s="234">
        <v>36</v>
      </c>
      <c r="AE201" s="390" t="s">
        <v>1974</v>
      </c>
      <c r="AF201" s="234">
        <v>3</v>
      </c>
      <c r="AG201" s="234">
        <v>2</v>
      </c>
      <c r="AH201" s="234" t="s">
        <v>623</v>
      </c>
      <c r="AI201" s="234" t="s">
        <v>624</v>
      </c>
      <c r="AJ201" s="234">
        <v>-9999</v>
      </c>
      <c r="AK201" s="234" t="s">
        <v>626</v>
      </c>
      <c r="AL201" s="234" t="s">
        <v>653</v>
      </c>
      <c r="AM201" s="234">
        <v>-9999</v>
      </c>
      <c r="AN201" s="234" t="s">
        <v>491</v>
      </c>
      <c r="AO201" s="234" t="s">
        <v>627</v>
      </c>
      <c r="AP201" s="234" t="s">
        <v>489</v>
      </c>
      <c r="AQ201" s="234" t="s">
        <v>626</v>
      </c>
      <c r="AR201" s="234">
        <v>336</v>
      </c>
      <c r="AS201" s="234" t="s">
        <v>1101</v>
      </c>
      <c r="AT201" s="234" t="s">
        <v>747</v>
      </c>
      <c r="AU201" s="234">
        <v>112</v>
      </c>
      <c r="AV201" s="234" t="s">
        <v>218</v>
      </c>
      <c r="AW201" s="234" t="s">
        <v>748</v>
      </c>
      <c r="AX201" s="234">
        <v>224</v>
      </c>
      <c r="AY201" s="234" t="s">
        <v>219</v>
      </c>
      <c r="AZ201" s="234" t="s">
        <v>748</v>
      </c>
      <c r="BA201" s="234">
        <v>-9999</v>
      </c>
      <c r="BB201" s="234" t="s">
        <v>626</v>
      </c>
      <c r="BC201" s="516" t="s">
        <v>37</v>
      </c>
      <c r="BD201" s="234" t="s">
        <v>674</v>
      </c>
      <c r="BE201" s="234" t="s">
        <v>36</v>
      </c>
      <c r="BF201" s="234">
        <v>-9999</v>
      </c>
      <c r="BG201" s="234">
        <v>-9999</v>
      </c>
      <c r="BH201" s="234">
        <v>-9999</v>
      </c>
      <c r="BI201" s="234" t="s">
        <v>492</v>
      </c>
      <c r="BJ201" s="234">
        <v>-9999</v>
      </c>
      <c r="BK201" s="234">
        <v>-9999</v>
      </c>
      <c r="BL201" s="234">
        <v>-9999</v>
      </c>
      <c r="BM201" s="234">
        <v>-9999</v>
      </c>
      <c r="BN201" s="234">
        <v>-9999</v>
      </c>
      <c r="BO201" s="234">
        <v>-9999</v>
      </c>
      <c r="BP201" s="234">
        <v>-9999</v>
      </c>
      <c r="BQ201" s="234">
        <v>-9999</v>
      </c>
      <c r="BR201" s="234">
        <v>-9999</v>
      </c>
      <c r="BS201" s="491">
        <v>-9999</v>
      </c>
      <c r="BT201" s="234">
        <v>-9999</v>
      </c>
      <c r="BU201" s="234">
        <v>-9999</v>
      </c>
      <c r="BV201" s="234">
        <v>-9999</v>
      </c>
      <c r="BW201" s="234"/>
      <c r="BX201" s="234">
        <v>-9999</v>
      </c>
      <c r="BY201" s="234">
        <v>-9999</v>
      </c>
      <c r="BZ201" s="496">
        <v>-9999</v>
      </c>
      <c r="CA201" s="496">
        <v>-9999</v>
      </c>
      <c r="CB201" s="499"/>
      <c r="CC201" s="57">
        <v>4</v>
      </c>
      <c r="CD201" s="57">
        <v>1</v>
      </c>
      <c r="CE201" s="292">
        <v>7.5549999999999997</v>
      </c>
      <c r="CF201" s="292">
        <v>13.4</v>
      </c>
      <c r="CG201" s="72">
        <v>4</v>
      </c>
    </row>
    <row r="202" spans="1:93" s="23" customFormat="1" x14ac:dyDescent="0.2">
      <c r="A202" s="234" t="s">
        <v>679</v>
      </c>
      <c r="B202" s="234" t="s">
        <v>618</v>
      </c>
      <c r="C202" s="234" t="s">
        <v>485</v>
      </c>
      <c r="D202" s="234" t="s">
        <v>633</v>
      </c>
      <c r="E202" s="493" t="s">
        <v>1517</v>
      </c>
      <c r="F202" s="234">
        <v>5</v>
      </c>
      <c r="G202" s="234">
        <v>1</v>
      </c>
      <c r="H202" s="491">
        <v>5</v>
      </c>
      <c r="I202" s="234" t="s">
        <v>621</v>
      </c>
      <c r="J202" s="234">
        <v>1987</v>
      </c>
      <c r="K202" s="234" t="s">
        <v>962</v>
      </c>
      <c r="L202" s="234">
        <v>1991</v>
      </c>
      <c r="M202" s="389">
        <v>13.2</v>
      </c>
      <c r="N202" s="389">
        <v>-9999</v>
      </c>
      <c r="O202" s="29"/>
      <c r="P202" s="237">
        <f t="shared" si="9"/>
        <v>43.42</v>
      </c>
      <c r="Q202" s="234">
        <v>-9999</v>
      </c>
      <c r="R202" s="389"/>
      <c r="S202" s="234"/>
      <c r="T202" s="237">
        <f t="shared" si="8"/>
        <v>8.6840000000000011</v>
      </c>
      <c r="U202" s="234">
        <v>-9999</v>
      </c>
      <c r="V202" s="234"/>
      <c r="W202" s="389">
        <v>13.2</v>
      </c>
      <c r="X202" s="234">
        <v>-9999</v>
      </c>
      <c r="Y202" s="234"/>
      <c r="Z202" s="234" t="s">
        <v>622</v>
      </c>
      <c r="AA202" s="515">
        <v>111111</v>
      </c>
      <c r="AB202" s="389">
        <v>0.6</v>
      </c>
      <c r="AC202" s="234">
        <v>8.6400000000000005E-2</v>
      </c>
      <c r="AD202" s="234">
        <v>36</v>
      </c>
      <c r="AE202" s="390" t="s">
        <v>1974</v>
      </c>
      <c r="AF202" s="234">
        <v>3</v>
      </c>
      <c r="AG202" s="234">
        <v>2</v>
      </c>
      <c r="AH202" s="234" t="s">
        <v>623</v>
      </c>
      <c r="AI202" s="234" t="s">
        <v>624</v>
      </c>
      <c r="AJ202" s="234">
        <v>-9999</v>
      </c>
      <c r="AK202" s="234" t="s">
        <v>626</v>
      </c>
      <c r="AL202" s="234" t="s">
        <v>653</v>
      </c>
      <c r="AM202" s="234">
        <v>-9999</v>
      </c>
      <c r="AN202" s="234" t="s">
        <v>491</v>
      </c>
      <c r="AO202" s="234" t="s">
        <v>627</v>
      </c>
      <c r="AP202" s="234" t="s">
        <v>489</v>
      </c>
      <c r="AQ202" s="234" t="s">
        <v>626</v>
      </c>
      <c r="AR202" s="234">
        <v>336</v>
      </c>
      <c r="AS202" s="234" t="s">
        <v>1101</v>
      </c>
      <c r="AT202" s="234" t="s">
        <v>747</v>
      </c>
      <c r="AU202" s="234">
        <v>112</v>
      </c>
      <c r="AV202" s="234" t="s">
        <v>218</v>
      </c>
      <c r="AW202" s="234" t="s">
        <v>748</v>
      </c>
      <c r="AX202" s="234">
        <v>224</v>
      </c>
      <c r="AY202" s="234" t="s">
        <v>219</v>
      </c>
      <c r="AZ202" s="234" t="s">
        <v>748</v>
      </c>
      <c r="BA202" s="234">
        <v>-9999</v>
      </c>
      <c r="BB202" s="234" t="s">
        <v>626</v>
      </c>
      <c r="BC202" s="516" t="s">
        <v>37</v>
      </c>
      <c r="BD202" s="234" t="s">
        <v>674</v>
      </c>
      <c r="BE202" s="234" t="s">
        <v>36</v>
      </c>
      <c r="BF202" s="234">
        <v>-9999</v>
      </c>
      <c r="BG202" s="234">
        <v>-9999</v>
      </c>
      <c r="BH202" s="234">
        <v>-9999</v>
      </c>
      <c r="BI202" s="234" t="s">
        <v>492</v>
      </c>
      <c r="BJ202" s="234">
        <v>-9999</v>
      </c>
      <c r="BK202" s="234">
        <v>-9999</v>
      </c>
      <c r="BL202" s="234">
        <v>-9999</v>
      </c>
      <c r="BM202" s="234">
        <v>-9999</v>
      </c>
      <c r="BN202" s="234">
        <v>-9999</v>
      </c>
      <c r="BO202" s="234">
        <v>-9999</v>
      </c>
      <c r="BP202" s="234">
        <v>-9999</v>
      </c>
      <c r="BQ202" s="234">
        <v>-9999</v>
      </c>
      <c r="BR202" s="234">
        <v>-9999</v>
      </c>
      <c r="BS202" s="491">
        <v>-9999</v>
      </c>
      <c r="BT202" s="234">
        <v>-9999</v>
      </c>
      <c r="BU202" s="234">
        <v>-9999</v>
      </c>
      <c r="BV202" s="234">
        <v>-9999</v>
      </c>
      <c r="BW202" s="234"/>
      <c r="BX202" s="234">
        <v>-9999</v>
      </c>
      <c r="BY202" s="234">
        <v>-9999</v>
      </c>
      <c r="BZ202" s="496">
        <v>-9999</v>
      </c>
      <c r="CA202" s="496">
        <v>-9999</v>
      </c>
      <c r="CB202" s="499"/>
      <c r="CC202" s="57">
        <v>5</v>
      </c>
      <c r="CD202" s="57">
        <v>1</v>
      </c>
      <c r="CE202" s="292">
        <v>8.6840000000000011</v>
      </c>
      <c r="CF202" s="292">
        <v>13.2</v>
      </c>
      <c r="CG202" s="72">
        <v>5</v>
      </c>
    </row>
    <row r="203" spans="1:93" s="23" customFormat="1" x14ac:dyDescent="0.2">
      <c r="A203" s="234" t="s">
        <v>679</v>
      </c>
      <c r="B203" s="234" t="s">
        <v>618</v>
      </c>
      <c r="C203" s="234" t="s">
        <v>485</v>
      </c>
      <c r="D203" s="234" t="s">
        <v>633</v>
      </c>
      <c r="E203" s="493" t="s">
        <v>1517</v>
      </c>
      <c r="F203" s="234">
        <v>6</v>
      </c>
      <c r="G203" s="234">
        <v>1</v>
      </c>
      <c r="H203" s="491">
        <v>6</v>
      </c>
      <c r="I203" s="234" t="s">
        <v>621</v>
      </c>
      <c r="J203" s="234">
        <v>1987</v>
      </c>
      <c r="K203" s="234" t="s">
        <v>962</v>
      </c>
      <c r="L203" s="234">
        <v>1992</v>
      </c>
      <c r="M203" s="389">
        <v>8.3800000000000008</v>
      </c>
      <c r="N203" s="389">
        <v>-9999</v>
      </c>
      <c r="O203" s="29"/>
      <c r="P203" s="237">
        <f t="shared" si="9"/>
        <v>51.800000000000004</v>
      </c>
      <c r="Q203" s="234">
        <v>-9999</v>
      </c>
      <c r="R203" s="389"/>
      <c r="S203" s="234"/>
      <c r="T203" s="237">
        <f t="shared" si="8"/>
        <v>8.6333333333333346</v>
      </c>
      <c r="U203" s="234">
        <v>-9999</v>
      </c>
      <c r="V203" s="234"/>
      <c r="W203" s="389">
        <v>8.3800000000000008</v>
      </c>
      <c r="X203" s="234">
        <v>-9999</v>
      </c>
      <c r="Y203" s="234"/>
      <c r="Z203" s="234" t="s">
        <v>622</v>
      </c>
      <c r="AA203" s="515">
        <v>111111</v>
      </c>
      <c r="AB203" s="389">
        <v>0.56000000000000005</v>
      </c>
      <c r="AC203" s="234">
        <v>8.6400000000000005E-2</v>
      </c>
      <c r="AD203" s="234">
        <v>36</v>
      </c>
      <c r="AE203" s="390" t="s">
        <v>1974</v>
      </c>
      <c r="AF203" s="234">
        <v>3</v>
      </c>
      <c r="AG203" s="234">
        <v>2</v>
      </c>
      <c r="AH203" s="234" t="s">
        <v>623</v>
      </c>
      <c r="AI203" s="234" t="s">
        <v>624</v>
      </c>
      <c r="AJ203" s="234">
        <v>-9999</v>
      </c>
      <c r="AK203" s="234" t="s">
        <v>626</v>
      </c>
      <c r="AL203" s="234" t="s">
        <v>653</v>
      </c>
      <c r="AM203" s="234">
        <v>-9999</v>
      </c>
      <c r="AN203" s="234" t="s">
        <v>491</v>
      </c>
      <c r="AO203" s="234" t="s">
        <v>627</v>
      </c>
      <c r="AP203" s="234" t="s">
        <v>489</v>
      </c>
      <c r="AQ203" s="234" t="s">
        <v>626</v>
      </c>
      <c r="AR203" s="234">
        <v>336</v>
      </c>
      <c r="AS203" s="234" t="s">
        <v>1101</v>
      </c>
      <c r="AT203" s="234" t="s">
        <v>747</v>
      </c>
      <c r="AU203" s="234">
        <v>112</v>
      </c>
      <c r="AV203" s="234" t="s">
        <v>218</v>
      </c>
      <c r="AW203" s="234" t="s">
        <v>748</v>
      </c>
      <c r="AX203" s="234">
        <v>224</v>
      </c>
      <c r="AY203" s="234" t="s">
        <v>219</v>
      </c>
      <c r="AZ203" s="234" t="s">
        <v>748</v>
      </c>
      <c r="BA203" s="234">
        <v>-9999</v>
      </c>
      <c r="BB203" s="234" t="s">
        <v>626</v>
      </c>
      <c r="BC203" s="516" t="s">
        <v>37</v>
      </c>
      <c r="BD203" s="234" t="s">
        <v>674</v>
      </c>
      <c r="BE203" s="234" t="s">
        <v>36</v>
      </c>
      <c r="BF203" s="234">
        <v>-9999</v>
      </c>
      <c r="BG203" s="234">
        <v>-9999</v>
      </c>
      <c r="BH203" s="234">
        <v>-9999</v>
      </c>
      <c r="BI203" s="234" t="s">
        <v>492</v>
      </c>
      <c r="BJ203" s="234">
        <v>-9999</v>
      </c>
      <c r="BK203" s="234">
        <v>-9999</v>
      </c>
      <c r="BL203" s="234">
        <v>-9999</v>
      </c>
      <c r="BM203" s="234">
        <v>-9999</v>
      </c>
      <c r="BN203" s="234">
        <v>-9999</v>
      </c>
      <c r="BO203" s="234">
        <v>-9999</v>
      </c>
      <c r="BP203" s="234">
        <v>-9999</v>
      </c>
      <c r="BQ203" s="234">
        <v>-9999</v>
      </c>
      <c r="BR203" s="234">
        <v>-9999</v>
      </c>
      <c r="BS203" s="491">
        <v>-9999</v>
      </c>
      <c r="BT203" s="234">
        <v>-9999</v>
      </c>
      <c r="BU203" s="234">
        <v>-9999</v>
      </c>
      <c r="BV203" s="234">
        <v>-9999</v>
      </c>
      <c r="BW203" s="234"/>
      <c r="BX203" s="234">
        <v>-9999</v>
      </c>
      <c r="BY203" s="234">
        <v>-9999</v>
      </c>
      <c r="BZ203" s="496">
        <v>-9999</v>
      </c>
      <c r="CA203" s="496">
        <v>-9999</v>
      </c>
      <c r="CB203" s="499"/>
      <c r="CC203" s="57">
        <v>6</v>
      </c>
      <c r="CD203" s="57">
        <v>1</v>
      </c>
      <c r="CE203" s="292">
        <v>8.6333333333333346</v>
      </c>
      <c r="CF203" s="292">
        <v>8.3800000000000008</v>
      </c>
      <c r="CG203" s="72">
        <v>6</v>
      </c>
    </row>
    <row r="204" spans="1:93" s="23" customFormat="1" x14ac:dyDescent="0.2">
      <c r="A204" s="234" t="s">
        <v>679</v>
      </c>
      <c r="B204" s="234" t="s">
        <v>618</v>
      </c>
      <c r="C204" s="234" t="s">
        <v>485</v>
      </c>
      <c r="D204" s="234" t="s">
        <v>633</v>
      </c>
      <c r="E204" s="493" t="s">
        <v>1517</v>
      </c>
      <c r="F204" s="234">
        <v>7</v>
      </c>
      <c r="G204" s="234">
        <v>1</v>
      </c>
      <c r="H204" s="491">
        <v>7</v>
      </c>
      <c r="I204" s="234" t="s">
        <v>621</v>
      </c>
      <c r="J204" s="234">
        <v>1987</v>
      </c>
      <c r="K204" s="234" t="s">
        <v>962</v>
      </c>
      <c r="L204" s="234">
        <v>1993</v>
      </c>
      <c r="M204" s="389">
        <v>10.3</v>
      </c>
      <c r="N204" s="389">
        <v>-9999</v>
      </c>
      <c r="O204" s="29"/>
      <c r="P204" s="237">
        <f t="shared" si="9"/>
        <v>62.100000000000009</v>
      </c>
      <c r="Q204" s="234">
        <v>-9999</v>
      </c>
      <c r="R204" s="389"/>
      <c r="S204" s="234"/>
      <c r="T204" s="237">
        <f t="shared" si="8"/>
        <v>8.8714285714285719</v>
      </c>
      <c r="U204" s="234">
        <v>-9999</v>
      </c>
      <c r="V204" s="234"/>
      <c r="W204" s="389">
        <v>10.3</v>
      </c>
      <c r="X204" s="234">
        <v>-9999</v>
      </c>
      <c r="Y204" s="234"/>
      <c r="Z204" s="234" t="s">
        <v>622</v>
      </c>
      <c r="AA204" s="515">
        <v>111111</v>
      </c>
      <c r="AB204" s="389">
        <v>0.46</v>
      </c>
      <c r="AC204" s="234">
        <v>8.6400000000000005E-2</v>
      </c>
      <c r="AD204" s="234">
        <v>36</v>
      </c>
      <c r="AE204" s="390" t="s">
        <v>1974</v>
      </c>
      <c r="AF204" s="234">
        <v>3</v>
      </c>
      <c r="AG204" s="234">
        <v>2</v>
      </c>
      <c r="AH204" s="234" t="s">
        <v>623</v>
      </c>
      <c r="AI204" s="234" t="s">
        <v>624</v>
      </c>
      <c r="AJ204" s="234">
        <v>-9999</v>
      </c>
      <c r="AK204" s="234" t="s">
        <v>626</v>
      </c>
      <c r="AL204" s="234" t="s">
        <v>653</v>
      </c>
      <c r="AM204" s="234">
        <v>-9999</v>
      </c>
      <c r="AN204" s="234" t="s">
        <v>491</v>
      </c>
      <c r="AO204" s="234" t="s">
        <v>627</v>
      </c>
      <c r="AP204" s="234" t="s">
        <v>489</v>
      </c>
      <c r="AQ204" s="234" t="s">
        <v>626</v>
      </c>
      <c r="AR204" s="234">
        <v>336</v>
      </c>
      <c r="AS204" s="234" t="s">
        <v>1101</v>
      </c>
      <c r="AT204" s="234" t="s">
        <v>747</v>
      </c>
      <c r="AU204" s="234">
        <v>112</v>
      </c>
      <c r="AV204" s="234" t="s">
        <v>218</v>
      </c>
      <c r="AW204" s="234" t="s">
        <v>748</v>
      </c>
      <c r="AX204" s="234">
        <v>224</v>
      </c>
      <c r="AY204" s="234" t="s">
        <v>219</v>
      </c>
      <c r="AZ204" s="234" t="s">
        <v>748</v>
      </c>
      <c r="BA204" s="234">
        <v>-9999</v>
      </c>
      <c r="BB204" s="234" t="s">
        <v>626</v>
      </c>
      <c r="BC204" s="516" t="s">
        <v>37</v>
      </c>
      <c r="BD204" s="234" t="s">
        <v>674</v>
      </c>
      <c r="BE204" s="234" t="s">
        <v>36</v>
      </c>
      <c r="BF204" s="234">
        <v>-9999</v>
      </c>
      <c r="BG204" s="234">
        <v>-9999</v>
      </c>
      <c r="BH204" s="234">
        <v>-9999</v>
      </c>
      <c r="BI204" s="234" t="s">
        <v>492</v>
      </c>
      <c r="BJ204" s="234">
        <v>-9999</v>
      </c>
      <c r="BK204" s="234">
        <v>-9999</v>
      </c>
      <c r="BL204" s="234">
        <v>-9999</v>
      </c>
      <c r="BM204" s="234">
        <v>-9999</v>
      </c>
      <c r="BN204" s="234">
        <v>-9999</v>
      </c>
      <c r="BO204" s="234">
        <v>-9999</v>
      </c>
      <c r="BP204" s="234">
        <v>-9999</v>
      </c>
      <c r="BQ204" s="234">
        <v>-9999</v>
      </c>
      <c r="BR204" s="234">
        <v>-9999</v>
      </c>
      <c r="BS204" s="491">
        <v>-9999</v>
      </c>
      <c r="BT204" s="234">
        <v>-9999</v>
      </c>
      <c r="BU204" s="234">
        <v>-9999</v>
      </c>
      <c r="BV204" s="234">
        <v>-9999</v>
      </c>
      <c r="BW204" s="234"/>
      <c r="BX204" s="234">
        <v>-9999</v>
      </c>
      <c r="BY204" s="234">
        <v>-9999</v>
      </c>
      <c r="BZ204" s="496">
        <v>-9999</v>
      </c>
      <c r="CA204" s="496">
        <v>-9999</v>
      </c>
      <c r="CB204" s="499"/>
      <c r="CC204" s="57">
        <v>7</v>
      </c>
      <c r="CD204" s="57">
        <v>1</v>
      </c>
      <c r="CE204" s="292">
        <v>8.8714285714285719</v>
      </c>
      <c r="CF204" s="292">
        <v>10.3</v>
      </c>
      <c r="CG204" s="72">
        <v>7</v>
      </c>
    </row>
    <row r="205" spans="1:93" s="23" customFormat="1" x14ac:dyDescent="0.2">
      <c r="A205" s="234" t="s">
        <v>679</v>
      </c>
      <c r="B205" s="234" t="s">
        <v>618</v>
      </c>
      <c r="C205" s="234" t="s">
        <v>485</v>
      </c>
      <c r="D205" s="234" t="s">
        <v>633</v>
      </c>
      <c r="E205" s="493" t="s">
        <v>1517</v>
      </c>
      <c r="F205" s="234">
        <v>8</v>
      </c>
      <c r="G205" s="234">
        <v>1</v>
      </c>
      <c r="H205" s="491">
        <v>8</v>
      </c>
      <c r="I205" s="234" t="s">
        <v>621</v>
      </c>
      <c r="J205" s="234">
        <v>1987</v>
      </c>
      <c r="K205" s="234" t="s">
        <v>962</v>
      </c>
      <c r="L205" s="234">
        <v>1994</v>
      </c>
      <c r="M205" s="389">
        <v>9.35</v>
      </c>
      <c r="N205" s="389">
        <v>-9999</v>
      </c>
      <c r="O205" s="29"/>
      <c r="P205" s="237">
        <f t="shared" si="9"/>
        <v>71.45</v>
      </c>
      <c r="Q205" s="234">
        <v>-9999</v>
      </c>
      <c r="R205" s="389"/>
      <c r="S205" s="234"/>
      <c r="T205" s="237">
        <f t="shared" si="8"/>
        <v>8.9312500000000004</v>
      </c>
      <c r="U205" s="234">
        <v>-9999</v>
      </c>
      <c r="V205" s="234"/>
      <c r="W205" s="389">
        <v>9.35</v>
      </c>
      <c r="X205" s="234">
        <v>-9999</v>
      </c>
      <c r="Y205" s="234"/>
      <c r="Z205" s="234" t="s">
        <v>622</v>
      </c>
      <c r="AA205" s="515">
        <v>111111</v>
      </c>
      <c r="AB205" s="389">
        <v>0.38</v>
      </c>
      <c r="AC205" s="234">
        <v>8.6400000000000005E-2</v>
      </c>
      <c r="AD205" s="234">
        <v>36</v>
      </c>
      <c r="AE205" s="390" t="s">
        <v>1974</v>
      </c>
      <c r="AF205" s="234">
        <v>3</v>
      </c>
      <c r="AG205" s="234">
        <v>2</v>
      </c>
      <c r="AH205" s="234" t="s">
        <v>623</v>
      </c>
      <c r="AI205" s="234" t="s">
        <v>624</v>
      </c>
      <c r="AJ205" s="234">
        <v>-9999</v>
      </c>
      <c r="AK205" s="234" t="s">
        <v>626</v>
      </c>
      <c r="AL205" s="234" t="s">
        <v>653</v>
      </c>
      <c r="AM205" s="234">
        <v>-9999</v>
      </c>
      <c r="AN205" s="234" t="s">
        <v>491</v>
      </c>
      <c r="AO205" s="234" t="s">
        <v>627</v>
      </c>
      <c r="AP205" s="234" t="s">
        <v>489</v>
      </c>
      <c r="AQ205" s="234" t="s">
        <v>626</v>
      </c>
      <c r="AR205" s="234">
        <v>336</v>
      </c>
      <c r="AS205" s="234" t="s">
        <v>1101</v>
      </c>
      <c r="AT205" s="234" t="s">
        <v>747</v>
      </c>
      <c r="AU205" s="234">
        <v>112</v>
      </c>
      <c r="AV205" s="234" t="s">
        <v>218</v>
      </c>
      <c r="AW205" s="234" t="s">
        <v>748</v>
      </c>
      <c r="AX205" s="234">
        <v>224</v>
      </c>
      <c r="AY205" s="234" t="s">
        <v>219</v>
      </c>
      <c r="AZ205" s="234" t="s">
        <v>748</v>
      </c>
      <c r="BA205" s="234">
        <v>-9999</v>
      </c>
      <c r="BB205" s="234" t="s">
        <v>626</v>
      </c>
      <c r="BC205" s="516" t="s">
        <v>37</v>
      </c>
      <c r="BD205" s="234" t="s">
        <v>674</v>
      </c>
      <c r="BE205" s="234" t="s">
        <v>36</v>
      </c>
      <c r="BF205" s="234">
        <v>-9999</v>
      </c>
      <c r="BG205" s="234">
        <v>-9999</v>
      </c>
      <c r="BH205" s="234">
        <v>-9999</v>
      </c>
      <c r="BI205" s="234" t="s">
        <v>492</v>
      </c>
      <c r="BJ205" s="234">
        <v>-9999</v>
      </c>
      <c r="BK205" s="234">
        <v>-9999</v>
      </c>
      <c r="BL205" s="234">
        <v>-9999</v>
      </c>
      <c r="BM205" s="234">
        <v>-9999</v>
      </c>
      <c r="BN205" s="234">
        <v>-9999</v>
      </c>
      <c r="BO205" s="234">
        <v>-9999</v>
      </c>
      <c r="BP205" s="234">
        <v>-9999</v>
      </c>
      <c r="BQ205" s="234">
        <v>-9999</v>
      </c>
      <c r="BR205" s="234">
        <v>-9999</v>
      </c>
      <c r="BS205" s="491">
        <v>-9999</v>
      </c>
      <c r="BT205" s="234">
        <v>-9999</v>
      </c>
      <c r="BU205" s="234">
        <v>-9999</v>
      </c>
      <c r="BV205" s="234">
        <v>-9999</v>
      </c>
      <c r="BW205" s="234"/>
      <c r="BX205" s="234">
        <v>-9999</v>
      </c>
      <c r="BY205" s="234">
        <v>-9999</v>
      </c>
      <c r="BZ205" s="496">
        <v>-9999</v>
      </c>
      <c r="CA205" s="496">
        <v>-9999</v>
      </c>
      <c r="CB205" s="499"/>
      <c r="CC205" s="57">
        <v>8</v>
      </c>
      <c r="CD205" s="57">
        <v>1</v>
      </c>
      <c r="CE205" s="394">
        <v>8.9312500000000004</v>
      </c>
      <c r="CF205" s="292">
        <v>9.35</v>
      </c>
      <c r="CG205" s="72">
        <v>8</v>
      </c>
      <c r="CH205" s="477"/>
    </row>
    <row r="206" spans="1:93" s="23" customFormat="1" x14ac:dyDescent="0.2">
      <c r="A206" s="234" t="s">
        <v>679</v>
      </c>
      <c r="B206" s="234" t="s">
        <v>618</v>
      </c>
      <c r="C206" s="234" t="s">
        <v>485</v>
      </c>
      <c r="D206" s="234" t="s">
        <v>633</v>
      </c>
      <c r="E206" s="493" t="s">
        <v>1517</v>
      </c>
      <c r="F206" s="234">
        <v>9</v>
      </c>
      <c r="G206" s="234">
        <v>1</v>
      </c>
      <c r="H206" s="491">
        <v>9</v>
      </c>
      <c r="I206" s="234" t="s">
        <v>621</v>
      </c>
      <c r="J206" s="234">
        <v>1987</v>
      </c>
      <c r="K206" s="234" t="s">
        <v>962</v>
      </c>
      <c r="L206" s="234">
        <v>1995</v>
      </c>
      <c r="M206" s="389">
        <v>7.02</v>
      </c>
      <c r="N206" s="389">
        <v>-9999</v>
      </c>
      <c r="O206" s="29"/>
      <c r="P206" s="237">
        <f t="shared" si="9"/>
        <v>78.47</v>
      </c>
      <c r="Q206" s="234">
        <v>-9999</v>
      </c>
      <c r="R206" s="389"/>
      <c r="S206" s="234"/>
      <c r="T206" s="237">
        <f t="shared" si="8"/>
        <v>8.7188888888888894</v>
      </c>
      <c r="U206" s="234">
        <v>-9999</v>
      </c>
      <c r="V206" s="234"/>
      <c r="W206" s="389">
        <v>7.02</v>
      </c>
      <c r="X206" s="234">
        <v>-9999</v>
      </c>
      <c r="Y206" s="234"/>
      <c r="Z206" s="234" t="s">
        <v>622</v>
      </c>
      <c r="AA206" s="515">
        <v>111111</v>
      </c>
      <c r="AB206" s="412">
        <v>0.38</v>
      </c>
      <c r="AC206" s="234">
        <v>8.6400000000000005E-2</v>
      </c>
      <c r="AD206" s="234">
        <v>36</v>
      </c>
      <c r="AE206" s="390" t="s">
        <v>1974</v>
      </c>
      <c r="AF206" s="234">
        <v>3</v>
      </c>
      <c r="AG206" s="234">
        <v>2</v>
      </c>
      <c r="AH206" s="234" t="s">
        <v>623</v>
      </c>
      <c r="AI206" s="234" t="s">
        <v>624</v>
      </c>
      <c r="AJ206" s="234">
        <v>-9999</v>
      </c>
      <c r="AK206" s="234" t="s">
        <v>626</v>
      </c>
      <c r="AL206" s="234" t="s">
        <v>653</v>
      </c>
      <c r="AM206" s="234">
        <v>-9999</v>
      </c>
      <c r="AN206" s="234" t="s">
        <v>491</v>
      </c>
      <c r="AO206" s="234" t="s">
        <v>627</v>
      </c>
      <c r="AP206" s="234" t="s">
        <v>489</v>
      </c>
      <c r="AQ206" s="234" t="s">
        <v>626</v>
      </c>
      <c r="AR206" s="234">
        <v>336</v>
      </c>
      <c r="AS206" s="234" t="s">
        <v>1101</v>
      </c>
      <c r="AT206" s="234" t="s">
        <v>747</v>
      </c>
      <c r="AU206" s="234">
        <v>112</v>
      </c>
      <c r="AV206" s="234" t="s">
        <v>218</v>
      </c>
      <c r="AW206" s="234" t="s">
        <v>748</v>
      </c>
      <c r="AX206" s="234">
        <v>224</v>
      </c>
      <c r="AY206" s="234" t="s">
        <v>219</v>
      </c>
      <c r="AZ206" s="234" t="s">
        <v>748</v>
      </c>
      <c r="BA206" s="234">
        <v>-9999</v>
      </c>
      <c r="BB206" s="234" t="s">
        <v>626</v>
      </c>
      <c r="BC206" s="516" t="s">
        <v>37</v>
      </c>
      <c r="BD206" s="234" t="s">
        <v>674</v>
      </c>
      <c r="BE206" s="234" t="s">
        <v>36</v>
      </c>
      <c r="BF206" s="234">
        <v>-9999</v>
      </c>
      <c r="BG206" s="234">
        <v>-9999</v>
      </c>
      <c r="BH206" s="234">
        <v>-9999</v>
      </c>
      <c r="BI206" s="234" t="s">
        <v>492</v>
      </c>
      <c r="BJ206" s="234">
        <v>-9999</v>
      </c>
      <c r="BK206" s="234">
        <v>-9999</v>
      </c>
      <c r="BL206" s="234">
        <v>-9999</v>
      </c>
      <c r="BM206" s="234">
        <v>-9999</v>
      </c>
      <c r="BN206" s="234">
        <v>-9999</v>
      </c>
      <c r="BO206" s="234">
        <v>-9999</v>
      </c>
      <c r="BP206" s="234">
        <v>-9999</v>
      </c>
      <c r="BQ206" s="234">
        <v>-9999</v>
      </c>
      <c r="BR206" s="234">
        <v>-9999</v>
      </c>
      <c r="BS206" s="491">
        <v>-9999</v>
      </c>
      <c r="BT206" s="234">
        <v>-9999</v>
      </c>
      <c r="BU206" s="234">
        <v>-9999</v>
      </c>
      <c r="BV206" s="234">
        <v>-9999</v>
      </c>
      <c r="BW206" s="234"/>
      <c r="BX206" s="234">
        <v>-9999</v>
      </c>
      <c r="BY206" s="234">
        <v>-9999</v>
      </c>
      <c r="BZ206" s="496">
        <v>-9999</v>
      </c>
      <c r="CA206" s="496">
        <v>-9999</v>
      </c>
      <c r="CB206" s="499"/>
      <c r="CC206" s="57">
        <v>9</v>
      </c>
      <c r="CD206" s="57">
        <v>1</v>
      </c>
      <c r="CE206" s="292">
        <v>8.7188888888888894</v>
      </c>
      <c r="CF206" s="292">
        <v>7.02</v>
      </c>
      <c r="CG206" s="72">
        <v>9</v>
      </c>
    </row>
    <row r="207" spans="1:93" s="23" customFormat="1" x14ac:dyDescent="0.2">
      <c r="A207" s="234" t="s">
        <v>679</v>
      </c>
      <c r="B207" s="234" t="s">
        <v>618</v>
      </c>
      <c r="C207" s="234" t="s">
        <v>485</v>
      </c>
      <c r="D207" s="234" t="s">
        <v>633</v>
      </c>
      <c r="E207" s="493" t="s">
        <v>1517</v>
      </c>
      <c r="F207" s="234">
        <v>10</v>
      </c>
      <c r="G207" s="234">
        <v>1</v>
      </c>
      <c r="H207" s="491">
        <v>10</v>
      </c>
      <c r="I207" s="234" t="s">
        <v>621</v>
      </c>
      <c r="J207" s="234">
        <v>1987</v>
      </c>
      <c r="K207" s="234" t="s">
        <v>962</v>
      </c>
      <c r="L207" s="234">
        <v>1996</v>
      </c>
      <c r="M207" s="389">
        <v>6.88</v>
      </c>
      <c r="N207" s="389">
        <v>-9999</v>
      </c>
      <c r="O207" s="29"/>
      <c r="P207" s="237">
        <f t="shared" si="9"/>
        <v>85.35</v>
      </c>
      <c r="Q207" s="234">
        <v>-9999</v>
      </c>
      <c r="R207" s="389"/>
      <c r="S207" s="234"/>
      <c r="T207" s="237">
        <f t="shared" si="8"/>
        <v>8.5350000000000001</v>
      </c>
      <c r="U207" s="234">
        <v>-9999</v>
      </c>
      <c r="V207" s="234"/>
      <c r="W207" s="389">
        <v>6.88</v>
      </c>
      <c r="X207" s="234">
        <v>-9999</v>
      </c>
      <c r="Y207" s="234"/>
      <c r="Z207" s="234" t="s">
        <v>622</v>
      </c>
      <c r="AA207" s="515">
        <v>111111</v>
      </c>
      <c r="AB207" s="412">
        <v>0.38</v>
      </c>
      <c r="AC207" s="234">
        <v>8.6400000000000005E-2</v>
      </c>
      <c r="AD207" s="234">
        <v>36</v>
      </c>
      <c r="AE207" s="390" t="s">
        <v>1974</v>
      </c>
      <c r="AF207" s="234">
        <v>3</v>
      </c>
      <c r="AG207" s="234">
        <v>2</v>
      </c>
      <c r="AH207" s="234" t="s">
        <v>623</v>
      </c>
      <c r="AI207" s="234" t="s">
        <v>624</v>
      </c>
      <c r="AJ207" s="234">
        <v>-9999</v>
      </c>
      <c r="AK207" s="234" t="s">
        <v>626</v>
      </c>
      <c r="AL207" s="234" t="s">
        <v>653</v>
      </c>
      <c r="AM207" s="234">
        <v>-9999</v>
      </c>
      <c r="AN207" s="234" t="s">
        <v>491</v>
      </c>
      <c r="AO207" s="234" t="s">
        <v>627</v>
      </c>
      <c r="AP207" s="234" t="s">
        <v>489</v>
      </c>
      <c r="AQ207" s="234" t="s">
        <v>626</v>
      </c>
      <c r="AR207" s="234">
        <v>336</v>
      </c>
      <c r="AS207" s="234" t="s">
        <v>1101</v>
      </c>
      <c r="AT207" s="234" t="s">
        <v>747</v>
      </c>
      <c r="AU207" s="234">
        <v>112</v>
      </c>
      <c r="AV207" s="234" t="s">
        <v>218</v>
      </c>
      <c r="AW207" s="234" t="s">
        <v>748</v>
      </c>
      <c r="AX207" s="234">
        <v>224</v>
      </c>
      <c r="AY207" s="234" t="s">
        <v>219</v>
      </c>
      <c r="AZ207" s="234" t="s">
        <v>748</v>
      </c>
      <c r="BA207" s="234">
        <v>-9999</v>
      </c>
      <c r="BB207" s="234" t="s">
        <v>626</v>
      </c>
      <c r="BC207" s="516" t="s">
        <v>37</v>
      </c>
      <c r="BD207" s="234" t="s">
        <v>674</v>
      </c>
      <c r="BE207" s="234" t="s">
        <v>36</v>
      </c>
      <c r="BF207" s="234">
        <v>-9999</v>
      </c>
      <c r="BG207" s="234">
        <v>-9999</v>
      </c>
      <c r="BH207" s="234">
        <v>-9999</v>
      </c>
      <c r="BI207" s="234" t="s">
        <v>492</v>
      </c>
      <c r="BJ207" s="234">
        <v>-9999</v>
      </c>
      <c r="BK207" s="234">
        <v>-9999</v>
      </c>
      <c r="BL207" s="234">
        <v>-9999</v>
      </c>
      <c r="BM207" s="234">
        <v>-9999</v>
      </c>
      <c r="BN207" s="234">
        <v>-9999</v>
      </c>
      <c r="BO207" s="234">
        <v>-9999</v>
      </c>
      <c r="BP207" s="234">
        <v>-9999</v>
      </c>
      <c r="BQ207" s="234">
        <v>-9999</v>
      </c>
      <c r="BR207" s="234">
        <v>-9999</v>
      </c>
      <c r="BS207" s="491">
        <v>-9999</v>
      </c>
      <c r="BT207" s="234">
        <v>-9999</v>
      </c>
      <c r="BU207" s="234">
        <v>-9999</v>
      </c>
      <c r="BV207" s="234">
        <v>-9999</v>
      </c>
      <c r="BW207" s="234"/>
      <c r="BX207" s="234">
        <v>-9999</v>
      </c>
      <c r="BY207" s="234">
        <v>-9999</v>
      </c>
      <c r="BZ207" s="496">
        <v>-9999</v>
      </c>
      <c r="CA207" s="496">
        <v>-9999</v>
      </c>
      <c r="CB207" s="499"/>
      <c r="CC207" s="57">
        <v>10</v>
      </c>
      <c r="CD207" s="57">
        <v>1</v>
      </c>
      <c r="CE207" s="292">
        <v>8.5350000000000001</v>
      </c>
      <c r="CF207" s="292">
        <v>6.88</v>
      </c>
      <c r="CG207" s="72">
        <v>10</v>
      </c>
    </row>
    <row r="208" spans="1:93" s="23" customFormat="1" x14ac:dyDescent="0.2">
      <c r="A208" s="234"/>
      <c r="B208" s="234"/>
      <c r="C208" s="234"/>
      <c r="D208" s="234"/>
      <c r="E208" s="493"/>
      <c r="F208" s="234"/>
      <c r="G208" s="234"/>
      <c r="H208" s="491"/>
      <c r="I208" s="234"/>
      <c r="J208" s="234"/>
      <c r="K208" s="234"/>
      <c r="L208" s="234"/>
      <c r="M208" s="389"/>
      <c r="N208" s="389"/>
      <c r="O208" s="29"/>
      <c r="P208" s="237"/>
      <c r="Q208" s="234"/>
      <c r="R208" s="389"/>
      <c r="S208" s="234"/>
      <c r="T208" s="237"/>
      <c r="U208" s="234"/>
      <c r="V208" s="234"/>
      <c r="W208" s="389"/>
      <c r="X208" s="234"/>
      <c r="Y208" s="234"/>
      <c r="Z208" s="234"/>
      <c r="AA208" s="515"/>
      <c r="AB208" s="389"/>
      <c r="AC208" s="234"/>
      <c r="AD208" s="234"/>
      <c r="AE208" s="234"/>
      <c r="AF208" s="234"/>
      <c r="AG208" s="234"/>
      <c r="AH208" s="234"/>
      <c r="AI208" s="234"/>
      <c r="AJ208" s="234"/>
      <c r="AK208" s="234"/>
      <c r="AL208" s="234"/>
      <c r="AM208" s="234"/>
      <c r="AN208" s="234"/>
      <c r="AO208" s="234"/>
      <c r="AP208" s="234"/>
      <c r="AQ208" s="234"/>
      <c r="AR208" s="234"/>
      <c r="AS208" s="234"/>
      <c r="AT208" s="234"/>
      <c r="AU208" s="234"/>
      <c r="AV208" s="234"/>
      <c r="AW208" s="234"/>
      <c r="AX208" s="234"/>
      <c r="AY208" s="234"/>
      <c r="AZ208" s="234"/>
      <c r="BA208" s="234"/>
      <c r="BB208" s="234"/>
      <c r="BC208" s="516"/>
      <c r="BD208" s="234"/>
      <c r="BE208" s="234"/>
      <c r="BF208" s="234"/>
      <c r="BG208" s="234"/>
      <c r="BH208" s="234"/>
      <c r="BI208" s="234"/>
      <c r="BJ208" s="234"/>
      <c r="BK208" s="234"/>
      <c r="BL208" s="234"/>
      <c r="BM208" s="234"/>
      <c r="BN208" s="234"/>
      <c r="BO208" s="234"/>
      <c r="BP208" s="234"/>
      <c r="BQ208" s="234"/>
      <c r="BR208" s="234"/>
      <c r="BS208" s="491"/>
      <c r="BT208" s="234"/>
      <c r="BU208" s="234"/>
      <c r="BV208" s="234"/>
      <c r="BW208" s="234"/>
      <c r="BX208" s="234"/>
      <c r="BY208" s="234"/>
      <c r="BZ208" s="496"/>
      <c r="CA208" s="496"/>
      <c r="CB208" s="499"/>
      <c r="CC208" s="57"/>
      <c r="CD208" s="57"/>
      <c r="CE208" s="342" t="s">
        <v>1576</v>
      </c>
      <c r="CF208" s="342" t="s">
        <v>1575</v>
      </c>
      <c r="CG208" s="72"/>
    </row>
    <row r="209" spans="1:93" s="23" customFormat="1" x14ac:dyDescent="0.2">
      <c r="A209" s="234" t="s">
        <v>679</v>
      </c>
      <c r="B209" s="234" t="s">
        <v>618</v>
      </c>
      <c r="C209" s="234" t="s">
        <v>486</v>
      </c>
      <c r="D209" s="234" t="s">
        <v>633</v>
      </c>
      <c r="E209" s="493" t="s">
        <v>1517</v>
      </c>
      <c r="F209" s="234">
        <v>1</v>
      </c>
      <c r="G209" s="234">
        <v>1</v>
      </c>
      <c r="H209" s="491">
        <v>1</v>
      </c>
      <c r="I209" s="234" t="s">
        <v>621</v>
      </c>
      <c r="J209" s="234">
        <v>1987</v>
      </c>
      <c r="K209" s="234" t="s">
        <v>961</v>
      </c>
      <c r="L209" s="234">
        <v>1987</v>
      </c>
      <c r="M209" s="389">
        <v>0.6</v>
      </c>
      <c r="N209" s="389">
        <v>-9999</v>
      </c>
      <c r="O209" s="29"/>
      <c r="P209" s="237">
        <f>+M209</f>
        <v>0.6</v>
      </c>
      <c r="Q209" s="234">
        <v>-9999</v>
      </c>
      <c r="R209" s="389"/>
      <c r="S209" s="234"/>
      <c r="T209" s="237">
        <f t="shared" ref="T209:T218" si="10">+P209/H209</f>
        <v>0.6</v>
      </c>
      <c r="U209" s="234">
        <v>-9999</v>
      </c>
      <c r="V209" s="234"/>
      <c r="W209" s="389">
        <v>0.6</v>
      </c>
      <c r="X209" s="234">
        <v>-9999</v>
      </c>
      <c r="Y209" s="234"/>
      <c r="Z209" s="234" t="s">
        <v>622</v>
      </c>
      <c r="AA209" s="515">
        <v>111111</v>
      </c>
      <c r="AB209" s="389">
        <v>1</v>
      </c>
      <c r="AC209" s="234">
        <v>8.6400000000000005E-2</v>
      </c>
      <c r="AD209" s="234">
        <v>36</v>
      </c>
      <c r="AE209" s="390" t="s">
        <v>1974</v>
      </c>
      <c r="AF209" s="234">
        <v>3</v>
      </c>
      <c r="AG209" s="234">
        <v>2</v>
      </c>
      <c r="AH209" s="234" t="s">
        <v>623</v>
      </c>
      <c r="AI209" s="234" t="s">
        <v>624</v>
      </c>
      <c r="AJ209" s="234">
        <v>-9999</v>
      </c>
      <c r="AK209" s="234" t="s">
        <v>626</v>
      </c>
      <c r="AL209" s="234" t="s">
        <v>653</v>
      </c>
      <c r="AM209" s="234">
        <v>-9999</v>
      </c>
      <c r="AN209" s="234" t="s">
        <v>491</v>
      </c>
      <c r="AO209" s="234" t="s">
        <v>627</v>
      </c>
      <c r="AP209" s="234" t="s">
        <v>489</v>
      </c>
      <c r="AQ209" s="234" t="s">
        <v>631</v>
      </c>
      <c r="AR209" s="234">
        <v>0</v>
      </c>
      <c r="AS209" s="234">
        <v>-9999</v>
      </c>
      <c r="AT209" s="234">
        <v>-9999</v>
      </c>
      <c r="AU209" s="234">
        <v>0</v>
      </c>
      <c r="AV209" s="234">
        <v>-9999</v>
      </c>
      <c r="AW209" s="234">
        <v>-9999</v>
      </c>
      <c r="AX209" s="234">
        <v>0</v>
      </c>
      <c r="AY209" s="234">
        <v>-9999</v>
      </c>
      <c r="AZ209" s="234">
        <v>-9999</v>
      </c>
      <c r="BA209" s="234">
        <v>-9999</v>
      </c>
      <c r="BB209" s="234" t="s">
        <v>626</v>
      </c>
      <c r="BC209" s="516" t="s">
        <v>37</v>
      </c>
      <c r="BD209" s="234" t="s">
        <v>674</v>
      </c>
      <c r="BE209" s="234" t="s">
        <v>36</v>
      </c>
      <c r="BF209" s="234">
        <v>-9999</v>
      </c>
      <c r="BG209" s="234">
        <v>-9999</v>
      </c>
      <c r="BH209" s="234">
        <v>-9999</v>
      </c>
      <c r="BI209" s="234" t="s">
        <v>492</v>
      </c>
      <c r="BJ209" s="234">
        <v>-9999</v>
      </c>
      <c r="BK209" s="234">
        <v>-9999</v>
      </c>
      <c r="BL209" s="234">
        <v>-9999</v>
      </c>
      <c r="BM209" s="234">
        <v>-9999</v>
      </c>
      <c r="BN209" s="234">
        <v>-9999</v>
      </c>
      <c r="BO209" s="234">
        <v>-9999</v>
      </c>
      <c r="BP209" s="234">
        <v>-9999</v>
      </c>
      <c r="BQ209" s="234">
        <v>-9999</v>
      </c>
      <c r="BR209" s="234">
        <v>-9999</v>
      </c>
      <c r="BS209" s="491">
        <v>-9999</v>
      </c>
      <c r="BT209" s="234">
        <v>-9999</v>
      </c>
      <c r="BU209" s="234">
        <v>-9999</v>
      </c>
      <c r="BV209" s="234">
        <v>-9999</v>
      </c>
      <c r="BW209" s="234"/>
      <c r="BX209" s="234">
        <v>-9999</v>
      </c>
      <c r="BY209" s="234">
        <v>-9999</v>
      </c>
      <c r="BZ209" s="496">
        <v>-9999</v>
      </c>
      <c r="CA209" s="496">
        <v>-9999</v>
      </c>
      <c r="CB209" s="499"/>
      <c r="CC209" s="57">
        <v>1</v>
      </c>
      <c r="CD209" s="57">
        <v>1</v>
      </c>
      <c r="CE209" s="292">
        <v>0.6</v>
      </c>
      <c r="CF209" s="292">
        <v>0.6</v>
      </c>
      <c r="CG209" s="72">
        <v>1</v>
      </c>
      <c r="CO209" s="345" t="s">
        <v>1580</v>
      </c>
    </row>
    <row r="210" spans="1:93" s="23" customFormat="1" x14ac:dyDescent="0.2">
      <c r="A210" s="234" t="s">
        <v>679</v>
      </c>
      <c r="B210" s="234" t="s">
        <v>618</v>
      </c>
      <c r="C210" s="234" t="s">
        <v>486</v>
      </c>
      <c r="D210" s="234" t="s">
        <v>633</v>
      </c>
      <c r="E210" s="493" t="s">
        <v>1517</v>
      </c>
      <c r="F210" s="234">
        <v>2</v>
      </c>
      <c r="G210" s="234">
        <v>1</v>
      </c>
      <c r="H210" s="491">
        <v>2</v>
      </c>
      <c r="I210" s="234" t="s">
        <v>621</v>
      </c>
      <c r="J210" s="234">
        <v>1987</v>
      </c>
      <c r="K210" s="234" t="s">
        <v>962</v>
      </c>
      <c r="L210" s="234">
        <v>1988</v>
      </c>
      <c r="M210" s="389">
        <v>2.85</v>
      </c>
      <c r="N210" s="389">
        <v>-9999</v>
      </c>
      <c r="O210" s="29"/>
      <c r="P210" s="237">
        <f t="shared" ref="P210:P218" si="11">+P209+M210</f>
        <v>3.45</v>
      </c>
      <c r="Q210" s="234">
        <v>-9999</v>
      </c>
      <c r="R210" s="389"/>
      <c r="S210" s="234"/>
      <c r="T210" s="237">
        <f t="shared" si="10"/>
        <v>1.7250000000000001</v>
      </c>
      <c r="U210" s="234">
        <v>-9999</v>
      </c>
      <c r="V210" s="234"/>
      <c r="W210" s="389">
        <v>2.85</v>
      </c>
      <c r="X210" s="234">
        <v>-9999</v>
      </c>
      <c r="Y210" s="234"/>
      <c r="Z210" s="234" t="s">
        <v>622</v>
      </c>
      <c r="AA210" s="515">
        <v>111111</v>
      </c>
      <c r="AB210" s="389">
        <v>0.98</v>
      </c>
      <c r="AC210" s="234">
        <v>8.6400000000000005E-2</v>
      </c>
      <c r="AD210" s="234">
        <v>36</v>
      </c>
      <c r="AE210" s="390" t="s">
        <v>1974</v>
      </c>
      <c r="AF210" s="234">
        <v>3</v>
      </c>
      <c r="AG210" s="234">
        <v>2</v>
      </c>
      <c r="AH210" s="234" t="s">
        <v>623</v>
      </c>
      <c r="AI210" s="234" t="s">
        <v>624</v>
      </c>
      <c r="AJ210" s="234">
        <v>-9999</v>
      </c>
      <c r="AK210" s="234" t="s">
        <v>626</v>
      </c>
      <c r="AL210" s="234" t="s">
        <v>653</v>
      </c>
      <c r="AM210" s="234">
        <v>-9999</v>
      </c>
      <c r="AN210" s="234" t="s">
        <v>491</v>
      </c>
      <c r="AO210" s="234" t="s">
        <v>627</v>
      </c>
      <c r="AP210" s="234" t="s">
        <v>489</v>
      </c>
      <c r="AQ210" s="234" t="s">
        <v>631</v>
      </c>
      <c r="AR210" s="234">
        <v>0</v>
      </c>
      <c r="AS210" s="234">
        <v>-9999</v>
      </c>
      <c r="AT210" s="234">
        <v>-9999</v>
      </c>
      <c r="AU210" s="234">
        <v>0</v>
      </c>
      <c r="AV210" s="234">
        <v>-9999</v>
      </c>
      <c r="AW210" s="234">
        <v>-9999</v>
      </c>
      <c r="AX210" s="234">
        <v>0</v>
      </c>
      <c r="AY210" s="234">
        <v>-9999</v>
      </c>
      <c r="AZ210" s="234">
        <v>-9999</v>
      </c>
      <c r="BA210" s="234">
        <v>-9999</v>
      </c>
      <c r="BB210" s="234" t="s">
        <v>626</v>
      </c>
      <c r="BC210" s="516" t="s">
        <v>37</v>
      </c>
      <c r="BD210" s="234" t="s">
        <v>674</v>
      </c>
      <c r="BE210" s="234" t="s">
        <v>36</v>
      </c>
      <c r="BF210" s="234">
        <v>-9999</v>
      </c>
      <c r="BG210" s="234">
        <v>-9999</v>
      </c>
      <c r="BH210" s="234">
        <v>-9999</v>
      </c>
      <c r="BI210" s="234" t="s">
        <v>492</v>
      </c>
      <c r="BJ210" s="234">
        <v>-9999</v>
      </c>
      <c r="BK210" s="234">
        <v>-9999</v>
      </c>
      <c r="BL210" s="234">
        <v>-9999</v>
      </c>
      <c r="BM210" s="234">
        <v>-9999</v>
      </c>
      <c r="BN210" s="234">
        <v>-9999</v>
      </c>
      <c r="BO210" s="234">
        <v>-9999</v>
      </c>
      <c r="BP210" s="234">
        <v>-9999</v>
      </c>
      <c r="BQ210" s="234">
        <v>-9999</v>
      </c>
      <c r="BR210" s="234">
        <v>-9999</v>
      </c>
      <c r="BS210" s="491">
        <v>-9999</v>
      </c>
      <c r="BT210" s="234">
        <v>-9999</v>
      </c>
      <c r="BU210" s="234">
        <v>-9999</v>
      </c>
      <c r="BV210" s="234">
        <v>-9999</v>
      </c>
      <c r="BW210" s="234"/>
      <c r="BX210" s="234">
        <v>-9999</v>
      </c>
      <c r="BY210" s="234">
        <v>-9999</v>
      </c>
      <c r="BZ210" s="496">
        <v>-9999</v>
      </c>
      <c r="CA210" s="496">
        <v>-9999</v>
      </c>
      <c r="CB210" s="499"/>
      <c r="CC210" s="57">
        <v>2</v>
      </c>
      <c r="CD210" s="57">
        <v>1</v>
      </c>
      <c r="CE210" s="292">
        <v>1.7250000000000001</v>
      </c>
      <c r="CF210" s="292">
        <v>2.85</v>
      </c>
      <c r="CG210" s="72">
        <v>2</v>
      </c>
      <c r="CO210" s="345" t="s">
        <v>1581</v>
      </c>
    </row>
    <row r="211" spans="1:93" s="23" customFormat="1" x14ac:dyDescent="0.2">
      <c r="A211" s="234" t="s">
        <v>679</v>
      </c>
      <c r="B211" s="234" t="s">
        <v>618</v>
      </c>
      <c r="C211" s="234" t="s">
        <v>486</v>
      </c>
      <c r="D211" s="234" t="s">
        <v>633</v>
      </c>
      <c r="E211" s="493" t="s">
        <v>1517</v>
      </c>
      <c r="F211" s="234">
        <v>3</v>
      </c>
      <c r="G211" s="234">
        <v>1</v>
      </c>
      <c r="H211" s="491">
        <v>3</v>
      </c>
      <c r="I211" s="234" t="s">
        <v>621</v>
      </c>
      <c r="J211" s="234">
        <v>1987</v>
      </c>
      <c r="K211" s="234" t="s">
        <v>962</v>
      </c>
      <c r="L211" s="234">
        <v>1989</v>
      </c>
      <c r="M211" s="389">
        <v>6.44</v>
      </c>
      <c r="N211" s="389">
        <v>-9999</v>
      </c>
      <c r="O211" s="29"/>
      <c r="P211" s="237">
        <f t="shared" si="11"/>
        <v>9.89</v>
      </c>
      <c r="Q211" s="234">
        <v>-9999</v>
      </c>
      <c r="R211" s="389"/>
      <c r="S211" s="234"/>
      <c r="T211" s="237">
        <f t="shared" si="10"/>
        <v>3.2966666666666669</v>
      </c>
      <c r="U211" s="234">
        <v>-9999</v>
      </c>
      <c r="V211" s="234"/>
      <c r="W211" s="389">
        <v>6.44</v>
      </c>
      <c r="X211" s="234">
        <v>-9999</v>
      </c>
      <c r="Y211" s="234"/>
      <c r="Z211" s="234" t="s">
        <v>622</v>
      </c>
      <c r="AA211" s="515">
        <v>111111</v>
      </c>
      <c r="AB211" s="389">
        <v>0.94</v>
      </c>
      <c r="AC211" s="234">
        <v>8.6400000000000005E-2</v>
      </c>
      <c r="AD211" s="234">
        <v>36</v>
      </c>
      <c r="AE211" s="390" t="s">
        <v>1974</v>
      </c>
      <c r="AF211" s="234">
        <v>3</v>
      </c>
      <c r="AG211" s="234">
        <v>2</v>
      </c>
      <c r="AH211" s="234" t="s">
        <v>623</v>
      </c>
      <c r="AI211" s="234" t="s">
        <v>624</v>
      </c>
      <c r="AJ211" s="234">
        <v>-9999</v>
      </c>
      <c r="AK211" s="234" t="s">
        <v>626</v>
      </c>
      <c r="AL211" s="234" t="s">
        <v>653</v>
      </c>
      <c r="AM211" s="234">
        <v>-9999</v>
      </c>
      <c r="AN211" s="234" t="s">
        <v>491</v>
      </c>
      <c r="AO211" s="234" t="s">
        <v>627</v>
      </c>
      <c r="AP211" s="234" t="s">
        <v>489</v>
      </c>
      <c r="AQ211" s="234" t="s">
        <v>631</v>
      </c>
      <c r="AR211" s="234">
        <v>0</v>
      </c>
      <c r="AS211" s="234">
        <v>-9999</v>
      </c>
      <c r="AT211" s="234">
        <v>-9999</v>
      </c>
      <c r="AU211" s="234">
        <v>0</v>
      </c>
      <c r="AV211" s="234">
        <v>-9999</v>
      </c>
      <c r="AW211" s="234">
        <v>-9999</v>
      </c>
      <c r="AX211" s="234">
        <v>0</v>
      </c>
      <c r="AY211" s="234">
        <v>-9999</v>
      </c>
      <c r="AZ211" s="234">
        <v>-9999</v>
      </c>
      <c r="BA211" s="234">
        <v>-9999</v>
      </c>
      <c r="BB211" s="234" t="s">
        <v>626</v>
      </c>
      <c r="BC211" s="516" t="s">
        <v>37</v>
      </c>
      <c r="BD211" s="234" t="s">
        <v>674</v>
      </c>
      <c r="BE211" s="234" t="s">
        <v>36</v>
      </c>
      <c r="BF211" s="234">
        <v>-9999</v>
      </c>
      <c r="BG211" s="234">
        <v>-9999</v>
      </c>
      <c r="BH211" s="234">
        <v>-9999</v>
      </c>
      <c r="BI211" s="234" t="s">
        <v>492</v>
      </c>
      <c r="BJ211" s="234">
        <v>-9999</v>
      </c>
      <c r="BK211" s="234">
        <v>-9999</v>
      </c>
      <c r="BL211" s="234">
        <v>-9999</v>
      </c>
      <c r="BM211" s="234">
        <v>-9999</v>
      </c>
      <c r="BN211" s="234">
        <v>-9999</v>
      </c>
      <c r="BO211" s="234">
        <v>-9999</v>
      </c>
      <c r="BP211" s="234">
        <v>-9999</v>
      </c>
      <c r="BQ211" s="234">
        <v>-9999</v>
      </c>
      <c r="BR211" s="234">
        <v>-9999</v>
      </c>
      <c r="BS211" s="491">
        <v>-9999</v>
      </c>
      <c r="BT211" s="234">
        <v>-9999</v>
      </c>
      <c r="BU211" s="234">
        <v>-9999</v>
      </c>
      <c r="BV211" s="234">
        <v>-9999</v>
      </c>
      <c r="BW211" s="234"/>
      <c r="BX211" s="234">
        <v>-9999</v>
      </c>
      <c r="BY211" s="234">
        <v>-9999</v>
      </c>
      <c r="BZ211" s="496">
        <v>-9999</v>
      </c>
      <c r="CA211" s="496">
        <v>-9999</v>
      </c>
      <c r="CB211" s="499"/>
      <c r="CC211" s="57">
        <v>3</v>
      </c>
      <c r="CD211" s="57">
        <v>1</v>
      </c>
      <c r="CE211" s="292">
        <v>3.2966666666666669</v>
      </c>
      <c r="CF211" s="292">
        <v>6.44</v>
      </c>
      <c r="CG211" s="72">
        <v>3</v>
      </c>
    </row>
    <row r="212" spans="1:93" s="23" customFormat="1" x14ac:dyDescent="0.2">
      <c r="A212" s="234" t="s">
        <v>679</v>
      </c>
      <c r="B212" s="234" t="s">
        <v>618</v>
      </c>
      <c r="C212" s="234" t="s">
        <v>486</v>
      </c>
      <c r="D212" s="234" t="s">
        <v>633</v>
      </c>
      <c r="E212" s="493" t="s">
        <v>1517</v>
      </c>
      <c r="F212" s="234">
        <v>4</v>
      </c>
      <c r="G212" s="234">
        <v>1</v>
      </c>
      <c r="H212" s="491">
        <v>4</v>
      </c>
      <c r="I212" s="234" t="s">
        <v>621</v>
      </c>
      <c r="J212" s="234">
        <v>1987</v>
      </c>
      <c r="K212" s="234" t="s">
        <v>962</v>
      </c>
      <c r="L212" s="234">
        <v>1990</v>
      </c>
      <c r="M212" s="389">
        <v>10.76</v>
      </c>
      <c r="N212" s="389">
        <v>-9999</v>
      </c>
      <c r="O212" s="29"/>
      <c r="P212" s="237">
        <f t="shared" si="11"/>
        <v>20.65</v>
      </c>
      <c r="Q212" s="234">
        <v>-9999</v>
      </c>
      <c r="R212" s="389"/>
      <c r="S212" s="234"/>
      <c r="T212" s="237">
        <f t="shared" si="10"/>
        <v>5.1624999999999996</v>
      </c>
      <c r="U212" s="234">
        <v>-9999</v>
      </c>
      <c r="V212" s="234"/>
      <c r="W212" s="389">
        <v>10.76</v>
      </c>
      <c r="X212" s="234">
        <v>-9999</v>
      </c>
      <c r="Y212" s="234"/>
      <c r="Z212" s="234" t="s">
        <v>622</v>
      </c>
      <c r="AA212" s="515">
        <v>111111</v>
      </c>
      <c r="AB212" s="389">
        <v>0.87</v>
      </c>
      <c r="AC212" s="234">
        <v>8.6400000000000005E-2</v>
      </c>
      <c r="AD212" s="234">
        <v>36</v>
      </c>
      <c r="AE212" s="390" t="s">
        <v>1974</v>
      </c>
      <c r="AF212" s="234">
        <v>3</v>
      </c>
      <c r="AG212" s="234">
        <v>2</v>
      </c>
      <c r="AH212" s="234" t="s">
        <v>623</v>
      </c>
      <c r="AI212" s="234" t="s">
        <v>624</v>
      </c>
      <c r="AJ212" s="234">
        <v>-9999</v>
      </c>
      <c r="AK212" s="234" t="s">
        <v>626</v>
      </c>
      <c r="AL212" s="234" t="s">
        <v>653</v>
      </c>
      <c r="AM212" s="234">
        <v>-9999</v>
      </c>
      <c r="AN212" s="234" t="s">
        <v>491</v>
      </c>
      <c r="AO212" s="234" t="s">
        <v>627</v>
      </c>
      <c r="AP212" s="234" t="s">
        <v>489</v>
      </c>
      <c r="AQ212" s="234" t="s">
        <v>631</v>
      </c>
      <c r="AR212" s="234">
        <v>0</v>
      </c>
      <c r="AS212" s="234">
        <v>-9999</v>
      </c>
      <c r="AT212" s="234">
        <v>-9999</v>
      </c>
      <c r="AU212" s="234">
        <v>0</v>
      </c>
      <c r="AV212" s="234">
        <v>-9999</v>
      </c>
      <c r="AW212" s="234">
        <v>-9999</v>
      </c>
      <c r="AX212" s="234">
        <v>0</v>
      </c>
      <c r="AY212" s="234">
        <v>-9999</v>
      </c>
      <c r="AZ212" s="234">
        <v>-9999</v>
      </c>
      <c r="BA212" s="234">
        <v>-9999</v>
      </c>
      <c r="BB212" s="234" t="s">
        <v>626</v>
      </c>
      <c r="BC212" s="516" t="s">
        <v>37</v>
      </c>
      <c r="BD212" s="234" t="s">
        <v>674</v>
      </c>
      <c r="BE212" s="234" t="s">
        <v>36</v>
      </c>
      <c r="BF212" s="234">
        <v>-9999</v>
      </c>
      <c r="BG212" s="234">
        <v>-9999</v>
      </c>
      <c r="BH212" s="234">
        <v>-9999</v>
      </c>
      <c r="BI212" s="234" t="s">
        <v>492</v>
      </c>
      <c r="BJ212" s="234">
        <v>-9999</v>
      </c>
      <c r="BK212" s="234">
        <v>-9999</v>
      </c>
      <c r="BL212" s="234">
        <v>-9999</v>
      </c>
      <c r="BM212" s="234">
        <v>-9999</v>
      </c>
      <c r="BN212" s="234">
        <v>-9999</v>
      </c>
      <c r="BO212" s="234">
        <v>-9999</v>
      </c>
      <c r="BP212" s="234">
        <v>-9999</v>
      </c>
      <c r="BQ212" s="234">
        <v>-9999</v>
      </c>
      <c r="BR212" s="234">
        <v>-9999</v>
      </c>
      <c r="BS212" s="491">
        <v>-9999</v>
      </c>
      <c r="BT212" s="234">
        <v>-9999</v>
      </c>
      <c r="BU212" s="234">
        <v>-9999</v>
      </c>
      <c r="BV212" s="234">
        <v>-9999</v>
      </c>
      <c r="BW212" s="234"/>
      <c r="BX212" s="234">
        <v>-9999</v>
      </c>
      <c r="BY212" s="234">
        <v>-9999</v>
      </c>
      <c r="BZ212" s="496">
        <v>-9999</v>
      </c>
      <c r="CA212" s="496">
        <v>-9999</v>
      </c>
      <c r="CB212" s="499"/>
      <c r="CC212" s="57">
        <v>4</v>
      </c>
      <c r="CD212" s="57">
        <v>1</v>
      </c>
      <c r="CE212" s="292">
        <v>5.1624999999999996</v>
      </c>
      <c r="CF212" s="292">
        <v>10.76</v>
      </c>
      <c r="CG212" s="72">
        <v>4</v>
      </c>
    </row>
    <row r="213" spans="1:93" s="23" customFormat="1" x14ac:dyDescent="0.2">
      <c r="A213" s="234" t="s">
        <v>679</v>
      </c>
      <c r="B213" s="234" t="s">
        <v>618</v>
      </c>
      <c r="C213" s="234" t="s">
        <v>486</v>
      </c>
      <c r="D213" s="234" t="s">
        <v>633</v>
      </c>
      <c r="E213" s="493" t="s">
        <v>1517</v>
      </c>
      <c r="F213" s="234">
        <v>5</v>
      </c>
      <c r="G213" s="234">
        <v>1</v>
      </c>
      <c r="H213" s="491">
        <v>5</v>
      </c>
      <c r="I213" s="234" t="s">
        <v>621</v>
      </c>
      <c r="J213" s="234">
        <v>1987</v>
      </c>
      <c r="K213" s="234" t="s">
        <v>962</v>
      </c>
      <c r="L213" s="234">
        <v>1991</v>
      </c>
      <c r="M213" s="389">
        <v>10.93</v>
      </c>
      <c r="N213" s="389">
        <v>-9999</v>
      </c>
      <c r="O213" s="29"/>
      <c r="P213" s="237">
        <f t="shared" si="11"/>
        <v>31.58</v>
      </c>
      <c r="Q213" s="234">
        <v>-9999</v>
      </c>
      <c r="R213" s="389"/>
      <c r="S213" s="234"/>
      <c r="T213" s="237">
        <f t="shared" si="10"/>
        <v>6.3159999999999998</v>
      </c>
      <c r="U213" s="234">
        <v>-9999</v>
      </c>
      <c r="V213" s="234"/>
      <c r="W213" s="389">
        <v>10.93</v>
      </c>
      <c r="X213" s="234">
        <v>-9999</v>
      </c>
      <c r="Y213" s="234"/>
      <c r="Z213" s="234" t="s">
        <v>622</v>
      </c>
      <c r="AA213" s="515">
        <v>111111</v>
      </c>
      <c r="AB213" s="389">
        <v>0.78</v>
      </c>
      <c r="AC213" s="234">
        <v>8.6400000000000005E-2</v>
      </c>
      <c r="AD213" s="234">
        <v>36</v>
      </c>
      <c r="AE213" s="390" t="s">
        <v>1974</v>
      </c>
      <c r="AF213" s="234">
        <v>3</v>
      </c>
      <c r="AG213" s="234">
        <v>2</v>
      </c>
      <c r="AH213" s="234" t="s">
        <v>623</v>
      </c>
      <c r="AI213" s="234" t="s">
        <v>624</v>
      </c>
      <c r="AJ213" s="234">
        <v>-9999</v>
      </c>
      <c r="AK213" s="234" t="s">
        <v>626</v>
      </c>
      <c r="AL213" s="234" t="s">
        <v>653</v>
      </c>
      <c r="AM213" s="234">
        <v>-9999</v>
      </c>
      <c r="AN213" s="234" t="s">
        <v>491</v>
      </c>
      <c r="AO213" s="234" t="s">
        <v>627</v>
      </c>
      <c r="AP213" s="234" t="s">
        <v>489</v>
      </c>
      <c r="AQ213" s="234" t="s">
        <v>631</v>
      </c>
      <c r="AR213" s="234">
        <v>0</v>
      </c>
      <c r="AS213" s="234">
        <v>-9999</v>
      </c>
      <c r="AT213" s="234">
        <v>-9999</v>
      </c>
      <c r="AU213" s="234">
        <v>0</v>
      </c>
      <c r="AV213" s="234">
        <v>-9999</v>
      </c>
      <c r="AW213" s="234">
        <v>-9999</v>
      </c>
      <c r="AX213" s="234">
        <v>0</v>
      </c>
      <c r="AY213" s="234">
        <v>-9999</v>
      </c>
      <c r="AZ213" s="234">
        <v>-9999</v>
      </c>
      <c r="BA213" s="234">
        <v>-9999</v>
      </c>
      <c r="BB213" s="234" t="s">
        <v>626</v>
      </c>
      <c r="BC213" s="516" t="s">
        <v>37</v>
      </c>
      <c r="BD213" s="234" t="s">
        <v>674</v>
      </c>
      <c r="BE213" s="234" t="s">
        <v>36</v>
      </c>
      <c r="BF213" s="234">
        <v>-9999</v>
      </c>
      <c r="BG213" s="234">
        <v>-9999</v>
      </c>
      <c r="BH213" s="234">
        <v>-9999</v>
      </c>
      <c r="BI213" s="234" t="s">
        <v>492</v>
      </c>
      <c r="BJ213" s="234">
        <v>-9999</v>
      </c>
      <c r="BK213" s="234">
        <v>-9999</v>
      </c>
      <c r="BL213" s="234">
        <v>-9999</v>
      </c>
      <c r="BM213" s="234">
        <v>-9999</v>
      </c>
      <c r="BN213" s="234">
        <v>-9999</v>
      </c>
      <c r="BO213" s="234">
        <v>-9999</v>
      </c>
      <c r="BP213" s="234">
        <v>-9999</v>
      </c>
      <c r="BQ213" s="234">
        <v>-9999</v>
      </c>
      <c r="BR213" s="234">
        <v>-9999</v>
      </c>
      <c r="BS213" s="491">
        <v>-9999</v>
      </c>
      <c r="BT213" s="234">
        <v>-9999</v>
      </c>
      <c r="BU213" s="234">
        <v>-9999</v>
      </c>
      <c r="BV213" s="234">
        <v>-9999</v>
      </c>
      <c r="BW213" s="234"/>
      <c r="BX213" s="234">
        <v>-9999</v>
      </c>
      <c r="BY213" s="234">
        <v>-9999</v>
      </c>
      <c r="BZ213" s="496">
        <v>-9999</v>
      </c>
      <c r="CA213" s="496">
        <v>-9999</v>
      </c>
      <c r="CB213" s="499"/>
      <c r="CC213" s="57">
        <v>5</v>
      </c>
      <c r="CD213" s="57">
        <v>1</v>
      </c>
      <c r="CE213" s="292">
        <v>6.3159999999999998</v>
      </c>
      <c r="CF213" s="292">
        <v>10.93</v>
      </c>
      <c r="CG213" s="72">
        <v>5</v>
      </c>
    </row>
    <row r="214" spans="1:93" s="23" customFormat="1" x14ac:dyDescent="0.2">
      <c r="A214" s="234" t="s">
        <v>679</v>
      </c>
      <c r="B214" s="234" t="s">
        <v>618</v>
      </c>
      <c r="C214" s="234" t="s">
        <v>486</v>
      </c>
      <c r="D214" s="234" t="s">
        <v>633</v>
      </c>
      <c r="E214" s="493" t="s">
        <v>1517</v>
      </c>
      <c r="F214" s="234">
        <v>6</v>
      </c>
      <c r="G214" s="234">
        <v>1</v>
      </c>
      <c r="H214" s="491">
        <v>6</v>
      </c>
      <c r="I214" s="234" t="s">
        <v>621</v>
      </c>
      <c r="J214" s="234">
        <v>1987</v>
      </c>
      <c r="K214" s="234" t="s">
        <v>962</v>
      </c>
      <c r="L214" s="234">
        <v>1992</v>
      </c>
      <c r="M214" s="389">
        <v>5.59</v>
      </c>
      <c r="N214" s="389">
        <v>-9999</v>
      </c>
      <c r="O214" s="29"/>
      <c r="P214" s="237">
        <f t="shared" si="11"/>
        <v>37.17</v>
      </c>
      <c r="Q214" s="234">
        <v>-9999</v>
      </c>
      <c r="R214" s="389"/>
      <c r="S214" s="234"/>
      <c r="T214" s="237">
        <f t="shared" si="10"/>
        <v>6.1950000000000003</v>
      </c>
      <c r="U214" s="234">
        <v>-9999</v>
      </c>
      <c r="V214" s="234"/>
      <c r="W214" s="389">
        <v>5.59</v>
      </c>
      <c r="X214" s="234">
        <v>-9999</v>
      </c>
      <c r="Y214" s="234"/>
      <c r="Z214" s="234" t="s">
        <v>622</v>
      </c>
      <c r="AA214" s="515">
        <v>111111</v>
      </c>
      <c r="AB214" s="389">
        <v>0.74</v>
      </c>
      <c r="AC214" s="234">
        <v>8.6400000000000005E-2</v>
      </c>
      <c r="AD214" s="234">
        <v>36</v>
      </c>
      <c r="AE214" s="390" t="s">
        <v>1974</v>
      </c>
      <c r="AF214" s="234">
        <v>3</v>
      </c>
      <c r="AG214" s="234">
        <v>2</v>
      </c>
      <c r="AH214" s="234" t="s">
        <v>623</v>
      </c>
      <c r="AI214" s="234" t="s">
        <v>624</v>
      </c>
      <c r="AJ214" s="234">
        <v>-9999</v>
      </c>
      <c r="AK214" s="234" t="s">
        <v>626</v>
      </c>
      <c r="AL214" s="234" t="s">
        <v>653</v>
      </c>
      <c r="AM214" s="234">
        <v>-9999</v>
      </c>
      <c r="AN214" s="234" t="s">
        <v>491</v>
      </c>
      <c r="AO214" s="234" t="s">
        <v>627</v>
      </c>
      <c r="AP214" s="234" t="s">
        <v>489</v>
      </c>
      <c r="AQ214" s="234" t="s">
        <v>631</v>
      </c>
      <c r="AR214" s="234">
        <v>0</v>
      </c>
      <c r="AS214" s="234">
        <v>-9999</v>
      </c>
      <c r="AT214" s="234">
        <v>-9999</v>
      </c>
      <c r="AU214" s="234">
        <v>0</v>
      </c>
      <c r="AV214" s="234">
        <v>-9999</v>
      </c>
      <c r="AW214" s="234">
        <v>-9999</v>
      </c>
      <c r="AX214" s="234">
        <v>0</v>
      </c>
      <c r="AY214" s="234">
        <v>-9999</v>
      </c>
      <c r="AZ214" s="234">
        <v>-9999</v>
      </c>
      <c r="BA214" s="234">
        <v>-9999</v>
      </c>
      <c r="BB214" s="234" t="s">
        <v>626</v>
      </c>
      <c r="BC214" s="516" t="s">
        <v>37</v>
      </c>
      <c r="BD214" s="234" t="s">
        <v>674</v>
      </c>
      <c r="BE214" s="234" t="s">
        <v>36</v>
      </c>
      <c r="BF214" s="234">
        <v>-9999</v>
      </c>
      <c r="BG214" s="234">
        <v>-9999</v>
      </c>
      <c r="BH214" s="234">
        <v>-9999</v>
      </c>
      <c r="BI214" s="234" t="s">
        <v>492</v>
      </c>
      <c r="BJ214" s="234">
        <v>-9999</v>
      </c>
      <c r="BK214" s="234">
        <v>-9999</v>
      </c>
      <c r="BL214" s="234">
        <v>-9999</v>
      </c>
      <c r="BM214" s="234">
        <v>-9999</v>
      </c>
      <c r="BN214" s="234">
        <v>-9999</v>
      </c>
      <c r="BO214" s="234">
        <v>-9999</v>
      </c>
      <c r="BP214" s="234">
        <v>-9999</v>
      </c>
      <c r="BQ214" s="234">
        <v>-9999</v>
      </c>
      <c r="BR214" s="234">
        <v>-9999</v>
      </c>
      <c r="BS214" s="491">
        <v>-9999</v>
      </c>
      <c r="BT214" s="234">
        <v>-9999</v>
      </c>
      <c r="BU214" s="234">
        <v>-9999</v>
      </c>
      <c r="BV214" s="234">
        <v>-9999</v>
      </c>
      <c r="BW214" s="234"/>
      <c r="BX214" s="234">
        <v>-9999</v>
      </c>
      <c r="BY214" s="234">
        <v>-9999</v>
      </c>
      <c r="BZ214" s="496">
        <v>-9999</v>
      </c>
      <c r="CA214" s="496">
        <v>-9999</v>
      </c>
      <c r="CB214" s="499"/>
      <c r="CC214" s="57">
        <v>6</v>
      </c>
      <c r="CD214" s="57">
        <v>1</v>
      </c>
      <c r="CE214" s="292">
        <v>6.1950000000000003</v>
      </c>
      <c r="CF214" s="292">
        <v>5.59</v>
      </c>
      <c r="CG214" s="72">
        <v>6</v>
      </c>
    </row>
    <row r="215" spans="1:93" s="23" customFormat="1" x14ac:dyDescent="0.2">
      <c r="A215" s="234" t="s">
        <v>679</v>
      </c>
      <c r="B215" s="234" t="s">
        <v>618</v>
      </c>
      <c r="C215" s="234" t="s">
        <v>486</v>
      </c>
      <c r="D215" s="234" t="s">
        <v>633</v>
      </c>
      <c r="E215" s="493" t="s">
        <v>1517</v>
      </c>
      <c r="F215" s="234">
        <v>7</v>
      </c>
      <c r="G215" s="234">
        <v>1</v>
      </c>
      <c r="H215" s="491">
        <v>7</v>
      </c>
      <c r="I215" s="234" t="s">
        <v>621</v>
      </c>
      <c r="J215" s="234">
        <v>1987</v>
      </c>
      <c r="K215" s="234" t="s">
        <v>962</v>
      </c>
      <c r="L215" s="234">
        <v>1993</v>
      </c>
      <c r="M215" s="389">
        <v>8.2799999999999994</v>
      </c>
      <c r="N215" s="389">
        <v>-9999</v>
      </c>
      <c r="O215" s="29"/>
      <c r="P215" s="237">
        <f t="shared" si="11"/>
        <v>45.45</v>
      </c>
      <c r="Q215" s="234">
        <v>-9999</v>
      </c>
      <c r="R215" s="389"/>
      <c r="S215" s="234"/>
      <c r="T215" s="237">
        <f t="shared" si="10"/>
        <v>6.4928571428571429</v>
      </c>
      <c r="U215" s="234">
        <v>-9999</v>
      </c>
      <c r="V215" s="234"/>
      <c r="W215" s="389">
        <v>8.2799999999999994</v>
      </c>
      <c r="X215" s="234">
        <v>-9999</v>
      </c>
      <c r="Y215" s="234"/>
      <c r="Z215" s="234" t="s">
        <v>622</v>
      </c>
      <c r="AA215" s="515">
        <v>111111</v>
      </c>
      <c r="AB215" s="389">
        <v>0.63</v>
      </c>
      <c r="AC215" s="234">
        <v>8.6400000000000005E-2</v>
      </c>
      <c r="AD215" s="234">
        <v>36</v>
      </c>
      <c r="AE215" s="390" t="s">
        <v>1974</v>
      </c>
      <c r="AF215" s="234">
        <v>3</v>
      </c>
      <c r="AG215" s="234">
        <v>2</v>
      </c>
      <c r="AH215" s="234" t="s">
        <v>623</v>
      </c>
      <c r="AI215" s="234" t="s">
        <v>624</v>
      </c>
      <c r="AJ215" s="234">
        <v>-9999</v>
      </c>
      <c r="AK215" s="234" t="s">
        <v>626</v>
      </c>
      <c r="AL215" s="234" t="s">
        <v>653</v>
      </c>
      <c r="AM215" s="234">
        <v>-9999</v>
      </c>
      <c r="AN215" s="234" t="s">
        <v>491</v>
      </c>
      <c r="AO215" s="234" t="s">
        <v>627</v>
      </c>
      <c r="AP215" s="234" t="s">
        <v>489</v>
      </c>
      <c r="AQ215" s="234" t="s">
        <v>631</v>
      </c>
      <c r="AR215" s="234">
        <v>0</v>
      </c>
      <c r="AS215" s="234">
        <v>-9999</v>
      </c>
      <c r="AT215" s="234">
        <v>-9999</v>
      </c>
      <c r="AU215" s="234">
        <v>0</v>
      </c>
      <c r="AV215" s="234">
        <v>-9999</v>
      </c>
      <c r="AW215" s="234">
        <v>-9999</v>
      </c>
      <c r="AX215" s="234">
        <v>0</v>
      </c>
      <c r="AY215" s="234">
        <v>-9999</v>
      </c>
      <c r="AZ215" s="234">
        <v>-9999</v>
      </c>
      <c r="BA215" s="234">
        <v>-9999</v>
      </c>
      <c r="BB215" s="234" t="s">
        <v>626</v>
      </c>
      <c r="BC215" s="516" t="s">
        <v>37</v>
      </c>
      <c r="BD215" s="234" t="s">
        <v>674</v>
      </c>
      <c r="BE215" s="234" t="s">
        <v>36</v>
      </c>
      <c r="BF215" s="234">
        <v>-9999</v>
      </c>
      <c r="BG215" s="234">
        <v>-9999</v>
      </c>
      <c r="BH215" s="234">
        <v>-9999</v>
      </c>
      <c r="BI215" s="234" t="s">
        <v>492</v>
      </c>
      <c r="BJ215" s="234">
        <v>-9999</v>
      </c>
      <c r="BK215" s="234">
        <v>-9999</v>
      </c>
      <c r="BL215" s="234">
        <v>-9999</v>
      </c>
      <c r="BM215" s="234">
        <v>-9999</v>
      </c>
      <c r="BN215" s="234">
        <v>-9999</v>
      </c>
      <c r="BO215" s="234">
        <v>-9999</v>
      </c>
      <c r="BP215" s="234">
        <v>-9999</v>
      </c>
      <c r="BQ215" s="234">
        <v>-9999</v>
      </c>
      <c r="BR215" s="234">
        <v>-9999</v>
      </c>
      <c r="BS215" s="491">
        <v>-9999</v>
      </c>
      <c r="BT215" s="234">
        <v>-9999</v>
      </c>
      <c r="BU215" s="234">
        <v>-9999</v>
      </c>
      <c r="BV215" s="234">
        <v>-9999</v>
      </c>
      <c r="BW215" s="234"/>
      <c r="BX215" s="234">
        <v>-9999</v>
      </c>
      <c r="BY215" s="234">
        <v>-9999</v>
      </c>
      <c r="BZ215" s="496">
        <v>-9999</v>
      </c>
      <c r="CA215" s="496">
        <v>-9999</v>
      </c>
      <c r="CB215" s="499"/>
      <c r="CC215" s="57">
        <v>7</v>
      </c>
      <c r="CD215" s="57">
        <v>1</v>
      </c>
      <c r="CE215" s="292">
        <v>6.4928571428571429</v>
      </c>
      <c r="CF215" s="292">
        <v>8.2799999999999994</v>
      </c>
      <c r="CG215" s="72">
        <v>7</v>
      </c>
    </row>
    <row r="216" spans="1:93" s="23" customFormat="1" x14ac:dyDescent="0.2">
      <c r="A216" s="234" t="s">
        <v>679</v>
      </c>
      <c r="B216" s="234" t="s">
        <v>618</v>
      </c>
      <c r="C216" s="234" t="s">
        <v>486</v>
      </c>
      <c r="D216" s="234" t="s">
        <v>633</v>
      </c>
      <c r="E216" s="493" t="s">
        <v>1517</v>
      </c>
      <c r="F216" s="234">
        <v>8</v>
      </c>
      <c r="G216" s="234">
        <v>1</v>
      </c>
      <c r="H216" s="491">
        <v>8</v>
      </c>
      <c r="I216" s="234" t="s">
        <v>621</v>
      </c>
      <c r="J216" s="234">
        <v>1987</v>
      </c>
      <c r="K216" s="234" t="s">
        <v>962</v>
      </c>
      <c r="L216" s="234">
        <v>1994</v>
      </c>
      <c r="M216" s="389">
        <v>6.96</v>
      </c>
      <c r="N216" s="389">
        <v>-9999</v>
      </c>
      <c r="O216" s="29"/>
      <c r="P216" s="237">
        <f t="shared" si="11"/>
        <v>52.410000000000004</v>
      </c>
      <c r="Q216" s="234">
        <v>-9999</v>
      </c>
      <c r="R216" s="389"/>
      <c r="S216" s="234"/>
      <c r="T216" s="237">
        <f t="shared" si="10"/>
        <v>6.5512500000000005</v>
      </c>
      <c r="U216" s="234">
        <v>-9999</v>
      </c>
      <c r="V216" s="234"/>
      <c r="W216" s="389">
        <v>6.96</v>
      </c>
      <c r="X216" s="234">
        <v>-9999</v>
      </c>
      <c r="Y216" s="234"/>
      <c r="Z216" s="234" t="s">
        <v>622</v>
      </c>
      <c r="AA216" s="515">
        <v>111111</v>
      </c>
      <c r="AB216" s="389">
        <v>0.53</v>
      </c>
      <c r="AC216" s="234">
        <v>8.6400000000000005E-2</v>
      </c>
      <c r="AD216" s="234">
        <v>36</v>
      </c>
      <c r="AE216" s="390" t="s">
        <v>1974</v>
      </c>
      <c r="AF216" s="234">
        <v>3</v>
      </c>
      <c r="AG216" s="234">
        <v>2</v>
      </c>
      <c r="AH216" s="234" t="s">
        <v>623</v>
      </c>
      <c r="AI216" s="234" t="s">
        <v>624</v>
      </c>
      <c r="AJ216" s="234">
        <v>-9999</v>
      </c>
      <c r="AK216" s="234" t="s">
        <v>626</v>
      </c>
      <c r="AL216" s="234" t="s">
        <v>653</v>
      </c>
      <c r="AM216" s="234">
        <v>-9999</v>
      </c>
      <c r="AN216" s="234" t="s">
        <v>491</v>
      </c>
      <c r="AO216" s="234" t="s">
        <v>627</v>
      </c>
      <c r="AP216" s="234" t="s">
        <v>489</v>
      </c>
      <c r="AQ216" s="234" t="s">
        <v>631</v>
      </c>
      <c r="AR216" s="234">
        <v>0</v>
      </c>
      <c r="AS216" s="234">
        <v>-9999</v>
      </c>
      <c r="AT216" s="234">
        <v>-9999</v>
      </c>
      <c r="AU216" s="234">
        <v>0</v>
      </c>
      <c r="AV216" s="234">
        <v>-9999</v>
      </c>
      <c r="AW216" s="234">
        <v>-9999</v>
      </c>
      <c r="AX216" s="234">
        <v>0</v>
      </c>
      <c r="AY216" s="234">
        <v>-9999</v>
      </c>
      <c r="AZ216" s="234">
        <v>-9999</v>
      </c>
      <c r="BA216" s="234">
        <v>-9999</v>
      </c>
      <c r="BB216" s="234" t="s">
        <v>626</v>
      </c>
      <c r="BC216" s="516" t="s">
        <v>37</v>
      </c>
      <c r="BD216" s="234" t="s">
        <v>674</v>
      </c>
      <c r="BE216" s="234" t="s">
        <v>36</v>
      </c>
      <c r="BF216" s="234">
        <v>-9999</v>
      </c>
      <c r="BG216" s="234">
        <v>-9999</v>
      </c>
      <c r="BH216" s="234">
        <v>-9999</v>
      </c>
      <c r="BI216" s="234" t="s">
        <v>492</v>
      </c>
      <c r="BJ216" s="234">
        <v>-9999</v>
      </c>
      <c r="BK216" s="234">
        <v>-9999</v>
      </c>
      <c r="BL216" s="234">
        <v>-9999</v>
      </c>
      <c r="BM216" s="234">
        <v>-9999</v>
      </c>
      <c r="BN216" s="234">
        <v>-9999</v>
      </c>
      <c r="BO216" s="234">
        <v>-9999</v>
      </c>
      <c r="BP216" s="234">
        <v>-9999</v>
      </c>
      <c r="BQ216" s="234">
        <v>-9999</v>
      </c>
      <c r="BR216" s="234">
        <v>-9999</v>
      </c>
      <c r="BS216" s="491">
        <v>-9999</v>
      </c>
      <c r="BT216" s="234">
        <v>-9999</v>
      </c>
      <c r="BU216" s="234">
        <v>-9999</v>
      </c>
      <c r="BV216" s="234">
        <v>-9999</v>
      </c>
      <c r="BW216" s="234"/>
      <c r="BX216" s="234">
        <v>-9999</v>
      </c>
      <c r="BY216" s="234">
        <v>-9999</v>
      </c>
      <c r="BZ216" s="496">
        <v>-9999</v>
      </c>
      <c r="CA216" s="496">
        <v>-9999</v>
      </c>
      <c r="CB216" s="499"/>
      <c r="CC216" s="57">
        <v>8</v>
      </c>
      <c r="CD216" s="57">
        <v>1</v>
      </c>
      <c r="CE216" s="394">
        <v>6.5512500000000005</v>
      </c>
      <c r="CF216" s="292">
        <v>6.96</v>
      </c>
      <c r="CG216" s="72">
        <v>8</v>
      </c>
      <c r="CH216" s="477"/>
    </row>
    <row r="217" spans="1:93" s="23" customFormat="1" x14ac:dyDescent="0.2">
      <c r="A217" s="234" t="s">
        <v>679</v>
      </c>
      <c r="B217" s="234" t="s">
        <v>618</v>
      </c>
      <c r="C217" s="234" t="s">
        <v>486</v>
      </c>
      <c r="D217" s="234" t="s">
        <v>633</v>
      </c>
      <c r="E217" s="493" t="s">
        <v>1517</v>
      </c>
      <c r="F217" s="234">
        <v>9</v>
      </c>
      <c r="G217" s="234">
        <v>1</v>
      </c>
      <c r="H217" s="491">
        <v>9</v>
      </c>
      <c r="I217" s="234" t="s">
        <v>621</v>
      </c>
      <c r="J217" s="234">
        <v>1987</v>
      </c>
      <c r="K217" s="234" t="s">
        <v>962</v>
      </c>
      <c r="L217" s="234">
        <v>1995</v>
      </c>
      <c r="M217" s="389">
        <v>6.08</v>
      </c>
      <c r="N217" s="389">
        <v>-9999</v>
      </c>
      <c r="O217" s="29"/>
      <c r="P217" s="237">
        <f t="shared" si="11"/>
        <v>58.49</v>
      </c>
      <c r="Q217" s="234">
        <v>-9999</v>
      </c>
      <c r="R217" s="389"/>
      <c r="S217" s="234"/>
      <c r="T217" s="237">
        <f t="shared" si="10"/>
        <v>6.4988888888888887</v>
      </c>
      <c r="U217" s="234">
        <v>-9999</v>
      </c>
      <c r="V217" s="234"/>
      <c r="W217" s="389">
        <v>6.08</v>
      </c>
      <c r="X217" s="234">
        <v>-9999</v>
      </c>
      <c r="Y217" s="234"/>
      <c r="Z217" s="234" t="s">
        <v>622</v>
      </c>
      <c r="AA217" s="515">
        <v>111111</v>
      </c>
      <c r="AB217" s="412">
        <v>0.53</v>
      </c>
      <c r="AC217" s="234">
        <v>8.6400000000000005E-2</v>
      </c>
      <c r="AD217" s="234">
        <v>36</v>
      </c>
      <c r="AE217" s="390" t="s">
        <v>1974</v>
      </c>
      <c r="AF217" s="234">
        <v>3</v>
      </c>
      <c r="AG217" s="234">
        <v>2</v>
      </c>
      <c r="AH217" s="234" t="s">
        <v>623</v>
      </c>
      <c r="AI217" s="234" t="s">
        <v>624</v>
      </c>
      <c r="AJ217" s="234">
        <v>-9999</v>
      </c>
      <c r="AK217" s="234" t="s">
        <v>626</v>
      </c>
      <c r="AL217" s="234" t="s">
        <v>653</v>
      </c>
      <c r="AM217" s="234">
        <v>-9999</v>
      </c>
      <c r="AN217" s="234" t="s">
        <v>491</v>
      </c>
      <c r="AO217" s="234" t="s">
        <v>627</v>
      </c>
      <c r="AP217" s="234" t="s">
        <v>489</v>
      </c>
      <c r="AQ217" s="234" t="s">
        <v>631</v>
      </c>
      <c r="AR217" s="234">
        <v>0</v>
      </c>
      <c r="AS217" s="234">
        <v>-9999</v>
      </c>
      <c r="AT217" s="234">
        <v>-9999</v>
      </c>
      <c r="AU217" s="234">
        <v>0</v>
      </c>
      <c r="AV217" s="234">
        <v>-9999</v>
      </c>
      <c r="AW217" s="234">
        <v>-9999</v>
      </c>
      <c r="AX217" s="234">
        <v>0</v>
      </c>
      <c r="AY217" s="234">
        <v>-9999</v>
      </c>
      <c r="AZ217" s="234">
        <v>-9999</v>
      </c>
      <c r="BA217" s="234">
        <v>-9999</v>
      </c>
      <c r="BB217" s="234" t="s">
        <v>626</v>
      </c>
      <c r="BC217" s="516" t="s">
        <v>37</v>
      </c>
      <c r="BD217" s="234" t="s">
        <v>674</v>
      </c>
      <c r="BE217" s="234" t="s">
        <v>36</v>
      </c>
      <c r="BF217" s="234">
        <v>-9999</v>
      </c>
      <c r="BG217" s="234">
        <v>-9999</v>
      </c>
      <c r="BH217" s="234">
        <v>-9999</v>
      </c>
      <c r="BI217" s="234" t="s">
        <v>492</v>
      </c>
      <c r="BJ217" s="234">
        <v>-9999</v>
      </c>
      <c r="BK217" s="234">
        <v>-9999</v>
      </c>
      <c r="BL217" s="234">
        <v>-9999</v>
      </c>
      <c r="BM217" s="234">
        <v>-9999</v>
      </c>
      <c r="BN217" s="234">
        <v>-9999</v>
      </c>
      <c r="BO217" s="234">
        <v>-9999</v>
      </c>
      <c r="BP217" s="234">
        <v>-9999</v>
      </c>
      <c r="BQ217" s="234">
        <v>-9999</v>
      </c>
      <c r="BR217" s="234">
        <v>-9999</v>
      </c>
      <c r="BS217" s="491">
        <v>-9999</v>
      </c>
      <c r="BT217" s="234">
        <v>-9999</v>
      </c>
      <c r="BU217" s="234">
        <v>-9999</v>
      </c>
      <c r="BV217" s="234">
        <v>-9999</v>
      </c>
      <c r="BW217" s="234"/>
      <c r="BX217" s="234">
        <v>-9999</v>
      </c>
      <c r="BY217" s="234">
        <v>-9999</v>
      </c>
      <c r="BZ217" s="496">
        <v>-9999</v>
      </c>
      <c r="CA217" s="496">
        <v>-9999</v>
      </c>
      <c r="CB217" s="499"/>
      <c r="CC217" s="57">
        <v>9</v>
      </c>
      <c r="CD217" s="57">
        <v>1</v>
      </c>
      <c r="CE217" s="292">
        <v>6.4988888888888887</v>
      </c>
      <c r="CF217" s="292">
        <v>6.08</v>
      </c>
      <c r="CG217" s="72">
        <v>9</v>
      </c>
    </row>
    <row r="218" spans="1:93" s="23" customFormat="1" x14ac:dyDescent="0.2">
      <c r="A218" s="234" t="s">
        <v>679</v>
      </c>
      <c r="B218" s="234" t="s">
        <v>618</v>
      </c>
      <c r="C218" s="234" t="s">
        <v>486</v>
      </c>
      <c r="D218" s="234" t="s">
        <v>633</v>
      </c>
      <c r="E218" s="493" t="s">
        <v>1517</v>
      </c>
      <c r="F218" s="234">
        <v>10</v>
      </c>
      <c r="G218" s="234">
        <v>1</v>
      </c>
      <c r="H218" s="491">
        <v>10</v>
      </c>
      <c r="I218" s="234" t="s">
        <v>621</v>
      </c>
      <c r="J218" s="234">
        <v>1987</v>
      </c>
      <c r="K218" s="234" t="s">
        <v>962</v>
      </c>
      <c r="L218" s="234">
        <v>1996</v>
      </c>
      <c r="M218" s="389">
        <v>6.84</v>
      </c>
      <c r="N218" s="389">
        <v>-9999</v>
      </c>
      <c r="O218" s="29"/>
      <c r="P218" s="237">
        <f t="shared" si="11"/>
        <v>65.33</v>
      </c>
      <c r="Q218" s="234">
        <v>-9999</v>
      </c>
      <c r="R218" s="389"/>
      <c r="S218" s="234"/>
      <c r="T218" s="237">
        <f t="shared" si="10"/>
        <v>6.5329999999999995</v>
      </c>
      <c r="U218" s="234">
        <v>-9999</v>
      </c>
      <c r="V218" s="234"/>
      <c r="W218" s="389">
        <v>6.84</v>
      </c>
      <c r="X218" s="234">
        <v>-9999</v>
      </c>
      <c r="Y218" s="234"/>
      <c r="Z218" s="234" t="s">
        <v>622</v>
      </c>
      <c r="AA218" s="515">
        <v>111111</v>
      </c>
      <c r="AB218" s="412">
        <v>0.53</v>
      </c>
      <c r="AC218" s="234">
        <v>8.6400000000000005E-2</v>
      </c>
      <c r="AD218" s="234">
        <v>36</v>
      </c>
      <c r="AE218" s="390" t="s">
        <v>1974</v>
      </c>
      <c r="AF218" s="234">
        <v>3</v>
      </c>
      <c r="AG218" s="234">
        <v>2</v>
      </c>
      <c r="AH218" s="234" t="s">
        <v>623</v>
      </c>
      <c r="AI218" s="234" t="s">
        <v>624</v>
      </c>
      <c r="AJ218" s="234">
        <v>-9999</v>
      </c>
      <c r="AK218" s="234" t="s">
        <v>626</v>
      </c>
      <c r="AL218" s="234" t="s">
        <v>653</v>
      </c>
      <c r="AM218" s="234">
        <v>-9999</v>
      </c>
      <c r="AN218" s="234" t="s">
        <v>491</v>
      </c>
      <c r="AO218" s="234" t="s">
        <v>627</v>
      </c>
      <c r="AP218" s="234" t="s">
        <v>489</v>
      </c>
      <c r="AQ218" s="234" t="s">
        <v>631</v>
      </c>
      <c r="AR218" s="234">
        <v>0</v>
      </c>
      <c r="AS218" s="234">
        <v>-9999</v>
      </c>
      <c r="AT218" s="234">
        <v>-9999</v>
      </c>
      <c r="AU218" s="234">
        <v>0</v>
      </c>
      <c r="AV218" s="234">
        <v>-9999</v>
      </c>
      <c r="AW218" s="234">
        <v>-9999</v>
      </c>
      <c r="AX218" s="234">
        <v>0</v>
      </c>
      <c r="AY218" s="234">
        <v>-9999</v>
      </c>
      <c r="AZ218" s="234">
        <v>-9999</v>
      </c>
      <c r="BA218" s="234">
        <v>-9999</v>
      </c>
      <c r="BB218" s="234" t="s">
        <v>626</v>
      </c>
      <c r="BC218" s="516" t="s">
        <v>37</v>
      </c>
      <c r="BD218" s="234" t="s">
        <v>674</v>
      </c>
      <c r="BE218" s="234" t="s">
        <v>36</v>
      </c>
      <c r="BF218" s="234">
        <v>-9999</v>
      </c>
      <c r="BG218" s="234">
        <v>-9999</v>
      </c>
      <c r="BH218" s="234">
        <v>-9999</v>
      </c>
      <c r="BI218" s="234" t="s">
        <v>492</v>
      </c>
      <c r="BJ218" s="234">
        <v>-9999</v>
      </c>
      <c r="BK218" s="234">
        <v>-9999</v>
      </c>
      <c r="BL218" s="234">
        <v>-9999</v>
      </c>
      <c r="BM218" s="234">
        <v>-9999</v>
      </c>
      <c r="BN218" s="234">
        <v>-9999</v>
      </c>
      <c r="BO218" s="234">
        <v>-9999</v>
      </c>
      <c r="BP218" s="234">
        <v>-9999</v>
      </c>
      <c r="BQ218" s="234">
        <v>-9999</v>
      </c>
      <c r="BR218" s="234">
        <v>-9999</v>
      </c>
      <c r="BS218" s="491">
        <v>-9999</v>
      </c>
      <c r="BT218" s="234">
        <v>-9999</v>
      </c>
      <c r="BU218" s="234">
        <v>-9999</v>
      </c>
      <c r="BV218" s="234">
        <v>-9999</v>
      </c>
      <c r="BW218" s="234"/>
      <c r="BX218" s="234">
        <v>-9999</v>
      </c>
      <c r="BY218" s="234">
        <v>-9999</v>
      </c>
      <c r="BZ218" s="496">
        <v>-9999</v>
      </c>
      <c r="CA218" s="496">
        <v>-9999</v>
      </c>
      <c r="CB218" s="499"/>
      <c r="CC218" s="57">
        <v>10</v>
      </c>
      <c r="CD218" s="57">
        <v>1</v>
      </c>
      <c r="CE218" s="292">
        <v>6.5329999999999995</v>
      </c>
      <c r="CF218" s="292">
        <v>6.84</v>
      </c>
      <c r="CG218" s="72">
        <v>10</v>
      </c>
    </row>
    <row r="219" spans="1:93" s="23" customFormat="1" x14ac:dyDescent="0.2">
      <c r="A219" s="234"/>
      <c r="B219" s="234"/>
      <c r="C219" s="234"/>
      <c r="D219" s="234"/>
      <c r="E219" s="493"/>
      <c r="F219" s="234"/>
      <c r="G219" s="234"/>
      <c r="H219" s="491"/>
      <c r="I219" s="234"/>
      <c r="J219" s="234"/>
      <c r="K219" s="234"/>
      <c r="L219" s="234"/>
      <c r="M219" s="389"/>
      <c r="N219" s="389"/>
      <c r="O219" s="29"/>
      <c r="P219" s="237"/>
      <c r="Q219" s="234"/>
      <c r="R219" s="389"/>
      <c r="S219" s="234"/>
      <c r="T219" s="237"/>
      <c r="U219" s="234"/>
      <c r="V219" s="234"/>
      <c r="W219" s="389"/>
      <c r="X219" s="234"/>
      <c r="Y219" s="234"/>
      <c r="Z219" s="234"/>
      <c r="AA219" s="515"/>
      <c r="AB219" s="389"/>
      <c r="AC219" s="234"/>
      <c r="AD219" s="234"/>
      <c r="AE219" s="234"/>
      <c r="AF219" s="234"/>
      <c r="AG219" s="234"/>
      <c r="AH219" s="234"/>
      <c r="AI219" s="234"/>
      <c r="AJ219" s="234"/>
      <c r="AK219" s="234"/>
      <c r="AL219" s="234"/>
      <c r="AM219" s="234"/>
      <c r="AN219" s="234"/>
      <c r="AO219" s="234"/>
      <c r="AP219" s="234"/>
      <c r="AQ219" s="234"/>
      <c r="AR219" s="234"/>
      <c r="AS219" s="234"/>
      <c r="AT219" s="234"/>
      <c r="AU219" s="234"/>
      <c r="AV219" s="234"/>
      <c r="AW219" s="234"/>
      <c r="AX219" s="234"/>
      <c r="AY219" s="234"/>
      <c r="AZ219" s="234"/>
      <c r="BA219" s="234"/>
      <c r="BB219" s="234"/>
      <c r="BC219" s="516"/>
      <c r="BD219" s="234"/>
      <c r="BE219" s="234"/>
      <c r="BF219" s="234"/>
      <c r="BG219" s="234"/>
      <c r="BH219" s="234"/>
      <c r="BI219" s="234"/>
      <c r="BJ219" s="234"/>
      <c r="BK219" s="234"/>
      <c r="BL219" s="234"/>
      <c r="BM219" s="234"/>
      <c r="BN219" s="234"/>
      <c r="BO219" s="234"/>
      <c r="BP219" s="234"/>
      <c r="BQ219" s="234"/>
      <c r="BR219" s="234"/>
      <c r="BS219" s="491"/>
      <c r="BT219" s="234"/>
      <c r="BU219" s="234"/>
      <c r="BV219" s="234"/>
      <c r="BW219" s="234"/>
      <c r="BX219" s="234"/>
      <c r="BY219" s="234"/>
      <c r="BZ219" s="496"/>
      <c r="CA219" s="496"/>
      <c r="CB219" s="499"/>
      <c r="CC219" s="57"/>
      <c r="CD219" s="57"/>
      <c r="CE219" s="342" t="s">
        <v>1576</v>
      </c>
      <c r="CF219" s="342" t="s">
        <v>1575</v>
      </c>
      <c r="CG219" s="72"/>
    </row>
    <row r="220" spans="1:93" s="23" customFormat="1" x14ac:dyDescent="0.2">
      <c r="A220" s="234" t="s">
        <v>679</v>
      </c>
      <c r="B220" s="234" t="s">
        <v>618</v>
      </c>
      <c r="C220" s="234" t="s">
        <v>487</v>
      </c>
      <c r="D220" s="234" t="s">
        <v>619</v>
      </c>
      <c r="E220" s="493" t="s">
        <v>1501</v>
      </c>
      <c r="F220" s="234">
        <v>1</v>
      </c>
      <c r="G220" s="234">
        <v>1</v>
      </c>
      <c r="H220" s="491">
        <v>1</v>
      </c>
      <c r="I220" s="234" t="s">
        <v>621</v>
      </c>
      <c r="J220" s="234">
        <v>1987</v>
      </c>
      <c r="K220" s="234" t="s">
        <v>961</v>
      </c>
      <c r="L220" s="234">
        <v>1987</v>
      </c>
      <c r="M220" s="389">
        <v>2.99</v>
      </c>
      <c r="N220" s="389">
        <v>-9999</v>
      </c>
      <c r="O220" s="29"/>
      <c r="P220" s="237">
        <f>+M220</f>
        <v>2.99</v>
      </c>
      <c r="Q220" s="234">
        <v>-9999</v>
      </c>
      <c r="R220" s="389"/>
      <c r="S220" s="234"/>
      <c r="T220" s="237">
        <f t="shared" ref="T220:T229" si="12">+P220/H220</f>
        <v>2.99</v>
      </c>
      <c r="U220" s="234">
        <v>-9999</v>
      </c>
      <c r="V220" s="234"/>
      <c r="W220" s="389">
        <v>2.99</v>
      </c>
      <c r="X220" s="234">
        <v>-9999</v>
      </c>
      <c r="Y220" s="234"/>
      <c r="Z220" s="234" t="s">
        <v>622</v>
      </c>
      <c r="AA220" s="515">
        <v>111111</v>
      </c>
      <c r="AB220" s="389">
        <v>0.97</v>
      </c>
      <c r="AC220" s="234">
        <v>8.6400000000000005E-2</v>
      </c>
      <c r="AD220" s="234">
        <v>36</v>
      </c>
      <c r="AE220" s="390" t="s">
        <v>1974</v>
      </c>
      <c r="AF220" s="234">
        <v>3</v>
      </c>
      <c r="AG220" s="234">
        <v>2</v>
      </c>
      <c r="AH220" s="234" t="s">
        <v>623</v>
      </c>
      <c r="AI220" s="234" t="s">
        <v>624</v>
      </c>
      <c r="AJ220" s="234">
        <v>-9999</v>
      </c>
      <c r="AK220" s="234" t="s">
        <v>626</v>
      </c>
      <c r="AL220" s="234" t="s">
        <v>653</v>
      </c>
      <c r="AM220" s="234">
        <v>-9999</v>
      </c>
      <c r="AN220" s="234" t="s">
        <v>491</v>
      </c>
      <c r="AO220" s="234" t="s">
        <v>627</v>
      </c>
      <c r="AP220" s="234" t="s">
        <v>489</v>
      </c>
      <c r="AQ220" s="234" t="s">
        <v>626</v>
      </c>
      <c r="AR220" s="234">
        <v>336</v>
      </c>
      <c r="AS220" s="234" t="s">
        <v>1101</v>
      </c>
      <c r="AT220" s="234" t="s">
        <v>747</v>
      </c>
      <c r="AU220" s="234">
        <v>112</v>
      </c>
      <c r="AV220" s="234" t="s">
        <v>218</v>
      </c>
      <c r="AW220" s="234" t="s">
        <v>748</v>
      </c>
      <c r="AX220" s="234">
        <v>224</v>
      </c>
      <c r="AY220" s="234" t="s">
        <v>219</v>
      </c>
      <c r="AZ220" s="234" t="s">
        <v>748</v>
      </c>
      <c r="BA220" s="234">
        <v>-9999</v>
      </c>
      <c r="BB220" s="234" t="s">
        <v>626</v>
      </c>
      <c r="BC220" s="516" t="s">
        <v>37</v>
      </c>
      <c r="BD220" s="234" t="s">
        <v>674</v>
      </c>
      <c r="BE220" s="234" t="s">
        <v>36</v>
      </c>
      <c r="BF220" s="234">
        <v>-9999</v>
      </c>
      <c r="BG220" s="234">
        <v>-9999</v>
      </c>
      <c r="BH220" s="234">
        <v>-9999</v>
      </c>
      <c r="BI220" s="234" t="s">
        <v>492</v>
      </c>
      <c r="BJ220" s="234">
        <v>-9999</v>
      </c>
      <c r="BK220" s="234">
        <v>-9999</v>
      </c>
      <c r="BL220" s="234">
        <v>-9999</v>
      </c>
      <c r="BM220" s="234">
        <v>-9999</v>
      </c>
      <c r="BN220" s="234">
        <v>-9999</v>
      </c>
      <c r="BO220" s="234">
        <v>-9999</v>
      </c>
      <c r="BP220" s="234">
        <v>-9999</v>
      </c>
      <c r="BQ220" s="234">
        <v>-9999</v>
      </c>
      <c r="BR220" s="234">
        <v>-9999</v>
      </c>
      <c r="BS220" s="491">
        <v>-9999</v>
      </c>
      <c r="BT220" s="234">
        <v>-9999</v>
      </c>
      <c r="BU220" s="234">
        <v>-9999</v>
      </c>
      <c r="BV220" s="234">
        <v>-9999</v>
      </c>
      <c r="BW220" s="234"/>
      <c r="BX220" s="234">
        <v>-9999</v>
      </c>
      <c r="BY220" s="234">
        <v>-9999</v>
      </c>
      <c r="BZ220" s="496">
        <v>-9999</v>
      </c>
      <c r="CA220" s="496">
        <v>-9999</v>
      </c>
      <c r="CB220" s="499"/>
      <c r="CC220" s="57">
        <v>1</v>
      </c>
      <c r="CD220" s="57">
        <v>1</v>
      </c>
      <c r="CE220" s="292">
        <v>2.99</v>
      </c>
      <c r="CF220" s="292">
        <v>2.99</v>
      </c>
      <c r="CG220" s="72">
        <v>1</v>
      </c>
      <c r="CO220" s="345" t="s">
        <v>1580</v>
      </c>
    </row>
    <row r="221" spans="1:93" s="23" customFormat="1" x14ac:dyDescent="0.2">
      <c r="A221" s="234" t="s">
        <v>679</v>
      </c>
      <c r="B221" s="234" t="s">
        <v>618</v>
      </c>
      <c r="C221" s="234" t="s">
        <v>487</v>
      </c>
      <c r="D221" s="234" t="s">
        <v>619</v>
      </c>
      <c r="E221" s="493" t="s">
        <v>1501</v>
      </c>
      <c r="F221" s="234">
        <v>2</v>
      </c>
      <c r="G221" s="234">
        <v>1</v>
      </c>
      <c r="H221" s="491">
        <v>2</v>
      </c>
      <c r="I221" s="234" t="s">
        <v>621</v>
      </c>
      <c r="J221" s="234">
        <v>1987</v>
      </c>
      <c r="K221" s="234" t="s">
        <v>962</v>
      </c>
      <c r="L221" s="234">
        <v>1988</v>
      </c>
      <c r="M221" s="389">
        <v>9.11</v>
      </c>
      <c r="N221" s="389">
        <v>-9999</v>
      </c>
      <c r="O221" s="29"/>
      <c r="P221" s="237">
        <f t="shared" ref="P221:P229" si="13">+P220+M221</f>
        <v>12.1</v>
      </c>
      <c r="Q221" s="234">
        <v>-9999</v>
      </c>
      <c r="R221" s="389"/>
      <c r="S221" s="234"/>
      <c r="T221" s="237">
        <f t="shared" si="12"/>
        <v>6.05</v>
      </c>
      <c r="U221" s="234">
        <v>-9999</v>
      </c>
      <c r="V221" s="234"/>
      <c r="W221" s="389">
        <v>9.11</v>
      </c>
      <c r="X221" s="234">
        <v>-9999</v>
      </c>
      <c r="Y221" s="234"/>
      <c r="Z221" s="234" t="s">
        <v>622</v>
      </c>
      <c r="AA221" s="515">
        <v>111111</v>
      </c>
      <c r="AB221" s="389">
        <v>0.6</v>
      </c>
      <c r="AC221" s="234">
        <v>8.6400000000000005E-2</v>
      </c>
      <c r="AD221" s="234">
        <v>36</v>
      </c>
      <c r="AE221" s="390" t="s">
        <v>1974</v>
      </c>
      <c r="AF221" s="234">
        <v>3</v>
      </c>
      <c r="AG221" s="234">
        <v>2</v>
      </c>
      <c r="AH221" s="234" t="s">
        <v>623</v>
      </c>
      <c r="AI221" s="234" t="s">
        <v>624</v>
      </c>
      <c r="AJ221" s="234">
        <v>-9999</v>
      </c>
      <c r="AK221" s="234" t="s">
        <v>626</v>
      </c>
      <c r="AL221" s="234" t="s">
        <v>653</v>
      </c>
      <c r="AM221" s="234">
        <v>-9999</v>
      </c>
      <c r="AN221" s="234" t="s">
        <v>491</v>
      </c>
      <c r="AO221" s="234" t="s">
        <v>627</v>
      </c>
      <c r="AP221" s="234" t="s">
        <v>489</v>
      </c>
      <c r="AQ221" s="234" t="s">
        <v>626</v>
      </c>
      <c r="AR221" s="234">
        <v>336</v>
      </c>
      <c r="AS221" s="234" t="s">
        <v>1101</v>
      </c>
      <c r="AT221" s="234" t="s">
        <v>747</v>
      </c>
      <c r="AU221" s="234">
        <v>112</v>
      </c>
      <c r="AV221" s="234" t="s">
        <v>218</v>
      </c>
      <c r="AW221" s="234" t="s">
        <v>748</v>
      </c>
      <c r="AX221" s="234">
        <v>224</v>
      </c>
      <c r="AY221" s="234" t="s">
        <v>219</v>
      </c>
      <c r="AZ221" s="234" t="s">
        <v>748</v>
      </c>
      <c r="BA221" s="234">
        <v>-9999</v>
      </c>
      <c r="BB221" s="234" t="s">
        <v>626</v>
      </c>
      <c r="BC221" s="516" t="s">
        <v>37</v>
      </c>
      <c r="BD221" s="234" t="s">
        <v>674</v>
      </c>
      <c r="BE221" s="234" t="s">
        <v>36</v>
      </c>
      <c r="BF221" s="234">
        <v>-9999</v>
      </c>
      <c r="BG221" s="234">
        <v>-9999</v>
      </c>
      <c r="BH221" s="234">
        <v>-9999</v>
      </c>
      <c r="BI221" s="234" t="s">
        <v>492</v>
      </c>
      <c r="BJ221" s="234">
        <v>-9999</v>
      </c>
      <c r="BK221" s="234">
        <v>-9999</v>
      </c>
      <c r="BL221" s="234">
        <v>-9999</v>
      </c>
      <c r="BM221" s="234">
        <v>-9999</v>
      </c>
      <c r="BN221" s="234">
        <v>-9999</v>
      </c>
      <c r="BO221" s="234">
        <v>-9999</v>
      </c>
      <c r="BP221" s="234">
        <v>-9999</v>
      </c>
      <c r="BQ221" s="234">
        <v>-9999</v>
      </c>
      <c r="BR221" s="234">
        <v>-9999</v>
      </c>
      <c r="BS221" s="491">
        <v>-9999</v>
      </c>
      <c r="BT221" s="234">
        <v>-9999</v>
      </c>
      <c r="BU221" s="234">
        <v>-9999</v>
      </c>
      <c r="BV221" s="234">
        <v>-9999</v>
      </c>
      <c r="BW221" s="234"/>
      <c r="BX221" s="234">
        <v>-9999</v>
      </c>
      <c r="BY221" s="234">
        <v>-9999</v>
      </c>
      <c r="BZ221" s="496">
        <v>-9999</v>
      </c>
      <c r="CA221" s="496">
        <v>-9999</v>
      </c>
      <c r="CB221" s="499"/>
      <c r="CC221" s="57">
        <v>2</v>
      </c>
      <c r="CD221" s="57">
        <v>1</v>
      </c>
      <c r="CE221" s="292">
        <v>6.05</v>
      </c>
      <c r="CF221" s="292">
        <v>9.11</v>
      </c>
      <c r="CG221" s="72">
        <v>2</v>
      </c>
      <c r="CO221" s="345" t="s">
        <v>1581</v>
      </c>
    </row>
    <row r="222" spans="1:93" s="23" customFormat="1" x14ac:dyDescent="0.2">
      <c r="A222" s="234" t="s">
        <v>679</v>
      </c>
      <c r="B222" s="234" t="s">
        <v>618</v>
      </c>
      <c r="C222" s="234" t="s">
        <v>487</v>
      </c>
      <c r="D222" s="234" t="s">
        <v>619</v>
      </c>
      <c r="E222" s="493" t="s">
        <v>1501</v>
      </c>
      <c r="F222" s="234">
        <v>3</v>
      </c>
      <c r="G222" s="234">
        <v>1</v>
      </c>
      <c r="H222" s="491">
        <v>3</v>
      </c>
      <c r="I222" s="234" t="s">
        <v>621</v>
      </c>
      <c r="J222" s="234">
        <v>1987</v>
      </c>
      <c r="K222" s="234" t="s">
        <v>962</v>
      </c>
      <c r="L222" s="234">
        <v>1989</v>
      </c>
      <c r="M222" s="389">
        <v>9.9</v>
      </c>
      <c r="N222" s="389">
        <v>-9999</v>
      </c>
      <c r="O222" s="29"/>
      <c r="P222" s="237">
        <f t="shared" si="13"/>
        <v>22</v>
      </c>
      <c r="Q222" s="234">
        <v>-9999</v>
      </c>
      <c r="R222" s="389"/>
      <c r="S222" s="234"/>
      <c r="T222" s="237">
        <f t="shared" si="12"/>
        <v>7.333333333333333</v>
      </c>
      <c r="U222" s="234">
        <v>-9999</v>
      </c>
      <c r="V222" s="234"/>
      <c r="W222" s="389">
        <v>9.9</v>
      </c>
      <c r="X222" s="234">
        <v>-9999</v>
      </c>
      <c r="Y222" s="234"/>
      <c r="Z222" s="234" t="s">
        <v>622</v>
      </c>
      <c r="AA222" s="515">
        <v>111111</v>
      </c>
      <c r="AB222" s="389">
        <v>0.48</v>
      </c>
      <c r="AC222" s="234">
        <v>8.6400000000000005E-2</v>
      </c>
      <c r="AD222" s="234">
        <v>36</v>
      </c>
      <c r="AE222" s="390" t="s">
        <v>1974</v>
      </c>
      <c r="AF222" s="234">
        <v>3</v>
      </c>
      <c r="AG222" s="234">
        <v>2</v>
      </c>
      <c r="AH222" s="234" t="s">
        <v>623</v>
      </c>
      <c r="AI222" s="234" t="s">
        <v>624</v>
      </c>
      <c r="AJ222" s="234">
        <v>-9999</v>
      </c>
      <c r="AK222" s="234" t="s">
        <v>626</v>
      </c>
      <c r="AL222" s="234" t="s">
        <v>653</v>
      </c>
      <c r="AM222" s="234">
        <v>-9999</v>
      </c>
      <c r="AN222" s="234" t="s">
        <v>491</v>
      </c>
      <c r="AO222" s="234" t="s">
        <v>627</v>
      </c>
      <c r="AP222" s="234" t="s">
        <v>489</v>
      </c>
      <c r="AQ222" s="234" t="s">
        <v>626</v>
      </c>
      <c r="AR222" s="234">
        <v>336</v>
      </c>
      <c r="AS222" s="234" t="s">
        <v>1101</v>
      </c>
      <c r="AT222" s="234" t="s">
        <v>747</v>
      </c>
      <c r="AU222" s="234">
        <v>112</v>
      </c>
      <c r="AV222" s="234" t="s">
        <v>218</v>
      </c>
      <c r="AW222" s="234" t="s">
        <v>748</v>
      </c>
      <c r="AX222" s="234">
        <v>224</v>
      </c>
      <c r="AY222" s="234" t="s">
        <v>219</v>
      </c>
      <c r="AZ222" s="234" t="s">
        <v>748</v>
      </c>
      <c r="BA222" s="234">
        <v>-9999</v>
      </c>
      <c r="BB222" s="234" t="s">
        <v>626</v>
      </c>
      <c r="BC222" s="516" t="s">
        <v>37</v>
      </c>
      <c r="BD222" s="234" t="s">
        <v>674</v>
      </c>
      <c r="BE222" s="234" t="s">
        <v>36</v>
      </c>
      <c r="BF222" s="234">
        <v>-9999</v>
      </c>
      <c r="BG222" s="234">
        <v>-9999</v>
      </c>
      <c r="BH222" s="234">
        <v>-9999</v>
      </c>
      <c r="BI222" s="234" t="s">
        <v>492</v>
      </c>
      <c r="BJ222" s="234">
        <v>-9999</v>
      </c>
      <c r="BK222" s="234">
        <v>-9999</v>
      </c>
      <c r="BL222" s="234">
        <v>-9999</v>
      </c>
      <c r="BM222" s="234">
        <v>-9999</v>
      </c>
      <c r="BN222" s="234">
        <v>-9999</v>
      </c>
      <c r="BO222" s="234">
        <v>-9999</v>
      </c>
      <c r="BP222" s="234">
        <v>-9999</v>
      </c>
      <c r="BQ222" s="234">
        <v>-9999</v>
      </c>
      <c r="BR222" s="234">
        <v>-9999</v>
      </c>
      <c r="BS222" s="491">
        <v>-9999</v>
      </c>
      <c r="BT222" s="234">
        <v>-9999</v>
      </c>
      <c r="BU222" s="234">
        <v>-9999</v>
      </c>
      <c r="BV222" s="234">
        <v>-9999</v>
      </c>
      <c r="BW222" s="234"/>
      <c r="BX222" s="234">
        <v>-9999</v>
      </c>
      <c r="BY222" s="234">
        <v>-9999</v>
      </c>
      <c r="BZ222" s="496">
        <v>-9999</v>
      </c>
      <c r="CA222" s="496">
        <v>-9999</v>
      </c>
      <c r="CB222" s="499"/>
      <c r="CC222" s="57">
        <v>3</v>
      </c>
      <c r="CD222" s="57">
        <v>1</v>
      </c>
      <c r="CE222" s="292">
        <v>7.333333333333333</v>
      </c>
      <c r="CF222" s="292">
        <v>9.9</v>
      </c>
      <c r="CG222" s="72">
        <v>3</v>
      </c>
    </row>
    <row r="223" spans="1:93" s="23" customFormat="1" x14ac:dyDescent="0.2">
      <c r="A223" s="234" t="s">
        <v>679</v>
      </c>
      <c r="B223" s="234" t="s">
        <v>618</v>
      </c>
      <c r="C223" s="234" t="s">
        <v>487</v>
      </c>
      <c r="D223" s="234" t="s">
        <v>619</v>
      </c>
      <c r="E223" s="493" t="s">
        <v>1501</v>
      </c>
      <c r="F223" s="234">
        <v>4</v>
      </c>
      <c r="G223" s="234">
        <v>1</v>
      </c>
      <c r="H223" s="491">
        <v>4</v>
      </c>
      <c r="I223" s="234" t="s">
        <v>621</v>
      </c>
      <c r="J223" s="234">
        <v>1987</v>
      </c>
      <c r="K223" s="234" t="s">
        <v>962</v>
      </c>
      <c r="L223" s="234">
        <v>1990</v>
      </c>
      <c r="M223" s="389">
        <v>10.199999999999999</v>
      </c>
      <c r="N223" s="389">
        <v>-9999</v>
      </c>
      <c r="O223" s="29"/>
      <c r="P223" s="237">
        <f t="shared" si="13"/>
        <v>32.200000000000003</v>
      </c>
      <c r="Q223" s="234">
        <v>-9999</v>
      </c>
      <c r="R223" s="389"/>
      <c r="S223" s="234"/>
      <c r="T223" s="237">
        <f t="shared" si="12"/>
        <v>8.0500000000000007</v>
      </c>
      <c r="U223" s="234">
        <v>-9999</v>
      </c>
      <c r="V223" s="234"/>
      <c r="W223" s="389">
        <v>10.199999999999999</v>
      </c>
      <c r="X223" s="234">
        <v>-9999</v>
      </c>
      <c r="Y223" s="234"/>
      <c r="Z223" s="234" t="s">
        <v>622</v>
      </c>
      <c r="AA223" s="515">
        <v>111111</v>
      </c>
      <c r="AB223" s="389">
        <v>0.39</v>
      </c>
      <c r="AC223" s="234">
        <v>8.6400000000000005E-2</v>
      </c>
      <c r="AD223" s="234">
        <v>36</v>
      </c>
      <c r="AE223" s="390" t="s">
        <v>1974</v>
      </c>
      <c r="AF223" s="234">
        <v>3</v>
      </c>
      <c r="AG223" s="234">
        <v>2</v>
      </c>
      <c r="AH223" s="234" t="s">
        <v>623</v>
      </c>
      <c r="AI223" s="234" t="s">
        <v>624</v>
      </c>
      <c r="AJ223" s="234">
        <v>-9999</v>
      </c>
      <c r="AK223" s="234" t="s">
        <v>626</v>
      </c>
      <c r="AL223" s="234" t="s">
        <v>653</v>
      </c>
      <c r="AM223" s="234">
        <v>-9999</v>
      </c>
      <c r="AN223" s="234" t="s">
        <v>491</v>
      </c>
      <c r="AO223" s="234" t="s">
        <v>627</v>
      </c>
      <c r="AP223" s="234" t="s">
        <v>489</v>
      </c>
      <c r="AQ223" s="234" t="s">
        <v>626</v>
      </c>
      <c r="AR223" s="234">
        <v>336</v>
      </c>
      <c r="AS223" s="234" t="s">
        <v>1101</v>
      </c>
      <c r="AT223" s="234" t="s">
        <v>747</v>
      </c>
      <c r="AU223" s="234">
        <v>112</v>
      </c>
      <c r="AV223" s="234" t="s">
        <v>218</v>
      </c>
      <c r="AW223" s="234" t="s">
        <v>748</v>
      </c>
      <c r="AX223" s="234">
        <v>224</v>
      </c>
      <c r="AY223" s="234" t="s">
        <v>219</v>
      </c>
      <c r="AZ223" s="234" t="s">
        <v>748</v>
      </c>
      <c r="BA223" s="234">
        <v>-9999</v>
      </c>
      <c r="BB223" s="234" t="s">
        <v>626</v>
      </c>
      <c r="BC223" s="516" t="s">
        <v>37</v>
      </c>
      <c r="BD223" s="234" t="s">
        <v>674</v>
      </c>
      <c r="BE223" s="234" t="s">
        <v>36</v>
      </c>
      <c r="BF223" s="234">
        <v>-9999</v>
      </c>
      <c r="BG223" s="234">
        <v>-9999</v>
      </c>
      <c r="BH223" s="234">
        <v>-9999</v>
      </c>
      <c r="BI223" s="234" t="s">
        <v>492</v>
      </c>
      <c r="BJ223" s="234">
        <v>-9999</v>
      </c>
      <c r="BK223" s="234">
        <v>-9999</v>
      </c>
      <c r="BL223" s="234">
        <v>-9999</v>
      </c>
      <c r="BM223" s="234">
        <v>-9999</v>
      </c>
      <c r="BN223" s="234">
        <v>-9999</v>
      </c>
      <c r="BO223" s="234">
        <v>-9999</v>
      </c>
      <c r="BP223" s="234">
        <v>-9999</v>
      </c>
      <c r="BQ223" s="234">
        <v>-9999</v>
      </c>
      <c r="BR223" s="234">
        <v>-9999</v>
      </c>
      <c r="BS223" s="491">
        <v>-9999</v>
      </c>
      <c r="BT223" s="234">
        <v>-9999</v>
      </c>
      <c r="BU223" s="234">
        <v>-9999</v>
      </c>
      <c r="BV223" s="234">
        <v>-9999</v>
      </c>
      <c r="BW223" s="234"/>
      <c r="BX223" s="234">
        <v>-9999</v>
      </c>
      <c r="BY223" s="234">
        <v>-9999</v>
      </c>
      <c r="BZ223" s="496">
        <v>-9999</v>
      </c>
      <c r="CA223" s="496">
        <v>-9999</v>
      </c>
      <c r="CB223" s="499"/>
      <c r="CC223" s="57">
        <v>4</v>
      </c>
      <c r="CD223" s="57">
        <v>1</v>
      </c>
      <c r="CE223" s="292">
        <v>8.0500000000000007</v>
      </c>
      <c r="CF223" s="292">
        <v>10.199999999999999</v>
      </c>
      <c r="CG223" s="72">
        <v>4</v>
      </c>
    </row>
    <row r="224" spans="1:93" s="301" customFormat="1" x14ac:dyDescent="0.2">
      <c r="A224" s="390" t="s">
        <v>679</v>
      </c>
      <c r="B224" s="390" t="s">
        <v>618</v>
      </c>
      <c r="C224" s="390" t="s">
        <v>487</v>
      </c>
      <c r="D224" s="390" t="s">
        <v>619</v>
      </c>
      <c r="E224" s="493" t="s">
        <v>1501</v>
      </c>
      <c r="F224" s="390">
        <v>5</v>
      </c>
      <c r="G224" s="390">
        <v>1</v>
      </c>
      <c r="H224" s="391">
        <v>5</v>
      </c>
      <c r="I224" s="390" t="s">
        <v>621</v>
      </c>
      <c r="J224" s="390">
        <v>1987</v>
      </c>
      <c r="K224" s="390" t="s">
        <v>962</v>
      </c>
      <c r="L224" s="390">
        <v>1991</v>
      </c>
      <c r="M224" s="392">
        <v>11.3</v>
      </c>
      <c r="N224" s="392">
        <v>-9999</v>
      </c>
      <c r="O224" s="323"/>
      <c r="P224" s="237">
        <f t="shared" si="13"/>
        <v>43.5</v>
      </c>
      <c r="Q224" s="390">
        <v>-9999</v>
      </c>
      <c r="R224" s="392"/>
      <c r="S224" s="390"/>
      <c r="T224" s="237">
        <f t="shared" si="12"/>
        <v>8.6999999999999993</v>
      </c>
      <c r="U224" s="390">
        <v>-9999</v>
      </c>
      <c r="V224" s="390"/>
      <c r="W224" s="392">
        <v>11.3</v>
      </c>
      <c r="X224" s="390">
        <v>-9999</v>
      </c>
      <c r="Y224" s="390"/>
      <c r="Z224" s="390" t="s">
        <v>622</v>
      </c>
      <c r="AA224" s="515">
        <v>111111</v>
      </c>
      <c r="AB224" s="392">
        <v>0.38</v>
      </c>
      <c r="AC224" s="234">
        <v>8.6400000000000005E-2</v>
      </c>
      <c r="AD224" s="390">
        <v>36</v>
      </c>
      <c r="AE224" s="390" t="s">
        <v>1974</v>
      </c>
      <c r="AF224" s="390">
        <v>3</v>
      </c>
      <c r="AG224" s="390">
        <v>2</v>
      </c>
      <c r="AH224" s="390" t="s">
        <v>623</v>
      </c>
      <c r="AI224" s="390" t="s">
        <v>624</v>
      </c>
      <c r="AJ224" s="390">
        <v>-9999</v>
      </c>
      <c r="AK224" s="390" t="s">
        <v>626</v>
      </c>
      <c r="AL224" s="390" t="s">
        <v>653</v>
      </c>
      <c r="AM224" s="390">
        <v>-9999</v>
      </c>
      <c r="AN224" s="390" t="s">
        <v>491</v>
      </c>
      <c r="AO224" s="390" t="s">
        <v>627</v>
      </c>
      <c r="AP224" s="390" t="s">
        <v>489</v>
      </c>
      <c r="AQ224" s="390" t="s">
        <v>626</v>
      </c>
      <c r="AR224" s="390">
        <v>336</v>
      </c>
      <c r="AS224" s="390" t="s">
        <v>1101</v>
      </c>
      <c r="AT224" s="390" t="s">
        <v>747</v>
      </c>
      <c r="AU224" s="390">
        <v>112</v>
      </c>
      <c r="AV224" s="390" t="s">
        <v>218</v>
      </c>
      <c r="AW224" s="390" t="s">
        <v>748</v>
      </c>
      <c r="AX224" s="390">
        <v>224</v>
      </c>
      <c r="AY224" s="390" t="s">
        <v>219</v>
      </c>
      <c r="AZ224" s="390" t="s">
        <v>748</v>
      </c>
      <c r="BA224" s="390">
        <v>-9999</v>
      </c>
      <c r="BB224" s="390" t="s">
        <v>626</v>
      </c>
      <c r="BC224" s="519" t="s">
        <v>37</v>
      </c>
      <c r="BD224" s="390" t="s">
        <v>674</v>
      </c>
      <c r="BE224" s="390" t="s">
        <v>36</v>
      </c>
      <c r="BF224" s="390">
        <v>-9999</v>
      </c>
      <c r="BG224" s="390">
        <v>-9999</v>
      </c>
      <c r="BH224" s="390">
        <v>-9999</v>
      </c>
      <c r="BI224" s="390" t="s">
        <v>492</v>
      </c>
      <c r="BJ224" s="390">
        <v>-9999</v>
      </c>
      <c r="BK224" s="390">
        <v>-9999</v>
      </c>
      <c r="BL224" s="390">
        <v>-9999</v>
      </c>
      <c r="BM224" s="390">
        <v>-9999</v>
      </c>
      <c r="BN224" s="390">
        <v>-9999</v>
      </c>
      <c r="BO224" s="390">
        <v>-9999</v>
      </c>
      <c r="BP224" s="390">
        <v>-9999</v>
      </c>
      <c r="BQ224" s="390">
        <v>-9999</v>
      </c>
      <c r="BR224" s="390">
        <v>-9999</v>
      </c>
      <c r="BS224" s="391">
        <v>-9999</v>
      </c>
      <c r="BT224" s="390">
        <v>-9999</v>
      </c>
      <c r="BU224" s="390">
        <v>-9999</v>
      </c>
      <c r="BV224" s="390">
        <v>-9999</v>
      </c>
      <c r="BW224" s="390"/>
      <c r="BX224" s="390">
        <v>-9999</v>
      </c>
      <c r="BY224" s="390">
        <v>-9999</v>
      </c>
      <c r="BZ224" s="509">
        <v>-9999</v>
      </c>
      <c r="CA224" s="509">
        <v>-9999</v>
      </c>
      <c r="CB224" s="498"/>
      <c r="CC224" s="381">
        <v>5</v>
      </c>
      <c r="CD224" s="381">
        <v>1</v>
      </c>
      <c r="CE224" s="402">
        <v>8.6999999999999993</v>
      </c>
      <c r="CF224" s="342">
        <v>11.3</v>
      </c>
      <c r="CG224" s="391">
        <v>5</v>
      </c>
      <c r="CH224" s="438"/>
    </row>
    <row r="225" spans="1:1873" s="23" customFormat="1" x14ac:dyDescent="0.2">
      <c r="A225" s="234" t="s">
        <v>679</v>
      </c>
      <c r="B225" s="234" t="s">
        <v>618</v>
      </c>
      <c r="C225" s="234" t="s">
        <v>487</v>
      </c>
      <c r="D225" s="234" t="s">
        <v>619</v>
      </c>
      <c r="E225" s="493" t="s">
        <v>1501</v>
      </c>
      <c r="F225" s="234">
        <v>6</v>
      </c>
      <c r="G225" s="234">
        <v>1</v>
      </c>
      <c r="H225" s="491">
        <v>6</v>
      </c>
      <c r="I225" s="234" t="s">
        <v>621</v>
      </c>
      <c r="J225" s="234">
        <v>1987</v>
      </c>
      <c r="K225" s="234" t="s">
        <v>962</v>
      </c>
      <c r="L225" s="234">
        <v>1992</v>
      </c>
      <c r="M225" s="389">
        <v>7.6</v>
      </c>
      <c r="N225" s="389">
        <v>-9999</v>
      </c>
      <c r="O225" s="29"/>
      <c r="P225" s="237">
        <f t="shared" si="13"/>
        <v>51.1</v>
      </c>
      <c r="Q225" s="234">
        <v>-9999</v>
      </c>
      <c r="R225" s="389"/>
      <c r="S225" s="234"/>
      <c r="T225" s="237">
        <f t="shared" si="12"/>
        <v>8.5166666666666675</v>
      </c>
      <c r="U225" s="234">
        <v>-9999</v>
      </c>
      <c r="V225" s="234"/>
      <c r="W225" s="389">
        <v>7.6</v>
      </c>
      <c r="X225" s="234">
        <v>-9999</v>
      </c>
      <c r="Y225" s="234"/>
      <c r="Z225" s="234" t="s">
        <v>622</v>
      </c>
      <c r="AA225" s="515">
        <v>111111</v>
      </c>
      <c r="AB225" s="389">
        <v>0.31</v>
      </c>
      <c r="AC225" s="234">
        <v>8.6400000000000005E-2</v>
      </c>
      <c r="AD225" s="234">
        <v>36</v>
      </c>
      <c r="AE225" s="390" t="s">
        <v>1974</v>
      </c>
      <c r="AF225" s="234">
        <v>3</v>
      </c>
      <c r="AG225" s="234">
        <v>2</v>
      </c>
      <c r="AH225" s="234" t="s">
        <v>623</v>
      </c>
      <c r="AI225" s="234" t="s">
        <v>624</v>
      </c>
      <c r="AJ225" s="234">
        <v>-9999</v>
      </c>
      <c r="AK225" s="234" t="s">
        <v>626</v>
      </c>
      <c r="AL225" s="234" t="s">
        <v>653</v>
      </c>
      <c r="AM225" s="234">
        <v>-9999</v>
      </c>
      <c r="AN225" s="234" t="s">
        <v>491</v>
      </c>
      <c r="AO225" s="234" t="s">
        <v>627</v>
      </c>
      <c r="AP225" s="234" t="s">
        <v>489</v>
      </c>
      <c r="AQ225" s="234" t="s">
        <v>626</v>
      </c>
      <c r="AR225" s="234">
        <v>336</v>
      </c>
      <c r="AS225" s="234" t="s">
        <v>1101</v>
      </c>
      <c r="AT225" s="234" t="s">
        <v>747</v>
      </c>
      <c r="AU225" s="234">
        <v>112</v>
      </c>
      <c r="AV225" s="234" t="s">
        <v>218</v>
      </c>
      <c r="AW225" s="234" t="s">
        <v>748</v>
      </c>
      <c r="AX225" s="234">
        <v>224</v>
      </c>
      <c r="AY225" s="234" t="s">
        <v>219</v>
      </c>
      <c r="AZ225" s="234" t="s">
        <v>748</v>
      </c>
      <c r="BA225" s="234">
        <v>-9999</v>
      </c>
      <c r="BB225" s="234" t="s">
        <v>626</v>
      </c>
      <c r="BC225" s="516" t="s">
        <v>37</v>
      </c>
      <c r="BD225" s="234" t="s">
        <v>674</v>
      </c>
      <c r="BE225" s="234" t="s">
        <v>36</v>
      </c>
      <c r="BF225" s="234">
        <v>-9999</v>
      </c>
      <c r="BG225" s="234">
        <v>-9999</v>
      </c>
      <c r="BH225" s="234">
        <v>-9999</v>
      </c>
      <c r="BI225" s="234" t="s">
        <v>492</v>
      </c>
      <c r="BJ225" s="234">
        <v>-9999</v>
      </c>
      <c r="BK225" s="234">
        <v>-9999</v>
      </c>
      <c r="BL225" s="234">
        <v>-9999</v>
      </c>
      <c r="BM225" s="234">
        <v>-9999</v>
      </c>
      <c r="BN225" s="234">
        <v>-9999</v>
      </c>
      <c r="BO225" s="234">
        <v>-9999</v>
      </c>
      <c r="BP225" s="234">
        <v>-9999</v>
      </c>
      <c r="BQ225" s="234">
        <v>-9999</v>
      </c>
      <c r="BR225" s="234">
        <v>-9999</v>
      </c>
      <c r="BS225" s="491">
        <v>-9999</v>
      </c>
      <c r="BT225" s="234">
        <v>-9999</v>
      </c>
      <c r="BU225" s="234">
        <v>-9999</v>
      </c>
      <c r="BV225" s="234">
        <v>-9999</v>
      </c>
      <c r="BW225" s="234"/>
      <c r="BX225" s="234">
        <v>-9999</v>
      </c>
      <c r="BY225" s="234">
        <v>-9999</v>
      </c>
      <c r="BZ225" s="496">
        <v>-9999</v>
      </c>
      <c r="CA225" s="496">
        <v>-9999</v>
      </c>
      <c r="CB225" s="499"/>
      <c r="CC225" s="57">
        <v>6</v>
      </c>
      <c r="CD225" s="57">
        <v>1</v>
      </c>
      <c r="CE225" s="292">
        <v>8.5166666666666675</v>
      </c>
      <c r="CF225" s="292">
        <v>7.6</v>
      </c>
      <c r="CG225" s="72">
        <v>6</v>
      </c>
    </row>
    <row r="226" spans="1:1873" s="301" customFormat="1" x14ac:dyDescent="0.2">
      <c r="A226" s="390" t="s">
        <v>679</v>
      </c>
      <c r="B226" s="390" t="s">
        <v>618</v>
      </c>
      <c r="C226" s="390" t="s">
        <v>487</v>
      </c>
      <c r="D226" s="390" t="s">
        <v>619</v>
      </c>
      <c r="E226" s="493" t="s">
        <v>1501</v>
      </c>
      <c r="F226" s="390">
        <v>7</v>
      </c>
      <c r="G226" s="390">
        <v>1</v>
      </c>
      <c r="H226" s="391">
        <v>7</v>
      </c>
      <c r="I226" s="390" t="s">
        <v>621</v>
      </c>
      <c r="J226" s="390">
        <v>1987</v>
      </c>
      <c r="K226" s="390" t="s">
        <v>962</v>
      </c>
      <c r="L226" s="390">
        <v>1993</v>
      </c>
      <c r="M226" s="392">
        <v>9.81</v>
      </c>
      <c r="N226" s="392">
        <v>-9999</v>
      </c>
      <c r="O226" s="323"/>
      <c r="P226" s="237">
        <f t="shared" si="13"/>
        <v>60.910000000000004</v>
      </c>
      <c r="Q226" s="390">
        <v>-9999</v>
      </c>
      <c r="R226" s="392"/>
      <c r="S226" s="390"/>
      <c r="T226" s="237">
        <f t="shared" si="12"/>
        <v>8.701428571428572</v>
      </c>
      <c r="U226" s="390">
        <v>-9999</v>
      </c>
      <c r="V226" s="390"/>
      <c r="W226" s="392">
        <v>9.81</v>
      </c>
      <c r="X226" s="390">
        <v>-9999</v>
      </c>
      <c r="Y226" s="390"/>
      <c r="Z226" s="390" t="s">
        <v>622</v>
      </c>
      <c r="AA226" s="515">
        <v>111111</v>
      </c>
      <c r="AB226" s="392">
        <v>0.26</v>
      </c>
      <c r="AC226" s="234">
        <v>8.6400000000000005E-2</v>
      </c>
      <c r="AD226" s="390">
        <v>36</v>
      </c>
      <c r="AE226" s="390" t="s">
        <v>1974</v>
      </c>
      <c r="AF226" s="390">
        <v>3</v>
      </c>
      <c r="AG226" s="390">
        <v>2</v>
      </c>
      <c r="AH226" s="390" t="s">
        <v>623</v>
      </c>
      <c r="AI226" s="390" t="s">
        <v>624</v>
      </c>
      <c r="AJ226" s="390">
        <v>-9999</v>
      </c>
      <c r="AK226" s="390" t="s">
        <v>626</v>
      </c>
      <c r="AL226" s="390" t="s">
        <v>653</v>
      </c>
      <c r="AM226" s="390">
        <v>-9999</v>
      </c>
      <c r="AN226" s="390" t="s">
        <v>491</v>
      </c>
      <c r="AO226" s="390" t="s">
        <v>627</v>
      </c>
      <c r="AP226" s="390" t="s">
        <v>489</v>
      </c>
      <c r="AQ226" s="390" t="s">
        <v>626</v>
      </c>
      <c r="AR226" s="390">
        <v>336</v>
      </c>
      <c r="AS226" s="390" t="s">
        <v>1101</v>
      </c>
      <c r="AT226" s="390" t="s">
        <v>747</v>
      </c>
      <c r="AU226" s="390">
        <v>112</v>
      </c>
      <c r="AV226" s="390" t="s">
        <v>218</v>
      </c>
      <c r="AW226" s="390" t="s">
        <v>748</v>
      </c>
      <c r="AX226" s="390">
        <v>224</v>
      </c>
      <c r="AY226" s="390" t="s">
        <v>219</v>
      </c>
      <c r="AZ226" s="390" t="s">
        <v>748</v>
      </c>
      <c r="BA226" s="390">
        <v>-9999</v>
      </c>
      <c r="BB226" s="390" t="s">
        <v>626</v>
      </c>
      <c r="BC226" s="519" t="s">
        <v>37</v>
      </c>
      <c r="BD226" s="390" t="s">
        <v>674</v>
      </c>
      <c r="BE226" s="390" t="s">
        <v>36</v>
      </c>
      <c r="BF226" s="390">
        <v>-9999</v>
      </c>
      <c r="BG226" s="390">
        <v>-9999</v>
      </c>
      <c r="BH226" s="390">
        <v>-9999</v>
      </c>
      <c r="BI226" s="390" t="s">
        <v>492</v>
      </c>
      <c r="BJ226" s="390">
        <v>-9999</v>
      </c>
      <c r="BK226" s="390">
        <v>-9999</v>
      </c>
      <c r="BL226" s="390">
        <v>-9999</v>
      </c>
      <c r="BM226" s="390">
        <v>-9999</v>
      </c>
      <c r="BN226" s="390">
        <v>-9999</v>
      </c>
      <c r="BO226" s="390">
        <v>-9999</v>
      </c>
      <c r="BP226" s="390">
        <v>-9999</v>
      </c>
      <c r="BQ226" s="390">
        <v>-9999</v>
      </c>
      <c r="BR226" s="390">
        <v>-9999</v>
      </c>
      <c r="BS226" s="391">
        <v>-9999</v>
      </c>
      <c r="BT226" s="390">
        <v>-9999</v>
      </c>
      <c r="BU226" s="390">
        <v>-9999</v>
      </c>
      <c r="BV226" s="390">
        <v>-9999</v>
      </c>
      <c r="BW226" s="390"/>
      <c r="BX226" s="390">
        <v>-9999</v>
      </c>
      <c r="BY226" s="390">
        <v>-9999</v>
      </c>
      <c r="BZ226" s="509">
        <v>-9999</v>
      </c>
      <c r="CA226" s="509">
        <v>-9999</v>
      </c>
      <c r="CB226" s="498"/>
      <c r="CC226" s="380">
        <v>7</v>
      </c>
      <c r="CD226" s="380">
        <v>1</v>
      </c>
      <c r="CE226" s="342">
        <v>8.701428571428572</v>
      </c>
      <c r="CF226" s="342">
        <v>9.81</v>
      </c>
      <c r="CG226" s="388">
        <v>7</v>
      </c>
    </row>
    <row r="227" spans="1:1873" s="23" customFormat="1" x14ac:dyDescent="0.2">
      <c r="A227" s="234" t="s">
        <v>679</v>
      </c>
      <c r="B227" s="234" t="s">
        <v>618</v>
      </c>
      <c r="C227" s="234" t="s">
        <v>487</v>
      </c>
      <c r="D227" s="234" t="s">
        <v>619</v>
      </c>
      <c r="E227" s="493" t="s">
        <v>1501</v>
      </c>
      <c r="F227" s="234">
        <v>8</v>
      </c>
      <c r="G227" s="234">
        <v>1</v>
      </c>
      <c r="H227" s="491">
        <v>8</v>
      </c>
      <c r="I227" s="234" t="s">
        <v>621</v>
      </c>
      <c r="J227" s="234">
        <v>1987</v>
      </c>
      <c r="K227" s="234" t="s">
        <v>962</v>
      </c>
      <c r="L227" s="234">
        <v>1994</v>
      </c>
      <c r="M227" s="389">
        <v>9.0399999999999991</v>
      </c>
      <c r="N227" s="389">
        <v>-9999</v>
      </c>
      <c r="O227" s="29"/>
      <c r="P227" s="237">
        <f t="shared" si="13"/>
        <v>69.95</v>
      </c>
      <c r="Q227" s="234">
        <v>-9999</v>
      </c>
      <c r="R227" s="389"/>
      <c r="S227" s="234"/>
      <c r="T227" s="237">
        <f t="shared" si="12"/>
        <v>8.7437500000000004</v>
      </c>
      <c r="U227" s="234">
        <v>-9999</v>
      </c>
      <c r="V227" s="234"/>
      <c r="W227" s="389">
        <v>9.0399999999999991</v>
      </c>
      <c r="X227" s="234">
        <v>-9999</v>
      </c>
      <c r="Y227" s="234"/>
      <c r="Z227" s="234" t="s">
        <v>622</v>
      </c>
      <c r="AA227" s="515">
        <v>111111</v>
      </c>
      <c r="AB227" s="412">
        <v>0.26</v>
      </c>
      <c r="AC227" s="234">
        <v>8.6400000000000005E-2</v>
      </c>
      <c r="AD227" s="234">
        <v>36</v>
      </c>
      <c r="AE227" s="390" t="s">
        <v>1974</v>
      </c>
      <c r="AF227" s="234">
        <v>3</v>
      </c>
      <c r="AG227" s="234">
        <v>2</v>
      </c>
      <c r="AH227" s="234" t="s">
        <v>623</v>
      </c>
      <c r="AI227" s="234" t="s">
        <v>624</v>
      </c>
      <c r="AJ227" s="234">
        <v>-9999</v>
      </c>
      <c r="AK227" s="234" t="s">
        <v>626</v>
      </c>
      <c r="AL227" s="234" t="s">
        <v>653</v>
      </c>
      <c r="AM227" s="234">
        <v>-9999</v>
      </c>
      <c r="AN227" s="234" t="s">
        <v>491</v>
      </c>
      <c r="AO227" s="234" t="s">
        <v>627</v>
      </c>
      <c r="AP227" s="234" t="s">
        <v>489</v>
      </c>
      <c r="AQ227" s="234" t="s">
        <v>626</v>
      </c>
      <c r="AR227" s="234">
        <v>336</v>
      </c>
      <c r="AS227" s="234" t="s">
        <v>1101</v>
      </c>
      <c r="AT227" s="234" t="s">
        <v>747</v>
      </c>
      <c r="AU227" s="234">
        <v>112</v>
      </c>
      <c r="AV227" s="234" t="s">
        <v>218</v>
      </c>
      <c r="AW227" s="234" t="s">
        <v>748</v>
      </c>
      <c r="AX227" s="234">
        <v>224</v>
      </c>
      <c r="AY227" s="234" t="s">
        <v>219</v>
      </c>
      <c r="AZ227" s="234" t="s">
        <v>748</v>
      </c>
      <c r="BA227" s="234">
        <v>-9999</v>
      </c>
      <c r="BB227" s="234" t="s">
        <v>626</v>
      </c>
      <c r="BC227" s="516" t="s">
        <v>37</v>
      </c>
      <c r="BD227" s="234" t="s">
        <v>674</v>
      </c>
      <c r="BE227" s="234" t="s">
        <v>36</v>
      </c>
      <c r="BF227" s="234">
        <v>-9999</v>
      </c>
      <c r="BG227" s="234">
        <v>-9999</v>
      </c>
      <c r="BH227" s="234">
        <v>-9999</v>
      </c>
      <c r="BI227" s="234" t="s">
        <v>492</v>
      </c>
      <c r="BJ227" s="234">
        <v>-9999</v>
      </c>
      <c r="BK227" s="234">
        <v>-9999</v>
      </c>
      <c r="BL227" s="234">
        <v>-9999</v>
      </c>
      <c r="BM227" s="234">
        <v>-9999</v>
      </c>
      <c r="BN227" s="234">
        <v>-9999</v>
      </c>
      <c r="BO227" s="234">
        <v>-9999</v>
      </c>
      <c r="BP227" s="234">
        <v>-9999</v>
      </c>
      <c r="BQ227" s="234">
        <v>-9999</v>
      </c>
      <c r="BR227" s="234">
        <v>-9999</v>
      </c>
      <c r="BS227" s="491">
        <v>-9999</v>
      </c>
      <c r="BT227" s="234">
        <v>-9999</v>
      </c>
      <c r="BU227" s="234">
        <v>-9999</v>
      </c>
      <c r="BV227" s="234">
        <v>-9999</v>
      </c>
      <c r="BW227" s="234"/>
      <c r="BX227" s="234">
        <v>-9999</v>
      </c>
      <c r="BY227" s="234">
        <v>-9999</v>
      </c>
      <c r="BZ227" s="496">
        <v>-9999</v>
      </c>
      <c r="CA227" s="496">
        <v>-9999</v>
      </c>
      <c r="CB227" s="499"/>
      <c r="CC227" s="57">
        <v>8</v>
      </c>
      <c r="CD227" s="57">
        <v>1</v>
      </c>
      <c r="CE227" s="292">
        <v>8.7437500000000004</v>
      </c>
      <c r="CF227" s="292">
        <v>9.0399999999999991</v>
      </c>
      <c r="CG227" s="72">
        <v>8</v>
      </c>
    </row>
    <row r="228" spans="1:1873" s="301" customFormat="1" x14ac:dyDescent="0.2">
      <c r="A228" s="390" t="s">
        <v>1110</v>
      </c>
      <c r="B228" s="390" t="s">
        <v>618</v>
      </c>
      <c r="C228" s="390" t="s">
        <v>487</v>
      </c>
      <c r="D228" s="390" t="s">
        <v>619</v>
      </c>
      <c r="E228" s="493" t="s">
        <v>1501</v>
      </c>
      <c r="F228" s="390">
        <v>9</v>
      </c>
      <c r="G228" s="390">
        <v>1</v>
      </c>
      <c r="H228" s="391">
        <v>9</v>
      </c>
      <c r="I228" s="390" t="s">
        <v>621</v>
      </c>
      <c r="J228" s="390">
        <v>1987</v>
      </c>
      <c r="K228" s="390" t="s">
        <v>962</v>
      </c>
      <c r="L228" s="390">
        <v>1995</v>
      </c>
      <c r="M228" s="392">
        <v>9.2200000000000006</v>
      </c>
      <c r="N228" s="392">
        <v>-9999</v>
      </c>
      <c r="O228" s="323"/>
      <c r="P228" s="237">
        <f t="shared" si="13"/>
        <v>79.17</v>
      </c>
      <c r="Q228" s="390">
        <v>-9999</v>
      </c>
      <c r="R228" s="392"/>
      <c r="S228" s="390"/>
      <c r="T228" s="237">
        <f t="shared" si="12"/>
        <v>8.7966666666666669</v>
      </c>
      <c r="U228" s="390">
        <v>-9999</v>
      </c>
      <c r="V228" s="390"/>
      <c r="W228" s="392">
        <v>9.2200000000000006</v>
      </c>
      <c r="X228" s="390">
        <v>-9999</v>
      </c>
      <c r="Y228" s="390"/>
      <c r="Z228" s="390" t="s">
        <v>622</v>
      </c>
      <c r="AA228" s="515">
        <v>111111</v>
      </c>
      <c r="AB228" s="412">
        <v>0.26</v>
      </c>
      <c r="AC228" s="234">
        <v>8.6400000000000005E-2</v>
      </c>
      <c r="AD228" s="390">
        <v>36</v>
      </c>
      <c r="AE228" s="390" t="s">
        <v>1974</v>
      </c>
      <c r="AF228" s="390">
        <v>3</v>
      </c>
      <c r="AG228" s="390">
        <v>2</v>
      </c>
      <c r="AH228" s="390" t="s">
        <v>623</v>
      </c>
      <c r="AI228" s="390" t="s">
        <v>624</v>
      </c>
      <c r="AJ228" s="390">
        <v>-9999</v>
      </c>
      <c r="AK228" s="390" t="s">
        <v>626</v>
      </c>
      <c r="AL228" s="390" t="s">
        <v>653</v>
      </c>
      <c r="AM228" s="390">
        <v>-9999</v>
      </c>
      <c r="AN228" s="390" t="s">
        <v>491</v>
      </c>
      <c r="AO228" s="390" t="s">
        <v>627</v>
      </c>
      <c r="AP228" s="390" t="s">
        <v>489</v>
      </c>
      <c r="AQ228" s="390" t="s">
        <v>626</v>
      </c>
      <c r="AR228" s="390">
        <v>336</v>
      </c>
      <c r="AS228" s="390" t="s">
        <v>1101</v>
      </c>
      <c r="AT228" s="390" t="s">
        <v>747</v>
      </c>
      <c r="AU228" s="390">
        <v>112</v>
      </c>
      <c r="AV228" s="390" t="s">
        <v>218</v>
      </c>
      <c r="AW228" s="390" t="s">
        <v>748</v>
      </c>
      <c r="AX228" s="390">
        <v>224</v>
      </c>
      <c r="AY228" s="390" t="s">
        <v>219</v>
      </c>
      <c r="AZ228" s="390" t="s">
        <v>748</v>
      </c>
      <c r="BA228" s="390">
        <v>-9999</v>
      </c>
      <c r="BB228" s="390" t="s">
        <v>626</v>
      </c>
      <c r="BC228" s="519" t="s">
        <v>37</v>
      </c>
      <c r="BD228" s="390" t="s">
        <v>674</v>
      </c>
      <c r="BE228" s="390" t="s">
        <v>36</v>
      </c>
      <c r="BF228" s="390">
        <v>-9999</v>
      </c>
      <c r="BG228" s="390">
        <v>-9999</v>
      </c>
      <c r="BH228" s="390">
        <v>-9999</v>
      </c>
      <c r="BI228" s="390" t="s">
        <v>492</v>
      </c>
      <c r="BJ228" s="390">
        <v>-9999</v>
      </c>
      <c r="BK228" s="390">
        <v>-9999</v>
      </c>
      <c r="BL228" s="390">
        <v>-9999</v>
      </c>
      <c r="BM228" s="390">
        <v>-9999</v>
      </c>
      <c r="BN228" s="390">
        <v>-9999</v>
      </c>
      <c r="BO228" s="390">
        <v>-9999</v>
      </c>
      <c r="BP228" s="390">
        <v>-9999</v>
      </c>
      <c r="BQ228" s="390">
        <v>-9999</v>
      </c>
      <c r="BR228" s="390">
        <v>-9999</v>
      </c>
      <c r="BS228" s="391">
        <v>-9999</v>
      </c>
      <c r="BT228" s="390">
        <v>-9999</v>
      </c>
      <c r="BU228" s="390">
        <v>-9999</v>
      </c>
      <c r="BV228" s="390">
        <v>-9999</v>
      </c>
      <c r="BW228" s="390"/>
      <c r="BX228" s="390">
        <v>-9999</v>
      </c>
      <c r="BY228" s="390">
        <v>-9999</v>
      </c>
      <c r="BZ228" s="509">
        <v>-9999</v>
      </c>
      <c r="CA228" s="509">
        <v>-9999</v>
      </c>
      <c r="CB228" s="498"/>
      <c r="CC228" s="381">
        <v>9</v>
      </c>
      <c r="CD228" s="381">
        <v>1</v>
      </c>
      <c r="CE228" s="402">
        <v>8.7966666666666669</v>
      </c>
      <c r="CF228" s="342">
        <v>9.2200000000000006</v>
      </c>
      <c r="CG228" s="396">
        <v>9</v>
      </c>
      <c r="CH228" s="438" t="s">
        <v>1757</v>
      </c>
    </row>
    <row r="229" spans="1:1873" s="23" customFormat="1" x14ac:dyDescent="0.2">
      <c r="A229" s="234" t="s">
        <v>679</v>
      </c>
      <c r="B229" s="234" t="s">
        <v>618</v>
      </c>
      <c r="C229" s="234" t="s">
        <v>487</v>
      </c>
      <c r="D229" s="234" t="s">
        <v>619</v>
      </c>
      <c r="E229" s="493" t="s">
        <v>1501</v>
      </c>
      <c r="F229" s="234">
        <v>10</v>
      </c>
      <c r="G229" s="234">
        <v>1</v>
      </c>
      <c r="H229" s="491">
        <v>10</v>
      </c>
      <c r="I229" s="234" t="s">
        <v>621</v>
      </c>
      <c r="J229" s="234">
        <v>1987</v>
      </c>
      <c r="K229" s="234" t="s">
        <v>962</v>
      </c>
      <c r="L229" s="234">
        <v>1996</v>
      </c>
      <c r="M229" s="389">
        <v>8.76</v>
      </c>
      <c r="N229" s="389">
        <v>-9999</v>
      </c>
      <c r="O229" s="29"/>
      <c r="P229" s="237">
        <f t="shared" si="13"/>
        <v>87.93</v>
      </c>
      <c r="Q229" s="234">
        <v>-9999</v>
      </c>
      <c r="R229" s="389"/>
      <c r="S229" s="234"/>
      <c r="T229" s="237">
        <f t="shared" si="12"/>
        <v>8.793000000000001</v>
      </c>
      <c r="U229" s="234">
        <v>-9999</v>
      </c>
      <c r="V229" s="234"/>
      <c r="W229" s="389">
        <v>8.76</v>
      </c>
      <c r="X229" s="234">
        <v>-9999</v>
      </c>
      <c r="Y229" s="234"/>
      <c r="Z229" s="234" t="s">
        <v>622</v>
      </c>
      <c r="AA229" s="515">
        <v>111111</v>
      </c>
      <c r="AB229" s="412">
        <v>0.26</v>
      </c>
      <c r="AC229" s="234">
        <v>8.6400000000000005E-2</v>
      </c>
      <c r="AD229" s="234">
        <v>36</v>
      </c>
      <c r="AE229" s="390" t="s">
        <v>1974</v>
      </c>
      <c r="AF229" s="234">
        <v>3</v>
      </c>
      <c r="AG229" s="234">
        <v>2</v>
      </c>
      <c r="AH229" s="234" t="s">
        <v>623</v>
      </c>
      <c r="AI229" s="234" t="s">
        <v>624</v>
      </c>
      <c r="AJ229" s="234">
        <v>-9999</v>
      </c>
      <c r="AK229" s="234" t="s">
        <v>626</v>
      </c>
      <c r="AL229" s="234" t="s">
        <v>653</v>
      </c>
      <c r="AM229" s="234">
        <v>-9999</v>
      </c>
      <c r="AN229" s="234" t="s">
        <v>491</v>
      </c>
      <c r="AO229" s="234" t="s">
        <v>627</v>
      </c>
      <c r="AP229" s="234" t="s">
        <v>489</v>
      </c>
      <c r="AQ229" s="234" t="s">
        <v>626</v>
      </c>
      <c r="AR229" s="234">
        <v>336</v>
      </c>
      <c r="AS229" s="234" t="s">
        <v>1101</v>
      </c>
      <c r="AT229" s="234" t="s">
        <v>747</v>
      </c>
      <c r="AU229" s="234">
        <v>112</v>
      </c>
      <c r="AV229" s="234" t="s">
        <v>218</v>
      </c>
      <c r="AW229" s="234" t="s">
        <v>748</v>
      </c>
      <c r="AX229" s="234">
        <v>224</v>
      </c>
      <c r="AY229" s="234" t="s">
        <v>219</v>
      </c>
      <c r="AZ229" s="234" t="s">
        <v>748</v>
      </c>
      <c r="BA229" s="234">
        <v>-9999</v>
      </c>
      <c r="BB229" s="234" t="s">
        <v>626</v>
      </c>
      <c r="BC229" s="516" t="s">
        <v>37</v>
      </c>
      <c r="BD229" s="234" t="s">
        <v>674</v>
      </c>
      <c r="BE229" s="234" t="s">
        <v>36</v>
      </c>
      <c r="BF229" s="234">
        <v>-9999</v>
      </c>
      <c r="BG229" s="234">
        <v>-9999</v>
      </c>
      <c r="BH229" s="234">
        <v>-9999</v>
      </c>
      <c r="BI229" s="234" t="s">
        <v>492</v>
      </c>
      <c r="BJ229" s="234">
        <v>-9999</v>
      </c>
      <c r="BK229" s="234">
        <v>-9999</v>
      </c>
      <c r="BL229" s="234">
        <v>-9999</v>
      </c>
      <c r="BM229" s="234">
        <v>-9999</v>
      </c>
      <c r="BN229" s="234">
        <v>-9999</v>
      </c>
      <c r="BO229" s="234">
        <v>-9999</v>
      </c>
      <c r="BP229" s="234">
        <v>-9999</v>
      </c>
      <c r="BQ229" s="234">
        <v>-9999</v>
      </c>
      <c r="BR229" s="234">
        <v>-9999</v>
      </c>
      <c r="BS229" s="491">
        <v>-9999</v>
      </c>
      <c r="BT229" s="234">
        <v>-9999</v>
      </c>
      <c r="BU229" s="234">
        <v>-9999</v>
      </c>
      <c r="BV229" s="234">
        <v>-9999</v>
      </c>
      <c r="BW229" s="234"/>
      <c r="BX229" s="234">
        <v>-9999</v>
      </c>
      <c r="BY229" s="234">
        <v>-9999</v>
      </c>
      <c r="BZ229" s="496">
        <v>-9999</v>
      </c>
      <c r="CA229" s="496">
        <v>-9999</v>
      </c>
      <c r="CB229" s="499"/>
      <c r="CC229" s="57">
        <v>10</v>
      </c>
      <c r="CD229" s="57">
        <v>1</v>
      </c>
      <c r="CE229" s="292">
        <v>8.793000000000001</v>
      </c>
      <c r="CF229" s="292">
        <v>8.76</v>
      </c>
      <c r="CG229" s="72">
        <v>10</v>
      </c>
    </row>
    <row r="230" spans="1:1873" s="23" customFormat="1" x14ac:dyDescent="0.2">
      <c r="A230" s="234"/>
      <c r="B230" s="234"/>
      <c r="C230" s="234"/>
      <c r="D230" s="234"/>
      <c r="E230" s="493"/>
      <c r="F230" s="234"/>
      <c r="G230" s="234"/>
      <c r="H230" s="491"/>
      <c r="I230" s="234"/>
      <c r="J230" s="234"/>
      <c r="K230" s="234"/>
      <c r="L230" s="234"/>
      <c r="M230" s="389"/>
      <c r="N230" s="389"/>
      <c r="O230" s="29"/>
      <c r="P230" s="237"/>
      <c r="Q230" s="234"/>
      <c r="R230" s="389"/>
      <c r="S230" s="234"/>
      <c r="T230" s="237"/>
      <c r="U230" s="234"/>
      <c r="V230" s="234"/>
      <c r="W230" s="389"/>
      <c r="X230" s="234"/>
      <c r="Y230" s="234"/>
      <c r="Z230" s="234"/>
      <c r="AA230" s="515"/>
      <c r="AB230" s="389"/>
      <c r="AC230" s="234"/>
      <c r="AD230" s="234"/>
      <c r="AE230" s="234"/>
      <c r="AF230" s="234"/>
      <c r="AG230" s="234"/>
      <c r="AH230" s="234"/>
      <c r="AI230" s="234"/>
      <c r="AJ230" s="234"/>
      <c r="AK230" s="234"/>
      <c r="AL230" s="234"/>
      <c r="AM230" s="234"/>
      <c r="AN230" s="234"/>
      <c r="AO230" s="234"/>
      <c r="AP230" s="234"/>
      <c r="AQ230" s="234"/>
      <c r="AR230" s="234"/>
      <c r="AS230" s="234"/>
      <c r="AT230" s="234"/>
      <c r="AU230" s="234"/>
      <c r="AV230" s="234"/>
      <c r="AW230" s="234"/>
      <c r="AX230" s="234"/>
      <c r="AY230" s="234"/>
      <c r="AZ230" s="234"/>
      <c r="BA230" s="234"/>
      <c r="BB230" s="234"/>
      <c r="BC230" s="516"/>
      <c r="BD230" s="234"/>
      <c r="BE230" s="234"/>
      <c r="BF230" s="234"/>
      <c r="BG230" s="234"/>
      <c r="BH230" s="234"/>
      <c r="BI230" s="234"/>
      <c r="BJ230" s="234"/>
      <c r="BK230" s="234"/>
      <c r="BL230" s="234"/>
      <c r="BM230" s="234"/>
      <c r="BN230" s="234"/>
      <c r="BO230" s="234"/>
      <c r="BP230" s="234"/>
      <c r="BQ230" s="234"/>
      <c r="BR230" s="234"/>
      <c r="BS230" s="491"/>
      <c r="BT230" s="234"/>
      <c r="BU230" s="234"/>
      <c r="BV230" s="234"/>
      <c r="BW230" s="234"/>
      <c r="BX230" s="234"/>
      <c r="BY230" s="234"/>
      <c r="BZ230" s="496"/>
      <c r="CA230" s="496"/>
      <c r="CB230" s="499"/>
      <c r="CC230" s="57"/>
      <c r="CD230" s="57"/>
      <c r="CE230" s="342" t="s">
        <v>1576</v>
      </c>
      <c r="CF230" s="342" t="s">
        <v>1575</v>
      </c>
      <c r="CG230" s="72"/>
    </row>
    <row r="231" spans="1:1873" s="23" customFormat="1" x14ac:dyDescent="0.2">
      <c r="A231" s="234" t="s">
        <v>679</v>
      </c>
      <c r="B231" s="234" t="s">
        <v>618</v>
      </c>
      <c r="C231" s="234" t="s">
        <v>488</v>
      </c>
      <c r="D231" s="234" t="s">
        <v>619</v>
      </c>
      <c r="E231" s="493" t="s">
        <v>1501</v>
      </c>
      <c r="F231" s="234">
        <v>1</v>
      </c>
      <c r="G231" s="234">
        <v>1</v>
      </c>
      <c r="H231" s="491">
        <v>1</v>
      </c>
      <c r="I231" s="234" t="s">
        <v>621</v>
      </c>
      <c r="J231" s="234">
        <v>1987</v>
      </c>
      <c r="K231" s="234" t="s">
        <v>961</v>
      </c>
      <c r="L231" s="234">
        <v>1987</v>
      </c>
      <c r="M231" s="389">
        <v>2.69</v>
      </c>
      <c r="N231" s="389">
        <v>-9999</v>
      </c>
      <c r="O231" s="29"/>
      <c r="P231" s="237">
        <f>+M231</f>
        <v>2.69</v>
      </c>
      <c r="Q231" s="234">
        <v>-9999</v>
      </c>
      <c r="R231" s="389"/>
      <c r="S231" s="234"/>
      <c r="T231" s="237">
        <f t="shared" ref="T231:T240" si="14">+P231/H231</f>
        <v>2.69</v>
      </c>
      <c r="U231" s="234">
        <v>-9999</v>
      </c>
      <c r="V231" s="234"/>
      <c r="W231" s="389">
        <v>2.69</v>
      </c>
      <c r="X231" s="234">
        <v>-9999</v>
      </c>
      <c r="Y231" s="234"/>
      <c r="Z231" s="234" t="s">
        <v>622</v>
      </c>
      <c r="AA231" s="515">
        <v>111111</v>
      </c>
      <c r="AB231" s="389">
        <v>1</v>
      </c>
      <c r="AC231" s="234">
        <v>8.6400000000000005E-2</v>
      </c>
      <c r="AD231" s="234">
        <v>36</v>
      </c>
      <c r="AE231" s="390" t="s">
        <v>1974</v>
      </c>
      <c r="AF231" s="234">
        <v>3</v>
      </c>
      <c r="AG231" s="234">
        <v>2</v>
      </c>
      <c r="AH231" s="234" t="s">
        <v>623</v>
      </c>
      <c r="AI231" s="234" t="s">
        <v>624</v>
      </c>
      <c r="AJ231" s="234">
        <v>-9999</v>
      </c>
      <c r="AK231" s="234" t="s">
        <v>626</v>
      </c>
      <c r="AL231" s="234" t="s">
        <v>653</v>
      </c>
      <c r="AM231" s="234">
        <v>-9999</v>
      </c>
      <c r="AN231" s="234" t="s">
        <v>491</v>
      </c>
      <c r="AO231" s="234" t="s">
        <v>627</v>
      </c>
      <c r="AP231" s="234" t="s">
        <v>489</v>
      </c>
      <c r="AQ231" s="234" t="s">
        <v>631</v>
      </c>
      <c r="AR231" s="234">
        <v>0</v>
      </c>
      <c r="AS231" s="234">
        <v>-9999</v>
      </c>
      <c r="AT231" s="234">
        <v>-9999</v>
      </c>
      <c r="AU231" s="234">
        <v>0</v>
      </c>
      <c r="AV231" s="234">
        <v>-9999</v>
      </c>
      <c r="AW231" s="234">
        <v>-9999</v>
      </c>
      <c r="AX231" s="234">
        <v>0</v>
      </c>
      <c r="AY231" s="234">
        <v>-9999</v>
      </c>
      <c r="AZ231" s="234">
        <v>-9999</v>
      </c>
      <c r="BA231" s="234">
        <v>-9999</v>
      </c>
      <c r="BB231" s="234" t="s">
        <v>626</v>
      </c>
      <c r="BC231" s="516" t="s">
        <v>37</v>
      </c>
      <c r="BD231" s="234" t="s">
        <v>674</v>
      </c>
      <c r="BE231" s="234" t="s">
        <v>36</v>
      </c>
      <c r="BF231" s="234">
        <v>-9999</v>
      </c>
      <c r="BG231" s="234">
        <v>-9999</v>
      </c>
      <c r="BH231" s="234">
        <v>-9999</v>
      </c>
      <c r="BI231" s="234" t="s">
        <v>492</v>
      </c>
      <c r="BJ231" s="234">
        <v>-9999</v>
      </c>
      <c r="BK231" s="234">
        <v>-9999</v>
      </c>
      <c r="BL231" s="234">
        <v>-9999</v>
      </c>
      <c r="BM231" s="234">
        <v>-9999</v>
      </c>
      <c r="BN231" s="234">
        <v>-9999</v>
      </c>
      <c r="BO231" s="234">
        <v>-9999</v>
      </c>
      <c r="BP231" s="234">
        <v>-9999</v>
      </c>
      <c r="BQ231" s="234">
        <v>-9999</v>
      </c>
      <c r="BR231" s="234">
        <v>-9999</v>
      </c>
      <c r="BS231" s="491">
        <v>-9999</v>
      </c>
      <c r="BT231" s="234">
        <v>-9999</v>
      </c>
      <c r="BU231" s="234">
        <v>-9999</v>
      </c>
      <c r="BV231" s="234">
        <v>-9999</v>
      </c>
      <c r="BW231" s="234"/>
      <c r="BX231" s="234">
        <v>-9999</v>
      </c>
      <c r="BY231" s="234">
        <v>-9999</v>
      </c>
      <c r="BZ231" s="496">
        <v>-9999</v>
      </c>
      <c r="CA231" s="496">
        <v>-9999</v>
      </c>
      <c r="CB231" s="499"/>
      <c r="CC231" s="57">
        <v>1</v>
      </c>
      <c r="CD231" s="57">
        <v>1</v>
      </c>
      <c r="CE231" s="292">
        <v>2.69</v>
      </c>
      <c r="CF231" s="292">
        <v>2.69</v>
      </c>
      <c r="CG231" s="72">
        <v>1</v>
      </c>
      <c r="CO231" s="345" t="s">
        <v>1580</v>
      </c>
    </row>
    <row r="232" spans="1:1873" s="23" customFormat="1" x14ac:dyDescent="0.2">
      <c r="A232" s="234" t="s">
        <v>679</v>
      </c>
      <c r="B232" s="234" t="s">
        <v>618</v>
      </c>
      <c r="C232" s="234" t="s">
        <v>488</v>
      </c>
      <c r="D232" s="234" t="s">
        <v>619</v>
      </c>
      <c r="E232" s="493" t="s">
        <v>1501</v>
      </c>
      <c r="F232" s="234">
        <v>2</v>
      </c>
      <c r="G232" s="234">
        <v>1</v>
      </c>
      <c r="H232" s="491">
        <v>2</v>
      </c>
      <c r="I232" s="234" t="s">
        <v>621</v>
      </c>
      <c r="J232" s="234">
        <v>1987</v>
      </c>
      <c r="K232" s="234" t="s">
        <v>962</v>
      </c>
      <c r="L232" s="234">
        <v>1988</v>
      </c>
      <c r="M232" s="389">
        <v>7.46</v>
      </c>
      <c r="N232" s="389">
        <v>-9999</v>
      </c>
      <c r="O232" s="29"/>
      <c r="P232" s="237">
        <f t="shared" ref="P232:P240" si="15">+P231+M232</f>
        <v>10.15</v>
      </c>
      <c r="Q232" s="234">
        <v>-9999</v>
      </c>
      <c r="R232" s="389"/>
      <c r="S232" s="234"/>
      <c r="T232" s="237">
        <f t="shared" si="14"/>
        <v>5.0750000000000002</v>
      </c>
      <c r="U232" s="234">
        <v>-9999</v>
      </c>
      <c r="V232" s="234"/>
      <c r="W232" s="389">
        <v>7.46</v>
      </c>
      <c r="X232" s="234">
        <v>-9999</v>
      </c>
      <c r="Y232" s="234"/>
      <c r="Z232" s="234" t="s">
        <v>622</v>
      </c>
      <c r="AA232" s="515">
        <v>111111</v>
      </c>
      <c r="AB232" s="389">
        <v>0.97</v>
      </c>
      <c r="AC232" s="234">
        <v>8.6400000000000005E-2</v>
      </c>
      <c r="AD232" s="234">
        <v>36</v>
      </c>
      <c r="AE232" s="390" t="s">
        <v>1974</v>
      </c>
      <c r="AF232" s="234">
        <v>3</v>
      </c>
      <c r="AG232" s="234">
        <v>2</v>
      </c>
      <c r="AH232" s="234" t="s">
        <v>623</v>
      </c>
      <c r="AI232" s="234" t="s">
        <v>624</v>
      </c>
      <c r="AJ232" s="234">
        <v>-9999</v>
      </c>
      <c r="AK232" s="234" t="s">
        <v>626</v>
      </c>
      <c r="AL232" s="234" t="s">
        <v>653</v>
      </c>
      <c r="AM232" s="234">
        <v>-9999</v>
      </c>
      <c r="AN232" s="234" t="s">
        <v>491</v>
      </c>
      <c r="AO232" s="234" t="s">
        <v>627</v>
      </c>
      <c r="AP232" s="234" t="s">
        <v>489</v>
      </c>
      <c r="AQ232" s="234" t="s">
        <v>631</v>
      </c>
      <c r="AR232" s="234">
        <v>0</v>
      </c>
      <c r="AS232" s="234">
        <v>-9999</v>
      </c>
      <c r="AT232" s="234">
        <v>-9999</v>
      </c>
      <c r="AU232" s="234">
        <v>0</v>
      </c>
      <c r="AV232" s="234">
        <v>-9999</v>
      </c>
      <c r="AW232" s="234">
        <v>-9999</v>
      </c>
      <c r="AX232" s="234">
        <v>0</v>
      </c>
      <c r="AY232" s="234">
        <v>-9999</v>
      </c>
      <c r="AZ232" s="234">
        <v>-9999</v>
      </c>
      <c r="BA232" s="234">
        <v>-9999</v>
      </c>
      <c r="BB232" s="234" t="s">
        <v>626</v>
      </c>
      <c r="BC232" s="516" t="s">
        <v>37</v>
      </c>
      <c r="BD232" s="234" t="s">
        <v>674</v>
      </c>
      <c r="BE232" s="234" t="s">
        <v>36</v>
      </c>
      <c r="BF232" s="234">
        <v>-9999</v>
      </c>
      <c r="BG232" s="234">
        <v>-9999</v>
      </c>
      <c r="BH232" s="234">
        <v>-9999</v>
      </c>
      <c r="BI232" s="234" t="s">
        <v>492</v>
      </c>
      <c r="BJ232" s="234">
        <v>-9999</v>
      </c>
      <c r="BK232" s="234">
        <v>-9999</v>
      </c>
      <c r="BL232" s="234">
        <v>-9999</v>
      </c>
      <c r="BM232" s="234">
        <v>-9999</v>
      </c>
      <c r="BN232" s="234">
        <v>-9999</v>
      </c>
      <c r="BO232" s="234">
        <v>-9999</v>
      </c>
      <c r="BP232" s="234">
        <v>-9999</v>
      </c>
      <c r="BQ232" s="234">
        <v>-9999</v>
      </c>
      <c r="BR232" s="234">
        <v>-9999</v>
      </c>
      <c r="BS232" s="491">
        <v>-9999</v>
      </c>
      <c r="BT232" s="234">
        <v>-9999</v>
      </c>
      <c r="BU232" s="234">
        <v>-9999</v>
      </c>
      <c r="BV232" s="234">
        <v>-9999</v>
      </c>
      <c r="BW232" s="234"/>
      <c r="BX232" s="234">
        <v>-9999</v>
      </c>
      <c r="BY232" s="234">
        <v>-9999</v>
      </c>
      <c r="BZ232" s="496">
        <v>-9999</v>
      </c>
      <c r="CA232" s="496">
        <v>-9999</v>
      </c>
      <c r="CB232" s="499"/>
      <c r="CC232" s="57">
        <v>2</v>
      </c>
      <c r="CD232" s="57">
        <v>1</v>
      </c>
      <c r="CE232" s="292">
        <v>5.0750000000000002</v>
      </c>
      <c r="CF232" s="292">
        <v>7.46</v>
      </c>
      <c r="CG232" s="72">
        <v>2</v>
      </c>
      <c r="CO232" s="345" t="s">
        <v>1581</v>
      </c>
    </row>
    <row r="233" spans="1:1873" s="23" customFormat="1" x14ac:dyDescent="0.2">
      <c r="A233" s="234" t="s">
        <v>679</v>
      </c>
      <c r="B233" s="234" t="s">
        <v>618</v>
      </c>
      <c r="C233" s="234" t="s">
        <v>488</v>
      </c>
      <c r="D233" s="234" t="s">
        <v>619</v>
      </c>
      <c r="E233" s="493" t="s">
        <v>1501</v>
      </c>
      <c r="F233" s="234">
        <v>3</v>
      </c>
      <c r="G233" s="234">
        <v>1</v>
      </c>
      <c r="H233" s="491">
        <v>3</v>
      </c>
      <c r="I233" s="234" t="s">
        <v>621</v>
      </c>
      <c r="J233" s="234">
        <v>1987</v>
      </c>
      <c r="K233" s="234" t="s">
        <v>962</v>
      </c>
      <c r="L233" s="234">
        <v>1989</v>
      </c>
      <c r="M233" s="389">
        <v>10.9</v>
      </c>
      <c r="N233" s="389">
        <v>-9999</v>
      </c>
      <c r="O233" s="29"/>
      <c r="P233" s="237">
        <f t="shared" si="15"/>
        <v>21.05</v>
      </c>
      <c r="Q233" s="234">
        <v>-9999</v>
      </c>
      <c r="R233" s="389"/>
      <c r="S233" s="234"/>
      <c r="T233" s="237">
        <f t="shared" si="14"/>
        <v>7.0166666666666666</v>
      </c>
      <c r="U233" s="234">
        <v>-9999</v>
      </c>
      <c r="V233" s="234"/>
      <c r="W233" s="389">
        <v>10.9</v>
      </c>
      <c r="X233" s="234">
        <v>-9999</v>
      </c>
      <c r="Y233" s="234"/>
      <c r="Z233" s="234" t="s">
        <v>622</v>
      </c>
      <c r="AA233" s="515">
        <v>111111</v>
      </c>
      <c r="AB233" s="389">
        <v>0.87</v>
      </c>
      <c r="AC233" s="234">
        <v>8.6400000000000005E-2</v>
      </c>
      <c r="AD233" s="234">
        <v>36</v>
      </c>
      <c r="AE233" s="390" t="s">
        <v>1974</v>
      </c>
      <c r="AF233" s="234">
        <v>3</v>
      </c>
      <c r="AG233" s="234">
        <v>2</v>
      </c>
      <c r="AH233" s="234" t="s">
        <v>623</v>
      </c>
      <c r="AI233" s="234" t="s">
        <v>624</v>
      </c>
      <c r="AJ233" s="234">
        <v>-9999</v>
      </c>
      <c r="AK233" s="234" t="s">
        <v>626</v>
      </c>
      <c r="AL233" s="234" t="s">
        <v>653</v>
      </c>
      <c r="AM233" s="234">
        <v>-9999</v>
      </c>
      <c r="AN233" s="234" t="s">
        <v>491</v>
      </c>
      <c r="AO233" s="234" t="s">
        <v>627</v>
      </c>
      <c r="AP233" s="234" t="s">
        <v>489</v>
      </c>
      <c r="AQ233" s="234" t="s">
        <v>631</v>
      </c>
      <c r="AR233" s="234">
        <v>0</v>
      </c>
      <c r="AS233" s="234">
        <v>-9999</v>
      </c>
      <c r="AT233" s="234">
        <v>-9999</v>
      </c>
      <c r="AU233" s="234">
        <v>0</v>
      </c>
      <c r="AV233" s="234">
        <v>-9999</v>
      </c>
      <c r="AW233" s="234">
        <v>-9999</v>
      </c>
      <c r="AX233" s="234">
        <v>0</v>
      </c>
      <c r="AY233" s="234">
        <v>-9999</v>
      </c>
      <c r="AZ233" s="234">
        <v>-9999</v>
      </c>
      <c r="BA233" s="234">
        <v>-9999</v>
      </c>
      <c r="BB233" s="234" t="s">
        <v>626</v>
      </c>
      <c r="BC233" s="516" t="s">
        <v>37</v>
      </c>
      <c r="BD233" s="234" t="s">
        <v>674</v>
      </c>
      <c r="BE233" s="234" t="s">
        <v>36</v>
      </c>
      <c r="BF233" s="234">
        <v>-9999</v>
      </c>
      <c r="BG233" s="234">
        <v>-9999</v>
      </c>
      <c r="BH233" s="234">
        <v>-9999</v>
      </c>
      <c r="BI233" s="234" t="s">
        <v>492</v>
      </c>
      <c r="BJ233" s="234">
        <v>-9999</v>
      </c>
      <c r="BK233" s="234">
        <v>-9999</v>
      </c>
      <c r="BL233" s="234">
        <v>-9999</v>
      </c>
      <c r="BM233" s="234">
        <v>-9999</v>
      </c>
      <c r="BN233" s="234">
        <v>-9999</v>
      </c>
      <c r="BO233" s="234">
        <v>-9999</v>
      </c>
      <c r="BP233" s="234">
        <v>-9999</v>
      </c>
      <c r="BQ233" s="234">
        <v>-9999</v>
      </c>
      <c r="BR233" s="234">
        <v>-9999</v>
      </c>
      <c r="BS233" s="491">
        <v>-9999</v>
      </c>
      <c r="BT233" s="234">
        <v>-9999</v>
      </c>
      <c r="BU233" s="234">
        <v>-9999</v>
      </c>
      <c r="BV233" s="234">
        <v>-9999</v>
      </c>
      <c r="BW233" s="234"/>
      <c r="BX233" s="234">
        <v>-9999</v>
      </c>
      <c r="BY233" s="234">
        <v>-9999</v>
      </c>
      <c r="BZ233" s="496">
        <v>-9999</v>
      </c>
      <c r="CA233" s="496">
        <v>-9999</v>
      </c>
      <c r="CB233" s="499"/>
      <c r="CC233" s="57">
        <v>3</v>
      </c>
      <c r="CD233" s="57">
        <v>1</v>
      </c>
      <c r="CE233" s="292">
        <v>7.0166666666666666</v>
      </c>
      <c r="CF233" s="292">
        <v>10.9</v>
      </c>
      <c r="CG233" s="72">
        <v>3</v>
      </c>
    </row>
    <row r="234" spans="1:1873" s="23" customFormat="1" x14ac:dyDescent="0.2">
      <c r="A234" s="234" t="s">
        <v>679</v>
      </c>
      <c r="B234" s="234" t="s">
        <v>618</v>
      </c>
      <c r="C234" s="234" t="s">
        <v>488</v>
      </c>
      <c r="D234" s="234" t="s">
        <v>619</v>
      </c>
      <c r="E234" s="493" t="s">
        <v>1501</v>
      </c>
      <c r="F234" s="234">
        <v>4</v>
      </c>
      <c r="G234" s="234">
        <v>1</v>
      </c>
      <c r="H234" s="491">
        <v>4</v>
      </c>
      <c r="I234" s="234" t="s">
        <v>621</v>
      </c>
      <c r="J234" s="234">
        <v>1987</v>
      </c>
      <c r="K234" s="234" t="s">
        <v>962</v>
      </c>
      <c r="L234" s="234">
        <v>1990</v>
      </c>
      <c r="M234" s="389">
        <v>13</v>
      </c>
      <c r="N234" s="389">
        <v>-9999</v>
      </c>
      <c r="O234" s="29"/>
      <c r="P234" s="237">
        <f t="shared" si="15"/>
        <v>34.049999999999997</v>
      </c>
      <c r="Q234" s="234">
        <v>-9999</v>
      </c>
      <c r="R234" s="389"/>
      <c r="S234" s="234"/>
      <c r="T234" s="237">
        <f t="shared" si="14"/>
        <v>8.5124999999999993</v>
      </c>
      <c r="U234" s="234">
        <v>-9999</v>
      </c>
      <c r="V234" s="234"/>
      <c r="W234" s="389">
        <v>13</v>
      </c>
      <c r="X234" s="234">
        <v>-9999</v>
      </c>
      <c r="Y234" s="234"/>
      <c r="Z234" s="234" t="s">
        <v>622</v>
      </c>
      <c r="AA234" s="515">
        <v>111111</v>
      </c>
      <c r="AB234" s="389">
        <v>0.7</v>
      </c>
      <c r="AC234" s="234">
        <v>8.6400000000000005E-2</v>
      </c>
      <c r="AD234" s="234">
        <v>36</v>
      </c>
      <c r="AE234" s="390" t="s">
        <v>1974</v>
      </c>
      <c r="AF234" s="234">
        <v>3</v>
      </c>
      <c r="AG234" s="234">
        <v>2</v>
      </c>
      <c r="AH234" s="234" t="s">
        <v>623</v>
      </c>
      <c r="AI234" s="234" t="s">
        <v>624</v>
      </c>
      <c r="AJ234" s="234">
        <v>-9999</v>
      </c>
      <c r="AK234" s="234" t="s">
        <v>626</v>
      </c>
      <c r="AL234" s="234" t="s">
        <v>653</v>
      </c>
      <c r="AM234" s="234">
        <v>-9999</v>
      </c>
      <c r="AN234" s="234" t="s">
        <v>491</v>
      </c>
      <c r="AO234" s="234" t="s">
        <v>627</v>
      </c>
      <c r="AP234" s="234" t="s">
        <v>489</v>
      </c>
      <c r="AQ234" s="234" t="s">
        <v>631</v>
      </c>
      <c r="AR234" s="234">
        <v>0</v>
      </c>
      <c r="AS234" s="234">
        <v>-9999</v>
      </c>
      <c r="AT234" s="234">
        <v>-9999</v>
      </c>
      <c r="AU234" s="234">
        <v>0</v>
      </c>
      <c r="AV234" s="234">
        <v>-9999</v>
      </c>
      <c r="AW234" s="234">
        <v>-9999</v>
      </c>
      <c r="AX234" s="234">
        <v>0</v>
      </c>
      <c r="AY234" s="234">
        <v>-9999</v>
      </c>
      <c r="AZ234" s="234">
        <v>-9999</v>
      </c>
      <c r="BA234" s="234">
        <v>-9999</v>
      </c>
      <c r="BB234" s="234" t="s">
        <v>626</v>
      </c>
      <c r="BC234" s="516" t="s">
        <v>37</v>
      </c>
      <c r="BD234" s="234" t="s">
        <v>674</v>
      </c>
      <c r="BE234" s="234" t="s">
        <v>36</v>
      </c>
      <c r="BF234" s="234">
        <v>-9999</v>
      </c>
      <c r="BG234" s="234">
        <v>-9999</v>
      </c>
      <c r="BH234" s="234">
        <v>-9999</v>
      </c>
      <c r="BI234" s="234" t="s">
        <v>492</v>
      </c>
      <c r="BJ234" s="234">
        <v>-9999</v>
      </c>
      <c r="BK234" s="234">
        <v>-9999</v>
      </c>
      <c r="BL234" s="234">
        <v>-9999</v>
      </c>
      <c r="BM234" s="234">
        <v>-9999</v>
      </c>
      <c r="BN234" s="234">
        <v>-9999</v>
      </c>
      <c r="BO234" s="234">
        <v>-9999</v>
      </c>
      <c r="BP234" s="234">
        <v>-9999</v>
      </c>
      <c r="BQ234" s="234">
        <v>-9999</v>
      </c>
      <c r="BR234" s="234">
        <v>-9999</v>
      </c>
      <c r="BS234" s="491">
        <v>-9999</v>
      </c>
      <c r="BT234" s="234">
        <v>-9999</v>
      </c>
      <c r="BU234" s="234">
        <v>-9999</v>
      </c>
      <c r="BV234" s="234">
        <v>-9999</v>
      </c>
      <c r="BW234" s="234"/>
      <c r="BX234" s="234">
        <v>-9999</v>
      </c>
      <c r="BY234" s="234">
        <v>-9999</v>
      </c>
      <c r="BZ234" s="496">
        <v>-9999</v>
      </c>
      <c r="CA234" s="496">
        <v>-9999</v>
      </c>
      <c r="CB234" s="499"/>
      <c r="CC234" s="57">
        <v>4</v>
      </c>
      <c r="CD234" s="57">
        <v>1</v>
      </c>
      <c r="CE234" s="292">
        <v>8.5124999999999993</v>
      </c>
      <c r="CF234" s="292">
        <v>13</v>
      </c>
      <c r="CG234" s="72">
        <v>4</v>
      </c>
    </row>
    <row r="235" spans="1:1873" s="23" customFormat="1" x14ac:dyDescent="0.2">
      <c r="A235" s="234" t="s">
        <v>679</v>
      </c>
      <c r="B235" s="234" t="s">
        <v>618</v>
      </c>
      <c r="C235" s="234" t="s">
        <v>488</v>
      </c>
      <c r="D235" s="234" t="s">
        <v>619</v>
      </c>
      <c r="E235" s="493" t="s">
        <v>1501</v>
      </c>
      <c r="F235" s="234">
        <v>5</v>
      </c>
      <c r="G235" s="234">
        <v>1</v>
      </c>
      <c r="H235" s="491">
        <v>5</v>
      </c>
      <c r="I235" s="234" t="s">
        <v>621</v>
      </c>
      <c r="J235" s="234">
        <v>1987</v>
      </c>
      <c r="K235" s="234" t="s">
        <v>962</v>
      </c>
      <c r="L235" s="234">
        <v>1991</v>
      </c>
      <c r="M235" s="389">
        <v>13.61</v>
      </c>
      <c r="N235" s="389">
        <v>-9999</v>
      </c>
      <c r="O235" s="29"/>
      <c r="P235" s="237">
        <f t="shared" si="15"/>
        <v>47.66</v>
      </c>
      <c r="Q235" s="234">
        <v>-9999</v>
      </c>
      <c r="R235" s="389"/>
      <c r="S235" s="234"/>
      <c r="T235" s="237">
        <f t="shared" si="14"/>
        <v>9.532</v>
      </c>
      <c r="U235" s="234">
        <v>-9999</v>
      </c>
      <c r="V235" s="234"/>
      <c r="W235" s="389">
        <v>13.61</v>
      </c>
      <c r="X235" s="234">
        <v>-9999</v>
      </c>
      <c r="Y235" s="234"/>
      <c r="Z235" s="234" t="s">
        <v>622</v>
      </c>
      <c r="AA235" s="515">
        <v>111111</v>
      </c>
      <c r="AB235" s="389">
        <v>0.59</v>
      </c>
      <c r="AC235" s="234">
        <v>8.6400000000000005E-2</v>
      </c>
      <c r="AD235" s="234">
        <v>36</v>
      </c>
      <c r="AE235" s="390" t="s">
        <v>1974</v>
      </c>
      <c r="AF235" s="234">
        <v>3</v>
      </c>
      <c r="AG235" s="234">
        <v>2</v>
      </c>
      <c r="AH235" s="234" t="s">
        <v>623</v>
      </c>
      <c r="AI235" s="234" t="s">
        <v>624</v>
      </c>
      <c r="AJ235" s="234">
        <v>-9999</v>
      </c>
      <c r="AK235" s="234" t="s">
        <v>626</v>
      </c>
      <c r="AL235" s="234" t="s">
        <v>653</v>
      </c>
      <c r="AM235" s="234">
        <v>-9999</v>
      </c>
      <c r="AN235" s="234" t="s">
        <v>491</v>
      </c>
      <c r="AO235" s="234" t="s">
        <v>627</v>
      </c>
      <c r="AP235" s="234" t="s">
        <v>489</v>
      </c>
      <c r="AQ235" s="234" t="s">
        <v>631</v>
      </c>
      <c r="AR235" s="234">
        <v>0</v>
      </c>
      <c r="AS235" s="234">
        <v>-9999</v>
      </c>
      <c r="AT235" s="234">
        <v>-9999</v>
      </c>
      <c r="AU235" s="234">
        <v>0</v>
      </c>
      <c r="AV235" s="234">
        <v>-9999</v>
      </c>
      <c r="AW235" s="234">
        <v>-9999</v>
      </c>
      <c r="AX235" s="234">
        <v>0</v>
      </c>
      <c r="AY235" s="234">
        <v>-9999</v>
      </c>
      <c r="AZ235" s="234">
        <v>-9999</v>
      </c>
      <c r="BA235" s="234">
        <v>-9999</v>
      </c>
      <c r="BB235" s="234" t="s">
        <v>626</v>
      </c>
      <c r="BC235" s="516" t="s">
        <v>37</v>
      </c>
      <c r="BD235" s="234" t="s">
        <v>674</v>
      </c>
      <c r="BE235" s="234" t="s">
        <v>36</v>
      </c>
      <c r="BF235" s="234">
        <v>-9999</v>
      </c>
      <c r="BG235" s="234">
        <v>-9999</v>
      </c>
      <c r="BH235" s="234">
        <v>-9999</v>
      </c>
      <c r="BI235" s="234" t="s">
        <v>492</v>
      </c>
      <c r="BJ235" s="234">
        <v>-9999</v>
      </c>
      <c r="BK235" s="234">
        <v>-9999</v>
      </c>
      <c r="BL235" s="234">
        <v>-9999</v>
      </c>
      <c r="BM235" s="234">
        <v>-9999</v>
      </c>
      <c r="BN235" s="234">
        <v>-9999</v>
      </c>
      <c r="BO235" s="234">
        <v>-9999</v>
      </c>
      <c r="BP235" s="234">
        <v>-9999</v>
      </c>
      <c r="BQ235" s="234">
        <v>-9999</v>
      </c>
      <c r="BR235" s="234">
        <v>-9999</v>
      </c>
      <c r="BS235" s="491">
        <v>-9999</v>
      </c>
      <c r="BT235" s="234">
        <v>-9999</v>
      </c>
      <c r="BU235" s="234">
        <v>-9999</v>
      </c>
      <c r="BV235" s="234">
        <v>-9999</v>
      </c>
      <c r="BW235" s="234"/>
      <c r="BX235" s="234">
        <v>-9999</v>
      </c>
      <c r="BY235" s="234">
        <v>-9999</v>
      </c>
      <c r="BZ235" s="496">
        <v>-9999</v>
      </c>
      <c r="CA235" s="496">
        <v>-9999</v>
      </c>
      <c r="CB235" s="499"/>
      <c r="CC235" s="57">
        <v>5</v>
      </c>
      <c r="CD235" s="57">
        <v>1</v>
      </c>
      <c r="CE235" s="394">
        <v>9.532</v>
      </c>
      <c r="CF235" s="292">
        <v>13.61</v>
      </c>
      <c r="CG235" s="72">
        <v>5</v>
      </c>
      <c r="CH235" s="477"/>
    </row>
    <row r="236" spans="1:1873" s="301" customFormat="1" x14ac:dyDescent="0.2">
      <c r="A236" s="390" t="s">
        <v>679</v>
      </c>
      <c r="B236" s="390" t="s">
        <v>618</v>
      </c>
      <c r="C236" s="390" t="s">
        <v>488</v>
      </c>
      <c r="D236" s="390" t="s">
        <v>619</v>
      </c>
      <c r="E236" s="493" t="s">
        <v>1501</v>
      </c>
      <c r="F236" s="390">
        <v>6</v>
      </c>
      <c r="G236" s="390">
        <v>1</v>
      </c>
      <c r="H236" s="391">
        <v>6</v>
      </c>
      <c r="I236" s="390" t="s">
        <v>621</v>
      </c>
      <c r="J236" s="390">
        <v>1987</v>
      </c>
      <c r="K236" s="390" t="s">
        <v>962</v>
      </c>
      <c r="L236" s="390">
        <v>1992</v>
      </c>
      <c r="M236" s="392">
        <v>7.52</v>
      </c>
      <c r="N236" s="392">
        <v>-9999</v>
      </c>
      <c r="O236" s="323"/>
      <c r="P236" s="237">
        <f t="shared" si="15"/>
        <v>55.179999999999993</v>
      </c>
      <c r="Q236" s="390">
        <v>-9999</v>
      </c>
      <c r="R236" s="392"/>
      <c r="S236" s="390"/>
      <c r="T236" s="237">
        <f t="shared" si="14"/>
        <v>9.1966666666666654</v>
      </c>
      <c r="U236" s="390">
        <v>-9999</v>
      </c>
      <c r="V236" s="390"/>
      <c r="W236" s="392">
        <v>7.52</v>
      </c>
      <c r="X236" s="390">
        <v>-9999</v>
      </c>
      <c r="Y236" s="390"/>
      <c r="Z236" s="390" t="s">
        <v>622</v>
      </c>
      <c r="AA236" s="515">
        <v>111111</v>
      </c>
      <c r="AB236" s="392">
        <v>0.57999999999999996</v>
      </c>
      <c r="AC236" s="234">
        <v>8.6400000000000005E-2</v>
      </c>
      <c r="AD236" s="390">
        <v>36</v>
      </c>
      <c r="AE236" s="390" t="s">
        <v>1974</v>
      </c>
      <c r="AF236" s="390">
        <v>3</v>
      </c>
      <c r="AG236" s="390">
        <v>2</v>
      </c>
      <c r="AH236" s="390" t="s">
        <v>623</v>
      </c>
      <c r="AI236" s="390" t="s">
        <v>624</v>
      </c>
      <c r="AJ236" s="390">
        <v>-9999</v>
      </c>
      <c r="AK236" s="390" t="s">
        <v>626</v>
      </c>
      <c r="AL236" s="390" t="s">
        <v>653</v>
      </c>
      <c r="AM236" s="390">
        <v>-9999</v>
      </c>
      <c r="AN236" s="390" t="s">
        <v>491</v>
      </c>
      <c r="AO236" s="390" t="s">
        <v>627</v>
      </c>
      <c r="AP236" s="390" t="s">
        <v>489</v>
      </c>
      <c r="AQ236" s="390" t="s">
        <v>631</v>
      </c>
      <c r="AR236" s="390">
        <v>0</v>
      </c>
      <c r="AS236" s="390">
        <v>-9999</v>
      </c>
      <c r="AT236" s="390">
        <v>-9999</v>
      </c>
      <c r="AU236" s="390">
        <v>0</v>
      </c>
      <c r="AV236" s="390">
        <v>-9999</v>
      </c>
      <c r="AW236" s="390">
        <v>-9999</v>
      </c>
      <c r="AX236" s="390">
        <v>0</v>
      </c>
      <c r="AY236" s="390">
        <v>-9999</v>
      </c>
      <c r="AZ236" s="390">
        <v>-9999</v>
      </c>
      <c r="BA236" s="390">
        <v>-9999</v>
      </c>
      <c r="BB236" s="390" t="s">
        <v>626</v>
      </c>
      <c r="BC236" s="519" t="s">
        <v>37</v>
      </c>
      <c r="BD236" s="390" t="s">
        <v>674</v>
      </c>
      <c r="BE236" s="390" t="s">
        <v>36</v>
      </c>
      <c r="BF236" s="390">
        <v>-9999</v>
      </c>
      <c r="BG236" s="390">
        <v>-9999</v>
      </c>
      <c r="BH236" s="390">
        <v>-9999</v>
      </c>
      <c r="BI236" s="390" t="s">
        <v>492</v>
      </c>
      <c r="BJ236" s="390">
        <v>-9999</v>
      </c>
      <c r="BK236" s="390">
        <v>-9999</v>
      </c>
      <c r="BL236" s="390">
        <v>-9999</v>
      </c>
      <c r="BM236" s="390">
        <v>-9999</v>
      </c>
      <c r="BN236" s="390">
        <v>-9999</v>
      </c>
      <c r="BO236" s="390">
        <v>-9999</v>
      </c>
      <c r="BP236" s="390">
        <v>-9999</v>
      </c>
      <c r="BQ236" s="390">
        <v>-9999</v>
      </c>
      <c r="BR236" s="390">
        <v>-9999</v>
      </c>
      <c r="BS236" s="391">
        <v>-9999</v>
      </c>
      <c r="BT236" s="390">
        <v>-9999</v>
      </c>
      <c r="BU236" s="390">
        <v>-9999</v>
      </c>
      <c r="BV236" s="390">
        <v>-9999</v>
      </c>
      <c r="BW236" s="390"/>
      <c r="BX236" s="390">
        <v>-9999</v>
      </c>
      <c r="BY236" s="390">
        <v>-9999</v>
      </c>
      <c r="BZ236" s="509">
        <v>-9999</v>
      </c>
      <c r="CA236" s="509">
        <v>-9999</v>
      </c>
      <c r="CB236" s="498"/>
      <c r="CC236" s="380">
        <v>6</v>
      </c>
      <c r="CD236" s="380">
        <v>1</v>
      </c>
      <c r="CE236" s="342">
        <v>9.1966666666666654</v>
      </c>
      <c r="CF236" s="342">
        <v>7.52</v>
      </c>
      <c r="CG236" s="388">
        <v>6</v>
      </c>
    </row>
    <row r="237" spans="1:1873" s="23" customFormat="1" x14ac:dyDescent="0.2">
      <c r="A237" s="234" t="s">
        <v>679</v>
      </c>
      <c r="B237" s="234" t="s">
        <v>618</v>
      </c>
      <c r="C237" s="234" t="s">
        <v>488</v>
      </c>
      <c r="D237" s="234" t="s">
        <v>619</v>
      </c>
      <c r="E237" s="493" t="s">
        <v>1501</v>
      </c>
      <c r="F237" s="234">
        <v>7</v>
      </c>
      <c r="G237" s="234">
        <v>1</v>
      </c>
      <c r="H237" s="491">
        <v>7</v>
      </c>
      <c r="I237" s="234" t="s">
        <v>621</v>
      </c>
      <c r="J237" s="234">
        <v>1987</v>
      </c>
      <c r="K237" s="234" t="s">
        <v>962</v>
      </c>
      <c r="L237" s="234">
        <v>1993</v>
      </c>
      <c r="M237" s="389">
        <v>10.81</v>
      </c>
      <c r="N237" s="389">
        <v>-9999</v>
      </c>
      <c r="O237" s="29"/>
      <c r="P237" s="237">
        <f t="shared" si="15"/>
        <v>65.989999999999995</v>
      </c>
      <c r="Q237" s="234">
        <v>-9999</v>
      </c>
      <c r="R237" s="389"/>
      <c r="S237" s="234"/>
      <c r="T237" s="237">
        <f t="shared" si="14"/>
        <v>9.4271428571428562</v>
      </c>
      <c r="U237" s="234">
        <v>-9999</v>
      </c>
      <c r="V237" s="234"/>
      <c r="W237" s="389">
        <v>10.81</v>
      </c>
      <c r="X237" s="234">
        <v>-9999</v>
      </c>
      <c r="Y237" s="234"/>
      <c r="Z237" s="234" t="s">
        <v>622</v>
      </c>
      <c r="AA237" s="515">
        <v>111111</v>
      </c>
      <c r="AB237" s="389">
        <v>0.5</v>
      </c>
      <c r="AC237" s="234">
        <v>8.6400000000000005E-2</v>
      </c>
      <c r="AD237" s="234">
        <v>36</v>
      </c>
      <c r="AE237" s="390" t="s">
        <v>1974</v>
      </c>
      <c r="AF237" s="234">
        <v>3</v>
      </c>
      <c r="AG237" s="234">
        <v>2</v>
      </c>
      <c r="AH237" s="234" t="s">
        <v>623</v>
      </c>
      <c r="AI237" s="234" t="s">
        <v>624</v>
      </c>
      <c r="AJ237" s="234">
        <v>-9999</v>
      </c>
      <c r="AK237" s="234" t="s">
        <v>626</v>
      </c>
      <c r="AL237" s="234" t="s">
        <v>653</v>
      </c>
      <c r="AM237" s="234">
        <v>-9999</v>
      </c>
      <c r="AN237" s="234" t="s">
        <v>491</v>
      </c>
      <c r="AO237" s="234" t="s">
        <v>627</v>
      </c>
      <c r="AP237" s="234" t="s">
        <v>489</v>
      </c>
      <c r="AQ237" s="234" t="s">
        <v>631</v>
      </c>
      <c r="AR237" s="234">
        <v>0</v>
      </c>
      <c r="AS237" s="234">
        <v>-9999</v>
      </c>
      <c r="AT237" s="234">
        <v>-9999</v>
      </c>
      <c r="AU237" s="234">
        <v>0</v>
      </c>
      <c r="AV237" s="234">
        <v>-9999</v>
      </c>
      <c r="AW237" s="234">
        <v>-9999</v>
      </c>
      <c r="AX237" s="234">
        <v>0</v>
      </c>
      <c r="AY237" s="234">
        <v>-9999</v>
      </c>
      <c r="AZ237" s="234">
        <v>-9999</v>
      </c>
      <c r="BA237" s="234">
        <v>-9999</v>
      </c>
      <c r="BB237" s="234" t="s">
        <v>626</v>
      </c>
      <c r="BC237" s="516" t="s">
        <v>37</v>
      </c>
      <c r="BD237" s="234" t="s">
        <v>674</v>
      </c>
      <c r="BE237" s="234" t="s">
        <v>36</v>
      </c>
      <c r="BF237" s="234">
        <v>-9999</v>
      </c>
      <c r="BG237" s="234">
        <v>-9999</v>
      </c>
      <c r="BH237" s="234">
        <v>-9999</v>
      </c>
      <c r="BI237" s="234" t="s">
        <v>492</v>
      </c>
      <c r="BJ237" s="234">
        <v>-9999</v>
      </c>
      <c r="BK237" s="234">
        <v>-9999</v>
      </c>
      <c r="BL237" s="234">
        <v>-9999</v>
      </c>
      <c r="BM237" s="234">
        <v>-9999</v>
      </c>
      <c r="BN237" s="234">
        <v>-9999</v>
      </c>
      <c r="BO237" s="234">
        <v>-9999</v>
      </c>
      <c r="BP237" s="234">
        <v>-9999</v>
      </c>
      <c r="BQ237" s="234">
        <v>-9999</v>
      </c>
      <c r="BR237" s="234">
        <v>-9999</v>
      </c>
      <c r="BS237" s="491">
        <v>-9999</v>
      </c>
      <c r="BT237" s="234">
        <v>-9999</v>
      </c>
      <c r="BU237" s="234">
        <v>-9999</v>
      </c>
      <c r="BV237" s="234">
        <v>-9999</v>
      </c>
      <c r="BW237" s="234"/>
      <c r="BX237" s="234">
        <v>-9999</v>
      </c>
      <c r="BY237" s="234">
        <v>-9999</v>
      </c>
      <c r="BZ237" s="496">
        <v>-9999</v>
      </c>
      <c r="CA237" s="496">
        <v>-9999</v>
      </c>
      <c r="CB237" s="499"/>
      <c r="CC237" s="57">
        <v>7</v>
      </c>
      <c r="CD237" s="57">
        <v>1</v>
      </c>
      <c r="CE237" s="292">
        <v>9.4271428571428562</v>
      </c>
      <c r="CF237" s="292">
        <v>10.81</v>
      </c>
      <c r="CG237" s="72">
        <v>7</v>
      </c>
    </row>
    <row r="238" spans="1:1873" s="23" customFormat="1" x14ac:dyDescent="0.2">
      <c r="A238" s="234" t="s">
        <v>679</v>
      </c>
      <c r="B238" s="234" t="s">
        <v>618</v>
      </c>
      <c r="C238" s="234" t="s">
        <v>488</v>
      </c>
      <c r="D238" s="234" t="s">
        <v>619</v>
      </c>
      <c r="E238" s="493" t="s">
        <v>1501</v>
      </c>
      <c r="F238" s="234">
        <v>8</v>
      </c>
      <c r="G238" s="234">
        <v>1</v>
      </c>
      <c r="H238" s="491">
        <v>8</v>
      </c>
      <c r="I238" s="234" t="s">
        <v>621</v>
      </c>
      <c r="J238" s="234">
        <v>1987</v>
      </c>
      <c r="K238" s="234" t="s">
        <v>962</v>
      </c>
      <c r="L238" s="234">
        <v>1994</v>
      </c>
      <c r="M238" s="389">
        <v>10.23</v>
      </c>
      <c r="N238" s="389">
        <v>-9999</v>
      </c>
      <c r="O238" s="29"/>
      <c r="P238" s="237">
        <f t="shared" si="15"/>
        <v>76.22</v>
      </c>
      <c r="Q238" s="234">
        <v>-9999</v>
      </c>
      <c r="R238" s="389"/>
      <c r="S238" s="234"/>
      <c r="T238" s="237">
        <f t="shared" si="14"/>
        <v>9.5274999999999999</v>
      </c>
      <c r="U238" s="234">
        <v>-9999</v>
      </c>
      <c r="V238" s="234"/>
      <c r="W238" s="389">
        <v>10.23</v>
      </c>
      <c r="X238" s="234">
        <v>-9999</v>
      </c>
      <c r="Y238" s="234"/>
      <c r="Z238" s="234" t="s">
        <v>622</v>
      </c>
      <c r="AA238" s="515">
        <v>111111</v>
      </c>
      <c r="AB238" s="389">
        <v>0.44</v>
      </c>
      <c r="AC238" s="234">
        <v>8.6400000000000005E-2</v>
      </c>
      <c r="AD238" s="234">
        <v>36</v>
      </c>
      <c r="AE238" s="390" t="s">
        <v>1974</v>
      </c>
      <c r="AF238" s="234">
        <v>3</v>
      </c>
      <c r="AG238" s="234">
        <v>2</v>
      </c>
      <c r="AH238" s="234" t="s">
        <v>623</v>
      </c>
      <c r="AI238" s="234" t="s">
        <v>624</v>
      </c>
      <c r="AJ238" s="234">
        <v>-9999</v>
      </c>
      <c r="AK238" s="234" t="s">
        <v>626</v>
      </c>
      <c r="AL238" s="234" t="s">
        <v>653</v>
      </c>
      <c r="AM238" s="234">
        <v>-9999</v>
      </c>
      <c r="AN238" s="234" t="s">
        <v>491</v>
      </c>
      <c r="AO238" s="234" t="s">
        <v>627</v>
      </c>
      <c r="AP238" s="234" t="s">
        <v>489</v>
      </c>
      <c r="AQ238" s="234" t="s">
        <v>631</v>
      </c>
      <c r="AR238" s="234">
        <v>0</v>
      </c>
      <c r="AS238" s="234">
        <v>-9999</v>
      </c>
      <c r="AT238" s="234">
        <v>-9999</v>
      </c>
      <c r="AU238" s="234">
        <v>0</v>
      </c>
      <c r="AV238" s="234">
        <v>-9999</v>
      </c>
      <c r="AW238" s="234">
        <v>-9999</v>
      </c>
      <c r="AX238" s="234">
        <v>0</v>
      </c>
      <c r="AY238" s="234">
        <v>-9999</v>
      </c>
      <c r="AZ238" s="234">
        <v>-9999</v>
      </c>
      <c r="BA238" s="234">
        <v>-9999</v>
      </c>
      <c r="BB238" s="234" t="s">
        <v>626</v>
      </c>
      <c r="BC238" s="516" t="s">
        <v>37</v>
      </c>
      <c r="BD238" s="234" t="s">
        <v>674</v>
      </c>
      <c r="BE238" s="234" t="s">
        <v>36</v>
      </c>
      <c r="BF238" s="234">
        <v>-9999</v>
      </c>
      <c r="BG238" s="234">
        <v>-9999</v>
      </c>
      <c r="BH238" s="234">
        <v>-9999</v>
      </c>
      <c r="BI238" s="234" t="s">
        <v>492</v>
      </c>
      <c r="BJ238" s="234">
        <v>-9999</v>
      </c>
      <c r="BK238" s="234">
        <v>-9999</v>
      </c>
      <c r="BL238" s="234">
        <v>-9999</v>
      </c>
      <c r="BM238" s="234">
        <v>-9999</v>
      </c>
      <c r="BN238" s="234">
        <v>-9999</v>
      </c>
      <c r="BO238" s="234">
        <v>-9999</v>
      </c>
      <c r="BP238" s="234">
        <v>-9999</v>
      </c>
      <c r="BQ238" s="234">
        <v>-9999</v>
      </c>
      <c r="BR238" s="234">
        <v>-9999</v>
      </c>
      <c r="BS238" s="491">
        <v>-9999</v>
      </c>
      <c r="BT238" s="234">
        <v>-9999</v>
      </c>
      <c r="BU238" s="234">
        <v>-9999</v>
      </c>
      <c r="BV238" s="234">
        <v>-9999</v>
      </c>
      <c r="BW238" s="234"/>
      <c r="BX238" s="234">
        <v>-9999</v>
      </c>
      <c r="BY238" s="234">
        <v>-9999</v>
      </c>
      <c r="BZ238" s="496">
        <v>-9999</v>
      </c>
      <c r="CA238" s="496">
        <v>-9999</v>
      </c>
      <c r="CB238" s="499"/>
      <c r="CC238" s="57">
        <v>8</v>
      </c>
      <c r="CD238" s="57">
        <v>1</v>
      </c>
      <c r="CE238" s="292">
        <v>9.5274999999999999</v>
      </c>
      <c r="CF238" s="292">
        <v>10.23</v>
      </c>
      <c r="CG238" s="72">
        <v>8</v>
      </c>
    </row>
    <row r="239" spans="1:1873" s="178" customFormat="1" x14ac:dyDescent="0.2">
      <c r="A239" s="231" t="s">
        <v>679</v>
      </c>
      <c r="B239" s="231" t="s">
        <v>618</v>
      </c>
      <c r="C239" s="231" t="s">
        <v>488</v>
      </c>
      <c r="D239" s="231" t="s">
        <v>619</v>
      </c>
      <c r="E239" s="232" t="s">
        <v>1501</v>
      </c>
      <c r="F239" s="231">
        <v>9</v>
      </c>
      <c r="G239" s="231">
        <v>1</v>
      </c>
      <c r="H239" s="233">
        <v>9</v>
      </c>
      <c r="I239" s="231" t="s">
        <v>621</v>
      </c>
      <c r="J239" s="231">
        <v>1987</v>
      </c>
      <c r="K239" s="231" t="s">
        <v>962</v>
      </c>
      <c r="L239" s="231">
        <v>1995</v>
      </c>
      <c r="M239" s="235">
        <v>11.88</v>
      </c>
      <c r="N239" s="235">
        <v>-9999</v>
      </c>
      <c r="O239" s="18"/>
      <c r="P239" s="236">
        <f t="shared" si="15"/>
        <v>88.1</v>
      </c>
      <c r="Q239" s="231">
        <v>-9999</v>
      </c>
      <c r="R239" s="235"/>
      <c r="S239" s="231"/>
      <c r="T239" s="236">
        <f t="shared" si="14"/>
        <v>9.7888888888888879</v>
      </c>
      <c r="U239" s="231">
        <v>-9999</v>
      </c>
      <c r="V239" s="231"/>
      <c r="W239" s="235">
        <v>11.88</v>
      </c>
      <c r="X239" s="231">
        <v>-9999</v>
      </c>
      <c r="Y239" s="231"/>
      <c r="Z239" s="231" t="s">
        <v>622</v>
      </c>
      <c r="AA239" s="383">
        <v>111111</v>
      </c>
      <c r="AB239" s="517">
        <v>0.44</v>
      </c>
      <c r="AC239" s="231">
        <v>8.6400000000000005E-2</v>
      </c>
      <c r="AD239" s="231">
        <v>36</v>
      </c>
      <c r="AE239" s="390" t="s">
        <v>1974</v>
      </c>
      <c r="AF239" s="231">
        <v>3</v>
      </c>
      <c r="AG239" s="231">
        <v>2</v>
      </c>
      <c r="AH239" s="231" t="s">
        <v>623</v>
      </c>
      <c r="AI239" s="231" t="s">
        <v>624</v>
      </c>
      <c r="AJ239" s="231">
        <v>-9999</v>
      </c>
      <c r="AK239" s="231" t="s">
        <v>626</v>
      </c>
      <c r="AL239" s="231" t="s">
        <v>653</v>
      </c>
      <c r="AM239" s="231">
        <v>-9999</v>
      </c>
      <c r="AN239" s="231" t="s">
        <v>491</v>
      </c>
      <c r="AO239" s="231" t="s">
        <v>627</v>
      </c>
      <c r="AP239" s="231" t="s">
        <v>489</v>
      </c>
      <c r="AQ239" s="231" t="s">
        <v>631</v>
      </c>
      <c r="AR239" s="231">
        <v>0</v>
      </c>
      <c r="AS239" s="231">
        <v>-9999</v>
      </c>
      <c r="AT239" s="231">
        <v>-9999</v>
      </c>
      <c r="AU239" s="231">
        <v>0</v>
      </c>
      <c r="AV239" s="231">
        <v>-9999</v>
      </c>
      <c r="AW239" s="231">
        <v>-9999</v>
      </c>
      <c r="AX239" s="231">
        <v>0</v>
      </c>
      <c r="AY239" s="231">
        <v>-9999</v>
      </c>
      <c r="AZ239" s="231">
        <v>-9999</v>
      </c>
      <c r="BA239" s="231">
        <v>-9999</v>
      </c>
      <c r="BB239" s="231" t="s">
        <v>626</v>
      </c>
      <c r="BC239" s="518" t="s">
        <v>37</v>
      </c>
      <c r="BD239" s="231" t="s">
        <v>674</v>
      </c>
      <c r="BE239" s="231" t="s">
        <v>36</v>
      </c>
      <c r="BF239" s="231">
        <v>-9999</v>
      </c>
      <c r="BG239" s="231">
        <v>-9999</v>
      </c>
      <c r="BH239" s="231">
        <v>-9999</v>
      </c>
      <c r="BI239" s="231" t="s">
        <v>492</v>
      </c>
      <c r="BJ239" s="231">
        <v>-9999</v>
      </c>
      <c r="BK239" s="231">
        <v>-9999</v>
      </c>
      <c r="BL239" s="231">
        <v>-9999</v>
      </c>
      <c r="BM239" s="231">
        <v>-9999</v>
      </c>
      <c r="BN239" s="231">
        <v>-9999</v>
      </c>
      <c r="BO239" s="231">
        <v>-9999</v>
      </c>
      <c r="BP239" s="231">
        <v>-9999</v>
      </c>
      <c r="BQ239" s="231">
        <v>-9999</v>
      </c>
      <c r="BR239" s="231">
        <v>-9999</v>
      </c>
      <c r="BS239" s="233">
        <v>-9999</v>
      </c>
      <c r="BT239" s="231">
        <v>-9999</v>
      </c>
      <c r="BU239" s="231">
        <v>-9999</v>
      </c>
      <c r="BV239" s="231">
        <v>-9999</v>
      </c>
      <c r="BW239" s="231"/>
      <c r="BX239" s="231">
        <v>-9999</v>
      </c>
      <c r="BY239" s="231">
        <v>-9999</v>
      </c>
      <c r="BZ239" s="238">
        <v>-9999</v>
      </c>
      <c r="CA239" s="238">
        <v>-9999</v>
      </c>
      <c r="CB239" s="239"/>
      <c r="CC239" s="174">
        <v>9</v>
      </c>
      <c r="CD239" s="174">
        <v>1</v>
      </c>
      <c r="CE239" s="395">
        <v>9.7888888888888879</v>
      </c>
      <c r="CF239" s="99">
        <v>11.88</v>
      </c>
      <c r="CG239" s="177">
        <v>9</v>
      </c>
      <c r="CH239" s="437" t="s">
        <v>1757</v>
      </c>
      <c r="CI239" s="13"/>
      <c r="CJ239" s="13"/>
      <c r="CK239" s="13"/>
      <c r="CL239" s="13"/>
      <c r="CM239" s="13"/>
      <c r="CN239" s="13"/>
      <c r="CO239" s="13"/>
      <c r="CP239" s="13"/>
      <c r="CQ239" s="13"/>
      <c r="CR239" s="13"/>
      <c r="CS239" s="13"/>
      <c r="CT239" s="13"/>
      <c r="CU239" s="13"/>
      <c r="CV239" s="13"/>
      <c r="CW239" s="13"/>
      <c r="CX239" s="13"/>
      <c r="CY239" s="13"/>
      <c r="CZ239" s="13"/>
      <c r="DA239" s="13"/>
      <c r="DB239" s="13"/>
      <c r="DC239" s="13"/>
      <c r="DD239" s="13"/>
      <c r="DE239" s="13"/>
      <c r="DF239" s="13"/>
      <c r="DG239" s="13"/>
      <c r="DH239" s="13"/>
      <c r="DI239" s="13"/>
      <c r="DJ239" s="13"/>
      <c r="DK239" s="13"/>
      <c r="DL239" s="13"/>
      <c r="DM239" s="13"/>
      <c r="DN239" s="13"/>
      <c r="DO239" s="13"/>
      <c r="DP239" s="13"/>
      <c r="DQ239" s="13"/>
      <c r="DR239" s="13"/>
      <c r="DS239" s="13"/>
      <c r="DT239" s="13"/>
      <c r="DU239" s="13"/>
      <c r="DV239" s="13"/>
      <c r="DW239" s="13"/>
      <c r="DX239" s="13"/>
      <c r="DY239" s="13"/>
      <c r="DZ239" s="13"/>
      <c r="EA239" s="13"/>
      <c r="EB239" s="13"/>
      <c r="EC239" s="13"/>
      <c r="ED239" s="13"/>
      <c r="EE239" s="13"/>
      <c r="EF239" s="13"/>
      <c r="EG239" s="13"/>
      <c r="EH239" s="13"/>
      <c r="EI239" s="13"/>
      <c r="EJ239" s="13"/>
      <c r="EK239" s="13"/>
      <c r="EL239" s="13"/>
      <c r="EM239" s="13"/>
      <c r="EN239" s="13"/>
      <c r="EO239" s="13"/>
      <c r="EP239" s="13"/>
      <c r="EQ239" s="13"/>
      <c r="ER239" s="13"/>
      <c r="ES239" s="13"/>
      <c r="ET239" s="13"/>
      <c r="EU239" s="13"/>
      <c r="EV239" s="13"/>
      <c r="EW239" s="13"/>
      <c r="EX239" s="13"/>
      <c r="EY239" s="13"/>
      <c r="EZ239" s="13"/>
      <c r="FA239" s="13"/>
      <c r="FB239" s="13"/>
      <c r="FC239" s="13"/>
      <c r="FD239" s="13"/>
      <c r="FE239" s="13"/>
      <c r="FF239" s="13"/>
      <c r="FG239" s="13"/>
      <c r="FH239" s="13"/>
      <c r="FI239" s="13"/>
      <c r="FJ239" s="13"/>
      <c r="FK239" s="13"/>
      <c r="FL239" s="13"/>
      <c r="FM239" s="13"/>
      <c r="FN239" s="13"/>
      <c r="FO239" s="13"/>
      <c r="FP239" s="13"/>
      <c r="FQ239" s="13"/>
      <c r="FR239" s="13"/>
      <c r="FS239" s="13"/>
      <c r="FT239" s="13"/>
      <c r="FU239" s="13"/>
      <c r="FV239" s="13"/>
      <c r="FW239" s="13"/>
      <c r="FX239" s="13"/>
      <c r="FY239" s="13"/>
      <c r="FZ239" s="13"/>
      <c r="GA239" s="13"/>
      <c r="GB239" s="13"/>
      <c r="GC239" s="13"/>
      <c r="GD239" s="13"/>
      <c r="GE239" s="13"/>
      <c r="GF239" s="13"/>
      <c r="GG239" s="13"/>
      <c r="GH239" s="13"/>
      <c r="GI239" s="13"/>
      <c r="GJ239" s="13"/>
      <c r="GK239" s="13"/>
      <c r="GL239" s="13"/>
      <c r="GM239" s="13"/>
      <c r="GN239" s="13"/>
      <c r="GO239" s="13"/>
      <c r="GP239" s="13"/>
      <c r="GQ239" s="13"/>
      <c r="GR239" s="13"/>
      <c r="GS239" s="13"/>
      <c r="GT239" s="13"/>
      <c r="GU239" s="13"/>
      <c r="GV239" s="13"/>
      <c r="GW239" s="13"/>
      <c r="GX239" s="13"/>
      <c r="GY239" s="13"/>
      <c r="GZ239" s="13"/>
      <c r="HA239" s="13"/>
      <c r="HB239" s="13"/>
      <c r="HC239" s="13"/>
      <c r="HD239" s="13"/>
      <c r="HE239" s="13"/>
      <c r="HF239" s="13"/>
      <c r="HG239" s="13"/>
      <c r="HH239" s="13"/>
      <c r="HI239" s="13"/>
      <c r="HJ239" s="13"/>
      <c r="HK239" s="13"/>
      <c r="HL239" s="13"/>
      <c r="HM239" s="13"/>
      <c r="HN239" s="13"/>
      <c r="HO239" s="13"/>
      <c r="HP239" s="13"/>
      <c r="HQ239" s="13"/>
      <c r="HR239" s="13"/>
      <c r="HS239" s="13"/>
      <c r="HT239" s="13"/>
      <c r="HU239" s="13"/>
      <c r="HV239" s="13"/>
      <c r="HW239" s="13"/>
      <c r="HX239" s="13"/>
      <c r="HY239" s="13"/>
      <c r="HZ239" s="13"/>
      <c r="IA239" s="13"/>
      <c r="IB239" s="13"/>
      <c r="IC239" s="13"/>
      <c r="ID239" s="13"/>
      <c r="IE239" s="13"/>
      <c r="IF239" s="13"/>
      <c r="IG239" s="13"/>
      <c r="IH239" s="13"/>
      <c r="II239" s="13"/>
      <c r="IJ239" s="13"/>
      <c r="IK239" s="13"/>
      <c r="IL239" s="13"/>
      <c r="IM239" s="13"/>
      <c r="IN239" s="13"/>
      <c r="IO239" s="13"/>
      <c r="IP239" s="13"/>
      <c r="IQ239" s="13"/>
      <c r="IR239" s="13"/>
      <c r="IS239" s="13"/>
      <c r="IT239" s="13"/>
      <c r="IU239" s="13"/>
      <c r="IV239" s="13"/>
      <c r="IW239" s="13"/>
      <c r="IX239" s="13"/>
      <c r="IY239" s="13"/>
      <c r="IZ239" s="13"/>
      <c r="JA239" s="13"/>
      <c r="JB239" s="13"/>
      <c r="JC239" s="13"/>
      <c r="JD239" s="13"/>
      <c r="JE239" s="13"/>
      <c r="JF239" s="13"/>
      <c r="JG239" s="13"/>
      <c r="JH239" s="13"/>
      <c r="JI239" s="13"/>
      <c r="JJ239" s="13"/>
      <c r="JK239" s="13"/>
      <c r="JL239" s="13"/>
      <c r="JM239" s="13"/>
      <c r="JN239" s="13"/>
      <c r="JO239" s="13"/>
      <c r="JP239" s="13"/>
      <c r="JQ239" s="13"/>
      <c r="JR239" s="13"/>
      <c r="JS239" s="13"/>
      <c r="JT239" s="13"/>
      <c r="JU239" s="13"/>
      <c r="JV239" s="13"/>
      <c r="JW239" s="13"/>
      <c r="JX239" s="13"/>
      <c r="JY239" s="13"/>
      <c r="JZ239" s="13"/>
      <c r="KA239" s="13"/>
      <c r="KB239" s="13"/>
      <c r="KC239" s="13"/>
      <c r="KD239" s="13"/>
      <c r="KE239" s="13"/>
      <c r="KF239" s="13"/>
      <c r="KG239" s="13"/>
      <c r="KH239" s="13"/>
      <c r="KI239" s="13"/>
      <c r="KJ239" s="13"/>
      <c r="KK239" s="13"/>
      <c r="KL239" s="13"/>
      <c r="KM239" s="13"/>
      <c r="KN239" s="13"/>
      <c r="KO239" s="13"/>
      <c r="KP239" s="13"/>
      <c r="KQ239" s="13"/>
      <c r="KR239" s="13"/>
      <c r="KS239" s="13"/>
      <c r="KT239" s="13"/>
      <c r="KU239" s="13"/>
      <c r="KV239" s="13"/>
      <c r="KW239" s="13"/>
      <c r="KX239" s="13"/>
      <c r="KY239" s="13"/>
      <c r="KZ239" s="13"/>
      <c r="LA239" s="13"/>
      <c r="LB239" s="13"/>
      <c r="LC239" s="13"/>
      <c r="LD239" s="13"/>
      <c r="LE239" s="13"/>
      <c r="LF239" s="13"/>
      <c r="LG239" s="13"/>
      <c r="LH239" s="13"/>
      <c r="LI239" s="13"/>
      <c r="LJ239" s="13"/>
      <c r="LK239" s="13"/>
      <c r="LL239" s="13"/>
      <c r="LM239" s="13"/>
      <c r="LN239" s="13"/>
      <c r="LO239" s="13"/>
      <c r="LP239" s="13"/>
      <c r="LQ239" s="13"/>
      <c r="LR239" s="13"/>
      <c r="LS239" s="13"/>
      <c r="LT239" s="13"/>
      <c r="LU239" s="13"/>
      <c r="LV239" s="13"/>
      <c r="LW239" s="13"/>
      <c r="LX239" s="13"/>
      <c r="LY239" s="13"/>
      <c r="LZ239" s="13"/>
      <c r="MA239" s="13"/>
      <c r="MB239" s="13"/>
      <c r="MC239" s="13"/>
      <c r="MD239" s="13"/>
      <c r="ME239" s="13"/>
      <c r="MF239" s="13"/>
      <c r="MG239" s="13"/>
      <c r="MH239" s="13"/>
      <c r="MI239" s="13"/>
      <c r="MJ239" s="13"/>
      <c r="MK239" s="13"/>
      <c r="ML239" s="13"/>
      <c r="MM239" s="13"/>
      <c r="MN239" s="13"/>
      <c r="MO239" s="13"/>
      <c r="MP239" s="13"/>
      <c r="MQ239" s="13"/>
      <c r="MR239" s="13"/>
      <c r="MS239" s="13"/>
      <c r="MT239" s="13"/>
      <c r="MU239" s="13"/>
      <c r="MV239" s="13"/>
      <c r="MW239" s="13"/>
      <c r="MX239" s="13"/>
      <c r="MY239" s="13"/>
      <c r="MZ239" s="13"/>
      <c r="NA239" s="13"/>
      <c r="NB239" s="13"/>
      <c r="NC239" s="13"/>
      <c r="ND239" s="13"/>
      <c r="NE239" s="13"/>
      <c r="NF239" s="13"/>
      <c r="NG239" s="13"/>
      <c r="NH239" s="13"/>
      <c r="NI239" s="13"/>
      <c r="NJ239" s="13"/>
      <c r="NK239" s="13"/>
      <c r="NL239" s="13"/>
      <c r="NM239" s="13"/>
      <c r="NN239" s="13"/>
      <c r="NO239" s="13"/>
      <c r="NP239" s="13"/>
      <c r="NQ239" s="13"/>
      <c r="NR239" s="13"/>
      <c r="NS239" s="13"/>
      <c r="NT239" s="13"/>
      <c r="NU239" s="13"/>
      <c r="NV239" s="13"/>
      <c r="NW239" s="13"/>
      <c r="NX239" s="13"/>
      <c r="NY239" s="13"/>
      <c r="NZ239" s="13"/>
      <c r="OA239" s="13"/>
      <c r="OB239" s="13"/>
      <c r="OC239" s="13"/>
      <c r="OD239" s="13"/>
      <c r="OE239" s="13"/>
      <c r="OF239" s="13"/>
      <c r="OG239" s="13"/>
      <c r="OH239" s="13"/>
      <c r="OI239" s="13"/>
      <c r="OJ239" s="13"/>
      <c r="OK239" s="13"/>
      <c r="OL239" s="13"/>
      <c r="OM239" s="13"/>
      <c r="ON239" s="13"/>
      <c r="OO239" s="13"/>
      <c r="OP239" s="13"/>
      <c r="OQ239" s="13"/>
      <c r="OR239" s="13"/>
      <c r="OS239" s="13"/>
      <c r="OT239" s="13"/>
      <c r="OU239" s="13"/>
      <c r="OV239" s="13"/>
      <c r="OW239" s="13"/>
      <c r="OX239" s="13"/>
      <c r="OY239" s="13"/>
      <c r="OZ239" s="13"/>
      <c r="PA239" s="13"/>
      <c r="PB239" s="13"/>
      <c r="PC239" s="13"/>
      <c r="PD239" s="13"/>
      <c r="PE239" s="13"/>
      <c r="PF239" s="13"/>
      <c r="PG239" s="13"/>
      <c r="PH239" s="13"/>
      <c r="PI239" s="13"/>
      <c r="PJ239" s="13"/>
      <c r="PK239" s="13"/>
      <c r="PL239" s="13"/>
      <c r="PM239" s="13"/>
      <c r="PN239" s="13"/>
      <c r="PO239" s="13"/>
      <c r="PP239" s="13"/>
      <c r="PQ239" s="13"/>
      <c r="PR239" s="13"/>
      <c r="PS239" s="13"/>
      <c r="PT239" s="13"/>
      <c r="PU239" s="13"/>
      <c r="PV239" s="13"/>
      <c r="PW239" s="13"/>
      <c r="PX239" s="13"/>
      <c r="PY239" s="13"/>
      <c r="PZ239" s="13"/>
      <c r="QA239" s="13"/>
      <c r="QB239" s="13"/>
      <c r="QC239" s="13"/>
      <c r="QD239" s="13"/>
      <c r="QE239" s="13"/>
      <c r="QF239" s="13"/>
      <c r="QG239" s="13"/>
      <c r="QH239" s="13"/>
      <c r="QI239" s="13"/>
      <c r="QJ239" s="13"/>
      <c r="QK239" s="13"/>
      <c r="QL239" s="13"/>
      <c r="QM239" s="13"/>
      <c r="QN239" s="13"/>
      <c r="QO239" s="13"/>
      <c r="QP239" s="13"/>
      <c r="QQ239" s="13"/>
      <c r="QR239" s="13"/>
      <c r="QS239" s="13"/>
      <c r="QT239" s="13"/>
      <c r="QU239" s="13"/>
      <c r="QV239" s="13"/>
      <c r="QW239" s="13"/>
      <c r="QX239" s="13"/>
      <c r="QY239" s="13"/>
      <c r="QZ239" s="13"/>
      <c r="RA239" s="13"/>
      <c r="RB239" s="13"/>
      <c r="RC239" s="13"/>
      <c r="RD239" s="13"/>
      <c r="RE239" s="13"/>
      <c r="RF239" s="13"/>
      <c r="RG239" s="13"/>
      <c r="RH239" s="13"/>
      <c r="RI239" s="13"/>
      <c r="RJ239" s="13"/>
      <c r="RK239" s="13"/>
      <c r="RL239" s="13"/>
      <c r="RM239" s="13"/>
      <c r="RN239" s="13"/>
      <c r="RO239" s="13"/>
      <c r="RP239" s="13"/>
      <c r="RQ239" s="13"/>
      <c r="RR239" s="13"/>
      <c r="RS239" s="13"/>
      <c r="RT239" s="13"/>
      <c r="RU239" s="13"/>
      <c r="RV239" s="13"/>
      <c r="RW239" s="13"/>
      <c r="RX239" s="13"/>
      <c r="RY239" s="13"/>
      <c r="RZ239" s="13"/>
      <c r="SA239" s="13"/>
      <c r="SB239" s="13"/>
      <c r="SC239" s="13"/>
      <c r="SD239" s="13"/>
      <c r="SE239" s="13"/>
      <c r="SF239" s="13"/>
      <c r="SG239" s="13"/>
      <c r="SH239" s="13"/>
      <c r="SI239" s="13"/>
      <c r="SJ239" s="13"/>
      <c r="SK239" s="13"/>
      <c r="SL239" s="13"/>
      <c r="SM239" s="13"/>
      <c r="SN239" s="13"/>
      <c r="SO239" s="13"/>
      <c r="SP239" s="13"/>
      <c r="SQ239" s="13"/>
      <c r="SR239" s="13"/>
      <c r="SS239" s="13"/>
      <c r="ST239" s="13"/>
      <c r="SU239" s="13"/>
      <c r="SV239" s="13"/>
      <c r="SW239" s="13"/>
      <c r="SX239" s="13"/>
      <c r="SY239" s="13"/>
      <c r="SZ239" s="13"/>
      <c r="TA239" s="13"/>
      <c r="TB239" s="13"/>
      <c r="TC239" s="13"/>
      <c r="TD239" s="13"/>
      <c r="TE239" s="13"/>
      <c r="TF239" s="13"/>
      <c r="TG239" s="13"/>
      <c r="TH239" s="13"/>
      <c r="TI239" s="13"/>
      <c r="TJ239" s="13"/>
      <c r="TK239" s="13"/>
      <c r="TL239" s="13"/>
      <c r="TM239" s="13"/>
      <c r="TN239" s="13"/>
      <c r="TO239" s="13"/>
      <c r="TP239" s="13"/>
      <c r="TQ239" s="13"/>
      <c r="TR239" s="13"/>
      <c r="TS239" s="13"/>
      <c r="TT239" s="13"/>
      <c r="TU239" s="13"/>
      <c r="TV239" s="13"/>
      <c r="TW239" s="13"/>
      <c r="TX239" s="13"/>
      <c r="TY239" s="13"/>
      <c r="TZ239" s="13"/>
      <c r="UA239" s="13"/>
      <c r="UB239" s="13"/>
      <c r="UC239" s="13"/>
      <c r="UD239" s="13"/>
      <c r="UE239" s="13"/>
      <c r="UF239" s="13"/>
      <c r="UG239" s="13"/>
      <c r="UH239" s="13"/>
      <c r="UI239" s="13"/>
      <c r="UJ239" s="13"/>
      <c r="UK239" s="13"/>
      <c r="UL239" s="13"/>
      <c r="UM239" s="13"/>
      <c r="UN239" s="13"/>
      <c r="UO239" s="13"/>
      <c r="UP239" s="13"/>
      <c r="UQ239" s="13"/>
      <c r="UR239" s="13"/>
      <c r="US239" s="13"/>
      <c r="UT239" s="13"/>
      <c r="UU239" s="13"/>
      <c r="UV239" s="13"/>
      <c r="UW239" s="13"/>
      <c r="UX239" s="13"/>
      <c r="UY239" s="13"/>
      <c r="UZ239" s="13"/>
      <c r="VA239" s="13"/>
      <c r="VB239" s="13"/>
      <c r="VC239" s="13"/>
      <c r="VD239" s="13"/>
      <c r="VE239" s="13"/>
      <c r="VF239" s="13"/>
      <c r="VG239" s="13"/>
      <c r="VH239" s="13"/>
      <c r="VI239" s="13"/>
      <c r="VJ239" s="13"/>
      <c r="VK239" s="13"/>
      <c r="VL239" s="13"/>
      <c r="VM239" s="13"/>
      <c r="VN239" s="13"/>
      <c r="VO239" s="13"/>
      <c r="VP239" s="13"/>
      <c r="VQ239" s="13"/>
      <c r="VR239" s="13"/>
      <c r="VS239" s="13"/>
      <c r="VT239" s="13"/>
      <c r="VU239" s="13"/>
      <c r="VV239" s="13"/>
      <c r="VW239" s="13"/>
      <c r="VX239" s="13"/>
      <c r="VY239" s="13"/>
      <c r="VZ239" s="13"/>
      <c r="WA239" s="13"/>
      <c r="WB239" s="13"/>
      <c r="WC239" s="13"/>
      <c r="WD239" s="13"/>
      <c r="WE239" s="13"/>
      <c r="WF239" s="13"/>
      <c r="WG239" s="13"/>
      <c r="WH239" s="13"/>
      <c r="WI239" s="13"/>
      <c r="WJ239" s="13"/>
      <c r="WK239" s="13"/>
      <c r="WL239" s="13"/>
      <c r="WM239" s="13"/>
      <c r="WN239" s="13"/>
      <c r="WO239" s="13"/>
      <c r="WP239" s="13"/>
      <c r="WQ239" s="13"/>
      <c r="WR239" s="13"/>
      <c r="WS239" s="13"/>
      <c r="WT239" s="13"/>
      <c r="WU239" s="13"/>
      <c r="WV239" s="13"/>
      <c r="WW239" s="13"/>
      <c r="WX239" s="13"/>
      <c r="WY239" s="13"/>
      <c r="WZ239" s="13"/>
      <c r="XA239" s="13"/>
      <c r="XB239" s="13"/>
      <c r="XC239" s="13"/>
      <c r="XD239" s="13"/>
      <c r="XE239" s="13"/>
      <c r="XF239" s="13"/>
      <c r="XG239" s="13"/>
      <c r="XH239" s="13"/>
      <c r="XI239" s="13"/>
      <c r="XJ239" s="13"/>
      <c r="XK239" s="13"/>
      <c r="XL239" s="13"/>
      <c r="XM239" s="13"/>
      <c r="XN239" s="13"/>
      <c r="XO239" s="13"/>
      <c r="XP239" s="13"/>
      <c r="XQ239" s="13"/>
      <c r="XR239" s="13"/>
      <c r="XS239" s="13"/>
      <c r="XT239" s="13"/>
      <c r="XU239" s="13"/>
      <c r="XV239" s="13"/>
      <c r="XW239" s="13"/>
      <c r="XX239" s="13"/>
      <c r="XY239" s="13"/>
      <c r="XZ239" s="13"/>
      <c r="YA239" s="13"/>
      <c r="YB239" s="13"/>
      <c r="YC239" s="13"/>
      <c r="YD239" s="13"/>
      <c r="YE239" s="13"/>
      <c r="YF239" s="13"/>
      <c r="YG239" s="13"/>
      <c r="YH239" s="13"/>
      <c r="YI239" s="13"/>
      <c r="YJ239" s="13"/>
      <c r="YK239" s="13"/>
      <c r="YL239" s="13"/>
      <c r="YM239" s="13"/>
      <c r="YN239" s="13"/>
      <c r="YO239" s="13"/>
      <c r="YP239" s="13"/>
      <c r="YQ239" s="13"/>
      <c r="YR239" s="13"/>
      <c r="YS239" s="13"/>
      <c r="YT239" s="13"/>
      <c r="YU239" s="13"/>
      <c r="YV239" s="13"/>
      <c r="YW239" s="13"/>
      <c r="YX239" s="13"/>
      <c r="YY239" s="13"/>
      <c r="YZ239" s="13"/>
      <c r="ZA239" s="13"/>
      <c r="ZB239" s="13"/>
      <c r="ZC239" s="13"/>
      <c r="ZD239" s="13"/>
      <c r="ZE239" s="13"/>
      <c r="ZF239" s="13"/>
      <c r="ZG239" s="13"/>
      <c r="ZH239" s="13"/>
      <c r="ZI239" s="13"/>
      <c r="ZJ239" s="13"/>
      <c r="ZK239" s="13"/>
      <c r="ZL239" s="13"/>
      <c r="ZM239" s="13"/>
      <c r="ZN239" s="13"/>
      <c r="ZO239" s="13"/>
      <c r="ZP239" s="13"/>
      <c r="ZQ239" s="13"/>
      <c r="ZR239" s="13"/>
      <c r="ZS239" s="13"/>
      <c r="ZT239" s="13"/>
      <c r="ZU239" s="13"/>
      <c r="ZV239" s="13"/>
      <c r="ZW239" s="13"/>
      <c r="ZX239" s="13"/>
      <c r="ZY239" s="13"/>
      <c r="ZZ239" s="13"/>
      <c r="AAA239" s="13"/>
      <c r="AAB239" s="13"/>
      <c r="AAC239" s="13"/>
      <c r="AAD239" s="13"/>
      <c r="AAE239" s="13"/>
      <c r="AAF239" s="13"/>
      <c r="AAG239" s="13"/>
      <c r="AAH239" s="13"/>
      <c r="AAI239" s="13"/>
      <c r="AAJ239" s="13"/>
      <c r="AAK239" s="13"/>
      <c r="AAL239" s="13"/>
      <c r="AAM239" s="13"/>
      <c r="AAN239" s="13"/>
      <c r="AAO239" s="13"/>
      <c r="AAP239" s="13"/>
      <c r="AAQ239" s="13"/>
      <c r="AAR239" s="13"/>
      <c r="AAS239" s="13"/>
      <c r="AAT239" s="13"/>
      <c r="AAU239" s="13"/>
      <c r="AAV239" s="13"/>
      <c r="AAW239" s="13"/>
      <c r="AAX239" s="13"/>
      <c r="AAY239" s="13"/>
      <c r="AAZ239" s="13"/>
      <c r="ABA239" s="13"/>
      <c r="ABB239" s="13"/>
      <c r="ABC239" s="13"/>
      <c r="ABD239" s="13"/>
      <c r="ABE239" s="13"/>
      <c r="ABF239" s="13"/>
      <c r="ABG239" s="13"/>
      <c r="ABH239" s="13"/>
      <c r="ABI239" s="13"/>
      <c r="ABJ239" s="13"/>
      <c r="ABK239" s="13"/>
      <c r="ABL239" s="13"/>
      <c r="ABM239" s="13"/>
      <c r="ABN239" s="13"/>
      <c r="ABO239" s="13"/>
      <c r="ABP239" s="13"/>
      <c r="ABQ239" s="13"/>
      <c r="ABR239" s="13"/>
      <c r="ABS239" s="13"/>
      <c r="ABT239" s="13"/>
      <c r="ABU239" s="13"/>
      <c r="ABV239" s="13"/>
      <c r="ABW239" s="13"/>
      <c r="ABX239" s="13"/>
      <c r="ABY239" s="13"/>
      <c r="ABZ239" s="13"/>
      <c r="ACA239" s="13"/>
      <c r="ACB239" s="13"/>
      <c r="ACC239" s="13"/>
      <c r="ACD239" s="13"/>
      <c r="ACE239" s="13"/>
      <c r="ACF239" s="13"/>
      <c r="ACG239" s="13"/>
      <c r="ACH239" s="13"/>
      <c r="ACI239" s="13"/>
      <c r="ACJ239" s="13"/>
      <c r="ACK239" s="13"/>
      <c r="ACL239" s="13"/>
      <c r="ACM239" s="13"/>
      <c r="ACN239" s="13"/>
      <c r="ACO239" s="13"/>
      <c r="ACP239" s="13"/>
      <c r="ACQ239" s="13"/>
      <c r="ACR239" s="13"/>
      <c r="ACS239" s="13"/>
      <c r="ACT239" s="13"/>
      <c r="ACU239" s="13"/>
      <c r="ACV239" s="13"/>
      <c r="ACW239" s="13"/>
      <c r="ACX239" s="13"/>
      <c r="ACY239" s="13"/>
      <c r="ACZ239" s="13"/>
      <c r="ADA239" s="13"/>
      <c r="ADB239" s="13"/>
      <c r="ADC239" s="13"/>
      <c r="ADD239" s="13"/>
      <c r="ADE239" s="13"/>
      <c r="ADF239" s="13"/>
      <c r="ADG239" s="13"/>
      <c r="ADH239" s="13"/>
      <c r="ADI239" s="13"/>
      <c r="ADJ239" s="13"/>
      <c r="ADK239" s="13"/>
      <c r="ADL239" s="13"/>
      <c r="ADM239" s="13"/>
      <c r="ADN239" s="13"/>
      <c r="ADO239" s="13"/>
      <c r="ADP239" s="13"/>
      <c r="ADQ239" s="13"/>
      <c r="ADR239" s="13"/>
      <c r="ADS239" s="13"/>
      <c r="ADT239" s="13"/>
      <c r="ADU239" s="13"/>
      <c r="ADV239" s="13"/>
      <c r="ADW239" s="13"/>
      <c r="ADX239" s="13"/>
      <c r="ADY239" s="13"/>
      <c r="ADZ239" s="13"/>
      <c r="AEA239" s="13"/>
      <c r="AEB239" s="13"/>
      <c r="AEC239" s="13"/>
      <c r="AED239" s="13"/>
      <c r="AEE239" s="13"/>
      <c r="AEF239" s="13"/>
      <c r="AEG239" s="13"/>
      <c r="AEH239" s="13"/>
      <c r="AEI239" s="13"/>
      <c r="AEJ239" s="13"/>
      <c r="AEK239" s="13"/>
      <c r="AEL239" s="13"/>
      <c r="AEM239" s="13"/>
      <c r="AEN239" s="13"/>
      <c r="AEO239" s="13"/>
      <c r="AEP239" s="13"/>
      <c r="AEQ239" s="13"/>
      <c r="AER239" s="13"/>
      <c r="AES239" s="13"/>
      <c r="AET239" s="13"/>
      <c r="AEU239" s="13"/>
      <c r="AEV239" s="13"/>
      <c r="AEW239" s="13"/>
      <c r="AEX239" s="13"/>
      <c r="AEY239" s="13"/>
      <c r="AEZ239" s="13"/>
      <c r="AFA239" s="13"/>
      <c r="AFB239" s="13"/>
      <c r="AFC239" s="13"/>
      <c r="AFD239" s="13"/>
      <c r="AFE239" s="13"/>
      <c r="AFF239" s="13"/>
      <c r="AFG239" s="13"/>
      <c r="AFH239" s="13"/>
      <c r="AFI239" s="13"/>
      <c r="AFJ239" s="13"/>
      <c r="AFK239" s="13"/>
      <c r="AFL239" s="13"/>
      <c r="AFM239" s="13"/>
      <c r="AFN239" s="13"/>
      <c r="AFO239" s="13"/>
      <c r="AFP239" s="13"/>
      <c r="AFQ239" s="13"/>
      <c r="AFR239" s="13"/>
      <c r="AFS239" s="13"/>
      <c r="AFT239" s="13"/>
      <c r="AFU239" s="13"/>
      <c r="AFV239" s="13"/>
      <c r="AFW239" s="13"/>
      <c r="AFX239" s="13"/>
      <c r="AFY239" s="13"/>
      <c r="AFZ239" s="13"/>
      <c r="AGA239" s="13"/>
      <c r="AGB239" s="13"/>
      <c r="AGC239" s="13"/>
      <c r="AGD239" s="13"/>
      <c r="AGE239" s="13"/>
      <c r="AGF239" s="13"/>
      <c r="AGG239" s="13"/>
      <c r="AGH239" s="13"/>
      <c r="AGI239" s="13"/>
      <c r="AGJ239" s="13"/>
      <c r="AGK239" s="13"/>
      <c r="AGL239" s="13"/>
      <c r="AGM239" s="13"/>
      <c r="AGN239" s="13"/>
      <c r="AGO239" s="13"/>
      <c r="AGP239" s="13"/>
      <c r="AGQ239" s="13"/>
      <c r="AGR239" s="13"/>
      <c r="AGS239" s="13"/>
      <c r="AGT239" s="13"/>
      <c r="AGU239" s="13"/>
      <c r="AGV239" s="13"/>
      <c r="AGW239" s="13"/>
      <c r="AGX239" s="13"/>
      <c r="AGY239" s="13"/>
      <c r="AGZ239" s="13"/>
      <c r="AHA239" s="13"/>
      <c r="AHB239" s="13"/>
      <c r="AHC239" s="13"/>
      <c r="AHD239" s="13"/>
      <c r="AHE239" s="13"/>
      <c r="AHF239" s="13"/>
      <c r="AHG239" s="13"/>
      <c r="AHH239" s="13"/>
      <c r="AHI239" s="13"/>
      <c r="AHJ239" s="13"/>
      <c r="AHK239" s="13"/>
      <c r="AHL239" s="13"/>
      <c r="AHM239" s="13"/>
      <c r="AHN239" s="13"/>
      <c r="AHO239" s="13"/>
      <c r="AHP239" s="13"/>
      <c r="AHQ239" s="13"/>
      <c r="AHR239" s="13"/>
      <c r="AHS239" s="13"/>
      <c r="AHT239" s="13"/>
      <c r="AHU239" s="13"/>
      <c r="AHV239" s="13"/>
      <c r="AHW239" s="13"/>
      <c r="AHX239" s="13"/>
      <c r="AHY239" s="13"/>
      <c r="AHZ239" s="13"/>
      <c r="AIA239" s="13"/>
      <c r="AIB239" s="13"/>
      <c r="AIC239" s="13"/>
      <c r="AID239" s="13"/>
      <c r="AIE239" s="13"/>
      <c r="AIF239" s="13"/>
      <c r="AIG239" s="13"/>
      <c r="AIH239" s="13"/>
      <c r="AII239" s="13"/>
      <c r="AIJ239" s="13"/>
      <c r="AIK239" s="13"/>
      <c r="AIL239" s="13"/>
      <c r="AIM239" s="13"/>
      <c r="AIN239" s="13"/>
      <c r="AIO239" s="13"/>
      <c r="AIP239" s="13"/>
      <c r="AIQ239" s="13"/>
      <c r="AIR239" s="13"/>
      <c r="AIS239" s="13"/>
      <c r="AIT239" s="13"/>
      <c r="AIU239" s="13"/>
      <c r="AIV239" s="13"/>
      <c r="AIW239" s="13"/>
      <c r="AIX239" s="13"/>
      <c r="AIY239" s="13"/>
      <c r="AIZ239" s="13"/>
      <c r="AJA239" s="13"/>
      <c r="AJB239" s="13"/>
      <c r="AJC239" s="13"/>
      <c r="AJD239" s="13"/>
      <c r="AJE239" s="13"/>
      <c r="AJF239" s="13"/>
      <c r="AJG239" s="13"/>
      <c r="AJH239" s="13"/>
      <c r="AJI239" s="13"/>
      <c r="AJJ239" s="13"/>
      <c r="AJK239" s="13"/>
      <c r="AJL239" s="13"/>
      <c r="AJM239" s="13"/>
      <c r="AJN239" s="13"/>
      <c r="AJO239" s="13"/>
      <c r="AJP239" s="13"/>
      <c r="AJQ239" s="13"/>
      <c r="AJR239" s="13"/>
      <c r="AJS239" s="13"/>
      <c r="AJT239" s="13"/>
      <c r="AJU239" s="13"/>
      <c r="AJV239" s="13"/>
      <c r="AJW239" s="13"/>
      <c r="AJX239" s="13"/>
      <c r="AJY239" s="13"/>
      <c r="AJZ239" s="13"/>
      <c r="AKA239" s="13"/>
      <c r="AKB239" s="13"/>
      <c r="AKC239" s="13"/>
      <c r="AKD239" s="13"/>
      <c r="AKE239" s="13"/>
      <c r="AKF239" s="13"/>
      <c r="AKG239" s="13"/>
      <c r="AKH239" s="13"/>
      <c r="AKI239" s="13"/>
      <c r="AKJ239" s="13"/>
      <c r="AKK239" s="13"/>
      <c r="AKL239" s="13"/>
      <c r="AKM239" s="13"/>
      <c r="AKN239" s="13"/>
      <c r="AKO239" s="13"/>
      <c r="AKP239" s="13"/>
      <c r="AKQ239" s="13"/>
      <c r="AKR239" s="13"/>
      <c r="AKS239" s="13"/>
      <c r="AKT239" s="13"/>
      <c r="AKU239" s="13"/>
      <c r="AKV239" s="13"/>
      <c r="AKW239" s="13"/>
      <c r="AKX239" s="13"/>
      <c r="AKY239" s="13"/>
      <c r="AKZ239" s="13"/>
      <c r="ALA239" s="13"/>
      <c r="ALB239" s="13"/>
      <c r="ALC239" s="13"/>
      <c r="ALD239" s="13"/>
      <c r="ALE239" s="13"/>
      <c r="ALF239" s="13"/>
      <c r="ALG239" s="13"/>
      <c r="ALH239" s="13"/>
      <c r="ALI239" s="13"/>
      <c r="ALJ239" s="13"/>
      <c r="ALK239" s="13"/>
      <c r="ALL239" s="13"/>
      <c r="ALM239" s="13"/>
      <c r="ALN239" s="13"/>
      <c r="ALO239" s="13"/>
      <c r="ALP239" s="13"/>
      <c r="ALQ239" s="13"/>
      <c r="ALR239" s="13"/>
      <c r="ALS239" s="13"/>
      <c r="ALT239" s="13"/>
      <c r="ALU239" s="13"/>
      <c r="ALV239" s="13"/>
      <c r="ALW239" s="13"/>
      <c r="ALX239" s="13"/>
      <c r="ALY239" s="13"/>
      <c r="ALZ239" s="13"/>
      <c r="AMA239" s="13"/>
      <c r="AMB239" s="13"/>
      <c r="AMC239" s="13"/>
      <c r="AMD239" s="13"/>
      <c r="AME239" s="13"/>
      <c r="AMF239" s="13"/>
      <c r="AMG239" s="13"/>
      <c r="AMH239" s="13"/>
      <c r="AMI239" s="13"/>
      <c r="AMJ239" s="13"/>
      <c r="AMK239" s="13"/>
      <c r="AML239" s="13"/>
      <c r="AMM239" s="13"/>
      <c r="AMN239" s="13"/>
      <c r="AMO239" s="13"/>
      <c r="AMP239" s="13"/>
      <c r="AMQ239" s="13"/>
      <c r="AMR239" s="13"/>
      <c r="AMS239" s="13"/>
      <c r="AMT239" s="13"/>
      <c r="AMU239" s="13"/>
      <c r="AMV239" s="13"/>
      <c r="AMW239" s="13"/>
      <c r="AMX239" s="13"/>
      <c r="AMY239" s="13"/>
      <c r="AMZ239" s="13"/>
      <c r="ANA239" s="13"/>
      <c r="ANB239" s="13"/>
      <c r="ANC239" s="13"/>
      <c r="AND239" s="13"/>
      <c r="ANE239" s="13"/>
      <c r="ANF239" s="13"/>
      <c r="ANG239" s="13"/>
      <c r="ANH239" s="13"/>
      <c r="ANI239" s="13"/>
      <c r="ANJ239" s="13"/>
      <c r="ANK239" s="13"/>
      <c r="ANL239" s="13"/>
      <c r="ANM239" s="13"/>
      <c r="ANN239" s="13"/>
      <c r="ANO239" s="13"/>
      <c r="ANP239" s="13"/>
      <c r="ANQ239" s="13"/>
      <c r="ANR239" s="13"/>
      <c r="ANS239" s="13"/>
      <c r="ANT239" s="13"/>
      <c r="ANU239" s="13"/>
      <c r="ANV239" s="13"/>
      <c r="ANW239" s="13"/>
      <c r="ANX239" s="13"/>
      <c r="ANY239" s="13"/>
      <c r="ANZ239" s="13"/>
      <c r="AOA239" s="13"/>
      <c r="AOB239" s="13"/>
      <c r="AOC239" s="13"/>
      <c r="AOD239" s="13"/>
      <c r="AOE239" s="13"/>
      <c r="AOF239" s="13"/>
      <c r="AOG239" s="13"/>
      <c r="AOH239" s="13"/>
      <c r="AOI239" s="13"/>
      <c r="AOJ239" s="13"/>
      <c r="AOK239" s="13"/>
      <c r="AOL239" s="13"/>
      <c r="AOM239" s="13"/>
      <c r="AON239" s="13"/>
      <c r="AOO239" s="13"/>
      <c r="AOP239" s="13"/>
      <c r="AOQ239" s="13"/>
      <c r="AOR239" s="13"/>
      <c r="AOS239" s="13"/>
      <c r="AOT239" s="13"/>
      <c r="AOU239" s="13"/>
      <c r="AOV239" s="13"/>
      <c r="AOW239" s="13"/>
      <c r="AOX239" s="13"/>
      <c r="AOY239" s="13"/>
      <c r="AOZ239" s="13"/>
      <c r="APA239" s="13"/>
      <c r="APB239" s="13"/>
      <c r="APC239" s="13"/>
      <c r="APD239" s="13"/>
      <c r="APE239" s="13"/>
      <c r="APF239" s="13"/>
      <c r="APG239" s="13"/>
      <c r="APH239" s="13"/>
      <c r="API239" s="13"/>
      <c r="APJ239" s="13"/>
      <c r="APK239" s="13"/>
      <c r="APL239" s="13"/>
      <c r="APM239" s="13"/>
      <c r="APN239" s="13"/>
      <c r="APO239" s="13"/>
      <c r="APP239" s="13"/>
      <c r="APQ239" s="13"/>
      <c r="APR239" s="13"/>
      <c r="APS239" s="13"/>
      <c r="APT239" s="13"/>
      <c r="APU239" s="13"/>
      <c r="APV239" s="13"/>
      <c r="APW239" s="13"/>
      <c r="APX239" s="13"/>
      <c r="APY239" s="13"/>
      <c r="APZ239" s="13"/>
      <c r="AQA239" s="13"/>
      <c r="AQB239" s="13"/>
      <c r="AQC239" s="13"/>
      <c r="AQD239" s="13"/>
      <c r="AQE239" s="13"/>
      <c r="AQF239" s="13"/>
      <c r="AQG239" s="13"/>
      <c r="AQH239" s="13"/>
      <c r="AQI239" s="13"/>
      <c r="AQJ239" s="13"/>
      <c r="AQK239" s="13"/>
      <c r="AQL239" s="13"/>
      <c r="AQM239" s="13"/>
      <c r="AQN239" s="13"/>
      <c r="AQO239" s="13"/>
      <c r="AQP239" s="13"/>
      <c r="AQQ239" s="13"/>
      <c r="AQR239" s="13"/>
      <c r="AQS239" s="13"/>
      <c r="AQT239" s="13"/>
      <c r="AQU239" s="13"/>
      <c r="AQV239" s="13"/>
      <c r="AQW239" s="13"/>
      <c r="AQX239" s="13"/>
      <c r="AQY239" s="13"/>
      <c r="AQZ239" s="13"/>
      <c r="ARA239" s="13"/>
      <c r="ARB239" s="13"/>
      <c r="ARC239" s="13"/>
      <c r="ARD239" s="13"/>
      <c r="ARE239" s="13"/>
      <c r="ARF239" s="13"/>
      <c r="ARG239" s="13"/>
      <c r="ARH239" s="13"/>
      <c r="ARI239" s="13"/>
      <c r="ARJ239" s="13"/>
      <c r="ARK239" s="13"/>
      <c r="ARL239" s="13"/>
      <c r="ARM239" s="13"/>
      <c r="ARN239" s="13"/>
      <c r="ARO239" s="13"/>
      <c r="ARP239" s="13"/>
      <c r="ARQ239" s="13"/>
      <c r="ARR239" s="13"/>
      <c r="ARS239" s="13"/>
      <c r="ART239" s="13"/>
      <c r="ARU239" s="13"/>
      <c r="ARV239" s="13"/>
      <c r="ARW239" s="13"/>
      <c r="ARX239" s="13"/>
      <c r="ARY239" s="13"/>
      <c r="ARZ239" s="13"/>
      <c r="ASA239" s="13"/>
      <c r="ASB239" s="13"/>
      <c r="ASC239" s="13"/>
      <c r="ASD239" s="13"/>
      <c r="ASE239" s="13"/>
      <c r="ASF239" s="13"/>
      <c r="ASG239" s="13"/>
      <c r="ASH239" s="13"/>
      <c r="ASI239" s="13"/>
      <c r="ASJ239" s="13"/>
      <c r="ASK239" s="13"/>
      <c r="ASL239" s="13"/>
      <c r="ASM239" s="13"/>
      <c r="ASN239" s="13"/>
      <c r="ASO239" s="13"/>
      <c r="ASP239" s="13"/>
      <c r="ASQ239" s="13"/>
      <c r="ASR239" s="13"/>
      <c r="ASS239" s="13"/>
      <c r="AST239" s="13"/>
      <c r="ASU239" s="13"/>
      <c r="ASV239" s="13"/>
      <c r="ASW239" s="13"/>
      <c r="ASX239" s="13"/>
      <c r="ASY239" s="13"/>
      <c r="ASZ239" s="13"/>
      <c r="ATA239" s="13"/>
      <c r="ATB239" s="13"/>
      <c r="ATC239" s="13"/>
      <c r="ATD239" s="13"/>
      <c r="ATE239" s="13"/>
      <c r="ATF239" s="13"/>
      <c r="ATG239" s="13"/>
      <c r="ATH239" s="13"/>
      <c r="ATI239" s="13"/>
      <c r="ATJ239" s="13"/>
      <c r="ATK239" s="13"/>
      <c r="ATL239" s="13"/>
      <c r="ATM239" s="13"/>
      <c r="ATN239" s="13"/>
      <c r="ATO239" s="13"/>
      <c r="ATP239" s="13"/>
      <c r="ATQ239" s="13"/>
      <c r="ATR239" s="13"/>
      <c r="ATS239" s="13"/>
      <c r="ATT239" s="13"/>
      <c r="ATU239" s="13"/>
      <c r="ATV239" s="13"/>
      <c r="ATW239" s="13"/>
      <c r="ATX239" s="13"/>
      <c r="ATY239" s="13"/>
      <c r="ATZ239" s="13"/>
      <c r="AUA239" s="13"/>
      <c r="AUB239" s="13"/>
      <c r="AUC239" s="13"/>
      <c r="AUD239" s="13"/>
      <c r="AUE239" s="13"/>
      <c r="AUF239" s="13"/>
      <c r="AUG239" s="13"/>
      <c r="AUH239" s="13"/>
      <c r="AUI239" s="13"/>
      <c r="AUJ239" s="13"/>
      <c r="AUK239" s="13"/>
      <c r="AUL239" s="13"/>
      <c r="AUM239" s="13"/>
      <c r="AUN239" s="13"/>
      <c r="AUO239" s="13"/>
      <c r="AUP239" s="13"/>
      <c r="AUQ239" s="13"/>
      <c r="AUR239" s="13"/>
      <c r="AUS239" s="13"/>
      <c r="AUT239" s="13"/>
      <c r="AUU239" s="13"/>
      <c r="AUV239" s="13"/>
      <c r="AUW239" s="13"/>
      <c r="AUX239" s="13"/>
      <c r="AUY239" s="13"/>
      <c r="AUZ239" s="13"/>
      <c r="AVA239" s="13"/>
      <c r="AVB239" s="13"/>
      <c r="AVC239" s="13"/>
      <c r="AVD239" s="13"/>
      <c r="AVE239" s="13"/>
      <c r="AVF239" s="13"/>
      <c r="AVG239" s="13"/>
      <c r="AVH239" s="13"/>
      <c r="AVI239" s="13"/>
      <c r="AVJ239" s="13"/>
      <c r="AVK239" s="13"/>
      <c r="AVL239" s="13"/>
      <c r="AVM239" s="13"/>
      <c r="AVN239" s="13"/>
      <c r="AVO239" s="13"/>
      <c r="AVP239" s="13"/>
      <c r="AVQ239" s="13"/>
      <c r="AVR239" s="13"/>
      <c r="AVS239" s="13"/>
      <c r="AVT239" s="13"/>
      <c r="AVU239" s="13"/>
      <c r="AVV239" s="13"/>
      <c r="AVW239" s="13"/>
      <c r="AVX239" s="13"/>
      <c r="AVY239" s="13"/>
      <c r="AVZ239" s="13"/>
      <c r="AWA239" s="13"/>
      <c r="AWB239" s="13"/>
      <c r="AWC239" s="13"/>
      <c r="AWD239" s="13"/>
      <c r="AWE239" s="13"/>
      <c r="AWF239" s="13"/>
      <c r="AWG239" s="13"/>
      <c r="AWH239" s="13"/>
      <c r="AWI239" s="13"/>
      <c r="AWJ239" s="13"/>
      <c r="AWK239" s="13"/>
      <c r="AWL239" s="13"/>
      <c r="AWM239" s="13"/>
      <c r="AWN239" s="13"/>
      <c r="AWO239" s="13"/>
      <c r="AWP239" s="13"/>
      <c r="AWQ239" s="13"/>
      <c r="AWR239" s="13"/>
      <c r="AWS239" s="13"/>
      <c r="AWT239" s="13"/>
      <c r="AWU239" s="13"/>
      <c r="AWV239" s="13"/>
      <c r="AWW239" s="13"/>
      <c r="AWX239" s="13"/>
      <c r="AWY239" s="13"/>
      <c r="AWZ239" s="13"/>
      <c r="AXA239" s="13"/>
      <c r="AXB239" s="13"/>
      <c r="AXC239" s="13"/>
      <c r="AXD239" s="13"/>
      <c r="AXE239" s="13"/>
      <c r="AXF239" s="13"/>
      <c r="AXG239" s="13"/>
      <c r="AXH239" s="13"/>
      <c r="AXI239" s="13"/>
      <c r="AXJ239" s="13"/>
      <c r="AXK239" s="13"/>
      <c r="AXL239" s="13"/>
      <c r="AXM239" s="13"/>
      <c r="AXN239" s="13"/>
      <c r="AXO239" s="13"/>
      <c r="AXP239" s="13"/>
      <c r="AXQ239" s="13"/>
      <c r="AXR239" s="13"/>
      <c r="AXS239" s="13"/>
      <c r="AXT239" s="13"/>
      <c r="AXU239" s="13"/>
      <c r="AXV239" s="13"/>
      <c r="AXW239" s="13"/>
      <c r="AXX239" s="13"/>
      <c r="AXY239" s="13"/>
      <c r="AXZ239" s="13"/>
      <c r="AYA239" s="13"/>
      <c r="AYB239" s="13"/>
      <c r="AYC239" s="13"/>
      <c r="AYD239" s="13"/>
      <c r="AYE239" s="13"/>
      <c r="AYF239" s="13"/>
      <c r="AYG239" s="13"/>
      <c r="AYH239" s="13"/>
      <c r="AYI239" s="13"/>
      <c r="AYJ239" s="13"/>
      <c r="AYK239" s="13"/>
      <c r="AYL239" s="13"/>
      <c r="AYM239" s="13"/>
      <c r="AYN239" s="13"/>
      <c r="AYO239" s="13"/>
      <c r="AYP239" s="13"/>
      <c r="AYQ239" s="13"/>
      <c r="AYR239" s="13"/>
      <c r="AYS239" s="13"/>
      <c r="AYT239" s="13"/>
      <c r="AYU239" s="13"/>
      <c r="AYV239" s="13"/>
      <c r="AYW239" s="13"/>
      <c r="AYX239" s="13"/>
      <c r="AYY239" s="13"/>
      <c r="AYZ239" s="13"/>
      <c r="AZA239" s="13"/>
      <c r="AZB239" s="13"/>
      <c r="AZC239" s="13"/>
      <c r="AZD239" s="13"/>
      <c r="AZE239" s="13"/>
      <c r="AZF239" s="13"/>
      <c r="AZG239" s="13"/>
      <c r="AZH239" s="13"/>
      <c r="AZI239" s="13"/>
      <c r="AZJ239" s="13"/>
      <c r="AZK239" s="13"/>
      <c r="AZL239" s="13"/>
      <c r="AZM239" s="13"/>
      <c r="AZN239" s="13"/>
      <c r="AZO239" s="13"/>
      <c r="AZP239" s="13"/>
      <c r="AZQ239" s="13"/>
      <c r="AZR239" s="13"/>
      <c r="AZS239" s="13"/>
      <c r="AZT239" s="13"/>
      <c r="AZU239" s="13"/>
      <c r="AZV239" s="13"/>
      <c r="AZW239" s="13"/>
      <c r="AZX239" s="13"/>
      <c r="AZY239" s="13"/>
      <c r="AZZ239" s="13"/>
      <c r="BAA239" s="13"/>
      <c r="BAB239" s="13"/>
      <c r="BAC239" s="13"/>
      <c r="BAD239" s="13"/>
      <c r="BAE239" s="13"/>
      <c r="BAF239" s="13"/>
      <c r="BAG239" s="13"/>
      <c r="BAH239" s="13"/>
      <c r="BAI239" s="13"/>
      <c r="BAJ239" s="13"/>
      <c r="BAK239" s="13"/>
      <c r="BAL239" s="13"/>
      <c r="BAM239" s="13"/>
      <c r="BAN239" s="13"/>
      <c r="BAO239" s="13"/>
      <c r="BAP239" s="13"/>
      <c r="BAQ239" s="13"/>
      <c r="BAR239" s="13"/>
      <c r="BAS239" s="13"/>
      <c r="BAT239" s="13"/>
      <c r="BAU239" s="13"/>
      <c r="BAV239" s="13"/>
      <c r="BAW239" s="13"/>
      <c r="BAX239" s="13"/>
      <c r="BAY239" s="13"/>
      <c r="BAZ239" s="13"/>
      <c r="BBA239" s="13"/>
      <c r="BBB239" s="13"/>
      <c r="BBC239" s="13"/>
      <c r="BBD239" s="13"/>
      <c r="BBE239" s="13"/>
      <c r="BBF239" s="13"/>
      <c r="BBG239" s="13"/>
      <c r="BBH239" s="13"/>
      <c r="BBI239" s="13"/>
      <c r="BBJ239" s="13"/>
      <c r="BBK239" s="13"/>
      <c r="BBL239" s="13"/>
      <c r="BBM239" s="13"/>
      <c r="BBN239" s="13"/>
      <c r="BBO239" s="13"/>
      <c r="BBP239" s="13"/>
      <c r="BBQ239" s="13"/>
      <c r="BBR239" s="13"/>
      <c r="BBS239" s="13"/>
      <c r="BBT239" s="13"/>
      <c r="BBU239" s="13"/>
      <c r="BBV239" s="13"/>
      <c r="BBW239" s="13"/>
      <c r="BBX239" s="13"/>
      <c r="BBY239" s="13"/>
      <c r="BBZ239" s="13"/>
      <c r="BCA239" s="13"/>
      <c r="BCB239" s="13"/>
      <c r="BCC239" s="13"/>
      <c r="BCD239" s="13"/>
      <c r="BCE239" s="13"/>
      <c r="BCF239" s="13"/>
      <c r="BCG239" s="13"/>
      <c r="BCH239" s="13"/>
      <c r="BCI239" s="13"/>
      <c r="BCJ239" s="13"/>
      <c r="BCK239" s="13"/>
      <c r="BCL239" s="13"/>
      <c r="BCM239" s="13"/>
      <c r="BCN239" s="13"/>
      <c r="BCO239" s="13"/>
      <c r="BCP239" s="13"/>
      <c r="BCQ239" s="13"/>
      <c r="BCR239" s="13"/>
      <c r="BCS239" s="13"/>
      <c r="BCT239" s="13"/>
      <c r="BCU239" s="13"/>
      <c r="BCV239" s="13"/>
      <c r="BCW239" s="13"/>
      <c r="BCX239" s="13"/>
      <c r="BCY239" s="13"/>
      <c r="BCZ239" s="13"/>
      <c r="BDA239" s="13"/>
      <c r="BDB239" s="13"/>
      <c r="BDC239" s="13"/>
      <c r="BDD239" s="13"/>
      <c r="BDE239" s="13"/>
      <c r="BDF239" s="13"/>
      <c r="BDG239" s="13"/>
      <c r="BDH239" s="13"/>
      <c r="BDI239" s="13"/>
      <c r="BDJ239" s="13"/>
      <c r="BDK239" s="13"/>
      <c r="BDL239" s="13"/>
      <c r="BDM239" s="13"/>
      <c r="BDN239" s="13"/>
      <c r="BDO239" s="13"/>
      <c r="BDP239" s="13"/>
      <c r="BDQ239" s="13"/>
      <c r="BDR239" s="13"/>
      <c r="BDS239" s="13"/>
      <c r="BDT239" s="13"/>
      <c r="BDU239" s="13"/>
      <c r="BDV239" s="13"/>
      <c r="BDW239" s="13"/>
      <c r="BDX239" s="13"/>
      <c r="BDY239" s="13"/>
      <c r="BDZ239" s="13"/>
      <c r="BEA239" s="13"/>
      <c r="BEB239" s="13"/>
      <c r="BEC239" s="13"/>
      <c r="BED239" s="13"/>
      <c r="BEE239" s="13"/>
      <c r="BEF239" s="13"/>
      <c r="BEG239" s="13"/>
      <c r="BEH239" s="13"/>
      <c r="BEI239" s="13"/>
      <c r="BEJ239" s="13"/>
      <c r="BEK239" s="13"/>
      <c r="BEL239" s="13"/>
      <c r="BEM239" s="13"/>
      <c r="BEN239" s="13"/>
      <c r="BEO239" s="13"/>
      <c r="BEP239" s="13"/>
      <c r="BEQ239" s="13"/>
      <c r="BER239" s="13"/>
      <c r="BES239" s="13"/>
      <c r="BET239" s="13"/>
      <c r="BEU239" s="13"/>
      <c r="BEV239" s="13"/>
      <c r="BEW239" s="13"/>
      <c r="BEX239" s="13"/>
      <c r="BEY239" s="13"/>
      <c r="BEZ239" s="13"/>
      <c r="BFA239" s="13"/>
      <c r="BFB239" s="13"/>
      <c r="BFC239" s="13"/>
      <c r="BFD239" s="13"/>
      <c r="BFE239" s="13"/>
      <c r="BFF239" s="13"/>
      <c r="BFG239" s="13"/>
      <c r="BFH239" s="13"/>
      <c r="BFI239" s="13"/>
      <c r="BFJ239" s="13"/>
      <c r="BFK239" s="13"/>
      <c r="BFL239" s="13"/>
      <c r="BFM239" s="13"/>
      <c r="BFN239" s="13"/>
      <c r="BFO239" s="13"/>
      <c r="BFP239" s="13"/>
      <c r="BFQ239" s="13"/>
      <c r="BFR239" s="13"/>
      <c r="BFS239" s="13"/>
      <c r="BFT239" s="13"/>
      <c r="BFU239" s="13"/>
      <c r="BFV239" s="13"/>
      <c r="BFW239" s="13"/>
      <c r="BFX239" s="13"/>
      <c r="BFY239" s="13"/>
      <c r="BFZ239" s="13"/>
      <c r="BGA239" s="13"/>
      <c r="BGB239" s="13"/>
      <c r="BGC239" s="13"/>
      <c r="BGD239" s="13"/>
      <c r="BGE239" s="13"/>
      <c r="BGF239" s="13"/>
      <c r="BGG239" s="13"/>
      <c r="BGH239" s="13"/>
      <c r="BGI239" s="13"/>
      <c r="BGJ239" s="13"/>
      <c r="BGK239" s="13"/>
      <c r="BGL239" s="13"/>
      <c r="BGM239" s="13"/>
      <c r="BGN239" s="13"/>
      <c r="BGO239" s="13"/>
      <c r="BGP239" s="13"/>
      <c r="BGQ239" s="13"/>
      <c r="BGR239" s="13"/>
      <c r="BGS239" s="13"/>
      <c r="BGT239" s="13"/>
      <c r="BGU239" s="13"/>
      <c r="BGV239" s="13"/>
      <c r="BGW239" s="13"/>
      <c r="BGX239" s="13"/>
      <c r="BGY239" s="13"/>
      <c r="BGZ239" s="13"/>
      <c r="BHA239" s="13"/>
      <c r="BHB239" s="13"/>
      <c r="BHC239" s="13"/>
      <c r="BHD239" s="13"/>
      <c r="BHE239" s="13"/>
      <c r="BHF239" s="13"/>
      <c r="BHG239" s="13"/>
      <c r="BHH239" s="13"/>
      <c r="BHI239" s="13"/>
      <c r="BHJ239" s="13"/>
      <c r="BHK239" s="13"/>
      <c r="BHL239" s="13"/>
      <c r="BHM239" s="13"/>
      <c r="BHN239" s="13"/>
      <c r="BHO239" s="13"/>
      <c r="BHP239" s="13"/>
      <c r="BHQ239" s="13"/>
      <c r="BHR239" s="13"/>
      <c r="BHS239" s="13"/>
      <c r="BHT239" s="13"/>
      <c r="BHU239" s="13"/>
      <c r="BHV239" s="13"/>
      <c r="BHW239" s="13"/>
      <c r="BHX239" s="13"/>
      <c r="BHY239" s="13"/>
      <c r="BHZ239" s="13"/>
      <c r="BIA239" s="13"/>
      <c r="BIB239" s="13"/>
      <c r="BIC239" s="13"/>
      <c r="BID239" s="13"/>
      <c r="BIE239" s="13"/>
      <c r="BIF239" s="13"/>
      <c r="BIG239" s="13"/>
      <c r="BIH239" s="13"/>
      <c r="BII239" s="13"/>
      <c r="BIJ239" s="13"/>
      <c r="BIK239" s="13"/>
      <c r="BIL239" s="13"/>
      <c r="BIM239" s="13"/>
      <c r="BIN239" s="13"/>
      <c r="BIO239" s="13"/>
      <c r="BIP239" s="13"/>
      <c r="BIQ239" s="13"/>
      <c r="BIR239" s="13"/>
      <c r="BIS239" s="13"/>
      <c r="BIT239" s="13"/>
      <c r="BIU239" s="13"/>
      <c r="BIV239" s="13"/>
      <c r="BIW239" s="13"/>
      <c r="BIX239" s="13"/>
      <c r="BIY239" s="13"/>
      <c r="BIZ239" s="13"/>
      <c r="BJA239" s="13"/>
      <c r="BJB239" s="13"/>
      <c r="BJC239" s="13"/>
      <c r="BJD239" s="13"/>
      <c r="BJE239" s="13"/>
      <c r="BJF239" s="13"/>
      <c r="BJG239" s="13"/>
      <c r="BJH239" s="13"/>
      <c r="BJI239" s="13"/>
      <c r="BJJ239" s="13"/>
      <c r="BJK239" s="13"/>
      <c r="BJL239" s="13"/>
      <c r="BJM239" s="13"/>
      <c r="BJN239" s="13"/>
      <c r="BJO239" s="13"/>
      <c r="BJP239" s="13"/>
      <c r="BJQ239" s="13"/>
      <c r="BJR239" s="13"/>
      <c r="BJS239" s="13"/>
      <c r="BJT239" s="13"/>
      <c r="BJU239" s="13"/>
      <c r="BJV239" s="13"/>
      <c r="BJW239" s="13"/>
      <c r="BJX239" s="13"/>
      <c r="BJY239" s="13"/>
      <c r="BJZ239" s="13"/>
      <c r="BKA239" s="13"/>
      <c r="BKB239" s="13"/>
      <c r="BKC239" s="13"/>
      <c r="BKD239" s="13"/>
      <c r="BKE239" s="13"/>
      <c r="BKF239" s="13"/>
      <c r="BKG239" s="13"/>
      <c r="BKH239" s="13"/>
      <c r="BKI239" s="13"/>
      <c r="BKJ239" s="13"/>
      <c r="BKK239" s="13"/>
      <c r="BKL239" s="13"/>
      <c r="BKM239" s="13"/>
      <c r="BKN239" s="13"/>
      <c r="BKO239" s="13"/>
      <c r="BKP239" s="13"/>
      <c r="BKQ239" s="13"/>
      <c r="BKR239" s="13"/>
      <c r="BKS239" s="13"/>
      <c r="BKT239" s="13"/>
      <c r="BKU239" s="13"/>
      <c r="BKV239" s="13"/>
      <c r="BKW239" s="13"/>
      <c r="BKX239" s="13"/>
      <c r="BKY239" s="13"/>
      <c r="BKZ239" s="13"/>
      <c r="BLA239" s="13"/>
      <c r="BLB239" s="13"/>
      <c r="BLC239" s="13"/>
      <c r="BLD239" s="13"/>
      <c r="BLE239" s="13"/>
      <c r="BLF239" s="13"/>
      <c r="BLG239" s="13"/>
      <c r="BLH239" s="13"/>
      <c r="BLI239" s="13"/>
      <c r="BLJ239" s="13"/>
      <c r="BLK239" s="13"/>
      <c r="BLL239" s="13"/>
      <c r="BLM239" s="13"/>
      <c r="BLN239" s="13"/>
      <c r="BLO239" s="13"/>
      <c r="BLP239" s="13"/>
      <c r="BLQ239" s="13"/>
      <c r="BLR239" s="13"/>
      <c r="BLS239" s="13"/>
      <c r="BLT239" s="13"/>
      <c r="BLU239" s="13"/>
      <c r="BLV239" s="13"/>
      <c r="BLW239" s="13"/>
      <c r="BLX239" s="13"/>
      <c r="BLY239" s="13"/>
      <c r="BLZ239" s="13"/>
      <c r="BMA239" s="13"/>
      <c r="BMB239" s="13"/>
      <c r="BMC239" s="13"/>
      <c r="BMD239" s="13"/>
      <c r="BME239" s="13"/>
      <c r="BMF239" s="13"/>
      <c r="BMG239" s="13"/>
      <c r="BMH239" s="13"/>
      <c r="BMI239" s="13"/>
      <c r="BMJ239" s="13"/>
      <c r="BMK239" s="13"/>
      <c r="BML239" s="13"/>
      <c r="BMM239" s="13"/>
      <c r="BMN239" s="13"/>
      <c r="BMO239" s="13"/>
      <c r="BMP239" s="13"/>
      <c r="BMQ239" s="13"/>
      <c r="BMR239" s="13"/>
      <c r="BMS239" s="13"/>
      <c r="BMT239" s="13"/>
      <c r="BMU239" s="13"/>
      <c r="BMV239" s="13"/>
      <c r="BMW239" s="13"/>
      <c r="BMX239" s="13"/>
      <c r="BMY239" s="13"/>
      <c r="BMZ239" s="13"/>
      <c r="BNA239" s="13"/>
      <c r="BNB239" s="13"/>
      <c r="BNC239" s="13"/>
      <c r="BND239" s="13"/>
      <c r="BNE239" s="13"/>
      <c r="BNF239" s="13"/>
      <c r="BNG239" s="13"/>
      <c r="BNH239" s="13"/>
      <c r="BNI239" s="13"/>
      <c r="BNJ239" s="13"/>
      <c r="BNK239" s="13"/>
      <c r="BNL239" s="13"/>
      <c r="BNM239" s="13"/>
      <c r="BNN239" s="13"/>
      <c r="BNO239" s="13"/>
      <c r="BNP239" s="13"/>
      <c r="BNQ239" s="13"/>
      <c r="BNR239" s="13"/>
      <c r="BNS239" s="13"/>
      <c r="BNT239" s="13"/>
      <c r="BNU239" s="13"/>
      <c r="BNV239" s="13"/>
      <c r="BNW239" s="13"/>
      <c r="BNX239" s="13"/>
      <c r="BNY239" s="13"/>
      <c r="BNZ239" s="13"/>
      <c r="BOA239" s="13"/>
      <c r="BOB239" s="13"/>
      <c r="BOC239" s="13"/>
      <c r="BOD239" s="13"/>
      <c r="BOE239" s="13"/>
      <c r="BOF239" s="13"/>
      <c r="BOG239" s="13"/>
      <c r="BOH239" s="13"/>
      <c r="BOI239" s="13"/>
      <c r="BOJ239" s="13"/>
      <c r="BOK239" s="13"/>
      <c r="BOL239" s="13"/>
      <c r="BOM239" s="13"/>
      <c r="BON239" s="13"/>
      <c r="BOO239" s="13"/>
      <c r="BOP239" s="13"/>
      <c r="BOQ239" s="13"/>
      <c r="BOR239" s="13"/>
      <c r="BOS239" s="13"/>
      <c r="BOT239" s="13"/>
      <c r="BOU239" s="13"/>
      <c r="BOV239" s="13"/>
      <c r="BOW239" s="13"/>
      <c r="BOX239" s="13"/>
      <c r="BOY239" s="13"/>
      <c r="BOZ239" s="13"/>
      <c r="BPA239" s="13"/>
      <c r="BPB239" s="13"/>
      <c r="BPC239" s="13"/>
      <c r="BPD239" s="13"/>
      <c r="BPE239" s="13"/>
      <c r="BPF239" s="13"/>
      <c r="BPG239" s="13"/>
      <c r="BPH239" s="13"/>
      <c r="BPI239" s="13"/>
      <c r="BPJ239" s="13"/>
      <c r="BPK239" s="13"/>
      <c r="BPL239" s="13"/>
      <c r="BPM239" s="13"/>
      <c r="BPN239" s="13"/>
      <c r="BPO239" s="13"/>
      <c r="BPP239" s="13"/>
      <c r="BPQ239" s="13"/>
      <c r="BPR239" s="13"/>
      <c r="BPS239" s="13"/>
      <c r="BPT239" s="13"/>
      <c r="BPU239" s="13"/>
      <c r="BPV239" s="13"/>
      <c r="BPW239" s="13"/>
      <c r="BPX239" s="13"/>
      <c r="BPY239" s="13"/>
      <c r="BPZ239" s="13"/>
      <c r="BQA239" s="13"/>
      <c r="BQB239" s="13"/>
      <c r="BQC239" s="13"/>
      <c r="BQD239" s="13"/>
      <c r="BQE239" s="13"/>
      <c r="BQF239" s="13"/>
      <c r="BQG239" s="13"/>
      <c r="BQH239" s="13"/>
      <c r="BQI239" s="13"/>
      <c r="BQJ239" s="13"/>
      <c r="BQK239" s="13"/>
      <c r="BQL239" s="13"/>
      <c r="BQM239" s="13"/>
      <c r="BQN239" s="13"/>
      <c r="BQO239" s="13"/>
      <c r="BQP239" s="13"/>
      <c r="BQQ239" s="13"/>
      <c r="BQR239" s="13"/>
      <c r="BQS239" s="13"/>
      <c r="BQT239" s="13"/>
      <c r="BQU239" s="13"/>
      <c r="BQV239" s="13"/>
      <c r="BQW239" s="13"/>
      <c r="BQX239" s="13"/>
      <c r="BQY239" s="13"/>
      <c r="BQZ239" s="13"/>
      <c r="BRA239" s="13"/>
      <c r="BRB239" s="13"/>
      <c r="BRC239" s="13"/>
      <c r="BRD239" s="13"/>
      <c r="BRE239" s="13"/>
      <c r="BRF239" s="13"/>
      <c r="BRG239" s="13"/>
      <c r="BRH239" s="13"/>
      <c r="BRI239" s="13"/>
      <c r="BRJ239" s="13"/>
      <c r="BRK239" s="13"/>
      <c r="BRL239" s="13"/>
      <c r="BRM239" s="13"/>
      <c r="BRN239" s="13"/>
      <c r="BRO239" s="13"/>
      <c r="BRP239" s="13"/>
      <c r="BRQ239" s="13"/>
      <c r="BRR239" s="13"/>
      <c r="BRS239" s="13"/>
      <c r="BRT239" s="13"/>
      <c r="BRU239" s="13"/>
      <c r="BRV239" s="13"/>
      <c r="BRW239" s="13"/>
      <c r="BRX239" s="13"/>
      <c r="BRY239" s="13"/>
      <c r="BRZ239" s="13"/>
      <c r="BSA239" s="13"/>
      <c r="BSB239" s="13"/>
      <c r="BSC239" s="13"/>
      <c r="BSD239" s="13"/>
      <c r="BSE239" s="13"/>
      <c r="BSF239" s="13"/>
      <c r="BSG239" s="13"/>
      <c r="BSH239" s="13"/>
      <c r="BSI239" s="13"/>
      <c r="BSJ239" s="13"/>
      <c r="BSK239" s="13"/>
      <c r="BSL239" s="13"/>
      <c r="BSM239" s="13"/>
      <c r="BSN239" s="13"/>
      <c r="BSO239" s="13"/>
      <c r="BSP239" s="13"/>
      <c r="BSQ239" s="13"/>
      <c r="BSR239" s="13"/>
      <c r="BSS239" s="13"/>
      <c r="BST239" s="13"/>
      <c r="BSU239" s="13"/>
      <c r="BSV239" s="13"/>
      <c r="BSW239" s="13"/>
      <c r="BSX239" s="13"/>
      <c r="BSY239" s="13"/>
      <c r="BSZ239" s="13"/>
      <c r="BTA239" s="13"/>
    </row>
    <row r="240" spans="1:1873" s="23" customFormat="1" x14ac:dyDescent="0.2">
      <c r="A240" s="234" t="s">
        <v>679</v>
      </c>
      <c r="B240" s="234" t="s">
        <v>618</v>
      </c>
      <c r="C240" s="234" t="s">
        <v>488</v>
      </c>
      <c r="D240" s="234" t="s">
        <v>619</v>
      </c>
      <c r="E240" s="493" t="s">
        <v>1501</v>
      </c>
      <c r="F240" s="234">
        <v>10</v>
      </c>
      <c r="G240" s="234">
        <v>1</v>
      </c>
      <c r="H240" s="491">
        <v>10</v>
      </c>
      <c r="I240" s="234" t="s">
        <v>621</v>
      </c>
      <c r="J240" s="234">
        <v>1987</v>
      </c>
      <c r="K240" s="234" t="s">
        <v>962</v>
      </c>
      <c r="L240" s="234">
        <v>1996</v>
      </c>
      <c r="M240" s="389">
        <v>9.2200000000000006</v>
      </c>
      <c r="N240" s="389">
        <v>-9999</v>
      </c>
      <c r="O240" s="29"/>
      <c r="P240" s="237">
        <f t="shared" si="15"/>
        <v>97.32</v>
      </c>
      <c r="Q240" s="234">
        <v>-9999</v>
      </c>
      <c r="R240" s="389"/>
      <c r="S240" s="234"/>
      <c r="T240" s="237">
        <f t="shared" si="14"/>
        <v>9.7319999999999993</v>
      </c>
      <c r="U240" s="234">
        <v>-9999</v>
      </c>
      <c r="V240" s="234"/>
      <c r="W240" s="389">
        <v>9.2200000000000006</v>
      </c>
      <c r="X240" s="234">
        <v>-9999</v>
      </c>
      <c r="Y240" s="234"/>
      <c r="Z240" s="234" t="s">
        <v>622</v>
      </c>
      <c r="AA240" s="515">
        <v>111111</v>
      </c>
      <c r="AB240" s="412">
        <v>0.44</v>
      </c>
      <c r="AC240" s="234">
        <v>8.6400000000000005E-2</v>
      </c>
      <c r="AD240" s="234">
        <v>36</v>
      </c>
      <c r="AE240" s="390" t="s">
        <v>1974</v>
      </c>
      <c r="AF240" s="234">
        <v>3</v>
      </c>
      <c r="AG240" s="234">
        <v>2</v>
      </c>
      <c r="AH240" s="234" t="s">
        <v>623</v>
      </c>
      <c r="AI240" s="234" t="s">
        <v>624</v>
      </c>
      <c r="AJ240" s="234">
        <v>-9999</v>
      </c>
      <c r="AK240" s="234" t="s">
        <v>626</v>
      </c>
      <c r="AL240" s="234" t="s">
        <v>653</v>
      </c>
      <c r="AM240" s="234">
        <v>-9999</v>
      </c>
      <c r="AN240" s="234" t="s">
        <v>491</v>
      </c>
      <c r="AO240" s="234" t="s">
        <v>627</v>
      </c>
      <c r="AP240" s="234" t="s">
        <v>489</v>
      </c>
      <c r="AQ240" s="234" t="s">
        <v>631</v>
      </c>
      <c r="AR240" s="234">
        <v>0</v>
      </c>
      <c r="AS240" s="234">
        <v>-9999</v>
      </c>
      <c r="AT240" s="234">
        <v>-9999</v>
      </c>
      <c r="AU240" s="234">
        <v>0</v>
      </c>
      <c r="AV240" s="234">
        <v>-9999</v>
      </c>
      <c r="AW240" s="234">
        <v>-9999</v>
      </c>
      <c r="AX240" s="234">
        <v>0</v>
      </c>
      <c r="AY240" s="234">
        <v>-9999</v>
      </c>
      <c r="AZ240" s="234">
        <v>-9999</v>
      </c>
      <c r="BA240" s="234">
        <v>-9999</v>
      </c>
      <c r="BB240" s="234" t="s">
        <v>626</v>
      </c>
      <c r="BC240" s="516" t="s">
        <v>37</v>
      </c>
      <c r="BD240" s="234" t="s">
        <v>674</v>
      </c>
      <c r="BE240" s="234" t="s">
        <v>36</v>
      </c>
      <c r="BF240" s="234">
        <v>-9999</v>
      </c>
      <c r="BG240" s="234">
        <v>-9999</v>
      </c>
      <c r="BH240" s="234">
        <v>-9999</v>
      </c>
      <c r="BI240" s="234" t="s">
        <v>492</v>
      </c>
      <c r="BJ240" s="234">
        <v>-9999</v>
      </c>
      <c r="BK240" s="234">
        <v>-9999</v>
      </c>
      <c r="BL240" s="234">
        <v>-9999</v>
      </c>
      <c r="BM240" s="234">
        <v>-9999</v>
      </c>
      <c r="BN240" s="234">
        <v>-9999</v>
      </c>
      <c r="BO240" s="234">
        <v>-9999</v>
      </c>
      <c r="BP240" s="234">
        <v>-9999</v>
      </c>
      <c r="BQ240" s="234">
        <v>-9999</v>
      </c>
      <c r="BR240" s="234">
        <v>-9999</v>
      </c>
      <c r="BS240" s="491">
        <v>-9999</v>
      </c>
      <c r="BT240" s="234">
        <v>-9999</v>
      </c>
      <c r="BU240" s="234">
        <v>-9999</v>
      </c>
      <c r="BV240" s="234">
        <v>-9999</v>
      </c>
      <c r="BW240" s="234"/>
      <c r="BX240" s="234">
        <v>-9999</v>
      </c>
      <c r="BY240" s="234">
        <v>-9999</v>
      </c>
      <c r="BZ240" s="496">
        <v>-9999</v>
      </c>
      <c r="CA240" s="496">
        <v>-9999</v>
      </c>
      <c r="CB240" s="499"/>
      <c r="CC240" s="57">
        <v>10</v>
      </c>
      <c r="CD240" s="57">
        <v>1</v>
      </c>
      <c r="CE240" s="292">
        <v>9.7319999999999993</v>
      </c>
      <c r="CF240" s="292">
        <v>9.2200000000000006</v>
      </c>
      <c r="CG240" s="72">
        <v>10</v>
      </c>
    </row>
    <row r="241" spans="1:1873" s="23" customFormat="1" x14ac:dyDescent="0.2">
      <c r="A241" s="29"/>
      <c r="B241" s="29"/>
      <c r="C241" s="29"/>
      <c r="D241" s="29"/>
      <c r="E241" s="66"/>
      <c r="F241" s="66"/>
      <c r="G241" s="29"/>
      <c r="H241" s="30"/>
      <c r="I241" s="29"/>
      <c r="J241" s="29"/>
      <c r="K241" s="29"/>
      <c r="L241" s="29"/>
      <c r="M241" s="31"/>
      <c r="N241" s="31"/>
      <c r="O241" s="30"/>
      <c r="P241" s="31"/>
      <c r="Q241" s="29"/>
      <c r="R241" s="31"/>
      <c r="S241" s="29"/>
      <c r="T241" s="70"/>
      <c r="U241" s="70"/>
      <c r="V241" s="70"/>
      <c r="W241" s="70"/>
      <c r="X241" s="71"/>
      <c r="Y241" s="71"/>
      <c r="Z241" s="29"/>
      <c r="AA241" s="29"/>
      <c r="AB241" s="31"/>
      <c r="AC241" s="29"/>
      <c r="AD241" s="29"/>
      <c r="AE241" s="29"/>
      <c r="AF241" s="29"/>
      <c r="AG241" s="29"/>
      <c r="AH241" s="29"/>
      <c r="AI241" s="29"/>
      <c r="AJ241" s="30"/>
      <c r="AK241" s="29"/>
      <c r="AL241" s="29"/>
      <c r="AM241" s="29"/>
      <c r="AN241" s="29"/>
      <c r="AO241" s="29"/>
      <c r="AP241" s="29"/>
      <c r="AQ241" s="29"/>
      <c r="AR241" s="29"/>
      <c r="AS241" s="29"/>
      <c r="AT241" s="29"/>
      <c r="AU241" s="29"/>
      <c r="AV241" s="29"/>
      <c r="AW241" s="29"/>
      <c r="AX241" s="29"/>
      <c r="AY241" s="29"/>
      <c r="AZ241" s="29"/>
      <c r="BA241" s="29"/>
      <c r="BB241" s="29"/>
      <c r="BC241" s="29"/>
      <c r="BD241" s="29"/>
      <c r="BE241" s="29"/>
      <c r="BF241" s="29"/>
      <c r="BG241" s="29"/>
      <c r="BH241" s="29"/>
      <c r="BI241" s="29"/>
      <c r="BJ241" s="29"/>
      <c r="BK241" s="29"/>
      <c r="BL241" s="30"/>
      <c r="BM241" s="30"/>
      <c r="BN241" s="30"/>
      <c r="BO241" s="30"/>
      <c r="BP241" s="30"/>
      <c r="BQ241" s="30"/>
      <c r="BR241" s="30"/>
      <c r="BS241" s="30"/>
      <c r="BT241" s="30"/>
      <c r="BU241" s="30"/>
      <c r="BV241" s="30"/>
      <c r="BW241" s="30"/>
      <c r="BX241" s="30"/>
      <c r="BY241" s="30"/>
      <c r="BZ241" s="154"/>
      <c r="CA241" s="154"/>
      <c r="CC241" s="66"/>
      <c r="CD241" s="29"/>
      <c r="CE241" s="342" t="s">
        <v>1576</v>
      </c>
      <c r="CF241" s="342" t="s">
        <v>1575</v>
      </c>
      <c r="CG241" s="30"/>
    </row>
    <row r="242" spans="1:1873" s="23" customFormat="1" x14ac:dyDescent="0.2">
      <c r="A242" s="234" t="s">
        <v>685</v>
      </c>
      <c r="B242" s="234" t="s">
        <v>680</v>
      </c>
      <c r="C242" s="234" t="s">
        <v>493</v>
      </c>
      <c r="D242" s="234" t="s">
        <v>619</v>
      </c>
      <c r="E242" s="493" t="s">
        <v>1500</v>
      </c>
      <c r="F242" s="234">
        <v>1</v>
      </c>
      <c r="G242" s="234">
        <v>1</v>
      </c>
      <c r="H242" s="234">
        <v>1</v>
      </c>
      <c r="I242" s="234" t="s">
        <v>954</v>
      </c>
      <c r="J242" s="234">
        <v>1999</v>
      </c>
      <c r="K242" s="234" t="s">
        <v>1001</v>
      </c>
      <c r="L242" s="234">
        <v>1999</v>
      </c>
      <c r="M242" s="389">
        <v>-9999</v>
      </c>
      <c r="N242" s="389">
        <v>-9999</v>
      </c>
      <c r="O242" s="29"/>
      <c r="P242" s="389">
        <v>19.87</v>
      </c>
      <c r="Q242" s="491">
        <v>-9999</v>
      </c>
      <c r="R242" s="389"/>
      <c r="S242" s="491"/>
      <c r="T242" s="237">
        <f>+P242/G242</f>
        <v>19.87</v>
      </c>
      <c r="U242" s="491">
        <v>-9999</v>
      </c>
      <c r="V242" s="491"/>
      <c r="W242" s="389">
        <f>+P242</f>
        <v>19.87</v>
      </c>
      <c r="X242" s="491">
        <v>-9999</v>
      </c>
      <c r="Y242" s="491"/>
      <c r="Z242" s="234" t="s">
        <v>681</v>
      </c>
      <c r="AA242" s="495">
        <v>18146</v>
      </c>
      <c r="AB242" s="389">
        <v>-9999</v>
      </c>
      <c r="AC242" s="234">
        <v>1</v>
      </c>
      <c r="AD242" s="234">
        <v>124.8</v>
      </c>
      <c r="AE242" s="390" t="s">
        <v>1952</v>
      </c>
      <c r="AF242" s="234">
        <v>4</v>
      </c>
      <c r="AG242" s="234">
        <v>-9999</v>
      </c>
      <c r="AH242" s="234" t="s">
        <v>623</v>
      </c>
      <c r="AI242" s="234">
        <v>-9999</v>
      </c>
      <c r="AJ242" s="234">
        <v>-9999</v>
      </c>
      <c r="AK242" s="234" t="s">
        <v>625</v>
      </c>
      <c r="AL242" s="234" t="s">
        <v>682</v>
      </c>
      <c r="AM242" s="234">
        <v>-9999</v>
      </c>
      <c r="AN242" s="234" t="s">
        <v>631</v>
      </c>
      <c r="AO242" s="234">
        <v>-9999</v>
      </c>
      <c r="AP242" s="234">
        <v>-9999</v>
      </c>
      <c r="AQ242" s="234" t="s">
        <v>631</v>
      </c>
      <c r="AR242" s="234">
        <v>0</v>
      </c>
      <c r="AS242" s="234">
        <v>-9999</v>
      </c>
      <c r="AT242" s="234">
        <v>-9999</v>
      </c>
      <c r="AU242" s="234">
        <v>0</v>
      </c>
      <c r="AV242" s="234">
        <v>-9999</v>
      </c>
      <c r="AW242" s="234">
        <v>-9999</v>
      </c>
      <c r="AX242" s="234">
        <v>0</v>
      </c>
      <c r="AY242" s="234">
        <v>-9999</v>
      </c>
      <c r="AZ242" s="234">
        <v>-9999</v>
      </c>
      <c r="BA242" s="234">
        <v>-9999</v>
      </c>
      <c r="BB242" s="234" t="s">
        <v>626</v>
      </c>
      <c r="BC242" s="234" t="s">
        <v>683</v>
      </c>
      <c r="BD242" s="234" t="s">
        <v>684</v>
      </c>
      <c r="BE242" s="234"/>
      <c r="BF242" s="234" t="s">
        <v>504</v>
      </c>
      <c r="BG242" s="234" t="s">
        <v>506</v>
      </c>
      <c r="BH242" s="234" t="s">
        <v>505</v>
      </c>
      <c r="BI242" s="234"/>
      <c r="BJ242" s="234">
        <v>-9999</v>
      </c>
      <c r="BK242" s="234">
        <v>-9999</v>
      </c>
      <c r="BL242" s="234">
        <v>2.52</v>
      </c>
      <c r="BM242" s="234">
        <v>-9999</v>
      </c>
      <c r="BN242" s="234">
        <v>-9999</v>
      </c>
      <c r="BO242" s="234">
        <v>-9999</v>
      </c>
      <c r="BP242" s="234">
        <v>-9999</v>
      </c>
      <c r="BQ242" s="234">
        <v>-9999</v>
      </c>
      <c r="BR242" s="234">
        <v>21.36</v>
      </c>
      <c r="BS242" s="491">
        <v>-9999</v>
      </c>
      <c r="BT242" s="491">
        <v>-9999</v>
      </c>
      <c r="BU242" s="491">
        <v>-9999</v>
      </c>
      <c r="BV242" s="491">
        <v>-9999</v>
      </c>
      <c r="BW242" s="491"/>
      <c r="BX242" s="491">
        <v>-9999</v>
      </c>
      <c r="BY242" s="491">
        <v>-9999</v>
      </c>
      <c r="BZ242" s="497">
        <v>-9999</v>
      </c>
      <c r="CA242" s="496">
        <v>-9999</v>
      </c>
      <c r="CB242" s="499"/>
      <c r="CC242" s="57">
        <v>1</v>
      </c>
      <c r="CD242" s="57">
        <v>1</v>
      </c>
      <c r="CE242" s="292">
        <v>19.87</v>
      </c>
      <c r="CF242" s="292">
        <v>19.87</v>
      </c>
      <c r="CG242" s="57">
        <v>1</v>
      </c>
    </row>
    <row r="243" spans="1:1873" s="23" customFormat="1" x14ac:dyDescent="0.2">
      <c r="A243" s="234" t="s">
        <v>685</v>
      </c>
      <c r="B243" s="234" t="s">
        <v>680</v>
      </c>
      <c r="C243" s="234" t="s">
        <v>493</v>
      </c>
      <c r="D243" s="234" t="s">
        <v>619</v>
      </c>
      <c r="E243" s="493" t="s">
        <v>1500</v>
      </c>
      <c r="F243" s="234">
        <v>1</v>
      </c>
      <c r="G243" s="234">
        <v>2</v>
      </c>
      <c r="H243" s="234">
        <v>2</v>
      </c>
      <c r="I243" s="234" t="s">
        <v>954</v>
      </c>
      <c r="J243" s="234">
        <v>1999</v>
      </c>
      <c r="K243" s="234" t="s">
        <v>1001</v>
      </c>
      <c r="L243" s="234">
        <v>2000</v>
      </c>
      <c r="M243" s="389">
        <v>-9999</v>
      </c>
      <c r="N243" s="389">
        <v>-9999</v>
      </c>
      <c r="O243" s="29"/>
      <c r="P243" s="389">
        <v>20.65</v>
      </c>
      <c r="Q243" s="491">
        <v>-9999</v>
      </c>
      <c r="R243" s="389"/>
      <c r="S243" s="491"/>
      <c r="T243" s="237">
        <f>+P243/G243</f>
        <v>10.324999999999999</v>
      </c>
      <c r="U243" s="491">
        <v>-9999</v>
      </c>
      <c r="V243" s="491"/>
      <c r="W243" s="237">
        <f>+P243-P242</f>
        <v>0.77999999999999758</v>
      </c>
      <c r="X243" s="491">
        <v>-9999</v>
      </c>
      <c r="Y243" s="491"/>
      <c r="Z243" s="234" t="s">
        <v>681</v>
      </c>
      <c r="AA243" s="495">
        <v>18146</v>
      </c>
      <c r="AB243" s="389">
        <v>-9999</v>
      </c>
      <c r="AC243" s="234">
        <v>1</v>
      </c>
      <c r="AD243" s="234">
        <v>124.8</v>
      </c>
      <c r="AE243" s="390" t="s">
        <v>1952</v>
      </c>
      <c r="AF243" s="234">
        <v>4</v>
      </c>
      <c r="AG243" s="234">
        <v>-9999</v>
      </c>
      <c r="AH243" s="234" t="s">
        <v>623</v>
      </c>
      <c r="AI243" s="234">
        <v>-9999</v>
      </c>
      <c r="AJ243" s="234">
        <v>-9999</v>
      </c>
      <c r="AK243" s="234" t="s">
        <v>625</v>
      </c>
      <c r="AL243" s="234" t="s">
        <v>682</v>
      </c>
      <c r="AM243" s="234">
        <v>-9999</v>
      </c>
      <c r="AN243" s="234" t="s">
        <v>631</v>
      </c>
      <c r="AO243" s="234">
        <v>-9999</v>
      </c>
      <c r="AP243" s="234">
        <v>-9999</v>
      </c>
      <c r="AQ243" s="234" t="s">
        <v>631</v>
      </c>
      <c r="AR243" s="234">
        <v>0</v>
      </c>
      <c r="AS243" s="234">
        <v>-9999</v>
      </c>
      <c r="AT243" s="234">
        <v>-9999</v>
      </c>
      <c r="AU243" s="234">
        <v>0</v>
      </c>
      <c r="AV243" s="234">
        <v>-9999</v>
      </c>
      <c r="AW243" s="234">
        <v>-9999</v>
      </c>
      <c r="AX243" s="234">
        <v>0</v>
      </c>
      <c r="AY243" s="234">
        <v>-9999</v>
      </c>
      <c r="AZ243" s="234">
        <v>-9999</v>
      </c>
      <c r="BA243" s="234">
        <v>-9999</v>
      </c>
      <c r="BB243" s="234" t="s">
        <v>626</v>
      </c>
      <c r="BC243" s="234" t="s">
        <v>683</v>
      </c>
      <c r="BD243" s="234" t="s">
        <v>684</v>
      </c>
      <c r="BE243" s="234"/>
      <c r="BF243" s="234" t="s">
        <v>504</v>
      </c>
      <c r="BG243" s="234" t="s">
        <v>506</v>
      </c>
      <c r="BH243" s="234" t="s">
        <v>505</v>
      </c>
      <c r="BI243" s="234"/>
      <c r="BJ243" s="234">
        <v>-9999</v>
      </c>
      <c r="BK243" s="234">
        <v>-9999</v>
      </c>
      <c r="BL243" s="234">
        <v>4.32</v>
      </c>
      <c r="BM243" s="234">
        <v>-9999</v>
      </c>
      <c r="BN243" s="234">
        <v>-9999</v>
      </c>
      <c r="BO243" s="234">
        <v>-9999</v>
      </c>
      <c r="BP243" s="234">
        <v>-9999</v>
      </c>
      <c r="BQ243" s="234">
        <v>-9999</v>
      </c>
      <c r="BR243" s="234">
        <v>33.9</v>
      </c>
      <c r="BS243" s="491">
        <v>-9999</v>
      </c>
      <c r="BT243" s="491">
        <v>-9999</v>
      </c>
      <c r="BU243" s="491">
        <v>-9999</v>
      </c>
      <c r="BV243" s="491">
        <v>-9999</v>
      </c>
      <c r="BW243" s="491"/>
      <c r="BX243" s="491">
        <v>-9999</v>
      </c>
      <c r="BY243" s="491">
        <v>-9999</v>
      </c>
      <c r="BZ243" s="497">
        <v>-9999</v>
      </c>
      <c r="CA243" s="496">
        <v>-9999</v>
      </c>
      <c r="CB243" s="499"/>
      <c r="CC243" s="57">
        <v>1</v>
      </c>
      <c r="CD243" s="57">
        <v>2</v>
      </c>
      <c r="CE243" s="292">
        <v>10.324999999999999</v>
      </c>
      <c r="CF243" s="292">
        <v>0.77999999999999758</v>
      </c>
      <c r="CG243" s="57">
        <v>2</v>
      </c>
      <c r="CU243" s="301" t="s">
        <v>1582</v>
      </c>
    </row>
    <row r="244" spans="1:1873" s="13" customFormat="1" x14ac:dyDescent="0.2">
      <c r="A244" s="231" t="s">
        <v>685</v>
      </c>
      <c r="B244" s="231" t="s">
        <v>680</v>
      </c>
      <c r="C244" s="231" t="s">
        <v>493</v>
      </c>
      <c r="D244" s="231" t="s">
        <v>619</v>
      </c>
      <c r="E244" s="232" t="s">
        <v>1500</v>
      </c>
      <c r="F244" s="231">
        <v>1</v>
      </c>
      <c r="G244" s="231">
        <v>3</v>
      </c>
      <c r="H244" s="231">
        <v>3</v>
      </c>
      <c r="I244" s="231" t="s">
        <v>954</v>
      </c>
      <c r="J244" s="231">
        <v>1999</v>
      </c>
      <c r="K244" s="231" t="s">
        <v>1001</v>
      </c>
      <c r="L244" s="231">
        <v>2001</v>
      </c>
      <c r="M244" s="235">
        <v>-9999</v>
      </c>
      <c r="N244" s="235">
        <v>-9999</v>
      </c>
      <c r="O244" s="18"/>
      <c r="P244" s="235">
        <v>51.52</v>
      </c>
      <c r="Q244" s="233">
        <v>-9999</v>
      </c>
      <c r="R244" s="235"/>
      <c r="S244" s="233"/>
      <c r="T244" s="236">
        <f>+P244/G244</f>
        <v>17.173333333333336</v>
      </c>
      <c r="U244" s="233">
        <v>-9999</v>
      </c>
      <c r="V244" s="233"/>
      <c r="W244" s="236">
        <f>+P244-P243</f>
        <v>30.870000000000005</v>
      </c>
      <c r="X244" s="233">
        <v>-9999</v>
      </c>
      <c r="Y244" s="233"/>
      <c r="Z244" s="231" t="s">
        <v>681</v>
      </c>
      <c r="AA244" s="489">
        <v>18146</v>
      </c>
      <c r="AB244" s="235">
        <v>-9999</v>
      </c>
      <c r="AC244" s="231">
        <v>1</v>
      </c>
      <c r="AD244" s="231">
        <v>124.8</v>
      </c>
      <c r="AE244" s="231" t="s">
        <v>1952</v>
      </c>
      <c r="AF244" s="231">
        <v>4</v>
      </c>
      <c r="AG244" s="231">
        <v>-9999</v>
      </c>
      <c r="AH244" s="231" t="s">
        <v>623</v>
      </c>
      <c r="AI244" s="231">
        <v>-9999</v>
      </c>
      <c r="AJ244" s="231">
        <v>-9999</v>
      </c>
      <c r="AK244" s="231" t="s">
        <v>625</v>
      </c>
      <c r="AL244" s="231" t="s">
        <v>682</v>
      </c>
      <c r="AM244" s="231">
        <v>-9999</v>
      </c>
      <c r="AN244" s="231" t="s">
        <v>631</v>
      </c>
      <c r="AO244" s="231">
        <v>-9999</v>
      </c>
      <c r="AP244" s="231">
        <v>-9999</v>
      </c>
      <c r="AQ244" s="231" t="s">
        <v>631</v>
      </c>
      <c r="AR244" s="231">
        <v>0</v>
      </c>
      <c r="AS244" s="231">
        <v>-9999</v>
      </c>
      <c r="AT244" s="231">
        <v>-9999</v>
      </c>
      <c r="AU244" s="231">
        <v>0</v>
      </c>
      <c r="AV244" s="231">
        <v>-9999</v>
      </c>
      <c r="AW244" s="231">
        <v>-9999</v>
      </c>
      <c r="AX244" s="231">
        <v>0</v>
      </c>
      <c r="AY244" s="231">
        <v>-9999</v>
      </c>
      <c r="AZ244" s="231">
        <v>-9999</v>
      </c>
      <c r="BA244" s="231">
        <v>-9999</v>
      </c>
      <c r="BB244" s="231" t="s">
        <v>626</v>
      </c>
      <c r="BC244" s="231" t="s">
        <v>683</v>
      </c>
      <c r="BD244" s="231" t="s">
        <v>684</v>
      </c>
      <c r="BE244" s="231"/>
      <c r="BF244" s="231" t="s">
        <v>504</v>
      </c>
      <c r="BG244" s="231" t="s">
        <v>506</v>
      </c>
      <c r="BH244" s="231" t="s">
        <v>505</v>
      </c>
      <c r="BI244" s="231"/>
      <c r="BJ244" s="231">
        <v>-9999</v>
      </c>
      <c r="BK244" s="231">
        <v>-9999</v>
      </c>
      <c r="BL244" s="231">
        <v>6.31</v>
      </c>
      <c r="BM244" s="231">
        <v>-9999</v>
      </c>
      <c r="BN244" s="231">
        <v>-9999</v>
      </c>
      <c r="BO244" s="231">
        <v>-9999</v>
      </c>
      <c r="BP244" s="231">
        <v>-9999</v>
      </c>
      <c r="BQ244" s="231">
        <v>-9999</v>
      </c>
      <c r="BR244" s="231">
        <v>52.01</v>
      </c>
      <c r="BS244" s="233">
        <v>-9999</v>
      </c>
      <c r="BT244" s="233">
        <v>-9999</v>
      </c>
      <c r="BU244" s="233">
        <v>-9999</v>
      </c>
      <c r="BV244" s="233">
        <v>-9999</v>
      </c>
      <c r="BW244" s="233"/>
      <c r="BX244" s="233">
        <v>-9999</v>
      </c>
      <c r="BY244" s="233">
        <v>-9999</v>
      </c>
      <c r="BZ244" s="490">
        <v>-9999</v>
      </c>
      <c r="CA244" s="238">
        <v>-9999</v>
      </c>
      <c r="CB244" s="239"/>
      <c r="CC244" s="11">
        <v>1</v>
      </c>
      <c r="CD244" s="11">
        <v>3</v>
      </c>
      <c r="CE244" s="395">
        <v>17.173333333333336</v>
      </c>
      <c r="CF244" s="99">
        <v>30.870000000000005</v>
      </c>
      <c r="CG244" s="11">
        <v>3</v>
      </c>
      <c r="CH244" s="437"/>
      <c r="CU244" s="13" t="s">
        <v>1583</v>
      </c>
    </row>
    <row r="245" spans="1:1873" s="301" customFormat="1" x14ac:dyDescent="0.2">
      <c r="A245" s="390" t="s">
        <v>685</v>
      </c>
      <c r="B245" s="390" t="s">
        <v>680</v>
      </c>
      <c r="C245" s="390" t="s">
        <v>493</v>
      </c>
      <c r="D245" s="390" t="s">
        <v>619</v>
      </c>
      <c r="E245" s="493" t="s">
        <v>1500</v>
      </c>
      <c r="F245" s="390">
        <v>1</v>
      </c>
      <c r="G245" s="390">
        <v>4</v>
      </c>
      <c r="H245" s="390">
        <v>4</v>
      </c>
      <c r="I245" s="390" t="s">
        <v>954</v>
      </c>
      <c r="J245" s="390">
        <v>1999</v>
      </c>
      <c r="K245" s="390" t="s">
        <v>1001</v>
      </c>
      <c r="L245" s="390">
        <v>2002</v>
      </c>
      <c r="M245" s="392">
        <v>-9999</v>
      </c>
      <c r="N245" s="392">
        <v>-9999</v>
      </c>
      <c r="O245" s="323"/>
      <c r="P245" s="392">
        <v>66.48</v>
      </c>
      <c r="Q245" s="391">
        <v>-9999</v>
      </c>
      <c r="R245" s="392"/>
      <c r="S245" s="391"/>
      <c r="T245" s="392">
        <f>+P245/G245</f>
        <v>16.62</v>
      </c>
      <c r="U245" s="391">
        <v>-9999</v>
      </c>
      <c r="V245" s="391"/>
      <c r="W245" s="237">
        <f>+P245-P244</f>
        <v>14.96</v>
      </c>
      <c r="X245" s="391">
        <v>-9999</v>
      </c>
      <c r="Y245" s="391"/>
      <c r="Z245" s="390" t="s">
        <v>681</v>
      </c>
      <c r="AA245" s="495">
        <v>18146</v>
      </c>
      <c r="AB245" s="392">
        <v>-9999</v>
      </c>
      <c r="AC245" s="390">
        <v>1</v>
      </c>
      <c r="AD245" s="390">
        <v>124.8</v>
      </c>
      <c r="AE245" s="390" t="s">
        <v>1952</v>
      </c>
      <c r="AF245" s="390">
        <v>4</v>
      </c>
      <c r="AG245" s="390">
        <v>-9999</v>
      </c>
      <c r="AH245" s="390" t="s">
        <v>623</v>
      </c>
      <c r="AI245" s="390">
        <v>-9999</v>
      </c>
      <c r="AJ245" s="390">
        <v>-9999</v>
      </c>
      <c r="AK245" s="390" t="s">
        <v>625</v>
      </c>
      <c r="AL245" s="390" t="s">
        <v>682</v>
      </c>
      <c r="AM245" s="390">
        <v>-9999</v>
      </c>
      <c r="AN245" s="390" t="s">
        <v>631</v>
      </c>
      <c r="AO245" s="390">
        <v>-9999</v>
      </c>
      <c r="AP245" s="390">
        <v>-9999</v>
      </c>
      <c r="AQ245" s="390" t="s">
        <v>631</v>
      </c>
      <c r="AR245" s="390">
        <v>0</v>
      </c>
      <c r="AS245" s="390">
        <v>-9999</v>
      </c>
      <c r="AT245" s="390">
        <v>-9999</v>
      </c>
      <c r="AU245" s="390">
        <v>0</v>
      </c>
      <c r="AV245" s="390">
        <v>-9999</v>
      </c>
      <c r="AW245" s="390">
        <v>-9999</v>
      </c>
      <c r="AX245" s="390">
        <v>0</v>
      </c>
      <c r="AY245" s="390">
        <v>-9999</v>
      </c>
      <c r="AZ245" s="390">
        <v>-9999</v>
      </c>
      <c r="BA245" s="390">
        <v>-9999</v>
      </c>
      <c r="BB245" s="390" t="s">
        <v>626</v>
      </c>
      <c r="BC245" s="390" t="s">
        <v>683</v>
      </c>
      <c r="BD245" s="390" t="s">
        <v>684</v>
      </c>
      <c r="BE245" s="390"/>
      <c r="BF245" s="390" t="s">
        <v>504</v>
      </c>
      <c r="BG245" s="390" t="s">
        <v>506</v>
      </c>
      <c r="BH245" s="390" t="s">
        <v>505</v>
      </c>
      <c r="BI245" s="390"/>
      <c r="BJ245" s="390">
        <v>-9999</v>
      </c>
      <c r="BK245" s="390">
        <v>-9999</v>
      </c>
      <c r="BL245" s="390">
        <v>7.43</v>
      </c>
      <c r="BM245" s="390">
        <v>-9999</v>
      </c>
      <c r="BN245" s="390">
        <v>-9999</v>
      </c>
      <c r="BO245" s="390">
        <v>-9999</v>
      </c>
      <c r="BP245" s="390">
        <v>-9999</v>
      </c>
      <c r="BQ245" s="390">
        <v>-9999</v>
      </c>
      <c r="BR245" s="390">
        <v>62.7</v>
      </c>
      <c r="BS245" s="391">
        <v>-9999</v>
      </c>
      <c r="BT245" s="391">
        <v>-9999</v>
      </c>
      <c r="BU245" s="391">
        <v>-9999</v>
      </c>
      <c r="BV245" s="391">
        <v>-9999</v>
      </c>
      <c r="BW245" s="391"/>
      <c r="BX245" s="391">
        <v>-9999</v>
      </c>
      <c r="BY245" s="391">
        <v>-9999</v>
      </c>
      <c r="BZ245" s="510">
        <v>-9999</v>
      </c>
      <c r="CA245" s="509">
        <v>-9999</v>
      </c>
      <c r="CB245" s="498"/>
      <c r="CC245" s="380">
        <v>1</v>
      </c>
      <c r="CD245" s="380">
        <v>4</v>
      </c>
      <c r="CE245" s="342">
        <v>16.62</v>
      </c>
      <c r="CF245" s="342">
        <v>14.96</v>
      </c>
      <c r="CG245" s="380">
        <v>4</v>
      </c>
      <c r="CU245" s="301" t="s">
        <v>1584</v>
      </c>
    </row>
    <row r="246" spans="1:1873" s="23" customFormat="1" x14ac:dyDescent="0.2">
      <c r="A246" s="234"/>
      <c r="B246" s="234"/>
      <c r="C246" s="234"/>
      <c r="D246" s="234"/>
      <c r="E246" s="493"/>
      <c r="F246" s="234"/>
      <c r="G246" s="234"/>
      <c r="H246" s="234"/>
      <c r="I246" s="234"/>
      <c r="J246" s="234"/>
      <c r="K246" s="234"/>
      <c r="L246" s="234"/>
      <c r="M246" s="389"/>
      <c r="N246" s="389"/>
      <c r="O246" s="29"/>
      <c r="P246" s="389"/>
      <c r="Q246" s="491"/>
      <c r="R246" s="389"/>
      <c r="S246" s="491"/>
      <c r="T246" s="389"/>
      <c r="U246" s="491"/>
      <c r="V246" s="491"/>
      <c r="W246" s="237"/>
      <c r="X246" s="491"/>
      <c r="Y246" s="491"/>
      <c r="Z246" s="234"/>
      <c r="AA246" s="495"/>
      <c r="AB246" s="389"/>
      <c r="AC246" s="234"/>
      <c r="AD246" s="234"/>
      <c r="AE246" s="234"/>
      <c r="AF246" s="234"/>
      <c r="AG246" s="234"/>
      <c r="AH246" s="234"/>
      <c r="AI246" s="234"/>
      <c r="AJ246" s="234"/>
      <c r="AK246" s="234"/>
      <c r="AL246" s="234"/>
      <c r="AM246" s="234"/>
      <c r="AN246" s="234"/>
      <c r="AO246" s="234"/>
      <c r="AP246" s="234"/>
      <c r="AQ246" s="234"/>
      <c r="AR246" s="234"/>
      <c r="AS246" s="234"/>
      <c r="AT246" s="234"/>
      <c r="AU246" s="234"/>
      <c r="AV246" s="234"/>
      <c r="AW246" s="234"/>
      <c r="AX246" s="234"/>
      <c r="AY246" s="234"/>
      <c r="AZ246" s="234"/>
      <c r="BA246" s="234"/>
      <c r="BB246" s="234"/>
      <c r="BC246" s="234"/>
      <c r="BD246" s="234"/>
      <c r="BE246" s="234"/>
      <c r="BF246" s="234"/>
      <c r="BG246" s="234"/>
      <c r="BH246" s="234"/>
      <c r="BI246" s="234"/>
      <c r="BJ246" s="234"/>
      <c r="BK246" s="234"/>
      <c r="BL246" s="234"/>
      <c r="BM246" s="234"/>
      <c r="BN246" s="234"/>
      <c r="BO246" s="234"/>
      <c r="BP246" s="234"/>
      <c r="BQ246" s="234"/>
      <c r="BR246" s="234"/>
      <c r="BS246" s="491"/>
      <c r="BT246" s="491"/>
      <c r="BU246" s="491"/>
      <c r="BV246" s="491"/>
      <c r="BW246" s="491"/>
      <c r="BX246" s="491"/>
      <c r="BY246" s="491"/>
      <c r="BZ246" s="497"/>
      <c r="CA246" s="496"/>
      <c r="CB246" s="499"/>
      <c r="CC246" s="57"/>
      <c r="CD246" s="57"/>
      <c r="CE246" s="342" t="s">
        <v>1576</v>
      </c>
      <c r="CF246" s="342" t="s">
        <v>1575</v>
      </c>
      <c r="CG246" s="57"/>
    </row>
    <row r="247" spans="1:1873" s="23" customFormat="1" x14ac:dyDescent="0.2">
      <c r="A247" s="234" t="s">
        <v>685</v>
      </c>
      <c r="B247" s="234" t="s">
        <v>680</v>
      </c>
      <c r="C247" s="234" t="s">
        <v>812</v>
      </c>
      <c r="D247" s="234" t="s">
        <v>619</v>
      </c>
      <c r="E247" s="493" t="s">
        <v>1499</v>
      </c>
      <c r="F247" s="234">
        <v>1</v>
      </c>
      <c r="G247" s="234">
        <v>1</v>
      </c>
      <c r="H247" s="234">
        <v>1</v>
      </c>
      <c r="I247" s="234" t="s">
        <v>954</v>
      </c>
      <c r="J247" s="234">
        <v>1999</v>
      </c>
      <c r="K247" s="234" t="s">
        <v>1001</v>
      </c>
      <c r="L247" s="234">
        <v>1999</v>
      </c>
      <c r="M247" s="389">
        <v>-9999</v>
      </c>
      <c r="N247" s="389">
        <v>-9999</v>
      </c>
      <c r="O247" s="29"/>
      <c r="P247" s="389">
        <v>22.32</v>
      </c>
      <c r="Q247" s="491">
        <v>-9999</v>
      </c>
      <c r="R247" s="389"/>
      <c r="S247" s="491"/>
      <c r="T247" s="237">
        <f>+P247/G247</f>
        <v>22.32</v>
      </c>
      <c r="U247" s="491">
        <v>-9999</v>
      </c>
      <c r="V247" s="491"/>
      <c r="W247" s="389">
        <f>+P247</f>
        <v>22.32</v>
      </c>
      <c r="X247" s="491">
        <v>-9999</v>
      </c>
      <c r="Y247" s="491"/>
      <c r="Z247" s="234" t="s">
        <v>681</v>
      </c>
      <c r="AA247" s="495">
        <v>18146</v>
      </c>
      <c r="AB247" s="389">
        <v>-9999</v>
      </c>
      <c r="AC247" s="234">
        <v>1</v>
      </c>
      <c r="AD247" s="234">
        <v>124.8</v>
      </c>
      <c r="AE247" s="390" t="s">
        <v>1952</v>
      </c>
      <c r="AF247" s="234">
        <v>4</v>
      </c>
      <c r="AG247" s="234">
        <v>-9999</v>
      </c>
      <c r="AH247" s="234" t="s">
        <v>623</v>
      </c>
      <c r="AI247" s="234">
        <v>-9999</v>
      </c>
      <c r="AJ247" s="234">
        <v>-9999</v>
      </c>
      <c r="AK247" s="234" t="s">
        <v>625</v>
      </c>
      <c r="AL247" s="234" t="s">
        <v>682</v>
      </c>
      <c r="AM247" s="234">
        <v>-9999</v>
      </c>
      <c r="AN247" s="234" t="s">
        <v>631</v>
      </c>
      <c r="AO247" s="234">
        <v>-9999</v>
      </c>
      <c r="AP247" s="234">
        <v>-9999</v>
      </c>
      <c r="AQ247" s="234" t="s">
        <v>631</v>
      </c>
      <c r="AR247" s="234">
        <v>0</v>
      </c>
      <c r="AS247" s="234">
        <v>-9999</v>
      </c>
      <c r="AT247" s="234">
        <v>-9999</v>
      </c>
      <c r="AU247" s="234">
        <v>0</v>
      </c>
      <c r="AV247" s="234">
        <v>-9999</v>
      </c>
      <c r="AW247" s="234">
        <v>-9999</v>
      </c>
      <c r="AX247" s="234">
        <v>0</v>
      </c>
      <c r="AY247" s="234">
        <v>-9999</v>
      </c>
      <c r="AZ247" s="234">
        <v>-9999</v>
      </c>
      <c r="BA247" s="234">
        <v>-9999</v>
      </c>
      <c r="BB247" s="234" t="s">
        <v>626</v>
      </c>
      <c r="BC247" s="234" t="s">
        <v>683</v>
      </c>
      <c r="BD247" s="234" t="s">
        <v>684</v>
      </c>
      <c r="BE247" s="234"/>
      <c r="BF247" s="234" t="s">
        <v>504</v>
      </c>
      <c r="BG247" s="234" t="s">
        <v>506</v>
      </c>
      <c r="BH247" s="234" t="s">
        <v>505</v>
      </c>
      <c r="BI247" s="234"/>
      <c r="BJ247" s="234">
        <v>-9999</v>
      </c>
      <c r="BK247" s="234">
        <v>-9999</v>
      </c>
      <c r="BL247" s="234">
        <v>2.4</v>
      </c>
      <c r="BM247" s="234">
        <v>-9999</v>
      </c>
      <c r="BN247" s="234">
        <v>-9999</v>
      </c>
      <c r="BO247" s="234">
        <v>-9999</v>
      </c>
      <c r="BP247" s="234">
        <v>-9999</v>
      </c>
      <c r="BQ247" s="234">
        <v>-9999</v>
      </c>
      <c r="BR247" s="234">
        <v>19.66</v>
      </c>
      <c r="BS247" s="491">
        <v>-9999</v>
      </c>
      <c r="BT247" s="491">
        <v>-9999</v>
      </c>
      <c r="BU247" s="491">
        <v>-9999</v>
      </c>
      <c r="BV247" s="491">
        <v>-9999</v>
      </c>
      <c r="BW247" s="491"/>
      <c r="BX247" s="491">
        <v>-9999</v>
      </c>
      <c r="BY247" s="491">
        <v>-9999</v>
      </c>
      <c r="BZ247" s="497">
        <v>-9999</v>
      </c>
      <c r="CA247" s="496">
        <v>-9999</v>
      </c>
      <c r="CB247" s="499"/>
      <c r="CC247" s="57">
        <v>1</v>
      </c>
      <c r="CD247" s="57">
        <v>1</v>
      </c>
      <c r="CE247" s="292">
        <v>22.32</v>
      </c>
      <c r="CF247" s="292">
        <v>22.32</v>
      </c>
      <c r="CG247" s="57">
        <v>1</v>
      </c>
      <c r="CU247" s="301" t="s">
        <v>1585</v>
      </c>
    </row>
    <row r="248" spans="1:1873" s="23" customFormat="1" x14ac:dyDescent="0.2">
      <c r="A248" s="234" t="s">
        <v>685</v>
      </c>
      <c r="B248" s="234" t="s">
        <v>680</v>
      </c>
      <c r="C248" s="234" t="s">
        <v>812</v>
      </c>
      <c r="D248" s="234" t="s">
        <v>619</v>
      </c>
      <c r="E248" s="493" t="s">
        <v>1499</v>
      </c>
      <c r="F248" s="234">
        <v>1</v>
      </c>
      <c r="G248" s="234">
        <v>2</v>
      </c>
      <c r="H248" s="234">
        <v>2</v>
      </c>
      <c r="I248" s="234" t="s">
        <v>954</v>
      </c>
      <c r="J248" s="234">
        <v>1999</v>
      </c>
      <c r="K248" s="234" t="s">
        <v>1001</v>
      </c>
      <c r="L248" s="234">
        <v>2000</v>
      </c>
      <c r="M248" s="389">
        <v>-9999</v>
      </c>
      <c r="N248" s="389">
        <v>-9999</v>
      </c>
      <c r="O248" s="29"/>
      <c r="P248" s="389">
        <v>23.83</v>
      </c>
      <c r="Q248" s="491">
        <v>-9999</v>
      </c>
      <c r="R248" s="389"/>
      <c r="S248" s="491"/>
      <c r="T248" s="237">
        <f>+P248/G248</f>
        <v>11.914999999999999</v>
      </c>
      <c r="U248" s="491">
        <v>-9999</v>
      </c>
      <c r="V248" s="491"/>
      <c r="W248" s="237">
        <f>+P248-P247</f>
        <v>1.509999999999998</v>
      </c>
      <c r="X248" s="491">
        <v>-9999</v>
      </c>
      <c r="Y248" s="491"/>
      <c r="Z248" s="234" t="s">
        <v>681</v>
      </c>
      <c r="AA248" s="495">
        <v>18146</v>
      </c>
      <c r="AB248" s="389">
        <v>-9999</v>
      </c>
      <c r="AC248" s="234">
        <v>1</v>
      </c>
      <c r="AD248" s="234">
        <v>124.8</v>
      </c>
      <c r="AE248" s="390" t="s">
        <v>1952</v>
      </c>
      <c r="AF248" s="234">
        <v>4</v>
      </c>
      <c r="AG248" s="234">
        <v>-9999</v>
      </c>
      <c r="AH248" s="234" t="s">
        <v>623</v>
      </c>
      <c r="AI248" s="234">
        <v>-9999</v>
      </c>
      <c r="AJ248" s="234">
        <v>-9999</v>
      </c>
      <c r="AK248" s="234" t="s">
        <v>625</v>
      </c>
      <c r="AL248" s="234" t="s">
        <v>682</v>
      </c>
      <c r="AM248" s="234">
        <v>-9999</v>
      </c>
      <c r="AN248" s="234" t="s">
        <v>631</v>
      </c>
      <c r="AO248" s="234">
        <v>-9999</v>
      </c>
      <c r="AP248" s="234">
        <v>-9999</v>
      </c>
      <c r="AQ248" s="234" t="s">
        <v>631</v>
      </c>
      <c r="AR248" s="234">
        <v>0</v>
      </c>
      <c r="AS248" s="234">
        <v>-9999</v>
      </c>
      <c r="AT248" s="234">
        <v>-9999</v>
      </c>
      <c r="AU248" s="234">
        <v>0</v>
      </c>
      <c r="AV248" s="234">
        <v>-9999</v>
      </c>
      <c r="AW248" s="234">
        <v>-9999</v>
      </c>
      <c r="AX248" s="234">
        <v>0</v>
      </c>
      <c r="AY248" s="234">
        <v>-9999</v>
      </c>
      <c r="AZ248" s="234">
        <v>-9999</v>
      </c>
      <c r="BA248" s="234">
        <v>-9999</v>
      </c>
      <c r="BB248" s="234" t="s">
        <v>626</v>
      </c>
      <c r="BC248" s="234" t="s">
        <v>683</v>
      </c>
      <c r="BD248" s="234" t="s">
        <v>684</v>
      </c>
      <c r="BE248" s="234"/>
      <c r="BF248" s="234" t="s">
        <v>504</v>
      </c>
      <c r="BG248" s="234" t="s">
        <v>506</v>
      </c>
      <c r="BH248" s="234" t="s">
        <v>505</v>
      </c>
      <c r="BI248" s="234"/>
      <c r="BJ248" s="234">
        <v>-9999</v>
      </c>
      <c r="BK248" s="234">
        <v>-9999</v>
      </c>
      <c r="BL248" s="234">
        <v>4.34</v>
      </c>
      <c r="BM248" s="234">
        <v>-9999</v>
      </c>
      <c r="BN248" s="234">
        <v>-9999</v>
      </c>
      <c r="BO248" s="234">
        <v>-9999</v>
      </c>
      <c r="BP248" s="234">
        <v>-9999</v>
      </c>
      <c r="BQ248" s="234">
        <v>-9999</v>
      </c>
      <c r="BR248" s="234">
        <v>31.74</v>
      </c>
      <c r="BS248" s="491">
        <v>-9999</v>
      </c>
      <c r="BT248" s="491">
        <v>-9999</v>
      </c>
      <c r="BU248" s="491">
        <v>-9999</v>
      </c>
      <c r="BV248" s="491">
        <v>-9999</v>
      </c>
      <c r="BW248" s="491"/>
      <c r="BX248" s="491">
        <v>-9999</v>
      </c>
      <c r="BY248" s="491">
        <v>-9999</v>
      </c>
      <c r="BZ248" s="497">
        <v>-9999</v>
      </c>
      <c r="CA248" s="496">
        <v>-9999</v>
      </c>
      <c r="CB248" s="499"/>
      <c r="CC248" s="57">
        <v>1</v>
      </c>
      <c r="CD248" s="57">
        <v>2</v>
      </c>
      <c r="CE248" s="292">
        <v>11.914999999999999</v>
      </c>
      <c r="CF248" s="292">
        <v>1.509999999999998</v>
      </c>
      <c r="CG248" s="57">
        <v>2</v>
      </c>
    </row>
    <row r="249" spans="1:1873" s="23" customFormat="1" x14ac:dyDescent="0.2">
      <c r="A249" s="234" t="s">
        <v>685</v>
      </c>
      <c r="B249" s="234" t="s">
        <v>680</v>
      </c>
      <c r="C249" s="234" t="s">
        <v>812</v>
      </c>
      <c r="D249" s="234" t="s">
        <v>619</v>
      </c>
      <c r="E249" s="493" t="s">
        <v>1499</v>
      </c>
      <c r="F249" s="234">
        <v>1</v>
      </c>
      <c r="G249" s="234">
        <v>3</v>
      </c>
      <c r="H249" s="234">
        <v>3</v>
      </c>
      <c r="I249" s="234" t="s">
        <v>954</v>
      </c>
      <c r="J249" s="234">
        <v>1999</v>
      </c>
      <c r="K249" s="234" t="s">
        <v>1001</v>
      </c>
      <c r="L249" s="234">
        <v>2001</v>
      </c>
      <c r="M249" s="389">
        <v>-9999</v>
      </c>
      <c r="N249" s="389">
        <v>-9999</v>
      </c>
      <c r="O249" s="29"/>
      <c r="P249" s="389">
        <v>51.03</v>
      </c>
      <c r="Q249" s="491">
        <v>-9999</v>
      </c>
      <c r="R249" s="389"/>
      <c r="S249" s="491"/>
      <c r="T249" s="237">
        <f>+P249/G249</f>
        <v>17.010000000000002</v>
      </c>
      <c r="U249" s="491">
        <v>-9999</v>
      </c>
      <c r="V249" s="491"/>
      <c r="W249" s="237">
        <f>+P249-P248</f>
        <v>27.200000000000003</v>
      </c>
      <c r="X249" s="491">
        <v>-9999</v>
      </c>
      <c r="Y249" s="491"/>
      <c r="Z249" s="234" t="s">
        <v>681</v>
      </c>
      <c r="AA249" s="495">
        <v>18146</v>
      </c>
      <c r="AB249" s="389">
        <v>-9999</v>
      </c>
      <c r="AC249" s="234">
        <v>1</v>
      </c>
      <c r="AD249" s="234">
        <v>124.8</v>
      </c>
      <c r="AE249" s="390" t="s">
        <v>1952</v>
      </c>
      <c r="AF249" s="234">
        <v>4</v>
      </c>
      <c r="AG249" s="234">
        <v>-9999</v>
      </c>
      <c r="AH249" s="234" t="s">
        <v>623</v>
      </c>
      <c r="AI249" s="234">
        <v>-9999</v>
      </c>
      <c r="AJ249" s="234">
        <v>-9999</v>
      </c>
      <c r="AK249" s="234" t="s">
        <v>625</v>
      </c>
      <c r="AL249" s="234" t="s">
        <v>682</v>
      </c>
      <c r="AM249" s="234">
        <v>-9999</v>
      </c>
      <c r="AN249" s="234" t="s">
        <v>631</v>
      </c>
      <c r="AO249" s="234">
        <v>-9999</v>
      </c>
      <c r="AP249" s="234">
        <v>-9999</v>
      </c>
      <c r="AQ249" s="234" t="s">
        <v>631</v>
      </c>
      <c r="AR249" s="234">
        <v>0</v>
      </c>
      <c r="AS249" s="234">
        <v>-9999</v>
      </c>
      <c r="AT249" s="234">
        <v>-9999</v>
      </c>
      <c r="AU249" s="234">
        <v>0</v>
      </c>
      <c r="AV249" s="234">
        <v>-9999</v>
      </c>
      <c r="AW249" s="234">
        <v>-9999</v>
      </c>
      <c r="AX249" s="234">
        <v>0</v>
      </c>
      <c r="AY249" s="234">
        <v>-9999</v>
      </c>
      <c r="AZ249" s="234">
        <v>-9999</v>
      </c>
      <c r="BA249" s="234">
        <v>-9999</v>
      </c>
      <c r="BB249" s="234" t="s">
        <v>626</v>
      </c>
      <c r="BC249" s="234" t="s">
        <v>683</v>
      </c>
      <c r="BD249" s="234" t="s">
        <v>684</v>
      </c>
      <c r="BE249" s="234"/>
      <c r="BF249" s="234" t="s">
        <v>504</v>
      </c>
      <c r="BG249" s="234" t="s">
        <v>506</v>
      </c>
      <c r="BH249" s="234" t="s">
        <v>505</v>
      </c>
      <c r="BI249" s="234"/>
      <c r="BJ249" s="234">
        <v>-9999</v>
      </c>
      <c r="BK249" s="234">
        <v>-9999</v>
      </c>
      <c r="BL249" s="234">
        <v>6.28</v>
      </c>
      <c r="BM249" s="234">
        <v>-9999</v>
      </c>
      <c r="BN249" s="234">
        <v>-9999</v>
      </c>
      <c r="BO249" s="234">
        <v>-9999</v>
      </c>
      <c r="BP249" s="234">
        <v>-9999</v>
      </c>
      <c r="BQ249" s="234">
        <v>-9999</v>
      </c>
      <c r="BR249" s="234">
        <v>51.24</v>
      </c>
      <c r="BS249" s="491">
        <v>-9999</v>
      </c>
      <c r="BT249" s="491">
        <v>-9999</v>
      </c>
      <c r="BU249" s="491">
        <v>-9999</v>
      </c>
      <c r="BV249" s="491">
        <v>-9999</v>
      </c>
      <c r="BW249" s="491"/>
      <c r="BX249" s="491">
        <v>-9999</v>
      </c>
      <c r="BY249" s="491">
        <v>-9999</v>
      </c>
      <c r="BZ249" s="497">
        <v>-9999</v>
      </c>
      <c r="CA249" s="496">
        <v>-9999</v>
      </c>
      <c r="CB249" s="499"/>
      <c r="CC249" s="57">
        <v>1</v>
      </c>
      <c r="CD249" s="57">
        <v>3</v>
      </c>
      <c r="CE249" s="292">
        <v>17.010000000000002</v>
      </c>
      <c r="CF249" s="292">
        <v>27.200000000000003</v>
      </c>
      <c r="CG249" s="57">
        <v>3</v>
      </c>
    </row>
    <row r="250" spans="1:1873" s="178" customFormat="1" x14ac:dyDescent="0.2">
      <c r="A250" s="231" t="s">
        <v>685</v>
      </c>
      <c r="B250" s="231" t="s">
        <v>680</v>
      </c>
      <c r="C250" s="231" t="s">
        <v>812</v>
      </c>
      <c r="D250" s="231" t="s">
        <v>619</v>
      </c>
      <c r="E250" s="232" t="s">
        <v>1499</v>
      </c>
      <c r="F250" s="231">
        <v>1</v>
      </c>
      <c r="G250" s="231">
        <v>4</v>
      </c>
      <c r="H250" s="231">
        <v>4</v>
      </c>
      <c r="I250" s="231" t="s">
        <v>954</v>
      </c>
      <c r="J250" s="231">
        <v>1999</v>
      </c>
      <c r="K250" s="231" t="s">
        <v>1001</v>
      </c>
      <c r="L250" s="231">
        <v>2002</v>
      </c>
      <c r="M250" s="235">
        <v>-9999</v>
      </c>
      <c r="N250" s="235">
        <v>-9999</v>
      </c>
      <c r="O250" s="18"/>
      <c r="P250" s="235">
        <v>72.2</v>
      </c>
      <c r="Q250" s="233">
        <v>-9999</v>
      </c>
      <c r="R250" s="235"/>
      <c r="S250" s="233"/>
      <c r="T250" s="235">
        <f>+P250/G250</f>
        <v>18.05</v>
      </c>
      <c r="U250" s="233">
        <v>-9999</v>
      </c>
      <c r="V250" s="233"/>
      <c r="W250" s="236">
        <f>+P250-P249</f>
        <v>21.17</v>
      </c>
      <c r="X250" s="233">
        <v>-9999</v>
      </c>
      <c r="Y250" s="233"/>
      <c r="Z250" s="231" t="s">
        <v>681</v>
      </c>
      <c r="AA250" s="489">
        <v>18146</v>
      </c>
      <c r="AB250" s="235">
        <v>-9999</v>
      </c>
      <c r="AC250" s="231">
        <v>1</v>
      </c>
      <c r="AD250" s="231">
        <v>124.8</v>
      </c>
      <c r="AE250" s="231" t="s">
        <v>1952</v>
      </c>
      <c r="AF250" s="231">
        <v>4</v>
      </c>
      <c r="AG250" s="231">
        <v>-9999</v>
      </c>
      <c r="AH250" s="231" t="s">
        <v>623</v>
      </c>
      <c r="AI250" s="231">
        <v>-9999</v>
      </c>
      <c r="AJ250" s="231">
        <v>-9999</v>
      </c>
      <c r="AK250" s="231" t="s">
        <v>625</v>
      </c>
      <c r="AL250" s="231" t="s">
        <v>682</v>
      </c>
      <c r="AM250" s="231">
        <v>-9999</v>
      </c>
      <c r="AN250" s="231" t="s">
        <v>631</v>
      </c>
      <c r="AO250" s="231">
        <v>-9999</v>
      </c>
      <c r="AP250" s="231">
        <v>-9999</v>
      </c>
      <c r="AQ250" s="231" t="s">
        <v>631</v>
      </c>
      <c r="AR250" s="231">
        <v>0</v>
      </c>
      <c r="AS250" s="231">
        <v>-9999</v>
      </c>
      <c r="AT250" s="231">
        <v>-9999</v>
      </c>
      <c r="AU250" s="231">
        <v>0</v>
      </c>
      <c r="AV250" s="231">
        <v>-9999</v>
      </c>
      <c r="AW250" s="231">
        <v>-9999</v>
      </c>
      <c r="AX250" s="231">
        <v>0</v>
      </c>
      <c r="AY250" s="231">
        <v>-9999</v>
      </c>
      <c r="AZ250" s="231">
        <v>-9999</v>
      </c>
      <c r="BA250" s="231">
        <v>-9999</v>
      </c>
      <c r="BB250" s="231" t="s">
        <v>626</v>
      </c>
      <c r="BC250" s="231" t="s">
        <v>683</v>
      </c>
      <c r="BD250" s="231" t="s">
        <v>684</v>
      </c>
      <c r="BE250" s="231"/>
      <c r="BF250" s="231" t="s">
        <v>504</v>
      </c>
      <c r="BG250" s="231" t="s">
        <v>506</v>
      </c>
      <c r="BH250" s="231" t="s">
        <v>505</v>
      </c>
      <c r="BI250" s="231"/>
      <c r="BJ250" s="231">
        <v>-9999</v>
      </c>
      <c r="BK250" s="231">
        <v>-9999</v>
      </c>
      <c r="BL250" s="231">
        <v>7.64</v>
      </c>
      <c r="BM250" s="231">
        <v>-9999</v>
      </c>
      <c r="BN250" s="231">
        <v>-9999</v>
      </c>
      <c r="BO250" s="231">
        <v>-9999</v>
      </c>
      <c r="BP250" s="231">
        <v>-9999</v>
      </c>
      <c r="BQ250" s="231">
        <v>-9999</v>
      </c>
      <c r="BR250" s="231">
        <v>62.86</v>
      </c>
      <c r="BS250" s="233">
        <v>-9999</v>
      </c>
      <c r="BT250" s="233">
        <v>-9999</v>
      </c>
      <c r="BU250" s="233">
        <v>-9999</v>
      </c>
      <c r="BV250" s="233">
        <v>-9999</v>
      </c>
      <c r="BW250" s="233"/>
      <c r="BX250" s="233">
        <v>-9999</v>
      </c>
      <c r="BY250" s="233">
        <v>-9999</v>
      </c>
      <c r="BZ250" s="490">
        <v>-9999</v>
      </c>
      <c r="CA250" s="238">
        <v>-9999</v>
      </c>
      <c r="CB250" s="239"/>
      <c r="CC250" s="174">
        <v>1</v>
      </c>
      <c r="CD250" s="174">
        <v>4</v>
      </c>
      <c r="CE250" s="393">
        <v>18.05</v>
      </c>
      <c r="CF250" s="99">
        <v>21.17</v>
      </c>
      <c r="CG250" s="174">
        <v>4</v>
      </c>
      <c r="CH250" s="436" t="s">
        <v>1757</v>
      </c>
      <c r="CI250" s="13"/>
      <c r="CJ250" s="13"/>
      <c r="CK250" s="13"/>
      <c r="CL250" s="13"/>
      <c r="CM250" s="13"/>
      <c r="CN250" s="13"/>
      <c r="CO250" s="13"/>
      <c r="CP250" s="13"/>
      <c r="CQ250" s="13"/>
      <c r="CR250" s="13"/>
      <c r="CS250" s="13"/>
      <c r="CT250" s="13"/>
      <c r="CU250" s="13"/>
      <c r="CV250" s="13"/>
      <c r="CW250" s="13"/>
      <c r="CX250" s="13"/>
      <c r="CY250" s="13"/>
      <c r="CZ250" s="13"/>
      <c r="DA250" s="13"/>
      <c r="DB250" s="13"/>
      <c r="DC250" s="13"/>
      <c r="DD250" s="13"/>
      <c r="DE250" s="13"/>
      <c r="DF250" s="13"/>
      <c r="DG250" s="13"/>
      <c r="DH250" s="13"/>
      <c r="DI250" s="13"/>
      <c r="DJ250" s="13"/>
      <c r="DK250" s="13"/>
      <c r="DL250" s="13"/>
      <c r="DM250" s="13"/>
      <c r="DN250" s="13"/>
      <c r="DO250" s="13"/>
      <c r="DP250" s="13"/>
      <c r="DQ250" s="13"/>
      <c r="DR250" s="13"/>
      <c r="DS250" s="13"/>
      <c r="DT250" s="13"/>
      <c r="DU250" s="13"/>
      <c r="DV250" s="13"/>
      <c r="DW250" s="13"/>
      <c r="DX250" s="13"/>
      <c r="DY250" s="13"/>
      <c r="DZ250" s="13"/>
      <c r="EA250" s="13"/>
      <c r="EB250" s="13"/>
      <c r="EC250" s="13"/>
      <c r="ED250" s="13"/>
      <c r="EE250" s="13"/>
      <c r="EF250" s="13"/>
      <c r="EG250" s="13"/>
      <c r="EH250" s="13"/>
      <c r="EI250" s="13"/>
      <c r="EJ250" s="13"/>
      <c r="EK250" s="13"/>
      <c r="EL250" s="13"/>
      <c r="EM250" s="13"/>
      <c r="EN250" s="13"/>
      <c r="EO250" s="13"/>
      <c r="EP250" s="13"/>
      <c r="EQ250" s="13"/>
      <c r="ER250" s="13"/>
      <c r="ES250" s="13"/>
      <c r="ET250" s="13"/>
      <c r="EU250" s="13"/>
      <c r="EV250" s="13"/>
      <c r="EW250" s="13"/>
      <c r="EX250" s="13"/>
      <c r="EY250" s="13"/>
      <c r="EZ250" s="13"/>
      <c r="FA250" s="13"/>
      <c r="FB250" s="13"/>
      <c r="FC250" s="13"/>
      <c r="FD250" s="13"/>
      <c r="FE250" s="13"/>
      <c r="FF250" s="13"/>
      <c r="FG250" s="13"/>
      <c r="FH250" s="13"/>
      <c r="FI250" s="13"/>
      <c r="FJ250" s="13"/>
      <c r="FK250" s="13"/>
      <c r="FL250" s="13"/>
      <c r="FM250" s="13"/>
      <c r="FN250" s="13"/>
      <c r="FO250" s="13"/>
      <c r="FP250" s="13"/>
      <c r="FQ250" s="13"/>
      <c r="FR250" s="13"/>
      <c r="FS250" s="13"/>
      <c r="FT250" s="13"/>
      <c r="FU250" s="13"/>
      <c r="FV250" s="13"/>
      <c r="FW250" s="13"/>
      <c r="FX250" s="13"/>
      <c r="FY250" s="13"/>
      <c r="FZ250" s="13"/>
      <c r="GA250" s="13"/>
      <c r="GB250" s="13"/>
      <c r="GC250" s="13"/>
      <c r="GD250" s="13"/>
      <c r="GE250" s="13"/>
      <c r="GF250" s="13"/>
      <c r="GG250" s="13"/>
      <c r="GH250" s="13"/>
      <c r="GI250" s="13"/>
      <c r="GJ250" s="13"/>
      <c r="GK250" s="13"/>
      <c r="GL250" s="13"/>
      <c r="GM250" s="13"/>
      <c r="GN250" s="13"/>
      <c r="GO250" s="13"/>
      <c r="GP250" s="13"/>
      <c r="GQ250" s="13"/>
      <c r="GR250" s="13"/>
      <c r="GS250" s="13"/>
      <c r="GT250" s="13"/>
      <c r="GU250" s="13"/>
      <c r="GV250" s="13"/>
      <c r="GW250" s="13"/>
      <c r="GX250" s="13"/>
      <c r="GY250" s="13"/>
      <c r="GZ250" s="13"/>
      <c r="HA250" s="13"/>
      <c r="HB250" s="13"/>
      <c r="HC250" s="13"/>
      <c r="HD250" s="13"/>
      <c r="HE250" s="13"/>
      <c r="HF250" s="13"/>
      <c r="HG250" s="13"/>
      <c r="HH250" s="13"/>
      <c r="HI250" s="13"/>
      <c r="HJ250" s="13"/>
      <c r="HK250" s="13"/>
      <c r="HL250" s="13"/>
      <c r="HM250" s="13"/>
      <c r="HN250" s="13"/>
      <c r="HO250" s="13"/>
      <c r="HP250" s="13"/>
      <c r="HQ250" s="13"/>
      <c r="HR250" s="13"/>
      <c r="HS250" s="13"/>
      <c r="HT250" s="13"/>
      <c r="HU250" s="13"/>
      <c r="HV250" s="13"/>
      <c r="HW250" s="13"/>
      <c r="HX250" s="13"/>
      <c r="HY250" s="13"/>
      <c r="HZ250" s="13"/>
      <c r="IA250" s="13"/>
      <c r="IB250" s="13"/>
      <c r="IC250" s="13"/>
      <c r="ID250" s="13"/>
      <c r="IE250" s="13"/>
      <c r="IF250" s="13"/>
      <c r="IG250" s="13"/>
      <c r="IH250" s="13"/>
      <c r="II250" s="13"/>
      <c r="IJ250" s="13"/>
      <c r="IK250" s="13"/>
      <c r="IL250" s="13"/>
      <c r="IM250" s="13"/>
      <c r="IN250" s="13"/>
      <c r="IO250" s="13"/>
      <c r="IP250" s="13"/>
      <c r="IQ250" s="13"/>
      <c r="IR250" s="13"/>
      <c r="IS250" s="13"/>
      <c r="IT250" s="13"/>
      <c r="IU250" s="13"/>
      <c r="IV250" s="13"/>
      <c r="IW250" s="13"/>
      <c r="IX250" s="13"/>
      <c r="IY250" s="13"/>
      <c r="IZ250" s="13"/>
      <c r="JA250" s="13"/>
      <c r="JB250" s="13"/>
      <c r="JC250" s="13"/>
      <c r="JD250" s="13"/>
      <c r="JE250" s="13"/>
      <c r="JF250" s="13"/>
      <c r="JG250" s="13"/>
      <c r="JH250" s="13"/>
      <c r="JI250" s="13"/>
      <c r="JJ250" s="13"/>
      <c r="JK250" s="13"/>
      <c r="JL250" s="13"/>
      <c r="JM250" s="13"/>
      <c r="JN250" s="13"/>
      <c r="JO250" s="13"/>
      <c r="JP250" s="13"/>
      <c r="JQ250" s="13"/>
      <c r="JR250" s="13"/>
      <c r="JS250" s="13"/>
      <c r="JT250" s="13"/>
      <c r="JU250" s="13"/>
      <c r="JV250" s="13"/>
      <c r="JW250" s="13"/>
      <c r="JX250" s="13"/>
      <c r="JY250" s="13"/>
      <c r="JZ250" s="13"/>
      <c r="KA250" s="13"/>
      <c r="KB250" s="13"/>
      <c r="KC250" s="13"/>
      <c r="KD250" s="13"/>
      <c r="KE250" s="13"/>
      <c r="KF250" s="13"/>
      <c r="KG250" s="13"/>
      <c r="KH250" s="13"/>
      <c r="KI250" s="13"/>
      <c r="KJ250" s="13"/>
      <c r="KK250" s="13"/>
      <c r="KL250" s="13"/>
      <c r="KM250" s="13"/>
      <c r="KN250" s="13"/>
      <c r="KO250" s="13"/>
      <c r="KP250" s="13"/>
      <c r="KQ250" s="13"/>
      <c r="KR250" s="13"/>
      <c r="KS250" s="13"/>
      <c r="KT250" s="13"/>
      <c r="KU250" s="13"/>
      <c r="KV250" s="13"/>
      <c r="KW250" s="13"/>
      <c r="KX250" s="13"/>
      <c r="KY250" s="13"/>
      <c r="KZ250" s="13"/>
      <c r="LA250" s="13"/>
      <c r="LB250" s="13"/>
      <c r="LC250" s="13"/>
      <c r="LD250" s="13"/>
      <c r="LE250" s="13"/>
      <c r="LF250" s="13"/>
      <c r="LG250" s="13"/>
      <c r="LH250" s="13"/>
      <c r="LI250" s="13"/>
      <c r="LJ250" s="13"/>
      <c r="LK250" s="13"/>
      <c r="LL250" s="13"/>
      <c r="LM250" s="13"/>
      <c r="LN250" s="13"/>
      <c r="LO250" s="13"/>
      <c r="LP250" s="13"/>
      <c r="LQ250" s="13"/>
      <c r="LR250" s="13"/>
      <c r="LS250" s="13"/>
      <c r="LT250" s="13"/>
      <c r="LU250" s="13"/>
      <c r="LV250" s="13"/>
      <c r="LW250" s="13"/>
      <c r="LX250" s="13"/>
      <c r="LY250" s="13"/>
      <c r="LZ250" s="13"/>
      <c r="MA250" s="13"/>
      <c r="MB250" s="13"/>
      <c r="MC250" s="13"/>
      <c r="MD250" s="13"/>
      <c r="ME250" s="13"/>
      <c r="MF250" s="13"/>
      <c r="MG250" s="13"/>
      <c r="MH250" s="13"/>
      <c r="MI250" s="13"/>
      <c r="MJ250" s="13"/>
      <c r="MK250" s="13"/>
      <c r="ML250" s="13"/>
      <c r="MM250" s="13"/>
      <c r="MN250" s="13"/>
      <c r="MO250" s="13"/>
      <c r="MP250" s="13"/>
      <c r="MQ250" s="13"/>
      <c r="MR250" s="13"/>
      <c r="MS250" s="13"/>
      <c r="MT250" s="13"/>
      <c r="MU250" s="13"/>
      <c r="MV250" s="13"/>
      <c r="MW250" s="13"/>
      <c r="MX250" s="13"/>
      <c r="MY250" s="13"/>
      <c r="MZ250" s="13"/>
      <c r="NA250" s="13"/>
      <c r="NB250" s="13"/>
      <c r="NC250" s="13"/>
      <c r="ND250" s="13"/>
      <c r="NE250" s="13"/>
      <c r="NF250" s="13"/>
      <c r="NG250" s="13"/>
      <c r="NH250" s="13"/>
      <c r="NI250" s="13"/>
      <c r="NJ250" s="13"/>
      <c r="NK250" s="13"/>
      <c r="NL250" s="13"/>
      <c r="NM250" s="13"/>
      <c r="NN250" s="13"/>
      <c r="NO250" s="13"/>
      <c r="NP250" s="13"/>
      <c r="NQ250" s="13"/>
      <c r="NR250" s="13"/>
      <c r="NS250" s="13"/>
      <c r="NT250" s="13"/>
      <c r="NU250" s="13"/>
      <c r="NV250" s="13"/>
      <c r="NW250" s="13"/>
      <c r="NX250" s="13"/>
      <c r="NY250" s="13"/>
      <c r="NZ250" s="13"/>
      <c r="OA250" s="13"/>
      <c r="OB250" s="13"/>
      <c r="OC250" s="13"/>
      <c r="OD250" s="13"/>
      <c r="OE250" s="13"/>
      <c r="OF250" s="13"/>
      <c r="OG250" s="13"/>
      <c r="OH250" s="13"/>
      <c r="OI250" s="13"/>
      <c r="OJ250" s="13"/>
      <c r="OK250" s="13"/>
      <c r="OL250" s="13"/>
      <c r="OM250" s="13"/>
      <c r="ON250" s="13"/>
      <c r="OO250" s="13"/>
      <c r="OP250" s="13"/>
      <c r="OQ250" s="13"/>
      <c r="OR250" s="13"/>
      <c r="OS250" s="13"/>
      <c r="OT250" s="13"/>
      <c r="OU250" s="13"/>
      <c r="OV250" s="13"/>
      <c r="OW250" s="13"/>
      <c r="OX250" s="13"/>
      <c r="OY250" s="13"/>
      <c r="OZ250" s="13"/>
      <c r="PA250" s="13"/>
      <c r="PB250" s="13"/>
      <c r="PC250" s="13"/>
      <c r="PD250" s="13"/>
      <c r="PE250" s="13"/>
      <c r="PF250" s="13"/>
      <c r="PG250" s="13"/>
      <c r="PH250" s="13"/>
      <c r="PI250" s="13"/>
      <c r="PJ250" s="13"/>
      <c r="PK250" s="13"/>
      <c r="PL250" s="13"/>
      <c r="PM250" s="13"/>
      <c r="PN250" s="13"/>
      <c r="PO250" s="13"/>
      <c r="PP250" s="13"/>
      <c r="PQ250" s="13"/>
      <c r="PR250" s="13"/>
      <c r="PS250" s="13"/>
      <c r="PT250" s="13"/>
      <c r="PU250" s="13"/>
      <c r="PV250" s="13"/>
      <c r="PW250" s="13"/>
      <c r="PX250" s="13"/>
      <c r="PY250" s="13"/>
      <c r="PZ250" s="13"/>
      <c r="QA250" s="13"/>
      <c r="QB250" s="13"/>
      <c r="QC250" s="13"/>
      <c r="QD250" s="13"/>
      <c r="QE250" s="13"/>
      <c r="QF250" s="13"/>
      <c r="QG250" s="13"/>
      <c r="QH250" s="13"/>
      <c r="QI250" s="13"/>
      <c r="QJ250" s="13"/>
      <c r="QK250" s="13"/>
      <c r="QL250" s="13"/>
      <c r="QM250" s="13"/>
      <c r="QN250" s="13"/>
      <c r="QO250" s="13"/>
      <c r="QP250" s="13"/>
      <c r="QQ250" s="13"/>
      <c r="QR250" s="13"/>
      <c r="QS250" s="13"/>
      <c r="QT250" s="13"/>
      <c r="QU250" s="13"/>
      <c r="QV250" s="13"/>
      <c r="QW250" s="13"/>
      <c r="QX250" s="13"/>
      <c r="QY250" s="13"/>
      <c r="QZ250" s="13"/>
      <c r="RA250" s="13"/>
      <c r="RB250" s="13"/>
      <c r="RC250" s="13"/>
      <c r="RD250" s="13"/>
      <c r="RE250" s="13"/>
      <c r="RF250" s="13"/>
      <c r="RG250" s="13"/>
      <c r="RH250" s="13"/>
      <c r="RI250" s="13"/>
      <c r="RJ250" s="13"/>
      <c r="RK250" s="13"/>
      <c r="RL250" s="13"/>
      <c r="RM250" s="13"/>
      <c r="RN250" s="13"/>
      <c r="RO250" s="13"/>
      <c r="RP250" s="13"/>
      <c r="RQ250" s="13"/>
      <c r="RR250" s="13"/>
      <c r="RS250" s="13"/>
      <c r="RT250" s="13"/>
      <c r="RU250" s="13"/>
      <c r="RV250" s="13"/>
      <c r="RW250" s="13"/>
      <c r="RX250" s="13"/>
      <c r="RY250" s="13"/>
      <c r="RZ250" s="13"/>
      <c r="SA250" s="13"/>
      <c r="SB250" s="13"/>
      <c r="SC250" s="13"/>
      <c r="SD250" s="13"/>
      <c r="SE250" s="13"/>
      <c r="SF250" s="13"/>
      <c r="SG250" s="13"/>
      <c r="SH250" s="13"/>
      <c r="SI250" s="13"/>
      <c r="SJ250" s="13"/>
      <c r="SK250" s="13"/>
      <c r="SL250" s="13"/>
      <c r="SM250" s="13"/>
      <c r="SN250" s="13"/>
      <c r="SO250" s="13"/>
      <c r="SP250" s="13"/>
      <c r="SQ250" s="13"/>
      <c r="SR250" s="13"/>
      <c r="SS250" s="13"/>
      <c r="ST250" s="13"/>
      <c r="SU250" s="13"/>
      <c r="SV250" s="13"/>
      <c r="SW250" s="13"/>
      <c r="SX250" s="13"/>
      <c r="SY250" s="13"/>
      <c r="SZ250" s="13"/>
      <c r="TA250" s="13"/>
      <c r="TB250" s="13"/>
      <c r="TC250" s="13"/>
      <c r="TD250" s="13"/>
      <c r="TE250" s="13"/>
      <c r="TF250" s="13"/>
      <c r="TG250" s="13"/>
      <c r="TH250" s="13"/>
      <c r="TI250" s="13"/>
      <c r="TJ250" s="13"/>
      <c r="TK250" s="13"/>
      <c r="TL250" s="13"/>
      <c r="TM250" s="13"/>
      <c r="TN250" s="13"/>
      <c r="TO250" s="13"/>
      <c r="TP250" s="13"/>
      <c r="TQ250" s="13"/>
      <c r="TR250" s="13"/>
      <c r="TS250" s="13"/>
      <c r="TT250" s="13"/>
      <c r="TU250" s="13"/>
      <c r="TV250" s="13"/>
      <c r="TW250" s="13"/>
      <c r="TX250" s="13"/>
      <c r="TY250" s="13"/>
      <c r="TZ250" s="13"/>
      <c r="UA250" s="13"/>
      <c r="UB250" s="13"/>
      <c r="UC250" s="13"/>
      <c r="UD250" s="13"/>
      <c r="UE250" s="13"/>
      <c r="UF250" s="13"/>
      <c r="UG250" s="13"/>
      <c r="UH250" s="13"/>
      <c r="UI250" s="13"/>
      <c r="UJ250" s="13"/>
      <c r="UK250" s="13"/>
      <c r="UL250" s="13"/>
      <c r="UM250" s="13"/>
      <c r="UN250" s="13"/>
      <c r="UO250" s="13"/>
      <c r="UP250" s="13"/>
      <c r="UQ250" s="13"/>
      <c r="UR250" s="13"/>
      <c r="US250" s="13"/>
      <c r="UT250" s="13"/>
      <c r="UU250" s="13"/>
      <c r="UV250" s="13"/>
      <c r="UW250" s="13"/>
      <c r="UX250" s="13"/>
      <c r="UY250" s="13"/>
      <c r="UZ250" s="13"/>
      <c r="VA250" s="13"/>
      <c r="VB250" s="13"/>
      <c r="VC250" s="13"/>
      <c r="VD250" s="13"/>
      <c r="VE250" s="13"/>
      <c r="VF250" s="13"/>
      <c r="VG250" s="13"/>
      <c r="VH250" s="13"/>
      <c r="VI250" s="13"/>
      <c r="VJ250" s="13"/>
      <c r="VK250" s="13"/>
      <c r="VL250" s="13"/>
      <c r="VM250" s="13"/>
      <c r="VN250" s="13"/>
      <c r="VO250" s="13"/>
      <c r="VP250" s="13"/>
      <c r="VQ250" s="13"/>
      <c r="VR250" s="13"/>
      <c r="VS250" s="13"/>
      <c r="VT250" s="13"/>
      <c r="VU250" s="13"/>
      <c r="VV250" s="13"/>
      <c r="VW250" s="13"/>
      <c r="VX250" s="13"/>
      <c r="VY250" s="13"/>
      <c r="VZ250" s="13"/>
      <c r="WA250" s="13"/>
      <c r="WB250" s="13"/>
      <c r="WC250" s="13"/>
      <c r="WD250" s="13"/>
      <c r="WE250" s="13"/>
      <c r="WF250" s="13"/>
      <c r="WG250" s="13"/>
      <c r="WH250" s="13"/>
      <c r="WI250" s="13"/>
      <c r="WJ250" s="13"/>
      <c r="WK250" s="13"/>
      <c r="WL250" s="13"/>
      <c r="WM250" s="13"/>
      <c r="WN250" s="13"/>
      <c r="WO250" s="13"/>
      <c r="WP250" s="13"/>
      <c r="WQ250" s="13"/>
      <c r="WR250" s="13"/>
      <c r="WS250" s="13"/>
      <c r="WT250" s="13"/>
      <c r="WU250" s="13"/>
      <c r="WV250" s="13"/>
      <c r="WW250" s="13"/>
      <c r="WX250" s="13"/>
      <c r="WY250" s="13"/>
      <c r="WZ250" s="13"/>
      <c r="XA250" s="13"/>
      <c r="XB250" s="13"/>
      <c r="XC250" s="13"/>
      <c r="XD250" s="13"/>
      <c r="XE250" s="13"/>
      <c r="XF250" s="13"/>
      <c r="XG250" s="13"/>
      <c r="XH250" s="13"/>
      <c r="XI250" s="13"/>
      <c r="XJ250" s="13"/>
      <c r="XK250" s="13"/>
      <c r="XL250" s="13"/>
      <c r="XM250" s="13"/>
      <c r="XN250" s="13"/>
      <c r="XO250" s="13"/>
      <c r="XP250" s="13"/>
      <c r="XQ250" s="13"/>
      <c r="XR250" s="13"/>
      <c r="XS250" s="13"/>
      <c r="XT250" s="13"/>
      <c r="XU250" s="13"/>
      <c r="XV250" s="13"/>
      <c r="XW250" s="13"/>
      <c r="XX250" s="13"/>
      <c r="XY250" s="13"/>
      <c r="XZ250" s="13"/>
      <c r="YA250" s="13"/>
      <c r="YB250" s="13"/>
      <c r="YC250" s="13"/>
      <c r="YD250" s="13"/>
      <c r="YE250" s="13"/>
      <c r="YF250" s="13"/>
      <c r="YG250" s="13"/>
      <c r="YH250" s="13"/>
      <c r="YI250" s="13"/>
      <c r="YJ250" s="13"/>
      <c r="YK250" s="13"/>
      <c r="YL250" s="13"/>
      <c r="YM250" s="13"/>
      <c r="YN250" s="13"/>
      <c r="YO250" s="13"/>
      <c r="YP250" s="13"/>
      <c r="YQ250" s="13"/>
      <c r="YR250" s="13"/>
      <c r="YS250" s="13"/>
      <c r="YT250" s="13"/>
      <c r="YU250" s="13"/>
      <c r="YV250" s="13"/>
      <c r="YW250" s="13"/>
      <c r="YX250" s="13"/>
      <c r="YY250" s="13"/>
      <c r="YZ250" s="13"/>
      <c r="ZA250" s="13"/>
      <c r="ZB250" s="13"/>
      <c r="ZC250" s="13"/>
      <c r="ZD250" s="13"/>
      <c r="ZE250" s="13"/>
      <c r="ZF250" s="13"/>
      <c r="ZG250" s="13"/>
      <c r="ZH250" s="13"/>
      <c r="ZI250" s="13"/>
      <c r="ZJ250" s="13"/>
      <c r="ZK250" s="13"/>
      <c r="ZL250" s="13"/>
      <c r="ZM250" s="13"/>
      <c r="ZN250" s="13"/>
      <c r="ZO250" s="13"/>
      <c r="ZP250" s="13"/>
      <c r="ZQ250" s="13"/>
      <c r="ZR250" s="13"/>
      <c r="ZS250" s="13"/>
      <c r="ZT250" s="13"/>
      <c r="ZU250" s="13"/>
      <c r="ZV250" s="13"/>
      <c r="ZW250" s="13"/>
      <c r="ZX250" s="13"/>
      <c r="ZY250" s="13"/>
      <c r="ZZ250" s="13"/>
      <c r="AAA250" s="13"/>
      <c r="AAB250" s="13"/>
      <c r="AAC250" s="13"/>
      <c r="AAD250" s="13"/>
      <c r="AAE250" s="13"/>
      <c r="AAF250" s="13"/>
      <c r="AAG250" s="13"/>
      <c r="AAH250" s="13"/>
      <c r="AAI250" s="13"/>
      <c r="AAJ250" s="13"/>
      <c r="AAK250" s="13"/>
      <c r="AAL250" s="13"/>
      <c r="AAM250" s="13"/>
      <c r="AAN250" s="13"/>
      <c r="AAO250" s="13"/>
      <c r="AAP250" s="13"/>
      <c r="AAQ250" s="13"/>
      <c r="AAR250" s="13"/>
      <c r="AAS250" s="13"/>
      <c r="AAT250" s="13"/>
      <c r="AAU250" s="13"/>
      <c r="AAV250" s="13"/>
      <c r="AAW250" s="13"/>
      <c r="AAX250" s="13"/>
      <c r="AAY250" s="13"/>
      <c r="AAZ250" s="13"/>
      <c r="ABA250" s="13"/>
      <c r="ABB250" s="13"/>
      <c r="ABC250" s="13"/>
      <c r="ABD250" s="13"/>
      <c r="ABE250" s="13"/>
      <c r="ABF250" s="13"/>
      <c r="ABG250" s="13"/>
      <c r="ABH250" s="13"/>
      <c r="ABI250" s="13"/>
      <c r="ABJ250" s="13"/>
      <c r="ABK250" s="13"/>
      <c r="ABL250" s="13"/>
      <c r="ABM250" s="13"/>
      <c r="ABN250" s="13"/>
      <c r="ABO250" s="13"/>
      <c r="ABP250" s="13"/>
      <c r="ABQ250" s="13"/>
      <c r="ABR250" s="13"/>
      <c r="ABS250" s="13"/>
      <c r="ABT250" s="13"/>
      <c r="ABU250" s="13"/>
      <c r="ABV250" s="13"/>
      <c r="ABW250" s="13"/>
      <c r="ABX250" s="13"/>
      <c r="ABY250" s="13"/>
      <c r="ABZ250" s="13"/>
      <c r="ACA250" s="13"/>
      <c r="ACB250" s="13"/>
      <c r="ACC250" s="13"/>
      <c r="ACD250" s="13"/>
      <c r="ACE250" s="13"/>
      <c r="ACF250" s="13"/>
      <c r="ACG250" s="13"/>
      <c r="ACH250" s="13"/>
      <c r="ACI250" s="13"/>
      <c r="ACJ250" s="13"/>
      <c r="ACK250" s="13"/>
      <c r="ACL250" s="13"/>
      <c r="ACM250" s="13"/>
      <c r="ACN250" s="13"/>
      <c r="ACO250" s="13"/>
      <c r="ACP250" s="13"/>
      <c r="ACQ250" s="13"/>
      <c r="ACR250" s="13"/>
      <c r="ACS250" s="13"/>
      <c r="ACT250" s="13"/>
      <c r="ACU250" s="13"/>
      <c r="ACV250" s="13"/>
      <c r="ACW250" s="13"/>
      <c r="ACX250" s="13"/>
      <c r="ACY250" s="13"/>
      <c r="ACZ250" s="13"/>
      <c r="ADA250" s="13"/>
      <c r="ADB250" s="13"/>
      <c r="ADC250" s="13"/>
      <c r="ADD250" s="13"/>
      <c r="ADE250" s="13"/>
      <c r="ADF250" s="13"/>
      <c r="ADG250" s="13"/>
      <c r="ADH250" s="13"/>
      <c r="ADI250" s="13"/>
      <c r="ADJ250" s="13"/>
      <c r="ADK250" s="13"/>
      <c r="ADL250" s="13"/>
      <c r="ADM250" s="13"/>
      <c r="ADN250" s="13"/>
      <c r="ADO250" s="13"/>
      <c r="ADP250" s="13"/>
      <c r="ADQ250" s="13"/>
      <c r="ADR250" s="13"/>
      <c r="ADS250" s="13"/>
      <c r="ADT250" s="13"/>
      <c r="ADU250" s="13"/>
      <c r="ADV250" s="13"/>
      <c r="ADW250" s="13"/>
      <c r="ADX250" s="13"/>
      <c r="ADY250" s="13"/>
      <c r="ADZ250" s="13"/>
      <c r="AEA250" s="13"/>
      <c r="AEB250" s="13"/>
      <c r="AEC250" s="13"/>
      <c r="AED250" s="13"/>
      <c r="AEE250" s="13"/>
      <c r="AEF250" s="13"/>
      <c r="AEG250" s="13"/>
      <c r="AEH250" s="13"/>
      <c r="AEI250" s="13"/>
      <c r="AEJ250" s="13"/>
      <c r="AEK250" s="13"/>
      <c r="AEL250" s="13"/>
      <c r="AEM250" s="13"/>
      <c r="AEN250" s="13"/>
      <c r="AEO250" s="13"/>
      <c r="AEP250" s="13"/>
      <c r="AEQ250" s="13"/>
      <c r="AER250" s="13"/>
      <c r="AES250" s="13"/>
      <c r="AET250" s="13"/>
      <c r="AEU250" s="13"/>
      <c r="AEV250" s="13"/>
      <c r="AEW250" s="13"/>
      <c r="AEX250" s="13"/>
      <c r="AEY250" s="13"/>
      <c r="AEZ250" s="13"/>
      <c r="AFA250" s="13"/>
      <c r="AFB250" s="13"/>
      <c r="AFC250" s="13"/>
      <c r="AFD250" s="13"/>
      <c r="AFE250" s="13"/>
      <c r="AFF250" s="13"/>
      <c r="AFG250" s="13"/>
      <c r="AFH250" s="13"/>
      <c r="AFI250" s="13"/>
      <c r="AFJ250" s="13"/>
      <c r="AFK250" s="13"/>
      <c r="AFL250" s="13"/>
      <c r="AFM250" s="13"/>
      <c r="AFN250" s="13"/>
      <c r="AFO250" s="13"/>
      <c r="AFP250" s="13"/>
      <c r="AFQ250" s="13"/>
      <c r="AFR250" s="13"/>
      <c r="AFS250" s="13"/>
      <c r="AFT250" s="13"/>
      <c r="AFU250" s="13"/>
      <c r="AFV250" s="13"/>
      <c r="AFW250" s="13"/>
      <c r="AFX250" s="13"/>
      <c r="AFY250" s="13"/>
      <c r="AFZ250" s="13"/>
      <c r="AGA250" s="13"/>
      <c r="AGB250" s="13"/>
      <c r="AGC250" s="13"/>
      <c r="AGD250" s="13"/>
      <c r="AGE250" s="13"/>
      <c r="AGF250" s="13"/>
      <c r="AGG250" s="13"/>
      <c r="AGH250" s="13"/>
      <c r="AGI250" s="13"/>
      <c r="AGJ250" s="13"/>
      <c r="AGK250" s="13"/>
      <c r="AGL250" s="13"/>
      <c r="AGM250" s="13"/>
      <c r="AGN250" s="13"/>
      <c r="AGO250" s="13"/>
      <c r="AGP250" s="13"/>
      <c r="AGQ250" s="13"/>
      <c r="AGR250" s="13"/>
      <c r="AGS250" s="13"/>
      <c r="AGT250" s="13"/>
      <c r="AGU250" s="13"/>
      <c r="AGV250" s="13"/>
      <c r="AGW250" s="13"/>
      <c r="AGX250" s="13"/>
      <c r="AGY250" s="13"/>
      <c r="AGZ250" s="13"/>
      <c r="AHA250" s="13"/>
      <c r="AHB250" s="13"/>
      <c r="AHC250" s="13"/>
      <c r="AHD250" s="13"/>
      <c r="AHE250" s="13"/>
      <c r="AHF250" s="13"/>
      <c r="AHG250" s="13"/>
      <c r="AHH250" s="13"/>
      <c r="AHI250" s="13"/>
      <c r="AHJ250" s="13"/>
      <c r="AHK250" s="13"/>
      <c r="AHL250" s="13"/>
      <c r="AHM250" s="13"/>
      <c r="AHN250" s="13"/>
      <c r="AHO250" s="13"/>
      <c r="AHP250" s="13"/>
      <c r="AHQ250" s="13"/>
      <c r="AHR250" s="13"/>
      <c r="AHS250" s="13"/>
      <c r="AHT250" s="13"/>
      <c r="AHU250" s="13"/>
      <c r="AHV250" s="13"/>
      <c r="AHW250" s="13"/>
      <c r="AHX250" s="13"/>
      <c r="AHY250" s="13"/>
      <c r="AHZ250" s="13"/>
      <c r="AIA250" s="13"/>
      <c r="AIB250" s="13"/>
      <c r="AIC250" s="13"/>
      <c r="AID250" s="13"/>
      <c r="AIE250" s="13"/>
      <c r="AIF250" s="13"/>
      <c r="AIG250" s="13"/>
      <c r="AIH250" s="13"/>
      <c r="AII250" s="13"/>
      <c r="AIJ250" s="13"/>
      <c r="AIK250" s="13"/>
      <c r="AIL250" s="13"/>
      <c r="AIM250" s="13"/>
      <c r="AIN250" s="13"/>
      <c r="AIO250" s="13"/>
      <c r="AIP250" s="13"/>
      <c r="AIQ250" s="13"/>
      <c r="AIR250" s="13"/>
      <c r="AIS250" s="13"/>
      <c r="AIT250" s="13"/>
      <c r="AIU250" s="13"/>
      <c r="AIV250" s="13"/>
      <c r="AIW250" s="13"/>
      <c r="AIX250" s="13"/>
      <c r="AIY250" s="13"/>
      <c r="AIZ250" s="13"/>
      <c r="AJA250" s="13"/>
      <c r="AJB250" s="13"/>
      <c r="AJC250" s="13"/>
      <c r="AJD250" s="13"/>
      <c r="AJE250" s="13"/>
      <c r="AJF250" s="13"/>
      <c r="AJG250" s="13"/>
      <c r="AJH250" s="13"/>
      <c r="AJI250" s="13"/>
      <c r="AJJ250" s="13"/>
      <c r="AJK250" s="13"/>
      <c r="AJL250" s="13"/>
      <c r="AJM250" s="13"/>
      <c r="AJN250" s="13"/>
      <c r="AJO250" s="13"/>
      <c r="AJP250" s="13"/>
      <c r="AJQ250" s="13"/>
      <c r="AJR250" s="13"/>
      <c r="AJS250" s="13"/>
      <c r="AJT250" s="13"/>
      <c r="AJU250" s="13"/>
      <c r="AJV250" s="13"/>
      <c r="AJW250" s="13"/>
      <c r="AJX250" s="13"/>
      <c r="AJY250" s="13"/>
      <c r="AJZ250" s="13"/>
      <c r="AKA250" s="13"/>
      <c r="AKB250" s="13"/>
      <c r="AKC250" s="13"/>
      <c r="AKD250" s="13"/>
      <c r="AKE250" s="13"/>
      <c r="AKF250" s="13"/>
      <c r="AKG250" s="13"/>
      <c r="AKH250" s="13"/>
      <c r="AKI250" s="13"/>
      <c r="AKJ250" s="13"/>
      <c r="AKK250" s="13"/>
      <c r="AKL250" s="13"/>
      <c r="AKM250" s="13"/>
      <c r="AKN250" s="13"/>
      <c r="AKO250" s="13"/>
      <c r="AKP250" s="13"/>
      <c r="AKQ250" s="13"/>
      <c r="AKR250" s="13"/>
      <c r="AKS250" s="13"/>
      <c r="AKT250" s="13"/>
      <c r="AKU250" s="13"/>
      <c r="AKV250" s="13"/>
      <c r="AKW250" s="13"/>
      <c r="AKX250" s="13"/>
      <c r="AKY250" s="13"/>
      <c r="AKZ250" s="13"/>
      <c r="ALA250" s="13"/>
      <c r="ALB250" s="13"/>
      <c r="ALC250" s="13"/>
      <c r="ALD250" s="13"/>
      <c r="ALE250" s="13"/>
      <c r="ALF250" s="13"/>
      <c r="ALG250" s="13"/>
      <c r="ALH250" s="13"/>
      <c r="ALI250" s="13"/>
      <c r="ALJ250" s="13"/>
      <c r="ALK250" s="13"/>
      <c r="ALL250" s="13"/>
      <c r="ALM250" s="13"/>
      <c r="ALN250" s="13"/>
      <c r="ALO250" s="13"/>
      <c r="ALP250" s="13"/>
      <c r="ALQ250" s="13"/>
      <c r="ALR250" s="13"/>
      <c r="ALS250" s="13"/>
      <c r="ALT250" s="13"/>
      <c r="ALU250" s="13"/>
      <c r="ALV250" s="13"/>
      <c r="ALW250" s="13"/>
      <c r="ALX250" s="13"/>
      <c r="ALY250" s="13"/>
      <c r="ALZ250" s="13"/>
      <c r="AMA250" s="13"/>
      <c r="AMB250" s="13"/>
      <c r="AMC250" s="13"/>
      <c r="AMD250" s="13"/>
      <c r="AME250" s="13"/>
      <c r="AMF250" s="13"/>
      <c r="AMG250" s="13"/>
      <c r="AMH250" s="13"/>
      <c r="AMI250" s="13"/>
      <c r="AMJ250" s="13"/>
      <c r="AMK250" s="13"/>
      <c r="AML250" s="13"/>
      <c r="AMM250" s="13"/>
      <c r="AMN250" s="13"/>
      <c r="AMO250" s="13"/>
      <c r="AMP250" s="13"/>
      <c r="AMQ250" s="13"/>
      <c r="AMR250" s="13"/>
      <c r="AMS250" s="13"/>
      <c r="AMT250" s="13"/>
      <c r="AMU250" s="13"/>
      <c r="AMV250" s="13"/>
      <c r="AMW250" s="13"/>
      <c r="AMX250" s="13"/>
      <c r="AMY250" s="13"/>
      <c r="AMZ250" s="13"/>
      <c r="ANA250" s="13"/>
      <c r="ANB250" s="13"/>
      <c r="ANC250" s="13"/>
      <c r="AND250" s="13"/>
      <c r="ANE250" s="13"/>
      <c r="ANF250" s="13"/>
      <c r="ANG250" s="13"/>
      <c r="ANH250" s="13"/>
      <c r="ANI250" s="13"/>
      <c r="ANJ250" s="13"/>
      <c r="ANK250" s="13"/>
      <c r="ANL250" s="13"/>
      <c r="ANM250" s="13"/>
      <c r="ANN250" s="13"/>
      <c r="ANO250" s="13"/>
      <c r="ANP250" s="13"/>
      <c r="ANQ250" s="13"/>
      <c r="ANR250" s="13"/>
      <c r="ANS250" s="13"/>
      <c r="ANT250" s="13"/>
      <c r="ANU250" s="13"/>
      <c r="ANV250" s="13"/>
      <c r="ANW250" s="13"/>
      <c r="ANX250" s="13"/>
      <c r="ANY250" s="13"/>
      <c r="ANZ250" s="13"/>
      <c r="AOA250" s="13"/>
      <c r="AOB250" s="13"/>
      <c r="AOC250" s="13"/>
      <c r="AOD250" s="13"/>
      <c r="AOE250" s="13"/>
      <c r="AOF250" s="13"/>
      <c r="AOG250" s="13"/>
      <c r="AOH250" s="13"/>
      <c r="AOI250" s="13"/>
      <c r="AOJ250" s="13"/>
      <c r="AOK250" s="13"/>
      <c r="AOL250" s="13"/>
      <c r="AOM250" s="13"/>
      <c r="AON250" s="13"/>
      <c r="AOO250" s="13"/>
      <c r="AOP250" s="13"/>
      <c r="AOQ250" s="13"/>
      <c r="AOR250" s="13"/>
      <c r="AOS250" s="13"/>
      <c r="AOT250" s="13"/>
      <c r="AOU250" s="13"/>
      <c r="AOV250" s="13"/>
      <c r="AOW250" s="13"/>
      <c r="AOX250" s="13"/>
      <c r="AOY250" s="13"/>
      <c r="AOZ250" s="13"/>
      <c r="APA250" s="13"/>
      <c r="APB250" s="13"/>
      <c r="APC250" s="13"/>
      <c r="APD250" s="13"/>
      <c r="APE250" s="13"/>
      <c r="APF250" s="13"/>
      <c r="APG250" s="13"/>
      <c r="APH250" s="13"/>
      <c r="API250" s="13"/>
      <c r="APJ250" s="13"/>
      <c r="APK250" s="13"/>
      <c r="APL250" s="13"/>
      <c r="APM250" s="13"/>
      <c r="APN250" s="13"/>
      <c r="APO250" s="13"/>
      <c r="APP250" s="13"/>
      <c r="APQ250" s="13"/>
      <c r="APR250" s="13"/>
      <c r="APS250" s="13"/>
      <c r="APT250" s="13"/>
      <c r="APU250" s="13"/>
      <c r="APV250" s="13"/>
      <c r="APW250" s="13"/>
      <c r="APX250" s="13"/>
      <c r="APY250" s="13"/>
      <c r="APZ250" s="13"/>
      <c r="AQA250" s="13"/>
      <c r="AQB250" s="13"/>
      <c r="AQC250" s="13"/>
      <c r="AQD250" s="13"/>
      <c r="AQE250" s="13"/>
      <c r="AQF250" s="13"/>
      <c r="AQG250" s="13"/>
      <c r="AQH250" s="13"/>
      <c r="AQI250" s="13"/>
      <c r="AQJ250" s="13"/>
      <c r="AQK250" s="13"/>
      <c r="AQL250" s="13"/>
      <c r="AQM250" s="13"/>
      <c r="AQN250" s="13"/>
      <c r="AQO250" s="13"/>
      <c r="AQP250" s="13"/>
      <c r="AQQ250" s="13"/>
      <c r="AQR250" s="13"/>
      <c r="AQS250" s="13"/>
      <c r="AQT250" s="13"/>
      <c r="AQU250" s="13"/>
      <c r="AQV250" s="13"/>
      <c r="AQW250" s="13"/>
      <c r="AQX250" s="13"/>
      <c r="AQY250" s="13"/>
      <c r="AQZ250" s="13"/>
      <c r="ARA250" s="13"/>
      <c r="ARB250" s="13"/>
      <c r="ARC250" s="13"/>
      <c r="ARD250" s="13"/>
      <c r="ARE250" s="13"/>
      <c r="ARF250" s="13"/>
      <c r="ARG250" s="13"/>
      <c r="ARH250" s="13"/>
      <c r="ARI250" s="13"/>
      <c r="ARJ250" s="13"/>
      <c r="ARK250" s="13"/>
      <c r="ARL250" s="13"/>
      <c r="ARM250" s="13"/>
      <c r="ARN250" s="13"/>
      <c r="ARO250" s="13"/>
      <c r="ARP250" s="13"/>
      <c r="ARQ250" s="13"/>
      <c r="ARR250" s="13"/>
      <c r="ARS250" s="13"/>
      <c r="ART250" s="13"/>
      <c r="ARU250" s="13"/>
      <c r="ARV250" s="13"/>
      <c r="ARW250" s="13"/>
      <c r="ARX250" s="13"/>
      <c r="ARY250" s="13"/>
      <c r="ARZ250" s="13"/>
      <c r="ASA250" s="13"/>
      <c r="ASB250" s="13"/>
      <c r="ASC250" s="13"/>
      <c r="ASD250" s="13"/>
      <c r="ASE250" s="13"/>
      <c r="ASF250" s="13"/>
      <c r="ASG250" s="13"/>
      <c r="ASH250" s="13"/>
      <c r="ASI250" s="13"/>
      <c r="ASJ250" s="13"/>
      <c r="ASK250" s="13"/>
      <c r="ASL250" s="13"/>
      <c r="ASM250" s="13"/>
      <c r="ASN250" s="13"/>
      <c r="ASO250" s="13"/>
      <c r="ASP250" s="13"/>
      <c r="ASQ250" s="13"/>
      <c r="ASR250" s="13"/>
      <c r="ASS250" s="13"/>
      <c r="AST250" s="13"/>
      <c r="ASU250" s="13"/>
      <c r="ASV250" s="13"/>
      <c r="ASW250" s="13"/>
      <c r="ASX250" s="13"/>
      <c r="ASY250" s="13"/>
      <c r="ASZ250" s="13"/>
      <c r="ATA250" s="13"/>
      <c r="ATB250" s="13"/>
      <c r="ATC250" s="13"/>
      <c r="ATD250" s="13"/>
      <c r="ATE250" s="13"/>
      <c r="ATF250" s="13"/>
      <c r="ATG250" s="13"/>
      <c r="ATH250" s="13"/>
      <c r="ATI250" s="13"/>
      <c r="ATJ250" s="13"/>
      <c r="ATK250" s="13"/>
      <c r="ATL250" s="13"/>
      <c r="ATM250" s="13"/>
      <c r="ATN250" s="13"/>
      <c r="ATO250" s="13"/>
      <c r="ATP250" s="13"/>
      <c r="ATQ250" s="13"/>
      <c r="ATR250" s="13"/>
      <c r="ATS250" s="13"/>
      <c r="ATT250" s="13"/>
      <c r="ATU250" s="13"/>
      <c r="ATV250" s="13"/>
      <c r="ATW250" s="13"/>
      <c r="ATX250" s="13"/>
      <c r="ATY250" s="13"/>
      <c r="ATZ250" s="13"/>
      <c r="AUA250" s="13"/>
      <c r="AUB250" s="13"/>
      <c r="AUC250" s="13"/>
      <c r="AUD250" s="13"/>
      <c r="AUE250" s="13"/>
      <c r="AUF250" s="13"/>
      <c r="AUG250" s="13"/>
      <c r="AUH250" s="13"/>
      <c r="AUI250" s="13"/>
      <c r="AUJ250" s="13"/>
      <c r="AUK250" s="13"/>
      <c r="AUL250" s="13"/>
      <c r="AUM250" s="13"/>
      <c r="AUN250" s="13"/>
      <c r="AUO250" s="13"/>
      <c r="AUP250" s="13"/>
      <c r="AUQ250" s="13"/>
      <c r="AUR250" s="13"/>
      <c r="AUS250" s="13"/>
      <c r="AUT250" s="13"/>
      <c r="AUU250" s="13"/>
      <c r="AUV250" s="13"/>
      <c r="AUW250" s="13"/>
      <c r="AUX250" s="13"/>
      <c r="AUY250" s="13"/>
      <c r="AUZ250" s="13"/>
      <c r="AVA250" s="13"/>
      <c r="AVB250" s="13"/>
      <c r="AVC250" s="13"/>
      <c r="AVD250" s="13"/>
      <c r="AVE250" s="13"/>
      <c r="AVF250" s="13"/>
      <c r="AVG250" s="13"/>
      <c r="AVH250" s="13"/>
      <c r="AVI250" s="13"/>
      <c r="AVJ250" s="13"/>
      <c r="AVK250" s="13"/>
      <c r="AVL250" s="13"/>
      <c r="AVM250" s="13"/>
      <c r="AVN250" s="13"/>
      <c r="AVO250" s="13"/>
      <c r="AVP250" s="13"/>
      <c r="AVQ250" s="13"/>
      <c r="AVR250" s="13"/>
      <c r="AVS250" s="13"/>
      <c r="AVT250" s="13"/>
      <c r="AVU250" s="13"/>
      <c r="AVV250" s="13"/>
      <c r="AVW250" s="13"/>
      <c r="AVX250" s="13"/>
      <c r="AVY250" s="13"/>
      <c r="AVZ250" s="13"/>
      <c r="AWA250" s="13"/>
      <c r="AWB250" s="13"/>
      <c r="AWC250" s="13"/>
      <c r="AWD250" s="13"/>
      <c r="AWE250" s="13"/>
      <c r="AWF250" s="13"/>
      <c r="AWG250" s="13"/>
      <c r="AWH250" s="13"/>
      <c r="AWI250" s="13"/>
      <c r="AWJ250" s="13"/>
      <c r="AWK250" s="13"/>
      <c r="AWL250" s="13"/>
      <c r="AWM250" s="13"/>
      <c r="AWN250" s="13"/>
      <c r="AWO250" s="13"/>
      <c r="AWP250" s="13"/>
      <c r="AWQ250" s="13"/>
      <c r="AWR250" s="13"/>
      <c r="AWS250" s="13"/>
      <c r="AWT250" s="13"/>
      <c r="AWU250" s="13"/>
      <c r="AWV250" s="13"/>
      <c r="AWW250" s="13"/>
      <c r="AWX250" s="13"/>
      <c r="AWY250" s="13"/>
      <c r="AWZ250" s="13"/>
      <c r="AXA250" s="13"/>
      <c r="AXB250" s="13"/>
      <c r="AXC250" s="13"/>
      <c r="AXD250" s="13"/>
      <c r="AXE250" s="13"/>
      <c r="AXF250" s="13"/>
      <c r="AXG250" s="13"/>
      <c r="AXH250" s="13"/>
      <c r="AXI250" s="13"/>
      <c r="AXJ250" s="13"/>
      <c r="AXK250" s="13"/>
      <c r="AXL250" s="13"/>
      <c r="AXM250" s="13"/>
      <c r="AXN250" s="13"/>
      <c r="AXO250" s="13"/>
      <c r="AXP250" s="13"/>
      <c r="AXQ250" s="13"/>
      <c r="AXR250" s="13"/>
      <c r="AXS250" s="13"/>
      <c r="AXT250" s="13"/>
      <c r="AXU250" s="13"/>
      <c r="AXV250" s="13"/>
      <c r="AXW250" s="13"/>
      <c r="AXX250" s="13"/>
      <c r="AXY250" s="13"/>
      <c r="AXZ250" s="13"/>
      <c r="AYA250" s="13"/>
      <c r="AYB250" s="13"/>
      <c r="AYC250" s="13"/>
      <c r="AYD250" s="13"/>
      <c r="AYE250" s="13"/>
      <c r="AYF250" s="13"/>
      <c r="AYG250" s="13"/>
      <c r="AYH250" s="13"/>
      <c r="AYI250" s="13"/>
      <c r="AYJ250" s="13"/>
      <c r="AYK250" s="13"/>
      <c r="AYL250" s="13"/>
      <c r="AYM250" s="13"/>
      <c r="AYN250" s="13"/>
      <c r="AYO250" s="13"/>
      <c r="AYP250" s="13"/>
      <c r="AYQ250" s="13"/>
      <c r="AYR250" s="13"/>
      <c r="AYS250" s="13"/>
      <c r="AYT250" s="13"/>
      <c r="AYU250" s="13"/>
      <c r="AYV250" s="13"/>
      <c r="AYW250" s="13"/>
      <c r="AYX250" s="13"/>
      <c r="AYY250" s="13"/>
      <c r="AYZ250" s="13"/>
      <c r="AZA250" s="13"/>
      <c r="AZB250" s="13"/>
      <c r="AZC250" s="13"/>
      <c r="AZD250" s="13"/>
      <c r="AZE250" s="13"/>
      <c r="AZF250" s="13"/>
      <c r="AZG250" s="13"/>
      <c r="AZH250" s="13"/>
      <c r="AZI250" s="13"/>
      <c r="AZJ250" s="13"/>
      <c r="AZK250" s="13"/>
      <c r="AZL250" s="13"/>
      <c r="AZM250" s="13"/>
      <c r="AZN250" s="13"/>
      <c r="AZO250" s="13"/>
      <c r="AZP250" s="13"/>
      <c r="AZQ250" s="13"/>
      <c r="AZR250" s="13"/>
      <c r="AZS250" s="13"/>
      <c r="AZT250" s="13"/>
      <c r="AZU250" s="13"/>
      <c r="AZV250" s="13"/>
      <c r="AZW250" s="13"/>
      <c r="AZX250" s="13"/>
      <c r="AZY250" s="13"/>
      <c r="AZZ250" s="13"/>
      <c r="BAA250" s="13"/>
      <c r="BAB250" s="13"/>
      <c r="BAC250" s="13"/>
      <c r="BAD250" s="13"/>
      <c r="BAE250" s="13"/>
      <c r="BAF250" s="13"/>
      <c r="BAG250" s="13"/>
      <c r="BAH250" s="13"/>
      <c r="BAI250" s="13"/>
      <c r="BAJ250" s="13"/>
      <c r="BAK250" s="13"/>
      <c r="BAL250" s="13"/>
      <c r="BAM250" s="13"/>
      <c r="BAN250" s="13"/>
      <c r="BAO250" s="13"/>
      <c r="BAP250" s="13"/>
      <c r="BAQ250" s="13"/>
      <c r="BAR250" s="13"/>
      <c r="BAS250" s="13"/>
      <c r="BAT250" s="13"/>
      <c r="BAU250" s="13"/>
      <c r="BAV250" s="13"/>
      <c r="BAW250" s="13"/>
      <c r="BAX250" s="13"/>
      <c r="BAY250" s="13"/>
      <c r="BAZ250" s="13"/>
      <c r="BBA250" s="13"/>
      <c r="BBB250" s="13"/>
      <c r="BBC250" s="13"/>
      <c r="BBD250" s="13"/>
      <c r="BBE250" s="13"/>
      <c r="BBF250" s="13"/>
      <c r="BBG250" s="13"/>
      <c r="BBH250" s="13"/>
      <c r="BBI250" s="13"/>
      <c r="BBJ250" s="13"/>
      <c r="BBK250" s="13"/>
      <c r="BBL250" s="13"/>
      <c r="BBM250" s="13"/>
      <c r="BBN250" s="13"/>
      <c r="BBO250" s="13"/>
      <c r="BBP250" s="13"/>
      <c r="BBQ250" s="13"/>
      <c r="BBR250" s="13"/>
      <c r="BBS250" s="13"/>
      <c r="BBT250" s="13"/>
      <c r="BBU250" s="13"/>
      <c r="BBV250" s="13"/>
      <c r="BBW250" s="13"/>
      <c r="BBX250" s="13"/>
      <c r="BBY250" s="13"/>
      <c r="BBZ250" s="13"/>
      <c r="BCA250" s="13"/>
      <c r="BCB250" s="13"/>
      <c r="BCC250" s="13"/>
      <c r="BCD250" s="13"/>
      <c r="BCE250" s="13"/>
      <c r="BCF250" s="13"/>
      <c r="BCG250" s="13"/>
      <c r="BCH250" s="13"/>
      <c r="BCI250" s="13"/>
      <c r="BCJ250" s="13"/>
      <c r="BCK250" s="13"/>
      <c r="BCL250" s="13"/>
      <c r="BCM250" s="13"/>
      <c r="BCN250" s="13"/>
      <c r="BCO250" s="13"/>
      <c r="BCP250" s="13"/>
      <c r="BCQ250" s="13"/>
      <c r="BCR250" s="13"/>
      <c r="BCS250" s="13"/>
      <c r="BCT250" s="13"/>
      <c r="BCU250" s="13"/>
      <c r="BCV250" s="13"/>
      <c r="BCW250" s="13"/>
      <c r="BCX250" s="13"/>
      <c r="BCY250" s="13"/>
      <c r="BCZ250" s="13"/>
      <c r="BDA250" s="13"/>
      <c r="BDB250" s="13"/>
      <c r="BDC250" s="13"/>
      <c r="BDD250" s="13"/>
      <c r="BDE250" s="13"/>
      <c r="BDF250" s="13"/>
      <c r="BDG250" s="13"/>
      <c r="BDH250" s="13"/>
      <c r="BDI250" s="13"/>
      <c r="BDJ250" s="13"/>
      <c r="BDK250" s="13"/>
      <c r="BDL250" s="13"/>
      <c r="BDM250" s="13"/>
      <c r="BDN250" s="13"/>
      <c r="BDO250" s="13"/>
      <c r="BDP250" s="13"/>
      <c r="BDQ250" s="13"/>
      <c r="BDR250" s="13"/>
      <c r="BDS250" s="13"/>
      <c r="BDT250" s="13"/>
      <c r="BDU250" s="13"/>
      <c r="BDV250" s="13"/>
      <c r="BDW250" s="13"/>
      <c r="BDX250" s="13"/>
      <c r="BDY250" s="13"/>
      <c r="BDZ250" s="13"/>
      <c r="BEA250" s="13"/>
      <c r="BEB250" s="13"/>
      <c r="BEC250" s="13"/>
      <c r="BED250" s="13"/>
      <c r="BEE250" s="13"/>
      <c r="BEF250" s="13"/>
      <c r="BEG250" s="13"/>
      <c r="BEH250" s="13"/>
      <c r="BEI250" s="13"/>
      <c r="BEJ250" s="13"/>
      <c r="BEK250" s="13"/>
      <c r="BEL250" s="13"/>
      <c r="BEM250" s="13"/>
      <c r="BEN250" s="13"/>
      <c r="BEO250" s="13"/>
      <c r="BEP250" s="13"/>
      <c r="BEQ250" s="13"/>
      <c r="BER250" s="13"/>
      <c r="BES250" s="13"/>
      <c r="BET250" s="13"/>
      <c r="BEU250" s="13"/>
      <c r="BEV250" s="13"/>
      <c r="BEW250" s="13"/>
      <c r="BEX250" s="13"/>
      <c r="BEY250" s="13"/>
      <c r="BEZ250" s="13"/>
      <c r="BFA250" s="13"/>
      <c r="BFB250" s="13"/>
      <c r="BFC250" s="13"/>
      <c r="BFD250" s="13"/>
      <c r="BFE250" s="13"/>
      <c r="BFF250" s="13"/>
      <c r="BFG250" s="13"/>
      <c r="BFH250" s="13"/>
      <c r="BFI250" s="13"/>
      <c r="BFJ250" s="13"/>
      <c r="BFK250" s="13"/>
      <c r="BFL250" s="13"/>
      <c r="BFM250" s="13"/>
      <c r="BFN250" s="13"/>
      <c r="BFO250" s="13"/>
      <c r="BFP250" s="13"/>
      <c r="BFQ250" s="13"/>
      <c r="BFR250" s="13"/>
      <c r="BFS250" s="13"/>
      <c r="BFT250" s="13"/>
      <c r="BFU250" s="13"/>
      <c r="BFV250" s="13"/>
      <c r="BFW250" s="13"/>
      <c r="BFX250" s="13"/>
      <c r="BFY250" s="13"/>
      <c r="BFZ250" s="13"/>
      <c r="BGA250" s="13"/>
      <c r="BGB250" s="13"/>
      <c r="BGC250" s="13"/>
      <c r="BGD250" s="13"/>
      <c r="BGE250" s="13"/>
      <c r="BGF250" s="13"/>
      <c r="BGG250" s="13"/>
      <c r="BGH250" s="13"/>
      <c r="BGI250" s="13"/>
      <c r="BGJ250" s="13"/>
      <c r="BGK250" s="13"/>
      <c r="BGL250" s="13"/>
      <c r="BGM250" s="13"/>
      <c r="BGN250" s="13"/>
      <c r="BGO250" s="13"/>
      <c r="BGP250" s="13"/>
      <c r="BGQ250" s="13"/>
      <c r="BGR250" s="13"/>
      <c r="BGS250" s="13"/>
      <c r="BGT250" s="13"/>
      <c r="BGU250" s="13"/>
      <c r="BGV250" s="13"/>
      <c r="BGW250" s="13"/>
      <c r="BGX250" s="13"/>
      <c r="BGY250" s="13"/>
      <c r="BGZ250" s="13"/>
      <c r="BHA250" s="13"/>
      <c r="BHB250" s="13"/>
      <c r="BHC250" s="13"/>
      <c r="BHD250" s="13"/>
      <c r="BHE250" s="13"/>
      <c r="BHF250" s="13"/>
      <c r="BHG250" s="13"/>
      <c r="BHH250" s="13"/>
      <c r="BHI250" s="13"/>
      <c r="BHJ250" s="13"/>
      <c r="BHK250" s="13"/>
      <c r="BHL250" s="13"/>
      <c r="BHM250" s="13"/>
      <c r="BHN250" s="13"/>
      <c r="BHO250" s="13"/>
      <c r="BHP250" s="13"/>
      <c r="BHQ250" s="13"/>
      <c r="BHR250" s="13"/>
      <c r="BHS250" s="13"/>
      <c r="BHT250" s="13"/>
      <c r="BHU250" s="13"/>
      <c r="BHV250" s="13"/>
      <c r="BHW250" s="13"/>
      <c r="BHX250" s="13"/>
      <c r="BHY250" s="13"/>
      <c r="BHZ250" s="13"/>
      <c r="BIA250" s="13"/>
      <c r="BIB250" s="13"/>
      <c r="BIC250" s="13"/>
      <c r="BID250" s="13"/>
      <c r="BIE250" s="13"/>
      <c r="BIF250" s="13"/>
      <c r="BIG250" s="13"/>
      <c r="BIH250" s="13"/>
      <c r="BII250" s="13"/>
      <c r="BIJ250" s="13"/>
      <c r="BIK250" s="13"/>
      <c r="BIL250" s="13"/>
      <c r="BIM250" s="13"/>
      <c r="BIN250" s="13"/>
      <c r="BIO250" s="13"/>
      <c r="BIP250" s="13"/>
      <c r="BIQ250" s="13"/>
      <c r="BIR250" s="13"/>
      <c r="BIS250" s="13"/>
      <c r="BIT250" s="13"/>
      <c r="BIU250" s="13"/>
      <c r="BIV250" s="13"/>
      <c r="BIW250" s="13"/>
      <c r="BIX250" s="13"/>
      <c r="BIY250" s="13"/>
      <c r="BIZ250" s="13"/>
      <c r="BJA250" s="13"/>
      <c r="BJB250" s="13"/>
      <c r="BJC250" s="13"/>
      <c r="BJD250" s="13"/>
      <c r="BJE250" s="13"/>
      <c r="BJF250" s="13"/>
      <c r="BJG250" s="13"/>
      <c r="BJH250" s="13"/>
      <c r="BJI250" s="13"/>
      <c r="BJJ250" s="13"/>
      <c r="BJK250" s="13"/>
      <c r="BJL250" s="13"/>
      <c r="BJM250" s="13"/>
      <c r="BJN250" s="13"/>
      <c r="BJO250" s="13"/>
      <c r="BJP250" s="13"/>
      <c r="BJQ250" s="13"/>
      <c r="BJR250" s="13"/>
      <c r="BJS250" s="13"/>
      <c r="BJT250" s="13"/>
      <c r="BJU250" s="13"/>
      <c r="BJV250" s="13"/>
      <c r="BJW250" s="13"/>
      <c r="BJX250" s="13"/>
      <c r="BJY250" s="13"/>
      <c r="BJZ250" s="13"/>
      <c r="BKA250" s="13"/>
      <c r="BKB250" s="13"/>
      <c r="BKC250" s="13"/>
      <c r="BKD250" s="13"/>
      <c r="BKE250" s="13"/>
      <c r="BKF250" s="13"/>
      <c r="BKG250" s="13"/>
      <c r="BKH250" s="13"/>
      <c r="BKI250" s="13"/>
      <c r="BKJ250" s="13"/>
      <c r="BKK250" s="13"/>
      <c r="BKL250" s="13"/>
      <c r="BKM250" s="13"/>
      <c r="BKN250" s="13"/>
      <c r="BKO250" s="13"/>
      <c r="BKP250" s="13"/>
      <c r="BKQ250" s="13"/>
      <c r="BKR250" s="13"/>
      <c r="BKS250" s="13"/>
      <c r="BKT250" s="13"/>
      <c r="BKU250" s="13"/>
      <c r="BKV250" s="13"/>
      <c r="BKW250" s="13"/>
      <c r="BKX250" s="13"/>
      <c r="BKY250" s="13"/>
      <c r="BKZ250" s="13"/>
      <c r="BLA250" s="13"/>
      <c r="BLB250" s="13"/>
      <c r="BLC250" s="13"/>
      <c r="BLD250" s="13"/>
      <c r="BLE250" s="13"/>
      <c r="BLF250" s="13"/>
      <c r="BLG250" s="13"/>
      <c r="BLH250" s="13"/>
      <c r="BLI250" s="13"/>
      <c r="BLJ250" s="13"/>
      <c r="BLK250" s="13"/>
      <c r="BLL250" s="13"/>
      <c r="BLM250" s="13"/>
      <c r="BLN250" s="13"/>
      <c r="BLO250" s="13"/>
      <c r="BLP250" s="13"/>
      <c r="BLQ250" s="13"/>
      <c r="BLR250" s="13"/>
      <c r="BLS250" s="13"/>
      <c r="BLT250" s="13"/>
      <c r="BLU250" s="13"/>
      <c r="BLV250" s="13"/>
      <c r="BLW250" s="13"/>
      <c r="BLX250" s="13"/>
      <c r="BLY250" s="13"/>
      <c r="BLZ250" s="13"/>
      <c r="BMA250" s="13"/>
      <c r="BMB250" s="13"/>
      <c r="BMC250" s="13"/>
      <c r="BMD250" s="13"/>
      <c r="BME250" s="13"/>
      <c r="BMF250" s="13"/>
      <c r="BMG250" s="13"/>
      <c r="BMH250" s="13"/>
      <c r="BMI250" s="13"/>
      <c r="BMJ250" s="13"/>
      <c r="BMK250" s="13"/>
      <c r="BML250" s="13"/>
      <c r="BMM250" s="13"/>
      <c r="BMN250" s="13"/>
      <c r="BMO250" s="13"/>
      <c r="BMP250" s="13"/>
      <c r="BMQ250" s="13"/>
      <c r="BMR250" s="13"/>
      <c r="BMS250" s="13"/>
      <c r="BMT250" s="13"/>
      <c r="BMU250" s="13"/>
      <c r="BMV250" s="13"/>
      <c r="BMW250" s="13"/>
      <c r="BMX250" s="13"/>
      <c r="BMY250" s="13"/>
      <c r="BMZ250" s="13"/>
      <c r="BNA250" s="13"/>
      <c r="BNB250" s="13"/>
      <c r="BNC250" s="13"/>
      <c r="BND250" s="13"/>
      <c r="BNE250" s="13"/>
      <c r="BNF250" s="13"/>
      <c r="BNG250" s="13"/>
      <c r="BNH250" s="13"/>
      <c r="BNI250" s="13"/>
      <c r="BNJ250" s="13"/>
      <c r="BNK250" s="13"/>
      <c r="BNL250" s="13"/>
      <c r="BNM250" s="13"/>
      <c r="BNN250" s="13"/>
      <c r="BNO250" s="13"/>
      <c r="BNP250" s="13"/>
      <c r="BNQ250" s="13"/>
      <c r="BNR250" s="13"/>
      <c r="BNS250" s="13"/>
      <c r="BNT250" s="13"/>
      <c r="BNU250" s="13"/>
      <c r="BNV250" s="13"/>
      <c r="BNW250" s="13"/>
      <c r="BNX250" s="13"/>
      <c r="BNY250" s="13"/>
      <c r="BNZ250" s="13"/>
      <c r="BOA250" s="13"/>
      <c r="BOB250" s="13"/>
      <c r="BOC250" s="13"/>
      <c r="BOD250" s="13"/>
      <c r="BOE250" s="13"/>
      <c r="BOF250" s="13"/>
      <c r="BOG250" s="13"/>
      <c r="BOH250" s="13"/>
      <c r="BOI250" s="13"/>
      <c r="BOJ250" s="13"/>
      <c r="BOK250" s="13"/>
      <c r="BOL250" s="13"/>
      <c r="BOM250" s="13"/>
      <c r="BON250" s="13"/>
      <c r="BOO250" s="13"/>
      <c r="BOP250" s="13"/>
      <c r="BOQ250" s="13"/>
      <c r="BOR250" s="13"/>
      <c r="BOS250" s="13"/>
      <c r="BOT250" s="13"/>
      <c r="BOU250" s="13"/>
      <c r="BOV250" s="13"/>
      <c r="BOW250" s="13"/>
      <c r="BOX250" s="13"/>
      <c r="BOY250" s="13"/>
      <c r="BOZ250" s="13"/>
      <c r="BPA250" s="13"/>
      <c r="BPB250" s="13"/>
      <c r="BPC250" s="13"/>
      <c r="BPD250" s="13"/>
      <c r="BPE250" s="13"/>
      <c r="BPF250" s="13"/>
      <c r="BPG250" s="13"/>
      <c r="BPH250" s="13"/>
      <c r="BPI250" s="13"/>
      <c r="BPJ250" s="13"/>
      <c r="BPK250" s="13"/>
      <c r="BPL250" s="13"/>
      <c r="BPM250" s="13"/>
      <c r="BPN250" s="13"/>
      <c r="BPO250" s="13"/>
      <c r="BPP250" s="13"/>
      <c r="BPQ250" s="13"/>
      <c r="BPR250" s="13"/>
      <c r="BPS250" s="13"/>
      <c r="BPT250" s="13"/>
      <c r="BPU250" s="13"/>
      <c r="BPV250" s="13"/>
      <c r="BPW250" s="13"/>
      <c r="BPX250" s="13"/>
      <c r="BPY250" s="13"/>
      <c r="BPZ250" s="13"/>
      <c r="BQA250" s="13"/>
      <c r="BQB250" s="13"/>
      <c r="BQC250" s="13"/>
      <c r="BQD250" s="13"/>
      <c r="BQE250" s="13"/>
      <c r="BQF250" s="13"/>
      <c r="BQG250" s="13"/>
      <c r="BQH250" s="13"/>
      <c r="BQI250" s="13"/>
      <c r="BQJ250" s="13"/>
      <c r="BQK250" s="13"/>
      <c r="BQL250" s="13"/>
      <c r="BQM250" s="13"/>
      <c r="BQN250" s="13"/>
      <c r="BQO250" s="13"/>
      <c r="BQP250" s="13"/>
      <c r="BQQ250" s="13"/>
      <c r="BQR250" s="13"/>
      <c r="BQS250" s="13"/>
      <c r="BQT250" s="13"/>
      <c r="BQU250" s="13"/>
      <c r="BQV250" s="13"/>
      <c r="BQW250" s="13"/>
      <c r="BQX250" s="13"/>
      <c r="BQY250" s="13"/>
      <c r="BQZ250" s="13"/>
      <c r="BRA250" s="13"/>
      <c r="BRB250" s="13"/>
      <c r="BRC250" s="13"/>
      <c r="BRD250" s="13"/>
      <c r="BRE250" s="13"/>
      <c r="BRF250" s="13"/>
      <c r="BRG250" s="13"/>
      <c r="BRH250" s="13"/>
      <c r="BRI250" s="13"/>
      <c r="BRJ250" s="13"/>
      <c r="BRK250" s="13"/>
      <c r="BRL250" s="13"/>
      <c r="BRM250" s="13"/>
      <c r="BRN250" s="13"/>
      <c r="BRO250" s="13"/>
      <c r="BRP250" s="13"/>
      <c r="BRQ250" s="13"/>
      <c r="BRR250" s="13"/>
      <c r="BRS250" s="13"/>
      <c r="BRT250" s="13"/>
      <c r="BRU250" s="13"/>
      <c r="BRV250" s="13"/>
      <c r="BRW250" s="13"/>
      <c r="BRX250" s="13"/>
      <c r="BRY250" s="13"/>
      <c r="BRZ250" s="13"/>
      <c r="BSA250" s="13"/>
      <c r="BSB250" s="13"/>
      <c r="BSC250" s="13"/>
      <c r="BSD250" s="13"/>
      <c r="BSE250" s="13"/>
      <c r="BSF250" s="13"/>
      <c r="BSG250" s="13"/>
      <c r="BSH250" s="13"/>
      <c r="BSI250" s="13"/>
      <c r="BSJ250" s="13"/>
      <c r="BSK250" s="13"/>
      <c r="BSL250" s="13"/>
      <c r="BSM250" s="13"/>
      <c r="BSN250" s="13"/>
      <c r="BSO250" s="13"/>
      <c r="BSP250" s="13"/>
      <c r="BSQ250" s="13"/>
      <c r="BSR250" s="13"/>
      <c r="BSS250" s="13"/>
      <c r="BST250" s="13"/>
      <c r="BSU250" s="13"/>
      <c r="BSV250" s="13"/>
      <c r="BSW250" s="13"/>
      <c r="BSX250" s="13"/>
      <c r="BSY250" s="13"/>
      <c r="BSZ250" s="13"/>
      <c r="BTA250" s="13"/>
    </row>
    <row r="251" spans="1:1873" s="23" customFormat="1" x14ac:dyDescent="0.2">
      <c r="A251" s="234"/>
      <c r="B251" s="234"/>
      <c r="C251" s="234"/>
      <c r="D251" s="234"/>
      <c r="E251" s="493"/>
      <c r="F251" s="234"/>
      <c r="G251" s="234"/>
      <c r="H251" s="234"/>
      <c r="I251" s="234"/>
      <c r="J251" s="234"/>
      <c r="K251" s="234"/>
      <c r="L251" s="234"/>
      <c r="M251" s="389"/>
      <c r="N251" s="389"/>
      <c r="O251" s="29"/>
      <c r="P251" s="389"/>
      <c r="Q251" s="491"/>
      <c r="R251" s="389"/>
      <c r="S251" s="491"/>
      <c r="T251" s="389"/>
      <c r="U251" s="491"/>
      <c r="V251" s="491"/>
      <c r="W251" s="237"/>
      <c r="X251" s="491"/>
      <c r="Y251" s="491"/>
      <c r="Z251" s="234"/>
      <c r="AA251" s="495">
        <v>18146</v>
      </c>
      <c r="AB251" s="389"/>
      <c r="AC251" s="234"/>
      <c r="AD251" s="234"/>
      <c r="AE251" s="234"/>
      <c r="AF251" s="234"/>
      <c r="AG251" s="234"/>
      <c r="AH251" s="234"/>
      <c r="AI251" s="234"/>
      <c r="AJ251" s="234"/>
      <c r="AK251" s="234"/>
      <c r="AL251" s="234"/>
      <c r="AM251" s="234"/>
      <c r="AN251" s="234"/>
      <c r="AO251" s="234"/>
      <c r="AP251" s="234"/>
      <c r="AQ251" s="234"/>
      <c r="AR251" s="234"/>
      <c r="AS251" s="234"/>
      <c r="AT251" s="234"/>
      <c r="AU251" s="234"/>
      <c r="AV251" s="234"/>
      <c r="AW251" s="234"/>
      <c r="AX251" s="234"/>
      <c r="AY251" s="234"/>
      <c r="AZ251" s="234"/>
      <c r="BA251" s="234"/>
      <c r="BB251" s="234"/>
      <c r="BC251" s="234"/>
      <c r="BD251" s="234"/>
      <c r="BE251" s="234"/>
      <c r="BF251" s="234"/>
      <c r="BG251" s="234"/>
      <c r="BH251" s="234"/>
      <c r="BI251" s="234"/>
      <c r="BJ251" s="234"/>
      <c r="BK251" s="234"/>
      <c r="BL251" s="234"/>
      <c r="BM251" s="234"/>
      <c r="BN251" s="234"/>
      <c r="BO251" s="234"/>
      <c r="BP251" s="234"/>
      <c r="BQ251" s="234"/>
      <c r="BR251" s="234"/>
      <c r="BS251" s="491"/>
      <c r="BT251" s="491"/>
      <c r="BU251" s="491"/>
      <c r="BV251" s="491"/>
      <c r="BW251" s="491"/>
      <c r="BX251" s="491"/>
      <c r="BY251" s="491"/>
      <c r="BZ251" s="497"/>
      <c r="CA251" s="496"/>
      <c r="CB251" s="499"/>
      <c r="CC251" s="57"/>
      <c r="CD251" s="57"/>
      <c r="CE251" s="342" t="s">
        <v>1576</v>
      </c>
      <c r="CF251" s="342" t="s">
        <v>1575</v>
      </c>
      <c r="CG251" s="57"/>
    </row>
    <row r="252" spans="1:1873" s="23" customFormat="1" x14ac:dyDescent="0.2">
      <c r="A252" s="234" t="s">
        <v>685</v>
      </c>
      <c r="B252" s="234" t="s">
        <v>680</v>
      </c>
      <c r="C252" s="234" t="s">
        <v>498</v>
      </c>
      <c r="D252" s="234" t="s">
        <v>633</v>
      </c>
      <c r="E252" s="493" t="s">
        <v>38</v>
      </c>
      <c r="F252" s="234">
        <v>1</v>
      </c>
      <c r="G252" s="234">
        <v>1</v>
      </c>
      <c r="H252" s="234">
        <v>1</v>
      </c>
      <c r="I252" s="234" t="s">
        <v>954</v>
      </c>
      <c r="J252" s="234">
        <v>1999</v>
      </c>
      <c r="K252" s="234" t="s">
        <v>1001</v>
      </c>
      <c r="L252" s="234">
        <v>1999</v>
      </c>
      <c r="M252" s="389">
        <v>-9999</v>
      </c>
      <c r="N252" s="389">
        <v>-9999</v>
      </c>
      <c r="O252" s="29"/>
      <c r="P252" s="389">
        <v>3.48</v>
      </c>
      <c r="Q252" s="491">
        <v>-9999</v>
      </c>
      <c r="R252" s="389"/>
      <c r="S252" s="491"/>
      <c r="T252" s="237">
        <f>+P252/G252</f>
        <v>3.48</v>
      </c>
      <c r="U252" s="491">
        <v>-9999</v>
      </c>
      <c r="V252" s="491"/>
      <c r="W252" s="389">
        <f>+P252</f>
        <v>3.48</v>
      </c>
      <c r="X252" s="491">
        <v>-9999</v>
      </c>
      <c r="Y252" s="491"/>
      <c r="Z252" s="234" t="s">
        <v>681</v>
      </c>
      <c r="AA252" s="495">
        <v>18146</v>
      </c>
      <c r="AB252" s="389">
        <v>-9999</v>
      </c>
      <c r="AC252" s="234">
        <v>1</v>
      </c>
      <c r="AD252" s="234">
        <v>124.8</v>
      </c>
      <c r="AE252" s="390" t="s">
        <v>1952</v>
      </c>
      <c r="AF252" s="234">
        <v>4</v>
      </c>
      <c r="AG252" s="234">
        <v>-9999</v>
      </c>
      <c r="AH252" s="234" t="s">
        <v>623</v>
      </c>
      <c r="AI252" s="234">
        <v>-9999</v>
      </c>
      <c r="AJ252" s="234">
        <v>-9999</v>
      </c>
      <c r="AK252" s="234" t="s">
        <v>625</v>
      </c>
      <c r="AL252" s="234" t="s">
        <v>682</v>
      </c>
      <c r="AM252" s="234">
        <v>-9999</v>
      </c>
      <c r="AN252" s="234" t="s">
        <v>631</v>
      </c>
      <c r="AO252" s="234">
        <v>-9999</v>
      </c>
      <c r="AP252" s="234">
        <v>-9999</v>
      </c>
      <c r="AQ252" s="234" t="s">
        <v>631</v>
      </c>
      <c r="AR252" s="234">
        <v>0</v>
      </c>
      <c r="AS252" s="234">
        <v>-9999</v>
      </c>
      <c r="AT252" s="234">
        <v>-9999</v>
      </c>
      <c r="AU252" s="234">
        <v>0</v>
      </c>
      <c r="AV252" s="234">
        <v>-9999</v>
      </c>
      <c r="AW252" s="234">
        <v>-9999</v>
      </c>
      <c r="AX252" s="234">
        <v>0</v>
      </c>
      <c r="AY252" s="234">
        <v>-9999</v>
      </c>
      <c r="AZ252" s="234">
        <v>-9999</v>
      </c>
      <c r="BA252" s="234">
        <v>-9999</v>
      </c>
      <c r="BB252" s="234" t="s">
        <v>626</v>
      </c>
      <c r="BC252" s="234" t="s">
        <v>683</v>
      </c>
      <c r="BD252" s="234" t="s">
        <v>684</v>
      </c>
      <c r="BE252" s="234"/>
      <c r="BF252" s="234" t="s">
        <v>504</v>
      </c>
      <c r="BG252" s="234" t="s">
        <v>506</v>
      </c>
      <c r="BH252" s="234" t="s">
        <v>505</v>
      </c>
      <c r="BI252" s="234"/>
      <c r="BJ252" s="234">
        <v>-9999</v>
      </c>
      <c r="BK252" s="234">
        <v>-9999</v>
      </c>
      <c r="BL252" s="234">
        <v>0.81</v>
      </c>
      <c r="BM252" s="234">
        <v>-9999</v>
      </c>
      <c r="BN252" s="234">
        <v>-9999</v>
      </c>
      <c r="BO252" s="234">
        <v>-9999</v>
      </c>
      <c r="BP252" s="234">
        <v>-9999</v>
      </c>
      <c r="BQ252" s="234">
        <v>-9999</v>
      </c>
      <c r="BR252" s="234">
        <v>7.76</v>
      </c>
      <c r="BS252" s="491">
        <v>-9999</v>
      </c>
      <c r="BT252" s="491">
        <v>-9999</v>
      </c>
      <c r="BU252" s="491">
        <v>-9999</v>
      </c>
      <c r="BV252" s="491">
        <v>-9999</v>
      </c>
      <c r="BW252" s="491"/>
      <c r="BX252" s="491">
        <v>-9999</v>
      </c>
      <c r="BY252" s="491">
        <v>-9999</v>
      </c>
      <c r="BZ252" s="497">
        <v>-9999</v>
      </c>
      <c r="CA252" s="496">
        <v>-9999</v>
      </c>
      <c r="CB252" s="499"/>
      <c r="CC252" s="57">
        <v>1</v>
      </c>
      <c r="CD252" s="57">
        <v>1</v>
      </c>
      <c r="CE252" s="292">
        <v>3.48</v>
      </c>
      <c r="CF252" s="292">
        <v>3.48</v>
      </c>
      <c r="CG252" s="57">
        <v>1</v>
      </c>
    </row>
    <row r="253" spans="1:1873" s="23" customFormat="1" x14ac:dyDescent="0.2">
      <c r="A253" s="234" t="s">
        <v>685</v>
      </c>
      <c r="B253" s="234" t="s">
        <v>680</v>
      </c>
      <c r="C253" s="234" t="s">
        <v>498</v>
      </c>
      <c r="D253" s="234" t="s">
        <v>633</v>
      </c>
      <c r="E253" s="493" t="s">
        <v>38</v>
      </c>
      <c r="F253" s="234">
        <v>1</v>
      </c>
      <c r="G253" s="234">
        <v>2</v>
      </c>
      <c r="H253" s="234">
        <v>2</v>
      </c>
      <c r="I253" s="234" t="s">
        <v>954</v>
      </c>
      <c r="J253" s="234">
        <v>1999</v>
      </c>
      <c r="K253" s="234" t="s">
        <v>1001</v>
      </c>
      <c r="L253" s="234">
        <v>2000</v>
      </c>
      <c r="M253" s="389">
        <v>-9999</v>
      </c>
      <c r="N253" s="389">
        <v>-9999</v>
      </c>
      <c r="O253" s="29"/>
      <c r="P253" s="389">
        <v>8.66</v>
      </c>
      <c r="Q253" s="491">
        <v>-9999</v>
      </c>
      <c r="R253" s="389"/>
      <c r="S253" s="491"/>
      <c r="T253" s="237">
        <f>+P253/G253</f>
        <v>4.33</v>
      </c>
      <c r="U253" s="491">
        <v>-9999</v>
      </c>
      <c r="V253" s="491"/>
      <c r="W253" s="237">
        <f>+P253-P252</f>
        <v>5.18</v>
      </c>
      <c r="X253" s="491">
        <v>-9999</v>
      </c>
      <c r="Y253" s="491"/>
      <c r="Z253" s="234" t="s">
        <v>681</v>
      </c>
      <c r="AA253" s="495">
        <v>18146</v>
      </c>
      <c r="AB253" s="389">
        <v>-9999</v>
      </c>
      <c r="AC253" s="234">
        <v>1</v>
      </c>
      <c r="AD253" s="234">
        <v>124.8</v>
      </c>
      <c r="AE253" s="390" t="s">
        <v>1952</v>
      </c>
      <c r="AF253" s="234">
        <v>4</v>
      </c>
      <c r="AG253" s="234">
        <v>-9999</v>
      </c>
      <c r="AH253" s="234" t="s">
        <v>623</v>
      </c>
      <c r="AI253" s="234">
        <v>-9999</v>
      </c>
      <c r="AJ253" s="234">
        <v>-9999</v>
      </c>
      <c r="AK253" s="234" t="s">
        <v>625</v>
      </c>
      <c r="AL253" s="234" t="s">
        <v>682</v>
      </c>
      <c r="AM253" s="234">
        <v>-9999</v>
      </c>
      <c r="AN253" s="234" t="s">
        <v>631</v>
      </c>
      <c r="AO253" s="234">
        <v>-9999</v>
      </c>
      <c r="AP253" s="234">
        <v>-9999</v>
      </c>
      <c r="AQ253" s="234" t="s">
        <v>631</v>
      </c>
      <c r="AR253" s="234">
        <v>0</v>
      </c>
      <c r="AS253" s="234">
        <v>-9999</v>
      </c>
      <c r="AT253" s="234">
        <v>-9999</v>
      </c>
      <c r="AU253" s="234">
        <v>0</v>
      </c>
      <c r="AV253" s="234">
        <v>-9999</v>
      </c>
      <c r="AW253" s="234">
        <v>-9999</v>
      </c>
      <c r="AX253" s="234">
        <v>0</v>
      </c>
      <c r="AY253" s="234">
        <v>-9999</v>
      </c>
      <c r="AZ253" s="234">
        <v>-9999</v>
      </c>
      <c r="BA253" s="234">
        <v>-9999</v>
      </c>
      <c r="BB253" s="234" t="s">
        <v>626</v>
      </c>
      <c r="BC253" s="234" t="s">
        <v>683</v>
      </c>
      <c r="BD253" s="234" t="s">
        <v>684</v>
      </c>
      <c r="BE253" s="234"/>
      <c r="BF253" s="234" t="s">
        <v>504</v>
      </c>
      <c r="BG253" s="234" t="s">
        <v>506</v>
      </c>
      <c r="BH253" s="234" t="s">
        <v>505</v>
      </c>
      <c r="BI253" s="234"/>
      <c r="BJ253" s="234">
        <v>-9999</v>
      </c>
      <c r="BK253" s="234">
        <v>-9999</v>
      </c>
      <c r="BL253" s="234">
        <v>2.2200000000000002</v>
      </c>
      <c r="BM253" s="234">
        <v>-9999</v>
      </c>
      <c r="BN253" s="234">
        <v>-9999</v>
      </c>
      <c r="BO253" s="234">
        <v>-9999</v>
      </c>
      <c r="BP253" s="234">
        <v>-9999</v>
      </c>
      <c r="BQ253" s="234">
        <v>-9999</v>
      </c>
      <c r="BR253" s="234">
        <v>18.45</v>
      </c>
      <c r="BS253" s="491">
        <v>-9999</v>
      </c>
      <c r="BT253" s="491">
        <v>-9999</v>
      </c>
      <c r="BU253" s="491">
        <v>-9999</v>
      </c>
      <c r="BV253" s="491">
        <v>-9999</v>
      </c>
      <c r="BW253" s="491"/>
      <c r="BX253" s="491">
        <v>-9999</v>
      </c>
      <c r="BY253" s="491">
        <v>-9999</v>
      </c>
      <c r="BZ253" s="497">
        <v>-9999</v>
      </c>
      <c r="CA253" s="496">
        <v>-9999</v>
      </c>
      <c r="CB253" s="499"/>
      <c r="CC253" s="57">
        <v>1</v>
      </c>
      <c r="CD253" s="57">
        <v>2</v>
      </c>
      <c r="CE253" s="292">
        <v>4.33</v>
      </c>
      <c r="CF253" s="292">
        <v>5.18</v>
      </c>
      <c r="CG253" s="57">
        <v>2</v>
      </c>
    </row>
    <row r="254" spans="1:1873" s="23" customFormat="1" x14ac:dyDescent="0.2">
      <c r="A254" s="234" t="s">
        <v>685</v>
      </c>
      <c r="B254" s="234" t="s">
        <v>680</v>
      </c>
      <c r="C254" s="234" t="s">
        <v>498</v>
      </c>
      <c r="D254" s="234" t="s">
        <v>633</v>
      </c>
      <c r="E254" s="493" t="s">
        <v>38</v>
      </c>
      <c r="F254" s="234">
        <v>1</v>
      </c>
      <c r="G254" s="234">
        <v>3</v>
      </c>
      <c r="H254" s="234">
        <v>3</v>
      </c>
      <c r="I254" s="234" t="s">
        <v>954</v>
      </c>
      <c r="J254" s="234">
        <v>1999</v>
      </c>
      <c r="K254" s="234" t="s">
        <v>1001</v>
      </c>
      <c r="L254" s="234">
        <v>2001</v>
      </c>
      <c r="M254" s="389">
        <v>-9999</v>
      </c>
      <c r="N254" s="389">
        <v>-9999</v>
      </c>
      <c r="O254" s="29"/>
      <c r="P254" s="389">
        <v>24.11</v>
      </c>
      <c r="Q254" s="491">
        <v>-9999</v>
      </c>
      <c r="R254" s="389"/>
      <c r="S254" s="491"/>
      <c r="T254" s="237">
        <f>+P254/G254</f>
        <v>8.0366666666666671</v>
      </c>
      <c r="U254" s="491">
        <v>-9999</v>
      </c>
      <c r="V254" s="491"/>
      <c r="W254" s="237">
        <f>+P254-P253</f>
        <v>15.45</v>
      </c>
      <c r="X254" s="491">
        <v>-9999</v>
      </c>
      <c r="Y254" s="491"/>
      <c r="Z254" s="234" t="s">
        <v>681</v>
      </c>
      <c r="AA254" s="495">
        <v>18146</v>
      </c>
      <c r="AB254" s="389">
        <v>-9999</v>
      </c>
      <c r="AC254" s="234">
        <v>1</v>
      </c>
      <c r="AD254" s="234">
        <v>124.8</v>
      </c>
      <c r="AE254" s="390" t="s">
        <v>1952</v>
      </c>
      <c r="AF254" s="234">
        <v>4</v>
      </c>
      <c r="AG254" s="234">
        <v>-9999</v>
      </c>
      <c r="AH254" s="234" t="s">
        <v>623</v>
      </c>
      <c r="AI254" s="234">
        <v>-9999</v>
      </c>
      <c r="AJ254" s="234">
        <v>-9999</v>
      </c>
      <c r="AK254" s="234" t="s">
        <v>625</v>
      </c>
      <c r="AL254" s="234" t="s">
        <v>682</v>
      </c>
      <c r="AM254" s="234">
        <v>-9999</v>
      </c>
      <c r="AN254" s="234" t="s">
        <v>631</v>
      </c>
      <c r="AO254" s="234">
        <v>-9999</v>
      </c>
      <c r="AP254" s="234">
        <v>-9999</v>
      </c>
      <c r="AQ254" s="234" t="s">
        <v>631</v>
      </c>
      <c r="AR254" s="234">
        <v>0</v>
      </c>
      <c r="AS254" s="234">
        <v>-9999</v>
      </c>
      <c r="AT254" s="234">
        <v>-9999</v>
      </c>
      <c r="AU254" s="234">
        <v>0</v>
      </c>
      <c r="AV254" s="234">
        <v>-9999</v>
      </c>
      <c r="AW254" s="234">
        <v>-9999</v>
      </c>
      <c r="AX254" s="234">
        <v>0</v>
      </c>
      <c r="AY254" s="234">
        <v>-9999</v>
      </c>
      <c r="AZ254" s="234">
        <v>-9999</v>
      </c>
      <c r="BA254" s="234">
        <v>-9999</v>
      </c>
      <c r="BB254" s="234" t="s">
        <v>626</v>
      </c>
      <c r="BC254" s="234" t="s">
        <v>683</v>
      </c>
      <c r="BD254" s="234" t="s">
        <v>684</v>
      </c>
      <c r="BE254" s="234"/>
      <c r="BF254" s="234" t="s">
        <v>504</v>
      </c>
      <c r="BG254" s="234" t="s">
        <v>506</v>
      </c>
      <c r="BH254" s="234" t="s">
        <v>505</v>
      </c>
      <c r="BI254" s="234"/>
      <c r="BJ254" s="234">
        <v>-9999</v>
      </c>
      <c r="BK254" s="234">
        <v>-9999</v>
      </c>
      <c r="BL254" s="234">
        <v>3.34</v>
      </c>
      <c r="BM254" s="234">
        <v>-9999</v>
      </c>
      <c r="BN254" s="234">
        <v>-9999</v>
      </c>
      <c r="BO254" s="234">
        <v>-9999</v>
      </c>
      <c r="BP254" s="234">
        <v>-9999</v>
      </c>
      <c r="BQ254" s="234">
        <v>-9999</v>
      </c>
      <c r="BR254" s="234">
        <v>31.46</v>
      </c>
      <c r="BS254" s="491">
        <v>-9999</v>
      </c>
      <c r="BT254" s="491">
        <v>-9999</v>
      </c>
      <c r="BU254" s="491">
        <v>-9999</v>
      </c>
      <c r="BV254" s="491">
        <v>-9999</v>
      </c>
      <c r="BW254" s="491"/>
      <c r="BX254" s="491">
        <v>-9999</v>
      </c>
      <c r="BY254" s="491">
        <v>-9999</v>
      </c>
      <c r="BZ254" s="497">
        <v>-9999</v>
      </c>
      <c r="CA254" s="496">
        <v>-9999</v>
      </c>
      <c r="CB254" s="499"/>
      <c r="CC254" s="57">
        <v>1</v>
      </c>
      <c r="CD254" s="57">
        <v>3</v>
      </c>
      <c r="CE254" s="292">
        <v>8.0366666666666671</v>
      </c>
      <c r="CF254" s="292">
        <v>15.45</v>
      </c>
      <c r="CG254" s="57">
        <v>3</v>
      </c>
    </row>
    <row r="255" spans="1:1873" s="13" customFormat="1" x14ac:dyDescent="0.2">
      <c r="A255" s="231" t="s">
        <v>685</v>
      </c>
      <c r="B255" s="231" t="s">
        <v>680</v>
      </c>
      <c r="C255" s="231" t="s">
        <v>498</v>
      </c>
      <c r="D255" s="231" t="s">
        <v>633</v>
      </c>
      <c r="E255" s="232" t="s">
        <v>38</v>
      </c>
      <c r="F255" s="231">
        <v>1</v>
      </c>
      <c r="G255" s="231">
        <v>4</v>
      </c>
      <c r="H255" s="231">
        <v>4</v>
      </c>
      <c r="I255" s="231" t="s">
        <v>954</v>
      </c>
      <c r="J255" s="231">
        <v>1999</v>
      </c>
      <c r="K255" s="231" t="s">
        <v>1001</v>
      </c>
      <c r="L255" s="231">
        <v>2002</v>
      </c>
      <c r="M255" s="235">
        <v>-9999</v>
      </c>
      <c r="N255" s="235">
        <v>-9999</v>
      </c>
      <c r="O255" s="18"/>
      <c r="P255" s="235">
        <v>44.38</v>
      </c>
      <c r="Q255" s="233">
        <v>-9999</v>
      </c>
      <c r="R255" s="235"/>
      <c r="S255" s="233"/>
      <c r="T255" s="235">
        <f>+P255/G255</f>
        <v>11.095000000000001</v>
      </c>
      <c r="U255" s="233">
        <v>-9999</v>
      </c>
      <c r="V255" s="233"/>
      <c r="W255" s="236">
        <f>+P255-P254</f>
        <v>20.270000000000003</v>
      </c>
      <c r="X255" s="233">
        <v>-9999</v>
      </c>
      <c r="Y255" s="233"/>
      <c r="Z255" s="231" t="s">
        <v>681</v>
      </c>
      <c r="AA255" s="489">
        <v>18146</v>
      </c>
      <c r="AB255" s="235">
        <v>-9999</v>
      </c>
      <c r="AC255" s="231">
        <v>1</v>
      </c>
      <c r="AD255" s="231">
        <v>124.8</v>
      </c>
      <c r="AE255" s="231" t="s">
        <v>1952</v>
      </c>
      <c r="AF255" s="231">
        <v>4</v>
      </c>
      <c r="AG255" s="231">
        <v>-9999</v>
      </c>
      <c r="AH255" s="231" t="s">
        <v>623</v>
      </c>
      <c r="AI255" s="231">
        <v>-9999</v>
      </c>
      <c r="AJ255" s="231">
        <v>-9999</v>
      </c>
      <c r="AK255" s="231" t="s">
        <v>625</v>
      </c>
      <c r="AL255" s="231" t="s">
        <v>682</v>
      </c>
      <c r="AM255" s="231">
        <v>-9999</v>
      </c>
      <c r="AN255" s="231" t="s">
        <v>631</v>
      </c>
      <c r="AO255" s="231">
        <v>-9999</v>
      </c>
      <c r="AP255" s="231">
        <v>-9999</v>
      </c>
      <c r="AQ255" s="231" t="s">
        <v>631</v>
      </c>
      <c r="AR255" s="231">
        <v>0</v>
      </c>
      <c r="AS255" s="231">
        <v>-9999</v>
      </c>
      <c r="AT255" s="231">
        <v>-9999</v>
      </c>
      <c r="AU255" s="231">
        <v>0</v>
      </c>
      <c r="AV255" s="231">
        <v>-9999</v>
      </c>
      <c r="AW255" s="231">
        <v>-9999</v>
      </c>
      <c r="AX255" s="231">
        <v>0</v>
      </c>
      <c r="AY255" s="231">
        <v>-9999</v>
      </c>
      <c r="AZ255" s="231">
        <v>-9999</v>
      </c>
      <c r="BA255" s="231">
        <v>-9999</v>
      </c>
      <c r="BB255" s="231" t="s">
        <v>626</v>
      </c>
      <c r="BC255" s="231" t="s">
        <v>683</v>
      </c>
      <c r="BD255" s="231" t="s">
        <v>684</v>
      </c>
      <c r="BE255" s="231"/>
      <c r="BF255" s="231" t="s">
        <v>504</v>
      </c>
      <c r="BG255" s="231" t="s">
        <v>506</v>
      </c>
      <c r="BH255" s="231" t="s">
        <v>505</v>
      </c>
      <c r="BI255" s="231"/>
      <c r="BJ255" s="231">
        <v>-9999</v>
      </c>
      <c r="BK255" s="231">
        <v>-9999</v>
      </c>
      <c r="BL255" s="231">
        <v>3.97</v>
      </c>
      <c r="BM255" s="231">
        <v>-9999</v>
      </c>
      <c r="BN255" s="231">
        <v>-9999</v>
      </c>
      <c r="BO255" s="231">
        <v>-9999</v>
      </c>
      <c r="BP255" s="231">
        <v>-9999</v>
      </c>
      <c r="BQ255" s="231">
        <v>-9999</v>
      </c>
      <c r="BR255" s="231">
        <v>37.049999999999997</v>
      </c>
      <c r="BS255" s="233">
        <v>-9999</v>
      </c>
      <c r="BT255" s="233">
        <v>-9999</v>
      </c>
      <c r="BU255" s="233">
        <v>-9999</v>
      </c>
      <c r="BV255" s="233">
        <v>-9999</v>
      </c>
      <c r="BW255" s="233"/>
      <c r="BX255" s="233">
        <v>-9999</v>
      </c>
      <c r="BY255" s="233">
        <v>-9999</v>
      </c>
      <c r="BZ255" s="490">
        <v>-9999</v>
      </c>
      <c r="CA255" s="238">
        <v>-9999</v>
      </c>
      <c r="CB255" s="239"/>
      <c r="CC255" s="11">
        <v>1</v>
      </c>
      <c r="CD255" s="11">
        <v>4</v>
      </c>
      <c r="CE255" s="393">
        <v>11.095000000000001</v>
      </c>
      <c r="CF255" s="99">
        <v>20.270000000000003</v>
      </c>
      <c r="CG255" s="11">
        <v>4</v>
      </c>
      <c r="CH255" s="436"/>
    </row>
    <row r="256" spans="1:1873" s="23" customFormat="1" x14ac:dyDescent="0.2">
      <c r="A256" s="234"/>
      <c r="B256" s="234"/>
      <c r="C256" s="234"/>
      <c r="D256" s="234"/>
      <c r="E256" s="493"/>
      <c r="F256" s="234"/>
      <c r="G256" s="234"/>
      <c r="H256" s="234"/>
      <c r="I256" s="234"/>
      <c r="J256" s="234"/>
      <c r="K256" s="234"/>
      <c r="L256" s="234"/>
      <c r="M256" s="389"/>
      <c r="N256" s="389"/>
      <c r="O256" s="29"/>
      <c r="P256" s="389"/>
      <c r="Q256" s="491"/>
      <c r="R256" s="389"/>
      <c r="S256" s="491"/>
      <c r="T256" s="389"/>
      <c r="U256" s="491"/>
      <c r="V256" s="491"/>
      <c r="W256" s="237"/>
      <c r="X256" s="491"/>
      <c r="Y256" s="491"/>
      <c r="Z256" s="234"/>
      <c r="AA256" s="495"/>
      <c r="AB256" s="389"/>
      <c r="AC256" s="234"/>
      <c r="AD256" s="234"/>
      <c r="AE256" s="234"/>
      <c r="AF256" s="234"/>
      <c r="AG256" s="234"/>
      <c r="AH256" s="234"/>
      <c r="AI256" s="234"/>
      <c r="AJ256" s="234"/>
      <c r="AK256" s="234"/>
      <c r="AL256" s="234"/>
      <c r="AM256" s="234"/>
      <c r="AN256" s="234"/>
      <c r="AO256" s="234"/>
      <c r="AP256" s="234"/>
      <c r="AQ256" s="234"/>
      <c r="AR256" s="234"/>
      <c r="AS256" s="234"/>
      <c r="AT256" s="234"/>
      <c r="AU256" s="234"/>
      <c r="AV256" s="234"/>
      <c r="AW256" s="234"/>
      <c r="AX256" s="234"/>
      <c r="AY256" s="234"/>
      <c r="AZ256" s="234"/>
      <c r="BA256" s="234"/>
      <c r="BB256" s="234"/>
      <c r="BC256" s="234"/>
      <c r="BD256" s="234"/>
      <c r="BE256" s="234"/>
      <c r="BF256" s="234"/>
      <c r="BG256" s="234"/>
      <c r="BH256" s="234"/>
      <c r="BI256" s="234"/>
      <c r="BJ256" s="234"/>
      <c r="BK256" s="234"/>
      <c r="BL256" s="234"/>
      <c r="BM256" s="234"/>
      <c r="BN256" s="234"/>
      <c r="BO256" s="234"/>
      <c r="BP256" s="234"/>
      <c r="BQ256" s="234"/>
      <c r="BR256" s="234"/>
      <c r="BS256" s="491"/>
      <c r="BT256" s="491"/>
      <c r="BU256" s="491"/>
      <c r="BV256" s="491"/>
      <c r="BW256" s="491"/>
      <c r="BX256" s="491"/>
      <c r="BY256" s="491"/>
      <c r="BZ256" s="497"/>
      <c r="CA256" s="496"/>
      <c r="CB256" s="499"/>
      <c r="CC256" s="57"/>
      <c r="CD256" s="57"/>
      <c r="CE256" s="342" t="s">
        <v>1576</v>
      </c>
      <c r="CF256" s="342" t="s">
        <v>1575</v>
      </c>
      <c r="CG256" s="57"/>
    </row>
    <row r="257" spans="1:86" s="23" customFormat="1" x14ac:dyDescent="0.2">
      <c r="A257" s="234" t="s">
        <v>685</v>
      </c>
      <c r="B257" s="234" t="s">
        <v>680</v>
      </c>
      <c r="C257" s="234" t="s">
        <v>499</v>
      </c>
      <c r="D257" s="234" t="s">
        <v>633</v>
      </c>
      <c r="E257" s="493" t="s">
        <v>1520</v>
      </c>
      <c r="F257" s="234">
        <v>1</v>
      </c>
      <c r="G257" s="234">
        <v>1</v>
      </c>
      <c r="H257" s="234">
        <v>1</v>
      </c>
      <c r="I257" s="234" t="s">
        <v>954</v>
      </c>
      <c r="J257" s="234">
        <v>1999</v>
      </c>
      <c r="K257" s="234" t="s">
        <v>1001</v>
      </c>
      <c r="L257" s="234">
        <v>1999</v>
      </c>
      <c r="M257" s="389">
        <v>-9999</v>
      </c>
      <c r="N257" s="389">
        <v>-9999</v>
      </c>
      <c r="O257" s="29"/>
      <c r="P257" s="389">
        <v>3.72</v>
      </c>
      <c r="Q257" s="491">
        <v>-9999</v>
      </c>
      <c r="R257" s="389"/>
      <c r="S257" s="491"/>
      <c r="T257" s="237">
        <f>+P257/G257</f>
        <v>3.72</v>
      </c>
      <c r="U257" s="491">
        <v>-9999</v>
      </c>
      <c r="V257" s="491"/>
      <c r="W257" s="389">
        <f>+P257</f>
        <v>3.72</v>
      </c>
      <c r="X257" s="491">
        <v>-9999</v>
      </c>
      <c r="Y257" s="491"/>
      <c r="Z257" s="234" t="s">
        <v>681</v>
      </c>
      <c r="AA257" s="495">
        <v>18146</v>
      </c>
      <c r="AB257" s="389">
        <v>-9999</v>
      </c>
      <c r="AC257" s="234">
        <v>1</v>
      </c>
      <c r="AD257" s="234">
        <v>124.8</v>
      </c>
      <c r="AE257" s="390" t="s">
        <v>1952</v>
      </c>
      <c r="AF257" s="234">
        <v>4</v>
      </c>
      <c r="AG257" s="234">
        <v>-9999</v>
      </c>
      <c r="AH257" s="234" t="s">
        <v>623</v>
      </c>
      <c r="AI257" s="234">
        <v>-9999</v>
      </c>
      <c r="AJ257" s="234">
        <v>-9999</v>
      </c>
      <c r="AK257" s="234" t="s">
        <v>625</v>
      </c>
      <c r="AL257" s="234" t="s">
        <v>682</v>
      </c>
      <c r="AM257" s="234">
        <v>-9999</v>
      </c>
      <c r="AN257" s="234" t="s">
        <v>631</v>
      </c>
      <c r="AO257" s="234">
        <v>-9999</v>
      </c>
      <c r="AP257" s="234">
        <v>-9999</v>
      </c>
      <c r="AQ257" s="234" t="s">
        <v>631</v>
      </c>
      <c r="AR257" s="234">
        <v>0</v>
      </c>
      <c r="AS257" s="234">
        <v>-9999</v>
      </c>
      <c r="AT257" s="234">
        <v>-9999</v>
      </c>
      <c r="AU257" s="234">
        <v>0</v>
      </c>
      <c r="AV257" s="234">
        <v>-9999</v>
      </c>
      <c r="AW257" s="234">
        <v>-9999</v>
      </c>
      <c r="AX257" s="234">
        <v>0</v>
      </c>
      <c r="AY257" s="234">
        <v>-9999</v>
      </c>
      <c r="AZ257" s="234">
        <v>-9999</v>
      </c>
      <c r="BA257" s="234">
        <v>-9999</v>
      </c>
      <c r="BB257" s="234" t="s">
        <v>626</v>
      </c>
      <c r="BC257" s="234" t="s">
        <v>683</v>
      </c>
      <c r="BD257" s="234" t="s">
        <v>684</v>
      </c>
      <c r="BE257" s="234"/>
      <c r="BF257" s="234" t="s">
        <v>504</v>
      </c>
      <c r="BG257" s="234" t="s">
        <v>506</v>
      </c>
      <c r="BH257" s="234" t="s">
        <v>505</v>
      </c>
      <c r="BI257" s="234"/>
      <c r="BJ257" s="234">
        <v>-9999</v>
      </c>
      <c r="BK257" s="234">
        <v>-9999</v>
      </c>
      <c r="BL257" s="234">
        <v>0.78</v>
      </c>
      <c r="BM257" s="234">
        <v>-9999</v>
      </c>
      <c r="BN257" s="234">
        <v>-9999</v>
      </c>
      <c r="BO257" s="234">
        <v>-9999</v>
      </c>
      <c r="BP257" s="234">
        <v>-9999</v>
      </c>
      <c r="BQ257" s="234">
        <v>-9999</v>
      </c>
      <c r="BR257" s="234">
        <v>6.53</v>
      </c>
      <c r="BS257" s="491">
        <v>-9999</v>
      </c>
      <c r="BT257" s="491">
        <v>-9999</v>
      </c>
      <c r="BU257" s="491">
        <v>-9999</v>
      </c>
      <c r="BV257" s="491">
        <v>-9999</v>
      </c>
      <c r="BW257" s="491"/>
      <c r="BX257" s="491">
        <v>-9999</v>
      </c>
      <c r="BY257" s="491">
        <v>-9999</v>
      </c>
      <c r="BZ257" s="497">
        <v>-9999</v>
      </c>
      <c r="CA257" s="496">
        <v>-9999</v>
      </c>
      <c r="CB257" s="499"/>
      <c r="CC257" s="57">
        <v>1</v>
      </c>
      <c r="CD257" s="57">
        <v>1</v>
      </c>
      <c r="CE257" s="292">
        <v>3.72</v>
      </c>
      <c r="CF257" s="292">
        <v>3.72</v>
      </c>
      <c r="CG257" s="57">
        <v>1</v>
      </c>
    </row>
    <row r="258" spans="1:86" s="23" customFormat="1" x14ac:dyDescent="0.2">
      <c r="A258" s="234" t="s">
        <v>685</v>
      </c>
      <c r="B258" s="234" t="s">
        <v>680</v>
      </c>
      <c r="C258" s="234" t="s">
        <v>499</v>
      </c>
      <c r="D258" s="234" t="s">
        <v>633</v>
      </c>
      <c r="E258" s="493" t="s">
        <v>1520</v>
      </c>
      <c r="F258" s="234">
        <v>1</v>
      </c>
      <c r="G258" s="234">
        <v>2</v>
      </c>
      <c r="H258" s="234">
        <v>2</v>
      </c>
      <c r="I258" s="234" t="s">
        <v>954</v>
      </c>
      <c r="J258" s="234">
        <v>1999</v>
      </c>
      <c r="K258" s="234" t="s">
        <v>1001</v>
      </c>
      <c r="L258" s="234">
        <v>2000</v>
      </c>
      <c r="M258" s="389">
        <v>-9999</v>
      </c>
      <c r="N258" s="389">
        <v>-9999</v>
      </c>
      <c r="O258" s="29"/>
      <c r="P258" s="389">
        <v>7.44</v>
      </c>
      <c r="Q258" s="491">
        <v>-9999</v>
      </c>
      <c r="R258" s="389"/>
      <c r="S258" s="491"/>
      <c r="T258" s="237">
        <f>+P258/G258</f>
        <v>3.72</v>
      </c>
      <c r="U258" s="491">
        <v>-9999</v>
      </c>
      <c r="V258" s="491"/>
      <c r="W258" s="237">
        <f>+P258-P257</f>
        <v>3.72</v>
      </c>
      <c r="X258" s="491">
        <v>-9999</v>
      </c>
      <c r="Y258" s="491"/>
      <c r="Z258" s="234" t="s">
        <v>681</v>
      </c>
      <c r="AA258" s="495">
        <v>18146</v>
      </c>
      <c r="AB258" s="389">
        <v>-9999</v>
      </c>
      <c r="AC258" s="234">
        <v>1</v>
      </c>
      <c r="AD258" s="234">
        <v>124.8</v>
      </c>
      <c r="AE258" s="390" t="s">
        <v>1952</v>
      </c>
      <c r="AF258" s="234">
        <v>4</v>
      </c>
      <c r="AG258" s="234">
        <v>-9999</v>
      </c>
      <c r="AH258" s="234" t="s">
        <v>623</v>
      </c>
      <c r="AI258" s="234">
        <v>-9999</v>
      </c>
      <c r="AJ258" s="234">
        <v>-9999</v>
      </c>
      <c r="AK258" s="234" t="s">
        <v>625</v>
      </c>
      <c r="AL258" s="234" t="s">
        <v>682</v>
      </c>
      <c r="AM258" s="234">
        <v>-9999</v>
      </c>
      <c r="AN258" s="234" t="s">
        <v>631</v>
      </c>
      <c r="AO258" s="234">
        <v>-9999</v>
      </c>
      <c r="AP258" s="234">
        <v>-9999</v>
      </c>
      <c r="AQ258" s="234" t="s">
        <v>631</v>
      </c>
      <c r="AR258" s="234">
        <v>0</v>
      </c>
      <c r="AS258" s="234">
        <v>-9999</v>
      </c>
      <c r="AT258" s="234">
        <v>-9999</v>
      </c>
      <c r="AU258" s="234">
        <v>0</v>
      </c>
      <c r="AV258" s="234">
        <v>-9999</v>
      </c>
      <c r="AW258" s="234">
        <v>-9999</v>
      </c>
      <c r="AX258" s="234">
        <v>0</v>
      </c>
      <c r="AY258" s="234">
        <v>-9999</v>
      </c>
      <c r="AZ258" s="234">
        <v>-9999</v>
      </c>
      <c r="BA258" s="234">
        <v>-9999</v>
      </c>
      <c r="BB258" s="234" t="s">
        <v>626</v>
      </c>
      <c r="BC258" s="234" t="s">
        <v>683</v>
      </c>
      <c r="BD258" s="234" t="s">
        <v>684</v>
      </c>
      <c r="BE258" s="234"/>
      <c r="BF258" s="234" t="s">
        <v>504</v>
      </c>
      <c r="BG258" s="234" t="s">
        <v>506</v>
      </c>
      <c r="BH258" s="234" t="s">
        <v>505</v>
      </c>
      <c r="BI258" s="234"/>
      <c r="BJ258" s="234">
        <v>-9999</v>
      </c>
      <c r="BK258" s="234">
        <v>-9999</v>
      </c>
      <c r="BL258" s="234">
        <v>1.99</v>
      </c>
      <c r="BM258" s="234">
        <v>-9999</v>
      </c>
      <c r="BN258" s="234">
        <v>-9999</v>
      </c>
      <c r="BO258" s="234">
        <v>-9999</v>
      </c>
      <c r="BP258" s="234">
        <v>-9999</v>
      </c>
      <c r="BQ258" s="234">
        <v>-9999</v>
      </c>
      <c r="BR258" s="234">
        <v>15.83</v>
      </c>
      <c r="BS258" s="491">
        <v>-9999</v>
      </c>
      <c r="BT258" s="491">
        <v>-9999</v>
      </c>
      <c r="BU258" s="491">
        <v>-9999</v>
      </c>
      <c r="BV258" s="491">
        <v>-9999</v>
      </c>
      <c r="BW258" s="491"/>
      <c r="BX258" s="491">
        <v>-9999</v>
      </c>
      <c r="BY258" s="491">
        <v>-9999</v>
      </c>
      <c r="BZ258" s="497">
        <v>-9999</v>
      </c>
      <c r="CA258" s="496">
        <v>-9999</v>
      </c>
      <c r="CB258" s="499"/>
      <c r="CC258" s="57">
        <v>1</v>
      </c>
      <c r="CD258" s="57">
        <v>2</v>
      </c>
      <c r="CE258" s="292">
        <v>3.72</v>
      </c>
      <c r="CF258" s="292">
        <v>3.72</v>
      </c>
      <c r="CG258" s="57">
        <v>2</v>
      </c>
    </row>
    <row r="259" spans="1:86" s="23" customFormat="1" x14ac:dyDescent="0.2">
      <c r="A259" s="234" t="s">
        <v>685</v>
      </c>
      <c r="B259" s="234" t="s">
        <v>680</v>
      </c>
      <c r="C259" s="234" t="s">
        <v>499</v>
      </c>
      <c r="D259" s="234" t="s">
        <v>633</v>
      </c>
      <c r="E259" s="493" t="s">
        <v>1520</v>
      </c>
      <c r="F259" s="234">
        <v>1</v>
      </c>
      <c r="G259" s="234">
        <v>3</v>
      </c>
      <c r="H259" s="234">
        <v>3</v>
      </c>
      <c r="I259" s="234" t="s">
        <v>954</v>
      </c>
      <c r="J259" s="234">
        <v>1999</v>
      </c>
      <c r="K259" s="234" t="s">
        <v>1001</v>
      </c>
      <c r="L259" s="234">
        <v>2001</v>
      </c>
      <c r="M259" s="389">
        <v>-9999</v>
      </c>
      <c r="N259" s="389">
        <v>-9999</v>
      </c>
      <c r="O259" s="29"/>
      <c r="P259" s="389">
        <v>20.69</v>
      </c>
      <c r="Q259" s="491">
        <v>-9999</v>
      </c>
      <c r="R259" s="389"/>
      <c r="S259" s="491"/>
      <c r="T259" s="237">
        <f>+P259/G259</f>
        <v>6.8966666666666674</v>
      </c>
      <c r="U259" s="491">
        <v>-9999</v>
      </c>
      <c r="V259" s="491"/>
      <c r="W259" s="237">
        <f>+P259-P258</f>
        <v>13.25</v>
      </c>
      <c r="X259" s="491">
        <v>-9999</v>
      </c>
      <c r="Y259" s="491"/>
      <c r="Z259" s="234" t="s">
        <v>681</v>
      </c>
      <c r="AA259" s="495">
        <v>18146</v>
      </c>
      <c r="AB259" s="389">
        <v>-9999</v>
      </c>
      <c r="AC259" s="234">
        <v>1</v>
      </c>
      <c r="AD259" s="234">
        <v>124.8</v>
      </c>
      <c r="AE259" s="390" t="s">
        <v>1952</v>
      </c>
      <c r="AF259" s="234">
        <v>4</v>
      </c>
      <c r="AG259" s="234">
        <v>-9999</v>
      </c>
      <c r="AH259" s="234" t="s">
        <v>623</v>
      </c>
      <c r="AI259" s="234">
        <v>-9999</v>
      </c>
      <c r="AJ259" s="234">
        <v>-9999</v>
      </c>
      <c r="AK259" s="234" t="s">
        <v>625</v>
      </c>
      <c r="AL259" s="234" t="s">
        <v>682</v>
      </c>
      <c r="AM259" s="234">
        <v>-9999</v>
      </c>
      <c r="AN259" s="234" t="s">
        <v>631</v>
      </c>
      <c r="AO259" s="234">
        <v>-9999</v>
      </c>
      <c r="AP259" s="234">
        <v>-9999</v>
      </c>
      <c r="AQ259" s="234" t="s">
        <v>631</v>
      </c>
      <c r="AR259" s="234">
        <v>0</v>
      </c>
      <c r="AS259" s="234">
        <v>-9999</v>
      </c>
      <c r="AT259" s="234">
        <v>-9999</v>
      </c>
      <c r="AU259" s="234">
        <v>0</v>
      </c>
      <c r="AV259" s="234">
        <v>-9999</v>
      </c>
      <c r="AW259" s="234">
        <v>-9999</v>
      </c>
      <c r="AX259" s="234">
        <v>0</v>
      </c>
      <c r="AY259" s="234">
        <v>-9999</v>
      </c>
      <c r="AZ259" s="234">
        <v>-9999</v>
      </c>
      <c r="BA259" s="234">
        <v>-9999</v>
      </c>
      <c r="BB259" s="234" t="s">
        <v>626</v>
      </c>
      <c r="BC259" s="234" t="s">
        <v>683</v>
      </c>
      <c r="BD259" s="234" t="s">
        <v>684</v>
      </c>
      <c r="BE259" s="234"/>
      <c r="BF259" s="234" t="s">
        <v>504</v>
      </c>
      <c r="BG259" s="234" t="s">
        <v>506</v>
      </c>
      <c r="BH259" s="234" t="s">
        <v>505</v>
      </c>
      <c r="BI259" s="234"/>
      <c r="BJ259" s="234">
        <v>-9999</v>
      </c>
      <c r="BK259" s="234">
        <v>-9999</v>
      </c>
      <c r="BL259" s="234">
        <v>3.06</v>
      </c>
      <c r="BM259" s="234">
        <v>-9999</v>
      </c>
      <c r="BN259" s="234">
        <v>-9999</v>
      </c>
      <c r="BO259" s="234">
        <v>-9999</v>
      </c>
      <c r="BP259" s="234">
        <v>-9999</v>
      </c>
      <c r="BQ259" s="234">
        <v>-9999</v>
      </c>
      <c r="BR259" s="234">
        <v>28.37</v>
      </c>
      <c r="BS259" s="491">
        <v>-9999</v>
      </c>
      <c r="BT259" s="491">
        <v>-9999</v>
      </c>
      <c r="BU259" s="491">
        <v>-9999</v>
      </c>
      <c r="BV259" s="491">
        <v>-9999</v>
      </c>
      <c r="BW259" s="491"/>
      <c r="BX259" s="491">
        <v>-9999</v>
      </c>
      <c r="BY259" s="491">
        <v>-9999</v>
      </c>
      <c r="BZ259" s="497">
        <v>-9999</v>
      </c>
      <c r="CA259" s="496">
        <v>-9999</v>
      </c>
      <c r="CB259" s="499"/>
      <c r="CC259" s="57">
        <v>1</v>
      </c>
      <c r="CD259" s="57">
        <v>3</v>
      </c>
      <c r="CE259" s="292">
        <v>6.8966666666666674</v>
      </c>
      <c r="CF259" s="292">
        <v>13.25</v>
      </c>
      <c r="CG259" s="57">
        <v>3</v>
      </c>
    </row>
    <row r="260" spans="1:86" s="23" customFormat="1" x14ac:dyDescent="0.2">
      <c r="A260" s="234" t="s">
        <v>685</v>
      </c>
      <c r="B260" s="234" t="s">
        <v>680</v>
      </c>
      <c r="C260" s="234" t="s">
        <v>499</v>
      </c>
      <c r="D260" s="234" t="s">
        <v>633</v>
      </c>
      <c r="E260" s="493" t="s">
        <v>1520</v>
      </c>
      <c r="F260" s="234">
        <v>1</v>
      </c>
      <c r="G260" s="234">
        <v>4</v>
      </c>
      <c r="H260" s="234">
        <v>4</v>
      </c>
      <c r="I260" s="234" t="s">
        <v>954</v>
      </c>
      <c r="J260" s="234">
        <v>1999</v>
      </c>
      <c r="K260" s="234" t="s">
        <v>1001</v>
      </c>
      <c r="L260" s="234">
        <v>2002</v>
      </c>
      <c r="M260" s="389">
        <v>-9999</v>
      </c>
      <c r="N260" s="389">
        <v>-9999</v>
      </c>
      <c r="O260" s="29"/>
      <c r="P260" s="389">
        <v>24.8</v>
      </c>
      <c r="Q260" s="491">
        <v>-9999</v>
      </c>
      <c r="R260" s="389"/>
      <c r="S260" s="491"/>
      <c r="T260" s="389">
        <f>+P260/G260</f>
        <v>6.2</v>
      </c>
      <c r="U260" s="491">
        <v>-9999</v>
      </c>
      <c r="V260" s="491"/>
      <c r="W260" s="237">
        <f>+P260-P259</f>
        <v>4.1099999999999994</v>
      </c>
      <c r="X260" s="491">
        <v>-9999</v>
      </c>
      <c r="Y260" s="491"/>
      <c r="Z260" s="234" t="s">
        <v>681</v>
      </c>
      <c r="AA260" s="495">
        <v>18146</v>
      </c>
      <c r="AB260" s="389">
        <v>-9999</v>
      </c>
      <c r="AC260" s="234">
        <v>1</v>
      </c>
      <c r="AD260" s="234">
        <v>124.8</v>
      </c>
      <c r="AE260" s="390" t="s">
        <v>1952</v>
      </c>
      <c r="AF260" s="234">
        <v>4</v>
      </c>
      <c r="AG260" s="234">
        <v>-9999</v>
      </c>
      <c r="AH260" s="234" t="s">
        <v>623</v>
      </c>
      <c r="AI260" s="234">
        <v>-9999</v>
      </c>
      <c r="AJ260" s="234">
        <v>-9999</v>
      </c>
      <c r="AK260" s="234" t="s">
        <v>625</v>
      </c>
      <c r="AL260" s="234" t="s">
        <v>682</v>
      </c>
      <c r="AM260" s="234">
        <v>-9999</v>
      </c>
      <c r="AN260" s="234" t="s">
        <v>631</v>
      </c>
      <c r="AO260" s="234">
        <v>-9999</v>
      </c>
      <c r="AP260" s="234">
        <v>-9999</v>
      </c>
      <c r="AQ260" s="234" t="s">
        <v>631</v>
      </c>
      <c r="AR260" s="234">
        <v>0</v>
      </c>
      <c r="AS260" s="234">
        <v>-9999</v>
      </c>
      <c r="AT260" s="234">
        <v>-9999</v>
      </c>
      <c r="AU260" s="234">
        <v>0</v>
      </c>
      <c r="AV260" s="234">
        <v>-9999</v>
      </c>
      <c r="AW260" s="234">
        <v>-9999</v>
      </c>
      <c r="AX260" s="234">
        <v>0</v>
      </c>
      <c r="AY260" s="234">
        <v>-9999</v>
      </c>
      <c r="AZ260" s="234">
        <v>-9999</v>
      </c>
      <c r="BA260" s="234">
        <v>-9999</v>
      </c>
      <c r="BB260" s="234" t="s">
        <v>626</v>
      </c>
      <c r="BC260" s="234" t="s">
        <v>683</v>
      </c>
      <c r="BD260" s="234" t="s">
        <v>684</v>
      </c>
      <c r="BE260" s="234"/>
      <c r="BF260" s="234" t="s">
        <v>504</v>
      </c>
      <c r="BG260" s="234" t="s">
        <v>506</v>
      </c>
      <c r="BH260" s="234" t="s">
        <v>505</v>
      </c>
      <c r="BI260" s="234"/>
      <c r="BJ260" s="234">
        <v>-9999</v>
      </c>
      <c r="BK260" s="234">
        <v>-9999</v>
      </c>
      <c r="BL260" s="234">
        <v>3.41</v>
      </c>
      <c r="BM260" s="234">
        <v>-9999</v>
      </c>
      <c r="BN260" s="234">
        <v>-9999</v>
      </c>
      <c r="BO260" s="234">
        <v>-9999</v>
      </c>
      <c r="BP260" s="234">
        <v>-9999</v>
      </c>
      <c r="BQ260" s="234">
        <v>-9999</v>
      </c>
      <c r="BR260" s="234">
        <v>30.71</v>
      </c>
      <c r="BS260" s="491">
        <v>-9999</v>
      </c>
      <c r="BT260" s="491">
        <v>-9999</v>
      </c>
      <c r="BU260" s="491">
        <v>-9999</v>
      </c>
      <c r="BV260" s="491">
        <v>-9999</v>
      </c>
      <c r="BW260" s="491"/>
      <c r="BX260" s="491">
        <v>-9999</v>
      </c>
      <c r="BY260" s="491">
        <v>-9999</v>
      </c>
      <c r="BZ260" s="497">
        <v>-9999</v>
      </c>
      <c r="CA260" s="496">
        <v>-9999</v>
      </c>
      <c r="CB260" s="499"/>
      <c r="CC260" s="57">
        <v>1</v>
      </c>
      <c r="CD260" s="57">
        <v>4</v>
      </c>
      <c r="CE260" s="394">
        <v>6.2</v>
      </c>
      <c r="CF260" s="292">
        <v>4.1099999999999994</v>
      </c>
      <c r="CG260" s="57">
        <v>4</v>
      </c>
      <c r="CH260" s="477"/>
    </row>
    <row r="261" spans="1:86" s="23" customFormat="1" x14ac:dyDescent="0.2">
      <c r="A261" s="234"/>
      <c r="B261" s="234"/>
      <c r="C261" s="234"/>
      <c r="D261" s="234"/>
      <c r="E261" s="493"/>
      <c r="F261" s="234"/>
      <c r="G261" s="234"/>
      <c r="H261" s="234"/>
      <c r="I261" s="234"/>
      <c r="J261" s="234"/>
      <c r="K261" s="234"/>
      <c r="L261" s="234"/>
      <c r="M261" s="389"/>
      <c r="N261" s="389"/>
      <c r="O261" s="29"/>
      <c r="P261" s="389"/>
      <c r="Q261" s="491"/>
      <c r="R261" s="389"/>
      <c r="S261" s="491"/>
      <c r="T261" s="389"/>
      <c r="U261" s="491"/>
      <c r="V261" s="491"/>
      <c r="W261" s="237"/>
      <c r="X261" s="491"/>
      <c r="Y261" s="491"/>
      <c r="Z261" s="234"/>
      <c r="AA261" s="495"/>
      <c r="AB261" s="389"/>
      <c r="AC261" s="234"/>
      <c r="AD261" s="234"/>
      <c r="AE261" s="234"/>
      <c r="AF261" s="234"/>
      <c r="AG261" s="234"/>
      <c r="AH261" s="234"/>
      <c r="AI261" s="234"/>
      <c r="AJ261" s="234"/>
      <c r="AK261" s="234"/>
      <c r="AL261" s="234"/>
      <c r="AM261" s="234"/>
      <c r="AN261" s="234"/>
      <c r="AO261" s="234"/>
      <c r="AP261" s="234"/>
      <c r="AQ261" s="234"/>
      <c r="AR261" s="234"/>
      <c r="AS261" s="234"/>
      <c r="AT261" s="234"/>
      <c r="AU261" s="234"/>
      <c r="AV261" s="234"/>
      <c r="AW261" s="234"/>
      <c r="AX261" s="234"/>
      <c r="AY261" s="234"/>
      <c r="AZ261" s="234"/>
      <c r="BA261" s="234"/>
      <c r="BB261" s="234"/>
      <c r="BC261" s="234"/>
      <c r="BD261" s="234"/>
      <c r="BE261" s="234"/>
      <c r="BF261" s="234"/>
      <c r="BG261" s="234"/>
      <c r="BH261" s="234"/>
      <c r="BI261" s="234"/>
      <c r="BJ261" s="234"/>
      <c r="BK261" s="234"/>
      <c r="BL261" s="234"/>
      <c r="BM261" s="234"/>
      <c r="BN261" s="234"/>
      <c r="BO261" s="234"/>
      <c r="BP261" s="234"/>
      <c r="BQ261" s="234"/>
      <c r="BR261" s="234"/>
      <c r="BS261" s="491"/>
      <c r="BT261" s="491"/>
      <c r="BU261" s="491"/>
      <c r="BV261" s="491"/>
      <c r="BW261" s="491"/>
      <c r="BX261" s="491"/>
      <c r="BY261" s="491"/>
      <c r="BZ261" s="497"/>
      <c r="CA261" s="496"/>
      <c r="CB261" s="499"/>
      <c r="CC261" s="57"/>
      <c r="CD261" s="57"/>
      <c r="CE261" s="342" t="s">
        <v>1576</v>
      </c>
      <c r="CF261" s="342" t="s">
        <v>1575</v>
      </c>
      <c r="CG261" s="57"/>
    </row>
    <row r="262" spans="1:86" s="23" customFormat="1" x14ac:dyDescent="0.2">
      <c r="A262" s="234" t="s">
        <v>685</v>
      </c>
      <c r="B262" s="234" t="s">
        <v>680</v>
      </c>
      <c r="C262" s="234" t="s">
        <v>494</v>
      </c>
      <c r="D262" s="234" t="s">
        <v>633</v>
      </c>
      <c r="E262" s="493" t="s">
        <v>721</v>
      </c>
      <c r="F262" s="234">
        <v>1</v>
      </c>
      <c r="G262" s="234">
        <v>1</v>
      </c>
      <c r="H262" s="234">
        <v>1</v>
      </c>
      <c r="I262" s="234" t="s">
        <v>954</v>
      </c>
      <c r="J262" s="234">
        <v>1999</v>
      </c>
      <c r="K262" s="234" t="s">
        <v>1001</v>
      </c>
      <c r="L262" s="234">
        <v>1999</v>
      </c>
      <c r="M262" s="389">
        <v>-9999</v>
      </c>
      <c r="N262" s="389">
        <v>-9999</v>
      </c>
      <c r="O262" s="29"/>
      <c r="P262" s="389">
        <v>3.97</v>
      </c>
      <c r="Q262" s="491">
        <v>-9999</v>
      </c>
      <c r="R262" s="389"/>
      <c r="S262" s="491"/>
      <c r="T262" s="237">
        <f>+P262/G262</f>
        <v>3.97</v>
      </c>
      <c r="U262" s="491">
        <v>-9999</v>
      </c>
      <c r="V262" s="491"/>
      <c r="W262" s="389">
        <f>+P262</f>
        <v>3.97</v>
      </c>
      <c r="X262" s="491">
        <v>-9999</v>
      </c>
      <c r="Y262" s="491"/>
      <c r="Z262" s="234" t="s">
        <v>681</v>
      </c>
      <c r="AA262" s="495">
        <v>18146</v>
      </c>
      <c r="AB262" s="389">
        <v>-9999</v>
      </c>
      <c r="AC262" s="234">
        <v>1</v>
      </c>
      <c r="AD262" s="234">
        <v>124.8</v>
      </c>
      <c r="AE262" s="390" t="s">
        <v>1952</v>
      </c>
      <c r="AF262" s="234">
        <v>4</v>
      </c>
      <c r="AG262" s="234">
        <v>-9999</v>
      </c>
      <c r="AH262" s="234" t="s">
        <v>623</v>
      </c>
      <c r="AI262" s="234">
        <v>-9999</v>
      </c>
      <c r="AJ262" s="234">
        <v>-9999</v>
      </c>
      <c r="AK262" s="234" t="s">
        <v>625</v>
      </c>
      <c r="AL262" s="234" t="s">
        <v>682</v>
      </c>
      <c r="AM262" s="234">
        <v>-9999</v>
      </c>
      <c r="AN262" s="234" t="s">
        <v>631</v>
      </c>
      <c r="AO262" s="234">
        <v>-9999</v>
      </c>
      <c r="AP262" s="234">
        <v>-9999</v>
      </c>
      <c r="AQ262" s="234" t="s">
        <v>631</v>
      </c>
      <c r="AR262" s="234">
        <v>0</v>
      </c>
      <c r="AS262" s="234">
        <v>-9999</v>
      </c>
      <c r="AT262" s="234">
        <v>-9999</v>
      </c>
      <c r="AU262" s="234">
        <v>0</v>
      </c>
      <c r="AV262" s="234">
        <v>-9999</v>
      </c>
      <c r="AW262" s="234">
        <v>-9999</v>
      </c>
      <c r="AX262" s="234">
        <v>0</v>
      </c>
      <c r="AY262" s="234">
        <v>-9999</v>
      </c>
      <c r="AZ262" s="234">
        <v>-9999</v>
      </c>
      <c r="BA262" s="234">
        <v>-9999</v>
      </c>
      <c r="BB262" s="234" t="s">
        <v>626</v>
      </c>
      <c r="BC262" s="234" t="s">
        <v>683</v>
      </c>
      <c r="BD262" s="234" t="s">
        <v>684</v>
      </c>
      <c r="BE262" s="234"/>
      <c r="BF262" s="234" t="s">
        <v>504</v>
      </c>
      <c r="BG262" s="234" t="s">
        <v>506</v>
      </c>
      <c r="BH262" s="234" t="s">
        <v>505</v>
      </c>
      <c r="BI262" s="234"/>
      <c r="BJ262" s="234">
        <v>-9999</v>
      </c>
      <c r="BK262" s="234">
        <v>-9999</v>
      </c>
      <c r="BL262" s="234">
        <v>0.75</v>
      </c>
      <c r="BM262" s="234">
        <v>-9999</v>
      </c>
      <c r="BN262" s="234">
        <v>-9999</v>
      </c>
      <c r="BO262" s="234">
        <v>-9999</v>
      </c>
      <c r="BP262" s="234">
        <v>-9999</v>
      </c>
      <c r="BQ262" s="234">
        <v>-9999</v>
      </c>
      <c r="BR262" s="234">
        <v>8.07</v>
      </c>
      <c r="BS262" s="491">
        <v>-9999</v>
      </c>
      <c r="BT262" s="491">
        <v>-9999</v>
      </c>
      <c r="BU262" s="491">
        <v>-9999</v>
      </c>
      <c r="BV262" s="491">
        <v>-9999</v>
      </c>
      <c r="BW262" s="491"/>
      <c r="BX262" s="491">
        <v>-9999</v>
      </c>
      <c r="BY262" s="491">
        <v>-9999</v>
      </c>
      <c r="BZ262" s="497">
        <v>-9999</v>
      </c>
      <c r="CA262" s="496">
        <v>-9999</v>
      </c>
      <c r="CB262" s="499"/>
      <c r="CC262" s="57">
        <v>1</v>
      </c>
      <c r="CD262" s="57">
        <v>1</v>
      </c>
      <c r="CE262" s="292">
        <v>3.97</v>
      </c>
      <c r="CF262" s="292">
        <v>3.97</v>
      </c>
      <c r="CG262" s="57">
        <v>1</v>
      </c>
    </row>
    <row r="263" spans="1:86" s="23" customFormat="1" x14ac:dyDescent="0.2">
      <c r="A263" s="234" t="s">
        <v>685</v>
      </c>
      <c r="B263" s="234" t="s">
        <v>680</v>
      </c>
      <c r="C263" s="234" t="s">
        <v>494</v>
      </c>
      <c r="D263" s="234" t="s">
        <v>633</v>
      </c>
      <c r="E263" s="493" t="s">
        <v>721</v>
      </c>
      <c r="F263" s="234">
        <v>1</v>
      </c>
      <c r="G263" s="234">
        <v>2</v>
      </c>
      <c r="H263" s="234">
        <v>2</v>
      </c>
      <c r="I263" s="234" t="s">
        <v>954</v>
      </c>
      <c r="J263" s="234">
        <v>1999</v>
      </c>
      <c r="K263" s="234" t="s">
        <v>1001</v>
      </c>
      <c r="L263" s="234">
        <v>2000</v>
      </c>
      <c r="M263" s="389">
        <v>-9999</v>
      </c>
      <c r="N263" s="389">
        <v>-9999</v>
      </c>
      <c r="O263" s="29"/>
      <c r="P263" s="389">
        <v>7.68</v>
      </c>
      <c r="Q263" s="491">
        <v>-9999</v>
      </c>
      <c r="R263" s="389"/>
      <c r="S263" s="491"/>
      <c r="T263" s="237">
        <f>+P263/G263</f>
        <v>3.84</v>
      </c>
      <c r="U263" s="491">
        <v>-9999</v>
      </c>
      <c r="V263" s="491"/>
      <c r="W263" s="237">
        <f>+P263-P262</f>
        <v>3.7099999999999995</v>
      </c>
      <c r="X263" s="491">
        <v>-9999</v>
      </c>
      <c r="Y263" s="491"/>
      <c r="Z263" s="234" t="s">
        <v>681</v>
      </c>
      <c r="AA263" s="495">
        <v>18146</v>
      </c>
      <c r="AB263" s="389">
        <v>-9999</v>
      </c>
      <c r="AC263" s="234">
        <v>1</v>
      </c>
      <c r="AD263" s="234">
        <v>124.8</v>
      </c>
      <c r="AE263" s="390" t="s">
        <v>1952</v>
      </c>
      <c r="AF263" s="234">
        <v>4</v>
      </c>
      <c r="AG263" s="234">
        <v>-9999</v>
      </c>
      <c r="AH263" s="234" t="s">
        <v>623</v>
      </c>
      <c r="AI263" s="234">
        <v>-9999</v>
      </c>
      <c r="AJ263" s="234">
        <v>-9999</v>
      </c>
      <c r="AK263" s="234" t="s">
        <v>625</v>
      </c>
      <c r="AL263" s="234" t="s">
        <v>682</v>
      </c>
      <c r="AM263" s="234">
        <v>-9999</v>
      </c>
      <c r="AN263" s="234" t="s">
        <v>631</v>
      </c>
      <c r="AO263" s="234">
        <v>-9999</v>
      </c>
      <c r="AP263" s="234">
        <v>-9999</v>
      </c>
      <c r="AQ263" s="234" t="s">
        <v>631</v>
      </c>
      <c r="AR263" s="234">
        <v>0</v>
      </c>
      <c r="AS263" s="234">
        <v>-9999</v>
      </c>
      <c r="AT263" s="234">
        <v>-9999</v>
      </c>
      <c r="AU263" s="234">
        <v>0</v>
      </c>
      <c r="AV263" s="234">
        <v>-9999</v>
      </c>
      <c r="AW263" s="234">
        <v>-9999</v>
      </c>
      <c r="AX263" s="234">
        <v>0</v>
      </c>
      <c r="AY263" s="234">
        <v>-9999</v>
      </c>
      <c r="AZ263" s="234">
        <v>-9999</v>
      </c>
      <c r="BA263" s="234">
        <v>-9999</v>
      </c>
      <c r="BB263" s="234" t="s">
        <v>626</v>
      </c>
      <c r="BC263" s="234" t="s">
        <v>683</v>
      </c>
      <c r="BD263" s="234" t="s">
        <v>684</v>
      </c>
      <c r="BE263" s="234"/>
      <c r="BF263" s="234" t="s">
        <v>504</v>
      </c>
      <c r="BG263" s="234" t="s">
        <v>506</v>
      </c>
      <c r="BH263" s="234" t="s">
        <v>505</v>
      </c>
      <c r="BI263" s="234"/>
      <c r="BJ263" s="234">
        <v>-9999</v>
      </c>
      <c r="BK263" s="234">
        <v>-9999</v>
      </c>
      <c r="BL263" s="234">
        <v>1.67</v>
      </c>
      <c r="BM263" s="234">
        <v>-9999</v>
      </c>
      <c r="BN263" s="234">
        <v>-9999</v>
      </c>
      <c r="BO263" s="234">
        <v>-9999</v>
      </c>
      <c r="BP263" s="234">
        <v>-9999</v>
      </c>
      <c r="BQ263" s="234">
        <v>-9999</v>
      </c>
      <c r="BR263" s="234">
        <v>16.91</v>
      </c>
      <c r="BS263" s="491">
        <v>-9999</v>
      </c>
      <c r="BT263" s="491">
        <v>-9999</v>
      </c>
      <c r="BU263" s="491">
        <v>-9999</v>
      </c>
      <c r="BV263" s="491">
        <v>-9999</v>
      </c>
      <c r="BW263" s="491"/>
      <c r="BX263" s="491">
        <v>-9999</v>
      </c>
      <c r="BY263" s="491">
        <v>-9999</v>
      </c>
      <c r="BZ263" s="497">
        <v>-9999</v>
      </c>
      <c r="CA263" s="496">
        <v>-9999</v>
      </c>
      <c r="CB263" s="499"/>
      <c r="CC263" s="57">
        <v>1</v>
      </c>
      <c r="CD263" s="57">
        <v>2</v>
      </c>
      <c r="CE263" s="292">
        <v>3.84</v>
      </c>
      <c r="CF263" s="292">
        <v>3.7099999999999995</v>
      </c>
      <c r="CG263" s="57">
        <v>2</v>
      </c>
    </row>
    <row r="264" spans="1:86" s="23" customFormat="1" x14ac:dyDescent="0.2">
      <c r="A264" s="234" t="s">
        <v>685</v>
      </c>
      <c r="B264" s="234" t="s">
        <v>680</v>
      </c>
      <c r="C264" s="234" t="s">
        <v>494</v>
      </c>
      <c r="D264" s="234" t="s">
        <v>633</v>
      </c>
      <c r="E264" s="493" t="s">
        <v>721</v>
      </c>
      <c r="F264" s="234">
        <v>1</v>
      </c>
      <c r="G264" s="234">
        <v>3</v>
      </c>
      <c r="H264" s="234">
        <v>3</v>
      </c>
      <c r="I264" s="234" t="s">
        <v>954</v>
      </c>
      <c r="J264" s="234">
        <v>1999</v>
      </c>
      <c r="K264" s="234" t="s">
        <v>1001</v>
      </c>
      <c r="L264" s="234">
        <v>2001</v>
      </c>
      <c r="M264" s="389">
        <v>-9999</v>
      </c>
      <c r="N264" s="389">
        <v>-9999</v>
      </c>
      <c r="O264" s="29"/>
      <c r="P264" s="389">
        <v>22.4</v>
      </c>
      <c r="Q264" s="491">
        <v>-9999</v>
      </c>
      <c r="R264" s="389"/>
      <c r="S264" s="491"/>
      <c r="T264" s="237">
        <f>+P264/G264</f>
        <v>7.4666666666666659</v>
      </c>
      <c r="U264" s="491">
        <v>-9999</v>
      </c>
      <c r="V264" s="491"/>
      <c r="W264" s="237">
        <f>+P264-P263</f>
        <v>14.719999999999999</v>
      </c>
      <c r="X264" s="491">
        <v>-9999</v>
      </c>
      <c r="Y264" s="491"/>
      <c r="Z264" s="234" t="s">
        <v>681</v>
      </c>
      <c r="AA264" s="495">
        <v>18146</v>
      </c>
      <c r="AB264" s="389">
        <v>-9999</v>
      </c>
      <c r="AC264" s="234">
        <v>1</v>
      </c>
      <c r="AD264" s="234">
        <v>124.8</v>
      </c>
      <c r="AE264" s="390" t="s">
        <v>1952</v>
      </c>
      <c r="AF264" s="234">
        <v>4</v>
      </c>
      <c r="AG264" s="234">
        <v>-9999</v>
      </c>
      <c r="AH264" s="234" t="s">
        <v>623</v>
      </c>
      <c r="AI264" s="234">
        <v>-9999</v>
      </c>
      <c r="AJ264" s="234">
        <v>-9999</v>
      </c>
      <c r="AK264" s="234" t="s">
        <v>625</v>
      </c>
      <c r="AL264" s="234" t="s">
        <v>682</v>
      </c>
      <c r="AM264" s="234">
        <v>-9999</v>
      </c>
      <c r="AN264" s="234" t="s">
        <v>631</v>
      </c>
      <c r="AO264" s="234">
        <v>-9999</v>
      </c>
      <c r="AP264" s="234">
        <v>-9999</v>
      </c>
      <c r="AQ264" s="234" t="s">
        <v>631</v>
      </c>
      <c r="AR264" s="234">
        <v>0</v>
      </c>
      <c r="AS264" s="234">
        <v>-9999</v>
      </c>
      <c r="AT264" s="234">
        <v>-9999</v>
      </c>
      <c r="AU264" s="234">
        <v>0</v>
      </c>
      <c r="AV264" s="234">
        <v>-9999</v>
      </c>
      <c r="AW264" s="234">
        <v>-9999</v>
      </c>
      <c r="AX264" s="234">
        <v>0</v>
      </c>
      <c r="AY264" s="234">
        <v>-9999</v>
      </c>
      <c r="AZ264" s="234">
        <v>-9999</v>
      </c>
      <c r="BA264" s="234">
        <v>-9999</v>
      </c>
      <c r="BB264" s="234" t="s">
        <v>626</v>
      </c>
      <c r="BC264" s="234" t="s">
        <v>683</v>
      </c>
      <c r="BD264" s="234" t="s">
        <v>684</v>
      </c>
      <c r="BE264" s="234"/>
      <c r="BF264" s="234" t="s">
        <v>504</v>
      </c>
      <c r="BG264" s="234" t="s">
        <v>506</v>
      </c>
      <c r="BH264" s="234" t="s">
        <v>505</v>
      </c>
      <c r="BI264" s="234"/>
      <c r="BJ264" s="234">
        <v>-9999</v>
      </c>
      <c r="BK264" s="234">
        <v>-9999</v>
      </c>
      <c r="BL264" s="234">
        <v>2.93</v>
      </c>
      <c r="BM264" s="234">
        <v>-9999</v>
      </c>
      <c r="BN264" s="234">
        <v>-9999</v>
      </c>
      <c r="BO264" s="234">
        <v>-9999</v>
      </c>
      <c r="BP264" s="234">
        <v>-9999</v>
      </c>
      <c r="BQ264" s="234">
        <v>-9999</v>
      </c>
      <c r="BR264" s="234">
        <v>29.45</v>
      </c>
      <c r="BS264" s="491">
        <v>-9999</v>
      </c>
      <c r="BT264" s="491">
        <v>-9999</v>
      </c>
      <c r="BU264" s="491">
        <v>-9999</v>
      </c>
      <c r="BV264" s="491">
        <v>-9999</v>
      </c>
      <c r="BW264" s="491"/>
      <c r="BX264" s="491">
        <v>-9999</v>
      </c>
      <c r="BY264" s="491">
        <v>-9999</v>
      </c>
      <c r="BZ264" s="497">
        <v>-9999</v>
      </c>
      <c r="CA264" s="496">
        <v>-9999</v>
      </c>
      <c r="CB264" s="499"/>
      <c r="CC264" s="57">
        <v>1</v>
      </c>
      <c r="CD264" s="57">
        <v>3</v>
      </c>
      <c r="CE264" s="292">
        <v>7.4666666666666659</v>
      </c>
      <c r="CF264" s="292">
        <v>14.719999999999999</v>
      </c>
      <c r="CG264" s="57">
        <v>3</v>
      </c>
    </row>
    <row r="265" spans="1:86" s="13" customFormat="1" x14ac:dyDescent="0.2">
      <c r="A265" s="231" t="s">
        <v>685</v>
      </c>
      <c r="B265" s="231" t="s">
        <v>680</v>
      </c>
      <c r="C265" s="231" t="s">
        <v>494</v>
      </c>
      <c r="D265" s="231" t="s">
        <v>633</v>
      </c>
      <c r="E265" s="232" t="s">
        <v>721</v>
      </c>
      <c r="F265" s="231">
        <v>1</v>
      </c>
      <c r="G265" s="231">
        <v>4</v>
      </c>
      <c r="H265" s="231">
        <v>4</v>
      </c>
      <c r="I265" s="231" t="s">
        <v>954</v>
      </c>
      <c r="J265" s="231">
        <v>1999</v>
      </c>
      <c r="K265" s="231" t="s">
        <v>1001</v>
      </c>
      <c r="L265" s="231">
        <v>2002</v>
      </c>
      <c r="M265" s="235">
        <v>-9999</v>
      </c>
      <c r="N265" s="235">
        <v>-9999</v>
      </c>
      <c r="O265" s="18"/>
      <c r="P265" s="235">
        <v>54.48</v>
      </c>
      <c r="Q265" s="233">
        <v>-9999</v>
      </c>
      <c r="R265" s="235"/>
      <c r="S265" s="233"/>
      <c r="T265" s="235">
        <f>+P265/G265</f>
        <v>13.62</v>
      </c>
      <c r="U265" s="233">
        <v>-9999</v>
      </c>
      <c r="V265" s="233"/>
      <c r="W265" s="236">
        <f>+P265-P264</f>
        <v>32.08</v>
      </c>
      <c r="X265" s="233">
        <v>-9999</v>
      </c>
      <c r="Y265" s="233"/>
      <c r="Z265" s="231" t="s">
        <v>681</v>
      </c>
      <c r="AA265" s="489">
        <v>18146</v>
      </c>
      <c r="AB265" s="235">
        <v>-9999</v>
      </c>
      <c r="AC265" s="231">
        <v>1</v>
      </c>
      <c r="AD265" s="231">
        <v>124.8</v>
      </c>
      <c r="AE265" s="231" t="s">
        <v>1952</v>
      </c>
      <c r="AF265" s="231">
        <v>4</v>
      </c>
      <c r="AG265" s="231">
        <v>-9999</v>
      </c>
      <c r="AH265" s="231" t="s">
        <v>623</v>
      </c>
      <c r="AI265" s="231">
        <v>-9999</v>
      </c>
      <c r="AJ265" s="231">
        <v>-9999</v>
      </c>
      <c r="AK265" s="231" t="s">
        <v>625</v>
      </c>
      <c r="AL265" s="231" t="s">
        <v>682</v>
      </c>
      <c r="AM265" s="231">
        <v>-9999</v>
      </c>
      <c r="AN265" s="231" t="s">
        <v>631</v>
      </c>
      <c r="AO265" s="231">
        <v>-9999</v>
      </c>
      <c r="AP265" s="231">
        <v>-9999</v>
      </c>
      <c r="AQ265" s="231" t="s">
        <v>631</v>
      </c>
      <c r="AR265" s="231">
        <v>0</v>
      </c>
      <c r="AS265" s="231">
        <v>-9999</v>
      </c>
      <c r="AT265" s="231">
        <v>-9999</v>
      </c>
      <c r="AU265" s="231">
        <v>0</v>
      </c>
      <c r="AV265" s="231">
        <v>-9999</v>
      </c>
      <c r="AW265" s="231">
        <v>-9999</v>
      </c>
      <c r="AX265" s="231">
        <v>0</v>
      </c>
      <c r="AY265" s="231">
        <v>-9999</v>
      </c>
      <c r="AZ265" s="231">
        <v>-9999</v>
      </c>
      <c r="BA265" s="231">
        <v>-9999</v>
      </c>
      <c r="BB265" s="231" t="s">
        <v>626</v>
      </c>
      <c r="BC265" s="231" t="s">
        <v>683</v>
      </c>
      <c r="BD265" s="231" t="s">
        <v>684</v>
      </c>
      <c r="BE265" s="231"/>
      <c r="BF265" s="231" t="s">
        <v>504</v>
      </c>
      <c r="BG265" s="231" t="s">
        <v>506</v>
      </c>
      <c r="BH265" s="231" t="s">
        <v>505</v>
      </c>
      <c r="BI265" s="231"/>
      <c r="BJ265" s="231">
        <v>-9999</v>
      </c>
      <c r="BK265" s="231">
        <v>-9999</v>
      </c>
      <c r="BL265" s="231">
        <v>3.71</v>
      </c>
      <c r="BM265" s="231">
        <v>-9999</v>
      </c>
      <c r="BN265" s="231">
        <v>-9999</v>
      </c>
      <c r="BO265" s="231">
        <v>-9999</v>
      </c>
      <c r="BP265" s="231">
        <v>-9999</v>
      </c>
      <c r="BQ265" s="231">
        <v>-9999</v>
      </c>
      <c r="BR265" s="231">
        <v>41.07</v>
      </c>
      <c r="BS265" s="233">
        <v>-9999</v>
      </c>
      <c r="BT265" s="233">
        <v>-9999</v>
      </c>
      <c r="BU265" s="233">
        <v>-9999</v>
      </c>
      <c r="BV265" s="233">
        <v>-9999</v>
      </c>
      <c r="BW265" s="233"/>
      <c r="BX265" s="233">
        <v>-9999</v>
      </c>
      <c r="BY265" s="233">
        <v>-9999</v>
      </c>
      <c r="BZ265" s="490">
        <v>-9999</v>
      </c>
      <c r="CA265" s="238">
        <v>-9999</v>
      </c>
      <c r="CB265" s="239"/>
      <c r="CC265" s="11">
        <v>1</v>
      </c>
      <c r="CD265" s="11">
        <v>4</v>
      </c>
      <c r="CE265" s="393">
        <v>13.62</v>
      </c>
      <c r="CF265" s="99">
        <v>32.08</v>
      </c>
      <c r="CG265" s="11">
        <v>4</v>
      </c>
      <c r="CH265" s="436"/>
    </row>
    <row r="266" spans="1:86" s="23" customFormat="1" x14ac:dyDescent="0.2">
      <c r="A266" s="234"/>
      <c r="B266" s="234"/>
      <c r="C266" s="234"/>
      <c r="D266" s="234"/>
      <c r="E266" s="493"/>
      <c r="F266" s="234"/>
      <c r="G266" s="234"/>
      <c r="H266" s="234"/>
      <c r="I266" s="234"/>
      <c r="J266" s="234"/>
      <c r="K266" s="234"/>
      <c r="L266" s="234"/>
      <c r="M266" s="389"/>
      <c r="N266" s="389"/>
      <c r="O266" s="29"/>
      <c r="P266" s="389"/>
      <c r="Q266" s="491"/>
      <c r="R266" s="389"/>
      <c r="S266" s="491"/>
      <c r="T266" s="389"/>
      <c r="U266" s="491"/>
      <c r="V266" s="491"/>
      <c r="W266" s="237"/>
      <c r="X266" s="491"/>
      <c r="Y266" s="491"/>
      <c r="Z266" s="234"/>
      <c r="AA266" s="495"/>
      <c r="AB266" s="389"/>
      <c r="AC266" s="234"/>
      <c r="AD266" s="234"/>
      <c r="AE266" s="234"/>
      <c r="AF266" s="234"/>
      <c r="AG266" s="234"/>
      <c r="AH266" s="234"/>
      <c r="AI266" s="234"/>
      <c r="AJ266" s="234"/>
      <c r="AK266" s="234"/>
      <c r="AL266" s="234"/>
      <c r="AM266" s="234"/>
      <c r="AN266" s="234"/>
      <c r="AO266" s="234"/>
      <c r="AP266" s="234"/>
      <c r="AQ266" s="234"/>
      <c r="AR266" s="234"/>
      <c r="AS266" s="234"/>
      <c r="AT266" s="234"/>
      <c r="AU266" s="234"/>
      <c r="AV266" s="234"/>
      <c r="AW266" s="234"/>
      <c r="AX266" s="234"/>
      <c r="AY266" s="234"/>
      <c r="AZ266" s="234"/>
      <c r="BA266" s="234"/>
      <c r="BB266" s="234"/>
      <c r="BC266" s="234"/>
      <c r="BD266" s="234"/>
      <c r="BE266" s="234"/>
      <c r="BF266" s="234"/>
      <c r="BG266" s="234"/>
      <c r="BH266" s="234"/>
      <c r="BI266" s="234"/>
      <c r="BJ266" s="234"/>
      <c r="BK266" s="234"/>
      <c r="BL266" s="234"/>
      <c r="BM266" s="234"/>
      <c r="BN266" s="234"/>
      <c r="BO266" s="234"/>
      <c r="BP266" s="234"/>
      <c r="BQ266" s="234"/>
      <c r="BR266" s="234"/>
      <c r="BS266" s="491"/>
      <c r="BT266" s="491"/>
      <c r="BU266" s="491"/>
      <c r="BV266" s="491"/>
      <c r="BW266" s="491"/>
      <c r="BX266" s="491"/>
      <c r="BY266" s="491"/>
      <c r="BZ266" s="497"/>
      <c r="CA266" s="496"/>
      <c r="CB266" s="499"/>
      <c r="CC266" s="57"/>
      <c r="CD266" s="57"/>
      <c r="CE266" s="342" t="s">
        <v>1576</v>
      </c>
      <c r="CF266" s="342" t="s">
        <v>1575</v>
      </c>
      <c r="CG266" s="57"/>
    </row>
    <row r="267" spans="1:86" s="23" customFormat="1" x14ac:dyDescent="0.2">
      <c r="A267" s="234" t="s">
        <v>685</v>
      </c>
      <c r="B267" s="234" t="s">
        <v>680</v>
      </c>
      <c r="C267" s="234" t="s">
        <v>496</v>
      </c>
      <c r="D267" s="234" t="s">
        <v>633</v>
      </c>
      <c r="E267" s="493" t="s">
        <v>722</v>
      </c>
      <c r="F267" s="234">
        <v>1</v>
      </c>
      <c r="G267" s="234">
        <v>1</v>
      </c>
      <c r="H267" s="234">
        <v>1</v>
      </c>
      <c r="I267" s="234" t="s">
        <v>954</v>
      </c>
      <c r="J267" s="234">
        <v>1999</v>
      </c>
      <c r="K267" s="234" t="s">
        <v>1001</v>
      </c>
      <c r="L267" s="234">
        <v>1999</v>
      </c>
      <c r="M267" s="389">
        <v>-9999</v>
      </c>
      <c r="N267" s="389">
        <v>-9999</v>
      </c>
      <c r="O267" s="29"/>
      <c r="P267" s="389">
        <v>2.0099999999999998</v>
      </c>
      <c r="Q267" s="491">
        <v>-9999</v>
      </c>
      <c r="R267" s="389"/>
      <c r="S267" s="491"/>
      <c r="T267" s="237">
        <f>+P267/G267</f>
        <v>2.0099999999999998</v>
      </c>
      <c r="U267" s="491">
        <v>-9999</v>
      </c>
      <c r="V267" s="491"/>
      <c r="W267" s="389">
        <f>+P267</f>
        <v>2.0099999999999998</v>
      </c>
      <c r="X267" s="491">
        <v>-9999</v>
      </c>
      <c r="Y267" s="491"/>
      <c r="Z267" s="234" t="s">
        <v>681</v>
      </c>
      <c r="AA267" s="495">
        <v>18146</v>
      </c>
      <c r="AB267" s="389">
        <v>-9999</v>
      </c>
      <c r="AC267" s="234">
        <v>1</v>
      </c>
      <c r="AD267" s="234">
        <v>124.8</v>
      </c>
      <c r="AE267" s="390" t="s">
        <v>1952</v>
      </c>
      <c r="AF267" s="234">
        <v>4</v>
      </c>
      <c r="AG267" s="234">
        <v>-9999</v>
      </c>
      <c r="AH267" s="234" t="s">
        <v>623</v>
      </c>
      <c r="AI267" s="234">
        <v>-9999</v>
      </c>
      <c r="AJ267" s="234">
        <v>-9999</v>
      </c>
      <c r="AK267" s="234" t="s">
        <v>625</v>
      </c>
      <c r="AL267" s="234" t="s">
        <v>682</v>
      </c>
      <c r="AM267" s="234">
        <v>-9999</v>
      </c>
      <c r="AN267" s="234" t="s">
        <v>631</v>
      </c>
      <c r="AO267" s="234">
        <v>-9999</v>
      </c>
      <c r="AP267" s="234">
        <v>-9999</v>
      </c>
      <c r="AQ267" s="234" t="s">
        <v>631</v>
      </c>
      <c r="AR267" s="234">
        <v>0</v>
      </c>
      <c r="AS267" s="234">
        <v>-9999</v>
      </c>
      <c r="AT267" s="234">
        <v>-9999</v>
      </c>
      <c r="AU267" s="234">
        <v>0</v>
      </c>
      <c r="AV267" s="234">
        <v>-9999</v>
      </c>
      <c r="AW267" s="234">
        <v>-9999</v>
      </c>
      <c r="AX267" s="234">
        <v>0</v>
      </c>
      <c r="AY267" s="234">
        <v>-9999</v>
      </c>
      <c r="AZ267" s="234">
        <v>-9999</v>
      </c>
      <c r="BA267" s="234">
        <v>-9999</v>
      </c>
      <c r="BB267" s="234" t="s">
        <v>626</v>
      </c>
      <c r="BC267" s="234" t="s">
        <v>683</v>
      </c>
      <c r="BD267" s="234" t="s">
        <v>684</v>
      </c>
      <c r="BE267" s="234"/>
      <c r="BF267" s="234" t="s">
        <v>504</v>
      </c>
      <c r="BG267" s="234" t="s">
        <v>506</v>
      </c>
      <c r="BH267" s="234" t="s">
        <v>505</v>
      </c>
      <c r="BI267" s="234"/>
      <c r="BJ267" s="234">
        <v>-9999</v>
      </c>
      <c r="BK267" s="234">
        <v>-9999</v>
      </c>
      <c r="BL267" s="234">
        <v>0.56999999999999995</v>
      </c>
      <c r="BM267" s="234">
        <v>-9999</v>
      </c>
      <c r="BN267" s="234">
        <v>-9999</v>
      </c>
      <c r="BO267" s="234">
        <v>-9999</v>
      </c>
      <c r="BP267" s="234">
        <v>-9999</v>
      </c>
      <c r="BQ267" s="234">
        <v>-9999</v>
      </c>
      <c r="BR267" s="234">
        <v>5.91</v>
      </c>
      <c r="BS267" s="491">
        <v>-9999</v>
      </c>
      <c r="BT267" s="491">
        <v>-9999</v>
      </c>
      <c r="BU267" s="491">
        <v>-9999</v>
      </c>
      <c r="BV267" s="491">
        <v>-9999</v>
      </c>
      <c r="BW267" s="491"/>
      <c r="BX267" s="491">
        <v>-9999</v>
      </c>
      <c r="BY267" s="491">
        <v>-9999</v>
      </c>
      <c r="BZ267" s="497">
        <v>-9999</v>
      </c>
      <c r="CA267" s="496">
        <v>-9999</v>
      </c>
      <c r="CB267" s="499"/>
      <c r="CC267" s="57">
        <v>1</v>
      </c>
      <c r="CD267" s="57">
        <v>1</v>
      </c>
      <c r="CE267" s="292">
        <v>2.0099999999999998</v>
      </c>
      <c r="CF267" s="292">
        <v>2.0099999999999998</v>
      </c>
      <c r="CG267" s="57">
        <v>1</v>
      </c>
    </row>
    <row r="268" spans="1:86" s="23" customFormat="1" x14ac:dyDescent="0.2">
      <c r="A268" s="234" t="s">
        <v>685</v>
      </c>
      <c r="B268" s="234" t="s">
        <v>680</v>
      </c>
      <c r="C268" s="234" t="s">
        <v>496</v>
      </c>
      <c r="D268" s="234" t="s">
        <v>633</v>
      </c>
      <c r="E268" s="493" t="s">
        <v>722</v>
      </c>
      <c r="F268" s="234">
        <v>1</v>
      </c>
      <c r="G268" s="234">
        <v>2</v>
      </c>
      <c r="H268" s="234">
        <v>2</v>
      </c>
      <c r="I268" s="234" t="s">
        <v>954</v>
      </c>
      <c r="J268" s="234">
        <v>1999</v>
      </c>
      <c r="K268" s="234" t="s">
        <v>1001</v>
      </c>
      <c r="L268" s="234">
        <v>2000</v>
      </c>
      <c r="M268" s="389">
        <v>-9999</v>
      </c>
      <c r="N268" s="389">
        <v>-9999</v>
      </c>
      <c r="O268" s="29"/>
      <c r="P268" s="389">
        <v>8.66</v>
      </c>
      <c r="Q268" s="491">
        <v>-9999</v>
      </c>
      <c r="R268" s="389"/>
      <c r="S268" s="491"/>
      <c r="T268" s="237">
        <f>+P268/G268</f>
        <v>4.33</v>
      </c>
      <c r="U268" s="491">
        <v>-9999</v>
      </c>
      <c r="V268" s="491"/>
      <c r="W268" s="237">
        <f>+P268-P267</f>
        <v>6.65</v>
      </c>
      <c r="X268" s="491">
        <v>-9999</v>
      </c>
      <c r="Y268" s="491"/>
      <c r="Z268" s="234" t="s">
        <v>681</v>
      </c>
      <c r="AA268" s="495">
        <v>18146</v>
      </c>
      <c r="AB268" s="389">
        <v>-9999</v>
      </c>
      <c r="AC268" s="234">
        <v>1</v>
      </c>
      <c r="AD268" s="234">
        <v>124.8</v>
      </c>
      <c r="AE268" s="390" t="s">
        <v>1952</v>
      </c>
      <c r="AF268" s="234">
        <v>4</v>
      </c>
      <c r="AG268" s="234">
        <v>-9999</v>
      </c>
      <c r="AH268" s="234" t="s">
        <v>623</v>
      </c>
      <c r="AI268" s="234">
        <v>-9999</v>
      </c>
      <c r="AJ268" s="234">
        <v>-9999</v>
      </c>
      <c r="AK268" s="234" t="s">
        <v>625</v>
      </c>
      <c r="AL268" s="234" t="s">
        <v>682</v>
      </c>
      <c r="AM268" s="234">
        <v>-9999</v>
      </c>
      <c r="AN268" s="234" t="s">
        <v>631</v>
      </c>
      <c r="AO268" s="234">
        <v>-9999</v>
      </c>
      <c r="AP268" s="234">
        <v>-9999</v>
      </c>
      <c r="AQ268" s="234" t="s">
        <v>631</v>
      </c>
      <c r="AR268" s="234">
        <v>0</v>
      </c>
      <c r="AS268" s="234">
        <v>-9999</v>
      </c>
      <c r="AT268" s="234">
        <v>-9999</v>
      </c>
      <c r="AU268" s="234">
        <v>0</v>
      </c>
      <c r="AV268" s="234">
        <v>-9999</v>
      </c>
      <c r="AW268" s="234">
        <v>-9999</v>
      </c>
      <c r="AX268" s="234">
        <v>0</v>
      </c>
      <c r="AY268" s="234">
        <v>-9999</v>
      </c>
      <c r="AZ268" s="234">
        <v>-9999</v>
      </c>
      <c r="BA268" s="234">
        <v>-9999</v>
      </c>
      <c r="BB268" s="234" t="s">
        <v>626</v>
      </c>
      <c r="BC268" s="234" t="s">
        <v>683</v>
      </c>
      <c r="BD268" s="234" t="s">
        <v>684</v>
      </c>
      <c r="BE268" s="234"/>
      <c r="BF268" s="234" t="s">
        <v>504</v>
      </c>
      <c r="BG268" s="234" t="s">
        <v>506</v>
      </c>
      <c r="BH268" s="234" t="s">
        <v>505</v>
      </c>
      <c r="BI268" s="234"/>
      <c r="BJ268" s="234">
        <v>-9999</v>
      </c>
      <c r="BK268" s="234">
        <v>-9999</v>
      </c>
      <c r="BL268" s="234">
        <v>1.74</v>
      </c>
      <c r="BM268" s="234">
        <v>-9999</v>
      </c>
      <c r="BN268" s="234">
        <v>-9999</v>
      </c>
      <c r="BO268" s="234">
        <v>-9999</v>
      </c>
      <c r="BP268" s="234">
        <v>-9999</v>
      </c>
      <c r="BQ268" s="234">
        <v>-9999</v>
      </c>
      <c r="BR268" s="234">
        <v>17.98</v>
      </c>
      <c r="BS268" s="491">
        <v>-9999</v>
      </c>
      <c r="BT268" s="491">
        <v>-9999</v>
      </c>
      <c r="BU268" s="491">
        <v>-9999</v>
      </c>
      <c r="BV268" s="491">
        <v>-9999</v>
      </c>
      <c r="BW268" s="491"/>
      <c r="BX268" s="491">
        <v>-9999</v>
      </c>
      <c r="BY268" s="491">
        <v>-9999</v>
      </c>
      <c r="BZ268" s="497">
        <v>-9999</v>
      </c>
      <c r="CA268" s="496">
        <v>-9999</v>
      </c>
      <c r="CB268" s="499"/>
      <c r="CC268" s="57">
        <v>1</v>
      </c>
      <c r="CD268" s="57">
        <v>2</v>
      </c>
      <c r="CE268" s="292">
        <v>4.33</v>
      </c>
      <c r="CF268" s="292">
        <v>6.65</v>
      </c>
      <c r="CG268" s="57">
        <v>2</v>
      </c>
    </row>
    <row r="269" spans="1:86" s="23" customFormat="1" x14ac:dyDescent="0.2">
      <c r="A269" s="234" t="s">
        <v>685</v>
      </c>
      <c r="B269" s="234" t="s">
        <v>680</v>
      </c>
      <c r="C269" s="234" t="s">
        <v>496</v>
      </c>
      <c r="D269" s="234" t="s">
        <v>633</v>
      </c>
      <c r="E269" s="493" t="s">
        <v>722</v>
      </c>
      <c r="F269" s="234">
        <v>1</v>
      </c>
      <c r="G269" s="234">
        <v>3</v>
      </c>
      <c r="H269" s="234">
        <v>3</v>
      </c>
      <c r="I269" s="234" t="s">
        <v>954</v>
      </c>
      <c r="J269" s="234">
        <v>1999</v>
      </c>
      <c r="K269" s="234" t="s">
        <v>1001</v>
      </c>
      <c r="L269" s="234">
        <v>2001</v>
      </c>
      <c r="M269" s="389">
        <v>-9999</v>
      </c>
      <c r="N269" s="389">
        <v>-9999</v>
      </c>
      <c r="O269" s="29"/>
      <c r="P269" s="389">
        <v>21.18</v>
      </c>
      <c r="Q269" s="491">
        <v>-9999</v>
      </c>
      <c r="R269" s="389"/>
      <c r="S269" s="491"/>
      <c r="T269" s="237">
        <f>+P269/G269</f>
        <v>7.06</v>
      </c>
      <c r="U269" s="491">
        <v>-9999</v>
      </c>
      <c r="V269" s="491"/>
      <c r="W269" s="237">
        <f>+P269-P268</f>
        <v>12.52</v>
      </c>
      <c r="X269" s="491">
        <v>-9999</v>
      </c>
      <c r="Y269" s="491"/>
      <c r="Z269" s="234" t="s">
        <v>681</v>
      </c>
      <c r="AA269" s="495">
        <v>18146</v>
      </c>
      <c r="AB269" s="389">
        <v>-9999</v>
      </c>
      <c r="AC269" s="234">
        <v>1</v>
      </c>
      <c r="AD269" s="234">
        <v>124.8</v>
      </c>
      <c r="AE269" s="390" t="s">
        <v>1952</v>
      </c>
      <c r="AF269" s="234">
        <v>4</v>
      </c>
      <c r="AG269" s="234">
        <v>-9999</v>
      </c>
      <c r="AH269" s="234" t="s">
        <v>623</v>
      </c>
      <c r="AI269" s="234">
        <v>-9999</v>
      </c>
      <c r="AJ269" s="234">
        <v>-9999</v>
      </c>
      <c r="AK269" s="234" t="s">
        <v>625</v>
      </c>
      <c r="AL269" s="234" t="s">
        <v>682</v>
      </c>
      <c r="AM269" s="234">
        <v>-9999</v>
      </c>
      <c r="AN269" s="234" t="s">
        <v>631</v>
      </c>
      <c r="AO269" s="234">
        <v>-9999</v>
      </c>
      <c r="AP269" s="234">
        <v>-9999</v>
      </c>
      <c r="AQ269" s="234" t="s">
        <v>631</v>
      </c>
      <c r="AR269" s="234">
        <v>0</v>
      </c>
      <c r="AS269" s="234">
        <v>-9999</v>
      </c>
      <c r="AT269" s="234">
        <v>-9999</v>
      </c>
      <c r="AU269" s="234">
        <v>0</v>
      </c>
      <c r="AV269" s="234">
        <v>-9999</v>
      </c>
      <c r="AW269" s="234">
        <v>-9999</v>
      </c>
      <c r="AX269" s="234">
        <v>0</v>
      </c>
      <c r="AY269" s="234">
        <v>-9999</v>
      </c>
      <c r="AZ269" s="234">
        <v>-9999</v>
      </c>
      <c r="BA269" s="234">
        <v>-9999</v>
      </c>
      <c r="BB269" s="234" t="s">
        <v>626</v>
      </c>
      <c r="BC269" s="234" t="s">
        <v>683</v>
      </c>
      <c r="BD269" s="234" t="s">
        <v>684</v>
      </c>
      <c r="BE269" s="234"/>
      <c r="BF269" s="234" t="s">
        <v>504</v>
      </c>
      <c r="BG269" s="234" t="s">
        <v>506</v>
      </c>
      <c r="BH269" s="234" t="s">
        <v>505</v>
      </c>
      <c r="BI269" s="234"/>
      <c r="BJ269" s="234">
        <v>-9999</v>
      </c>
      <c r="BK269" s="234">
        <v>-9999</v>
      </c>
      <c r="BL269" s="234">
        <v>2.66</v>
      </c>
      <c r="BM269" s="234">
        <v>-9999</v>
      </c>
      <c r="BN269" s="234">
        <v>-9999</v>
      </c>
      <c r="BO269" s="234">
        <v>-9999</v>
      </c>
      <c r="BP269" s="234">
        <v>-9999</v>
      </c>
      <c r="BQ269" s="234">
        <v>-9999</v>
      </c>
      <c r="BR269" s="234">
        <v>31</v>
      </c>
      <c r="BS269" s="491">
        <v>-9999</v>
      </c>
      <c r="BT269" s="491">
        <v>-9999</v>
      </c>
      <c r="BU269" s="491">
        <v>-9999</v>
      </c>
      <c r="BV269" s="491">
        <v>-9999</v>
      </c>
      <c r="BW269" s="491"/>
      <c r="BX269" s="491">
        <v>-9999</v>
      </c>
      <c r="BY269" s="491">
        <v>-9999</v>
      </c>
      <c r="BZ269" s="497">
        <v>-9999</v>
      </c>
      <c r="CA269" s="496">
        <v>-9999</v>
      </c>
      <c r="CB269" s="499"/>
      <c r="CC269" s="57">
        <v>1</v>
      </c>
      <c r="CD269" s="57">
        <v>3</v>
      </c>
      <c r="CE269" s="292">
        <v>7.06</v>
      </c>
      <c r="CF269" s="292">
        <v>12.52</v>
      </c>
      <c r="CG269" s="57">
        <v>3</v>
      </c>
    </row>
    <row r="270" spans="1:86" s="13" customFormat="1" x14ac:dyDescent="0.2">
      <c r="A270" s="231" t="s">
        <v>685</v>
      </c>
      <c r="B270" s="231" t="s">
        <v>680</v>
      </c>
      <c r="C270" s="231" t="s">
        <v>496</v>
      </c>
      <c r="D270" s="231" t="s">
        <v>633</v>
      </c>
      <c r="E270" s="232" t="s">
        <v>722</v>
      </c>
      <c r="F270" s="231">
        <v>1</v>
      </c>
      <c r="G270" s="231">
        <v>4</v>
      </c>
      <c r="H270" s="231">
        <v>4</v>
      </c>
      <c r="I270" s="231" t="s">
        <v>954</v>
      </c>
      <c r="J270" s="231">
        <v>1999</v>
      </c>
      <c r="K270" s="231" t="s">
        <v>1001</v>
      </c>
      <c r="L270" s="231">
        <v>2002</v>
      </c>
      <c r="M270" s="235">
        <v>-9999</v>
      </c>
      <c r="N270" s="235">
        <v>-9999</v>
      </c>
      <c r="O270" s="18"/>
      <c r="P270" s="235">
        <v>56.52</v>
      </c>
      <c r="Q270" s="233">
        <v>-9999</v>
      </c>
      <c r="R270" s="235"/>
      <c r="S270" s="233"/>
      <c r="T270" s="235">
        <f>+P270/G270</f>
        <v>14.13</v>
      </c>
      <c r="U270" s="233">
        <v>-9999</v>
      </c>
      <c r="V270" s="233"/>
      <c r="W270" s="236">
        <f>+P270-P269</f>
        <v>35.340000000000003</v>
      </c>
      <c r="X270" s="233">
        <v>-9999</v>
      </c>
      <c r="Y270" s="233"/>
      <c r="Z270" s="231" t="s">
        <v>681</v>
      </c>
      <c r="AA270" s="489">
        <v>18146</v>
      </c>
      <c r="AB270" s="235">
        <v>-9999</v>
      </c>
      <c r="AC270" s="231">
        <v>1</v>
      </c>
      <c r="AD270" s="231">
        <v>124.8</v>
      </c>
      <c r="AE270" s="231" t="s">
        <v>1952</v>
      </c>
      <c r="AF270" s="231">
        <v>4</v>
      </c>
      <c r="AG270" s="231">
        <v>-9999</v>
      </c>
      <c r="AH270" s="231" t="s">
        <v>623</v>
      </c>
      <c r="AI270" s="231">
        <v>-9999</v>
      </c>
      <c r="AJ270" s="231">
        <v>-9999</v>
      </c>
      <c r="AK270" s="231" t="s">
        <v>625</v>
      </c>
      <c r="AL270" s="231" t="s">
        <v>682</v>
      </c>
      <c r="AM270" s="231">
        <v>-9999</v>
      </c>
      <c r="AN270" s="231" t="s">
        <v>631</v>
      </c>
      <c r="AO270" s="231">
        <v>-9999</v>
      </c>
      <c r="AP270" s="231">
        <v>-9999</v>
      </c>
      <c r="AQ270" s="231" t="s">
        <v>631</v>
      </c>
      <c r="AR270" s="231">
        <v>0</v>
      </c>
      <c r="AS270" s="231">
        <v>-9999</v>
      </c>
      <c r="AT270" s="231">
        <v>-9999</v>
      </c>
      <c r="AU270" s="231">
        <v>0</v>
      </c>
      <c r="AV270" s="231">
        <v>-9999</v>
      </c>
      <c r="AW270" s="231">
        <v>-9999</v>
      </c>
      <c r="AX270" s="231">
        <v>0</v>
      </c>
      <c r="AY270" s="231">
        <v>-9999</v>
      </c>
      <c r="AZ270" s="231">
        <v>-9999</v>
      </c>
      <c r="BA270" s="231">
        <v>-9999</v>
      </c>
      <c r="BB270" s="231" t="s">
        <v>626</v>
      </c>
      <c r="BC270" s="231" t="s">
        <v>683</v>
      </c>
      <c r="BD270" s="231" t="s">
        <v>684</v>
      </c>
      <c r="BE270" s="231"/>
      <c r="BF270" s="231" t="s">
        <v>504</v>
      </c>
      <c r="BG270" s="231" t="s">
        <v>506</v>
      </c>
      <c r="BH270" s="231" t="s">
        <v>505</v>
      </c>
      <c r="BI270" s="231"/>
      <c r="BJ270" s="231">
        <v>-9999</v>
      </c>
      <c r="BK270" s="231">
        <v>-9999</v>
      </c>
      <c r="BL270" s="231">
        <v>3.24</v>
      </c>
      <c r="BM270" s="231">
        <v>-9999</v>
      </c>
      <c r="BN270" s="231">
        <v>-9999</v>
      </c>
      <c r="BO270" s="231">
        <v>-9999</v>
      </c>
      <c r="BP270" s="231">
        <v>-9999</v>
      </c>
      <c r="BQ270" s="231">
        <v>-9999</v>
      </c>
      <c r="BR270" s="231">
        <v>46.33</v>
      </c>
      <c r="BS270" s="233">
        <v>-9999</v>
      </c>
      <c r="BT270" s="233">
        <v>-9999</v>
      </c>
      <c r="BU270" s="233">
        <v>-9999</v>
      </c>
      <c r="BV270" s="233">
        <v>-9999</v>
      </c>
      <c r="BW270" s="233"/>
      <c r="BX270" s="233">
        <v>-9999</v>
      </c>
      <c r="BY270" s="233">
        <v>-9999</v>
      </c>
      <c r="BZ270" s="490">
        <v>-9999</v>
      </c>
      <c r="CA270" s="238">
        <v>-9999</v>
      </c>
      <c r="CB270" s="239"/>
      <c r="CC270" s="11">
        <v>1</v>
      </c>
      <c r="CD270" s="11">
        <v>4</v>
      </c>
      <c r="CE270" s="393">
        <v>14.13</v>
      </c>
      <c r="CF270" s="99">
        <v>35.340000000000003</v>
      </c>
      <c r="CG270" s="11">
        <v>4</v>
      </c>
      <c r="CH270" s="436"/>
    </row>
    <row r="271" spans="1:86" s="23" customFormat="1" x14ac:dyDescent="0.2">
      <c r="A271" s="234"/>
      <c r="B271" s="234"/>
      <c r="C271" s="234"/>
      <c r="D271" s="234"/>
      <c r="E271" s="493"/>
      <c r="F271" s="234"/>
      <c r="G271" s="234"/>
      <c r="H271" s="234"/>
      <c r="I271" s="234"/>
      <c r="J271" s="234"/>
      <c r="K271" s="234"/>
      <c r="L271" s="234"/>
      <c r="M271" s="389"/>
      <c r="N271" s="389"/>
      <c r="O271" s="29"/>
      <c r="P271" s="389"/>
      <c r="Q271" s="491"/>
      <c r="R271" s="389"/>
      <c r="S271" s="491"/>
      <c r="T271" s="389"/>
      <c r="U271" s="491"/>
      <c r="V271" s="491"/>
      <c r="W271" s="237"/>
      <c r="X271" s="491"/>
      <c r="Y271" s="491"/>
      <c r="Z271" s="234"/>
      <c r="AA271" s="495"/>
      <c r="AB271" s="389"/>
      <c r="AC271" s="234"/>
      <c r="AD271" s="234"/>
      <c r="AE271" s="234"/>
      <c r="AF271" s="234"/>
      <c r="AG271" s="234"/>
      <c r="AH271" s="234"/>
      <c r="AI271" s="234"/>
      <c r="AJ271" s="234"/>
      <c r="AK271" s="234"/>
      <c r="AL271" s="234"/>
      <c r="AM271" s="234"/>
      <c r="AN271" s="234"/>
      <c r="AO271" s="234"/>
      <c r="AP271" s="234"/>
      <c r="AQ271" s="234"/>
      <c r="AR271" s="234"/>
      <c r="AS271" s="234"/>
      <c r="AT271" s="234"/>
      <c r="AU271" s="234"/>
      <c r="AV271" s="234"/>
      <c r="AW271" s="234"/>
      <c r="AX271" s="234"/>
      <c r="AY271" s="234"/>
      <c r="AZ271" s="234"/>
      <c r="BA271" s="234"/>
      <c r="BB271" s="234"/>
      <c r="BC271" s="234"/>
      <c r="BD271" s="234"/>
      <c r="BE271" s="234"/>
      <c r="BF271" s="234"/>
      <c r="BG271" s="234"/>
      <c r="BH271" s="234"/>
      <c r="BI271" s="234"/>
      <c r="BJ271" s="234"/>
      <c r="BK271" s="234"/>
      <c r="BL271" s="234"/>
      <c r="BM271" s="234"/>
      <c r="BN271" s="234"/>
      <c r="BO271" s="234"/>
      <c r="BP271" s="234"/>
      <c r="BQ271" s="234"/>
      <c r="BR271" s="234"/>
      <c r="BS271" s="491"/>
      <c r="BT271" s="491"/>
      <c r="BU271" s="491"/>
      <c r="BV271" s="491"/>
      <c r="BW271" s="491"/>
      <c r="BX271" s="491"/>
      <c r="BY271" s="491"/>
      <c r="BZ271" s="497"/>
      <c r="CA271" s="496"/>
      <c r="CB271" s="499"/>
      <c r="CC271" s="57"/>
      <c r="CD271" s="57"/>
      <c r="CE271" s="342" t="s">
        <v>1576</v>
      </c>
      <c r="CF271" s="342" t="s">
        <v>1575</v>
      </c>
      <c r="CG271" s="57"/>
    </row>
    <row r="272" spans="1:86" s="23" customFormat="1" x14ac:dyDescent="0.2">
      <c r="A272" s="234" t="s">
        <v>685</v>
      </c>
      <c r="B272" s="234" t="s">
        <v>680</v>
      </c>
      <c r="C272" s="234" t="s">
        <v>500</v>
      </c>
      <c r="D272" s="234" t="s">
        <v>633</v>
      </c>
      <c r="E272" s="493" t="s">
        <v>1519</v>
      </c>
      <c r="F272" s="234">
        <v>1</v>
      </c>
      <c r="G272" s="234">
        <v>1</v>
      </c>
      <c r="H272" s="234">
        <v>1</v>
      </c>
      <c r="I272" s="234" t="s">
        <v>954</v>
      </c>
      <c r="J272" s="234">
        <v>1999</v>
      </c>
      <c r="K272" s="234" t="s">
        <v>1001</v>
      </c>
      <c r="L272" s="234">
        <v>1999</v>
      </c>
      <c r="M272" s="389">
        <v>-9999</v>
      </c>
      <c r="N272" s="389">
        <v>-9999</v>
      </c>
      <c r="O272" s="29"/>
      <c r="P272" s="389">
        <v>1.52</v>
      </c>
      <c r="Q272" s="491">
        <v>-9999</v>
      </c>
      <c r="R272" s="389"/>
      <c r="S272" s="491"/>
      <c r="T272" s="237">
        <f>+P272/G272</f>
        <v>1.52</v>
      </c>
      <c r="U272" s="491">
        <v>-9999</v>
      </c>
      <c r="V272" s="491"/>
      <c r="W272" s="389">
        <f>+P272</f>
        <v>1.52</v>
      </c>
      <c r="X272" s="491">
        <v>-9999</v>
      </c>
      <c r="Y272" s="491"/>
      <c r="Z272" s="234" t="s">
        <v>681</v>
      </c>
      <c r="AA272" s="495">
        <v>18146</v>
      </c>
      <c r="AB272" s="389">
        <v>-9999</v>
      </c>
      <c r="AC272" s="234">
        <v>1</v>
      </c>
      <c r="AD272" s="234">
        <v>124.8</v>
      </c>
      <c r="AE272" s="390" t="s">
        <v>1952</v>
      </c>
      <c r="AF272" s="234">
        <v>4</v>
      </c>
      <c r="AG272" s="234">
        <v>-9999</v>
      </c>
      <c r="AH272" s="234" t="s">
        <v>623</v>
      </c>
      <c r="AI272" s="234">
        <v>-9999</v>
      </c>
      <c r="AJ272" s="234">
        <v>-9999</v>
      </c>
      <c r="AK272" s="234" t="s">
        <v>625</v>
      </c>
      <c r="AL272" s="234" t="s">
        <v>682</v>
      </c>
      <c r="AM272" s="234">
        <v>-9999</v>
      </c>
      <c r="AN272" s="234" t="s">
        <v>631</v>
      </c>
      <c r="AO272" s="234">
        <v>-9999</v>
      </c>
      <c r="AP272" s="234">
        <v>-9999</v>
      </c>
      <c r="AQ272" s="234" t="s">
        <v>631</v>
      </c>
      <c r="AR272" s="234">
        <v>0</v>
      </c>
      <c r="AS272" s="234">
        <v>-9999</v>
      </c>
      <c r="AT272" s="234">
        <v>-9999</v>
      </c>
      <c r="AU272" s="234">
        <v>0</v>
      </c>
      <c r="AV272" s="234">
        <v>-9999</v>
      </c>
      <c r="AW272" s="234">
        <v>-9999</v>
      </c>
      <c r="AX272" s="234">
        <v>0</v>
      </c>
      <c r="AY272" s="234">
        <v>-9999</v>
      </c>
      <c r="AZ272" s="234">
        <v>-9999</v>
      </c>
      <c r="BA272" s="234">
        <v>-9999</v>
      </c>
      <c r="BB272" s="234" t="s">
        <v>626</v>
      </c>
      <c r="BC272" s="234" t="s">
        <v>683</v>
      </c>
      <c r="BD272" s="234" t="s">
        <v>684</v>
      </c>
      <c r="BE272" s="234"/>
      <c r="BF272" s="234" t="s">
        <v>504</v>
      </c>
      <c r="BG272" s="234" t="s">
        <v>506</v>
      </c>
      <c r="BH272" s="234" t="s">
        <v>505</v>
      </c>
      <c r="BI272" s="234"/>
      <c r="BJ272" s="234">
        <v>-9999</v>
      </c>
      <c r="BK272" s="234">
        <v>-9999</v>
      </c>
      <c r="BL272" s="234">
        <v>0.54</v>
      </c>
      <c r="BM272" s="234">
        <v>-9999</v>
      </c>
      <c r="BN272" s="234">
        <v>-9999</v>
      </c>
      <c r="BO272" s="234">
        <v>-9999</v>
      </c>
      <c r="BP272" s="234">
        <v>-9999</v>
      </c>
      <c r="BQ272" s="234">
        <v>-9999</v>
      </c>
      <c r="BR272" s="234">
        <v>6.06</v>
      </c>
      <c r="BS272" s="491">
        <v>-9999</v>
      </c>
      <c r="BT272" s="491">
        <v>-9999</v>
      </c>
      <c r="BU272" s="491">
        <v>-9999</v>
      </c>
      <c r="BV272" s="491">
        <v>-9999</v>
      </c>
      <c r="BW272" s="491"/>
      <c r="BX272" s="491">
        <v>-9999</v>
      </c>
      <c r="BY272" s="491">
        <v>-9999</v>
      </c>
      <c r="BZ272" s="497">
        <v>-9999</v>
      </c>
      <c r="CA272" s="496">
        <v>-9999</v>
      </c>
      <c r="CB272" s="499"/>
      <c r="CC272" s="57">
        <v>1</v>
      </c>
      <c r="CD272" s="57">
        <v>1</v>
      </c>
      <c r="CE272" s="292">
        <v>1.52</v>
      </c>
      <c r="CF272" s="292">
        <v>1.52</v>
      </c>
      <c r="CG272" s="57">
        <v>1</v>
      </c>
    </row>
    <row r="273" spans="1:86" s="23" customFormat="1" x14ac:dyDescent="0.2">
      <c r="A273" s="234" t="s">
        <v>685</v>
      </c>
      <c r="B273" s="234" t="s">
        <v>680</v>
      </c>
      <c r="C273" s="234" t="s">
        <v>500</v>
      </c>
      <c r="D273" s="234" t="s">
        <v>633</v>
      </c>
      <c r="E273" s="493" t="s">
        <v>1519</v>
      </c>
      <c r="F273" s="234">
        <v>1</v>
      </c>
      <c r="G273" s="234">
        <v>2</v>
      </c>
      <c r="H273" s="234">
        <v>2</v>
      </c>
      <c r="I273" s="234" t="s">
        <v>954</v>
      </c>
      <c r="J273" s="234">
        <v>1999</v>
      </c>
      <c r="K273" s="234" t="s">
        <v>1001</v>
      </c>
      <c r="L273" s="234">
        <v>2000</v>
      </c>
      <c r="M273" s="389">
        <v>-9999</v>
      </c>
      <c r="N273" s="389">
        <v>-9999</v>
      </c>
      <c r="O273" s="29"/>
      <c r="P273" s="389">
        <v>5.98</v>
      </c>
      <c r="Q273" s="491">
        <v>-9999</v>
      </c>
      <c r="R273" s="389"/>
      <c r="S273" s="491"/>
      <c r="T273" s="237">
        <f>+P273/G273</f>
        <v>2.99</v>
      </c>
      <c r="U273" s="491">
        <v>-9999</v>
      </c>
      <c r="V273" s="491"/>
      <c r="W273" s="237">
        <f>+P273-P272</f>
        <v>4.4600000000000009</v>
      </c>
      <c r="X273" s="491">
        <v>-9999</v>
      </c>
      <c r="Y273" s="491"/>
      <c r="Z273" s="234" t="s">
        <v>681</v>
      </c>
      <c r="AA273" s="495">
        <v>18146</v>
      </c>
      <c r="AB273" s="389">
        <v>-9999</v>
      </c>
      <c r="AC273" s="234">
        <v>1</v>
      </c>
      <c r="AD273" s="234">
        <v>124.8</v>
      </c>
      <c r="AE273" s="390" t="s">
        <v>1952</v>
      </c>
      <c r="AF273" s="234">
        <v>4</v>
      </c>
      <c r="AG273" s="234">
        <v>-9999</v>
      </c>
      <c r="AH273" s="234" t="s">
        <v>623</v>
      </c>
      <c r="AI273" s="234">
        <v>-9999</v>
      </c>
      <c r="AJ273" s="234">
        <v>-9999</v>
      </c>
      <c r="AK273" s="234" t="s">
        <v>625</v>
      </c>
      <c r="AL273" s="234" t="s">
        <v>682</v>
      </c>
      <c r="AM273" s="234">
        <v>-9999</v>
      </c>
      <c r="AN273" s="234" t="s">
        <v>631</v>
      </c>
      <c r="AO273" s="234">
        <v>-9999</v>
      </c>
      <c r="AP273" s="234">
        <v>-9999</v>
      </c>
      <c r="AQ273" s="234" t="s">
        <v>631</v>
      </c>
      <c r="AR273" s="234">
        <v>0</v>
      </c>
      <c r="AS273" s="234">
        <v>-9999</v>
      </c>
      <c r="AT273" s="234">
        <v>-9999</v>
      </c>
      <c r="AU273" s="234">
        <v>0</v>
      </c>
      <c r="AV273" s="234">
        <v>-9999</v>
      </c>
      <c r="AW273" s="234">
        <v>-9999</v>
      </c>
      <c r="AX273" s="234">
        <v>0</v>
      </c>
      <c r="AY273" s="234">
        <v>-9999</v>
      </c>
      <c r="AZ273" s="234">
        <v>-9999</v>
      </c>
      <c r="BA273" s="234">
        <v>-9999</v>
      </c>
      <c r="BB273" s="234" t="s">
        <v>626</v>
      </c>
      <c r="BC273" s="234" t="s">
        <v>683</v>
      </c>
      <c r="BD273" s="234" t="s">
        <v>684</v>
      </c>
      <c r="BE273" s="234"/>
      <c r="BF273" s="234" t="s">
        <v>504</v>
      </c>
      <c r="BG273" s="234" t="s">
        <v>506</v>
      </c>
      <c r="BH273" s="234" t="s">
        <v>505</v>
      </c>
      <c r="BI273" s="234"/>
      <c r="BJ273" s="234">
        <v>-9999</v>
      </c>
      <c r="BK273" s="234">
        <v>-9999</v>
      </c>
      <c r="BL273" s="234">
        <v>1.56</v>
      </c>
      <c r="BM273" s="234">
        <v>-9999</v>
      </c>
      <c r="BN273" s="234">
        <v>-9999</v>
      </c>
      <c r="BO273" s="234">
        <v>-9999</v>
      </c>
      <c r="BP273" s="234">
        <v>-9999</v>
      </c>
      <c r="BQ273" s="234">
        <v>-9999</v>
      </c>
      <c r="BR273" s="234">
        <v>15.82</v>
      </c>
      <c r="BS273" s="491">
        <v>-9999</v>
      </c>
      <c r="BT273" s="491">
        <v>-9999</v>
      </c>
      <c r="BU273" s="491">
        <v>-9999</v>
      </c>
      <c r="BV273" s="491">
        <v>-9999</v>
      </c>
      <c r="BW273" s="491"/>
      <c r="BX273" s="491">
        <v>-9999</v>
      </c>
      <c r="BY273" s="491">
        <v>-9999</v>
      </c>
      <c r="BZ273" s="497">
        <v>-9999</v>
      </c>
      <c r="CA273" s="496">
        <v>-9999</v>
      </c>
      <c r="CB273" s="499"/>
      <c r="CC273" s="57">
        <v>1</v>
      </c>
      <c r="CD273" s="57">
        <v>2</v>
      </c>
      <c r="CE273" s="292">
        <v>2.99</v>
      </c>
      <c r="CF273" s="292">
        <v>4.4600000000000009</v>
      </c>
      <c r="CG273" s="57">
        <v>2</v>
      </c>
    </row>
    <row r="274" spans="1:86" s="23" customFormat="1" x14ac:dyDescent="0.2">
      <c r="A274" s="234" t="s">
        <v>685</v>
      </c>
      <c r="B274" s="234" t="s">
        <v>680</v>
      </c>
      <c r="C274" s="234" t="s">
        <v>500</v>
      </c>
      <c r="D274" s="234" t="s">
        <v>633</v>
      </c>
      <c r="E274" s="493" t="s">
        <v>1519</v>
      </c>
      <c r="F274" s="234">
        <v>1</v>
      </c>
      <c r="G274" s="234">
        <v>3</v>
      </c>
      <c r="H274" s="234">
        <v>3</v>
      </c>
      <c r="I274" s="234" t="s">
        <v>954</v>
      </c>
      <c r="J274" s="234">
        <v>1999</v>
      </c>
      <c r="K274" s="234" t="s">
        <v>1001</v>
      </c>
      <c r="L274" s="234">
        <v>2001</v>
      </c>
      <c r="M274" s="389">
        <v>-9999</v>
      </c>
      <c r="N274" s="389">
        <v>-9999</v>
      </c>
      <c r="O274" s="29"/>
      <c r="P274" s="389">
        <v>17.760000000000002</v>
      </c>
      <c r="Q274" s="491">
        <v>-9999</v>
      </c>
      <c r="R274" s="389"/>
      <c r="S274" s="491"/>
      <c r="T274" s="237">
        <f>+P274/G274</f>
        <v>5.9200000000000008</v>
      </c>
      <c r="U274" s="491">
        <v>-9999</v>
      </c>
      <c r="V274" s="491"/>
      <c r="W274" s="237">
        <f>+P274-P273</f>
        <v>11.780000000000001</v>
      </c>
      <c r="X274" s="491">
        <v>-9999</v>
      </c>
      <c r="Y274" s="491"/>
      <c r="Z274" s="234" t="s">
        <v>681</v>
      </c>
      <c r="AA274" s="495">
        <v>18146</v>
      </c>
      <c r="AB274" s="389">
        <v>-9999</v>
      </c>
      <c r="AC274" s="234">
        <v>1</v>
      </c>
      <c r="AD274" s="234">
        <v>124.8</v>
      </c>
      <c r="AE274" s="390" t="s">
        <v>1952</v>
      </c>
      <c r="AF274" s="234">
        <v>4</v>
      </c>
      <c r="AG274" s="234">
        <v>-9999</v>
      </c>
      <c r="AH274" s="234" t="s">
        <v>623</v>
      </c>
      <c r="AI274" s="234">
        <v>-9999</v>
      </c>
      <c r="AJ274" s="234">
        <v>-9999</v>
      </c>
      <c r="AK274" s="234" t="s">
        <v>625</v>
      </c>
      <c r="AL274" s="234" t="s">
        <v>682</v>
      </c>
      <c r="AM274" s="234">
        <v>-9999</v>
      </c>
      <c r="AN274" s="234" t="s">
        <v>631</v>
      </c>
      <c r="AO274" s="234">
        <v>-9999</v>
      </c>
      <c r="AP274" s="234">
        <v>-9999</v>
      </c>
      <c r="AQ274" s="234" t="s">
        <v>631</v>
      </c>
      <c r="AR274" s="234">
        <v>0</v>
      </c>
      <c r="AS274" s="234">
        <v>-9999</v>
      </c>
      <c r="AT274" s="234">
        <v>-9999</v>
      </c>
      <c r="AU274" s="234">
        <v>0</v>
      </c>
      <c r="AV274" s="234">
        <v>-9999</v>
      </c>
      <c r="AW274" s="234">
        <v>-9999</v>
      </c>
      <c r="AX274" s="234">
        <v>0</v>
      </c>
      <c r="AY274" s="234">
        <v>-9999</v>
      </c>
      <c r="AZ274" s="234">
        <v>-9999</v>
      </c>
      <c r="BA274" s="234">
        <v>-9999</v>
      </c>
      <c r="BB274" s="234" t="s">
        <v>626</v>
      </c>
      <c r="BC274" s="234" t="s">
        <v>683</v>
      </c>
      <c r="BD274" s="234" t="s">
        <v>684</v>
      </c>
      <c r="BE274" s="234"/>
      <c r="BF274" s="234" t="s">
        <v>504</v>
      </c>
      <c r="BG274" s="234" t="s">
        <v>506</v>
      </c>
      <c r="BH274" s="234" t="s">
        <v>505</v>
      </c>
      <c r="BI274" s="234"/>
      <c r="BJ274" s="234">
        <v>-9999</v>
      </c>
      <c r="BK274" s="234">
        <v>-9999</v>
      </c>
      <c r="BL274" s="234">
        <v>2.5299999999999998</v>
      </c>
      <c r="BM274" s="234">
        <v>-9999</v>
      </c>
      <c r="BN274" s="234">
        <v>-9999</v>
      </c>
      <c r="BO274" s="234">
        <v>-9999</v>
      </c>
      <c r="BP274" s="234">
        <v>-9999</v>
      </c>
      <c r="BQ274" s="234">
        <v>-9999</v>
      </c>
      <c r="BR274" s="234">
        <v>28.84</v>
      </c>
      <c r="BS274" s="491">
        <v>-9999</v>
      </c>
      <c r="BT274" s="491">
        <v>-9999</v>
      </c>
      <c r="BU274" s="491">
        <v>-9999</v>
      </c>
      <c r="BV274" s="491">
        <v>-9999</v>
      </c>
      <c r="BW274" s="491"/>
      <c r="BX274" s="491">
        <v>-9999</v>
      </c>
      <c r="BY274" s="491">
        <v>-9999</v>
      </c>
      <c r="BZ274" s="497">
        <v>-9999</v>
      </c>
      <c r="CA274" s="496">
        <v>-9999</v>
      </c>
      <c r="CB274" s="499"/>
      <c r="CC274" s="57">
        <v>1</v>
      </c>
      <c r="CD274" s="57">
        <v>3</v>
      </c>
      <c r="CE274" s="292">
        <v>5.9200000000000008</v>
      </c>
      <c r="CF274" s="292">
        <v>11.780000000000001</v>
      </c>
      <c r="CG274" s="57">
        <v>3</v>
      </c>
    </row>
    <row r="275" spans="1:86" s="13" customFormat="1" x14ac:dyDescent="0.2">
      <c r="A275" s="231" t="s">
        <v>685</v>
      </c>
      <c r="B275" s="231" t="s">
        <v>680</v>
      </c>
      <c r="C275" s="231" t="s">
        <v>500</v>
      </c>
      <c r="D275" s="231" t="s">
        <v>633</v>
      </c>
      <c r="E275" s="232" t="s">
        <v>1519</v>
      </c>
      <c r="F275" s="231">
        <v>1</v>
      </c>
      <c r="G275" s="231">
        <v>4</v>
      </c>
      <c r="H275" s="231">
        <v>4</v>
      </c>
      <c r="I275" s="231" t="s">
        <v>954</v>
      </c>
      <c r="J275" s="231">
        <v>1999</v>
      </c>
      <c r="K275" s="231" t="s">
        <v>1001</v>
      </c>
      <c r="L275" s="231">
        <v>2002</v>
      </c>
      <c r="M275" s="235">
        <v>-9999</v>
      </c>
      <c r="N275" s="235">
        <v>-9999</v>
      </c>
      <c r="O275" s="18"/>
      <c r="P275" s="235">
        <v>37.200000000000003</v>
      </c>
      <c r="Q275" s="233">
        <v>-9999</v>
      </c>
      <c r="R275" s="235"/>
      <c r="S275" s="233"/>
      <c r="T275" s="235">
        <f>+P275/G275</f>
        <v>9.3000000000000007</v>
      </c>
      <c r="U275" s="233">
        <v>-9999</v>
      </c>
      <c r="V275" s="233"/>
      <c r="W275" s="236">
        <f>+P275-P274</f>
        <v>19.440000000000001</v>
      </c>
      <c r="X275" s="233">
        <v>-9999</v>
      </c>
      <c r="Y275" s="233"/>
      <c r="Z275" s="231" t="s">
        <v>681</v>
      </c>
      <c r="AA275" s="489">
        <v>18146</v>
      </c>
      <c r="AB275" s="235">
        <v>-9999</v>
      </c>
      <c r="AC275" s="231">
        <v>1</v>
      </c>
      <c r="AD275" s="231">
        <v>124.8</v>
      </c>
      <c r="AE275" s="231" t="s">
        <v>1952</v>
      </c>
      <c r="AF275" s="231">
        <v>4</v>
      </c>
      <c r="AG275" s="231">
        <v>-9999</v>
      </c>
      <c r="AH275" s="231" t="s">
        <v>623</v>
      </c>
      <c r="AI275" s="231">
        <v>-9999</v>
      </c>
      <c r="AJ275" s="231">
        <v>-9999</v>
      </c>
      <c r="AK275" s="231" t="s">
        <v>625</v>
      </c>
      <c r="AL275" s="231" t="s">
        <v>682</v>
      </c>
      <c r="AM275" s="231">
        <v>-9999</v>
      </c>
      <c r="AN275" s="231" t="s">
        <v>631</v>
      </c>
      <c r="AO275" s="231">
        <v>-9999</v>
      </c>
      <c r="AP275" s="231">
        <v>-9999</v>
      </c>
      <c r="AQ275" s="231" t="s">
        <v>631</v>
      </c>
      <c r="AR275" s="231">
        <v>0</v>
      </c>
      <c r="AS275" s="231">
        <v>-9999</v>
      </c>
      <c r="AT275" s="231">
        <v>-9999</v>
      </c>
      <c r="AU275" s="231">
        <v>0</v>
      </c>
      <c r="AV275" s="231">
        <v>-9999</v>
      </c>
      <c r="AW275" s="231">
        <v>-9999</v>
      </c>
      <c r="AX275" s="231">
        <v>0</v>
      </c>
      <c r="AY275" s="231">
        <v>-9999</v>
      </c>
      <c r="AZ275" s="231">
        <v>-9999</v>
      </c>
      <c r="BA275" s="231">
        <v>-9999</v>
      </c>
      <c r="BB275" s="231" t="s">
        <v>626</v>
      </c>
      <c r="BC275" s="231" t="s">
        <v>683</v>
      </c>
      <c r="BD275" s="231" t="s">
        <v>684</v>
      </c>
      <c r="BE275" s="231"/>
      <c r="BF275" s="231" t="s">
        <v>504</v>
      </c>
      <c r="BG275" s="231" t="s">
        <v>506</v>
      </c>
      <c r="BH275" s="231" t="s">
        <v>505</v>
      </c>
      <c r="BI275" s="231"/>
      <c r="BJ275" s="231">
        <v>-9999</v>
      </c>
      <c r="BK275" s="231">
        <v>-9999</v>
      </c>
      <c r="BL275" s="231">
        <v>3.12</v>
      </c>
      <c r="BM275" s="231">
        <v>-9999</v>
      </c>
      <c r="BN275" s="231">
        <v>-9999</v>
      </c>
      <c r="BO275" s="231">
        <v>-9999</v>
      </c>
      <c r="BP275" s="231">
        <v>-9999</v>
      </c>
      <c r="BQ275" s="231">
        <v>-9999</v>
      </c>
      <c r="BR275" s="231">
        <v>34.89</v>
      </c>
      <c r="BS275" s="233">
        <v>-9999</v>
      </c>
      <c r="BT275" s="233">
        <v>-9999</v>
      </c>
      <c r="BU275" s="233">
        <v>-9999</v>
      </c>
      <c r="BV275" s="233">
        <v>-9999</v>
      </c>
      <c r="BW275" s="233"/>
      <c r="BX275" s="233">
        <v>-9999</v>
      </c>
      <c r="BY275" s="233">
        <v>-9999</v>
      </c>
      <c r="BZ275" s="490">
        <v>-9999</v>
      </c>
      <c r="CA275" s="238">
        <v>-9999</v>
      </c>
      <c r="CB275" s="239"/>
      <c r="CC275" s="11">
        <v>1</v>
      </c>
      <c r="CD275" s="11">
        <v>4</v>
      </c>
      <c r="CE275" s="393">
        <v>9.3000000000000007</v>
      </c>
      <c r="CF275" s="99">
        <v>19.440000000000001</v>
      </c>
      <c r="CG275" s="11">
        <v>4</v>
      </c>
      <c r="CH275" s="436"/>
    </row>
    <row r="276" spans="1:86" s="23" customFormat="1" x14ac:dyDescent="0.2">
      <c r="A276" s="234"/>
      <c r="B276" s="234"/>
      <c r="C276" s="234"/>
      <c r="D276" s="234"/>
      <c r="E276" s="493"/>
      <c r="F276" s="234"/>
      <c r="G276" s="234"/>
      <c r="H276" s="234"/>
      <c r="I276" s="234"/>
      <c r="J276" s="234"/>
      <c r="K276" s="234"/>
      <c r="L276" s="234"/>
      <c r="M276" s="389"/>
      <c r="N276" s="389"/>
      <c r="O276" s="29"/>
      <c r="P276" s="389"/>
      <c r="Q276" s="491"/>
      <c r="R276" s="389"/>
      <c r="S276" s="491"/>
      <c r="T276" s="389"/>
      <c r="U276" s="491"/>
      <c r="V276" s="491"/>
      <c r="W276" s="237"/>
      <c r="X276" s="491"/>
      <c r="Y276" s="491"/>
      <c r="Z276" s="234"/>
      <c r="AA276" s="495"/>
      <c r="AB276" s="389"/>
      <c r="AC276" s="234"/>
      <c r="AD276" s="234"/>
      <c r="AE276" s="234"/>
      <c r="AF276" s="234"/>
      <c r="AG276" s="234"/>
      <c r="AH276" s="234"/>
      <c r="AI276" s="234"/>
      <c r="AJ276" s="234"/>
      <c r="AK276" s="234"/>
      <c r="AL276" s="234"/>
      <c r="AM276" s="234"/>
      <c r="AN276" s="234"/>
      <c r="AO276" s="234"/>
      <c r="AP276" s="234"/>
      <c r="AQ276" s="234"/>
      <c r="AR276" s="234"/>
      <c r="AS276" s="234"/>
      <c r="AT276" s="234"/>
      <c r="AU276" s="234"/>
      <c r="AV276" s="234"/>
      <c r="AW276" s="234"/>
      <c r="AX276" s="234"/>
      <c r="AY276" s="234"/>
      <c r="AZ276" s="234"/>
      <c r="BA276" s="234"/>
      <c r="BB276" s="234"/>
      <c r="BC276" s="234"/>
      <c r="BD276" s="234"/>
      <c r="BE276" s="234"/>
      <c r="BF276" s="234"/>
      <c r="BG276" s="234"/>
      <c r="BH276" s="234"/>
      <c r="BI276" s="234"/>
      <c r="BJ276" s="234"/>
      <c r="BK276" s="234"/>
      <c r="BL276" s="234"/>
      <c r="BM276" s="234"/>
      <c r="BN276" s="234"/>
      <c r="BO276" s="234"/>
      <c r="BP276" s="234"/>
      <c r="BQ276" s="234"/>
      <c r="BR276" s="234"/>
      <c r="BS276" s="491"/>
      <c r="BT276" s="491"/>
      <c r="BU276" s="491"/>
      <c r="BV276" s="491"/>
      <c r="BW276" s="491"/>
      <c r="BX276" s="491"/>
      <c r="BY276" s="491"/>
      <c r="BZ276" s="497"/>
      <c r="CA276" s="496"/>
      <c r="CB276" s="499"/>
      <c r="CC276" s="57"/>
      <c r="CD276" s="57"/>
      <c r="CE276" s="342" t="s">
        <v>1576</v>
      </c>
      <c r="CF276" s="342" t="s">
        <v>1575</v>
      </c>
      <c r="CG276" s="57"/>
    </row>
    <row r="277" spans="1:86" s="23" customFormat="1" x14ac:dyDescent="0.2">
      <c r="A277" s="234" t="s">
        <v>685</v>
      </c>
      <c r="B277" s="234" t="s">
        <v>680</v>
      </c>
      <c r="C277" s="234" t="s">
        <v>501</v>
      </c>
      <c r="D277" s="234" t="s">
        <v>633</v>
      </c>
      <c r="E277" s="493" t="s">
        <v>39</v>
      </c>
      <c r="F277" s="234">
        <v>1</v>
      </c>
      <c r="G277" s="234">
        <v>1</v>
      </c>
      <c r="H277" s="234">
        <v>1</v>
      </c>
      <c r="I277" s="234" t="s">
        <v>954</v>
      </c>
      <c r="J277" s="234">
        <v>1999</v>
      </c>
      <c r="K277" s="234" t="s">
        <v>1001</v>
      </c>
      <c r="L277" s="234">
        <v>1999</v>
      </c>
      <c r="M277" s="389">
        <v>-9999</v>
      </c>
      <c r="N277" s="389">
        <v>-9999</v>
      </c>
      <c r="O277" s="29"/>
      <c r="P277" s="389">
        <v>1.77</v>
      </c>
      <c r="Q277" s="491">
        <v>-9999</v>
      </c>
      <c r="R277" s="389"/>
      <c r="S277" s="491"/>
      <c r="T277" s="237">
        <f>+P277/G277</f>
        <v>1.77</v>
      </c>
      <c r="U277" s="491">
        <v>-9999</v>
      </c>
      <c r="V277" s="491"/>
      <c r="W277" s="389">
        <f>+P277</f>
        <v>1.77</v>
      </c>
      <c r="X277" s="491">
        <v>-9999</v>
      </c>
      <c r="Y277" s="491"/>
      <c r="Z277" s="234" t="s">
        <v>681</v>
      </c>
      <c r="AA277" s="495">
        <v>18146</v>
      </c>
      <c r="AB277" s="389">
        <v>-9999</v>
      </c>
      <c r="AC277" s="234">
        <v>1</v>
      </c>
      <c r="AD277" s="234">
        <v>124.8</v>
      </c>
      <c r="AE277" s="390" t="s">
        <v>1952</v>
      </c>
      <c r="AF277" s="234">
        <v>4</v>
      </c>
      <c r="AG277" s="234">
        <v>-9999</v>
      </c>
      <c r="AH277" s="234" t="s">
        <v>623</v>
      </c>
      <c r="AI277" s="234">
        <v>-9999</v>
      </c>
      <c r="AJ277" s="234">
        <v>-9999</v>
      </c>
      <c r="AK277" s="234" t="s">
        <v>625</v>
      </c>
      <c r="AL277" s="234" t="s">
        <v>682</v>
      </c>
      <c r="AM277" s="234">
        <v>-9999</v>
      </c>
      <c r="AN277" s="234" t="s">
        <v>631</v>
      </c>
      <c r="AO277" s="234">
        <v>-9999</v>
      </c>
      <c r="AP277" s="234">
        <v>-9999</v>
      </c>
      <c r="AQ277" s="234" t="s">
        <v>631</v>
      </c>
      <c r="AR277" s="234">
        <v>0</v>
      </c>
      <c r="AS277" s="234">
        <v>-9999</v>
      </c>
      <c r="AT277" s="234">
        <v>-9999</v>
      </c>
      <c r="AU277" s="234">
        <v>0</v>
      </c>
      <c r="AV277" s="234">
        <v>-9999</v>
      </c>
      <c r="AW277" s="234">
        <v>-9999</v>
      </c>
      <c r="AX277" s="234">
        <v>0</v>
      </c>
      <c r="AY277" s="234">
        <v>-9999</v>
      </c>
      <c r="AZ277" s="234">
        <v>-9999</v>
      </c>
      <c r="BA277" s="234">
        <v>-9999</v>
      </c>
      <c r="BB277" s="234" t="s">
        <v>626</v>
      </c>
      <c r="BC277" s="234" t="s">
        <v>683</v>
      </c>
      <c r="BD277" s="234" t="s">
        <v>684</v>
      </c>
      <c r="BE277" s="234"/>
      <c r="BF277" s="234" t="s">
        <v>504</v>
      </c>
      <c r="BG277" s="234" t="s">
        <v>506</v>
      </c>
      <c r="BH277" s="234" t="s">
        <v>505</v>
      </c>
      <c r="BI277" s="234"/>
      <c r="BJ277" s="234">
        <v>-9999</v>
      </c>
      <c r="BK277" s="234">
        <v>-9999</v>
      </c>
      <c r="BL277" s="234">
        <v>0.65</v>
      </c>
      <c r="BM277" s="234">
        <v>-9999</v>
      </c>
      <c r="BN277" s="234">
        <v>-9999</v>
      </c>
      <c r="BO277" s="234">
        <v>-9999</v>
      </c>
      <c r="BP277" s="234">
        <v>-9999</v>
      </c>
      <c r="BQ277" s="234">
        <v>-9999</v>
      </c>
      <c r="BR277" s="234">
        <v>5.29</v>
      </c>
      <c r="BS277" s="491">
        <v>-9999</v>
      </c>
      <c r="BT277" s="491">
        <v>-9999</v>
      </c>
      <c r="BU277" s="491">
        <v>-9999</v>
      </c>
      <c r="BV277" s="491">
        <v>-9999</v>
      </c>
      <c r="BW277" s="491"/>
      <c r="BX277" s="491">
        <v>-9999</v>
      </c>
      <c r="BY277" s="491">
        <v>-9999</v>
      </c>
      <c r="BZ277" s="497">
        <v>-9999</v>
      </c>
      <c r="CA277" s="496">
        <v>-9999</v>
      </c>
      <c r="CB277" s="499"/>
      <c r="CC277" s="57">
        <v>1</v>
      </c>
      <c r="CD277" s="57">
        <v>1</v>
      </c>
      <c r="CE277" s="292">
        <v>1.77</v>
      </c>
      <c r="CF277" s="292">
        <v>1.77</v>
      </c>
      <c r="CG277" s="57">
        <v>1</v>
      </c>
    </row>
    <row r="278" spans="1:86" s="23" customFormat="1" x14ac:dyDescent="0.2">
      <c r="A278" s="234" t="s">
        <v>685</v>
      </c>
      <c r="B278" s="234" t="s">
        <v>680</v>
      </c>
      <c r="C278" s="234" t="s">
        <v>501</v>
      </c>
      <c r="D278" s="234" t="s">
        <v>633</v>
      </c>
      <c r="E278" s="493" t="s">
        <v>39</v>
      </c>
      <c r="F278" s="234">
        <v>1</v>
      </c>
      <c r="G278" s="234">
        <v>2</v>
      </c>
      <c r="H278" s="234">
        <v>2</v>
      </c>
      <c r="I278" s="234" t="s">
        <v>954</v>
      </c>
      <c r="J278" s="234">
        <v>1999</v>
      </c>
      <c r="K278" s="234" t="s">
        <v>1001</v>
      </c>
      <c r="L278" s="234">
        <v>2000</v>
      </c>
      <c r="M278" s="389">
        <v>-9999</v>
      </c>
      <c r="N278" s="389">
        <v>-9999</v>
      </c>
      <c r="O278" s="29"/>
      <c r="P278" s="389">
        <v>6.22</v>
      </c>
      <c r="Q278" s="491">
        <v>-9999</v>
      </c>
      <c r="R278" s="389"/>
      <c r="S278" s="491"/>
      <c r="T278" s="237">
        <f>+P278/G278</f>
        <v>3.11</v>
      </c>
      <c r="U278" s="491">
        <v>-9999</v>
      </c>
      <c r="V278" s="491"/>
      <c r="W278" s="237">
        <f>+P278-P277</f>
        <v>4.4499999999999993</v>
      </c>
      <c r="X278" s="491">
        <v>-9999</v>
      </c>
      <c r="Y278" s="491"/>
      <c r="Z278" s="234" t="s">
        <v>681</v>
      </c>
      <c r="AA278" s="495">
        <v>18146</v>
      </c>
      <c r="AB278" s="389">
        <v>-9999</v>
      </c>
      <c r="AC278" s="234">
        <v>1</v>
      </c>
      <c r="AD278" s="234">
        <v>124.8</v>
      </c>
      <c r="AE278" s="390" t="s">
        <v>1952</v>
      </c>
      <c r="AF278" s="234">
        <v>4</v>
      </c>
      <c r="AG278" s="234">
        <v>-9999</v>
      </c>
      <c r="AH278" s="234" t="s">
        <v>623</v>
      </c>
      <c r="AI278" s="234">
        <v>-9999</v>
      </c>
      <c r="AJ278" s="234">
        <v>-9999</v>
      </c>
      <c r="AK278" s="234" t="s">
        <v>625</v>
      </c>
      <c r="AL278" s="234" t="s">
        <v>682</v>
      </c>
      <c r="AM278" s="234">
        <v>-9999</v>
      </c>
      <c r="AN278" s="234" t="s">
        <v>631</v>
      </c>
      <c r="AO278" s="234">
        <v>-9999</v>
      </c>
      <c r="AP278" s="234">
        <v>-9999</v>
      </c>
      <c r="AQ278" s="234" t="s">
        <v>631</v>
      </c>
      <c r="AR278" s="234">
        <v>0</v>
      </c>
      <c r="AS278" s="234">
        <v>-9999</v>
      </c>
      <c r="AT278" s="234">
        <v>-9999</v>
      </c>
      <c r="AU278" s="234">
        <v>0</v>
      </c>
      <c r="AV278" s="234">
        <v>-9999</v>
      </c>
      <c r="AW278" s="234">
        <v>-9999</v>
      </c>
      <c r="AX278" s="234">
        <v>0</v>
      </c>
      <c r="AY278" s="234">
        <v>-9999</v>
      </c>
      <c r="AZ278" s="234">
        <v>-9999</v>
      </c>
      <c r="BA278" s="234">
        <v>-9999</v>
      </c>
      <c r="BB278" s="234" t="s">
        <v>626</v>
      </c>
      <c r="BC278" s="234" t="s">
        <v>683</v>
      </c>
      <c r="BD278" s="234" t="s">
        <v>684</v>
      </c>
      <c r="BE278" s="234"/>
      <c r="BF278" s="234" t="s">
        <v>504</v>
      </c>
      <c r="BG278" s="234" t="s">
        <v>506</v>
      </c>
      <c r="BH278" s="234" t="s">
        <v>505</v>
      </c>
      <c r="BI278" s="234"/>
      <c r="BJ278" s="234">
        <v>-9999</v>
      </c>
      <c r="BK278" s="234">
        <v>-9999</v>
      </c>
      <c r="BL278" s="234">
        <v>1.96</v>
      </c>
      <c r="BM278" s="234">
        <v>-9999</v>
      </c>
      <c r="BN278" s="234">
        <v>-9999</v>
      </c>
      <c r="BO278" s="234">
        <v>-9999</v>
      </c>
      <c r="BP278" s="234">
        <v>-9999</v>
      </c>
      <c r="BQ278" s="234">
        <v>-9999</v>
      </c>
      <c r="BR278" s="234">
        <v>15.06</v>
      </c>
      <c r="BS278" s="491">
        <v>-9999</v>
      </c>
      <c r="BT278" s="491">
        <v>-9999</v>
      </c>
      <c r="BU278" s="491">
        <v>-9999</v>
      </c>
      <c r="BV278" s="491">
        <v>-9999</v>
      </c>
      <c r="BW278" s="491"/>
      <c r="BX278" s="491">
        <v>-9999</v>
      </c>
      <c r="BY278" s="491">
        <v>-9999</v>
      </c>
      <c r="BZ278" s="497">
        <v>-9999</v>
      </c>
      <c r="CA278" s="496">
        <v>-9999</v>
      </c>
      <c r="CB278" s="499"/>
      <c r="CC278" s="57">
        <v>1</v>
      </c>
      <c r="CD278" s="57">
        <v>2</v>
      </c>
      <c r="CE278" s="292">
        <v>3.11</v>
      </c>
      <c r="CF278" s="292">
        <v>4.4499999999999993</v>
      </c>
      <c r="CG278" s="57">
        <v>2</v>
      </c>
    </row>
    <row r="279" spans="1:86" s="23" customFormat="1" x14ac:dyDescent="0.2">
      <c r="A279" s="234" t="s">
        <v>685</v>
      </c>
      <c r="B279" s="234" t="s">
        <v>680</v>
      </c>
      <c r="C279" s="234" t="s">
        <v>501</v>
      </c>
      <c r="D279" s="234" t="s">
        <v>633</v>
      </c>
      <c r="E279" s="493" t="s">
        <v>39</v>
      </c>
      <c r="F279" s="234">
        <v>1</v>
      </c>
      <c r="G279" s="234">
        <v>3</v>
      </c>
      <c r="H279" s="234">
        <v>3</v>
      </c>
      <c r="I279" s="234" t="s">
        <v>954</v>
      </c>
      <c r="J279" s="234">
        <v>1999</v>
      </c>
      <c r="K279" s="234" t="s">
        <v>1001</v>
      </c>
      <c r="L279" s="234">
        <v>2001</v>
      </c>
      <c r="M279" s="389">
        <v>-9999</v>
      </c>
      <c r="N279" s="389">
        <v>-9999</v>
      </c>
      <c r="O279" s="29"/>
      <c r="P279" s="389">
        <v>26.81</v>
      </c>
      <c r="Q279" s="491">
        <v>-9999</v>
      </c>
      <c r="R279" s="389"/>
      <c r="S279" s="491"/>
      <c r="T279" s="237">
        <f>+P279/G279</f>
        <v>8.9366666666666656</v>
      </c>
      <c r="U279" s="491">
        <v>-9999</v>
      </c>
      <c r="V279" s="491"/>
      <c r="W279" s="237">
        <f>+P279-P278</f>
        <v>20.59</v>
      </c>
      <c r="X279" s="491">
        <v>-9999</v>
      </c>
      <c r="Y279" s="491"/>
      <c r="Z279" s="234" t="s">
        <v>681</v>
      </c>
      <c r="AA279" s="495">
        <v>18146</v>
      </c>
      <c r="AB279" s="389">
        <v>-9999</v>
      </c>
      <c r="AC279" s="234">
        <v>1</v>
      </c>
      <c r="AD279" s="234">
        <v>124.8</v>
      </c>
      <c r="AE279" s="390" t="s">
        <v>1952</v>
      </c>
      <c r="AF279" s="234">
        <v>4</v>
      </c>
      <c r="AG279" s="234">
        <v>-9999</v>
      </c>
      <c r="AH279" s="234" t="s">
        <v>623</v>
      </c>
      <c r="AI279" s="234">
        <v>-9999</v>
      </c>
      <c r="AJ279" s="234">
        <v>-9999</v>
      </c>
      <c r="AK279" s="234" t="s">
        <v>625</v>
      </c>
      <c r="AL279" s="234" t="s">
        <v>682</v>
      </c>
      <c r="AM279" s="234">
        <v>-9999</v>
      </c>
      <c r="AN279" s="234" t="s">
        <v>631</v>
      </c>
      <c r="AO279" s="234">
        <v>-9999</v>
      </c>
      <c r="AP279" s="234">
        <v>-9999</v>
      </c>
      <c r="AQ279" s="234" t="s">
        <v>631</v>
      </c>
      <c r="AR279" s="234">
        <v>0</v>
      </c>
      <c r="AS279" s="234">
        <v>-9999</v>
      </c>
      <c r="AT279" s="234">
        <v>-9999</v>
      </c>
      <c r="AU279" s="234">
        <v>0</v>
      </c>
      <c r="AV279" s="234">
        <v>-9999</v>
      </c>
      <c r="AW279" s="234">
        <v>-9999</v>
      </c>
      <c r="AX279" s="234">
        <v>0</v>
      </c>
      <c r="AY279" s="234">
        <v>-9999</v>
      </c>
      <c r="AZ279" s="234">
        <v>-9999</v>
      </c>
      <c r="BA279" s="234">
        <v>-9999</v>
      </c>
      <c r="BB279" s="234" t="s">
        <v>626</v>
      </c>
      <c r="BC279" s="234" t="s">
        <v>683</v>
      </c>
      <c r="BD279" s="234" t="s">
        <v>684</v>
      </c>
      <c r="BE279" s="234"/>
      <c r="BF279" s="234" t="s">
        <v>504</v>
      </c>
      <c r="BG279" s="234" t="s">
        <v>506</v>
      </c>
      <c r="BH279" s="234" t="s">
        <v>505</v>
      </c>
      <c r="BI279" s="234"/>
      <c r="BJ279" s="234">
        <v>-9999</v>
      </c>
      <c r="BK279" s="234">
        <v>-9999</v>
      </c>
      <c r="BL279" s="234">
        <v>3.42</v>
      </c>
      <c r="BM279" s="234">
        <v>-9999</v>
      </c>
      <c r="BN279" s="234">
        <v>-9999</v>
      </c>
      <c r="BO279" s="234">
        <v>-9999</v>
      </c>
      <c r="BP279" s="234">
        <v>-9999</v>
      </c>
      <c r="BQ279" s="234">
        <v>-9999</v>
      </c>
      <c r="BR279" s="234">
        <v>33.159999999999997</v>
      </c>
      <c r="BS279" s="491">
        <v>-9999</v>
      </c>
      <c r="BT279" s="491">
        <v>-9999</v>
      </c>
      <c r="BU279" s="491">
        <v>-9999</v>
      </c>
      <c r="BV279" s="491">
        <v>-9999</v>
      </c>
      <c r="BW279" s="491"/>
      <c r="BX279" s="491">
        <v>-9999</v>
      </c>
      <c r="BY279" s="491">
        <v>-9999</v>
      </c>
      <c r="BZ279" s="497">
        <v>-9999</v>
      </c>
      <c r="CA279" s="496">
        <v>-9999</v>
      </c>
      <c r="CB279" s="499"/>
      <c r="CC279" s="57">
        <v>1</v>
      </c>
      <c r="CD279" s="57">
        <v>3</v>
      </c>
      <c r="CE279" s="292">
        <v>8.9366666666666656</v>
      </c>
      <c r="CF279" s="292">
        <v>20.59</v>
      </c>
      <c r="CG279" s="57">
        <v>3</v>
      </c>
    </row>
    <row r="280" spans="1:86" s="13" customFormat="1" x14ac:dyDescent="0.2">
      <c r="A280" s="231" t="s">
        <v>685</v>
      </c>
      <c r="B280" s="231" t="s">
        <v>680</v>
      </c>
      <c r="C280" s="231" t="s">
        <v>501</v>
      </c>
      <c r="D280" s="231" t="s">
        <v>633</v>
      </c>
      <c r="E280" s="232" t="s">
        <v>39</v>
      </c>
      <c r="F280" s="231">
        <v>1</v>
      </c>
      <c r="G280" s="231">
        <v>4</v>
      </c>
      <c r="H280" s="231">
        <v>4</v>
      </c>
      <c r="I280" s="231" t="s">
        <v>954</v>
      </c>
      <c r="J280" s="231">
        <v>1999</v>
      </c>
      <c r="K280" s="231" t="s">
        <v>1001</v>
      </c>
      <c r="L280" s="231">
        <v>2002</v>
      </c>
      <c r="M280" s="235">
        <v>-9999</v>
      </c>
      <c r="N280" s="235">
        <v>-9999</v>
      </c>
      <c r="O280" s="18"/>
      <c r="P280" s="235">
        <v>46.64</v>
      </c>
      <c r="Q280" s="233">
        <v>-9999</v>
      </c>
      <c r="R280" s="235"/>
      <c r="S280" s="233"/>
      <c r="T280" s="235">
        <f>+P280/G280</f>
        <v>11.66</v>
      </c>
      <c r="U280" s="233">
        <v>-9999</v>
      </c>
      <c r="V280" s="233"/>
      <c r="W280" s="236">
        <f>+P280-P279</f>
        <v>19.830000000000002</v>
      </c>
      <c r="X280" s="233">
        <v>-9999</v>
      </c>
      <c r="Y280" s="233"/>
      <c r="Z280" s="231" t="s">
        <v>681</v>
      </c>
      <c r="AA280" s="489">
        <v>18146</v>
      </c>
      <c r="AB280" s="235">
        <v>-9999</v>
      </c>
      <c r="AC280" s="231">
        <v>1</v>
      </c>
      <c r="AD280" s="231">
        <v>124.8</v>
      </c>
      <c r="AE280" s="231" t="s">
        <v>1952</v>
      </c>
      <c r="AF280" s="231">
        <v>4</v>
      </c>
      <c r="AG280" s="231">
        <v>-9999</v>
      </c>
      <c r="AH280" s="231" t="s">
        <v>623</v>
      </c>
      <c r="AI280" s="231">
        <v>-9999</v>
      </c>
      <c r="AJ280" s="231">
        <v>-9999</v>
      </c>
      <c r="AK280" s="231" t="s">
        <v>625</v>
      </c>
      <c r="AL280" s="231" t="s">
        <v>682</v>
      </c>
      <c r="AM280" s="231">
        <v>-9999</v>
      </c>
      <c r="AN280" s="231" t="s">
        <v>631</v>
      </c>
      <c r="AO280" s="231">
        <v>-9999</v>
      </c>
      <c r="AP280" s="231">
        <v>-9999</v>
      </c>
      <c r="AQ280" s="231" t="s">
        <v>631</v>
      </c>
      <c r="AR280" s="231">
        <v>0</v>
      </c>
      <c r="AS280" s="231">
        <v>-9999</v>
      </c>
      <c r="AT280" s="231">
        <v>-9999</v>
      </c>
      <c r="AU280" s="231">
        <v>0</v>
      </c>
      <c r="AV280" s="231">
        <v>-9999</v>
      </c>
      <c r="AW280" s="231">
        <v>-9999</v>
      </c>
      <c r="AX280" s="231">
        <v>0</v>
      </c>
      <c r="AY280" s="231">
        <v>-9999</v>
      </c>
      <c r="AZ280" s="231">
        <v>-9999</v>
      </c>
      <c r="BA280" s="231">
        <v>-9999</v>
      </c>
      <c r="BB280" s="231" t="s">
        <v>626</v>
      </c>
      <c r="BC280" s="231" t="s">
        <v>683</v>
      </c>
      <c r="BD280" s="231" t="s">
        <v>684</v>
      </c>
      <c r="BE280" s="231"/>
      <c r="BF280" s="231" t="s">
        <v>504</v>
      </c>
      <c r="BG280" s="231" t="s">
        <v>506</v>
      </c>
      <c r="BH280" s="231" t="s">
        <v>505</v>
      </c>
      <c r="BI280" s="231"/>
      <c r="BJ280" s="231">
        <v>-9999</v>
      </c>
      <c r="BK280" s="231">
        <v>-9999</v>
      </c>
      <c r="BL280" s="231">
        <v>4.49</v>
      </c>
      <c r="BM280" s="231">
        <v>-9999</v>
      </c>
      <c r="BN280" s="231">
        <v>-9999</v>
      </c>
      <c r="BO280" s="231">
        <v>-9999</v>
      </c>
      <c r="BP280" s="231">
        <v>-9999</v>
      </c>
      <c r="BQ280" s="231">
        <v>-9999</v>
      </c>
      <c r="BR280" s="231">
        <v>41.53</v>
      </c>
      <c r="BS280" s="233">
        <v>-9999</v>
      </c>
      <c r="BT280" s="233">
        <v>-9999</v>
      </c>
      <c r="BU280" s="233">
        <v>-9999</v>
      </c>
      <c r="BV280" s="233">
        <v>-9999</v>
      </c>
      <c r="BW280" s="233"/>
      <c r="BX280" s="233">
        <v>-9999</v>
      </c>
      <c r="BY280" s="233">
        <v>-9999</v>
      </c>
      <c r="BZ280" s="490">
        <v>-9999</v>
      </c>
      <c r="CA280" s="238">
        <v>-9999</v>
      </c>
      <c r="CB280" s="239"/>
      <c r="CC280" s="11">
        <v>1</v>
      </c>
      <c r="CD280" s="11">
        <v>4</v>
      </c>
      <c r="CE280" s="393">
        <v>11.66</v>
      </c>
      <c r="CF280" s="99">
        <v>19.830000000000002</v>
      </c>
      <c r="CG280" s="11">
        <v>4</v>
      </c>
      <c r="CH280" s="436"/>
    </row>
    <row r="281" spans="1:86" s="23" customFormat="1" x14ac:dyDescent="0.2">
      <c r="A281" s="234"/>
      <c r="B281" s="234"/>
      <c r="C281" s="234"/>
      <c r="D281" s="234"/>
      <c r="E281" s="493"/>
      <c r="F281" s="234"/>
      <c r="G281" s="234"/>
      <c r="H281" s="234"/>
      <c r="I281" s="234"/>
      <c r="J281" s="234"/>
      <c r="K281" s="234"/>
      <c r="L281" s="234"/>
      <c r="M281" s="389"/>
      <c r="N281" s="389"/>
      <c r="O281" s="29"/>
      <c r="P281" s="389"/>
      <c r="Q281" s="491"/>
      <c r="R281" s="389"/>
      <c r="S281" s="491"/>
      <c r="T281" s="389"/>
      <c r="U281" s="491"/>
      <c r="V281" s="491"/>
      <c r="W281" s="237"/>
      <c r="X281" s="491"/>
      <c r="Y281" s="491"/>
      <c r="Z281" s="234"/>
      <c r="AA281" s="495"/>
      <c r="AB281" s="389"/>
      <c r="AC281" s="234"/>
      <c r="AD281" s="234"/>
      <c r="AE281" s="234"/>
      <c r="AF281" s="234"/>
      <c r="AG281" s="234"/>
      <c r="AH281" s="234"/>
      <c r="AI281" s="234"/>
      <c r="AJ281" s="234"/>
      <c r="AK281" s="234"/>
      <c r="AL281" s="234"/>
      <c r="AM281" s="234"/>
      <c r="AN281" s="234"/>
      <c r="AO281" s="234"/>
      <c r="AP281" s="234"/>
      <c r="AQ281" s="234"/>
      <c r="AR281" s="234"/>
      <c r="AS281" s="234"/>
      <c r="AT281" s="234"/>
      <c r="AU281" s="234"/>
      <c r="AV281" s="234"/>
      <c r="AW281" s="234"/>
      <c r="AX281" s="234"/>
      <c r="AY281" s="234"/>
      <c r="AZ281" s="234"/>
      <c r="BA281" s="234"/>
      <c r="BB281" s="234"/>
      <c r="BC281" s="234"/>
      <c r="BD281" s="234"/>
      <c r="BE281" s="234"/>
      <c r="BF281" s="234"/>
      <c r="BG281" s="234"/>
      <c r="BH281" s="234"/>
      <c r="BI281" s="234"/>
      <c r="BJ281" s="234"/>
      <c r="BK281" s="234"/>
      <c r="BL281" s="234"/>
      <c r="BM281" s="234"/>
      <c r="BN281" s="234"/>
      <c r="BO281" s="234"/>
      <c r="BP281" s="234"/>
      <c r="BQ281" s="234"/>
      <c r="BR281" s="234"/>
      <c r="BS281" s="491"/>
      <c r="BT281" s="491"/>
      <c r="BU281" s="491"/>
      <c r="BV281" s="491"/>
      <c r="BW281" s="491"/>
      <c r="BX281" s="491"/>
      <c r="BY281" s="491"/>
      <c r="BZ281" s="497"/>
      <c r="CA281" s="496"/>
      <c r="CB281" s="499"/>
      <c r="CC281" s="57"/>
      <c r="CD281" s="57"/>
      <c r="CE281" s="342" t="s">
        <v>1576</v>
      </c>
      <c r="CF281" s="342" t="s">
        <v>1575</v>
      </c>
      <c r="CG281" s="57"/>
    </row>
    <row r="282" spans="1:86" s="23" customFormat="1" x14ac:dyDescent="0.2">
      <c r="A282" s="234" t="s">
        <v>685</v>
      </c>
      <c r="B282" s="234" t="s">
        <v>680</v>
      </c>
      <c r="C282" s="234" t="s">
        <v>502</v>
      </c>
      <c r="D282" s="234" t="s">
        <v>633</v>
      </c>
      <c r="E282" s="493" t="s">
        <v>40</v>
      </c>
      <c r="F282" s="234">
        <v>1</v>
      </c>
      <c r="G282" s="234">
        <v>1</v>
      </c>
      <c r="H282" s="234">
        <v>1</v>
      </c>
      <c r="I282" s="234" t="s">
        <v>954</v>
      </c>
      <c r="J282" s="234">
        <v>1999</v>
      </c>
      <c r="K282" s="234" t="s">
        <v>1001</v>
      </c>
      <c r="L282" s="234">
        <v>1999</v>
      </c>
      <c r="M282" s="389">
        <v>-9999</v>
      </c>
      <c r="N282" s="389">
        <v>-9999</v>
      </c>
      <c r="O282" s="29"/>
      <c r="P282" s="389">
        <v>1.28</v>
      </c>
      <c r="Q282" s="491">
        <v>-9999</v>
      </c>
      <c r="R282" s="389"/>
      <c r="S282" s="491"/>
      <c r="T282" s="237">
        <f>+P282/G282</f>
        <v>1.28</v>
      </c>
      <c r="U282" s="491">
        <v>-9999</v>
      </c>
      <c r="V282" s="491"/>
      <c r="W282" s="389">
        <f>+P282</f>
        <v>1.28</v>
      </c>
      <c r="X282" s="491">
        <v>-9999</v>
      </c>
      <c r="Y282" s="491"/>
      <c r="Z282" s="234" t="s">
        <v>681</v>
      </c>
      <c r="AA282" s="495">
        <v>18146</v>
      </c>
      <c r="AB282" s="389">
        <v>-9999</v>
      </c>
      <c r="AC282" s="234">
        <v>1</v>
      </c>
      <c r="AD282" s="234">
        <v>124.8</v>
      </c>
      <c r="AE282" s="390" t="s">
        <v>1952</v>
      </c>
      <c r="AF282" s="234">
        <v>4</v>
      </c>
      <c r="AG282" s="234">
        <v>-9999</v>
      </c>
      <c r="AH282" s="234" t="s">
        <v>623</v>
      </c>
      <c r="AI282" s="234">
        <v>-9999</v>
      </c>
      <c r="AJ282" s="234">
        <v>-9999</v>
      </c>
      <c r="AK282" s="234" t="s">
        <v>625</v>
      </c>
      <c r="AL282" s="234" t="s">
        <v>682</v>
      </c>
      <c r="AM282" s="234">
        <v>-9999</v>
      </c>
      <c r="AN282" s="234" t="s">
        <v>631</v>
      </c>
      <c r="AO282" s="234">
        <v>-9999</v>
      </c>
      <c r="AP282" s="234">
        <v>-9999</v>
      </c>
      <c r="AQ282" s="234" t="s">
        <v>631</v>
      </c>
      <c r="AR282" s="234">
        <v>0</v>
      </c>
      <c r="AS282" s="234">
        <v>-9999</v>
      </c>
      <c r="AT282" s="234">
        <v>-9999</v>
      </c>
      <c r="AU282" s="234">
        <v>0</v>
      </c>
      <c r="AV282" s="234">
        <v>-9999</v>
      </c>
      <c r="AW282" s="234">
        <v>-9999</v>
      </c>
      <c r="AX282" s="234">
        <v>0</v>
      </c>
      <c r="AY282" s="234">
        <v>-9999</v>
      </c>
      <c r="AZ282" s="234">
        <v>-9999</v>
      </c>
      <c r="BA282" s="234">
        <v>-9999</v>
      </c>
      <c r="BB282" s="234" t="s">
        <v>626</v>
      </c>
      <c r="BC282" s="234" t="s">
        <v>683</v>
      </c>
      <c r="BD282" s="234" t="s">
        <v>684</v>
      </c>
      <c r="BE282" s="234"/>
      <c r="BF282" s="234" t="s">
        <v>504</v>
      </c>
      <c r="BG282" s="234" t="s">
        <v>506</v>
      </c>
      <c r="BH282" s="234" t="s">
        <v>505</v>
      </c>
      <c r="BI282" s="234"/>
      <c r="BJ282" s="234">
        <v>-9999</v>
      </c>
      <c r="BK282" s="234">
        <v>-9999</v>
      </c>
      <c r="BL282" s="234">
        <v>0.52</v>
      </c>
      <c r="BM282" s="234">
        <v>-9999</v>
      </c>
      <c r="BN282" s="234">
        <v>-9999</v>
      </c>
      <c r="BO282" s="234">
        <v>-9999</v>
      </c>
      <c r="BP282" s="234">
        <v>-9999</v>
      </c>
      <c r="BQ282" s="234">
        <v>-9999</v>
      </c>
      <c r="BR282" s="234">
        <v>4.9800000000000004</v>
      </c>
      <c r="BS282" s="491">
        <v>-9999</v>
      </c>
      <c r="BT282" s="491">
        <v>-9999</v>
      </c>
      <c r="BU282" s="491">
        <v>-9999</v>
      </c>
      <c r="BV282" s="491">
        <v>-9999</v>
      </c>
      <c r="BW282" s="491"/>
      <c r="BX282" s="491">
        <v>-9999</v>
      </c>
      <c r="BY282" s="491">
        <v>-9999</v>
      </c>
      <c r="BZ282" s="497">
        <v>-9999</v>
      </c>
      <c r="CA282" s="496">
        <v>-9999</v>
      </c>
      <c r="CB282" s="499"/>
      <c r="CC282" s="57">
        <v>1</v>
      </c>
      <c r="CD282" s="57">
        <v>1</v>
      </c>
      <c r="CE282" s="292">
        <v>1.28</v>
      </c>
      <c r="CF282" s="292">
        <v>1.28</v>
      </c>
      <c r="CG282" s="57">
        <v>1</v>
      </c>
    </row>
    <row r="283" spans="1:86" s="23" customFormat="1" x14ac:dyDescent="0.2">
      <c r="A283" s="234" t="s">
        <v>685</v>
      </c>
      <c r="B283" s="234" t="s">
        <v>680</v>
      </c>
      <c r="C283" s="234" t="s">
        <v>502</v>
      </c>
      <c r="D283" s="234" t="s">
        <v>633</v>
      </c>
      <c r="E283" s="493" t="s">
        <v>40</v>
      </c>
      <c r="F283" s="234">
        <v>1</v>
      </c>
      <c r="G283" s="234">
        <v>2</v>
      </c>
      <c r="H283" s="234">
        <v>2</v>
      </c>
      <c r="I283" s="234" t="s">
        <v>954</v>
      </c>
      <c r="J283" s="234">
        <v>1999</v>
      </c>
      <c r="K283" s="234" t="s">
        <v>1001</v>
      </c>
      <c r="L283" s="234">
        <v>2000</v>
      </c>
      <c r="M283" s="389">
        <v>-9999</v>
      </c>
      <c r="N283" s="389">
        <v>-9999</v>
      </c>
      <c r="O283" s="29"/>
      <c r="P283" s="389">
        <v>2.79</v>
      </c>
      <c r="Q283" s="491">
        <v>-9999</v>
      </c>
      <c r="R283" s="389"/>
      <c r="S283" s="491"/>
      <c r="T283" s="237">
        <f>+P283/G283</f>
        <v>1.395</v>
      </c>
      <c r="U283" s="491">
        <v>-9999</v>
      </c>
      <c r="V283" s="491"/>
      <c r="W283" s="237">
        <f>+P283-P282</f>
        <v>1.51</v>
      </c>
      <c r="X283" s="491">
        <v>-9999</v>
      </c>
      <c r="Y283" s="491"/>
      <c r="Z283" s="234" t="s">
        <v>681</v>
      </c>
      <c r="AA283" s="495">
        <v>18146</v>
      </c>
      <c r="AB283" s="389">
        <v>-9999</v>
      </c>
      <c r="AC283" s="234">
        <v>1</v>
      </c>
      <c r="AD283" s="234">
        <v>124.8</v>
      </c>
      <c r="AE283" s="390" t="s">
        <v>1952</v>
      </c>
      <c r="AF283" s="234">
        <v>4</v>
      </c>
      <c r="AG283" s="234">
        <v>-9999</v>
      </c>
      <c r="AH283" s="234" t="s">
        <v>623</v>
      </c>
      <c r="AI283" s="234">
        <v>-9999</v>
      </c>
      <c r="AJ283" s="234">
        <v>-9999</v>
      </c>
      <c r="AK283" s="234" t="s">
        <v>625</v>
      </c>
      <c r="AL283" s="234" t="s">
        <v>682</v>
      </c>
      <c r="AM283" s="234">
        <v>-9999</v>
      </c>
      <c r="AN283" s="234" t="s">
        <v>631</v>
      </c>
      <c r="AO283" s="234">
        <v>-9999</v>
      </c>
      <c r="AP283" s="234">
        <v>-9999</v>
      </c>
      <c r="AQ283" s="234" t="s">
        <v>631</v>
      </c>
      <c r="AR283" s="234">
        <v>0</v>
      </c>
      <c r="AS283" s="234">
        <v>-9999</v>
      </c>
      <c r="AT283" s="234">
        <v>-9999</v>
      </c>
      <c r="AU283" s="234">
        <v>0</v>
      </c>
      <c r="AV283" s="234">
        <v>-9999</v>
      </c>
      <c r="AW283" s="234">
        <v>-9999</v>
      </c>
      <c r="AX283" s="234">
        <v>0</v>
      </c>
      <c r="AY283" s="234">
        <v>-9999</v>
      </c>
      <c r="AZ283" s="234">
        <v>-9999</v>
      </c>
      <c r="BA283" s="234">
        <v>-9999</v>
      </c>
      <c r="BB283" s="234" t="s">
        <v>626</v>
      </c>
      <c r="BC283" s="234" t="s">
        <v>683</v>
      </c>
      <c r="BD283" s="234" t="s">
        <v>684</v>
      </c>
      <c r="BE283" s="234"/>
      <c r="BF283" s="234" t="s">
        <v>504</v>
      </c>
      <c r="BG283" s="234" t="s">
        <v>506</v>
      </c>
      <c r="BH283" s="234" t="s">
        <v>505</v>
      </c>
      <c r="BI283" s="234"/>
      <c r="BJ283" s="234">
        <v>-9999</v>
      </c>
      <c r="BK283" s="234">
        <v>-9999</v>
      </c>
      <c r="BL283" s="234">
        <v>0.67</v>
      </c>
      <c r="BM283" s="234">
        <v>-9999</v>
      </c>
      <c r="BN283" s="234">
        <v>-9999</v>
      </c>
      <c r="BO283" s="234">
        <v>-9999</v>
      </c>
      <c r="BP283" s="234">
        <v>-9999</v>
      </c>
      <c r="BQ283" s="234">
        <v>-9999</v>
      </c>
      <c r="BR283" s="234">
        <v>9.65</v>
      </c>
      <c r="BS283" s="491">
        <v>-9999</v>
      </c>
      <c r="BT283" s="491">
        <v>-9999</v>
      </c>
      <c r="BU283" s="491">
        <v>-9999</v>
      </c>
      <c r="BV283" s="491">
        <v>-9999</v>
      </c>
      <c r="BW283" s="491"/>
      <c r="BX283" s="491">
        <v>-9999</v>
      </c>
      <c r="BY283" s="491">
        <v>-9999</v>
      </c>
      <c r="BZ283" s="497">
        <v>-9999</v>
      </c>
      <c r="CA283" s="496">
        <v>-9999</v>
      </c>
      <c r="CB283" s="499"/>
      <c r="CC283" s="57">
        <v>1</v>
      </c>
      <c r="CD283" s="57">
        <v>2</v>
      </c>
      <c r="CE283" s="292">
        <v>1.395</v>
      </c>
      <c r="CF283" s="292">
        <v>1.51</v>
      </c>
      <c r="CG283" s="57">
        <v>2</v>
      </c>
    </row>
    <row r="284" spans="1:86" s="23" customFormat="1" x14ac:dyDescent="0.2">
      <c r="A284" s="234" t="s">
        <v>685</v>
      </c>
      <c r="B284" s="234" t="s">
        <v>680</v>
      </c>
      <c r="C284" s="234" t="s">
        <v>502</v>
      </c>
      <c r="D284" s="234" t="s">
        <v>633</v>
      </c>
      <c r="E284" s="493" t="s">
        <v>40</v>
      </c>
      <c r="F284" s="234">
        <v>1</v>
      </c>
      <c r="G284" s="234">
        <v>3</v>
      </c>
      <c r="H284" s="234">
        <v>3</v>
      </c>
      <c r="I284" s="234" t="s">
        <v>954</v>
      </c>
      <c r="J284" s="234">
        <v>1999</v>
      </c>
      <c r="K284" s="234" t="s">
        <v>1001</v>
      </c>
      <c r="L284" s="234">
        <v>2001</v>
      </c>
      <c r="M284" s="389">
        <v>-9999</v>
      </c>
      <c r="N284" s="389">
        <v>-9999</v>
      </c>
      <c r="O284" s="29"/>
      <c r="P284" s="389">
        <v>16.05</v>
      </c>
      <c r="Q284" s="491">
        <v>-9999</v>
      </c>
      <c r="R284" s="389"/>
      <c r="S284" s="491"/>
      <c r="T284" s="237">
        <f>+P284/G284</f>
        <v>5.3500000000000005</v>
      </c>
      <c r="U284" s="491">
        <v>-9999</v>
      </c>
      <c r="V284" s="491"/>
      <c r="W284" s="237">
        <f>+P284-P283</f>
        <v>13.260000000000002</v>
      </c>
      <c r="X284" s="491">
        <v>-9999</v>
      </c>
      <c r="Y284" s="491"/>
      <c r="Z284" s="234" t="s">
        <v>681</v>
      </c>
      <c r="AA284" s="495">
        <v>18146</v>
      </c>
      <c r="AB284" s="389">
        <v>-9999</v>
      </c>
      <c r="AC284" s="234">
        <v>1</v>
      </c>
      <c r="AD284" s="234">
        <v>124.8</v>
      </c>
      <c r="AE284" s="390" t="s">
        <v>1952</v>
      </c>
      <c r="AF284" s="234">
        <v>4</v>
      </c>
      <c r="AG284" s="234">
        <v>-9999</v>
      </c>
      <c r="AH284" s="234" t="s">
        <v>623</v>
      </c>
      <c r="AI284" s="234">
        <v>-9999</v>
      </c>
      <c r="AJ284" s="234">
        <v>-9999</v>
      </c>
      <c r="AK284" s="234" t="s">
        <v>625</v>
      </c>
      <c r="AL284" s="234" t="s">
        <v>682</v>
      </c>
      <c r="AM284" s="234">
        <v>-9999</v>
      </c>
      <c r="AN284" s="234" t="s">
        <v>631</v>
      </c>
      <c r="AO284" s="234">
        <v>-9999</v>
      </c>
      <c r="AP284" s="234">
        <v>-9999</v>
      </c>
      <c r="AQ284" s="234" t="s">
        <v>631</v>
      </c>
      <c r="AR284" s="234">
        <v>0</v>
      </c>
      <c r="AS284" s="234">
        <v>-9999</v>
      </c>
      <c r="AT284" s="234">
        <v>-9999</v>
      </c>
      <c r="AU284" s="234">
        <v>0</v>
      </c>
      <c r="AV284" s="234">
        <v>-9999</v>
      </c>
      <c r="AW284" s="234">
        <v>-9999</v>
      </c>
      <c r="AX284" s="234">
        <v>0</v>
      </c>
      <c r="AY284" s="234">
        <v>-9999</v>
      </c>
      <c r="AZ284" s="234">
        <v>-9999</v>
      </c>
      <c r="BA284" s="234">
        <v>-9999</v>
      </c>
      <c r="BB284" s="234" t="s">
        <v>626</v>
      </c>
      <c r="BC284" s="234" t="s">
        <v>683</v>
      </c>
      <c r="BD284" s="234" t="s">
        <v>684</v>
      </c>
      <c r="BE284" s="234"/>
      <c r="BF284" s="234" t="s">
        <v>504</v>
      </c>
      <c r="BG284" s="234" t="s">
        <v>506</v>
      </c>
      <c r="BH284" s="234" t="s">
        <v>505</v>
      </c>
      <c r="BI284" s="234"/>
      <c r="BJ284" s="234">
        <v>-9999</v>
      </c>
      <c r="BK284" s="234">
        <v>-9999</v>
      </c>
      <c r="BL284" s="234">
        <v>2.2200000000000002</v>
      </c>
      <c r="BM284" s="234">
        <v>-9999</v>
      </c>
      <c r="BN284" s="234">
        <v>-9999</v>
      </c>
      <c r="BO284" s="234">
        <v>-9999</v>
      </c>
      <c r="BP284" s="234">
        <v>-9999</v>
      </c>
      <c r="BQ284" s="234">
        <v>-9999</v>
      </c>
      <c r="BR284" s="234">
        <v>24.51</v>
      </c>
      <c r="BS284" s="491">
        <v>-9999</v>
      </c>
      <c r="BT284" s="491">
        <v>-9999</v>
      </c>
      <c r="BU284" s="491">
        <v>-9999</v>
      </c>
      <c r="BV284" s="491">
        <v>-9999</v>
      </c>
      <c r="BW284" s="491"/>
      <c r="BX284" s="491">
        <v>-9999</v>
      </c>
      <c r="BY284" s="491">
        <v>-9999</v>
      </c>
      <c r="BZ284" s="497">
        <v>-9999</v>
      </c>
      <c r="CA284" s="496">
        <v>-9999</v>
      </c>
      <c r="CB284" s="499"/>
      <c r="CC284" s="57">
        <v>1</v>
      </c>
      <c r="CD284" s="57">
        <v>3</v>
      </c>
      <c r="CE284" s="292">
        <v>5.3500000000000005</v>
      </c>
      <c r="CF284" s="292">
        <v>13.260000000000002</v>
      </c>
      <c r="CG284" s="57">
        <v>3</v>
      </c>
    </row>
    <row r="285" spans="1:86" s="23" customFormat="1" x14ac:dyDescent="0.2">
      <c r="A285" s="234" t="s">
        <v>685</v>
      </c>
      <c r="B285" s="234" t="s">
        <v>680</v>
      </c>
      <c r="C285" s="234" t="s">
        <v>502</v>
      </c>
      <c r="D285" s="234" t="s">
        <v>633</v>
      </c>
      <c r="E285" s="493" t="s">
        <v>40</v>
      </c>
      <c r="F285" s="234">
        <v>1</v>
      </c>
      <c r="G285" s="234">
        <v>4</v>
      </c>
      <c r="H285" s="234">
        <v>4</v>
      </c>
      <c r="I285" s="234" t="s">
        <v>954</v>
      </c>
      <c r="J285" s="234">
        <v>1999</v>
      </c>
      <c r="K285" s="234" t="s">
        <v>1001</v>
      </c>
      <c r="L285" s="234">
        <v>2002</v>
      </c>
      <c r="M285" s="389">
        <v>-9999</v>
      </c>
      <c r="N285" s="389">
        <v>-9999</v>
      </c>
      <c r="O285" s="29"/>
      <c r="P285" s="389">
        <v>35.840000000000003</v>
      </c>
      <c r="Q285" s="491">
        <v>-9999</v>
      </c>
      <c r="R285" s="389"/>
      <c r="S285" s="491"/>
      <c r="T285" s="392">
        <f>+P285/G285</f>
        <v>8.9600000000000009</v>
      </c>
      <c r="U285" s="491">
        <v>-9999</v>
      </c>
      <c r="V285" s="491"/>
      <c r="W285" s="237">
        <f>+P285-P284</f>
        <v>19.790000000000003</v>
      </c>
      <c r="X285" s="491">
        <v>-9999</v>
      </c>
      <c r="Y285" s="491"/>
      <c r="Z285" s="234" t="s">
        <v>681</v>
      </c>
      <c r="AA285" s="495">
        <v>18146</v>
      </c>
      <c r="AB285" s="389">
        <v>-9999</v>
      </c>
      <c r="AC285" s="234">
        <v>1</v>
      </c>
      <c r="AD285" s="234">
        <v>124.8</v>
      </c>
      <c r="AE285" s="390" t="s">
        <v>1952</v>
      </c>
      <c r="AF285" s="234">
        <v>4</v>
      </c>
      <c r="AG285" s="234">
        <v>-9999</v>
      </c>
      <c r="AH285" s="234" t="s">
        <v>623</v>
      </c>
      <c r="AI285" s="234">
        <v>-9999</v>
      </c>
      <c r="AJ285" s="234">
        <v>-9999</v>
      </c>
      <c r="AK285" s="234" t="s">
        <v>625</v>
      </c>
      <c r="AL285" s="234" t="s">
        <v>682</v>
      </c>
      <c r="AM285" s="234">
        <v>-9999</v>
      </c>
      <c r="AN285" s="234" t="s">
        <v>631</v>
      </c>
      <c r="AO285" s="234">
        <v>-9999</v>
      </c>
      <c r="AP285" s="234">
        <v>-9999</v>
      </c>
      <c r="AQ285" s="234" t="s">
        <v>631</v>
      </c>
      <c r="AR285" s="234">
        <v>0</v>
      </c>
      <c r="AS285" s="234">
        <v>-9999</v>
      </c>
      <c r="AT285" s="234">
        <v>-9999</v>
      </c>
      <c r="AU285" s="234">
        <v>0</v>
      </c>
      <c r="AV285" s="234">
        <v>-9999</v>
      </c>
      <c r="AW285" s="234">
        <v>-9999</v>
      </c>
      <c r="AX285" s="234">
        <v>0</v>
      </c>
      <c r="AY285" s="234">
        <v>-9999</v>
      </c>
      <c r="AZ285" s="234">
        <v>-9999</v>
      </c>
      <c r="BA285" s="234">
        <v>-9999</v>
      </c>
      <c r="BB285" s="234" t="s">
        <v>626</v>
      </c>
      <c r="BC285" s="234" t="s">
        <v>683</v>
      </c>
      <c r="BD285" s="234" t="s">
        <v>684</v>
      </c>
      <c r="BE285" s="234"/>
      <c r="BF285" s="234" t="s">
        <v>504</v>
      </c>
      <c r="BG285" s="234" t="s">
        <v>506</v>
      </c>
      <c r="BH285" s="234" t="s">
        <v>505</v>
      </c>
      <c r="BI285" s="234"/>
      <c r="BJ285" s="234">
        <v>-9999</v>
      </c>
      <c r="BK285" s="234">
        <v>-9999</v>
      </c>
      <c r="BL285" s="234">
        <v>3.1</v>
      </c>
      <c r="BM285" s="234">
        <v>-9999</v>
      </c>
      <c r="BN285" s="234">
        <v>-9999</v>
      </c>
      <c r="BO285" s="234">
        <v>-9999</v>
      </c>
      <c r="BP285" s="234">
        <v>-9999</v>
      </c>
      <c r="BQ285" s="234">
        <v>-9999</v>
      </c>
      <c r="BR285" s="234">
        <v>30.57</v>
      </c>
      <c r="BS285" s="491">
        <v>-9999</v>
      </c>
      <c r="BT285" s="491">
        <v>-9999</v>
      </c>
      <c r="BU285" s="491">
        <v>-9999</v>
      </c>
      <c r="BV285" s="491">
        <v>-9999</v>
      </c>
      <c r="BW285" s="491"/>
      <c r="BX285" s="491">
        <v>-9999</v>
      </c>
      <c r="BY285" s="491">
        <v>-9999</v>
      </c>
      <c r="BZ285" s="497">
        <v>-9999</v>
      </c>
      <c r="CA285" s="496">
        <v>-9999</v>
      </c>
      <c r="CB285" s="499"/>
      <c r="CC285" s="57">
        <v>1</v>
      </c>
      <c r="CD285" s="57">
        <v>4</v>
      </c>
      <c r="CE285" s="292">
        <v>8.9600000000000009</v>
      </c>
      <c r="CF285" s="292">
        <v>19.790000000000003</v>
      </c>
      <c r="CG285" s="57">
        <v>4</v>
      </c>
    </row>
    <row r="286" spans="1:86" s="23" customFormat="1" x14ac:dyDescent="0.2">
      <c r="A286" s="234"/>
      <c r="B286" s="234"/>
      <c r="C286" s="234"/>
      <c r="D286" s="234"/>
      <c r="E286" s="493"/>
      <c r="F286" s="234"/>
      <c r="G286" s="234"/>
      <c r="H286" s="234"/>
      <c r="I286" s="234"/>
      <c r="J286" s="234"/>
      <c r="K286" s="234"/>
      <c r="L286" s="234"/>
      <c r="M286" s="389"/>
      <c r="N286" s="389"/>
      <c r="O286" s="29"/>
      <c r="P286" s="389"/>
      <c r="Q286" s="491"/>
      <c r="R286" s="389"/>
      <c r="S286" s="491"/>
      <c r="T286" s="389"/>
      <c r="U286" s="491"/>
      <c r="V286" s="491"/>
      <c r="W286" s="237"/>
      <c r="X286" s="491"/>
      <c r="Y286" s="491"/>
      <c r="Z286" s="234"/>
      <c r="AA286" s="495"/>
      <c r="AB286" s="389"/>
      <c r="AC286" s="234"/>
      <c r="AD286" s="234"/>
      <c r="AE286" s="234"/>
      <c r="AF286" s="234"/>
      <c r="AG286" s="234"/>
      <c r="AH286" s="234"/>
      <c r="AI286" s="234"/>
      <c r="AJ286" s="234"/>
      <c r="AK286" s="234"/>
      <c r="AL286" s="234"/>
      <c r="AM286" s="234"/>
      <c r="AN286" s="234"/>
      <c r="AO286" s="234"/>
      <c r="AP286" s="234"/>
      <c r="AQ286" s="234"/>
      <c r="AR286" s="234"/>
      <c r="AS286" s="234"/>
      <c r="AT286" s="234"/>
      <c r="AU286" s="234"/>
      <c r="AV286" s="234"/>
      <c r="AW286" s="234"/>
      <c r="AX286" s="234"/>
      <c r="AY286" s="234"/>
      <c r="AZ286" s="234"/>
      <c r="BA286" s="234"/>
      <c r="BB286" s="234"/>
      <c r="BC286" s="234"/>
      <c r="BD286" s="234"/>
      <c r="BE286" s="234"/>
      <c r="BF286" s="234"/>
      <c r="BG286" s="234"/>
      <c r="BH286" s="234"/>
      <c r="BI286" s="234"/>
      <c r="BJ286" s="234"/>
      <c r="BK286" s="234"/>
      <c r="BL286" s="234"/>
      <c r="BM286" s="234"/>
      <c r="BN286" s="234"/>
      <c r="BO286" s="234"/>
      <c r="BP286" s="234"/>
      <c r="BQ286" s="234"/>
      <c r="BR286" s="234"/>
      <c r="BS286" s="491"/>
      <c r="BT286" s="491"/>
      <c r="BU286" s="491"/>
      <c r="BV286" s="491"/>
      <c r="BW286" s="491"/>
      <c r="BX286" s="491"/>
      <c r="BY286" s="491"/>
      <c r="BZ286" s="497"/>
      <c r="CA286" s="496"/>
      <c r="CB286" s="499"/>
      <c r="CC286" s="57"/>
      <c r="CD286" s="57"/>
      <c r="CE286" s="342" t="s">
        <v>1576</v>
      </c>
      <c r="CF286" s="342" t="s">
        <v>1575</v>
      </c>
      <c r="CG286" s="57"/>
    </row>
    <row r="287" spans="1:86" s="23" customFormat="1" x14ac:dyDescent="0.2">
      <c r="A287" s="234" t="s">
        <v>685</v>
      </c>
      <c r="B287" s="234" t="s">
        <v>680</v>
      </c>
      <c r="C287" s="234" t="s">
        <v>495</v>
      </c>
      <c r="D287" s="234" t="s">
        <v>633</v>
      </c>
      <c r="E287" s="493" t="s">
        <v>769</v>
      </c>
      <c r="F287" s="234">
        <v>1</v>
      </c>
      <c r="G287" s="234">
        <v>1</v>
      </c>
      <c r="H287" s="234">
        <v>1</v>
      </c>
      <c r="I287" s="234" t="s">
        <v>954</v>
      </c>
      <c r="J287" s="234">
        <v>1999</v>
      </c>
      <c r="K287" s="234" t="s">
        <v>1001</v>
      </c>
      <c r="L287" s="234">
        <v>1999</v>
      </c>
      <c r="M287" s="389">
        <v>-9999</v>
      </c>
      <c r="N287" s="389">
        <v>-9999</v>
      </c>
      <c r="O287" s="29"/>
      <c r="P287" s="389">
        <v>1.53</v>
      </c>
      <c r="Q287" s="491">
        <v>-9999</v>
      </c>
      <c r="R287" s="389"/>
      <c r="S287" s="491"/>
      <c r="T287" s="237">
        <f>+P287/G287</f>
        <v>1.53</v>
      </c>
      <c r="U287" s="491">
        <v>-9999</v>
      </c>
      <c r="V287" s="491"/>
      <c r="W287" s="389">
        <f>+P287</f>
        <v>1.53</v>
      </c>
      <c r="X287" s="491">
        <v>-9999</v>
      </c>
      <c r="Y287" s="491"/>
      <c r="Z287" s="234" t="s">
        <v>681</v>
      </c>
      <c r="AA287" s="495">
        <v>18146</v>
      </c>
      <c r="AB287" s="389">
        <v>-9999</v>
      </c>
      <c r="AC287" s="234">
        <v>1</v>
      </c>
      <c r="AD287" s="234">
        <v>124.8</v>
      </c>
      <c r="AE287" s="390" t="s">
        <v>1952</v>
      </c>
      <c r="AF287" s="234">
        <v>4</v>
      </c>
      <c r="AG287" s="234">
        <v>-9999</v>
      </c>
      <c r="AH287" s="234" t="s">
        <v>623</v>
      </c>
      <c r="AI287" s="234">
        <v>-9999</v>
      </c>
      <c r="AJ287" s="234">
        <v>-9999</v>
      </c>
      <c r="AK287" s="234" t="s">
        <v>625</v>
      </c>
      <c r="AL287" s="234" t="s">
        <v>682</v>
      </c>
      <c r="AM287" s="234">
        <v>-9999</v>
      </c>
      <c r="AN287" s="234" t="s">
        <v>631</v>
      </c>
      <c r="AO287" s="234">
        <v>-9999</v>
      </c>
      <c r="AP287" s="234">
        <v>-9999</v>
      </c>
      <c r="AQ287" s="234" t="s">
        <v>631</v>
      </c>
      <c r="AR287" s="234">
        <v>0</v>
      </c>
      <c r="AS287" s="234">
        <v>-9999</v>
      </c>
      <c r="AT287" s="234">
        <v>-9999</v>
      </c>
      <c r="AU287" s="234">
        <v>0</v>
      </c>
      <c r="AV287" s="234">
        <v>-9999</v>
      </c>
      <c r="AW287" s="234">
        <v>-9999</v>
      </c>
      <c r="AX287" s="234">
        <v>0</v>
      </c>
      <c r="AY287" s="234">
        <v>-9999</v>
      </c>
      <c r="AZ287" s="234">
        <v>-9999</v>
      </c>
      <c r="BA287" s="234">
        <v>-9999</v>
      </c>
      <c r="BB287" s="234" t="s">
        <v>626</v>
      </c>
      <c r="BC287" s="234" t="s">
        <v>683</v>
      </c>
      <c r="BD287" s="234" t="s">
        <v>684</v>
      </c>
      <c r="BE287" s="234"/>
      <c r="BF287" s="234" t="s">
        <v>504</v>
      </c>
      <c r="BG287" s="234" t="s">
        <v>506</v>
      </c>
      <c r="BH287" s="234" t="s">
        <v>505</v>
      </c>
      <c r="BI287" s="234"/>
      <c r="BJ287" s="234">
        <v>-9999</v>
      </c>
      <c r="BK287" s="234">
        <v>-9999</v>
      </c>
      <c r="BL287" s="234">
        <v>0.83</v>
      </c>
      <c r="BM287" s="234">
        <v>-9999</v>
      </c>
      <c r="BN287" s="234">
        <v>-9999</v>
      </c>
      <c r="BO287" s="234">
        <v>-9999</v>
      </c>
      <c r="BP287" s="234">
        <v>-9999</v>
      </c>
      <c r="BQ287" s="234">
        <v>-9999</v>
      </c>
      <c r="BR287" s="234">
        <v>6.53</v>
      </c>
      <c r="BS287" s="491">
        <v>-9999</v>
      </c>
      <c r="BT287" s="491">
        <v>-9999</v>
      </c>
      <c r="BU287" s="491">
        <v>-9999</v>
      </c>
      <c r="BV287" s="491">
        <v>-9999</v>
      </c>
      <c r="BW287" s="491"/>
      <c r="BX287" s="491">
        <v>-9999</v>
      </c>
      <c r="BY287" s="491">
        <v>-9999</v>
      </c>
      <c r="BZ287" s="497">
        <v>-9999</v>
      </c>
      <c r="CA287" s="496">
        <v>-9999</v>
      </c>
      <c r="CB287" s="499"/>
      <c r="CC287" s="57">
        <v>1</v>
      </c>
      <c r="CD287" s="57">
        <v>1</v>
      </c>
      <c r="CE287" s="292">
        <v>1.53</v>
      </c>
      <c r="CF287" s="292">
        <v>1.53</v>
      </c>
      <c r="CG287" s="57">
        <v>1</v>
      </c>
    </row>
    <row r="288" spans="1:86" s="23" customFormat="1" x14ac:dyDescent="0.2">
      <c r="A288" s="234" t="s">
        <v>685</v>
      </c>
      <c r="B288" s="234" t="s">
        <v>680</v>
      </c>
      <c r="C288" s="234" t="s">
        <v>495</v>
      </c>
      <c r="D288" s="234" t="s">
        <v>633</v>
      </c>
      <c r="E288" s="493" t="s">
        <v>769</v>
      </c>
      <c r="F288" s="234">
        <v>1</v>
      </c>
      <c r="G288" s="234">
        <v>2</v>
      </c>
      <c r="H288" s="234">
        <v>2</v>
      </c>
      <c r="I288" s="234" t="s">
        <v>954</v>
      </c>
      <c r="J288" s="234">
        <v>1999</v>
      </c>
      <c r="K288" s="234" t="s">
        <v>1001</v>
      </c>
      <c r="L288" s="234">
        <v>2000</v>
      </c>
      <c r="M288" s="389">
        <v>-9999</v>
      </c>
      <c r="N288" s="389">
        <v>-9999</v>
      </c>
      <c r="O288" s="29"/>
      <c r="P288" s="389">
        <v>6.71</v>
      </c>
      <c r="Q288" s="491">
        <v>-9999</v>
      </c>
      <c r="R288" s="389"/>
      <c r="S288" s="491"/>
      <c r="T288" s="237">
        <f>+P288/G288</f>
        <v>3.355</v>
      </c>
      <c r="U288" s="491">
        <v>-9999</v>
      </c>
      <c r="V288" s="491"/>
      <c r="W288" s="237">
        <f>+P288-P287</f>
        <v>5.18</v>
      </c>
      <c r="X288" s="491">
        <v>-9999</v>
      </c>
      <c r="Y288" s="491"/>
      <c r="Z288" s="234" t="s">
        <v>681</v>
      </c>
      <c r="AA288" s="495">
        <v>18146</v>
      </c>
      <c r="AB288" s="389">
        <v>-9999</v>
      </c>
      <c r="AC288" s="234">
        <v>1</v>
      </c>
      <c r="AD288" s="234">
        <v>124.8</v>
      </c>
      <c r="AE288" s="390" t="s">
        <v>1952</v>
      </c>
      <c r="AF288" s="234">
        <v>4</v>
      </c>
      <c r="AG288" s="234">
        <v>-9999</v>
      </c>
      <c r="AH288" s="234" t="s">
        <v>623</v>
      </c>
      <c r="AI288" s="234">
        <v>-9999</v>
      </c>
      <c r="AJ288" s="234">
        <v>-9999</v>
      </c>
      <c r="AK288" s="234" t="s">
        <v>625</v>
      </c>
      <c r="AL288" s="234" t="s">
        <v>682</v>
      </c>
      <c r="AM288" s="234">
        <v>-9999</v>
      </c>
      <c r="AN288" s="234" t="s">
        <v>631</v>
      </c>
      <c r="AO288" s="234">
        <v>-9999</v>
      </c>
      <c r="AP288" s="234">
        <v>-9999</v>
      </c>
      <c r="AQ288" s="234" t="s">
        <v>631</v>
      </c>
      <c r="AR288" s="234">
        <v>0</v>
      </c>
      <c r="AS288" s="234">
        <v>-9999</v>
      </c>
      <c r="AT288" s="234">
        <v>-9999</v>
      </c>
      <c r="AU288" s="234">
        <v>0</v>
      </c>
      <c r="AV288" s="234">
        <v>-9999</v>
      </c>
      <c r="AW288" s="234">
        <v>-9999</v>
      </c>
      <c r="AX288" s="234">
        <v>0</v>
      </c>
      <c r="AY288" s="234">
        <v>-9999</v>
      </c>
      <c r="AZ288" s="234">
        <v>-9999</v>
      </c>
      <c r="BA288" s="234">
        <v>-9999</v>
      </c>
      <c r="BB288" s="234" t="s">
        <v>626</v>
      </c>
      <c r="BC288" s="234" t="s">
        <v>683</v>
      </c>
      <c r="BD288" s="234" t="s">
        <v>684</v>
      </c>
      <c r="BE288" s="234"/>
      <c r="BF288" s="234" t="s">
        <v>504</v>
      </c>
      <c r="BG288" s="234" t="s">
        <v>506</v>
      </c>
      <c r="BH288" s="234" t="s">
        <v>505</v>
      </c>
      <c r="BI288" s="234"/>
      <c r="BJ288" s="234">
        <v>-9999</v>
      </c>
      <c r="BK288" s="234">
        <v>-9999</v>
      </c>
      <c r="BL288" s="234">
        <v>2.19</v>
      </c>
      <c r="BM288" s="234">
        <v>-9999</v>
      </c>
      <c r="BN288" s="234">
        <v>-9999</v>
      </c>
      <c r="BO288" s="234">
        <v>-9999</v>
      </c>
      <c r="BP288" s="234">
        <v>-9999</v>
      </c>
      <c r="BQ288" s="234">
        <v>-9999</v>
      </c>
      <c r="BR288" s="234">
        <v>18.149999999999999</v>
      </c>
      <c r="BS288" s="491">
        <v>-9999</v>
      </c>
      <c r="BT288" s="491">
        <v>-9999</v>
      </c>
      <c r="BU288" s="491">
        <v>-9999</v>
      </c>
      <c r="BV288" s="491">
        <v>-9999</v>
      </c>
      <c r="BW288" s="491"/>
      <c r="BX288" s="491">
        <v>-9999</v>
      </c>
      <c r="BY288" s="491">
        <v>-9999</v>
      </c>
      <c r="BZ288" s="497">
        <v>-9999</v>
      </c>
      <c r="CA288" s="496">
        <v>-9999</v>
      </c>
      <c r="CB288" s="499"/>
      <c r="CC288" s="57">
        <v>1</v>
      </c>
      <c r="CD288" s="57">
        <v>2</v>
      </c>
      <c r="CE288" s="292">
        <v>3.355</v>
      </c>
      <c r="CF288" s="292">
        <v>5.18</v>
      </c>
      <c r="CG288" s="57">
        <v>2</v>
      </c>
    </row>
    <row r="289" spans="1:1873" s="23" customFormat="1" x14ac:dyDescent="0.2">
      <c r="A289" s="234" t="s">
        <v>685</v>
      </c>
      <c r="B289" s="234" t="s">
        <v>680</v>
      </c>
      <c r="C289" s="234" t="s">
        <v>495</v>
      </c>
      <c r="D289" s="234" t="s">
        <v>633</v>
      </c>
      <c r="E289" s="493" t="s">
        <v>769</v>
      </c>
      <c r="F289" s="234">
        <v>1</v>
      </c>
      <c r="G289" s="234">
        <v>3</v>
      </c>
      <c r="H289" s="234">
        <v>3</v>
      </c>
      <c r="I289" s="234" t="s">
        <v>954</v>
      </c>
      <c r="J289" s="234">
        <v>1999</v>
      </c>
      <c r="K289" s="234" t="s">
        <v>1001</v>
      </c>
      <c r="L289" s="234">
        <v>2001</v>
      </c>
      <c r="M289" s="389">
        <v>-9999</v>
      </c>
      <c r="N289" s="389">
        <v>-9999</v>
      </c>
      <c r="O289" s="29"/>
      <c r="P289" s="389">
        <v>28.04</v>
      </c>
      <c r="Q289" s="491">
        <v>-9999</v>
      </c>
      <c r="R289" s="389"/>
      <c r="S289" s="491"/>
      <c r="T289" s="237">
        <f>+P289/G289</f>
        <v>9.3466666666666658</v>
      </c>
      <c r="U289" s="491">
        <v>-9999</v>
      </c>
      <c r="V289" s="491"/>
      <c r="W289" s="237">
        <f>+P289-P288</f>
        <v>21.33</v>
      </c>
      <c r="X289" s="491">
        <v>-9999</v>
      </c>
      <c r="Y289" s="491"/>
      <c r="Z289" s="234" t="s">
        <v>681</v>
      </c>
      <c r="AA289" s="495">
        <v>18146</v>
      </c>
      <c r="AB289" s="389">
        <v>-9999</v>
      </c>
      <c r="AC289" s="234">
        <v>1</v>
      </c>
      <c r="AD289" s="234">
        <v>124.8</v>
      </c>
      <c r="AE289" s="390" t="s">
        <v>1952</v>
      </c>
      <c r="AF289" s="234">
        <v>4</v>
      </c>
      <c r="AG289" s="234">
        <v>-9999</v>
      </c>
      <c r="AH289" s="234" t="s">
        <v>623</v>
      </c>
      <c r="AI289" s="234">
        <v>-9999</v>
      </c>
      <c r="AJ289" s="234">
        <v>-9999</v>
      </c>
      <c r="AK289" s="234" t="s">
        <v>625</v>
      </c>
      <c r="AL289" s="234" t="s">
        <v>682</v>
      </c>
      <c r="AM289" s="234">
        <v>-9999</v>
      </c>
      <c r="AN289" s="234" t="s">
        <v>631</v>
      </c>
      <c r="AO289" s="234">
        <v>-9999</v>
      </c>
      <c r="AP289" s="234">
        <v>-9999</v>
      </c>
      <c r="AQ289" s="234" t="s">
        <v>631</v>
      </c>
      <c r="AR289" s="234">
        <v>0</v>
      </c>
      <c r="AS289" s="234">
        <v>-9999</v>
      </c>
      <c r="AT289" s="234">
        <v>-9999</v>
      </c>
      <c r="AU289" s="234">
        <v>0</v>
      </c>
      <c r="AV289" s="234">
        <v>-9999</v>
      </c>
      <c r="AW289" s="234">
        <v>-9999</v>
      </c>
      <c r="AX289" s="234">
        <v>0</v>
      </c>
      <c r="AY289" s="234">
        <v>-9999</v>
      </c>
      <c r="AZ289" s="234">
        <v>-9999</v>
      </c>
      <c r="BA289" s="234">
        <v>-9999</v>
      </c>
      <c r="BB289" s="234" t="s">
        <v>626</v>
      </c>
      <c r="BC289" s="234" t="s">
        <v>683</v>
      </c>
      <c r="BD289" s="234" t="s">
        <v>684</v>
      </c>
      <c r="BE289" s="234"/>
      <c r="BF289" s="234" t="s">
        <v>504</v>
      </c>
      <c r="BG289" s="234" t="s">
        <v>506</v>
      </c>
      <c r="BH289" s="234" t="s">
        <v>505</v>
      </c>
      <c r="BI289" s="234"/>
      <c r="BJ289" s="234">
        <v>-9999</v>
      </c>
      <c r="BK289" s="234">
        <v>-9999</v>
      </c>
      <c r="BL289" s="234">
        <v>3.94</v>
      </c>
      <c r="BM289" s="234">
        <v>-9999</v>
      </c>
      <c r="BN289" s="234">
        <v>-9999</v>
      </c>
      <c r="BO289" s="234">
        <v>-9999</v>
      </c>
      <c r="BP289" s="234">
        <v>-9999</v>
      </c>
      <c r="BQ289" s="234">
        <v>-9999</v>
      </c>
      <c r="BR289" s="234">
        <v>34.4</v>
      </c>
      <c r="BS289" s="491">
        <v>-9999</v>
      </c>
      <c r="BT289" s="491">
        <v>-9999</v>
      </c>
      <c r="BU289" s="491">
        <v>-9999</v>
      </c>
      <c r="BV289" s="491">
        <v>-9999</v>
      </c>
      <c r="BW289" s="491"/>
      <c r="BX289" s="491">
        <v>-9999</v>
      </c>
      <c r="BY289" s="491">
        <v>-9999</v>
      </c>
      <c r="BZ289" s="497">
        <v>-9999</v>
      </c>
      <c r="CA289" s="496">
        <v>-9999</v>
      </c>
      <c r="CB289" s="499"/>
      <c r="CC289" s="57">
        <v>1</v>
      </c>
      <c r="CD289" s="57">
        <v>3</v>
      </c>
      <c r="CE289" s="292">
        <v>9.3466666666666658</v>
      </c>
      <c r="CF289" s="292">
        <v>21.33</v>
      </c>
      <c r="CG289" s="57">
        <v>3</v>
      </c>
    </row>
    <row r="290" spans="1:1873" s="13" customFormat="1" x14ac:dyDescent="0.2">
      <c r="A290" s="231" t="s">
        <v>685</v>
      </c>
      <c r="B290" s="231" t="s">
        <v>680</v>
      </c>
      <c r="C290" s="231" t="s">
        <v>495</v>
      </c>
      <c r="D290" s="231" t="s">
        <v>633</v>
      </c>
      <c r="E290" s="232" t="s">
        <v>769</v>
      </c>
      <c r="F290" s="231">
        <v>1</v>
      </c>
      <c r="G290" s="231">
        <v>4</v>
      </c>
      <c r="H290" s="231">
        <v>4</v>
      </c>
      <c r="I290" s="231" t="s">
        <v>954</v>
      </c>
      <c r="J290" s="231">
        <v>1999</v>
      </c>
      <c r="K290" s="231" t="s">
        <v>1001</v>
      </c>
      <c r="L290" s="231">
        <v>2002</v>
      </c>
      <c r="M290" s="235">
        <v>-9999</v>
      </c>
      <c r="N290" s="235">
        <v>-9999</v>
      </c>
      <c r="O290" s="18"/>
      <c r="P290" s="235">
        <v>62.34</v>
      </c>
      <c r="Q290" s="233">
        <v>-9999</v>
      </c>
      <c r="R290" s="235"/>
      <c r="S290" s="233"/>
      <c r="T290" s="235">
        <f>+P290/G290</f>
        <v>15.585000000000001</v>
      </c>
      <c r="U290" s="233">
        <v>-9999</v>
      </c>
      <c r="V290" s="233"/>
      <c r="W290" s="236">
        <f>+P290-P289</f>
        <v>34.300000000000004</v>
      </c>
      <c r="X290" s="233">
        <v>-9999</v>
      </c>
      <c r="Y290" s="233"/>
      <c r="Z290" s="231" t="s">
        <v>681</v>
      </c>
      <c r="AA290" s="489">
        <v>18146</v>
      </c>
      <c r="AB290" s="235">
        <v>-9999</v>
      </c>
      <c r="AC290" s="231">
        <v>1</v>
      </c>
      <c r="AD290" s="231">
        <v>124.8</v>
      </c>
      <c r="AE290" s="231" t="s">
        <v>1952</v>
      </c>
      <c r="AF290" s="231">
        <v>4</v>
      </c>
      <c r="AG290" s="231">
        <v>-9999</v>
      </c>
      <c r="AH290" s="231" t="s">
        <v>623</v>
      </c>
      <c r="AI290" s="231">
        <v>-9999</v>
      </c>
      <c r="AJ290" s="231">
        <v>-9999</v>
      </c>
      <c r="AK290" s="231" t="s">
        <v>625</v>
      </c>
      <c r="AL290" s="231" t="s">
        <v>682</v>
      </c>
      <c r="AM290" s="231">
        <v>-9999</v>
      </c>
      <c r="AN290" s="231" t="s">
        <v>631</v>
      </c>
      <c r="AO290" s="231">
        <v>-9999</v>
      </c>
      <c r="AP290" s="231">
        <v>-9999</v>
      </c>
      <c r="AQ290" s="231" t="s">
        <v>631</v>
      </c>
      <c r="AR290" s="231">
        <v>0</v>
      </c>
      <c r="AS290" s="231">
        <v>-9999</v>
      </c>
      <c r="AT290" s="231">
        <v>-9999</v>
      </c>
      <c r="AU290" s="231">
        <v>0</v>
      </c>
      <c r="AV290" s="231">
        <v>-9999</v>
      </c>
      <c r="AW290" s="231">
        <v>-9999</v>
      </c>
      <c r="AX290" s="231">
        <v>0</v>
      </c>
      <c r="AY290" s="231">
        <v>-9999</v>
      </c>
      <c r="AZ290" s="231">
        <v>-9999</v>
      </c>
      <c r="BA290" s="231">
        <v>-9999</v>
      </c>
      <c r="BB290" s="231" t="s">
        <v>626</v>
      </c>
      <c r="BC290" s="231" t="s">
        <v>683</v>
      </c>
      <c r="BD290" s="231" t="s">
        <v>684</v>
      </c>
      <c r="BE290" s="231"/>
      <c r="BF290" s="231" t="s">
        <v>504</v>
      </c>
      <c r="BG290" s="231" t="s">
        <v>506</v>
      </c>
      <c r="BH290" s="231" t="s">
        <v>505</v>
      </c>
      <c r="BI290" s="231"/>
      <c r="BJ290" s="231">
        <v>-9999</v>
      </c>
      <c r="BK290" s="231">
        <v>-9999</v>
      </c>
      <c r="BL290" s="231">
        <v>4.8600000000000003</v>
      </c>
      <c r="BM290" s="231">
        <v>-9999</v>
      </c>
      <c r="BN290" s="231">
        <v>-9999</v>
      </c>
      <c r="BO290" s="231">
        <v>-9999</v>
      </c>
      <c r="BP290" s="231">
        <v>-9999</v>
      </c>
      <c r="BQ290" s="231">
        <v>-9999</v>
      </c>
      <c r="BR290" s="231">
        <v>43.7</v>
      </c>
      <c r="BS290" s="233">
        <v>-9999</v>
      </c>
      <c r="BT290" s="233">
        <v>-9999</v>
      </c>
      <c r="BU290" s="233">
        <v>-9999</v>
      </c>
      <c r="BV290" s="233">
        <v>-9999</v>
      </c>
      <c r="BW290" s="233"/>
      <c r="BX290" s="233">
        <v>-9999</v>
      </c>
      <c r="BY290" s="233">
        <v>-9999</v>
      </c>
      <c r="BZ290" s="490">
        <v>-9999</v>
      </c>
      <c r="CA290" s="238">
        <v>-9999</v>
      </c>
      <c r="CB290" s="239"/>
      <c r="CC290" s="11">
        <v>1</v>
      </c>
      <c r="CD290" s="11">
        <v>4</v>
      </c>
      <c r="CE290" s="99">
        <v>15.585000000000001</v>
      </c>
      <c r="CF290" s="99">
        <v>34.300000000000004</v>
      </c>
      <c r="CG290" s="11">
        <v>4</v>
      </c>
    </row>
    <row r="291" spans="1:1873" s="23" customFormat="1" x14ac:dyDescent="0.2">
      <c r="A291" s="234"/>
      <c r="B291" s="234"/>
      <c r="C291" s="234"/>
      <c r="D291" s="234"/>
      <c r="E291" s="493"/>
      <c r="F291" s="234"/>
      <c r="G291" s="234"/>
      <c r="H291" s="234"/>
      <c r="I291" s="234"/>
      <c r="J291" s="234"/>
      <c r="K291" s="234"/>
      <c r="L291" s="234"/>
      <c r="M291" s="389"/>
      <c r="N291" s="389"/>
      <c r="O291" s="29"/>
      <c r="P291" s="389"/>
      <c r="Q291" s="491"/>
      <c r="R291" s="389"/>
      <c r="S291" s="491"/>
      <c r="T291" s="389"/>
      <c r="U291" s="491"/>
      <c r="V291" s="491"/>
      <c r="W291" s="237"/>
      <c r="X291" s="491"/>
      <c r="Y291" s="491"/>
      <c r="Z291" s="234"/>
      <c r="AA291" s="495"/>
      <c r="AB291" s="389"/>
      <c r="AC291" s="234"/>
      <c r="AD291" s="234"/>
      <c r="AE291" s="234"/>
      <c r="AF291" s="234"/>
      <c r="AG291" s="234"/>
      <c r="AH291" s="234"/>
      <c r="AI291" s="234"/>
      <c r="AJ291" s="234"/>
      <c r="AK291" s="234"/>
      <c r="AL291" s="234"/>
      <c r="AM291" s="234"/>
      <c r="AN291" s="234"/>
      <c r="AO291" s="234"/>
      <c r="AP291" s="234"/>
      <c r="AQ291" s="234"/>
      <c r="AR291" s="234"/>
      <c r="AS291" s="234"/>
      <c r="AT291" s="234"/>
      <c r="AU291" s="234"/>
      <c r="AV291" s="234"/>
      <c r="AW291" s="234"/>
      <c r="AX291" s="234"/>
      <c r="AY291" s="234"/>
      <c r="AZ291" s="234"/>
      <c r="BA291" s="234"/>
      <c r="BB291" s="234"/>
      <c r="BC291" s="234"/>
      <c r="BD291" s="234"/>
      <c r="BE291" s="234"/>
      <c r="BF291" s="234"/>
      <c r="BG291" s="234"/>
      <c r="BH291" s="234"/>
      <c r="BI291" s="234"/>
      <c r="BJ291" s="234"/>
      <c r="BK291" s="234"/>
      <c r="BL291" s="234"/>
      <c r="BM291" s="234"/>
      <c r="BN291" s="234"/>
      <c r="BO291" s="234"/>
      <c r="BP291" s="234"/>
      <c r="BQ291" s="234"/>
      <c r="BR291" s="234"/>
      <c r="BS291" s="491"/>
      <c r="BT291" s="491"/>
      <c r="BU291" s="491"/>
      <c r="BV291" s="491"/>
      <c r="BW291" s="491"/>
      <c r="BX291" s="491"/>
      <c r="BY291" s="491"/>
      <c r="BZ291" s="497"/>
      <c r="CA291" s="496"/>
      <c r="CB291" s="499"/>
      <c r="CC291" s="57"/>
      <c r="CD291" s="57"/>
      <c r="CE291" s="342" t="s">
        <v>1576</v>
      </c>
      <c r="CF291" s="342" t="s">
        <v>1575</v>
      </c>
      <c r="CG291" s="57"/>
    </row>
    <row r="292" spans="1:1873" s="23" customFormat="1" x14ac:dyDescent="0.2">
      <c r="A292" s="234" t="s">
        <v>685</v>
      </c>
      <c r="B292" s="234" t="s">
        <v>680</v>
      </c>
      <c r="C292" s="234" t="s">
        <v>497</v>
      </c>
      <c r="D292" s="234" t="s">
        <v>633</v>
      </c>
      <c r="E292" s="493" t="s">
        <v>770</v>
      </c>
      <c r="F292" s="234">
        <v>1</v>
      </c>
      <c r="G292" s="234">
        <v>1</v>
      </c>
      <c r="H292" s="234">
        <v>1</v>
      </c>
      <c r="I292" s="234" t="s">
        <v>954</v>
      </c>
      <c r="J292" s="234">
        <v>1999</v>
      </c>
      <c r="K292" s="234" t="s">
        <v>1001</v>
      </c>
      <c r="L292" s="234">
        <v>1999</v>
      </c>
      <c r="M292" s="389">
        <v>-9999</v>
      </c>
      <c r="N292" s="389">
        <v>-9999</v>
      </c>
      <c r="O292" s="29"/>
      <c r="P292" s="389">
        <v>3.24</v>
      </c>
      <c r="Q292" s="491">
        <v>-9999</v>
      </c>
      <c r="R292" s="389"/>
      <c r="S292" s="491"/>
      <c r="T292" s="237">
        <f>+P292/G292</f>
        <v>3.24</v>
      </c>
      <c r="U292" s="491">
        <v>-9999</v>
      </c>
      <c r="V292" s="491"/>
      <c r="W292" s="389">
        <f>+P292</f>
        <v>3.24</v>
      </c>
      <c r="X292" s="491">
        <v>-9999</v>
      </c>
      <c r="Y292" s="491"/>
      <c r="Z292" s="234" t="s">
        <v>681</v>
      </c>
      <c r="AA292" s="495">
        <v>18146</v>
      </c>
      <c r="AB292" s="389">
        <v>-9999</v>
      </c>
      <c r="AC292" s="234">
        <v>1</v>
      </c>
      <c r="AD292" s="234">
        <v>124.8</v>
      </c>
      <c r="AE292" s="390" t="s">
        <v>1952</v>
      </c>
      <c r="AF292" s="234">
        <v>4</v>
      </c>
      <c r="AG292" s="234">
        <v>-9999</v>
      </c>
      <c r="AH292" s="234" t="s">
        <v>623</v>
      </c>
      <c r="AI292" s="234">
        <v>-9999</v>
      </c>
      <c r="AJ292" s="234">
        <v>-9999</v>
      </c>
      <c r="AK292" s="234" t="s">
        <v>625</v>
      </c>
      <c r="AL292" s="234" t="s">
        <v>682</v>
      </c>
      <c r="AM292" s="234">
        <v>-9999</v>
      </c>
      <c r="AN292" s="234" t="s">
        <v>631</v>
      </c>
      <c r="AO292" s="234">
        <v>-9999</v>
      </c>
      <c r="AP292" s="234">
        <v>-9999</v>
      </c>
      <c r="AQ292" s="234" t="s">
        <v>631</v>
      </c>
      <c r="AR292" s="234">
        <v>0</v>
      </c>
      <c r="AS292" s="234">
        <v>-9999</v>
      </c>
      <c r="AT292" s="234">
        <v>-9999</v>
      </c>
      <c r="AU292" s="234">
        <v>0</v>
      </c>
      <c r="AV292" s="234">
        <v>-9999</v>
      </c>
      <c r="AW292" s="234">
        <v>-9999</v>
      </c>
      <c r="AX292" s="234">
        <v>0</v>
      </c>
      <c r="AY292" s="234">
        <v>-9999</v>
      </c>
      <c r="AZ292" s="234">
        <v>-9999</v>
      </c>
      <c r="BA292" s="234">
        <v>-9999</v>
      </c>
      <c r="BB292" s="234" t="s">
        <v>626</v>
      </c>
      <c r="BC292" s="234" t="s">
        <v>683</v>
      </c>
      <c r="BD292" s="234" t="s">
        <v>684</v>
      </c>
      <c r="BE292" s="234"/>
      <c r="BF292" s="234" t="s">
        <v>504</v>
      </c>
      <c r="BG292" s="234" t="s">
        <v>506</v>
      </c>
      <c r="BH292" s="234" t="s">
        <v>505</v>
      </c>
      <c r="BI292" s="234"/>
      <c r="BJ292" s="234">
        <v>-9999</v>
      </c>
      <c r="BK292" s="234">
        <v>-9999</v>
      </c>
      <c r="BL292" s="234">
        <v>0.8</v>
      </c>
      <c r="BM292" s="234">
        <v>-9999</v>
      </c>
      <c r="BN292" s="234">
        <v>-9999</v>
      </c>
      <c r="BO292" s="234">
        <v>-9999</v>
      </c>
      <c r="BP292" s="234">
        <v>-9999</v>
      </c>
      <c r="BQ292" s="234">
        <v>-9999</v>
      </c>
      <c r="BR292" s="234">
        <v>6.68</v>
      </c>
      <c r="BS292" s="491">
        <v>-9999</v>
      </c>
      <c r="BT292" s="491">
        <v>-9999</v>
      </c>
      <c r="BU292" s="491">
        <v>-9999</v>
      </c>
      <c r="BV292" s="491">
        <v>-9999</v>
      </c>
      <c r="BW292" s="491"/>
      <c r="BX292" s="491">
        <v>-9999</v>
      </c>
      <c r="BY292" s="491">
        <v>-9999</v>
      </c>
      <c r="BZ292" s="497">
        <v>-9999</v>
      </c>
      <c r="CA292" s="496">
        <v>-9999</v>
      </c>
      <c r="CB292" s="499"/>
      <c r="CC292" s="57">
        <v>1</v>
      </c>
      <c r="CD292" s="57">
        <v>1</v>
      </c>
      <c r="CE292" s="292">
        <v>3.24</v>
      </c>
      <c r="CF292" s="292">
        <v>3.24</v>
      </c>
      <c r="CG292" s="57">
        <v>1</v>
      </c>
    </row>
    <row r="293" spans="1:1873" s="23" customFormat="1" x14ac:dyDescent="0.2">
      <c r="A293" s="234" t="s">
        <v>685</v>
      </c>
      <c r="B293" s="234" t="s">
        <v>680</v>
      </c>
      <c r="C293" s="234" t="s">
        <v>497</v>
      </c>
      <c r="D293" s="234" t="s">
        <v>633</v>
      </c>
      <c r="E293" s="493" t="s">
        <v>770</v>
      </c>
      <c r="F293" s="234">
        <v>1</v>
      </c>
      <c r="G293" s="234">
        <v>2</v>
      </c>
      <c r="H293" s="234">
        <v>2</v>
      </c>
      <c r="I293" s="234" t="s">
        <v>954</v>
      </c>
      <c r="J293" s="234">
        <v>1999</v>
      </c>
      <c r="K293" s="234" t="s">
        <v>1001</v>
      </c>
      <c r="L293" s="234">
        <v>2000</v>
      </c>
      <c r="M293" s="389">
        <v>-9999</v>
      </c>
      <c r="N293" s="389">
        <v>-9999</v>
      </c>
      <c r="O293" s="29"/>
      <c r="P293" s="389">
        <v>8.42</v>
      </c>
      <c r="Q293" s="491">
        <v>-9999</v>
      </c>
      <c r="R293" s="389"/>
      <c r="S293" s="491"/>
      <c r="T293" s="237">
        <f>+P293/G293</f>
        <v>4.21</v>
      </c>
      <c r="U293" s="491">
        <v>-9999</v>
      </c>
      <c r="V293" s="491"/>
      <c r="W293" s="237">
        <f>+P293-P292</f>
        <v>5.18</v>
      </c>
      <c r="X293" s="491">
        <v>-9999</v>
      </c>
      <c r="Y293" s="491"/>
      <c r="Z293" s="234" t="s">
        <v>681</v>
      </c>
      <c r="AA293" s="495">
        <v>18146</v>
      </c>
      <c r="AB293" s="389">
        <v>-9999</v>
      </c>
      <c r="AC293" s="234">
        <v>1</v>
      </c>
      <c r="AD293" s="234">
        <v>124.8</v>
      </c>
      <c r="AE293" s="390" t="s">
        <v>1952</v>
      </c>
      <c r="AF293" s="234">
        <v>4</v>
      </c>
      <c r="AG293" s="234">
        <v>-9999</v>
      </c>
      <c r="AH293" s="234" t="s">
        <v>623</v>
      </c>
      <c r="AI293" s="234">
        <v>-9999</v>
      </c>
      <c r="AJ293" s="234">
        <v>-9999</v>
      </c>
      <c r="AK293" s="234" t="s">
        <v>625</v>
      </c>
      <c r="AL293" s="234" t="s">
        <v>682</v>
      </c>
      <c r="AM293" s="234">
        <v>-9999</v>
      </c>
      <c r="AN293" s="234" t="s">
        <v>631</v>
      </c>
      <c r="AO293" s="234">
        <v>-9999</v>
      </c>
      <c r="AP293" s="234">
        <v>-9999</v>
      </c>
      <c r="AQ293" s="234" t="s">
        <v>631</v>
      </c>
      <c r="AR293" s="234">
        <v>0</v>
      </c>
      <c r="AS293" s="234">
        <v>-9999</v>
      </c>
      <c r="AT293" s="234">
        <v>-9999</v>
      </c>
      <c r="AU293" s="234">
        <v>0</v>
      </c>
      <c r="AV293" s="234">
        <v>-9999</v>
      </c>
      <c r="AW293" s="234">
        <v>-9999</v>
      </c>
      <c r="AX293" s="234">
        <v>0</v>
      </c>
      <c r="AY293" s="234">
        <v>-9999</v>
      </c>
      <c r="AZ293" s="234">
        <v>-9999</v>
      </c>
      <c r="BA293" s="234">
        <v>-9999</v>
      </c>
      <c r="BB293" s="234" t="s">
        <v>626</v>
      </c>
      <c r="BC293" s="234" t="s">
        <v>683</v>
      </c>
      <c r="BD293" s="234" t="s">
        <v>684</v>
      </c>
      <c r="BE293" s="234"/>
      <c r="BF293" s="234" t="s">
        <v>504</v>
      </c>
      <c r="BG293" s="234" t="s">
        <v>506</v>
      </c>
      <c r="BH293" s="234" t="s">
        <v>505</v>
      </c>
      <c r="BI293" s="234"/>
      <c r="BJ293" s="234">
        <v>-9999</v>
      </c>
      <c r="BK293" s="234">
        <v>-9999</v>
      </c>
      <c r="BL293" s="234">
        <v>2.0099999999999998</v>
      </c>
      <c r="BM293" s="234">
        <v>-9999</v>
      </c>
      <c r="BN293" s="234">
        <v>-9999</v>
      </c>
      <c r="BO293" s="234">
        <v>-9999</v>
      </c>
      <c r="BP293" s="234">
        <v>-9999</v>
      </c>
      <c r="BQ293" s="234">
        <v>-9999</v>
      </c>
      <c r="BR293" s="234">
        <v>16.45</v>
      </c>
      <c r="BS293" s="491">
        <v>-9999</v>
      </c>
      <c r="BT293" s="491">
        <v>-9999</v>
      </c>
      <c r="BU293" s="491">
        <v>-9999</v>
      </c>
      <c r="BV293" s="491">
        <v>-9999</v>
      </c>
      <c r="BW293" s="491"/>
      <c r="BX293" s="491">
        <v>-9999</v>
      </c>
      <c r="BY293" s="491">
        <v>-9999</v>
      </c>
      <c r="BZ293" s="497">
        <v>-9999</v>
      </c>
      <c r="CA293" s="496">
        <v>-9999</v>
      </c>
      <c r="CB293" s="499"/>
      <c r="CC293" s="57">
        <v>1</v>
      </c>
      <c r="CD293" s="57">
        <v>2</v>
      </c>
      <c r="CE293" s="292">
        <v>4.21</v>
      </c>
      <c r="CF293" s="292">
        <v>5.18</v>
      </c>
      <c r="CG293" s="57">
        <v>2</v>
      </c>
    </row>
    <row r="294" spans="1:1873" s="23" customFormat="1" x14ac:dyDescent="0.2">
      <c r="A294" s="234" t="s">
        <v>685</v>
      </c>
      <c r="B294" s="234" t="s">
        <v>680</v>
      </c>
      <c r="C294" s="234" t="s">
        <v>497</v>
      </c>
      <c r="D294" s="234" t="s">
        <v>633</v>
      </c>
      <c r="E294" s="493" t="s">
        <v>770</v>
      </c>
      <c r="F294" s="234">
        <v>1</v>
      </c>
      <c r="G294" s="234">
        <v>3</v>
      </c>
      <c r="H294" s="234">
        <v>3</v>
      </c>
      <c r="I294" s="234" t="s">
        <v>954</v>
      </c>
      <c r="J294" s="234">
        <v>1999</v>
      </c>
      <c r="K294" s="234" t="s">
        <v>1001</v>
      </c>
      <c r="L294" s="234">
        <v>2001</v>
      </c>
      <c r="M294" s="389">
        <v>-9999</v>
      </c>
      <c r="N294" s="389">
        <v>-9999</v>
      </c>
      <c r="O294" s="29"/>
      <c r="P294" s="389">
        <v>30.49</v>
      </c>
      <c r="Q294" s="491">
        <v>-9999</v>
      </c>
      <c r="R294" s="389"/>
      <c r="S294" s="491"/>
      <c r="T294" s="237">
        <f>+P294/G294</f>
        <v>10.163333333333332</v>
      </c>
      <c r="U294" s="491">
        <v>-9999</v>
      </c>
      <c r="V294" s="491"/>
      <c r="W294" s="237">
        <f>+P294-P293</f>
        <v>22.07</v>
      </c>
      <c r="X294" s="491">
        <v>-9999</v>
      </c>
      <c r="Y294" s="491"/>
      <c r="Z294" s="234" t="s">
        <v>681</v>
      </c>
      <c r="AA294" s="495">
        <v>18146</v>
      </c>
      <c r="AB294" s="389">
        <v>-9999</v>
      </c>
      <c r="AC294" s="234">
        <v>1</v>
      </c>
      <c r="AD294" s="234">
        <v>124.8</v>
      </c>
      <c r="AE294" s="390" t="s">
        <v>1952</v>
      </c>
      <c r="AF294" s="234">
        <v>4</v>
      </c>
      <c r="AG294" s="234">
        <v>-9999</v>
      </c>
      <c r="AH294" s="234" t="s">
        <v>623</v>
      </c>
      <c r="AI294" s="234">
        <v>-9999</v>
      </c>
      <c r="AJ294" s="234">
        <v>-9999</v>
      </c>
      <c r="AK294" s="234" t="s">
        <v>625</v>
      </c>
      <c r="AL294" s="234" t="s">
        <v>682</v>
      </c>
      <c r="AM294" s="234">
        <v>-9999</v>
      </c>
      <c r="AN294" s="234" t="s">
        <v>631</v>
      </c>
      <c r="AO294" s="234">
        <v>-9999</v>
      </c>
      <c r="AP294" s="234">
        <v>-9999</v>
      </c>
      <c r="AQ294" s="234" t="s">
        <v>631</v>
      </c>
      <c r="AR294" s="234">
        <v>0</v>
      </c>
      <c r="AS294" s="234">
        <v>-9999</v>
      </c>
      <c r="AT294" s="234">
        <v>-9999</v>
      </c>
      <c r="AU294" s="234">
        <v>0</v>
      </c>
      <c r="AV294" s="234">
        <v>-9999</v>
      </c>
      <c r="AW294" s="234">
        <v>-9999</v>
      </c>
      <c r="AX294" s="234">
        <v>0</v>
      </c>
      <c r="AY294" s="234">
        <v>-9999</v>
      </c>
      <c r="AZ294" s="234">
        <v>-9999</v>
      </c>
      <c r="BA294" s="234">
        <v>-9999</v>
      </c>
      <c r="BB294" s="234" t="s">
        <v>626</v>
      </c>
      <c r="BC294" s="234" t="s">
        <v>683</v>
      </c>
      <c r="BD294" s="234" t="s">
        <v>684</v>
      </c>
      <c r="BE294" s="234"/>
      <c r="BF294" s="234" t="s">
        <v>504</v>
      </c>
      <c r="BG294" s="234" t="s">
        <v>506</v>
      </c>
      <c r="BH294" s="234" t="s">
        <v>505</v>
      </c>
      <c r="BI294" s="234"/>
      <c r="BJ294" s="234">
        <v>-9999</v>
      </c>
      <c r="BK294" s="234">
        <v>-9999</v>
      </c>
      <c r="BL294" s="234">
        <v>3.57</v>
      </c>
      <c r="BM294" s="234">
        <v>-9999</v>
      </c>
      <c r="BN294" s="234">
        <v>-9999</v>
      </c>
      <c r="BO294" s="234">
        <v>-9999</v>
      </c>
      <c r="BP294" s="234">
        <v>-9999</v>
      </c>
      <c r="BQ294" s="234">
        <v>-9999</v>
      </c>
      <c r="BR294" s="234">
        <v>33.159999999999997</v>
      </c>
      <c r="BS294" s="491">
        <v>-9999</v>
      </c>
      <c r="BT294" s="491">
        <v>-9999</v>
      </c>
      <c r="BU294" s="491">
        <v>-9999</v>
      </c>
      <c r="BV294" s="491">
        <v>-9999</v>
      </c>
      <c r="BW294" s="491"/>
      <c r="BX294" s="491">
        <v>-9999</v>
      </c>
      <c r="BY294" s="491">
        <v>-9999</v>
      </c>
      <c r="BZ294" s="497">
        <v>-9999</v>
      </c>
      <c r="CA294" s="496">
        <v>-9999</v>
      </c>
      <c r="CB294" s="499"/>
      <c r="CC294" s="57">
        <v>1</v>
      </c>
      <c r="CD294" s="57">
        <v>3</v>
      </c>
      <c r="CE294" s="292">
        <v>10.163333333333332</v>
      </c>
      <c r="CF294" s="292">
        <v>22.07</v>
      </c>
      <c r="CG294" s="57">
        <v>3</v>
      </c>
    </row>
    <row r="295" spans="1:1873" s="178" customFormat="1" x14ac:dyDescent="0.2">
      <c r="A295" s="231" t="s">
        <v>685</v>
      </c>
      <c r="B295" s="231" t="s">
        <v>680</v>
      </c>
      <c r="C295" s="231" t="s">
        <v>497</v>
      </c>
      <c r="D295" s="231" t="s">
        <v>633</v>
      </c>
      <c r="E295" s="232" t="s">
        <v>770</v>
      </c>
      <c r="F295" s="231">
        <v>1</v>
      </c>
      <c r="G295" s="231">
        <v>4</v>
      </c>
      <c r="H295" s="231">
        <v>4</v>
      </c>
      <c r="I295" s="231" t="s">
        <v>954</v>
      </c>
      <c r="J295" s="231">
        <v>1999</v>
      </c>
      <c r="K295" s="231" t="s">
        <v>1001</v>
      </c>
      <c r="L295" s="231">
        <v>2002</v>
      </c>
      <c r="M295" s="235">
        <v>-9999</v>
      </c>
      <c r="N295" s="235">
        <v>-9999</v>
      </c>
      <c r="O295" s="18"/>
      <c r="P295" s="235">
        <v>67.58</v>
      </c>
      <c r="Q295" s="233">
        <v>-9999</v>
      </c>
      <c r="R295" s="235"/>
      <c r="S295" s="233"/>
      <c r="T295" s="235">
        <f>+P295/G295</f>
        <v>16.895</v>
      </c>
      <c r="U295" s="233">
        <v>-9999</v>
      </c>
      <c r="V295" s="233"/>
      <c r="W295" s="236">
        <f>+P295-P294</f>
        <v>37.090000000000003</v>
      </c>
      <c r="X295" s="233">
        <v>-9999</v>
      </c>
      <c r="Y295" s="233"/>
      <c r="Z295" s="231" t="s">
        <v>681</v>
      </c>
      <c r="AA295" s="489">
        <v>18146</v>
      </c>
      <c r="AB295" s="235">
        <v>-9999</v>
      </c>
      <c r="AC295" s="231">
        <v>1</v>
      </c>
      <c r="AD295" s="231">
        <v>124.8</v>
      </c>
      <c r="AE295" s="231" t="s">
        <v>1952</v>
      </c>
      <c r="AF295" s="231">
        <v>4</v>
      </c>
      <c r="AG295" s="231">
        <v>-9999</v>
      </c>
      <c r="AH295" s="231" t="s">
        <v>623</v>
      </c>
      <c r="AI295" s="231">
        <v>-9999</v>
      </c>
      <c r="AJ295" s="231">
        <v>-9999</v>
      </c>
      <c r="AK295" s="231" t="s">
        <v>625</v>
      </c>
      <c r="AL295" s="231" t="s">
        <v>682</v>
      </c>
      <c r="AM295" s="231">
        <v>-9999</v>
      </c>
      <c r="AN295" s="231" t="s">
        <v>631</v>
      </c>
      <c r="AO295" s="231">
        <v>-9999</v>
      </c>
      <c r="AP295" s="231">
        <v>-9999</v>
      </c>
      <c r="AQ295" s="231" t="s">
        <v>631</v>
      </c>
      <c r="AR295" s="231">
        <v>0</v>
      </c>
      <c r="AS295" s="231">
        <v>-9999</v>
      </c>
      <c r="AT295" s="231">
        <v>-9999</v>
      </c>
      <c r="AU295" s="231">
        <v>0</v>
      </c>
      <c r="AV295" s="231">
        <v>-9999</v>
      </c>
      <c r="AW295" s="231">
        <v>-9999</v>
      </c>
      <c r="AX295" s="231">
        <v>0</v>
      </c>
      <c r="AY295" s="231">
        <v>-9999</v>
      </c>
      <c r="AZ295" s="231">
        <v>-9999</v>
      </c>
      <c r="BA295" s="231">
        <v>-9999</v>
      </c>
      <c r="BB295" s="231" t="s">
        <v>626</v>
      </c>
      <c r="BC295" s="231" t="s">
        <v>683</v>
      </c>
      <c r="BD295" s="231" t="s">
        <v>684</v>
      </c>
      <c r="BE295" s="231"/>
      <c r="BF295" s="231" t="s">
        <v>504</v>
      </c>
      <c r="BG295" s="231" t="s">
        <v>506</v>
      </c>
      <c r="BH295" s="231" t="s">
        <v>505</v>
      </c>
      <c r="BI295" s="231"/>
      <c r="BJ295" s="231">
        <v>-9999</v>
      </c>
      <c r="BK295" s="231">
        <v>-9999</v>
      </c>
      <c r="BL295" s="231">
        <v>4.49</v>
      </c>
      <c r="BM295" s="231">
        <v>-9999</v>
      </c>
      <c r="BN295" s="231">
        <v>-9999</v>
      </c>
      <c r="BO295" s="231">
        <v>-9999</v>
      </c>
      <c r="BP295" s="231">
        <v>-9999</v>
      </c>
      <c r="BQ295" s="231">
        <v>-9999</v>
      </c>
      <c r="BR295" s="231">
        <v>41.54</v>
      </c>
      <c r="BS295" s="233">
        <v>-9999</v>
      </c>
      <c r="BT295" s="233">
        <v>-9999</v>
      </c>
      <c r="BU295" s="233">
        <v>-9999</v>
      </c>
      <c r="BV295" s="233">
        <v>-9999</v>
      </c>
      <c r="BW295" s="233"/>
      <c r="BX295" s="233">
        <v>-9999</v>
      </c>
      <c r="BY295" s="233">
        <v>-9999</v>
      </c>
      <c r="BZ295" s="490">
        <v>-9999</v>
      </c>
      <c r="CA295" s="238">
        <v>-9999</v>
      </c>
      <c r="CB295" s="239"/>
      <c r="CC295" s="174">
        <v>1</v>
      </c>
      <c r="CD295" s="174">
        <v>4</v>
      </c>
      <c r="CE295" s="99">
        <v>16.895</v>
      </c>
      <c r="CF295" s="99">
        <v>37.090000000000003</v>
      </c>
      <c r="CG295" s="174">
        <v>4</v>
      </c>
      <c r="CH295" s="13" t="s">
        <v>1757</v>
      </c>
      <c r="CI295" s="13"/>
      <c r="CJ295" s="13"/>
      <c r="CK295" s="13"/>
      <c r="CL295" s="13"/>
      <c r="CM295" s="13"/>
      <c r="CN295" s="13"/>
      <c r="CO295" s="13"/>
      <c r="CP295" s="13"/>
      <c r="CQ295" s="13"/>
      <c r="CR295" s="13"/>
      <c r="CS295" s="13"/>
      <c r="CT295" s="13"/>
      <c r="CU295" s="13"/>
      <c r="CV295" s="13"/>
      <c r="CW295" s="13"/>
      <c r="CX295" s="13"/>
      <c r="CY295" s="13"/>
      <c r="CZ295" s="13"/>
      <c r="DA295" s="13"/>
      <c r="DB295" s="13"/>
      <c r="DC295" s="13"/>
      <c r="DD295" s="13"/>
      <c r="DE295" s="13"/>
      <c r="DF295" s="13"/>
      <c r="DG295" s="13"/>
      <c r="DH295" s="13"/>
      <c r="DI295" s="13"/>
      <c r="DJ295" s="13"/>
      <c r="DK295" s="13"/>
      <c r="DL295" s="13"/>
      <c r="DM295" s="13"/>
      <c r="DN295" s="13"/>
      <c r="DO295" s="13"/>
      <c r="DP295" s="13"/>
      <c r="DQ295" s="13"/>
      <c r="DR295" s="13"/>
      <c r="DS295" s="13"/>
      <c r="DT295" s="13"/>
      <c r="DU295" s="13"/>
      <c r="DV295" s="13"/>
      <c r="DW295" s="13"/>
      <c r="DX295" s="13"/>
      <c r="DY295" s="13"/>
      <c r="DZ295" s="13"/>
      <c r="EA295" s="13"/>
      <c r="EB295" s="13"/>
      <c r="EC295" s="13"/>
      <c r="ED295" s="13"/>
      <c r="EE295" s="13"/>
      <c r="EF295" s="13"/>
      <c r="EG295" s="13"/>
      <c r="EH295" s="13"/>
      <c r="EI295" s="13"/>
      <c r="EJ295" s="13"/>
      <c r="EK295" s="13"/>
      <c r="EL295" s="13"/>
      <c r="EM295" s="13"/>
      <c r="EN295" s="13"/>
      <c r="EO295" s="13"/>
      <c r="EP295" s="13"/>
      <c r="EQ295" s="13"/>
      <c r="ER295" s="13"/>
      <c r="ES295" s="13"/>
      <c r="ET295" s="13"/>
      <c r="EU295" s="13"/>
      <c r="EV295" s="13"/>
      <c r="EW295" s="13"/>
      <c r="EX295" s="13"/>
      <c r="EY295" s="13"/>
      <c r="EZ295" s="13"/>
      <c r="FA295" s="13"/>
      <c r="FB295" s="13"/>
      <c r="FC295" s="13"/>
      <c r="FD295" s="13"/>
      <c r="FE295" s="13"/>
      <c r="FF295" s="13"/>
      <c r="FG295" s="13"/>
      <c r="FH295" s="13"/>
      <c r="FI295" s="13"/>
      <c r="FJ295" s="13"/>
      <c r="FK295" s="13"/>
      <c r="FL295" s="13"/>
      <c r="FM295" s="13"/>
      <c r="FN295" s="13"/>
      <c r="FO295" s="13"/>
      <c r="FP295" s="13"/>
      <c r="FQ295" s="13"/>
      <c r="FR295" s="13"/>
      <c r="FS295" s="13"/>
      <c r="FT295" s="13"/>
      <c r="FU295" s="13"/>
      <c r="FV295" s="13"/>
      <c r="FW295" s="13"/>
      <c r="FX295" s="13"/>
      <c r="FY295" s="13"/>
      <c r="FZ295" s="13"/>
      <c r="GA295" s="13"/>
      <c r="GB295" s="13"/>
      <c r="GC295" s="13"/>
      <c r="GD295" s="13"/>
      <c r="GE295" s="13"/>
      <c r="GF295" s="13"/>
      <c r="GG295" s="13"/>
      <c r="GH295" s="13"/>
      <c r="GI295" s="13"/>
      <c r="GJ295" s="13"/>
      <c r="GK295" s="13"/>
      <c r="GL295" s="13"/>
      <c r="GM295" s="13"/>
      <c r="GN295" s="13"/>
      <c r="GO295" s="13"/>
      <c r="GP295" s="13"/>
      <c r="GQ295" s="13"/>
      <c r="GR295" s="13"/>
      <c r="GS295" s="13"/>
      <c r="GT295" s="13"/>
      <c r="GU295" s="13"/>
      <c r="GV295" s="13"/>
      <c r="GW295" s="13"/>
      <c r="GX295" s="13"/>
      <c r="GY295" s="13"/>
      <c r="GZ295" s="13"/>
      <c r="HA295" s="13"/>
      <c r="HB295" s="13"/>
      <c r="HC295" s="13"/>
      <c r="HD295" s="13"/>
      <c r="HE295" s="13"/>
      <c r="HF295" s="13"/>
      <c r="HG295" s="13"/>
      <c r="HH295" s="13"/>
      <c r="HI295" s="13"/>
      <c r="HJ295" s="13"/>
      <c r="HK295" s="13"/>
      <c r="HL295" s="13"/>
      <c r="HM295" s="13"/>
      <c r="HN295" s="13"/>
      <c r="HO295" s="13"/>
      <c r="HP295" s="13"/>
      <c r="HQ295" s="13"/>
      <c r="HR295" s="13"/>
      <c r="HS295" s="13"/>
      <c r="HT295" s="13"/>
      <c r="HU295" s="13"/>
      <c r="HV295" s="13"/>
      <c r="HW295" s="13"/>
      <c r="HX295" s="13"/>
      <c r="HY295" s="13"/>
      <c r="HZ295" s="13"/>
      <c r="IA295" s="13"/>
      <c r="IB295" s="13"/>
      <c r="IC295" s="13"/>
      <c r="ID295" s="13"/>
      <c r="IE295" s="13"/>
      <c r="IF295" s="13"/>
      <c r="IG295" s="13"/>
      <c r="IH295" s="13"/>
      <c r="II295" s="13"/>
      <c r="IJ295" s="13"/>
      <c r="IK295" s="13"/>
      <c r="IL295" s="13"/>
      <c r="IM295" s="13"/>
      <c r="IN295" s="13"/>
      <c r="IO295" s="13"/>
      <c r="IP295" s="13"/>
      <c r="IQ295" s="13"/>
      <c r="IR295" s="13"/>
      <c r="IS295" s="13"/>
      <c r="IT295" s="13"/>
      <c r="IU295" s="13"/>
      <c r="IV295" s="13"/>
      <c r="IW295" s="13"/>
      <c r="IX295" s="13"/>
      <c r="IY295" s="13"/>
      <c r="IZ295" s="13"/>
      <c r="JA295" s="13"/>
      <c r="JB295" s="13"/>
      <c r="JC295" s="13"/>
      <c r="JD295" s="13"/>
      <c r="JE295" s="13"/>
      <c r="JF295" s="13"/>
      <c r="JG295" s="13"/>
      <c r="JH295" s="13"/>
      <c r="JI295" s="13"/>
      <c r="JJ295" s="13"/>
      <c r="JK295" s="13"/>
      <c r="JL295" s="13"/>
      <c r="JM295" s="13"/>
      <c r="JN295" s="13"/>
      <c r="JO295" s="13"/>
      <c r="JP295" s="13"/>
      <c r="JQ295" s="13"/>
      <c r="JR295" s="13"/>
      <c r="JS295" s="13"/>
      <c r="JT295" s="13"/>
      <c r="JU295" s="13"/>
      <c r="JV295" s="13"/>
      <c r="JW295" s="13"/>
      <c r="JX295" s="13"/>
      <c r="JY295" s="13"/>
      <c r="JZ295" s="13"/>
      <c r="KA295" s="13"/>
      <c r="KB295" s="13"/>
      <c r="KC295" s="13"/>
      <c r="KD295" s="13"/>
      <c r="KE295" s="13"/>
      <c r="KF295" s="13"/>
      <c r="KG295" s="13"/>
      <c r="KH295" s="13"/>
      <c r="KI295" s="13"/>
      <c r="KJ295" s="13"/>
      <c r="KK295" s="13"/>
      <c r="KL295" s="13"/>
      <c r="KM295" s="13"/>
      <c r="KN295" s="13"/>
      <c r="KO295" s="13"/>
      <c r="KP295" s="13"/>
      <c r="KQ295" s="13"/>
      <c r="KR295" s="13"/>
      <c r="KS295" s="13"/>
      <c r="KT295" s="13"/>
      <c r="KU295" s="13"/>
      <c r="KV295" s="13"/>
      <c r="KW295" s="13"/>
      <c r="KX295" s="13"/>
      <c r="KY295" s="13"/>
      <c r="KZ295" s="13"/>
      <c r="LA295" s="13"/>
      <c r="LB295" s="13"/>
      <c r="LC295" s="13"/>
      <c r="LD295" s="13"/>
      <c r="LE295" s="13"/>
      <c r="LF295" s="13"/>
      <c r="LG295" s="13"/>
      <c r="LH295" s="13"/>
      <c r="LI295" s="13"/>
      <c r="LJ295" s="13"/>
      <c r="LK295" s="13"/>
      <c r="LL295" s="13"/>
      <c r="LM295" s="13"/>
      <c r="LN295" s="13"/>
      <c r="LO295" s="13"/>
      <c r="LP295" s="13"/>
      <c r="LQ295" s="13"/>
      <c r="LR295" s="13"/>
      <c r="LS295" s="13"/>
      <c r="LT295" s="13"/>
      <c r="LU295" s="13"/>
      <c r="LV295" s="13"/>
      <c r="LW295" s="13"/>
      <c r="LX295" s="13"/>
      <c r="LY295" s="13"/>
      <c r="LZ295" s="13"/>
      <c r="MA295" s="13"/>
      <c r="MB295" s="13"/>
      <c r="MC295" s="13"/>
      <c r="MD295" s="13"/>
      <c r="ME295" s="13"/>
      <c r="MF295" s="13"/>
      <c r="MG295" s="13"/>
      <c r="MH295" s="13"/>
      <c r="MI295" s="13"/>
      <c r="MJ295" s="13"/>
      <c r="MK295" s="13"/>
      <c r="ML295" s="13"/>
      <c r="MM295" s="13"/>
      <c r="MN295" s="13"/>
      <c r="MO295" s="13"/>
      <c r="MP295" s="13"/>
      <c r="MQ295" s="13"/>
      <c r="MR295" s="13"/>
      <c r="MS295" s="13"/>
      <c r="MT295" s="13"/>
      <c r="MU295" s="13"/>
      <c r="MV295" s="13"/>
      <c r="MW295" s="13"/>
      <c r="MX295" s="13"/>
      <c r="MY295" s="13"/>
      <c r="MZ295" s="13"/>
      <c r="NA295" s="13"/>
      <c r="NB295" s="13"/>
      <c r="NC295" s="13"/>
      <c r="ND295" s="13"/>
      <c r="NE295" s="13"/>
      <c r="NF295" s="13"/>
      <c r="NG295" s="13"/>
      <c r="NH295" s="13"/>
      <c r="NI295" s="13"/>
      <c r="NJ295" s="13"/>
      <c r="NK295" s="13"/>
      <c r="NL295" s="13"/>
      <c r="NM295" s="13"/>
      <c r="NN295" s="13"/>
      <c r="NO295" s="13"/>
      <c r="NP295" s="13"/>
      <c r="NQ295" s="13"/>
      <c r="NR295" s="13"/>
      <c r="NS295" s="13"/>
      <c r="NT295" s="13"/>
      <c r="NU295" s="13"/>
      <c r="NV295" s="13"/>
      <c r="NW295" s="13"/>
      <c r="NX295" s="13"/>
      <c r="NY295" s="13"/>
      <c r="NZ295" s="13"/>
      <c r="OA295" s="13"/>
      <c r="OB295" s="13"/>
      <c r="OC295" s="13"/>
      <c r="OD295" s="13"/>
      <c r="OE295" s="13"/>
      <c r="OF295" s="13"/>
      <c r="OG295" s="13"/>
      <c r="OH295" s="13"/>
      <c r="OI295" s="13"/>
      <c r="OJ295" s="13"/>
      <c r="OK295" s="13"/>
      <c r="OL295" s="13"/>
      <c r="OM295" s="13"/>
      <c r="ON295" s="13"/>
      <c r="OO295" s="13"/>
      <c r="OP295" s="13"/>
      <c r="OQ295" s="13"/>
      <c r="OR295" s="13"/>
      <c r="OS295" s="13"/>
      <c r="OT295" s="13"/>
      <c r="OU295" s="13"/>
      <c r="OV295" s="13"/>
      <c r="OW295" s="13"/>
      <c r="OX295" s="13"/>
      <c r="OY295" s="13"/>
      <c r="OZ295" s="13"/>
      <c r="PA295" s="13"/>
      <c r="PB295" s="13"/>
      <c r="PC295" s="13"/>
      <c r="PD295" s="13"/>
      <c r="PE295" s="13"/>
      <c r="PF295" s="13"/>
      <c r="PG295" s="13"/>
      <c r="PH295" s="13"/>
      <c r="PI295" s="13"/>
      <c r="PJ295" s="13"/>
      <c r="PK295" s="13"/>
      <c r="PL295" s="13"/>
      <c r="PM295" s="13"/>
      <c r="PN295" s="13"/>
      <c r="PO295" s="13"/>
      <c r="PP295" s="13"/>
      <c r="PQ295" s="13"/>
      <c r="PR295" s="13"/>
      <c r="PS295" s="13"/>
      <c r="PT295" s="13"/>
      <c r="PU295" s="13"/>
      <c r="PV295" s="13"/>
      <c r="PW295" s="13"/>
      <c r="PX295" s="13"/>
      <c r="PY295" s="13"/>
      <c r="PZ295" s="13"/>
      <c r="QA295" s="13"/>
      <c r="QB295" s="13"/>
      <c r="QC295" s="13"/>
      <c r="QD295" s="13"/>
      <c r="QE295" s="13"/>
      <c r="QF295" s="13"/>
      <c r="QG295" s="13"/>
      <c r="QH295" s="13"/>
      <c r="QI295" s="13"/>
      <c r="QJ295" s="13"/>
      <c r="QK295" s="13"/>
      <c r="QL295" s="13"/>
      <c r="QM295" s="13"/>
      <c r="QN295" s="13"/>
      <c r="QO295" s="13"/>
      <c r="QP295" s="13"/>
      <c r="QQ295" s="13"/>
      <c r="QR295" s="13"/>
      <c r="QS295" s="13"/>
      <c r="QT295" s="13"/>
      <c r="QU295" s="13"/>
      <c r="QV295" s="13"/>
      <c r="QW295" s="13"/>
      <c r="QX295" s="13"/>
      <c r="QY295" s="13"/>
      <c r="QZ295" s="13"/>
      <c r="RA295" s="13"/>
      <c r="RB295" s="13"/>
      <c r="RC295" s="13"/>
      <c r="RD295" s="13"/>
      <c r="RE295" s="13"/>
      <c r="RF295" s="13"/>
      <c r="RG295" s="13"/>
      <c r="RH295" s="13"/>
      <c r="RI295" s="13"/>
      <c r="RJ295" s="13"/>
      <c r="RK295" s="13"/>
      <c r="RL295" s="13"/>
      <c r="RM295" s="13"/>
      <c r="RN295" s="13"/>
      <c r="RO295" s="13"/>
      <c r="RP295" s="13"/>
      <c r="RQ295" s="13"/>
      <c r="RR295" s="13"/>
      <c r="RS295" s="13"/>
      <c r="RT295" s="13"/>
      <c r="RU295" s="13"/>
      <c r="RV295" s="13"/>
      <c r="RW295" s="13"/>
      <c r="RX295" s="13"/>
      <c r="RY295" s="13"/>
      <c r="RZ295" s="13"/>
      <c r="SA295" s="13"/>
      <c r="SB295" s="13"/>
      <c r="SC295" s="13"/>
      <c r="SD295" s="13"/>
      <c r="SE295" s="13"/>
      <c r="SF295" s="13"/>
      <c r="SG295" s="13"/>
      <c r="SH295" s="13"/>
      <c r="SI295" s="13"/>
      <c r="SJ295" s="13"/>
      <c r="SK295" s="13"/>
      <c r="SL295" s="13"/>
      <c r="SM295" s="13"/>
      <c r="SN295" s="13"/>
      <c r="SO295" s="13"/>
      <c r="SP295" s="13"/>
      <c r="SQ295" s="13"/>
      <c r="SR295" s="13"/>
      <c r="SS295" s="13"/>
      <c r="ST295" s="13"/>
      <c r="SU295" s="13"/>
      <c r="SV295" s="13"/>
      <c r="SW295" s="13"/>
      <c r="SX295" s="13"/>
      <c r="SY295" s="13"/>
      <c r="SZ295" s="13"/>
      <c r="TA295" s="13"/>
      <c r="TB295" s="13"/>
      <c r="TC295" s="13"/>
      <c r="TD295" s="13"/>
      <c r="TE295" s="13"/>
      <c r="TF295" s="13"/>
      <c r="TG295" s="13"/>
      <c r="TH295" s="13"/>
      <c r="TI295" s="13"/>
      <c r="TJ295" s="13"/>
      <c r="TK295" s="13"/>
      <c r="TL295" s="13"/>
      <c r="TM295" s="13"/>
      <c r="TN295" s="13"/>
      <c r="TO295" s="13"/>
      <c r="TP295" s="13"/>
      <c r="TQ295" s="13"/>
      <c r="TR295" s="13"/>
      <c r="TS295" s="13"/>
      <c r="TT295" s="13"/>
      <c r="TU295" s="13"/>
      <c r="TV295" s="13"/>
      <c r="TW295" s="13"/>
      <c r="TX295" s="13"/>
      <c r="TY295" s="13"/>
      <c r="TZ295" s="13"/>
      <c r="UA295" s="13"/>
      <c r="UB295" s="13"/>
      <c r="UC295" s="13"/>
      <c r="UD295" s="13"/>
      <c r="UE295" s="13"/>
      <c r="UF295" s="13"/>
      <c r="UG295" s="13"/>
      <c r="UH295" s="13"/>
      <c r="UI295" s="13"/>
      <c r="UJ295" s="13"/>
      <c r="UK295" s="13"/>
      <c r="UL295" s="13"/>
      <c r="UM295" s="13"/>
      <c r="UN295" s="13"/>
      <c r="UO295" s="13"/>
      <c r="UP295" s="13"/>
      <c r="UQ295" s="13"/>
      <c r="UR295" s="13"/>
      <c r="US295" s="13"/>
      <c r="UT295" s="13"/>
      <c r="UU295" s="13"/>
      <c r="UV295" s="13"/>
      <c r="UW295" s="13"/>
      <c r="UX295" s="13"/>
      <c r="UY295" s="13"/>
      <c r="UZ295" s="13"/>
      <c r="VA295" s="13"/>
      <c r="VB295" s="13"/>
      <c r="VC295" s="13"/>
      <c r="VD295" s="13"/>
      <c r="VE295" s="13"/>
      <c r="VF295" s="13"/>
      <c r="VG295" s="13"/>
      <c r="VH295" s="13"/>
      <c r="VI295" s="13"/>
      <c r="VJ295" s="13"/>
      <c r="VK295" s="13"/>
      <c r="VL295" s="13"/>
      <c r="VM295" s="13"/>
      <c r="VN295" s="13"/>
      <c r="VO295" s="13"/>
      <c r="VP295" s="13"/>
      <c r="VQ295" s="13"/>
      <c r="VR295" s="13"/>
      <c r="VS295" s="13"/>
      <c r="VT295" s="13"/>
      <c r="VU295" s="13"/>
      <c r="VV295" s="13"/>
      <c r="VW295" s="13"/>
      <c r="VX295" s="13"/>
      <c r="VY295" s="13"/>
      <c r="VZ295" s="13"/>
      <c r="WA295" s="13"/>
      <c r="WB295" s="13"/>
      <c r="WC295" s="13"/>
      <c r="WD295" s="13"/>
      <c r="WE295" s="13"/>
      <c r="WF295" s="13"/>
      <c r="WG295" s="13"/>
      <c r="WH295" s="13"/>
      <c r="WI295" s="13"/>
      <c r="WJ295" s="13"/>
      <c r="WK295" s="13"/>
      <c r="WL295" s="13"/>
      <c r="WM295" s="13"/>
      <c r="WN295" s="13"/>
      <c r="WO295" s="13"/>
      <c r="WP295" s="13"/>
      <c r="WQ295" s="13"/>
      <c r="WR295" s="13"/>
      <c r="WS295" s="13"/>
      <c r="WT295" s="13"/>
      <c r="WU295" s="13"/>
      <c r="WV295" s="13"/>
      <c r="WW295" s="13"/>
      <c r="WX295" s="13"/>
      <c r="WY295" s="13"/>
      <c r="WZ295" s="13"/>
      <c r="XA295" s="13"/>
      <c r="XB295" s="13"/>
      <c r="XC295" s="13"/>
      <c r="XD295" s="13"/>
      <c r="XE295" s="13"/>
      <c r="XF295" s="13"/>
      <c r="XG295" s="13"/>
      <c r="XH295" s="13"/>
      <c r="XI295" s="13"/>
      <c r="XJ295" s="13"/>
      <c r="XK295" s="13"/>
      <c r="XL295" s="13"/>
      <c r="XM295" s="13"/>
      <c r="XN295" s="13"/>
      <c r="XO295" s="13"/>
      <c r="XP295" s="13"/>
      <c r="XQ295" s="13"/>
      <c r="XR295" s="13"/>
      <c r="XS295" s="13"/>
      <c r="XT295" s="13"/>
      <c r="XU295" s="13"/>
      <c r="XV295" s="13"/>
      <c r="XW295" s="13"/>
      <c r="XX295" s="13"/>
      <c r="XY295" s="13"/>
      <c r="XZ295" s="13"/>
      <c r="YA295" s="13"/>
      <c r="YB295" s="13"/>
      <c r="YC295" s="13"/>
      <c r="YD295" s="13"/>
      <c r="YE295" s="13"/>
      <c r="YF295" s="13"/>
      <c r="YG295" s="13"/>
      <c r="YH295" s="13"/>
      <c r="YI295" s="13"/>
      <c r="YJ295" s="13"/>
      <c r="YK295" s="13"/>
      <c r="YL295" s="13"/>
      <c r="YM295" s="13"/>
      <c r="YN295" s="13"/>
      <c r="YO295" s="13"/>
      <c r="YP295" s="13"/>
      <c r="YQ295" s="13"/>
      <c r="YR295" s="13"/>
      <c r="YS295" s="13"/>
      <c r="YT295" s="13"/>
      <c r="YU295" s="13"/>
      <c r="YV295" s="13"/>
      <c r="YW295" s="13"/>
      <c r="YX295" s="13"/>
      <c r="YY295" s="13"/>
      <c r="YZ295" s="13"/>
      <c r="ZA295" s="13"/>
      <c r="ZB295" s="13"/>
      <c r="ZC295" s="13"/>
      <c r="ZD295" s="13"/>
      <c r="ZE295" s="13"/>
      <c r="ZF295" s="13"/>
      <c r="ZG295" s="13"/>
      <c r="ZH295" s="13"/>
      <c r="ZI295" s="13"/>
      <c r="ZJ295" s="13"/>
      <c r="ZK295" s="13"/>
      <c r="ZL295" s="13"/>
      <c r="ZM295" s="13"/>
      <c r="ZN295" s="13"/>
      <c r="ZO295" s="13"/>
      <c r="ZP295" s="13"/>
      <c r="ZQ295" s="13"/>
      <c r="ZR295" s="13"/>
      <c r="ZS295" s="13"/>
      <c r="ZT295" s="13"/>
      <c r="ZU295" s="13"/>
      <c r="ZV295" s="13"/>
      <c r="ZW295" s="13"/>
      <c r="ZX295" s="13"/>
      <c r="ZY295" s="13"/>
      <c r="ZZ295" s="13"/>
      <c r="AAA295" s="13"/>
      <c r="AAB295" s="13"/>
      <c r="AAC295" s="13"/>
      <c r="AAD295" s="13"/>
      <c r="AAE295" s="13"/>
      <c r="AAF295" s="13"/>
      <c r="AAG295" s="13"/>
      <c r="AAH295" s="13"/>
      <c r="AAI295" s="13"/>
      <c r="AAJ295" s="13"/>
      <c r="AAK295" s="13"/>
      <c r="AAL295" s="13"/>
      <c r="AAM295" s="13"/>
      <c r="AAN295" s="13"/>
      <c r="AAO295" s="13"/>
      <c r="AAP295" s="13"/>
      <c r="AAQ295" s="13"/>
      <c r="AAR295" s="13"/>
      <c r="AAS295" s="13"/>
      <c r="AAT295" s="13"/>
      <c r="AAU295" s="13"/>
      <c r="AAV295" s="13"/>
      <c r="AAW295" s="13"/>
      <c r="AAX295" s="13"/>
      <c r="AAY295" s="13"/>
      <c r="AAZ295" s="13"/>
      <c r="ABA295" s="13"/>
      <c r="ABB295" s="13"/>
      <c r="ABC295" s="13"/>
      <c r="ABD295" s="13"/>
      <c r="ABE295" s="13"/>
      <c r="ABF295" s="13"/>
      <c r="ABG295" s="13"/>
      <c r="ABH295" s="13"/>
      <c r="ABI295" s="13"/>
      <c r="ABJ295" s="13"/>
      <c r="ABK295" s="13"/>
      <c r="ABL295" s="13"/>
      <c r="ABM295" s="13"/>
      <c r="ABN295" s="13"/>
      <c r="ABO295" s="13"/>
      <c r="ABP295" s="13"/>
      <c r="ABQ295" s="13"/>
      <c r="ABR295" s="13"/>
      <c r="ABS295" s="13"/>
      <c r="ABT295" s="13"/>
      <c r="ABU295" s="13"/>
      <c r="ABV295" s="13"/>
      <c r="ABW295" s="13"/>
      <c r="ABX295" s="13"/>
      <c r="ABY295" s="13"/>
      <c r="ABZ295" s="13"/>
      <c r="ACA295" s="13"/>
      <c r="ACB295" s="13"/>
      <c r="ACC295" s="13"/>
      <c r="ACD295" s="13"/>
      <c r="ACE295" s="13"/>
      <c r="ACF295" s="13"/>
      <c r="ACG295" s="13"/>
      <c r="ACH295" s="13"/>
      <c r="ACI295" s="13"/>
      <c r="ACJ295" s="13"/>
      <c r="ACK295" s="13"/>
      <c r="ACL295" s="13"/>
      <c r="ACM295" s="13"/>
      <c r="ACN295" s="13"/>
      <c r="ACO295" s="13"/>
      <c r="ACP295" s="13"/>
      <c r="ACQ295" s="13"/>
      <c r="ACR295" s="13"/>
      <c r="ACS295" s="13"/>
      <c r="ACT295" s="13"/>
      <c r="ACU295" s="13"/>
      <c r="ACV295" s="13"/>
      <c r="ACW295" s="13"/>
      <c r="ACX295" s="13"/>
      <c r="ACY295" s="13"/>
      <c r="ACZ295" s="13"/>
      <c r="ADA295" s="13"/>
      <c r="ADB295" s="13"/>
      <c r="ADC295" s="13"/>
      <c r="ADD295" s="13"/>
      <c r="ADE295" s="13"/>
      <c r="ADF295" s="13"/>
      <c r="ADG295" s="13"/>
      <c r="ADH295" s="13"/>
      <c r="ADI295" s="13"/>
      <c r="ADJ295" s="13"/>
      <c r="ADK295" s="13"/>
      <c r="ADL295" s="13"/>
      <c r="ADM295" s="13"/>
      <c r="ADN295" s="13"/>
      <c r="ADO295" s="13"/>
      <c r="ADP295" s="13"/>
      <c r="ADQ295" s="13"/>
      <c r="ADR295" s="13"/>
      <c r="ADS295" s="13"/>
      <c r="ADT295" s="13"/>
      <c r="ADU295" s="13"/>
      <c r="ADV295" s="13"/>
      <c r="ADW295" s="13"/>
      <c r="ADX295" s="13"/>
      <c r="ADY295" s="13"/>
      <c r="ADZ295" s="13"/>
      <c r="AEA295" s="13"/>
      <c r="AEB295" s="13"/>
      <c r="AEC295" s="13"/>
      <c r="AED295" s="13"/>
      <c r="AEE295" s="13"/>
      <c r="AEF295" s="13"/>
      <c r="AEG295" s="13"/>
      <c r="AEH295" s="13"/>
      <c r="AEI295" s="13"/>
      <c r="AEJ295" s="13"/>
      <c r="AEK295" s="13"/>
      <c r="AEL295" s="13"/>
      <c r="AEM295" s="13"/>
      <c r="AEN295" s="13"/>
      <c r="AEO295" s="13"/>
      <c r="AEP295" s="13"/>
      <c r="AEQ295" s="13"/>
      <c r="AER295" s="13"/>
      <c r="AES295" s="13"/>
      <c r="AET295" s="13"/>
      <c r="AEU295" s="13"/>
      <c r="AEV295" s="13"/>
      <c r="AEW295" s="13"/>
      <c r="AEX295" s="13"/>
      <c r="AEY295" s="13"/>
      <c r="AEZ295" s="13"/>
      <c r="AFA295" s="13"/>
      <c r="AFB295" s="13"/>
      <c r="AFC295" s="13"/>
      <c r="AFD295" s="13"/>
      <c r="AFE295" s="13"/>
      <c r="AFF295" s="13"/>
      <c r="AFG295" s="13"/>
      <c r="AFH295" s="13"/>
      <c r="AFI295" s="13"/>
      <c r="AFJ295" s="13"/>
      <c r="AFK295" s="13"/>
      <c r="AFL295" s="13"/>
      <c r="AFM295" s="13"/>
      <c r="AFN295" s="13"/>
      <c r="AFO295" s="13"/>
      <c r="AFP295" s="13"/>
      <c r="AFQ295" s="13"/>
      <c r="AFR295" s="13"/>
      <c r="AFS295" s="13"/>
      <c r="AFT295" s="13"/>
      <c r="AFU295" s="13"/>
      <c r="AFV295" s="13"/>
      <c r="AFW295" s="13"/>
      <c r="AFX295" s="13"/>
      <c r="AFY295" s="13"/>
      <c r="AFZ295" s="13"/>
      <c r="AGA295" s="13"/>
      <c r="AGB295" s="13"/>
      <c r="AGC295" s="13"/>
      <c r="AGD295" s="13"/>
      <c r="AGE295" s="13"/>
      <c r="AGF295" s="13"/>
      <c r="AGG295" s="13"/>
      <c r="AGH295" s="13"/>
      <c r="AGI295" s="13"/>
      <c r="AGJ295" s="13"/>
      <c r="AGK295" s="13"/>
      <c r="AGL295" s="13"/>
      <c r="AGM295" s="13"/>
      <c r="AGN295" s="13"/>
      <c r="AGO295" s="13"/>
      <c r="AGP295" s="13"/>
      <c r="AGQ295" s="13"/>
      <c r="AGR295" s="13"/>
      <c r="AGS295" s="13"/>
      <c r="AGT295" s="13"/>
      <c r="AGU295" s="13"/>
      <c r="AGV295" s="13"/>
      <c r="AGW295" s="13"/>
      <c r="AGX295" s="13"/>
      <c r="AGY295" s="13"/>
      <c r="AGZ295" s="13"/>
      <c r="AHA295" s="13"/>
      <c r="AHB295" s="13"/>
      <c r="AHC295" s="13"/>
      <c r="AHD295" s="13"/>
      <c r="AHE295" s="13"/>
      <c r="AHF295" s="13"/>
      <c r="AHG295" s="13"/>
      <c r="AHH295" s="13"/>
      <c r="AHI295" s="13"/>
      <c r="AHJ295" s="13"/>
      <c r="AHK295" s="13"/>
      <c r="AHL295" s="13"/>
      <c r="AHM295" s="13"/>
      <c r="AHN295" s="13"/>
      <c r="AHO295" s="13"/>
      <c r="AHP295" s="13"/>
      <c r="AHQ295" s="13"/>
      <c r="AHR295" s="13"/>
      <c r="AHS295" s="13"/>
      <c r="AHT295" s="13"/>
      <c r="AHU295" s="13"/>
      <c r="AHV295" s="13"/>
      <c r="AHW295" s="13"/>
      <c r="AHX295" s="13"/>
      <c r="AHY295" s="13"/>
      <c r="AHZ295" s="13"/>
      <c r="AIA295" s="13"/>
      <c r="AIB295" s="13"/>
      <c r="AIC295" s="13"/>
      <c r="AID295" s="13"/>
      <c r="AIE295" s="13"/>
      <c r="AIF295" s="13"/>
      <c r="AIG295" s="13"/>
      <c r="AIH295" s="13"/>
      <c r="AII295" s="13"/>
      <c r="AIJ295" s="13"/>
      <c r="AIK295" s="13"/>
      <c r="AIL295" s="13"/>
      <c r="AIM295" s="13"/>
      <c r="AIN295" s="13"/>
      <c r="AIO295" s="13"/>
      <c r="AIP295" s="13"/>
      <c r="AIQ295" s="13"/>
      <c r="AIR295" s="13"/>
      <c r="AIS295" s="13"/>
      <c r="AIT295" s="13"/>
      <c r="AIU295" s="13"/>
      <c r="AIV295" s="13"/>
      <c r="AIW295" s="13"/>
      <c r="AIX295" s="13"/>
      <c r="AIY295" s="13"/>
      <c r="AIZ295" s="13"/>
      <c r="AJA295" s="13"/>
      <c r="AJB295" s="13"/>
      <c r="AJC295" s="13"/>
      <c r="AJD295" s="13"/>
      <c r="AJE295" s="13"/>
      <c r="AJF295" s="13"/>
      <c r="AJG295" s="13"/>
      <c r="AJH295" s="13"/>
      <c r="AJI295" s="13"/>
      <c r="AJJ295" s="13"/>
      <c r="AJK295" s="13"/>
      <c r="AJL295" s="13"/>
      <c r="AJM295" s="13"/>
      <c r="AJN295" s="13"/>
      <c r="AJO295" s="13"/>
      <c r="AJP295" s="13"/>
      <c r="AJQ295" s="13"/>
      <c r="AJR295" s="13"/>
      <c r="AJS295" s="13"/>
      <c r="AJT295" s="13"/>
      <c r="AJU295" s="13"/>
      <c r="AJV295" s="13"/>
      <c r="AJW295" s="13"/>
      <c r="AJX295" s="13"/>
      <c r="AJY295" s="13"/>
      <c r="AJZ295" s="13"/>
      <c r="AKA295" s="13"/>
      <c r="AKB295" s="13"/>
      <c r="AKC295" s="13"/>
      <c r="AKD295" s="13"/>
      <c r="AKE295" s="13"/>
      <c r="AKF295" s="13"/>
      <c r="AKG295" s="13"/>
      <c r="AKH295" s="13"/>
      <c r="AKI295" s="13"/>
      <c r="AKJ295" s="13"/>
      <c r="AKK295" s="13"/>
      <c r="AKL295" s="13"/>
      <c r="AKM295" s="13"/>
      <c r="AKN295" s="13"/>
      <c r="AKO295" s="13"/>
      <c r="AKP295" s="13"/>
      <c r="AKQ295" s="13"/>
      <c r="AKR295" s="13"/>
      <c r="AKS295" s="13"/>
      <c r="AKT295" s="13"/>
      <c r="AKU295" s="13"/>
      <c r="AKV295" s="13"/>
      <c r="AKW295" s="13"/>
      <c r="AKX295" s="13"/>
      <c r="AKY295" s="13"/>
      <c r="AKZ295" s="13"/>
      <c r="ALA295" s="13"/>
      <c r="ALB295" s="13"/>
      <c r="ALC295" s="13"/>
      <c r="ALD295" s="13"/>
      <c r="ALE295" s="13"/>
      <c r="ALF295" s="13"/>
      <c r="ALG295" s="13"/>
      <c r="ALH295" s="13"/>
      <c r="ALI295" s="13"/>
      <c r="ALJ295" s="13"/>
      <c r="ALK295" s="13"/>
      <c r="ALL295" s="13"/>
      <c r="ALM295" s="13"/>
      <c r="ALN295" s="13"/>
      <c r="ALO295" s="13"/>
      <c r="ALP295" s="13"/>
      <c r="ALQ295" s="13"/>
      <c r="ALR295" s="13"/>
      <c r="ALS295" s="13"/>
      <c r="ALT295" s="13"/>
      <c r="ALU295" s="13"/>
      <c r="ALV295" s="13"/>
      <c r="ALW295" s="13"/>
      <c r="ALX295" s="13"/>
      <c r="ALY295" s="13"/>
      <c r="ALZ295" s="13"/>
      <c r="AMA295" s="13"/>
      <c r="AMB295" s="13"/>
      <c r="AMC295" s="13"/>
      <c r="AMD295" s="13"/>
      <c r="AME295" s="13"/>
      <c r="AMF295" s="13"/>
      <c r="AMG295" s="13"/>
      <c r="AMH295" s="13"/>
      <c r="AMI295" s="13"/>
      <c r="AMJ295" s="13"/>
      <c r="AMK295" s="13"/>
      <c r="AML295" s="13"/>
      <c r="AMM295" s="13"/>
      <c r="AMN295" s="13"/>
      <c r="AMO295" s="13"/>
      <c r="AMP295" s="13"/>
      <c r="AMQ295" s="13"/>
      <c r="AMR295" s="13"/>
      <c r="AMS295" s="13"/>
      <c r="AMT295" s="13"/>
      <c r="AMU295" s="13"/>
      <c r="AMV295" s="13"/>
      <c r="AMW295" s="13"/>
      <c r="AMX295" s="13"/>
      <c r="AMY295" s="13"/>
      <c r="AMZ295" s="13"/>
      <c r="ANA295" s="13"/>
      <c r="ANB295" s="13"/>
      <c r="ANC295" s="13"/>
      <c r="AND295" s="13"/>
      <c r="ANE295" s="13"/>
      <c r="ANF295" s="13"/>
      <c r="ANG295" s="13"/>
      <c r="ANH295" s="13"/>
      <c r="ANI295" s="13"/>
      <c r="ANJ295" s="13"/>
      <c r="ANK295" s="13"/>
      <c r="ANL295" s="13"/>
      <c r="ANM295" s="13"/>
      <c r="ANN295" s="13"/>
      <c r="ANO295" s="13"/>
      <c r="ANP295" s="13"/>
      <c r="ANQ295" s="13"/>
      <c r="ANR295" s="13"/>
      <c r="ANS295" s="13"/>
      <c r="ANT295" s="13"/>
      <c r="ANU295" s="13"/>
      <c r="ANV295" s="13"/>
      <c r="ANW295" s="13"/>
      <c r="ANX295" s="13"/>
      <c r="ANY295" s="13"/>
      <c r="ANZ295" s="13"/>
      <c r="AOA295" s="13"/>
      <c r="AOB295" s="13"/>
      <c r="AOC295" s="13"/>
      <c r="AOD295" s="13"/>
      <c r="AOE295" s="13"/>
      <c r="AOF295" s="13"/>
      <c r="AOG295" s="13"/>
      <c r="AOH295" s="13"/>
      <c r="AOI295" s="13"/>
      <c r="AOJ295" s="13"/>
      <c r="AOK295" s="13"/>
      <c r="AOL295" s="13"/>
      <c r="AOM295" s="13"/>
      <c r="AON295" s="13"/>
      <c r="AOO295" s="13"/>
      <c r="AOP295" s="13"/>
      <c r="AOQ295" s="13"/>
      <c r="AOR295" s="13"/>
      <c r="AOS295" s="13"/>
      <c r="AOT295" s="13"/>
      <c r="AOU295" s="13"/>
      <c r="AOV295" s="13"/>
      <c r="AOW295" s="13"/>
      <c r="AOX295" s="13"/>
      <c r="AOY295" s="13"/>
      <c r="AOZ295" s="13"/>
      <c r="APA295" s="13"/>
      <c r="APB295" s="13"/>
      <c r="APC295" s="13"/>
      <c r="APD295" s="13"/>
      <c r="APE295" s="13"/>
      <c r="APF295" s="13"/>
      <c r="APG295" s="13"/>
      <c r="APH295" s="13"/>
      <c r="API295" s="13"/>
      <c r="APJ295" s="13"/>
      <c r="APK295" s="13"/>
      <c r="APL295" s="13"/>
      <c r="APM295" s="13"/>
      <c r="APN295" s="13"/>
      <c r="APO295" s="13"/>
      <c r="APP295" s="13"/>
      <c r="APQ295" s="13"/>
      <c r="APR295" s="13"/>
      <c r="APS295" s="13"/>
      <c r="APT295" s="13"/>
      <c r="APU295" s="13"/>
      <c r="APV295" s="13"/>
      <c r="APW295" s="13"/>
      <c r="APX295" s="13"/>
      <c r="APY295" s="13"/>
      <c r="APZ295" s="13"/>
      <c r="AQA295" s="13"/>
      <c r="AQB295" s="13"/>
      <c r="AQC295" s="13"/>
      <c r="AQD295" s="13"/>
      <c r="AQE295" s="13"/>
      <c r="AQF295" s="13"/>
      <c r="AQG295" s="13"/>
      <c r="AQH295" s="13"/>
      <c r="AQI295" s="13"/>
      <c r="AQJ295" s="13"/>
      <c r="AQK295" s="13"/>
      <c r="AQL295" s="13"/>
      <c r="AQM295" s="13"/>
      <c r="AQN295" s="13"/>
      <c r="AQO295" s="13"/>
      <c r="AQP295" s="13"/>
      <c r="AQQ295" s="13"/>
      <c r="AQR295" s="13"/>
      <c r="AQS295" s="13"/>
      <c r="AQT295" s="13"/>
      <c r="AQU295" s="13"/>
      <c r="AQV295" s="13"/>
      <c r="AQW295" s="13"/>
      <c r="AQX295" s="13"/>
      <c r="AQY295" s="13"/>
      <c r="AQZ295" s="13"/>
      <c r="ARA295" s="13"/>
      <c r="ARB295" s="13"/>
      <c r="ARC295" s="13"/>
      <c r="ARD295" s="13"/>
      <c r="ARE295" s="13"/>
      <c r="ARF295" s="13"/>
      <c r="ARG295" s="13"/>
      <c r="ARH295" s="13"/>
      <c r="ARI295" s="13"/>
      <c r="ARJ295" s="13"/>
      <c r="ARK295" s="13"/>
      <c r="ARL295" s="13"/>
      <c r="ARM295" s="13"/>
      <c r="ARN295" s="13"/>
      <c r="ARO295" s="13"/>
      <c r="ARP295" s="13"/>
      <c r="ARQ295" s="13"/>
      <c r="ARR295" s="13"/>
      <c r="ARS295" s="13"/>
      <c r="ART295" s="13"/>
      <c r="ARU295" s="13"/>
      <c r="ARV295" s="13"/>
      <c r="ARW295" s="13"/>
      <c r="ARX295" s="13"/>
      <c r="ARY295" s="13"/>
      <c r="ARZ295" s="13"/>
      <c r="ASA295" s="13"/>
      <c r="ASB295" s="13"/>
      <c r="ASC295" s="13"/>
      <c r="ASD295" s="13"/>
      <c r="ASE295" s="13"/>
      <c r="ASF295" s="13"/>
      <c r="ASG295" s="13"/>
      <c r="ASH295" s="13"/>
      <c r="ASI295" s="13"/>
      <c r="ASJ295" s="13"/>
      <c r="ASK295" s="13"/>
      <c r="ASL295" s="13"/>
      <c r="ASM295" s="13"/>
      <c r="ASN295" s="13"/>
      <c r="ASO295" s="13"/>
      <c r="ASP295" s="13"/>
      <c r="ASQ295" s="13"/>
      <c r="ASR295" s="13"/>
      <c r="ASS295" s="13"/>
      <c r="AST295" s="13"/>
      <c r="ASU295" s="13"/>
      <c r="ASV295" s="13"/>
      <c r="ASW295" s="13"/>
      <c r="ASX295" s="13"/>
      <c r="ASY295" s="13"/>
      <c r="ASZ295" s="13"/>
      <c r="ATA295" s="13"/>
      <c r="ATB295" s="13"/>
      <c r="ATC295" s="13"/>
      <c r="ATD295" s="13"/>
      <c r="ATE295" s="13"/>
      <c r="ATF295" s="13"/>
      <c r="ATG295" s="13"/>
      <c r="ATH295" s="13"/>
      <c r="ATI295" s="13"/>
      <c r="ATJ295" s="13"/>
      <c r="ATK295" s="13"/>
      <c r="ATL295" s="13"/>
      <c r="ATM295" s="13"/>
      <c r="ATN295" s="13"/>
      <c r="ATO295" s="13"/>
      <c r="ATP295" s="13"/>
      <c r="ATQ295" s="13"/>
      <c r="ATR295" s="13"/>
      <c r="ATS295" s="13"/>
      <c r="ATT295" s="13"/>
      <c r="ATU295" s="13"/>
      <c r="ATV295" s="13"/>
      <c r="ATW295" s="13"/>
      <c r="ATX295" s="13"/>
      <c r="ATY295" s="13"/>
      <c r="ATZ295" s="13"/>
      <c r="AUA295" s="13"/>
      <c r="AUB295" s="13"/>
      <c r="AUC295" s="13"/>
      <c r="AUD295" s="13"/>
      <c r="AUE295" s="13"/>
      <c r="AUF295" s="13"/>
      <c r="AUG295" s="13"/>
      <c r="AUH295" s="13"/>
      <c r="AUI295" s="13"/>
      <c r="AUJ295" s="13"/>
      <c r="AUK295" s="13"/>
      <c r="AUL295" s="13"/>
      <c r="AUM295" s="13"/>
      <c r="AUN295" s="13"/>
      <c r="AUO295" s="13"/>
      <c r="AUP295" s="13"/>
      <c r="AUQ295" s="13"/>
      <c r="AUR295" s="13"/>
      <c r="AUS295" s="13"/>
      <c r="AUT295" s="13"/>
      <c r="AUU295" s="13"/>
      <c r="AUV295" s="13"/>
      <c r="AUW295" s="13"/>
      <c r="AUX295" s="13"/>
      <c r="AUY295" s="13"/>
      <c r="AUZ295" s="13"/>
      <c r="AVA295" s="13"/>
      <c r="AVB295" s="13"/>
      <c r="AVC295" s="13"/>
      <c r="AVD295" s="13"/>
      <c r="AVE295" s="13"/>
      <c r="AVF295" s="13"/>
      <c r="AVG295" s="13"/>
      <c r="AVH295" s="13"/>
      <c r="AVI295" s="13"/>
      <c r="AVJ295" s="13"/>
      <c r="AVK295" s="13"/>
      <c r="AVL295" s="13"/>
      <c r="AVM295" s="13"/>
      <c r="AVN295" s="13"/>
      <c r="AVO295" s="13"/>
      <c r="AVP295" s="13"/>
      <c r="AVQ295" s="13"/>
      <c r="AVR295" s="13"/>
      <c r="AVS295" s="13"/>
      <c r="AVT295" s="13"/>
      <c r="AVU295" s="13"/>
      <c r="AVV295" s="13"/>
      <c r="AVW295" s="13"/>
      <c r="AVX295" s="13"/>
      <c r="AVY295" s="13"/>
      <c r="AVZ295" s="13"/>
      <c r="AWA295" s="13"/>
      <c r="AWB295" s="13"/>
      <c r="AWC295" s="13"/>
      <c r="AWD295" s="13"/>
      <c r="AWE295" s="13"/>
      <c r="AWF295" s="13"/>
      <c r="AWG295" s="13"/>
      <c r="AWH295" s="13"/>
      <c r="AWI295" s="13"/>
      <c r="AWJ295" s="13"/>
      <c r="AWK295" s="13"/>
      <c r="AWL295" s="13"/>
      <c r="AWM295" s="13"/>
      <c r="AWN295" s="13"/>
      <c r="AWO295" s="13"/>
      <c r="AWP295" s="13"/>
      <c r="AWQ295" s="13"/>
      <c r="AWR295" s="13"/>
      <c r="AWS295" s="13"/>
      <c r="AWT295" s="13"/>
      <c r="AWU295" s="13"/>
      <c r="AWV295" s="13"/>
      <c r="AWW295" s="13"/>
      <c r="AWX295" s="13"/>
      <c r="AWY295" s="13"/>
      <c r="AWZ295" s="13"/>
      <c r="AXA295" s="13"/>
      <c r="AXB295" s="13"/>
      <c r="AXC295" s="13"/>
      <c r="AXD295" s="13"/>
      <c r="AXE295" s="13"/>
      <c r="AXF295" s="13"/>
      <c r="AXG295" s="13"/>
      <c r="AXH295" s="13"/>
      <c r="AXI295" s="13"/>
      <c r="AXJ295" s="13"/>
      <c r="AXK295" s="13"/>
      <c r="AXL295" s="13"/>
      <c r="AXM295" s="13"/>
      <c r="AXN295" s="13"/>
      <c r="AXO295" s="13"/>
      <c r="AXP295" s="13"/>
      <c r="AXQ295" s="13"/>
      <c r="AXR295" s="13"/>
      <c r="AXS295" s="13"/>
      <c r="AXT295" s="13"/>
      <c r="AXU295" s="13"/>
      <c r="AXV295" s="13"/>
      <c r="AXW295" s="13"/>
      <c r="AXX295" s="13"/>
      <c r="AXY295" s="13"/>
      <c r="AXZ295" s="13"/>
      <c r="AYA295" s="13"/>
      <c r="AYB295" s="13"/>
      <c r="AYC295" s="13"/>
      <c r="AYD295" s="13"/>
      <c r="AYE295" s="13"/>
      <c r="AYF295" s="13"/>
      <c r="AYG295" s="13"/>
      <c r="AYH295" s="13"/>
      <c r="AYI295" s="13"/>
      <c r="AYJ295" s="13"/>
      <c r="AYK295" s="13"/>
      <c r="AYL295" s="13"/>
      <c r="AYM295" s="13"/>
      <c r="AYN295" s="13"/>
      <c r="AYO295" s="13"/>
      <c r="AYP295" s="13"/>
      <c r="AYQ295" s="13"/>
      <c r="AYR295" s="13"/>
      <c r="AYS295" s="13"/>
      <c r="AYT295" s="13"/>
      <c r="AYU295" s="13"/>
      <c r="AYV295" s="13"/>
      <c r="AYW295" s="13"/>
      <c r="AYX295" s="13"/>
      <c r="AYY295" s="13"/>
      <c r="AYZ295" s="13"/>
      <c r="AZA295" s="13"/>
      <c r="AZB295" s="13"/>
      <c r="AZC295" s="13"/>
      <c r="AZD295" s="13"/>
      <c r="AZE295" s="13"/>
      <c r="AZF295" s="13"/>
      <c r="AZG295" s="13"/>
      <c r="AZH295" s="13"/>
      <c r="AZI295" s="13"/>
      <c r="AZJ295" s="13"/>
      <c r="AZK295" s="13"/>
      <c r="AZL295" s="13"/>
      <c r="AZM295" s="13"/>
      <c r="AZN295" s="13"/>
      <c r="AZO295" s="13"/>
      <c r="AZP295" s="13"/>
      <c r="AZQ295" s="13"/>
      <c r="AZR295" s="13"/>
      <c r="AZS295" s="13"/>
      <c r="AZT295" s="13"/>
      <c r="AZU295" s="13"/>
      <c r="AZV295" s="13"/>
      <c r="AZW295" s="13"/>
      <c r="AZX295" s="13"/>
      <c r="AZY295" s="13"/>
      <c r="AZZ295" s="13"/>
      <c r="BAA295" s="13"/>
      <c r="BAB295" s="13"/>
      <c r="BAC295" s="13"/>
      <c r="BAD295" s="13"/>
      <c r="BAE295" s="13"/>
      <c r="BAF295" s="13"/>
      <c r="BAG295" s="13"/>
      <c r="BAH295" s="13"/>
      <c r="BAI295" s="13"/>
      <c r="BAJ295" s="13"/>
      <c r="BAK295" s="13"/>
      <c r="BAL295" s="13"/>
      <c r="BAM295" s="13"/>
      <c r="BAN295" s="13"/>
      <c r="BAO295" s="13"/>
      <c r="BAP295" s="13"/>
      <c r="BAQ295" s="13"/>
      <c r="BAR295" s="13"/>
      <c r="BAS295" s="13"/>
      <c r="BAT295" s="13"/>
      <c r="BAU295" s="13"/>
      <c r="BAV295" s="13"/>
      <c r="BAW295" s="13"/>
      <c r="BAX295" s="13"/>
      <c r="BAY295" s="13"/>
      <c r="BAZ295" s="13"/>
      <c r="BBA295" s="13"/>
      <c r="BBB295" s="13"/>
      <c r="BBC295" s="13"/>
      <c r="BBD295" s="13"/>
      <c r="BBE295" s="13"/>
      <c r="BBF295" s="13"/>
      <c r="BBG295" s="13"/>
      <c r="BBH295" s="13"/>
      <c r="BBI295" s="13"/>
      <c r="BBJ295" s="13"/>
      <c r="BBK295" s="13"/>
      <c r="BBL295" s="13"/>
      <c r="BBM295" s="13"/>
      <c r="BBN295" s="13"/>
      <c r="BBO295" s="13"/>
      <c r="BBP295" s="13"/>
      <c r="BBQ295" s="13"/>
      <c r="BBR295" s="13"/>
      <c r="BBS295" s="13"/>
      <c r="BBT295" s="13"/>
      <c r="BBU295" s="13"/>
      <c r="BBV295" s="13"/>
      <c r="BBW295" s="13"/>
      <c r="BBX295" s="13"/>
      <c r="BBY295" s="13"/>
      <c r="BBZ295" s="13"/>
      <c r="BCA295" s="13"/>
      <c r="BCB295" s="13"/>
      <c r="BCC295" s="13"/>
      <c r="BCD295" s="13"/>
      <c r="BCE295" s="13"/>
      <c r="BCF295" s="13"/>
      <c r="BCG295" s="13"/>
      <c r="BCH295" s="13"/>
      <c r="BCI295" s="13"/>
      <c r="BCJ295" s="13"/>
      <c r="BCK295" s="13"/>
      <c r="BCL295" s="13"/>
      <c r="BCM295" s="13"/>
      <c r="BCN295" s="13"/>
      <c r="BCO295" s="13"/>
      <c r="BCP295" s="13"/>
      <c r="BCQ295" s="13"/>
      <c r="BCR295" s="13"/>
      <c r="BCS295" s="13"/>
      <c r="BCT295" s="13"/>
      <c r="BCU295" s="13"/>
      <c r="BCV295" s="13"/>
      <c r="BCW295" s="13"/>
      <c r="BCX295" s="13"/>
      <c r="BCY295" s="13"/>
      <c r="BCZ295" s="13"/>
      <c r="BDA295" s="13"/>
      <c r="BDB295" s="13"/>
      <c r="BDC295" s="13"/>
      <c r="BDD295" s="13"/>
      <c r="BDE295" s="13"/>
      <c r="BDF295" s="13"/>
      <c r="BDG295" s="13"/>
      <c r="BDH295" s="13"/>
      <c r="BDI295" s="13"/>
      <c r="BDJ295" s="13"/>
      <c r="BDK295" s="13"/>
      <c r="BDL295" s="13"/>
      <c r="BDM295" s="13"/>
      <c r="BDN295" s="13"/>
      <c r="BDO295" s="13"/>
      <c r="BDP295" s="13"/>
      <c r="BDQ295" s="13"/>
      <c r="BDR295" s="13"/>
      <c r="BDS295" s="13"/>
      <c r="BDT295" s="13"/>
      <c r="BDU295" s="13"/>
      <c r="BDV295" s="13"/>
      <c r="BDW295" s="13"/>
      <c r="BDX295" s="13"/>
      <c r="BDY295" s="13"/>
      <c r="BDZ295" s="13"/>
      <c r="BEA295" s="13"/>
      <c r="BEB295" s="13"/>
      <c r="BEC295" s="13"/>
      <c r="BED295" s="13"/>
      <c r="BEE295" s="13"/>
      <c r="BEF295" s="13"/>
      <c r="BEG295" s="13"/>
      <c r="BEH295" s="13"/>
      <c r="BEI295" s="13"/>
      <c r="BEJ295" s="13"/>
      <c r="BEK295" s="13"/>
      <c r="BEL295" s="13"/>
      <c r="BEM295" s="13"/>
      <c r="BEN295" s="13"/>
      <c r="BEO295" s="13"/>
      <c r="BEP295" s="13"/>
      <c r="BEQ295" s="13"/>
      <c r="BER295" s="13"/>
      <c r="BES295" s="13"/>
      <c r="BET295" s="13"/>
      <c r="BEU295" s="13"/>
      <c r="BEV295" s="13"/>
      <c r="BEW295" s="13"/>
      <c r="BEX295" s="13"/>
      <c r="BEY295" s="13"/>
      <c r="BEZ295" s="13"/>
      <c r="BFA295" s="13"/>
      <c r="BFB295" s="13"/>
      <c r="BFC295" s="13"/>
      <c r="BFD295" s="13"/>
      <c r="BFE295" s="13"/>
      <c r="BFF295" s="13"/>
      <c r="BFG295" s="13"/>
      <c r="BFH295" s="13"/>
      <c r="BFI295" s="13"/>
      <c r="BFJ295" s="13"/>
      <c r="BFK295" s="13"/>
      <c r="BFL295" s="13"/>
      <c r="BFM295" s="13"/>
      <c r="BFN295" s="13"/>
      <c r="BFO295" s="13"/>
      <c r="BFP295" s="13"/>
      <c r="BFQ295" s="13"/>
      <c r="BFR295" s="13"/>
      <c r="BFS295" s="13"/>
      <c r="BFT295" s="13"/>
      <c r="BFU295" s="13"/>
      <c r="BFV295" s="13"/>
      <c r="BFW295" s="13"/>
      <c r="BFX295" s="13"/>
      <c r="BFY295" s="13"/>
      <c r="BFZ295" s="13"/>
      <c r="BGA295" s="13"/>
      <c r="BGB295" s="13"/>
      <c r="BGC295" s="13"/>
      <c r="BGD295" s="13"/>
      <c r="BGE295" s="13"/>
      <c r="BGF295" s="13"/>
      <c r="BGG295" s="13"/>
      <c r="BGH295" s="13"/>
      <c r="BGI295" s="13"/>
      <c r="BGJ295" s="13"/>
      <c r="BGK295" s="13"/>
      <c r="BGL295" s="13"/>
      <c r="BGM295" s="13"/>
      <c r="BGN295" s="13"/>
      <c r="BGO295" s="13"/>
      <c r="BGP295" s="13"/>
      <c r="BGQ295" s="13"/>
      <c r="BGR295" s="13"/>
      <c r="BGS295" s="13"/>
      <c r="BGT295" s="13"/>
      <c r="BGU295" s="13"/>
      <c r="BGV295" s="13"/>
      <c r="BGW295" s="13"/>
      <c r="BGX295" s="13"/>
      <c r="BGY295" s="13"/>
      <c r="BGZ295" s="13"/>
      <c r="BHA295" s="13"/>
      <c r="BHB295" s="13"/>
      <c r="BHC295" s="13"/>
      <c r="BHD295" s="13"/>
      <c r="BHE295" s="13"/>
      <c r="BHF295" s="13"/>
      <c r="BHG295" s="13"/>
      <c r="BHH295" s="13"/>
      <c r="BHI295" s="13"/>
      <c r="BHJ295" s="13"/>
      <c r="BHK295" s="13"/>
      <c r="BHL295" s="13"/>
      <c r="BHM295" s="13"/>
      <c r="BHN295" s="13"/>
      <c r="BHO295" s="13"/>
      <c r="BHP295" s="13"/>
      <c r="BHQ295" s="13"/>
      <c r="BHR295" s="13"/>
      <c r="BHS295" s="13"/>
      <c r="BHT295" s="13"/>
      <c r="BHU295" s="13"/>
      <c r="BHV295" s="13"/>
      <c r="BHW295" s="13"/>
      <c r="BHX295" s="13"/>
      <c r="BHY295" s="13"/>
      <c r="BHZ295" s="13"/>
      <c r="BIA295" s="13"/>
      <c r="BIB295" s="13"/>
      <c r="BIC295" s="13"/>
      <c r="BID295" s="13"/>
      <c r="BIE295" s="13"/>
      <c r="BIF295" s="13"/>
      <c r="BIG295" s="13"/>
      <c r="BIH295" s="13"/>
      <c r="BII295" s="13"/>
      <c r="BIJ295" s="13"/>
      <c r="BIK295" s="13"/>
      <c r="BIL295" s="13"/>
      <c r="BIM295" s="13"/>
      <c r="BIN295" s="13"/>
      <c r="BIO295" s="13"/>
      <c r="BIP295" s="13"/>
      <c r="BIQ295" s="13"/>
      <c r="BIR295" s="13"/>
      <c r="BIS295" s="13"/>
      <c r="BIT295" s="13"/>
      <c r="BIU295" s="13"/>
      <c r="BIV295" s="13"/>
      <c r="BIW295" s="13"/>
      <c r="BIX295" s="13"/>
      <c r="BIY295" s="13"/>
      <c r="BIZ295" s="13"/>
      <c r="BJA295" s="13"/>
      <c r="BJB295" s="13"/>
      <c r="BJC295" s="13"/>
      <c r="BJD295" s="13"/>
      <c r="BJE295" s="13"/>
      <c r="BJF295" s="13"/>
      <c r="BJG295" s="13"/>
      <c r="BJH295" s="13"/>
      <c r="BJI295" s="13"/>
      <c r="BJJ295" s="13"/>
      <c r="BJK295" s="13"/>
      <c r="BJL295" s="13"/>
      <c r="BJM295" s="13"/>
      <c r="BJN295" s="13"/>
      <c r="BJO295" s="13"/>
      <c r="BJP295" s="13"/>
      <c r="BJQ295" s="13"/>
      <c r="BJR295" s="13"/>
      <c r="BJS295" s="13"/>
      <c r="BJT295" s="13"/>
      <c r="BJU295" s="13"/>
      <c r="BJV295" s="13"/>
      <c r="BJW295" s="13"/>
      <c r="BJX295" s="13"/>
      <c r="BJY295" s="13"/>
      <c r="BJZ295" s="13"/>
      <c r="BKA295" s="13"/>
      <c r="BKB295" s="13"/>
      <c r="BKC295" s="13"/>
      <c r="BKD295" s="13"/>
      <c r="BKE295" s="13"/>
      <c r="BKF295" s="13"/>
      <c r="BKG295" s="13"/>
      <c r="BKH295" s="13"/>
      <c r="BKI295" s="13"/>
      <c r="BKJ295" s="13"/>
      <c r="BKK295" s="13"/>
      <c r="BKL295" s="13"/>
      <c r="BKM295" s="13"/>
      <c r="BKN295" s="13"/>
      <c r="BKO295" s="13"/>
      <c r="BKP295" s="13"/>
      <c r="BKQ295" s="13"/>
      <c r="BKR295" s="13"/>
      <c r="BKS295" s="13"/>
      <c r="BKT295" s="13"/>
      <c r="BKU295" s="13"/>
      <c r="BKV295" s="13"/>
      <c r="BKW295" s="13"/>
      <c r="BKX295" s="13"/>
      <c r="BKY295" s="13"/>
      <c r="BKZ295" s="13"/>
      <c r="BLA295" s="13"/>
      <c r="BLB295" s="13"/>
      <c r="BLC295" s="13"/>
      <c r="BLD295" s="13"/>
      <c r="BLE295" s="13"/>
      <c r="BLF295" s="13"/>
      <c r="BLG295" s="13"/>
      <c r="BLH295" s="13"/>
      <c r="BLI295" s="13"/>
      <c r="BLJ295" s="13"/>
      <c r="BLK295" s="13"/>
      <c r="BLL295" s="13"/>
      <c r="BLM295" s="13"/>
      <c r="BLN295" s="13"/>
      <c r="BLO295" s="13"/>
      <c r="BLP295" s="13"/>
      <c r="BLQ295" s="13"/>
      <c r="BLR295" s="13"/>
      <c r="BLS295" s="13"/>
      <c r="BLT295" s="13"/>
      <c r="BLU295" s="13"/>
      <c r="BLV295" s="13"/>
      <c r="BLW295" s="13"/>
      <c r="BLX295" s="13"/>
      <c r="BLY295" s="13"/>
      <c r="BLZ295" s="13"/>
      <c r="BMA295" s="13"/>
      <c r="BMB295" s="13"/>
      <c r="BMC295" s="13"/>
      <c r="BMD295" s="13"/>
      <c r="BME295" s="13"/>
      <c r="BMF295" s="13"/>
      <c r="BMG295" s="13"/>
      <c r="BMH295" s="13"/>
      <c r="BMI295" s="13"/>
      <c r="BMJ295" s="13"/>
      <c r="BMK295" s="13"/>
      <c r="BML295" s="13"/>
      <c r="BMM295" s="13"/>
      <c r="BMN295" s="13"/>
      <c r="BMO295" s="13"/>
      <c r="BMP295" s="13"/>
      <c r="BMQ295" s="13"/>
      <c r="BMR295" s="13"/>
      <c r="BMS295" s="13"/>
      <c r="BMT295" s="13"/>
      <c r="BMU295" s="13"/>
      <c r="BMV295" s="13"/>
      <c r="BMW295" s="13"/>
      <c r="BMX295" s="13"/>
      <c r="BMY295" s="13"/>
      <c r="BMZ295" s="13"/>
      <c r="BNA295" s="13"/>
      <c r="BNB295" s="13"/>
      <c r="BNC295" s="13"/>
      <c r="BND295" s="13"/>
      <c r="BNE295" s="13"/>
      <c r="BNF295" s="13"/>
      <c r="BNG295" s="13"/>
      <c r="BNH295" s="13"/>
      <c r="BNI295" s="13"/>
      <c r="BNJ295" s="13"/>
      <c r="BNK295" s="13"/>
      <c r="BNL295" s="13"/>
      <c r="BNM295" s="13"/>
      <c r="BNN295" s="13"/>
      <c r="BNO295" s="13"/>
      <c r="BNP295" s="13"/>
      <c r="BNQ295" s="13"/>
      <c r="BNR295" s="13"/>
      <c r="BNS295" s="13"/>
      <c r="BNT295" s="13"/>
      <c r="BNU295" s="13"/>
      <c r="BNV295" s="13"/>
      <c r="BNW295" s="13"/>
      <c r="BNX295" s="13"/>
      <c r="BNY295" s="13"/>
      <c r="BNZ295" s="13"/>
      <c r="BOA295" s="13"/>
      <c r="BOB295" s="13"/>
      <c r="BOC295" s="13"/>
      <c r="BOD295" s="13"/>
      <c r="BOE295" s="13"/>
      <c r="BOF295" s="13"/>
      <c r="BOG295" s="13"/>
      <c r="BOH295" s="13"/>
      <c r="BOI295" s="13"/>
      <c r="BOJ295" s="13"/>
      <c r="BOK295" s="13"/>
      <c r="BOL295" s="13"/>
      <c r="BOM295" s="13"/>
      <c r="BON295" s="13"/>
      <c r="BOO295" s="13"/>
      <c r="BOP295" s="13"/>
      <c r="BOQ295" s="13"/>
      <c r="BOR295" s="13"/>
      <c r="BOS295" s="13"/>
      <c r="BOT295" s="13"/>
      <c r="BOU295" s="13"/>
      <c r="BOV295" s="13"/>
      <c r="BOW295" s="13"/>
      <c r="BOX295" s="13"/>
      <c r="BOY295" s="13"/>
      <c r="BOZ295" s="13"/>
      <c r="BPA295" s="13"/>
      <c r="BPB295" s="13"/>
      <c r="BPC295" s="13"/>
      <c r="BPD295" s="13"/>
      <c r="BPE295" s="13"/>
      <c r="BPF295" s="13"/>
      <c r="BPG295" s="13"/>
      <c r="BPH295" s="13"/>
      <c r="BPI295" s="13"/>
      <c r="BPJ295" s="13"/>
      <c r="BPK295" s="13"/>
      <c r="BPL295" s="13"/>
      <c r="BPM295" s="13"/>
      <c r="BPN295" s="13"/>
      <c r="BPO295" s="13"/>
      <c r="BPP295" s="13"/>
      <c r="BPQ295" s="13"/>
      <c r="BPR295" s="13"/>
      <c r="BPS295" s="13"/>
      <c r="BPT295" s="13"/>
      <c r="BPU295" s="13"/>
      <c r="BPV295" s="13"/>
      <c r="BPW295" s="13"/>
      <c r="BPX295" s="13"/>
      <c r="BPY295" s="13"/>
      <c r="BPZ295" s="13"/>
      <c r="BQA295" s="13"/>
      <c r="BQB295" s="13"/>
      <c r="BQC295" s="13"/>
      <c r="BQD295" s="13"/>
      <c r="BQE295" s="13"/>
      <c r="BQF295" s="13"/>
      <c r="BQG295" s="13"/>
      <c r="BQH295" s="13"/>
      <c r="BQI295" s="13"/>
      <c r="BQJ295" s="13"/>
      <c r="BQK295" s="13"/>
      <c r="BQL295" s="13"/>
      <c r="BQM295" s="13"/>
      <c r="BQN295" s="13"/>
      <c r="BQO295" s="13"/>
      <c r="BQP295" s="13"/>
      <c r="BQQ295" s="13"/>
      <c r="BQR295" s="13"/>
      <c r="BQS295" s="13"/>
      <c r="BQT295" s="13"/>
      <c r="BQU295" s="13"/>
      <c r="BQV295" s="13"/>
      <c r="BQW295" s="13"/>
      <c r="BQX295" s="13"/>
      <c r="BQY295" s="13"/>
      <c r="BQZ295" s="13"/>
      <c r="BRA295" s="13"/>
      <c r="BRB295" s="13"/>
      <c r="BRC295" s="13"/>
      <c r="BRD295" s="13"/>
      <c r="BRE295" s="13"/>
      <c r="BRF295" s="13"/>
      <c r="BRG295" s="13"/>
      <c r="BRH295" s="13"/>
      <c r="BRI295" s="13"/>
      <c r="BRJ295" s="13"/>
      <c r="BRK295" s="13"/>
      <c r="BRL295" s="13"/>
      <c r="BRM295" s="13"/>
      <c r="BRN295" s="13"/>
      <c r="BRO295" s="13"/>
      <c r="BRP295" s="13"/>
      <c r="BRQ295" s="13"/>
      <c r="BRR295" s="13"/>
      <c r="BRS295" s="13"/>
      <c r="BRT295" s="13"/>
      <c r="BRU295" s="13"/>
      <c r="BRV295" s="13"/>
      <c r="BRW295" s="13"/>
      <c r="BRX295" s="13"/>
      <c r="BRY295" s="13"/>
      <c r="BRZ295" s="13"/>
      <c r="BSA295" s="13"/>
      <c r="BSB295" s="13"/>
      <c r="BSC295" s="13"/>
      <c r="BSD295" s="13"/>
      <c r="BSE295" s="13"/>
      <c r="BSF295" s="13"/>
      <c r="BSG295" s="13"/>
      <c r="BSH295" s="13"/>
      <c r="BSI295" s="13"/>
      <c r="BSJ295" s="13"/>
      <c r="BSK295" s="13"/>
      <c r="BSL295" s="13"/>
      <c r="BSM295" s="13"/>
      <c r="BSN295" s="13"/>
      <c r="BSO295" s="13"/>
      <c r="BSP295" s="13"/>
      <c r="BSQ295" s="13"/>
      <c r="BSR295" s="13"/>
      <c r="BSS295" s="13"/>
      <c r="BST295" s="13"/>
      <c r="BSU295" s="13"/>
      <c r="BSV295" s="13"/>
      <c r="BSW295" s="13"/>
      <c r="BSX295" s="13"/>
      <c r="BSY295" s="13"/>
      <c r="BSZ295" s="13"/>
      <c r="BTA295" s="13"/>
    </row>
    <row r="296" spans="1:1873" s="23" customFormat="1" x14ac:dyDescent="0.2">
      <c r="A296" s="234"/>
      <c r="B296" s="234"/>
      <c r="C296" s="234"/>
      <c r="D296" s="234"/>
      <c r="E296" s="493"/>
      <c r="F296" s="234"/>
      <c r="G296" s="234"/>
      <c r="H296" s="234"/>
      <c r="I296" s="234"/>
      <c r="J296" s="234"/>
      <c r="K296" s="234"/>
      <c r="L296" s="234"/>
      <c r="M296" s="389"/>
      <c r="N296" s="389"/>
      <c r="O296" s="29"/>
      <c r="P296" s="389"/>
      <c r="Q296" s="491"/>
      <c r="R296" s="389"/>
      <c r="S296" s="491"/>
      <c r="T296" s="389"/>
      <c r="U296" s="491"/>
      <c r="V296" s="491"/>
      <c r="W296" s="237"/>
      <c r="X296" s="491"/>
      <c r="Y296" s="491"/>
      <c r="Z296" s="234"/>
      <c r="AA296" s="495">
        <v>18146</v>
      </c>
      <c r="AB296" s="389"/>
      <c r="AC296" s="234"/>
      <c r="AD296" s="234"/>
      <c r="AE296" s="234"/>
      <c r="AF296" s="234"/>
      <c r="AG296" s="234"/>
      <c r="AH296" s="234"/>
      <c r="AI296" s="234"/>
      <c r="AJ296" s="234"/>
      <c r="AK296" s="234"/>
      <c r="AL296" s="234"/>
      <c r="AM296" s="234"/>
      <c r="AN296" s="234"/>
      <c r="AO296" s="234"/>
      <c r="AP296" s="234"/>
      <c r="AQ296" s="234"/>
      <c r="AR296" s="234"/>
      <c r="AS296" s="234"/>
      <c r="AT296" s="234"/>
      <c r="AU296" s="234"/>
      <c r="AV296" s="234"/>
      <c r="AW296" s="234"/>
      <c r="AX296" s="234"/>
      <c r="AY296" s="234"/>
      <c r="AZ296" s="234"/>
      <c r="BA296" s="234"/>
      <c r="BB296" s="234"/>
      <c r="BC296" s="234"/>
      <c r="BD296" s="234"/>
      <c r="BE296" s="234"/>
      <c r="BF296" s="234"/>
      <c r="BG296" s="234"/>
      <c r="BH296" s="234"/>
      <c r="BI296" s="234"/>
      <c r="BJ296" s="234"/>
      <c r="BK296" s="234"/>
      <c r="BL296" s="234"/>
      <c r="BM296" s="234"/>
      <c r="BN296" s="234"/>
      <c r="BO296" s="234"/>
      <c r="BP296" s="234"/>
      <c r="BQ296" s="234"/>
      <c r="BR296" s="234"/>
      <c r="BS296" s="491"/>
      <c r="BT296" s="491"/>
      <c r="BU296" s="491"/>
      <c r="BV296" s="491"/>
      <c r="BW296" s="491"/>
      <c r="BX296" s="491"/>
      <c r="BY296" s="491"/>
      <c r="BZ296" s="497"/>
      <c r="CA296" s="496"/>
      <c r="CB296" s="499"/>
      <c r="CC296" s="57"/>
      <c r="CD296" s="57"/>
      <c r="CE296" s="342" t="s">
        <v>1576</v>
      </c>
      <c r="CF296" s="342" t="s">
        <v>1575</v>
      </c>
      <c r="CG296" s="57"/>
    </row>
    <row r="297" spans="1:1873" s="23" customFormat="1" x14ac:dyDescent="0.2">
      <c r="A297" s="234" t="s">
        <v>685</v>
      </c>
      <c r="B297" s="234" t="s">
        <v>680</v>
      </c>
      <c r="C297" s="234" t="s">
        <v>503</v>
      </c>
      <c r="D297" s="234" t="s">
        <v>633</v>
      </c>
      <c r="E297" s="493" t="s">
        <v>41</v>
      </c>
      <c r="F297" s="234">
        <v>1</v>
      </c>
      <c r="G297" s="234">
        <v>1</v>
      </c>
      <c r="H297" s="234">
        <v>1</v>
      </c>
      <c r="I297" s="234" t="s">
        <v>954</v>
      </c>
      <c r="J297" s="234">
        <v>1999</v>
      </c>
      <c r="K297" s="234" t="s">
        <v>1001</v>
      </c>
      <c r="L297" s="234">
        <v>1999</v>
      </c>
      <c r="M297" s="389">
        <v>-9999</v>
      </c>
      <c r="N297" s="389">
        <v>-9999</v>
      </c>
      <c r="O297" s="29"/>
      <c r="P297" s="389">
        <v>1.28</v>
      </c>
      <c r="Q297" s="491">
        <v>-9999</v>
      </c>
      <c r="R297" s="389"/>
      <c r="S297" s="491"/>
      <c r="T297" s="237">
        <f>+P297/G297</f>
        <v>1.28</v>
      </c>
      <c r="U297" s="491">
        <v>-9999</v>
      </c>
      <c r="V297" s="491"/>
      <c r="W297" s="389">
        <f>+P297</f>
        <v>1.28</v>
      </c>
      <c r="X297" s="491">
        <v>-9999</v>
      </c>
      <c r="Y297" s="491"/>
      <c r="Z297" s="234" t="s">
        <v>681</v>
      </c>
      <c r="AA297" s="495">
        <v>18146</v>
      </c>
      <c r="AB297" s="389">
        <v>-9999</v>
      </c>
      <c r="AC297" s="234">
        <v>1</v>
      </c>
      <c r="AD297" s="234">
        <v>124.8</v>
      </c>
      <c r="AE297" s="390" t="s">
        <v>1952</v>
      </c>
      <c r="AF297" s="234">
        <v>4</v>
      </c>
      <c r="AG297" s="234">
        <v>-9999</v>
      </c>
      <c r="AH297" s="234" t="s">
        <v>623</v>
      </c>
      <c r="AI297" s="234">
        <v>-9999</v>
      </c>
      <c r="AJ297" s="234">
        <v>-9999</v>
      </c>
      <c r="AK297" s="234" t="s">
        <v>625</v>
      </c>
      <c r="AL297" s="234" t="s">
        <v>682</v>
      </c>
      <c r="AM297" s="234">
        <v>-9999</v>
      </c>
      <c r="AN297" s="234" t="s">
        <v>631</v>
      </c>
      <c r="AO297" s="234">
        <v>-9999</v>
      </c>
      <c r="AP297" s="234">
        <v>-9999</v>
      </c>
      <c r="AQ297" s="234" t="s">
        <v>631</v>
      </c>
      <c r="AR297" s="234">
        <v>0</v>
      </c>
      <c r="AS297" s="234">
        <v>-9999</v>
      </c>
      <c r="AT297" s="234">
        <v>-9999</v>
      </c>
      <c r="AU297" s="234">
        <v>0</v>
      </c>
      <c r="AV297" s="234">
        <v>-9999</v>
      </c>
      <c r="AW297" s="234">
        <v>-9999</v>
      </c>
      <c r="AX297" s="234">
        <v>0</v>
      </c>
      <c r="AY297" s="234">
        <v>-9999</v>
      </c>
      <c r="AZ297" s="234">
        <v>-9999</v>
      </c>
      <c r="BA297" s="234">
        <v>-9999</v>
      </c>
      <c r="BB297" s="234" t="s">
        <v>626</v>
      </c>
      <c r="BC297" s="234" t="s">
        <v>683</v>
      </c>
      <c r="BD297" s="234" t="s">
        <v>684</v>
      </c>
      <c r="BE297" s="234"/>
      <c r="BF297" s="234" t="s">
        <v>504</v>
      </c>
      <c r="BG297" s="234" t="s">
        <v>506</v>
      </c>
      <c r="BH297" s="234" t="s">
        <v>505</v>
      </c>
      <c r="BI297" s="234"/>
      <c r="BJ297" s="234">
        <v>-9999</v>
      </c>
      <c r="BK297" s="234">
        <v>-9999</v>
      </c>
      <c r="BL297" s="234">
        <v>0.91</v>
      </c>
      <c r="BM297" s="234">
        <v>-9999</v>
      </c>
      <c r="BN297" s="234">
        <v>-9999</v>
      </c>
      <c r="BO297" s="234">
        <v>-9999</v>
      </c>
      <c r="BP297" s="234">
        <v>-9999</v>
      </c>
      <c r="BQ297" s="234">
        <v>-9999</v>
      </c>
      <c r="BR297" s="234">
        <v>6.38</v>
      </c>
      <c r="BS297" s="491">
        <v>-9999</v>
      </c>
      <c r="BT297" s="491">
        <v>-9999</v>
      </c>
      <c r="BU297" s="491">
        <v>-9999</v>
      </c>
      <c r="BV297" s="491">
        <v>-9999</v>
      </c>
      <c r="BW297" s="491"/>
      <c r="BX297" s="491">
        <v>-9999</v>
      </c>
      <c r="BY297" s="491">
        <v>-9999</v>
      </c>
      <c r="BZ297" s="497">
        <v>-9999</v>
      </c>
      <c r="CA297" s="496">
        <v>-9999</v>
      </c>
      <c r="CB297" s="499"/>
      <c r="CC297" s="57">
        <v>1</v>
      </c>
      <c r="CD297" s="57">
        <v>1</v>
      </c>
      <c r="CE297" s="292">
        <v>1.28</v>
      </c>
      <c r="CF297" s="292">
        <v>1.28</v>
      </c>
      <c r="CG297" s="57">
        <v>1</v>
      </c>
    </row>
    <row r="298" spans="1:1873" s="23" customFormat="1" x14ac:dyDescent="0.2">
      <c r="A298" s="234" t="s">
        <v>685</v>
      </c>
      <c r="B298" s="234" t="s">
        <v>680</v>
      </c>
      <c r="C298" s="234" t="s">
        <v>503</v>
      </c>
      <c r="D298" s="234" t="s">
        <v>633</v>
      </c>
      <c r="E298" s="493" t="s">
        <v>41</v>
      </c>
      <c r="F298" s="234">
        <v>1</v>
      </c>
      <c r="G298" s="234">
        <v>2</v>
      </c>
      <c r="H298" s="234">
        <v>2</v>
      </c>
      <c r="I298" s="234" t="s">
        <v>954</v>
      </c>
      <c r="J298" s="234">
        <v>1999</v>
      </c>
      <c r="K298" s="234" t="s">
        <v>1001</v>
      </c>
      <c r="L298" s="234">
        <v>2000</v>
      </c>
      <c r="M298" s="389">
        <v>-9999</v>
      </c>
      <c r="N298" s="389">
        <v>-9999</v>
      </c>
      <c r="O298" s="29"/>
      <c r="P298" s="389">
        <v>6.46</v>
      </c>
      <c r="Q298" s="491">
        <v>-9999</v>
      </c>
      <c r="R298" s="389"/>
      <c r="S298" s="491"/>
      <c r="T298" s="237">
        <f>+P298/G298</f>
        <v>3.23</v>
      </c>
      <c r="U298" s="491">
        <v>-9999</v>
      </c>
      <c r="V298" s="491"/>
      <c r="W298" s="237">
        <f>+P298-P297</f>
        <v>5.18</v>
      </c>
      <c r="X298" s="491">
        <v>-9999</v>
      </c>
      <c r="Y298" s="491"/>
      <c r="Z298" s="234" t="s">
        <v>681</v>
      </c>
      <c r="AA298" s="495">
        <v>18146</v>
      </c>
      <c r="AB298" s="389">
        <v>-9999</v>
      </c>
      <c r="AC298" s="234">
        <v>1</v>
      </c>
      <c r="AD298" s="234">
        <v>124.8</v>
      </c>
      <c r="AE298" s="390" t="s">
        <v>1952</v>
      </c>
      <c r="AF298" s="234">
        <v>4</v>
      </c>
      <c r="AG298" s="234">
        <v>-9999</v>
      </c>
      <c r="AH298" s="234" t="s">
        <v>623</v>
      </c>
      <c r="AI298" s="234">
        <v>-9999</v>
      </c>
      <c r="AJ298" s="234">
        <v>-9999</v>
      </c>
      <c r="AK298" s="234" t="s">
        <v>625</v>
      </c>
      <c r="AL298" s="234" t="s">
        <v>682</v>
      </c>
      <c r="AM298" s="234">
        <v>-9999</v>
      </c>
      <c r="AN298" s="234" t="s">
        <v>631</v>
      </c>
      <c r="AO298" s="234">
        <v>-9999</v>
      </c>
      <c r="AP298" s="234">
        <v>-9999</v>
      </c>
      <c r="AQ298" s="234" t="s">
        <v>631</v>
      </c>
      <c r="AR298" s="234">
        <v>0</v>
      </c>
      <c r="AS298" s="234">
        <v>-9999</v>
      </c>
      <c r="AT298" s="234">
        <v>-9999</v>
      </c>
      <c r="AU298" s="234">
        <v>0</v>
      </c>
      <c r="AV298" s="234">
        <v>-9999</v>
      </c>
      <c r="AW298" s="234">
        <v>-9999</v>
      </c>
      <c r="AX298" s="234">
        <v>0</v>
      </c>
      <c r="AY298" s="234">
        <v>-9999</v>
      </c>
      <c r="AZ298" s="234">
        <v>-9999</v>
      </c>
      <c r="BA298" s="234">
        <v>-9999</v>
      </c>
      <c r="BB298" s="234" t="s">
        <v>626</v>
      </c>
      <c r="BC298" s="234" t="s">
        <v>683</v>
      </c>
      <c r="BD298" s="234" t="s">
        <v>684</v>
      </c>
      <c r="BE298" s="234"/>
      <c r="BF298" s="234" t="s">
        <v>504</v>
      </c>
      <c r="BG298" s="234" t="s">
        <v>506</v>
      </c>
      <c r="BH298" s="234" t="s">
        <v>505</v>
      </c>
      <c r="BI298" s="234"/>
      <c r="BJ298" s="234">
        <v>-9999</v>
      </c>
      <c r="BK298" s="234">
        <v>-9999</v>
      </c>
      <c r="BL298" s="234">
        <v>2.0299999999999998</v>
      </c>
      <c r="BM298" s="234">
        <v>-9999</v>
      </c>
      <c r="BN298" s="234">
        <v>-9999</v>
      </c>
      <c r="BO298" s="234">
        <v>-9999</v>
      </c>
      <c r="BP298" s="234">
        <v>-9999</v>
      </c>
      <c r="BQ298" s="234">
        <v>-9999</v>
      </c>
      <c r="BR298" s="234">
        <v>16.600000000000001</v>
      </c>
      <c r="BS298" s="491">
        <v>-9999</v>
      </c>
      <c r="BT298" s="491">
        <v>-9999</v>
      </c>
      <c r="BU298" s="491">
        <v>-9999</v>
      </c>
      <c r="BV298" s="491">
        <v>-9999</v>
      </c>
      <c r="BW298" s="491"/>
      <c r="BX298" s="491">
        <v>-9999</v>
      </c>
      <c r="BY298" s="491">
        <v>-9999</v>
      </c>
      <c r="BZ298" s="497">
        <v>-9999</v>
      </c>
      <c r="CA298" s="496">
        <v>-9999</v>
      </c>
      <c r="CB298" s="499"/>
      <c r="CC298" s="57">
        <v>1</v>
      </c>
      <c r="CD298" s="57">
        <v>2</v>
      </c>
      <c r="CE298" s="292">
        <v>3.23</v>
      </c>
      <c r="CF298" s="292">
        <v>5.18</v>
      </c>
      <c r="CG298" s="57">
        <v>2</v>
      </c>
    </row>
    <row r="299" spans="1:1873" s="23" customFormat="1" x14ac:dyDescent="0.2">
      <c r="A299" s="234" t="s">
        <v>685</v>
      </c>
      <c r="B299" s="234" t="s">
        <v>680</v>
      </c>
      <c r="C299" s="234" t="s">
        <v>503</v>
      </c>
      <c r="D299" s="234" t="s">
        <v>633</v>
      </c>
      <c r="E299" s="493" t="s">
        <v>41</v>
      </c>
      <c r="F299" s="234">
        <v>1</v>
      </c>
      <c r="G299" s="234">
        <v>3</v>
      </c>
      <c r="H299" s="234">
        <v>3</v>
      </c>
      <c r="I299" s="234" t="s">
        <v>954</v>
      </c>
      <c r="J299" s="234">
        <v>1999</v>
      </c>
      <c r="K299" s="234" t="s">
        <v>1001</v>
      </c>
      <c r="L299" s="234">
        <v>2001</v>
      </c>
      <c r="M299" s="389">
        <v>-9999</v>
      </c>
      <c r="N299" s="389">
        <v>-9999</v>
      </c>
      <c r="O299" s="29"/>
      <c r="P299" s="389">
        <v>23.39</v>
      </c>
      <c r="Q299" s="491">
        <v>-9999</v>
      </c>
      <c r="R299" s="389"/>
      <c r="S299" s="491"/>
      <c r="T299" s="237">
        <f>+P299/G299</f>
        <v>7.7966666666666669</v>
      </c>
      <c r="U299" s="491">
        <v>-9999</v>
      </c>
      <c r="V299" s="491"/>
      <c r="W299" s="237">
        <f>+P299-P298</f>
        <v>16.93</v>
      </c>
      <c r="X299" s="491">
        <v>-9999</v>
      </c>
      <c r="Y299" s="491"/>
      <c r="Z299" s="234" t="s">
        <v>681</v>
      </c>
      <c r="AA299" s="495">
        <v>18146</v>
      </c>
      <c r="AB299" s="389">
        <v>-9999</v>
      </c>
      <c r="AC299" s="234">
        <v>1</v>
      </c>
      <c r="AD299" s="234">
        <v>124.8</v>
      </c>
      <c r="AE299" s="390" t="s">
        <v>1952</v>
      </c>
      <c r="AF299" s="234">
        <v>4</v>
      </c>
      <c r="AG299" s="234">
        <v>-9999</v>
      </c>
      <c r="AH299" s="234" t="s">
        <v>623</v>
      </c>
      <c r="AI299" s="234">
        <v>-9999</v>
      </c>
      <c r="AJ299" s="234">
        <v>-9999</v>
      </c>
      <c r="AK299" s="234" t="s">
        <v>625</v>
      </c>
      <c r="AL299" s="234" t="s">
        <v>682</v>
      </c>
      <c r="AM299" s="234">
        <v>-9999</v>
      </c>
      <c r="AN299" s="234" t="s">
        <v>631</v>
      </c>
      <c r="AO299" s="234">
        <v>-9999</v>
      </c>
      <c r="AP299" s="234">
        <v>-9999</v>
      </c>
      <c r="AQ299" s="234" t="s">
        <v>631</v>
      </c>
      <c r="AR299" s="234">
        <v>0</v>
      </c>
      <c r="AS299" s="234">
        <v>-9999</v>
      </c>
      <c r="AT299" s="234">
        <v>-9999</v>
      </c>
      <c r="AU299" s="234">
        <v>0</v>
      </c>
      <c r="AV299" s="234">
        <v>-9999</v>
      </c>
      <c r="AW299" s="234">
        <v>-9999</v>
      </c>
      <c r="AX299" s="234">
        <v>0</v>
      </c>
      <c r="AY299" s="234">
        <v>-9999</v>
      </c>
      <c r="AZ299" s="234">
        <v>-9999</v>
      </c>
      <c r="BA299" s="234">
        <v>-9999</v>
      </c>
      <c r="BB299" s="234" t="s">
        <v>626</v>
      </c>
      <c r="BC299" s="234" t="s">
        <v>683</v>
      </c>
      <c r="BD299" s="234" t="s">
        <v>684</v>
      </c>
      <c r="BE299" s="234"/>
      <c r="BF299" s="234" t="s">
        <v>504</v>
      </c>
      <c r="BG299" s="234" t="s">
        <v>506</v>
      </c>
      <c r="BH299" s="234" t="s">
        <v>505</v>
      </c>
      <c r="BI299" s="234"/>
      <c r="BJ299" s="234">
        <v>-9999</v>
      </c>
      <c r="BK299" s="234">
        <v>-9999</v>
      </c>
      <c r="BL299" s="234">
        <v>3.73</v>
      </c>
      <c r="BM299" s="234">
        <v>-9999</v>
      </c>
      <c r="BN299" s="234">
        <v>-9999</v>
      </c>
      <c r="BO299" s="234">
        <v>-9999</v>
      </c>
      <c r="BP299" s="234">
        <v>-9999</v>
      </c>
      <c r="BQ299" s="234">
        <v>-9999</v>
      </c>
      <c r="BR299" s="234">
        <v>32.39</v>
      </c>
      <c r="BS299" s="491">
        <v>-9999</v>
      </c>
      <c r="BT299" s="491">
        <v>-9999</v>
      </c>
      <c r="BU299" s="491">
        <v>-9999</v>
      </c>
      <c r="BV299" s="491">
        <v>-9999</v>
      </c>
      <c r="BW299" s="491"/>
      <c r="BX299" s="491">
        <v>-9999</v>
      </c>
      <c r="BY299" s="491">
        <v>-9999</v>
      </c>
      <c r="BZ299" s="497">
        <v>-9999</v>
      </c>
      <c r="CA299" s="496">
        <v>-9999</v>
      </c>
      <c r="CB299" s="499"/>
      <c r="CC299" s="57">
        <v>1</v>
      </c>
      <c r="CD299" s="57">
        <v>3</v>
      </c>
      <c r="CE299" s="292">
        <v>7.7966666666666669</v>
      </c>
      <c r="CF299" s="292">
        <v>16.93</v>
      </c>
      <c r="CG299" s="57">
        <v>3</v>
      </c>
    </row>
    <row r="300" spans="1:1873" s="23" customFormat="1" x14ac:dyDescent="0.2">
      <c r="A300" s="234" t="s">
        <v>685</v>
      </c>
      <c r="B300" s="234" t="s">
        <v>680</v>
      </c>
      <c r="C300" s="234" t="s">
        <v>503</v>
      </c>
      <c r="D300" s="234" t="s">
        <v>633</v>
      </c>
      <c r="E300" s="493" t="s">
        <v>41</v>
      </c>
      <c r="F300" s="234">
        <v>1</v>
      </c>
      <c r="G300" s="234">
        <v>4</v>
      </c>
      <c r="H300" s="234">
        <v>4</v>
      </c>
      <c r="I300" s="234" t="s">
        <v>954</v>
      </c>
      <c r="J300" s="234">
        <v>1999</v>
      </c>
      <c r="K300" s="234" t="s">
        <v>1001</v>
      </c>
      <c r="L300" s="234">
        <v>2002</v>
      </c>
      <c r="M300" s="389">
        <v>-9999</v>
      </c>
      <c r="N300" s="389">
        <v>-9999</v>
      </c>
      <c r="O300" s="29"/>
      <c r="P300" s="389">
        <v>37.74</v>
      </c>
      <c r="Q300" s="491">
        <v>-9999</v>
      </c>
      <c r="R300" s="389"/>
      <c r="S300" s="491"/>
      <c r="T300" s="389">
        <f>+P300/G300</f>
        <v>9.4350000000000005</v>
      </c>
      <c r="U300" s="491">
        <v>-9999</v>
      </c>
      <c r="V300" s="491"/>
      <c r="W300" s="237">
        <f>+P300-P299</f>
        <v>14.350000000000001</v>
      </c>
      <c r="X300" s="491">
        <v>-9999</v>
      </c>
      <c r="Y300" s="491"/>
      <c r="Z300" s="234" t="s">
        <v>681</v>
      </c>
      <c r="AA300" s="495">
        <v>18146</v>
      </c>
      <c r="AB300" s="389">
        <v>-9999</v>
      </c>
      <c r="AC300" s="234">
        <v>1</v>
      </c>
      <c r="AD300" s="234">
        <v>124.8</v>
      </c>
      <c r="AE300" s="390" t="s">
        <v>1952</v>
      </c>
      <c r="AF300" s="234">
        <v>4</v>
      </c>
      <c r="AG300" s="234">
        <v>-9999</v>
      </c>
      <c r="AH300" s="234" t="s">
        <v>623</v>
      </c>
      <c r="AI300" s="234">
        <v>-9999</v>
      </c>
      <c r="AJ300" s="234">
        <v>-9999</v>
      </c>
      <c r="AK300" s="234" t="s">
        <v>625</v>
      </c>
      <c r="AL300" s="234" t="s">
        <v>682</v>
      </c>
      <c r="AM300" s="234">
        <v>-9999</v>
      </c>
      <c r="AN300" s="234" t="s">
        <v>631</v>
      </c>
      <c r="AO300" s="234">
        <v>-9999</v>
      </c>
      <c r="AP300" s="234">
        <v>-9999</v>
      </c>
      <c r="AQ300" s="234" t="s">
        <v>631</v>
      </c>
      <c r="AR300" s="234">
        <v>0</v>
      </c>
      <c r="AS300" s="234">
        <v>-9999</v>
      </c>
      <c r="AT300" s="234">
        <v>-9999</v>
      </c>
      <c r="AU300" s="234">
        <v>0</v>
      </c>
      <c r="AV300" s="234">
        <v>-9999</v>
      </c>
      <c r="AW300" s="234">
        <v>-9999</v>
      </c>
      <c r="AX300" s="234">
        <v>0</v>
      </c>
      <c r="AY300" s="234">
        <v>-9999</v>
      </c>
      <c r="AZ300" s="234">
        <v>-9999</v>
      </c>
      <c r="BA300" s="234">
        <v>-9999</v>
      </c>
      <c r="BB300" s="234" t="s">
        <v>626</v>
      </c>
      <c r="BC300" s="234" t="s">
        <v>683</v>
      </c>
      <c r="BD300" s="234" t="s">
        <v>684</v>
      </c>
      <c r="BE300" s="234"/>
      <c r="BF300" s="234" t="s">
        <v>504</v>
      </c>
      <c r="BG300" s="234" t="s">
        <v>506</v>
      </c>
      <c r="BH300" s="234" t="s">
        <v>505</v>
      </c>
      <c r="BI300" s="234"/>
      <c r="BJ300" s="234">
        <v>-9999</v>
      </c>
      <c r="BK300" s="234">
        <v>-9999</v>
      </c>
      <c r="BL300" s="234">
        <v>4.46</v>
      </c>
      <c r="BM300" s="234">
        <v>-9999</v>
      </c>
      <c r="BN300" s="234">
        <v>-9999</v>
      </c>
      <c r="BO300" s="234">
        <v>-9999</v>
      </c>
      <c r="BP300" s="234">
        <v>-9999</v>
      </c>
      <c r="BQ300" s="234">
        <v>-9999</v>
      </c>
      <c r="BR300" s="234">
        <v>38.450000000000003</v>
      </c>
      <c r="BS300" s="491">
        <v>-9999</v>
      </c>
      <c r="BT300" s="491">
        <v>-9999</v>
      </c>
      <c r="BU300" s="491">
        <v>-9999</v>
      </c>
      <c r="BV300" s="491">
        <v>-9999</v>
      </c>
      <c r="BW300" s="491"/>
      <c r="BX300" s="491">
        <v>-9999</v>
      </c>
      <c r="BY300" s="491">
        <v>-9999</v>
      </c>
      <c r="BZ300" s="497">
        <v>-9999</v>
      </c>
      <c r="CA300" s="496">
        <v>-9999</v>
      </c>
      <c r="CB300" s="499"/>
      <c r="CC300" s="57">
        <v>1</v>
      </c>
      <c r="CD300" s="57">
        <v>4</v>
      </c>
      <c r="CE300" s="401">
        <v>9.4350000000000005</v>
      </c>
      <c r="CF300" s="292">
        <v>14.350000000000001</v>
      </c>
      <c r="CG300" s="57">
        <v>4</v>
      </c>
      <c r="CH300" s="479"/>
    </row>
    <row r="301" spans="1:1873" s="23" customFormat="1" x14ac:dyDescent="0.2">
      <c r="A301" s="29"/>
      <c r="B301" s="29"/>
      <c r="C301" s="29"/>
      <c r="D301" s="29"/>
      <c r="E301" s="66"/>
      <c r="F301" s="66"/>
      <c r="G301" s="29"/>
      <c r="H301" s="30"/>
      <c r="I301" s="29"/>
      <c r="J301" s="29"/>
      <c r="K301" s="29"/>
      <c r="L301" s="29"/>
      <c r="M301" s="31"/>
      <c r="N301" s="31"/>
      <c r="O301" s="30"/>
      <c r="P301" s="31"/>
      <c r="Q301" s="29"/>
      <c r="R301" s="31"/>
      <c r="S301" s="29"/>
      <c r="T301" s="70"/>
      <c r="U301" s="70"/>
      <c r="V301" s="70"/>
      <c r="W301" s="70"/>
      <c r="X301" s="71"/>
      <c r="Y301" s="71"/>
      <c r="Z301" s="29"/>
      <c r="AA301" s="29"/>
      <c r="AB301" s="31"/>
      <c r="AC301" s="29"/>
      <c r="AD301" s="29"/>
      <c r="AE301" s="29"/>
      <c r="AF301" s="29"/>
      <c r="AG301" s="29"/>
      <c r="AH301" s="29"/>
      <c r="AI301" s="29"/>
      <c r="AJ301" s="30"/>
      <c r="AK301" s="29"/>
      <c r="AL301" s="29"/>
      <c r="AM301" s="29"/>
      <c r="AN301" s="29"/>
      <c r="AO301" s="29"/>
      <c r="AP301" s="29"/>
      <c r="AQ301" s="29"/>
      <c r="AR301" s="29"/>
      <c r="AS301" s="29"/>
      <c r="AT301" s="29"/>
      <c r="AU301" s="29"/>
      <c r="AV301" s="29"/>
      <c r="AW301" s="29"/>
      <c r="AX301" s="29"/>
      <c r="AY301" s="29"/>
      <c r="AZ301" s="29"/>
      <c r="BA301" s="29"/>
      <c r="BB301" s="29"/>
      <c r="BC301" s="29"/>
      <c r="BD301" s="29"/>
      <c r="BE301" s="29"/>
      <c r="BF301" s="29"/>
      <c r="BG301" s="29"/>
      <c r="BH301" s="29"/>
      <c r="BI301" s="29"/>
      <c r="BJ301" s="29"/>
      <c r="BK301" s="29"/>
      <c r="BL301" s="30"/>
      <c r="BM301" s="30"/>
      <c r="BN301" s="30"/>
      <c r="BO301" s="30"/>
      <c r="BP301" s="30"/>
      <c r="BQ301" s="30"/>
      <c r="BR301" s="30"/>
      <c r="BS301" s="30"/>
      <c r="BT301" s="30"/>
      <c r="BU301" s="30"/>
      <c r="BV301" s="30"/>
      <c r="BW301" s="30"/>
      <c r="BX301" s="30"/>
      <c r="BY301" s="30"/>
      <c r="BZ301" s="154"/>
      <c r="CA301" s="154"/>
      <c r="CC301" s="66"/>
      <c r="CD301" s="29"/>
      <c r="CE301" s="342" t="s">
        <v>1576</v>
      </c>
      <c r="CF301" s="342" t="s">
        <v>1575</v>
      </c>
      <c r="CG301" s="30"/>
    </row>
    <row r="302" spans="1:1873" s="23" customFormat="1" x14ac:dyDescent="0.2">
      <c r="A302" s="234" t="s">
        <v>771</v>
      </c>
      <c r="B302" s="234" t="s">
        <v>42</v>
      </c>
      <c r="C302" s="234" t="s">
        <v>508</v>
      </c>
      <c r="D302" s="234" t="s">
        <v>619</v>
      </c>
      <c r="E302" s="493" t="s">
        <v>1518</v>
      </c>
      <c r="F302" s="493">
        <v>1</v>
      </c>
      <c r="G302" s="234">
        <v>1</v>
      </c>
      <c r="H302" s="234">
        <v>1</v>
      </c>
      <c r="I302" s="234" t="s">
        <v>954</v>
      </c>
      <c r="J302" s="234">
        <v>1970</v>
      </c>
      <c r="K302" s="234" t="s">
        <v>957</v>
      </c>
      <c r="L302" s="234">
        <v>1970</v>
      </c>
      <c r="M302" s="389">
        <v>-9999</v>
      </c>
      <c r="N302" s="389">
        <v>-9999</v>
      </c>
      <c r="O302" s="29"/>
      <c r="P302" s="389">
        <v>1.3</v>
      </c>
      <c r="Q302" s="234">
        <v>-9999</v>
      </c>
      <c r="R302" s="389"/>
      <c r="S302" s="234"/>
      <c r="T302" s="237">
        <f>+P302/G302</f>
        <v>1.3</v>
      </c>
      <c r="U302" s="234">
        <v>-9999</v>
      </c>
      <c r="V302" s="234"/>
      <c r="W302" s="237">
        <v>1.3</v>
      </c>
      <c r="X302" s="389"/>
      <c r="Y302" s="389"/>
      <c r="Z302" s="234" t="s">
        <v>773</v>
      </c>
      <c r="AA302" s="520">
        <v>109649</v>
      </c>
      <c r="AB302" s="389">
        <v>0.96</v>
      </c>
      <c r="AC302" s="234">
        <v>-9999</v>
      </c>
      <c r="AD302" s="234">
        <v>-9999</v>
      </c>
      <c r="AE302" s="234" t="s">
        <v>523</v>
      </c>
      <c r="AF302" s="234">
        <v>3</v>
      </c>
      <c r="AG302" s="234" t="s">
        <v>774</v>
      </c>
      <c r="AH302" s="234" t="s">
        <v>623</v>
      </c>
      <c r="AI302" s="234">
        <v>-9999</v>
      </c>
      <c r="AJ302" s="234">
        <v>-9999</v>
      </c>
      <c r="AK302" s="234" t="s">
        <v>626</v>
      </c>
      <c r="AL302" s="234" t="s">
        <v>653</v>
      </c>
      <c r="AM302" s="234">
        <v>-9999</v>
      </c>
      <c r="AN302" s="234" t="s">
        <v>631</v>
      </c>
      <c r="AO302" s="234">
        <v>-9999</v>
      </c>
      <c r="AP302" s="234">
        <v>-9999</v>
      </c>
      <c r="AQ302" s="234" t="s">
        <v>631</v>
      </c>
      <c r="AR302" s="234">
        <v>0</v>
      </c>
      <c r="AS302" s="234">
        <v>-9999</v>
      </c>
      <c r="AT302" s="234">
        <v>-9999</v>
      </c>
      <c r="AU302" s="234">
        <v>0</v>
      </c>
      <c r="AV302" s="234">
        <v>-9999</v>
      </c>
      <c r="AW302" s="234">
        <v>-9999</v>
      </c>
      <c r="AX302" s="234">
        <v>0</v>
      </c>
      <c r="AY302" s="234">
        <v>-9999</v>
      </c>
      <c r="AZ302" s="234">
        <v>-9999</v>
      </c>
      <c r="BA302" s="234" t="s">
        <v>775</v>
      </c>
      <c r="BB302" s="234" t="s">
        <v>631</v>
      </c>
      <c r="BC302" s="234">
        <v>-9999</v>
      </c>
      <c r="BD302" s="234">
        <v>-9999</v>
      </c>
      <c r="BE302" s="234">
        <v>-9999</v>
      </c>
      <c r="BF302" s="234">
        <v>-9999</v>
      </c>
      <c r="BG302" s="234">
        <v>-9999</v>
      </c>
      <c r="BH302" s="234">
        <v>-9999</v>
      </c>
      <c r="BI302" s="234">
        <v>-9999</v>
      </c>
      <c r="BJ302" s="234">
        <v>-9999</v>
      </c>
      <c r="BK302" s="234">
        <v>-9999</v>
      </c>
      <c r="BL302" s="234">
        <v>-9999</v>
      </c>
      <c r="BM302" s="234">
        <v>-9999</v>
      </c>
      <c r="BN302" s="234">
        <v>-9999</v>
      </c>
      <c r="BO302" s="234">
        <v>-9999</v>
      </c>
      <c r="BP302" s="234">
        <v>-9999</v>
      </c>
      <c r="BQ302" s="234">
        <v>-9999</v>
      </c>
      <c r="BR302" s="234">
        <v>-9999</v>
      </c>
      <c r="BS302" s="491">
        <v>-9999</v>
      </c>
      <c r="BT302" s="234">
        <v>-9999</v>
      </c>
      <c r="BU302" s="234">
        <v>-9999</v>
      </c>
      <c r="BV302" s="234">
        <v>-9999</v>
      </c>
      <c r="BW302" s="234"/>
      <c r="BX302" s="234">
        <v>-9999</v>
      </c>
      <c r="BY302" s="234">
        <v>-9999</v>
      </c>
      <c r="BZ302" s="496">
        <v>-9999</v>
      </c>
      <c r="CA302" s="496">
        <v>-9999</v>
      </c>
      <c r="CB302" s="499"/>
      <c r="CC302" s="58">
        <v>1</v>
      </c>
      <c r="CD302" s="57">
        <v>1</v>
      </c>
      <c r="CE302" s="292">
        <v>1.3</v>
      </c>
      <c r="CF302" s="292">
        <v>1.3</v>
      </c>
      <c r="CG302" s="57">
        <v>1</v>
      </c>
    </row>
    <row r="303" spans="1:1873" s="23" customFormat="1" x14ac:dyDescent="0.2">
      <c r="A303" s="234" t="s">
        <v>771</v>
      </c>
      <c r="B303" s="234" t="s">
        <v>42</v>
      </c>
      <c r="C303" s="234" t="s">
        <v>508</v>
      </c>
      <c r="D303" s="234" t="s">
        <v>619</v>
      </c>
      <c r="E303" s="493" t="s">
        <v>1518</v>
      </c>
      <c r="F303" s="493">
        <v>1</v>
      </c>
      <c r="G303" s="234">
        <v>2</v>
      </c>
      <c r="H303" s="234">
        <v>2</v>
      </c>
      <c r="I303" s="234" t="s">
        <v>954</v>
      </c>
      <c r="J303" s="234">
        <v>1970</v>
      </c>
      <c r="K303" s="234" t="s">
        <v>957</v>
      </c>
      <c r="L303" s="234">
        <v>1972</v>
      </c>
      <c r="M303" s="389">
        <v>-9999</v>
      </c>
      <c r="N303" s="389">
        <v>-9999</v>
      </c>
      <c r="O303" s="29"/>
      <c r="P303" s="389">
        <v>11.4</v>
      </c>
      <c r="Q303" s="234">
        <v>-9999</v>
      </c>
      <c r="R303" s="389"/>
      <c r="S303" s="234"/>
      <c r="T303" s="237">
        <f>+P303/G303</f>
        <v>5.7</v>
      </c>
      <c r="U303" s="234">
        <v>-9999</v>
      </c>
      <c r="V303" s="234"/>
      <c r="W303" s="237">
        <f>P303-P302</f>
        <v>10.1</v>
      </c>
      <c r="X303" s="389"/>
      <c r="Y303" s="389"/>
      <c r="Z303" s="234" t="s">
        <v>773</v>
      </c>
      <c r="AA303" s="520">
        <v>109649</v>
      </c>
      <c r="AB303" s="389">
        <v>0.93</v>
      </c>
      <c r="AC303" s="234">
        <v>-9999</v>
      </c>
      <c r="AD303" s="234">
        <v>-9999</v>
      </c>
      <c r="AE303" s="234" t="s">
        <v>523</v>
      </c>
      <c r="AF303" s="234">
        <v>3</v>
      </c>
      <c r="AG303" s="234" t="s">
        <v>774</v>
      </c>
      <c r="AH303" s="234" t="s">
        <v>623</v>
      </c>
      <c r="AI303" s="234">
        <v>-9999</v>
      </c>
      <c r="AJ303" s="234">
        <v>-9999</v>
      </c>
      <c r="AK303" s="234" t="s">
        <v>626</v>
      </c>
      <c r="AL303" s="234" t="s">
        <v>653</v>
      </c>
      <c r="AM303" s="234">
        <v>-9999</v>
      </c>
      <c r="AN303" s="234" t="s">
        <v>631</v>
      </c>
      <c r="AO303" s="234">
        <v>-9999</v>
      </c>
      <c r="AP303" s="234">
        <v>-9999</v>
      </c>
      <c r="AQ303" s="234" t="s">
        <v>631</v>
      </c>
      <c r="AR303" s="234">
        <v>0</v>
      </c>
      <c r="AS303" s="234">
        <v>-9999</v>
      </c>
      <c r="AT303" s="234">
        <v>-9999</v>
      </c>
      <c r="AU303" s="234">
        <v>0</v>
      </c>
      <c r="AV303" s="234">
        <v>-9999</v>
      </c>
      <c r="AW303" s="234">
        <v>-9999</v>
      </c>
      <c r="AX303" s="234">
        <v>0</v>
      </c>
      <c r="AY303" s="234">
        <v>-9999</v>
      </c>
      <c r="AZ303" s="234">
        <v>-9999</v>
      </c>
      <c r="BA303" s="234" t="s">
        <v>775</v>
      </c>
      <c r="BB303" s="234" t="s">
        <v>631</v>
      </c>
      <c r="BC303" s="234">
        <v>-9999</v>
      </c>
      <c r="BD303" s="234">
        <v>-9999</v>
      </c>
      <c r="BE303" s="234">
        <v>-9999</v>
      </c>
      <c r="BF303" s="234">
        <v>-9999</v>
      </c>
      <c r="BG303" s="234">
        <v>-9999</v>
      </c>
      <c r="BH303" s="234">
        <v>-9999</v>
      </c>
      <c r="BI303" s="234">
        <v>-9999</v>
      </c>
      <c r="BJ303" s="234">
        <v>-9999</v>
      </c>
      <c r="BK303" s="234">
        <v>-9999</v>
      </c>
      <c r="BL303" s="234">
        <v>-9999</v>
      </c>
      <c r="BM303" s="234">
        <v>-9999</v>
      </c>
      <c r="BN303" s="234">
        <v>-9999</v>
      </c>
      <c r="BO303" s="234">
        <v>-9999</v>
      </c>
      <c r="BP303" s="234">
        <v>-9999</v>
      </c>
      <c r="BQ303" s="234">
        <v>-9999</v>
      </c>
      <c r="BR303" s="234">
        <v>-9999</v>
      </c>
      <c r="BS303" s="491">
        <v>-9999</v>
      </c>
      <c r="BT303" s="234">
        <v>-9999</v>
      </c>
      <c r="BU303" s="234">
        <v>-9999</v>
      </c>
      <c r="BV303" s="234">
        <v>-9999</v>
      </c>
      <c r="BW303" s="234"/>
      <c r="BX303" s="234">
        <v>-9999</v>
      </c>
      <c r="BY303" s="234">
        <v>-9999</v>
      </c>
      <c r="BZ303" s="496">
        <v>-9999</v>
      </c>
      <c r="CA303" s="496">
        <v>-9999</v>
      </c>
      <c r="CB303" s="499"/>
      <c r="CC303" s="58">
        <v>1</v>
      </c>
      <c r="CD303" s="57">
        <v>2</v>
      </c>
      <c r="CE303" s="292">
        <v>5.7</v>
      </c>
      <c r="CF303" s="292">
        <v>10.1</v>
      </c>
      <c r="CG303" s="57">
        <v>2</v>
      </c>
    </row>
    <row r="304" spans="1:1873" s="23" customFormat="1" x14ac:dyDescent="0.2">
      <c r="A304" s="234" t="s">
        <v>771</v>
      </c>
      <c r="B304" s="234" t="s">
        <v>42</v>
      </c>
      <c r="C304" s="234" t="s">
        <v>508</v>
      </c>
      <c r="D304" s="234" t="s">
        <v>619</v>
      </c>
      <c r="E304" s="493" t="s">
        <v>1518</v>
      </c>
      <c r="F304" s="493">
        <v>1</v>
      </c>
      <c r="G304" s="234">
        <v>3</v>
      </c>
      <c r="H304" s="234">
        <v>3</v>
      </c>
      <c r="I304" s="234" t="s">
        <v>954</v>
      </c>
      <c r="J304" s="234">
        <v>1970</v>
      </c>
      <c r="K304" s="234" t="s">
        <v>957</v>
      </c>
      <c r="L304" s="234">
        <v>1973</v>
      </c>
      <c r="M304" s="389">
        <v>-9999</v>
      </c>
      <c r="N304" s="389">
        <v>-9999</v>
      </c>
      <c r="O304" s="29"/>
      <c r="P304" s="389">
        <v>22.6</v>
      </c>
      <c r="Q304" s="234">
        <v>-9999</v>
      </c>
      <c r="R304" s="389"/>
      <c r="S304" s="234"/>
      <c r="T304" s="237">
        <f>+P304/G304</f>
        <v>7.5333333333333341</v>
      </c>
      <c r="U304" s="234">
        <v>-9999</v>
      </c>
      <c r="V304" s="234"/>
      <c r="W304" s="237">
        <f>P304-P303</f>
        <v>11.200000000000001</v>
      </c>
      <c r="X304" s="389"/>
      <c r="Y304" s="389"/>
      <c r="Z304" s="234" t="s">
        <v>773</v>
      </c>
      <c r="AA304" s="520">
        <v>109649</v>
      </c>
      <c r="AB304" s="389">
        <v>0.88</v>
      </c>
      <c r="AC304" s="234">
        <v>-9999</v>
      </c>
      <c r="AD304" s="234">
        <v>-9999</v>
      </c>
      <c r="AE304" s="234" t="s">
        <v>523</v>
      </c>
      <c r="AF304" s="234">
        <v>3</v>
      </c>
      <c r="AG304" s="234" t="s">
        <v>774</v>
      </c>
      <c r="AH304" s="234" t="s">
        <v>623</v>
      </c>
      <c r="AI304" s="234">
        <v>-9999</v>
      </c>
      <c r="AJ304" s="234">
        <v>-9999</v>
      </c>
      <c r="AK304" s="234" t="s">
        <v>626</v>
      </c>
      <c r="AL304" s="234" t="s">
        <v>653</v>
      </c>
      <c r="AM304" s="234">
        <v>-9999</v>
      </c>
      <c r="AN304" s="234" t="s">
        <v>631</v>
      </c>
      <c r="AO304" s="234">
        <v>-9999</v>
      </c>
      <c r="AP304" s="234">
        <v>-9999</v>
      </c>
      <c r="AQ304" s="234" t="s">
        <v>631</v>
      </c>
      <c r="AR304" s="234">
        <v>0</v>
      </c>
      <c r="AS304" s="234">
        <v>-9999</v>
      </c>
      <c r="AT304" s="234">
        <v>-9999</v>
      </c>
      <c r="AU304" s="234">
        <v>0</v>
      </c>
      <c r="AV304" s="234">
        <v>-9999</v>
      </c>
      <c r="AW304" s="234">
        <v>-9999</v>
      </c>
      <c r="AX304" s="234">
        <v>0</v>
      </c>
      <c r="AY304" s="234">
        <v>-9999</v>
      </c>
      <c r="AZ304" s="234">
        <v>-9999</v>
      </c>
      <c r="BA304" s="234" t="s">
        <v>775</v>
      </c>
      <c r="BB304" s="234" t="s">
        <v>631</v>
      </c>
      <c r="BC304" s="234">
        <v>-9999</v>
      </c>
      <c r="BD304" s="234">
        <v>-9999</v>
      </c>
      <c r="BE304" s="234">
        <v>-9999</v>
      </c>
      <c r="BF304" s="234">
        <v>-9999</v>
      </c>
      <c r="BG304" s="234">
        <v>-9999</v>
      </c>
      <c r="BH304" s="234">
        <v>-9999</v>
      </c>
      <c r="BI304" s="234">
        <v>-9999</v>
      </c>
      <c r="BJ304" s="234">
        <v>-9999</v>
      </c>
      <c r="BK304" s="234">
        <v>-9999</v>
      </c>
      <c r="BL304" s="234">
        <v>-9999</v>
      </c>
      <c r="BM304" s="234">
        <v>-9999</v>
      </c>
      <c r="BN304" s="234">
        <v>-9999</v>
      </c>
      <c r="BO304" s="234">
        <v>-9999</v>
      </c>
      <c r="BP304" s="234">
        <v>-9999</v>
      </c>
      <c r="BQ304" s="234">
        <v>-9999</v>
      </c>
      <c r="BR304" s="234">
        <v>-9999</v>
      </c>
      <c r="BS304" s="491">
        <v>-9999</v>
      </c>
      <c r="BT304" s="234">
        <v>-9999</v>
      </c>
      <c r="BU304" s="234">
        <v>-9999</v>
      </c>
      <c r="BV304" s="234">
        <v>-9999</v>
      </c>
      <c r="BW304" s="234"/>
      <c r="BX304" s="234">
        <v>-9999</v>
      </c>
      <c r="BY304" s="234">
        <v>-9999</v>
      </c>
      <c r="BZ304" s="496">
        <v>-9999</v>
      </c>
      <c r="CA304" s="496">
        <v>-9999</v>
      </c>
      <c r="CB304" s="499"/>
      <c r="CC304" s="58">
        <v>1</v>
      </c>
      <c r="CD304" s="57">
        <v>3</v>
      </c>
      <c r="CE304" s="394">
        <v>7.5333333333333341</v>
      </c>
      <c r="CF304" s="292">
        <v>11.200000000000001</v>
      </c>
      <c r="CG304" s="57">
        <v>3</v>
      </c>
      <c r="CH304" s="477"/>
    </row>
    <row r="305" spans="1:86" s="23" customFormat="1" x14ac:dyDescent="0.2">
      <c r="A305" s="234" t="s">
        <v>771</v>
      </c>
      <c r="B305" s="234" t="s">
        <v>42</v>
      </c>
      <c r="C305" s="234" t="s">
        <v>508</v>
      </c>
      <c r="D305" s="234" t="s">
        <v>619</v>
      </c>
      <c r="E305" s="493" t="s">
        <v>1518</v>
      </c>
      <c r="F305" s="493">
        <v>1</v>
      </c>
      <c r="G305" s="234">
        <v>4</v>
      </c>
      <c r="H305" s="234">
        <v>4</v>
      </c>
      <c r="I305" s="234" t="s">
        <v>954</v>
      </c>
      <c r="J305" s="234">
        <v>1970</v>
      </c>
      <c r="K305" s="234" t="s">
        <v>957</v>
      </c>
      <c r="L305" s="234">
        <v>1974</v>
      </c>
      <c r="M305" s="389">
        <v>-9999</v>
      </c>
      <c r="N305" s="389">
        <v>-9999</v>
      </c>
      <c r="O305" s="29"/>
      <c r="P305" s="389">
        <v>24.6</v>
      </c>
      <c r="Q305" s="234">
        <v>-9999</v>
      </c>
      <c r="R305" s="389"/>
      <c r="S305" s="234"/>
      <c r="T305" s="237">
        <f>+P305/G305</f>
        <v>6.15</v>
      </c>
      <c r="U305" s="234">
        <v>-9999</v>
      </c>
      <c r="V305" s="234"/>
      <c r="W305" s="237">
        <f>P305-P304</f>
        <v>2</v>
      </c>
      <c r="X305" s="389"/>
      <c r="Y305" s="389"/>
      <c r="Z305" s="234" t="s">
        <v>773</v>
      </c>
      <c r="AA305" s="520">
        <v>109649</v>
      </c>
      <c r="AB305" s="389">
        <v>0.67</v>
      </c>
      <c r="AC305" s="234">
        <v>-9999</v>
      </c>
      <c r="AD305" s="234">
        <v>-9999</v>
      </c>
      <c r="AE305" s="234" t="s">
        <v>523</v>
      </c>
      <c r="AF305" s="234">
        <v>3</v>
      </c>
      <c r="AG305" s="234" t="s">
        <v>774</v>
      </c>
      <c r="AH305" s="234" t="s">
        <v>623</v>
      </c>
      <c r="AI305" s="234">
        <v>-9999</v>
      </c>
      <c r="AJ305" s="234">
        <v>-9999</v>
      </c>
      <c r="AK305" s="234" t="s">
        <v>626</v>
      </c>
      <c r="AL305" s="234" t="s">
        <v>653</v>
      </c>
      <c r="AM305" s="234">
        <v>-9999</v>
      </c>
      <c r="AN305" s="234" t="s">
        <v>631</v>
      </c>
      <c r="AO305" s="234">
        <v>-9999</v>
      </c>
      <c r="AP305" s="234">
        <v>-9999</v>
      </c>
      <c r="AQ305" s="234" t="s">
        <v>631</v>
      </c>
      <c r="AR305" s="234">
        <v>0</v>
      </c>
      <c r="AS305" s="234">
        <v>-9999</v>
      </c>
      <c r="AT305" s="234">
        <v>-9999</v>
      </c>
      <c r="AU305" s="234">
        <v>0</v>
      </c>
      <c r="AV305" s="234">
        <v>-9999</v>
      </c>
      <c r="AW305" s="234">
        <v>-9999</v>
      </c>
      <c r="AX305" s="234">
        <v>0</v>
      </c>
      <c r="AY305" s="234">
        <v>-9999</v>
      </c>
      <c r="AZ305" s="234">
        <v>-9999</v>
      </c>
      <c r="BA305" s="234" t="s">
        <v>775</v>
      </c>
      <c r="BB305" s="234" t="s">
        <v>631</v>
      </c>
      <c r="BC305" s="234">
        <v>-9999</v>
      </c>
      <c r="BD305" s="234">
        <v>-9999</v>
      </c>
      <c r="BE305" s="234">
        <v>-9999</v>
      </c>
      <c r="BF305" s="234">
        <v>-9999</v>
      </c>
      <c r="BG305" s="234">
        <v>-9999</v>
      </c>
      <c r="BH305" s="234">
        <v>-9999</v>
      </c>
      <c r="BI305" s="234">
        <v>-9999</v>
      </c>
      <c r="BJ305" s="234">
        <v>-9999</v>
      </c>
      <c r="BK305" s="234">
        <v>-9999</v>
      </c>
      <c r="BL305" s="234">
        <v>-9999</v>
      </c>
      <c r="BM305" s="234">
        <v>-9999</v>
      </c>
      <c r="BN305" s="234">
        <v>-9999</v>
      </c>
      <c r="BO305" s="234">
        <v>-9999</v>
      </c>
      <c r="BP305" s="234">
        <v>-9999</v>
      </c>
      <c r="BQ305" s="234">
        <v>-9999</v>
      </c>
      <c r="BR305" s="234">
        <v>-9999</v>
      </c>
      <c r="BS305" s="491">
        <v>-9999</v>
      </c>
      <c r="BT305" s="234">
        <v>-9999</v>
      </c>
      <c r="BU305" s="234">
        <v>-9999</v>
      </c>
      <c r="BV305" s="234">
        <v>-9999</v>
      </c>
      <c r="BW305" s="234"/>
      <c r="BX305" s="234">
        <v>-9999</v>
      </c>
      <c r="BY305" s="234">
        <v>-9999</v>
      </c>
      <c r="BZ305" s="496">
        <v>-9999</v>
      </c>
      <c r="CA305" s="496">
        <v>-9999</v>
      </c>
      <c r="CB305" s="499"/>
      <c r="CC305" s="58">
        <v>1</v>
      </c>
      <c r="CD305" s="57">
        <v>4</v>
      </c>
      <c r="CE305" s="292">
        <v>6.15</v>
      </c>
      <c r="CF305" s="292">
        <v>2</v>
      </c>
      <c r="CG305" s="57">
        <v>4</v>
      </c>
    </row>
    <row r="306" spans="1:86" s="23" customFormat="1" x14ac:dyDescent="0.2">
      <c r="A306" s="234"/>
      <c r="B306" s="234"/>
      <c r="C306" s="234"/>
      <c r="D306" s="234"/>
      <c r="E306" s="493"/>
      <c r="F306" s="493"/>
      <c r="G306" s="234"/>
      <c r="H306" s="234"/>
      <c r="I306" s="234"/>
      <c r="J306" s="234"/>
      <c r="K306" s="234"/>
      <c r="L306" s="234"/>
      <c r="M306" s="389"/>
      <c r="N306" s="389"/>
      <c r="O306" s="29"/>
      <c r="P306" s="389"/>
      <c r="Q306" s="234"/>
      <c r="R306" s="389"/>
      <c r="S306" s="234"/>
      <c r="T306" s="237"/>
      <c r="U306" s="234"/>
      <c r="V306" s="234"/>
      <c r="W306" s="237"/>
      <c r="X306" s="389"/>
      <c r="Y306" s="389"/>
      <c r="Z306" s="234"/>
      <c r="AA306" s="520"/>
      <c r="AB306" s="389"/>
      <c r="AC306" s="234"/>
      <c r="AD306" s="234"/>
      <c r="AE306" s="234"/>
      <c r="AF306" s="234"/>
      <c r="AG306" s="234"/>
      <c r="AH306" s="234"/>
      <c r="AI306" s="234"/>
      <c r="AJ306" s="234"/>
      <c r="AK306" s="234"/>
      <c r="AL306" s="234"/>
      <c r="AM306" s="234"/>
      <c r="AN306" s="234"/>
      <c r="AO306" s="234"/>
      <c r="AP306" s="234"/>
      <c r="AQ306" s="234"/>
      <c r="AR306" s="234"/>
      <c r="AS306" s="234"/>
      <c r="AT306" s="234"/>
      <c r="AU306" s="234"/>
      <c r="AV306" s="234"/>
      <c r="AW306" s="234"/>
      <c r="AX306" s="234"/>
      <c r="AY306" s="234"/>
      <c r="AZ306" s="234"/>
      <c r="BA306" s="234"/>
      <c r="BB306" s="234"/>
      <c r="BC306" s="234"/>
      <c r="BD306" s="234"/>
      <c r="BE306" s="234"/>
      <c r="BF306" s="234"/>
      <c r="BG306" s="234"/>
      <c r="BH306" s="234"/>
      <c r="BI306" s="234"/>
      <c r="BJ306" s="234"/>
      <c r="BK306" s="234"/>
      <c r="BL306" s="234"/>
      <c r="BM306" s="234"/>
      <c r="BN306" s="234"/>
      <c r="BO306" s="234"/>
      <c r="BP306" s="234"/>
      <c r="BQ306" s="234"/>
      <c r="BR306" s="234"/>
      <c r="BS306" s="491"/>
      <c r="BT306" s="234"/>
      <c r="BU306" s="234"/>
      <c r="BV306" s="234"/>
      <c r="BW306" s="234"/>
      <c r="BX306" s="234"/>
      <c r="BY306" s="234"/>
      <c r="BZ306" s="496"/>
      <c r="CA306" s="496"/>
      <c r="CB306" s="499"/>
      <c r="CC306" s="58"/>
      <c r="CD306" s="57"/>
      <c r="CE306" s="342" t="s">
        <v>1576</v>
      </c>
      <c r="CF306" s="342" t="s">
        <v>1575</v>
      </c>
      <c r="CG306" s="57"/>
    </row>
    <row r="307" spans="1:86" s="23" customFormat="1" x14ac:dyDescent="0.2">
      <c r="A307" s="234" t="s">
        <v>771</v>
      </c>
      <c r="B307" s="234" t="s">
        <v>42</v>
      </c>
      <c r="C307" s="234" t="s">
        <v>509</v>
      </c>
      <c r="D307" s="234" t="s">
        <v>619</v>
      </c>
      <c r="E307" s="493" t="s">
        <v>1518</v>
      </c>
      <c r="F307" s="493">
        <v>1</v>
      </c>
      <c r="G307" s="234">
        <v>1</v>
      </c>
      <c r="H307" s="234">
        <v>1</v>
      </c>
      <c r="I307" s="234" t="s">
        <v>954</v>
      </c>
      <c r="J307" s="234">
        <v>1970</v>
      </c>
      <c r="K307" s="234" t="s">
        <v>957</v>
      </c>
      <c r="L307" s="234">
        <v>1970</v>
      </c>
      <c r="M307" s="389">
        <v>-9999</v>
      </c>
      <c r="N307" s="389">
        <v>-9999</v>
      </c>
      <c r="O307" s="29"/>
      <c r="P307" s="389">
        <v>0.6</v>
      </c>
      <c r="Q307" s="234">
        <v>-9999</v>
      </c>
      <c r="R307" s="389"/>
      <c r="S307" s="234"/>
      <c r="T307" s="237">
        <f>+P307/G307</f>
        <v>0.6</v>
      </c>
      <c r="U307" s="234">
        <v>-9999</v>
      </c>
      <c r="V307" s="234"/>
      <c r="W307" s="237">
        <v>0.6</v>
      </c>
      <c r="X307" s="389"/>
      <c r="Y307" s="389"/>
      <c r="Z307" s="234" t="s">
        <v>43</v>
      </c>
      <c r="AA307" s="520">
        <v>54825</v>
      </c>
      <c r="AB307" s="389">
        <v>0.89</v>
      </c>
      <c r="AC307" s="234">
        <v>-9999</v>
      </c>
      <c r="AD307" s="234">
        <v>-9999</v>
      </c>
      <c r="AE307" s="234" t="s">
        <v>523</v>
      </c>
      <c r="AF307" s="234">
        <v>3</v>
      </c>
      <c r="AG307" s="234" t="s">
        <v>774</v>
      </c>
      <c r="AH307" s="234" t="s">
        <v>623</v>
      </c>
      <c r="AI307" s="234">
        <v>-9999</v>
      </c>
      <c r="AJ307" s="234">
        <v>-9999</v>
      </c>
      <c r="AK307" s="234" t="s">
        <v>626</v>
      </c>
      <c r="AL307" s="234" t="s">
        <v>653</v>
      </c>
      <c r="AM307" s="234">
        <v>-9999</v>
      </c>
      <c r="AN307" s="234" t="s">
        <v>631</v>
      </c>
      <c r="AO307" s="234">
        <v>-9999</v>
      </c>
      <c r="AP307" s="234">
        <v>-9999</v>
      </c>
      <c r="AQ307" s="234" t="s">
        <v>631</v>
      </c>
      <c r="AR307" s="234">
        <v>0</v>
      </c>
      <c r="AS307" s="234">
        <v>-9999</v>
      </c>
      <c r="AT307" s="234">
        <v>-9999</v>
      </c>
      <c r="AU307" s="234">
        <v>0</v>
      </c>
      <c r="AV307" s="234">
        <v>-9999</v>
      </c>
      <c r="AW307" s="234">
        <v>-9999</v>
      </c>
      <c r="AX307" s="234">
        <v>0</v>
      </c>
      <c r="AY307" s="234">
        <v>-9999</v>
      </c>
      <c r="AZ307" s="234">
        <v>-9999</v>
      </c>
      <c r="BA307" s="234" t="s">
        <v>775</v>
      </c>
      <c r="BB307" s="234" t="s">
        <v>631</v>
      </c>
      <c r="BC307" s="234">
        <v>-9999</v>
      </c>
      <c r="BD307" s="234">
        <v>-9999</v>
      </c>
      <c r="BE307" s="234">
        <v>-9999</v>
      </c>
      <c r="BF307" s="234">
        <v>-9999</v>
      </c>
      <c r="BG307" s="234">
        <v>-9999</v>
      </c>
      <c r="BH307" s="234">
        <v>-9999</v>
      </c>
      <c r="BI307" s="234">
        <v>-9999</v>
      </c>
      <c r="BJ307" s="234">
        <v>-9999</v>
      </c>
      <c r="BK307" s="234">
        <v>-9999</v>
      </c>
      <c r="BL307" s="234">
        <v>-9999</v>
      </c>
      <c r="BM307" s="234">
        <v>-9999</v>
      </c>
      <c r="BN307" s="234">
        <v>-9999</v>
      </c>
      <c r="BO307" s="234">
        <v>-9999</v>
      </c>
      <c r="BP307" s="234">
        <v>-9999</v>
      </c>
      <c r="BQ307" s="234">
        <v>-9999</v>
      </c>
      <c r="BR307" s="234">
        <v>-9999</v>
      </c>
      <c r="BS307" s="491">
        <v>-9999</v>
      </c>
      <c r="BT307" s="234">
        <v>-9999</v>
      </c>
      <c r="BU307" s="234">
        <v>-9999</v>
      </c>
      <c r="BV307" s="234">
        <v>-9999</v>
      </c>
      <c r="BW307" s="234"/>
      <c r="BX307" s="234">
        <v>-9999</v>
      </c>
      <c r="BY307" s="234">
        <v>-9999</v>
      </c>
      <c r="BZ307" s="496">
        <v>-9999</v>
      </c>
      <c r="CA307" s="496">
        <v>-9999</v>
      </c>
      <c r="CB307" s="499"/>
      <c r="CC307" s="58">
        <v>1</v>
      </c>
      <c r="CD307" s="57">
        <v>1</v>
      </c>
      <c r="CE307" s="292">
        <v>0.6</v>
      </c>
      <c r="CF307" s="292">
        <v>0.6</v>
      </c>
      <c r="CG307" s="57">
        <v>1</v>
      </c>
    </row>
    <row r="308" spans="1:86" s="23" customFormat="1" x14ac:dyDescent="0.2">
      <c r="A308" s="234" t="s">
        <v>771</v>
      </c>
      <c r="B308" s="234" t="s">
        <v>42</v>
      </c>
      <c r="C308" s="234" t="s">
        <v>509</v>
      </c>
      <c r="D308" s="234" t="s">
        <v>619</v>
      </c>
      <c r="E308" s="493" t="s">
        <v>1518</v>
      </c>
      <c r="F308" s="493">
        <v>1</v>
      </c>
      <c r="G308" s="234">
        <v>2</v>
      </c>
      <c r="H308" s="234">
        <v>2</v>
      </c>
      <c r="I308" s="234" t="s">
        <v>954</v>
      </c>
      <c r="J308" s="234">
        <v>1970</v>
      </c>
      <c r="K308" s="234" t="s">
        <v>957</v>
      </c>
      <c r="L308" s="234">
        <v>1972</v>
      </c>
      <c r="M308" s="389">
        <v>-9999</v>
      </c>
      <c r="N308" s="389">
        <v>-9999</v>
      </c>
      <c r="O308" s="29"/>
      <c r="P308" s="389">
        <v>7.6</v>
      </c>
      <c r="Q308" s="234">
        <v>-9999</v>
      </c>
      <c r="R308" s="389"/>
      <c r="S308" s="234"/>
      <c r="T308" s="237">
        <f>+P308/G308</f>
        <v>3.8</v>
      </c>
      <c r="U308" s="234">
        <v>-9999</v>
      </c>
      <c r="V308" s="234"/>
      <c r="W308" s="237">
        <f>P308-P307</f>
        <v>7</v>
      </c>
      <c r="X308" s="389"/>
      <c r="Y308" s="389"/>
      <c r="Z308" s="234" t="s">
        <v>43</v>
      </c>
      <c r="AA308" s="520">
        <v>54825</v>
      </c>
      <c r="AB308" s="389">
        <v>0.87</v>
      </c>
      <c r="AC308" s="234">
        <v>-9999</v>
      </c>
      <c r="AD308" s="234">
        <v>-9999</v>
      </c>
      <c r="AE308" s="234" t="s">
        <v>523</v>
      </c>
      <c r="AF308" s="234">
        <v>3</v>
      </c>
      <c r="AG308" s="234" t="s">
        <v>774</v>
      </c>
      <c r="AH308" s="234" t="s">
        <v>623</v>
      </c>
      <c r="AI308" s="234">
        <v>-9999</v>
      </c>
      <c r="AJ308" s="234">
        <v>-9999</v>
      </c>
      <c r="AK308" s="234" t="s">
        <v>626</v>
      </c>
      <c r="AL308" s="234" t="s">
        <v>653</v>
      </c>
      <c r="AM308" s="234">
        <v>-9999</v>
      </c>
      <c r="AN308" s="234" t="s">
        <v>631</v>
      </c>
      <c r="AO308" s="234">
        <v>-9999</v>
      </c>
      <c r="AP308" s="234">
        <v>-9999</v>
      </c>
      <c r="AQ308" s="234" t="s">
        <v>631</v>
      </c>
      <c r="AR308" s="234">
        <v>0</v>
      </c>
      <c r="AS308" s="234">
        <v>-9999</v>
      </c>
      <c r="AT308" s="234">
        <v>-9999</v>
      </c>
      <c r="AU308" s="234">
        <v>0</v>
      </c>
      <c r="AV308" s="234">
        <v>-9999</v>
      </c>
      <c r="AW308" s="234">
        <v>-9999</v>
      </c>
      <c r="AX308" s="234">
        <v>0</v>
      </c>
      <c r="AY308" s="234">
        <v>-9999</v>
      </c>
      <c r="AZ308" s="234">
        <v>-9999</v>
      </c>
      <c r="BA308" s="234" t="s">
        <v>775</v>
      </c>
      <c r="BB308" s="234" t="s">
        <v>631</v>
      </c>
      <c r="BC308" s="234">
        <v>-9999</v>
      </c>
      <c r="BD308" s="234">
        <v>-9999</v>
      </c>
      <c r="BE308" s="234">
        <v>-9999</v>
      </c>
      <c r="BF308" s="234">
        <v>-9999</v>
      </c>
      <c r="BG308" s="234">
        <v>-9999</v>
      </c>
      <c r="BH308" s="234">
        <v>-9999</v>
      </c>
      <c r="BI308" s="234">
        <v>-9999</v>
      </c>
      <c r="BJ308" s="234">
        <v>-9999</v>
      </c>
      <c r="BK308" s="234">
        <v>-9999</v>
      </c>
      <c r="BL308" s="234">
        <v>-9999</v>
      </c>
      <c r="BM308" s="234">
        <v>-9999</v>
      </c>
      <c r="BN308" s="234">
        <v>-9999</v>
      </c>
      <c r="BO308" s="234">
        <v>-9999</v>
      </c>
      <c r="BP308" s="234">
        <v>-9999</v>
      </c>
      <c r="BQ308" s="234">
        <v>-9999</v>
      </c>
      <c r="BR308" s="234">
        <v>-9999</v>
      </c>
      <c r="BS308" s="491">
        <v>-9999</v>
      </c>
      <c r="BT308" s="234">
        <v>-9999</v>
      </c>
      <c r="BU308" s="234">
        <v>-9999</v>
      </c>
      <c r="BV308" s="234">
        <v>-9999</v>
      </c>
      <c r="BW308" s="234"/>
      <c r="BX308" s="234">
        <v>-9999</v>
      </c>
      <c r="BY308" s="234">
        <v>-9999</v>
      </c>
      <c r="BZ308" s="496">
        <v>-9999</v>
      </c>
      <c r="CA308" s="496">
        <v>-9999</v>
      </c>
      <c r="CB308" s="499"/>
      <c r="CC308" s="58">
        <v>1</v>
      </c>
      <c r="CD308" s="57">
        <v>2</v>
      </c>
      <c r="CE308" s="292">
        <v>3.8</v>
      </c>
      <c r="CF308" s="292">
        <v>7</v>
      </c>
      <c r="CG308" s="57">
        <v>2</v>
      </c>
    </row>
    <row r="309" spans="1:86" s="23" customFormat="1" x14ac:dyDescent="0.2">
      <c r="A309" s="234" t="s">
        <v>771</v>
      </c>
      <c r="B309" s="234" t="s">
        <v>42</v>
      </c>
      <c r="C309" s="234" t="s">
        <v>509</v>
      </c>
      <c r="D309" s="234" t="s">
        <v>619</v>
      </c>
      <c r="E309" s="493" t="s">
        <v>1518</v>
      </c>
      <c r="F309" s="493">
        <v>1</v>
      </c>
      <c r="G309" s="234">
        <v>3</v>
      </c>
      <c r="H309" s="234">
        <v>3</v>
      </c>
      <c r="I309" s="234" t="s">
        <v>954</v>
      </c>
      <c r="J309" s="234">
        <v>1970</v>
      </c>
      <c r="K309" s="234" t="s">
        <v>957</v>
      </c>
      <c r="L309" s="234">
        <v>1973</v>
      </c>
      <c r="M309" s="389">
        <v>-9999</v>
      </c>
      <c r="N309" s="389">
        <v>-9999</v>
      </c>
      <c r="O309" s="29"/>
      <c r="P309" s="389">
        <v>17.2</v>
      </c>
      <c r="Q309" s="234">
        <v>-9999</v>
      </c>
      <c r="R309" s="389"/>
      <c r="S309" s="234"/>
      <c r="T309" s="237">
        <f>+P309/G309</f>
        <v>5.7333333333333334</v>
      </c>
      <c r="U309" s="234">
        <v>-9999</v>
      </c>
      <c r="V309" s="234"/>
      <c r="W309" s="237">
        <f>P309-P308</f>
        <v>9.6</v>
      </c>
      <c r="X309" s="389"/>
      <c r="Y309" s="389"/>
      <c r="Z309" s="234" t="s">
        <v>43</v>
      </c>
      <c r="AA309" s="520">
        <v>54825</v>
      </c>
      <c r="AB309" s="389">
        <v>0.8</v>
      </c>
      <c r="AC309" s="234">
        <v>-9999</v>
      </c>
      <c r="AD309" s="234">
        <v>-9999</v>
      </c>
      <c r="AE309" s="234" t="s">
        <v>523</v>
      </c>
      <c r="AF309" s="234">
        <v>3</v>
      </c>
      <c r="AG309" s="234" t="s">
        <v>774</v>
      </c>
      <c r="AH309" s="234" t="s">
        <v>623</v>
      </c>
      <c r="AI309" s="234">
        <v>-9999</v>
      </c>
      <c r="AJ309" s="234">
        <v>-9999</v>
      </c>
      <c r="AK309" s="234" t="s">
        <v>626</v>
      </c>
      <c r="AL309" s="234" t="s">
        <v>653</v>
      </c>
      <c r="AM309" s="234">
        <v>-9999</v>
      </c>
      <c r="AN309" s="234" t="s">
        <v>631</v>
      </c>
      <c r="AO309" s="234">
        <v>-9999</v>
      </c>
      <c r="AP309" s="234">
        <v>-9999</v>
      </c>
      <c r="AQ309" s="234" t="s">
        <v>631</v>
      </c>
      <c r="AR309" s="234">
        <v>0</v>
      </c>
      <c r="AS309" s="234">
        <v>-9999</v>
      </c>
      <c r="AT309" s="234">
        <v>-9999</v>
      </c>
      <c r="AU309" s="234">
        <v>0</v>
      </c>
      <c r="AV309" s="234">
        <v>-9999</v>
      </c>
      <c r="AW309" s="234">
        <v>-9999</v>
      </c>
      <c r="AX309" s="234">
        <v>0</v>
      </c>
      <c r="AY309" s="234">
        <v>-9999</v>
      </c>
      <c r="AZ309" s="234">
        <v>-9999</v>
      </c>
      <c r="BA309" s="234" t="s">
        <v>775</v>
      </c>
      <c r="BB309" s="234" t="s">
        <v>631</v>
      </c>
      <c r="BC309" s="234">
        <v>-9999</v>
      </c>
      <c r="BD309" s="234">
        <v>-9999</v>
      </c>
      <c r="BE309" s="234">
        <v>-9999</v>
      </c>
      <c r="BF309" s="234">
        <v>-9999</v>
      </c>
      <c r="BG309" s="234">
        <v>-9999</v>
      </c>
      <c r="BH309" s="234">
        <v>-9999</v>
      </c>
      <c r="BI309" s="234">
        <v>-9999</v>
      </c>
      <c r="BJ309" s="234">
        <v>-9999</v>
      </c>
      <c r="BK309" s="234">
        <v>-9999</v>
      </c>
      <c r="BL309" s="234">
        <v>-9999</v>
      </c>
      <c r="BM309" s="234">
        <v>-9999</v>
      </c>
      <c r="BN309" s="234">
        <v>-9999</v>
      </c>
      <c r="BO309" s="234">
        <v>-9999</v>
      </c>
      <c r="BP309" s="234">
        <v>-9999</v>
      </c>
      <c r="BQ309" s="234">
        <v>-9999</v>
      </c>
      <c r="BR309" s="234">
        <v>-9999</v>
      </c>
      <c r="BS309" s="491">
        <v>-9999</v>
      </c>
      <c r="BT309" s="234">
        <v>-9999</v>
      </c>
      <c r="BU309" s="234">
        <v>-9999</v>
      </c>
      <c r="BV309" s="234">
        <v>-9999</v>
      </c>
      <c r="BW309" s="234"/>
      <c r="BX309" s="234">
        <v>-9999</v>
      </c>
      <c r="BY309" s="234">
        <v>-9999</v>
      </c>
      <c r="BZ309" s="496">
        <v>-9999</v>
      </c>
      <c r="CA309" s="496">
        <v>-9999</v>
      </c>
      <c r="CB309" s="499"/>
      <c r="CC309" s="58">
        <v>1</v>
      </c>
      <c r="CD309" s="57">
        <v>3</v>
      </c>
      <c r="CE309" s="292">
        <v>5.7333333333333334</v>
      </c>
      <c r="CF309" s="292">
        <v>9.6</v>
      </c>
      <c r="CG309" s="57">
        <v>3</v>
      </c>
    </row>
    <row r="310" spans="1:86" s="23" customFormat="1" x14ac:dyDescent="0.2">
      <c r="A310" s="234" t="s">
        <v>771</v>
      </c>
      <c r="B310" s="234" t="s">
        <v>42</v>
      </c>
      <c r="C310" s="234" t="s">
        <v>509</v>
      </c>
      <c r="D310" s="234" t="s">
        <v>619</v>
      </c>
      <c r="E310" s="493" t="s">
        <v>1518</v>
      </c>
      <c r="F310" s="493">
        <v>1</v>
      </c>
      <c r="G310" s="234">
        <v>4</v>
      </c>
      <c r="H310" s="234">
        <v>4</v>
      </c>
      <c r="I310" s="234" t="s">
        <v>954</v>
      </c>
      <c r="J310" s="234">
        <v>1970</v>
      </c>
      <c r="K310" s="234" t="s">
        <v>957</v>
      </c>
      <c r="L310" s="234">
        <v>1974</v>
      </c>
      <c r="M310" s="389">
        <v>-9999</v>
      </c>
      <c r="N310" s="389">
        <v>-9999</v>
      </c>
      <c r="O310" s="29"/>
      <c r="P310" s="389">
        <v>23.1</v>
      </c>
      <c r="Q310" s="234">
        <v>-9999</v>
      </c>
      <c r="R310" s="389"/>
      <c r="S310" s="234"/>
      <c r="T310" s="237">
        <f>+P310/G310</f>
        <v>5.7750000000000004</v>
      </c>
      <c r="U310" s="234">
        <v>-9999</v>
      </c>
      <c r="V310" s="234"/>
      <c r="W310" s="237">
        <f>P310-P309</f>
        <v>5.9000000000000021</v>
      </c>
      <c r="X310" s="389"/>
      <c r="Y310" s="389"/>
      <c r="Z310" s="234" t="s">
        <v>43</v>
      </c>
      <c r="AA310" s="520">
        <v>54825</v>
      </c>
      <c r="AB310" s="389">
        <v>0.71</v>
      </c>
      <c r="AC310" s="234">
        <v>-9999</v>
      </c>
      <c r="AD310" s="234">
        <v>-9999</v>
      </c>
      <c r="AE310" s="234" t="s">
        <v>523</v>
      </c>
      <c r="AF310" s="234">
        <v>3</v>
      </c>
      <c r="AG310" s="234" t="s">
        <v>774</v>
      </c>
      <c r="AH310" s="234" t="s">
        <v>623</v>
      </c>
      <c r="AI310" s="234">
        <v>-9999</v>
      </c>
      <c r="AJ310" s="234">
        <v>-9999</v>
      </c>
      <c r="AK310" s="234" t="s">
        <v>626</v>
      </c>
      <c r="AL310" s="234" t="s">
        <v>653</v>
      </c>
      <c r="AM310" s="234">
        <v>-9999</v>
      </c>
      <c r="AN310" s="234" t="s">
        <v>631</v>
      </c>
      <c r="AO310" s="234">
        <v>-9999</v>
      </c>
      <c r="AP310" s="234">
        <v>-9999</v>
      </c>
      <c r="AQ310" s="234" t="s">
        <v>631</v>
      </c>
      <c r="AR310" s="234">
        <v>0</v>
      </c>
      <c r="AS310" s="234">
        <v>-9999</v>
      </c>
      <c r="AT310" s="234">
        <v>-9999</v>
      </c>
      <c r="AU310" s="234">
        <v>0</v>
      </c>
      <c r="AV310" s="234">
        <v>-9999</v>
      </c>
      <c r="AW310" s="234">
        <v>-9999</v>
      </c>
      <c r="AX310" s="234">
        <v>0</v>
      </c>
      <c r="AY310" s="234">
        <v>-9999</v>
      </c>
      <c r="AZ310" s="234">
        <v>-9999</v>
      </c>
      <c r="BA310" s="234" t="s">
        <v>775</v>
      </c>
      <c r="BB310" s="234" t="s">
        <v>631</v>
      </c>
      <c r="BC310" s="234">
        <v>-9999</v>
      </c>
      <c r="BD310" s="234">
        <v>-9999</v>
      </c>
      <c r="BE310" s="234">
        <v>-9999</v>
      </c>
      <c r="BF310" s="234">
        <v>-9999</v>
      </c>
      <c r="BG310" s="234">
        <v>-9999</v>
      </c>
      <c r="BH310" s="234">
        <v>-9999</v>
      </c>
      <c r="BI310" s="234">
        <v>-9999</v>
      </c>
      <c r="BJ310" s="234">
        <v>-9999</v>
      </c>
      <c r="BK310" s="234">
        <v>-9999</v>
      </c>
      <c r="BL310" s="234">
        <v>-9999</v>
      </c>
      <c r="BM310" s="234">
        <v>-9999</v>
      </c>
      <c r="BN310" s="234">
        <v>-9999</v>
      </c>
      <c r="BO310" s="234">
        <v>-9999</v>
      </c>
      <c r="BP310" s="234">
        <v>-9999</v>
      </c>
      <c r="BQ310" s="234">
        <v>-9999</v>
      </c>
      <c r="BR310" s="234">
        <v>-9999</v>
      </c>
      <c r="BS310" s="491">
        <v>-9999</v>
      </c>
      <c r="BT310" s="234">
        <v>-9999</v>
      </c>
      <c r="BU310" s="234">
        <v>-9999</v>
      </c>
      <c r="BV310" s="234">
        <v>-9999</v>
      </c>
      <c r="BW310" s="234"/>
      <c r="BX310" s="234">
        <v>-9999</v>
      </c>
      <c r="BY310" s="234">
        <v>-9999</v>
      </c>
      <c r="BZ310" s="496">
        <v>-9999</v>
      </c>
      <c r="CA310" s="496">
        <v>-9999</v>
      </c>
      <c r="CB310" s="499"/>
      <c r="CC310" s="58">
        <v>1</v>
      </c>
      <c r="CD310" s="57">
        <v>4</v>
      </c>
      <c r="CE310" s="394">
        <v>5.7750000000000004</v>
      </c>
      <c r="CF310" s="292">
        <v>5.9000000000000021</v>
      </c>
      <c r="CG310" s="57">
        <v>4</v>
      </c>
      <c r="CH310" s="477"/>
    </row>
    <row r="311" spans="1:86" s="23" customFormat="1" x14ac:dyDescent="0.2">
      <c r="A311" s="234"/>
      <c r="B311" s="234"/>
      <c r="C311" s="234"/>
      <c r="D311" s="234"/>
      <c r="E311" s="493"/>
      <c r="F311" s="493"/>
      <c r="G311" s="234"/>
      <c r="H311" s="234"/>
      <c r="I311" s="234"/>
      <c r="J311" s="234"/>
      <c r="K311" s="234"/>
      <c r="L311" s="234"/>
      <c r="M311" s="389"/>
      <c r="N311" s="389"/>
      <c r="O311" s="29"/>
      <c r="P311" s="389"/>
      <c r="Q311" s="234"/>
      <c r="R311" s="389"/>
      <c r="S311" s="234"/>
      <c r="T311" s="237"/>
      <c r="U311" s="234"/>
      <c r="V311" s="234"/>
      <c r="W311" s="237"/>
      <c r="X311" s="389"/>
      <c r="Y311" s="389"/>
      <c r="Z311" s="234"/>
      <c r="AA311" s="520"/>
      <c r="AB311" s="389"/>
      <c r="AC311" s="234"/>
      <c r="AD311" s="234"/>
      <c r="AE311" s="234"/>
      <c r="AF311" s="234"/>
      <c r="AG311" s="234"/>
      <c r="AH311" s="234"/>
      <c r="AI311" s="234"/>
      <c r="AJ311" s="234"/>
      <c r="AK311" s="234"/>
      <c r="AL311" s="234"/>
      <c r="AM311" s="234"/>
      <c r="AN311" s="234"/>
      <c r="AO311" s="234"/>
      <c r="AP311" s="234"/>
      <c r="AQ311" s="234"/>
      <c r="AR311" s="234"/>
      <c r="AS311" s="234"/>
      <c r="AT311" s="234"/>
      <c r="AU311" s="234"/>
      <c r="AV311" s="234"/>
      <c r="AW311" s="234"/>
      <c r="AX311" s="234"/>
      <c r="AY311" s="234"/>
      <c r="AZ311" s="234"/>
      <c r="BA311" s="234"/>
      <c r="BB311" s="234"/>
      <c r="BC311" s="234"/>
      <c r="BD311" s="234"/>
      <c r="BE311" s="234"/>
      <c r="BF311" s="234"/>
      <c r="BG311" s="234"/>
      <c r="BH311" s="234"/>
      <c r="BI311" s="234"/>
      <c r="BJ311" s="234"/>
      <c r="BK311" s="234"/>
      <c r="BL311" s="234"/>
      <c r="BM311" s="234"/>
      <c r="BN311" s="234"/>
      <c r="BO311" s="234"/>
      <c r="BP311" s="234"/>
      <c r="BQ311" s="234"/>
      <c r="BR311" s="234"/>
      <c r="BS311" s="491"/>
      <c r="BT311" s="234"/>
      <c r="BU311" s="234"/>
      <c r="BV311" s="234"/>
      <c r="BW311" s="234"/>
      <c r="BX311" s="234"/>
      <c r="BY311" s="234"/>
      <c r="BZ311" s="496"/>
      <c r="CA311" s="496"/>
      <c r="CB311" s="499"/>
      <c r="CC311" s="58"/>
      <c r="CD311" s="57"/>
      <c r="CE311" s="342" t="s">
        <v>1576</v>
      </c>
      <c r="CF311" s="342" t="s">
        <v>1575</v>
      </c>
      <c r="CG311" s="57"/>
    </row>
    <row r="312" spans="1:86" s="23" customFormat="1" x14ac:dyDescent="0.2">
      <c r="A312" s="234" t="s">
        <v>771</v>
      </c>
      <c r="B312" s="234" t="s">
        <v>42</v>
      </c>
      <c r="C312" s="234" t="s">
        <v>510</v>
      </c>
      <c r="D312" s="234" t="s">
        <v>619</v>
      </c>
      <c r="E312" s="493" t="s">
        <v>1518</v>
      </c>
      <c r="F312" s="493">
        <v>1</v>
      </c>
      <c r="G312" s="234">
        <v>1</v>
      </c>
      <c r="H312" s="234">
        <v>1</v>
      </c>
      <c r="I312" s="234" t="s">
        <v>954</v>
      </c>
      <c r="J312" s="234">
        <v>1970</v>
      </c>
      <c r="K312" s="234" t="s">
        <v>957</v>
      </c>
      <c r="L312" s="234">
        <v>1970</v>
      </c>
      <c r="M312" s="389">
        <v>-9999</v>
      </c>
      <c r="N312" s="389">
        <v>-9999</v>
      </c>
      <c r="O312" s="29"/>
      <c r="P312" s="389">
        <v>0.3</v>
      </c>
      <c r="Q312" s="234">
        <v>-9999</v>
      </c>
      <c r="R312" s="389"/>
      <c r="S312" s="234"/>
      <c r="T312" s="237">
        <f>+P312/G312</f>
        <v>0.3</v>
      </c>
      <c r="U312" s="234">
        <v>-9999</v>
      </c>
      <c r="V312" s="234"/>
      <c r="W312" s="237">
        <v>0.3</v>
      </c>
      <c r="X312" s="389"/>
      <c r="Y312" s="389"/>
      <c r="Z312" s="234" t="s">
        <v>44</v>
      </c>
      <c r="AA312" s="520">
        <v>35562</v>
      </c>
      <c r="AB312" s="389">
        <v>0.94</v>
      </c>
      <c r="AC312" s="234">
        <v>-9999</v>
      </c>
      <c r="AD312" s="234">
        <v>-9999</v>
      </c>
      <c r="AE312" s="234" t="s">
        <v>523</v>
      </c>
      <c r="AF312" s="234">
        <v>3</v>
      </c>
      <c r="AG312" s="234" t="s">
        <v>774</v>
      </c>
      <c r="AH312" s="234" t="s">
        <v>623</v>
      </c>
      <c r="AI312" s="234">
        <v>-9999</v>
      </c>
      <c r="AJ312" s="234">
        <v>-9999</v>
      </c>
      <c r="AK312" s="234" t="s">
        <v>626</v>
      </c>
      <c r="AL312" s="234" t="s">
        <v>653</v>
      </c>
      <c r="AM312" s="234">
        <v>-9999</v>
      </c>
      <c r="AN312" s="234" t="s">
        <v>631</v>
      </c>
      <c r="AO312" s="234">
        <v>-9999</v>
      </c>
      <c r="AP312" s="234">
        <v>-9999</v>
      </c>
      <c r="AQ312" s="234" t="s">
        <v>631</v>
      </c>
      <c r="AR312" s="234">
        <v>0</v>
      </c>
      <c r="AS312" s="234">
        <v>-9999</v>
      </c>
      <c r="AT312" s="234">
        <v>-9999</v>
      </c>
      <c r="AU312" s="234">
        <v>0</v>
      </c>
      <c r="AV312" s="234">
        <v>-9999</v>
      </c>
      <c r="AW312" s="234">
        <v>-9999</v>
      </c>
      <c r="AX312" s="234">
        <v>0</v>
      </c>
      <c r="AY312" s="234">
        <v>-9999</v>
      </c>
      <c r="AZ312" s="234">
        <v>-9999</v>
      </c>
      <c r="BA312" s="234" t="s">
        <v>775</v>
      </c>
      <c r="BB312" s="234" t="s">
        <v>631</v>
      </c>
      <c r="BC312" s="234">
        <v>-9999</v>
      </c>
      <c r="BD312" s="234">
        <v>-9999</v>
      </c>
      <c r="BE312" s="234">
        <v>-9999</v>
      </c>
      <c r="BF312" s="234">
        <v>-9999</v>
      </c>
      <c r="BG312" s="234">
        <v>-9999</v>
      </c>
      <c r="BH312" s="234">
        <v>-9999</v>
      </c>
      <c r="BI312" s="234">
        <v>-9999</v>
      </c>
      <c r="BJ312" s="234">
        <v>-9999</v>
      </c>
      <c r="BK312" s="234">
        <v>-9999</v>
      </c>
      <c r="BL312" s="234">
        <v>-9999</v>
      </c>
      <c r="BM312" s="234">
        <v>-9999</v>
      </c>
      <c r="BN312" s="234">
        <v>-9999</v>
      </c>
      <c r="BO312" s="234">
        <v>-9999</v>
      </c>
      <c r="BP312" s="234">
        <v>-9999</v>
      </c>
      <c r="BQ312" s="234">
        <v>-9999</v>
      </c>
      <c r="BR312" s="234">
        <v>-9999</v>
      </c>
      <c r="BS312" s="491">
        <v>-9999</v>
      </c>
      <c r="BT312" s="234">
        <v>-9999</v>
      </c>
      <c r="BU312" s="234">
        <v>-9999</v>
      </c>
      <c r="BV312" s="234">
        <v>-9999</v>
      </c>
      <c r="BW312" s="234"/>
      <c r="BX312" s="234">
        <v>-9999</v>
      </c>
      <c r="BY312" s="234">
        <v>-9999</v>
      </c>
      <c r="BZ312" s="496">
        <v>-9999</v>
      </c>
      <c r="CA312" s="496">
        <v>-9999</v>
      </c>
      <c r="CB312" s="499"/>
      <c r="CC312" s="58">
        <v>1</v>
      </c>
      <c r="CD312" s="57">
        <v>1</v>
      </c>
      <c r="CE312" s="292">
        <v>0.3</v>
      </c>
      <c r="CF312" s="292">
        <v>0.3</v>
      </c>
      <c r="CG312" s="57">
        <v>1</v>
      </c>
    </row>
    <row r="313" spans="1:86" s="23" customFormat="1" x14ac:dyDescent="0.2">
      <c r="A313" s="234" t="s">
        <v>771</v>
      </c>
      <c r="B313" s="234" t="s">
        <v>42</v>
      </c>
      <c r="C313" s="234" t="s">
        <v>510</v>
      </c>
      <c r="D313" s="234" t="s">
        <v>619</v>
      </c>
      <c r="E313" s="493" t="s">
        <v>1518</v>
      </c>
      <c r="F313" s="493">
        <v>1</v>
      </c>
      <c r="G313" s="234">
        <v>2</v>
      </c>
      <c r="H313" s="234">
        <v>2</v>
      </c>
      <c r="I313" s="234" t="s">
        <v>954</v>
      </c>
      <c r="J313" s="234">
        <v>1970</v>
      </c>
      <c r="K313" s="234" t="s">
        <v>957</v>
      </c>
      <c r="L313" s="234">
        <v>1972</v>
      </c>
      <c r="M313" s="389">
        <v>-9999</v>
      </c>
      <c r="N313" s="389">
        <v>-9999</v>
      </c>
      <c r="O313" s="29"/>
      <c r="P313" s="389">
        <v>5</v>
      </c>
      <c r="Q313" s="234">
        <v>-9999</v>
      </c>
      <c r="R313" s="389"/>
      <c r="S313" s="234"/>
      <c r="T313" s="237">
        <f>+P313/G313</f>
        <v>2.5</v>
      </c>
      <c r="U313" s="234">
        <v>-9999</v>
      </c>
      <c r="V313" s="234"/>
      <c r="W313" s="237">
        <f>P313-P312</f>
        <v>4.7</v>
      </c>
      <c r="X313" s="389"/>
      <c r="Y313" s="389"/>
      <c r="Z313" s="234" t="s">
        <v>44</v>
      </c>
      <c r="AA313" s="520">
        <v>35562</v>
      </c>
      <c r="AB313" s="389">
        <v>0.93</v>
      </c>
      <c r="AC313" s="234">
        <v>-9999</v>
      </c>
      <c r="AD313" s="234">
        <v>-9999</v>
      </c>
      <c r="AE313" s="234" t="s">
        <v>523</v>
      </c>
      <c r="AF313" s="234">
        <v>3</v>
      </c>
      <c r="AG313" s="234" t="s">
        <v>774</v>
      </c>
      <c r="AH313" s="234" t="s">
        <v>623</v>
      </c>
      <c r="AI313" s="234">
        <v>-9999</v>
      </c>
      <c r="AJ313" s="234">
        <v>-9999</v>
      </c>
      <c r="AK313" s="234" t="s">
        <v>626</v>
      </c>
      <c r="AL313" s="234" t="s">
        <v>653</v>
      </c>
      <c r="AM313" s="234">
        <v>-9999</v>
      </c>
      <c r="AN313" s="234" t="s">
        <v>631</v>
      </c>
      <c r="AO313" s="234">
        <v>-9999</v>
      </c>
      <c r="AP313" s="234">
        <v>-9999</v>
      </c>
      <c r="AQ313" s="234" t="s">
        <v>631</v>
      </c>
      <c r="AR313" s="234">
        <v>0</v>
      </c>
      <c r="AS313" s="234">
        <v>-9999</v>
      </c>
      <c r="AT313" s="234">
        <v>-9999</v>
      </c>
      <c r="AU313" s="234">
        <v>0</v>
      </c>
      <c r="AV313" s="234">
        <v>-9999</v>
      </c>
      <c r="AW313" s="234">
        <v>-9999</v>
      </c>
      <c r="AX313" s="234">
        <v>0</v>
      </c>
      <c r="AY313" s="234">
        <v>-9999</v>
      </c>
      <c r="AZ313" s="234">
        <v>-9999</v>
      </c>
      <c r="BA313" s="234" t="s">
        <v>775</v>
      </c>
      <c r="BB313" s="234" t="s">
        <v>631</v>
      </c>
      <c r="BC313" s="234">
        <v>-9999</v>
      </c>
      <c r="BD313" s="234">
        <v>-9999</v>
      </c>
      <c r="BE313" s="234">
        <v>-9999</v>
      </c>
      <c r="BF313" s="234">
        <v>-9999</v>
      </c>
      <c r="BG313" s="234">
        <v>-9999</v>
      </c>
      <c r="BH313" s="234">
        <v>-9999</v>
      </c>
      <c r="BI313" s="234">
        <v>-9999</v>
      </c>
      <c r="BJ313" s="234">
        <v>-9999</v>
      </c>
      <c r="BK313" s="234">
        <v>-9999</v>
      </c>
      <c r="BL313" s="234">
        <v>-9999</v>
      </c>
      <c r="BM313" s="234">
        <v>-9999</v>
      </c>
      <c r="BN313" s="234">
        <v>-9999</v>
      </c>
      <c r="BO313" s="234">
        <v>-9999</v>
      </c>
      <c r="BP313" s="234">
        <v>-9999</v>
      </c>
      <c r="BQ313" s="234">
        <v>-9999</v>
      </c>
      <c r="BR313" s="234">
        <v>-9999</v>
      </c>
      <c r="BS313" s="491">
        <v>-9999</v>
      </c>
      <c r="BT313" s="234">
        <v>-9999</v>
      </c>
      <c r="BU313" s="234">
        <v>-9999</v>
      </c>
      <c r="BV313" s="234">
        <v>-9999</v>
      </c>
      <c r="BW313" s="234"/>
      <c r="BX313" s="234">
        <v>-9999</v>
      </c>
      <c r="BY313" s="234">
        <v>-9999</v>
      </c>
      <c r="BZ313" s="496">
        <v>-9999</v>
      </c>
      <c r="CA313" s="496">
        <v>-9999</v>
      </c>
      <c r="CB313" s="499"/>
      <c r="CC313" s="58">
        <v>1</v>
      </c>
      <c r="CD313" s="57">
        <v>2</v>
      </c>
      <c r="CE313" s="292">
        <v>2.5</v>
      </c>
      <c r="CF313" s="292">
        <v>4.7</v>
      </c>
      <c r="CG313" s="57">
        <v>2</v>
      </c>
    </row>
    <row r="314" spans="1:86" s="23" customFormat="1" x14ac:dyDescent="0.2">
      <c r="A314" s="234" t="s">
        <v>771</v>
      </c>
      <c r="B314" s="234" t="s">
        <v>42</v>
      </c>
      <c r="C314" s="234" t="s">
        <v>510</v>
      </c>
      <c r="D314" s="234" t="s">
        <v>619</v>
      </c>
      <c r="E314" s="493" t="s">
        <v>1518</v>
      </c>
      <c r="F314" s="493">
        <v>1</v>
      </c>
      <c r="G314" s="234">
        <v>3</v>
      </c>
      <c r="H314" s="234">
        <v>3</v>
      </c>
      <c r="I314" s="234" t="s">
        <v>954</v>
      </c>
      <c r="J314" s="234">
        <v>1970</v>
      </c>
      <c r="K314" s="234" t="s">
        <v>957</v>
      </c>
      <c r="L314" s="234">
        <v>1973</v>
      </c>
      <c r="M314" s="389">
        <v>-9999</v>
      </c>
      <c r="N314" s="389">
        <v>-9999</v>
      </c>
      <c r="O314" s="29"/>
      <c r="P314" s="389">
        <v>12.8</v>
      </c>
      <c r="Q314" s="234">
        <v>-9999</v>
      </c>
      <c r="R314" s="389"/>
      <c r="S314" s="234"/>
      <c r="T314" s="237">
        <f>+P314/G314</f>
        <v>4.2666666666666666</v>
      </c>
      <c r="U314" s="234">
        <v>-9999</v>
      </c>
      <c r="V314" s="234"/>
      <c r="W314" s="237">
        <f>P314-P313</f>
        <v>7.8000000000000007</v>
      </c>
      <c r="X314" s="389"/>
      <c r="Y314" s="389"/>
      <c r="Z314" s="234" t="s">
        <v>44</v>
      </c>
      <c r="AA314" s="520">
        <v>35562</v>
      </c>
      <c r="AB314" s="389">
        <v>0.87</v>
      </c>
      <c r="AC314" s="234">
        <v>-9999</v>
      </c>
      <c r="AD314" s="234">
        <v>-9999</v>
      </c>
      <c r="AE314" s="234" t="s">
        <v>523</v>
      </c>
      <c r="AF314" s="234">
        <v>3</v>
      </c>
      <c r="AG314" s="234" t="s">
        <v>774</v>
      </c>
      <c r="AH314" s="234" t="s">
        <v>623</v>
      </c>
      <c r="AI314" s="234">
        <v>-9999</v>
      </c>
      <c r="AJ314" s="234">
        <v>-9999</v>
      </c>
      <c r="AK314" s="234" t="s">
        <v>626</v>
      </c>
      <c r="AL314" s="234" t="s">
        <v>653</v>
      </c>
      <c r="AM314" s="234">
        <v>-9999</v>
      </c>
      <c r="AN314" s="234" t="s">
        <v>631</v>
      </c>
      <c r="AO314" s="234">
        <v>-9999</v>
      </c>
      <c r="AP314" s="234">
        <v>-9999</v>
      </c>
      <c r="AQ314" s="234" t="s">
        <v>631</v>
      </c>
      <c r="AR314" s="234">
        <v>0</v>
      </c>
      <c r="AS314" s="234">
        <v>-9999</v>
      </c>
      <c r="AT314" s="234">
        <v>-9999</v>
      </c>
      <c r="AU314" s="234">
        <v>0</v>
      </c>
      <c r="AV314" s="234">
        <v>-9999</v>
      </c>
      <c r="AW314" s="234">
        <v>-9999</v>
      </c>
      <c r="AX314" s="234">
        <v>0</v>
      </c>
      <c r="AY314" s="234">
        <v>-9999</v>
      </c>
      <c r="AZ314" s="234">
        <v>-9999</v>
      </c>
      <c r="BA314" s="234" t="s">
        <v>775</v>
      </c>
      <c r="BB314" s="234" t="s">
        <v>631</v>
      </c>
      <c r="BC314" s="234">
        <v>-9999</v>
      </c>
      <c r="BD314" s="234">
        <v>-9999</v>
      </c>
      <c r="BE314" s="234">
        <v>-9999</v>
      </c>
      <c r="BF314" s="234">
        <v>-9999</v>
      </c>
      <c r="BG314" s="234">
        <v>-9999</v>
      </c>
      <c r="BH314" s="234">
        <v>-9999</v>
      </c>
      <c r="BI314" s="234">
        <v>-9999</v>
      </c>
      <c r="BJ314" s="234">
        <v>-9999</v>
      </c>
      <c r="BK314" s="234">
        <v>-9999</v>
      </c>
      <c r="BL314" s="234">
        <v>-9999</v>
      </c>
      <c r="BM314" s="234">
        <v>-9999</v>
      </c>
      <c r="BN314" s="234">
        <v>-9999</v>
      </c>
      <c r="BO314" s="234">
        <v>-9999</v>
      </c>
      <c r="BP314" s="234">
        <v>-9999</v>
      </c>
      <c r="BQ314" s="234">
        <v>-9999</v>
      </c>
      <c r="BR314" s="234">
        <v>-9999</v>
      </c>
      <c r="BS314" s="491">
        <v>-9999</v>
      </c>
      <c r="BT314" s="234">
        <v>-9999</v>
      </c>
      <c r="BU314" s="234">
        <v>-9999</v>
      </c>
      <c r="BV314" s="234">
        <v>-9999</v>
      </c>
      <c r="BW314" s="234"/>
      <c r="BX314" s="234">
        <v>-9999</v>
      </c>
      <c r="BY314" s="234">
        <v>-9999</v>
      </c>
      <c r="BZ314" s="496">
        <v>-9999</v>
      </c>
      <c r="CA314" s="496">
        <v>-9999</v>
      </c>
      <c r="CB314" s="499"/>
      <c r="CC314" s="58">
        <v>1</v>
      </c>
      <c r="CD314" s="57">
        <v>3</v>
      </c>
      <c r="CE314" s="292">
        <v>4.2666666666666666</v>
      </c>
      <c r="CF314" s="292">
        <v>7.8000000000000007</v>
      </c>
      <c r="CG314" s="57">
        <v>3</v>
      </c>
    </row>
    <row r="315" spans="1:86" s="23" customFormat="1" x14ac:dyDescent="0.2">
      <c r="A315" s="234" t="s">
        <v>771</v>
      </c>
      <c r="B315" s="234" t="s">
        <v>42</v>
      </c>
      <c r="C315" s="234" t="s">
        <v>510</v>
      </c>
      <c r="D315" s="234" t="s">
        <v>619</v>
      </c>
      <c r="E315" s="493" t="s">
        <v>1518</v>
      </c>
      <c r="F315" s="493">
        <v>1</v>
      </c>
      <c r="G315" s="234">
        <v>4</v>
      </c>
      <c r="H315" s="234">
        <v>4</v>
      </c>
      <c r="I315" s="234" t="s">
        <v>954</v>
      </c>
      <c r="J315" s="234">
        <v>1970</v>
      </c>
      <c r="K315" s="234" t="s">
        <v>957</v>
      </c>
      <c r="L315" s="234">
        <v>1974</v>
      </c>
      <c r="M315" s="389">
        <v>-9999</v>
      </c>
      <c r="N315" s="389">
        <v>-9999</v>
      </c>
      <c r="O315" s="29"/>
      <c r="P315" s="389">
        <v>17.600000000000001</v>
      </c>
      <c r="Q315" s="234">
        <v>-9999</v>
      </c>
      <c r="R315" s="389"/>
      <c r="S315" s="234"/>
      <c r="T315" s="237">
        <f>+P315/G315</f>
        <v>4.4000000000000004</v>
      </c>
      <c r="U315" s="234">
        <v>-9999</v>
      </c>
      <c r="V315" s="234"/>
      <c r="W315" s="237">
        <f>P315-P314</f>
        <v>4.8000000000000007</v>
      </c>
      <c r="X315" s="389"/>
      <c r="Y315" s="389"/>
      <c r="Z315" s="234" t="s">
        <v>44</v>
      </c>
      <c r="AA315" s="520">
        <v>35562</v>
      </c>
      <c r="AB315" s="389">
        <v>0.84</v>
      </c>
      <c r="AC315" s="234">
        <v>-9999</v>
      </c>
      <c r="AD315" s="234">
        <v>-9999</v>
      </c>
      <c r="AE315" s="234" t="s">
        <v>523</v>
      </c>
      <c r="AF315" s="234">
        <v>3</v>
      </c>
      <c r="AG315" s="234" t="s">
        <v>774</v>
      </c>
      <c r="AH315" s="234" t="s">
        <v>623</v>
      </c>
      <c r="AI315" s="234">
        <v>-9999</v>
      </c>
      <c r="AJ315" s="234">
        <v>-9999</v>
      </c>
      <c r="AK315" s="234" t="s">
        <v>626</v>
      </c>
      <c r="AL315" s="234" t="s">
        <v>653</v>
      </c>
      <c r="AM315" s="234">
        <v>-9999</v>
      </c>
      <c r="AN315" s="234" t="s">
        <v>631</v>
      </c>
      <c r="AO315" s="234">
        <v>-9999</v>
      </c>
      <c r="AP315" s="234">
        <v>-9999</v>
      </c>
      <c r="AQ315" s="234" t="s">
        <v>631</v>
      </c>
      <c r="AR315" s="234">
        <v>0</v>
      </c>
      <c r="AS315" s="234">
        <v>-9999</v>
      </c>
      <c r="AT315" s="234">
        <v>-9999</v>
      </c>
      <c r="AU315" s="234">
        <v>0</v>
      </c>
      <c r="AV315" s="234">
        <v>-9999</v>
      </c>
      <c r="AW315" s="234">
        <v>-9999</v>
      </c>
      <c r="AX315" s="234">
        <v>0</v>
      </c>
      <c r="AY315" s="234">
        <v>-9999</v>
      </c>
      <c r="AZ315" s="234">
        <v>-9999</v>
      </c>
      <c r="BA315" s="234" t="s">
        <v>775</v>
      </c>
      <c r="BB315" s="234" t="s">
        <v>631</v>
      </c>
      <c r="BC315" s="234">
        <v>-9999</v>
      </c>
      <c r="BD315" s="234">
        <v>-9999</v>
      </c>
      <c r="BE315" s="234">
        <v>-9999</v>
      </c>
      <c r="BF315" s="234">
        <v>-9999</v>
      </c>
      <c r="BG315" s="234">
        <v>-9999</v>
      </c>
      <c r="BH315" s="234">
        <v>-9999</v>
      </c>
      <c r="BI315" s="234">
        <v>-9999</v>
      </c>
      <c r="BJ315" s="234">
        <v>-9999</v>
      </c>
      <c r="BK315" s="234">
        <v>-9999</v>
      </c>
      <c r="BL315" s="234">
        <v>-9999</v>
      </c>
      <c r="BM315" s="234">
        <v>-9999</v>
      </c>
      <c r="BN315" s="234">
        <v>-9999</v>
      </c>
      <c r="BO315" s="234">
        <v>-9999</v>
      </c>
      <c r="BP315" s="234">
        <v>-9999</v>
      </c>
      <c r="BQ315" s="234">
        <v>-9999</v>
      </c>
      <c r="BR315" s="234">
        <v>-9999</v>
      </c>
      <c r="BS315" s="491">
        <v>-9999</v>
      </c>
      <c r="BT315" s="234">
        <v>-9999</v>
      </c>
      <c r="BU315" s="234">
        <v>-9999</v>
      </c>
      <c r="BV315" s="234">
        <v>-9999</v>
      </c>
      <c r="BW315" s="234"/>
      <c r="BX315" s="234">
        <v>-9999</v>
      </c>
      <c r="BY315" s="234">
        <v>-9999</v>
      </c>
      <c r="BZ315" s="496">
        <v>-9999</v>
      </c>
      <c r="CA315" s="496">
        <v>-9999</v>
      </c>
      <c r="CB315" s="499"/>
      <c r="CC315" s="58">
        <v>1</v>
      </c>
      <c r="CD315" s="57">
        <v>4</v>
      </c>
      <c r="CE315" s="394">
        <v>4.4000000000000004</v>
      </c>
      <c r="CF315" s="292">
        <v>4.8000000000000007</v>
      </c>
      <c r="CG315" s="57">
        <v>4</v>
      </c>
      <c r="CH315" s="477"/>
    </row>
    <row r="316" spans="1:86" s="23" customFormat="1" x14ac:dyDescent="0.2">
      <c r="A316" s="234"/>
      <c r="B316" s="234"/>
      <c r="C316" s="234"/>
      <c r="D316" s="234"/>
      <c r="E316" s="493"/>
      <c r="F316" s="493"/>
      <c r="G316" s="234"/>
      <c r="H316" s="234"/>
      <c r="I316" s="234"/>
      <c r="J316" s="234"/>
      <c r="K316" s="234"/>
      <c r="L316" s="234"/>
      <c r="M316" s="389"/>
      <c r="N316" s="389"/>
      <c r="O316" s="29"/>
      <c r="P316" s="389"/>
      <c r="Q316" s="234"/>
      <c r="R316" s="389"/>
      <c r="S316" s="234"/>
      <c r="T316" s="237"/>
      <c r="U316" s="234"/>
      <c r="V316" s="234"/>
      <c r="W316" s="237"/>
      <c r="X316" s="389"/>
      <c r="Y316" s="389"/>
      <c r="Z316" s="234"/>
      <c r="AA316" s="520"/>
      <c r="AB316" s="389"/>
      <c r="AC316" s="234"/>
      <c r="AD316" s="234"/>
      <c r="AE316" s="234"/>
      <c r="AF316" s="234"/>
      <c r="AG316" s="234"/>
      <c r="AH316" s="234"/>
      <c r="AI316" s="234"/>
      <c r="AJ316" s="234"/>
      <c r="AK316" s="234"/>
      <c r="AL316" s="234"/>
      <c r="AM316" s="234"/>
      <c r="AN316" s="234"/>
      <c r="AO316" s="234"/>
      <c r="AP316" s="234"/>
      <c r="AQ316" s="234"/>
      <c r="AR316" s="234"/>
      <c r="AS316" s="234"/>
      <c r="AT316" s="234"/>
      <c r="AU316" s="234"/>
      <c r="AV316" s="234"/>
      <c r="AW316" s="234"/>
      <c r="AX316" s="234"/>
      <c r="AY316" s="234"/>
      <c r="AZ316" s="234"/>
      <c r="BA316" s="234"/>
      <c r="BB316" s="234"/>
      <c r="BC316" s="234"/>
      <c r="BD316" s="234"/>
      <c r="BE316" s="234"/>
      <c r="BF316" s="234"/>
      <c r="BG316" s="234"/>
      <c r="BH316" s="234"/>
      <c r="BI316" s="234"/>
      <c r="BJ316" s="234"/>
      <c r="BK316" s="234"/>
      <c r="BL316" s="234"/>
      <c r="BM316" s="234"/>
      <c r="BN316" s="234"/>
      <c r="BO316" s="234"/>
      <c r="BP316" s="234"/>
      <c r="BQ316" s="234"/>
      <c r="BR316" s="234"/>
      <c r="BS316" s="491"/>
      <c r="BT316" s="234"/>
      <c r="BU316" s="234"/>
      <c r="BV316" s="234"/>
      <c r="BW316" s="234"/>
      <c r="BX316" s="234"/>
      <c r="BY316" s="234"/>
      <c r="BZ316" s="496"/>
      <c r="CA316" s="496"/>
      <c r="CB316" s="499"/>
      <c r="CC316" s="58"/>
      <c r="CD316" s="57"/>
      <c r="CE316" s="342" t="s">
        <v>1576</v>
      </c>
      <c r="CF316" s="342" t="s">
        <v>1575</v>
      </c>
      <c r="CG316" s="57"/>
    </row>
    <row r="317" spans="1:86" s="23" customFormat="1" x14ac:dyDescent="0.2">
      <c r="A317" s="234" t="s">
        <v>771</v>
      </c>
      <c r="B317" s="234" t="s">
        <v>42</v>
      </c>
      <c r="C317" s="234" t="s">
        <v>511</v>
      </c>
      <c r="D317" s="234" t="s">
        <v>619</v>
      </c>
      <c r="E317" s="493" t="s">
        <v>1518</v>
      </c>
      <c r="F317" s="493">
        <v>1</v>
      </c>
      <c r="G317" s="234">
        <v>1</v>
      </c>
      <c r="H317" s="234">
        <v>1</v>
      </c>
      <c r="I317" s="234" t="s">
        <v>954</v>
      </c>
      <c r="J317" s="234">
        <v>1970</v>
      </c>
      <c r="K317" s="234" t="s">
        <v>957</v>
      </c>
      <c r="L317" s="234">
        <v>1970</v>
      </c>
      <c r="M317" s="389">
        <v>-9999</v>
      </c>
      <c r="N317" s="389">
        <v>-9999</v>
      </c>
      <c r="O317" s="29"/>
      <c r="P317" s="389">
        <v>0.3</v>
      </c>
      <c r="Q317" s="234">
        <v>-9999</v>
      </c>
      <c r="R317" s="389"/>
      <c r="S317" s="234"/>
      <c r="T317" s="237">
        <f>+P317/G317</f>
        <v>0.3</v>
      </c>
      <c r="U317" s="234">
        <v>-9999</v>
      </c>
      <c r="V317" s="234"/>
      <c r="W317" s="237">
        <v>0.3</v>
      </c>
      <c r="X317" s="389"/>
      <c r="Y317" s="389"/>
      <c r="Z317" s="234" t="s">
        <v>45</v>
      </c>
      <c r="AA317" s="520">
        <v>26853</v>
      </c>
      <c r="AB317" s="389">
        <v>0.95</v>
      </c>
      <c r="AC317" s="234">
        <v>-9999</v>
      </c>
      <c r="AD317" s="234">
        <v>-9999</v>
      </c>
      <c r="AE317" s="234" t="s">
        <v>523</v>
      </c>
      <c r="AF317" s="234">
        <v>3</v>
      </c>
      <c r="AG317" s="234" t="s">
        <v>774</v>
      </c>
      <c r="AH317" s="234" t="s">
        <v>623</v>
      </c>
      <c r="AI317" s="234">
        <v>-9999</v>
      </c>
      <c r="AJ317" s="234">
        <v>-9999</v>
      </c>
      <c r="AK317" s="234" t="s">
        <v>626</v>
      </c>
      <c r="AL317" s="234" t="s">
        <v>653</v>
      </c>
      <c r="AM317" s="234">
        <v>-9999</v>
      </c>
      <c r="AN317" s="234" t="s">
        <v>631</v>
      </c>
      <c r="AO317" s="234">
        <v>-9999</v>
      </c>
      <c r="AP317" s="234">
        <v>-9999</v>
      </c>
      <c r="AQ317" s="234" t="s">
        <v>631</v>
      </c>
      <c r="AR317" s="234">
        <v>0</v>
      </c>
      <c r="AS317" s="234">
        <v>-9999</v>
      </c>
      <c r="AT317" s="234">
        <v>-9999</v>
      </c>
      <c r="AU317" s="234">
        <v>0</v>
      </c>
      <c r="AV317" s="234">
        <v>-9999</v>
      </c>
      <c r="AW317" s="234">
        <v>-9999</v>
      </c>
      <c r="AX317" s="234">
        <v>0</v>
      </c>
      <c r="AY317" s="234">
        <v>-9999</v>
      </c>
      <c r="AZ317" s="234">
        <v>-9999</v>
      </c>
      <c r="BA317" s="234" t="s">
        <v>775</v>
      </c>
      <c r="BB317" s="234" t="s">
        <v>631</v>
      </c>
      <c r="BC317" s="234">
        <v>-9999</v>
      </c>
      <c r="BD317" s="234">
        <v>-9999</v>
      </c>
      <c r="BE317" s="234">
        <v>-9999</v>
      </c>
      <c r="BF317" s="234">
        <v>-9999</v>
      </c>
      <c r="BG317" s="234">
        <v>-9999</v>
      </c>
      <c r="BH317" s="234">
        <v>-9999</v>
      </c>
      <c r="BI317" s="234">
        <v>-9999</v>
      </c>
      <c r="BJ317" s="234">
        <v>-9999</v>
      </c>
      <c r="BK317" s="234">
        <v>-9999</v>
      </c>
      <c r="BL317" s="234">
        <v>-9999</v>
      </c>
      <c r="BM317" s="234">
        <v>-9999</v>
      </c>
      <c r="BN317" s="234">
        <v>-9999</v>
      </c>
      <c r="BO317" s="234">
        <v>-9999</v>
      </c>
      <c r="BP317" s="234">
        <v>-9999</v>
      </c>
      <c r="BQ317" s="234">
        <v>-9999</v>
      </c>
      <c r="BR317" s="234">
        <v>-9999</v>
      </c>
      <c r="BS317" s="491">
        <v>-9999</v>
      </c>
      <c r="BT317" s="234">
        <v>-9999</v>
      </c>
      <c r="BU317" s="234">
        <v>-9999</v>
      </c>
      <c r="BV317" s="234">
        <v>-9999</v>
      </c>
      <c r="BW317" s="234"/>
      <c r="BX317" s="234">
        <v>-9999</v>
      </c>
      <c r="BY317" s="234">
        <v>-9999</v>
      </c>
      <c r="BZ317" s="496">
        <v>-9999</v>
      </c>
      <c r="CA317" s="496">
        <v>-9999</v>
      </c>
      <c r="CB317" s="499"/>
      <c r="CC317" s="58">
        <v>1</v>
      </c>
      <c r="CD317" s="57">
        <v>1</v>
      </c>
      <c r="CE317" s="292">
        <v>0.3</v>
      </c>
      <c r="CF317" s="292">
        <v>0.3</v>
      </c>
      <c r="CG317" s="57">
        <v>1</v>
      </c>
    </row>
    <row r="318" spans="1:86" s="23" customFormat="1" x14ac:dyDescent="0.2">
      <c r="A318" s="234" t="s">
        <v>771</v>
      </c>
      <c r="B318" s="234" t="s">
        <v>42</v>
      </c>
      <c r="C318" s="234" t="s">
        <v>511</v>
      </c>
      <c r="D318" s="234" t="s">
        <v>619</v>
      </c>
      <c r="E318" s="493" t="s">
        <v>1518</v>
      </c>
      <c r="F318" s="493">
        <v>1</v>
      </c>
      <c r="G318" s="234">
        <v>2</v>
      </c>
      <c r="H318" s="234">
        <v>2</v>
      </c>
      <c r="I318" s="234" t="s">
        <v>954</v>
      </c>
      <c r="J318" s="234">
        <v>1970</v>
      </c>
      <c r="K318" s="234" t="s">
        <v>957</v>
      </c>
      <c r="L318" s="234">
        <v>1972</v>
      </c>
      <c r="M318" s="389">
        <v>-9999</v>
      </c>
      <c r="N318" s="389">
        <v>-9999</v>
      </c>
      <c r="O318" s="29"/>
      <c r="P318" s="389">
        <v>4.7</v>
      </c>
      <c r="Q318" s="234">
        <v>-9999</v>
      </c>
      <c r="R318" s="389"/>
      <c r="S318" s="234"/>
      <c r="T318" s="237">
        <f>+P318/G318</f>
        <v>2.35</v>
      </c>
      <c r="U318" s="234">
        <v>-9999</v>
      </c>
      <c r="V318" s="234"/>
      <c r="W318" s="237">
        <f>P318-P317</f>
        <v>4.4000000000000004</v>
      </c>
      <c r="X318" s="389"/>
      <c r="Y318" s="389"/>
      <c r="Z318" s="234" t="s">
        <v>45</v>
      </c>
      <c r="AA318" s="520">
        <v>26853</v>
      </c>
      <c r="AB318" s="389">
        <v>0.93</v>
      </c>
      <c r="AC318" s="234">
        <v>-9999</v>
      </c>
      <c r="AD318" s="234">
        <v>-9999</v>
      </c>
      <c r="AE318" s="234" t="s">
        <v>523</v>
      </c>
      <c r="AF318" s="234">
        <v>3</v>
      </c>
      <c r="AG318" s="234" t="s">
        <v>774</v>
      </c>
      <c r="AH318" s="234" t="s">
        <v>623</v>
      </c>
      <c r="AI318" s="234">
        <v>-9999</v>
      </c>
      <c r="AJ318" s="234">
        <v>-9999</v>
      </c>
      <c r="AK318" s="234" t="s">
        <v>626</v>
      </c>
      <c r="AL318" s="234" t="s">
        <v>653</v>
      </c>
      <c r="AM318" s="234">
        <v>-9999</v>
      </c>
      <c r="AN318" s="234" t="s">
        <v>631</v>
      </c>
      <c r="AO318" s="234">
        <v>-9999</v>
      </c>
      <c r="AP318" s="234">
        <v>-9999</v>
      </c>
      <c r="AQ318" s="234" t="s">
        <v>631</v>
      </c>
      <c r="AR318" s="234">
        <v>0</v>
      </c>
      <c r="AS318" s="234">
        <v>-9999</v>
      </c>
      <c r="AT318" s="234">
        <v>-9999</v>
      </c>
      <c r="AU318" s="234">
        <v>0</v>
      </c>
      <c r="AV318" s="234">
        <v>-9999</v>
      </c>
      <c r="AW318" s="234">
        <v>-9999</v>
      </c>
      <c r="AX318" s="234">
        <v>0</v>
      </c>
      <c r="AY318" s="234">
        <v>-9999</v>
      </c>
      <c r="AZ318" s="234">
        <v>-9999</v>
      </c>
      <c r="BA318" s="234" t="s">
        <v>775</v>
      </c>
      <c r="BB318" s="234" t="s">
        <v>631</v>
      </c>
      <c r="BC318" s="234">
        <v>-9999</v>
      </c>
      <c r="BD318" s="234">
        <v>-9999</v>
      </c>
      <c r="BE318" s="234">
        <v>-9999</v>
      </c>
      <c r="BF318" s="234">
        <v>-9999</v>
      </c>
      <c r="BG318" s="234">
        <v>-9999</v>
      </c>
      <c r="BH318" s="234">
        <v>-9999</v>
      </c>
      <c r="BI318" s="234">
        <v>-9999</v>
      </c>
      <c r="BJ318" s="234">
        <v>-9999</v>
      </c>
      <c r="BK318" s="234">
        <v>-9999</v>
      </c>
      <c r="BL318" s="234">
        <v>-9999</v>
      </c>
      <c r="BM318" s="234">
        <v>-9999</v>
      </c>
      <c r="BN318" s="234">
        <v>-9999</v>
      </c>
      <c r="BO318" s="234">
        <v>-9999</v>
      </c>
      <c r="BP318" s="234">
        <v>-9999</v>
      </c>
      <c r="BQ318" s="234">
        <v>-9999</v>
      </c>
      <c r="BR318" s="234">
        <v>-9999</v>
      </c>
      <c r="BS318" s="491">
        <v>-9999</v>
      </c>
      <c r="BT318" s="234">
        <v>-9999</v>
      </c>
      <c r="BU318" s="234">
        <v>-9999</v>
      </c>
      <c r="BV318" s="234">
        <v>-9999</v>
      </c>
      <c r="BW318" s="234"/>
      <c r="BX318" s="234">
        <v>-9999</v>
      </c>
      <c r="BY318" s="234">
        <v>-9999</v>
      </c>
      <c r="BZ318" s="496">
        <v>-9999</v>
      </c>
      <c r="CA318" s="496">
        <v>-9999</v>
      </c>
      <c r="CB318" s="499"/>
      <c r="CC318" s="58">
        <v>1</v>
      </c>
      <c r="CD318" s="57">
        <v>2</v>
      </c>
      <c r="CE318" s="292">
        <v>2.35</v>
      </c>
      <c r="CF318" s="292">
        <v>4.4000000000000004</v>
      </c>
      <c r="CG318" s="57">
        <v>2</v>
      </c>
    </row>
    <row r="319" spans="1:86" s="23" customFormat="1" x14ac:dyDescent="0.2">
      <c r="A319" s="234" t="s">
        <v>771</v>
      </c>
      <c r="B319" s="234" t="s">
        <v>42</v>
      </c>
      <c r="C319" s="234" t="s">
        <v>511</v>
      </c>
      <c r="D319" s="234" t="s">
        <v>619</v>
      </c>
      <c r="E319" s="493" t="s">
        <v>1518</v>
      </c>
      <c r="F319" s="493">
        <v>1</v>
      </c>
      <c r="G319" s="234">
        <v>3</v>
      </c>
      <c r="H319" s="234">
        <v>3</v>
      </c>
      <c r="I319" s="234" t="s">
        <v>954</v>
      </c>
      <c r="J319" s="234">
        <v>1970</v>
      </c>
      <c r="K319" s="234" t="s">
        <v>957</v>
      </c>
      <c r="L319" s="234">
        <v>1973</v>
      </c>
      <c r="M319" s="389">
        <v>-9999</v>
      </c>
      <c r="N319" s="389">
        <v>-9999</v>
      </c>
      <c r="O319" s="29"/>
      <c r="P319" s="389">
        <v>13</v>
      </c>
      <c r="Q319" s="234">
        <v>-9999</v>
      </c>
      <c r="R319" s="389"/>
      <c r="S319" s="234"/>
      <c r="T319" s="237">
        <f>+P319/G319</f>
        <v>4.333333333333333</v>
      </c>
      <c r="U319" s="234">
        <v>-9999</v>
      </c>
      <c r="V319" s="234"/>
      <c r="W319" s="237">
        <f>P319-P318</f>
        <v>8.3000000000000007</v>
      </c>
      <c r="X319" s="389"/>
      <c r="Y319" s="389"/>
      <c r="Z319" s="234" t="s">
        <v>45</v>
      </c>
      <c r="AA319" s="520">
        <v>26853</v>
      </c>
      <c r="AB319" s="389">
        <v>0.91</v>
      </c>
      <c r="AC319" s="234">
        <v>-9999</v>
      </c>
      <c r="AD319" s="234">
        <v>-9999</v>
      </c>
      <c r="AE319" s="234" t="s">
        <v>523</v>
      </c>
      <c r="AF319" s="234">
        <v>3</v>
      </c>
      <c r="AG319" s="234" t="s">
        <v>774</v>
      </c>
      <c r="AH319" s="234" t="s">
        <v>623</v>
      </c>
      <c r="AI319" s="234">
        <v>-9999</v>
      </c>
      <c r="AJ319" s="234">
        <v>-9999</v>
      </c>
      <c r="AK319" s="234" t="s">
        <v>626</v>
      </c>
      <c r="AL319" s="234" t="s">
        <v>653</v>
      </c>
      <c r="AM319" s="234">
        <v>-9999</v>
      </c>
      <c r="AN319" s="234" t="s">
        <v>631</v>
      </c>
      <c r="AO319" s="234">
        <v>-9999</v>
      </c>
      <c r="AP319" s="234">
        <v>-9999</v>
      </c>
      <c r="AQ319" s="234" t="s">
        <v>631</v>
      </c>
      <c r="AR319" s="234">
        <v>0</v>
      </c>
      <c r="AS319" s="234">
        <v>-9999</v>
      </c>
      <c r="AT319" s="234">
        <v>-9999</v>
      </c>
      <c r="AU319" s="234">
        <v>0</v>
      </c>
      <c r="AV319" s="234">
        <v>-9999</v>
      </c>
      <c r="AW319" s="234">
        <v>-9999</v>
      </c>
      <c r="AX319" s="234">
        <v>0</v>
      </c>
      <c r="AY319" s="234">
        <v>-9999</v>
      </c>
      <c r="AZ319" s="234">
        <v>-9999</v>
      </c>
      <c r="BA319" s="234" t="s">
        <v>775</v>
      </c>
      <c r="BB319" s="234" t="s">
        <v>631</v>
      </c>
      <c r="BC319" s="234">
        <v>-9999</v>
      </c>
      <c r="BD319" s="234">
        <v>-9999</v>
      </c>
      <c r="BE319" s="234">
        <v>-9999</v>
      </c>
      <c r="BF319" s="234">
        <v>-9999</v>
      </c>
      <c r="BG319" s="234">
        <v>-9999</v>
      </c>
      <c r="BH319" s="234">
        <v>-9999</v>
      </c>
      <c r="BI319" s="234">
        <v>-9999</v>
      </c>
      <c r="BJ319" s="234">
        <v>-9999</v>
      </c>
      <c r="BK319" s="234">
        <v>-9999</v>
      </c>
      <c r="BL319" s="234">
        <v>-9999</v>
      </c>
      <c r="BM319" s="234">
        <v>-9999</v>
      </c>
      <c r="BN319" s="234">
        <v>-9999</v>
      </c>
      <c r="BO319" s="234">
        <v>-9999</v>
      </c>
      <c r="BP319" s="234">
        <v>-9999</v>
      </c>
      <c r="BQ319" s="234">
        <v>-9999</v>
      </c>
      <c r="BR319" s="234">
        <v>-9999</v>
      </c>
      <c r="BS319" s="491">
        <v>-9999</v>
      </c>
      <c r="BT319" s="234">
        <v>-9999</v>
      </c>
      <c r="BU319" s="234">
        <v>-9999</v>
      </c>
      <c r="BV319" s="234">
        <v>-9999</v>
      </c>
      <c r="BW319" s="234"/>
      <c r="BX319" s="234">
        <v>-9999</v>
      </c>
      <c r="BY319" s="234">
        <v>-9999</v>
      </c>
      <c r="BZ319" s="496">
        <v>-9999</v>
      </c>
      <c r="CA319" s="496">
        <v>-9999</v>
      </c>
      <c r="CB319" s="499"/>
      <c r="CC319" s="58">
        <v>1</v>
      </c>
      <c r="CD319" s="57">
        <v>3</v>
      </c>
      <c r="CE319" s="292">
        <v>4.333333333333333</v>
      </c>
      <c r="CF319" s="292">
        <v>8.3000000000000007</v>
      </c>
      <c r="CG319" s="57">
        <v>3</v>
      </c>
    </row>
    <row r="320" spans="1:86" s="23" customFormat="1" x14ac:dyDescent="0.2">
      <c r="A320" s="234" t="s">
        <v>771</v>
      </c>
      <c r="B320" s="234" t="s">
        <v>42</v>
      </c>
      <c r="C320" s="234" t="s">
        <v>511</v>
      </c>
      <c r="D320" s="234" t="s">
        <v>619</v>
      </c>
      <c r="E320" s="493" t="s">
        <v>1518</v>
      </c>
      <c r="F320" s="493">
        <v>1</v>
      </c>
      <c r="G320" s="234">
        <v>4</v>
      </c>
      <c r="H320" s="234">
        <v>4</v>
      </c>
      <c r="I320" s="234" t="s">
        <v>954</v>
      </c>
      <c r="J320" s="234">
        <v>1970</v>
      </c>
      <c r="K320" s="234" t="s">
        <v>957</v>
      </c>
      <c r="L320" s="234">
        <v>1974</v>
      </c>
      <c r="M320" s="389">
        <v>-9999</v>
      </c>
      <c r="N320" s="389">
        <v>-9999</v>
      </c>
      <c r="O320" s="29"/>
      <c r="P320" s="389">
        <v>16.600000000000001</v>
      </c>
      <c r="Q320" s="234">
        <v>-9999</v>
      </c>
      <c r="R320" s="389"/>
      <c r="S320" s="234"/>
      <c r="T320" s="237">
        <f>+P320/G320</f>
        <v>4.1500000000000004</v>
      </c>
      <c r="U320" s="234">
        <v>-9999</v>
      </c>
      <c r="V320" s="234"/>
      <c r="W320" s="237">
        <f>P320-P319</f>
        <v>3.6000000000000014</v>
      </c>
      <c r="X320" s="389"/>
      <c r="Y320" s="389"/>
      <c r="Z320" s="234" t="s">
        <v>45</v>
      </c>
      <c r="AA320" s="520">
        <v>26853</v>
      </c>
      <c r="AB320" s="389">
        <v>0.82</v>
      </c>
      <c r="AC320" s="234">
        <v>-9999</v>
      </c>
      <c r="AD320" s="234">
        <v>-9999</v>
      </c>
      <c r="AE320" s="234" t="s">
        <v>523</v>
      </c>
      <c r="AF320" s="234">
        <v>3</v>
      </c>
      <c r="AG320" s="234" t="s">
        <v>774</v>
      </c>
      <c r="AH320" s="234" t="s">
        <v>623</v>
      </c>
      <c r="AI320" s="234">
        <v>-9999</v>
      </c>
      <c r="AJ320" s="234">
        <v>-9999</v>
      </c>
      <c r="AK320" s="234" t="s">
        <v>626</v>
      </c>
      <c r="AL320" s="234" t="s">
        <v>653</v>
      </c>
      <c r="AM320" s="234">
        <v>-9999</v>
      </c>
      <c r="AN320" s="234" t="s">
        <v>631</v>
      </c>
      <c r="AO320" s="234">
        <v>-9999</v>
      </c>
      <c r="AP320" s="234">
        <v>-9999</v>
      </c>
      <c r="AQ320" s="234" t="s">
        <v>631</v>
      </c>
      <c r="AR320" s="234">
        <v>0</v>
      </c>
      <c r="AS320" s="234">
        <v>-9999</v>
      </c>
      <c r="AT320" s="234">
        <v>-9999</v>
      </c>
      <c r="AU320" s="234">
        <v>0</v>
      </c>
      <c r="AV320" s="234">
        <v>-9999</v>
      </c>
      <c r="AW320" s="234">
        <v>-9999</v>
      </c>
      <c r="AX320" s="234">
        <v>0</v>
      </c>
      <c r="AY320" s="234">
        <v>-9999</v>
      </c>
      <c r="AZ320" s="234">
        <v>-9999</v>
      </c>
      <c r="BA320" s="234" t="s">
        <v>775</v>
      </c>
      <c r="BB320" s="234" t="s">
        <v>631</v>
      </c>
      <c r="BC320" s="234">
        <v>-9999</v>
      </c>
      <c r="BD320" s="234">
        <v>-9999</v>
      </c>
      <c r="BE320" s="234">
        <v>-9999</v>
      </c>
      <c r="BF320" s="234">
        <v>-9999</v>
      </c>
      <c r="BG320" s="234">
        <v>-9999</v>
      </c>
      <c r="BH320" s="234">
        <v>-9999</v>
      </c>
      <c r="BI320" s="234">
        <v>-9999</v>
      </c>
      <c r="BJ320" s="234">
        <v>-9999</v>
      </c>
      <c r="BK320" s="234">
        <v>-9999</v>
      </c>
      <c r="BL320" s="234">
        <v>-9999</v>
      </c>
      <c r="BM320" s="234">
        <v>-9999</v>
      </c>
      <c r="BN320" s="234">
        <v>-9999</v>
      </c>
      <c r="BO320" s="234">
        <v>-9999</v>
      </c>
      <c r="BP320" s="234">
        <v>-9999</v>
      </c>
      <c r="BQ320" s="234">
        <v>-9999</v>
      </c>
      <c r="BR320" s="234">
        <v>-9999</v>
      </c>
      <c r="BS320" s="491">
        <v>-9999</v>
      </c>
      <c r="BT320" s="234">
        <v>-9999</v>
      </c>
      <c r="BU320" s="234">
        <v>-9999</v>
      </c>
      <c r="BV320" s="234">
        <v>-9999</v>
      </c>
      <c r="BW320" s="234"/>
      <c r="BX320" s="234">
        <v>-9999</v>
      </c>
      <c r="BY320" s="234">
        <v>-9999</v>
      </c>
      <c r="BZ320" s="496">
        <v>-9999</v>
      </c>
      <c r="CA320" s="496">
        <v>-9999</v>
      </c>
      <c r="CB320" s="499"/>
      <c r="CC320" s="58">
        <v>1</v>
      </c>
      <c r="CD320" s="57">
        <v>4</v>
      </c>
      <c r="CE320" s="394">
        <v>4.1500000000000004</v>
      </c>
      <c r="CF320" s="292">
        <v>3.6000000000000014</v>
      </c>
      <c r="CG320" s="57">
        <v>4</v>
      </c>
      <c r="CH320" s="477"/>
    </row>
    <row r="321" spans="1:86" s="23" customFormat="1" x14ac:dyDescent="0.2">
      <c r="A321" s="234"/>
      <c r="B321" s="234"/>
      <c r="C321" s="234"/>
      <c r="D321" s="234"/>
      <c r="E321" s="493"/>
      <c r="F321" s="493"/>
      <c r="G321" s="234"/>
      <c r="H321" s="234"/>
      <c r="I321" s="234"/>
      <c r="J321" s="234"/>
      <c r="K321" s="234"/>
      <c r="L321" s="234"/>
      <c r="M321" s="389"/>
      <c r="N321" s="389"/>
      <c r="O321" s="29"/>
      <c r="P321" s="389"/>
      <c r="Q321" s="234"/>
      <c r="R321" s="389"/>
      <c r="S321" s="234"/>
      <c r="T321" s="237"/>
      <c r="U321" s="234"/>
      <c r="V321" s="234"/>
      <c r="W321" s="237"/>
      <c r="X321" s="389"/>
      <c r="Y321" s="389"/>
      <c r="Z321" s="234"/>
      <c r="AA321" s="520"/>
      <c r="AB321" s="389"/>
      <c r="AC321" s="234"/>
      <c r="AD321" s="234"/>
      <c r="AE321" s="234"/>
      <c r="AF321" s="234"/>
      <c r="AG321" s="234"/>
      <c r="AH321" s="234"/>
      <c r="AI321" s="234"/>
      <c r="AJ321" s="234"/>
      <c r="AK321" s="234"/>
      <c r="AL321" s="234"/>
      <c r="AM321" s="234"/>
      <c r="AN321" s="234"/>
      <c r="AO321" s="234"/>
      <c r="AP321" s="234"/>
      <c r="AQ321" s="234"/>
      <c r="AR321" s="234"/>
      <c r="AS321" s="234"/>
      <c r="AT321" s="234"/>
      <c r="AU321" s="234"/>
      <c r="AV321" s="234"/>
      <c r="AW321" s="234"/>
      <c r="AX321" s="234"/>
      <c r="AY321" s="234"/>
      <c r="AZ321" s="234"/>
      <c r="BA321" s="234"/>
      <c r="BB321" s="234"/>
      <c r="BC321" s="234"/>
      <c r="BD321" s="234"/>
      <c r="BE321" s="234"/>
      <c r="BF321" s="234"/>
      <c r="BG321" s="234"/>
      <c r="BH321" s="234"/>
      <c r="BI321" s="234"/>
      <c r="BJ321" s="234"/>
      <c r="BK321" s="234"/>
      <c r="BL321" s="234"/>
      <c r="BM321" s="234"/>
      <c r="BN321" s="234"/>
      <c r="BO321" s="234"/>
      <c r="BP321" s="234"/>
      <c r="BQ321" s="234"/>
      <c r="BR321" s="234"/>
      <c r="BS321" s="491"/>
      <c r="BT321" s="234"/>
      <c r="BU321" s="234"/>
      <c r="BV321" s="234"/>
      <c r="BW321" s="234"/>
      <c r="BX321" s="234"/>
      <c r="BY321" s="234"/>
      <c r="BZ321" s="496"/>
      <c r="CA321" s="496"/>
      <c r="CB321" s="499"/>
      <c r="CC321" s="58"/>
      <c r="CD321" s="57"/>
      <c r="CE321" s="342" t="s">
        <v>1576</v>
      </c>
      <c r="CF321" s="342" t="s">
        <v>1575</v>
      </c>
      <c r="CG321" s="57"/>
    </row>
    <row r="322" spans="1:86" s="23" customFormat="1" x14ac:dyDescent="0.2">
      <c r="A322" s="234" t="s">
        <v>771</v>
      </c>
      <c r="B322" s="234" t="s">
        <v>42</v>
      </c>
      <c r="C322" s="234" t="s">
        <v>512</v>
      </c>
      <c r="D322" s="234" t="s">
        <v>619</v>
      </c>
      <c r="E322" s="493" t="s">
        <v>1518</v>
      </c>
      <c r="F322" s="493">
        <v>1</v>
      </c>
      <c r="G322" s="234">
        <v>1</v>
      </c>
      <c r="H322" s="234">
        <v>1</v>
      </c>
      <c r="I322" s="234" t="s">
        <v>954</v>
      </c>
      <c r="J322" s="234">
        <v>1970</v>
      </c>
      <c r="K322" s="234" t="s">
        <v>957</v>
      </c>
      <c r="L322" s="234">
        <v>1970</v>
      </c>
      <c r="M322" s="389">
        <v>-9999</v>
      </c>
      <c r="N322" s="389">
        <v>-9999</v>
      </c>
      <c r="O322" s="29"/>
      <c r="P322" s="389">
        <v>0.2</v>
      </c>
      <c r="Q322" s="234">
        <v>-9999</v>
      </c>
      <c r="R322" s="389"/>
      <c r="S322" s="234"/>
      <c r="T322" s="237">
        <f>+P322/G322</f>
        <v>0.2</v>
      </c>
      <c r="U322" s="234">
        <v>-9999</v>
      </c>
      <c r="V322" s="234"/>
      <c r="W322" s="237">
        <v>0.2</v>
      </c>
      <c r="X322" s="389"/>
      <c r="Y322" s="389"/>
      <c r="Z322" s="234" t="s">
        <v>46</v>
      </c>
      <c r="AA322" s="520">
        <v>21570</v>
      </c>
      <c r="AB322" s="389">
        <v>0.98</v>
      </c>
      <c r="AC322" s="234">
        <v>-9999</v>
      </c>
      <c r="AD322" s="234">
        <v>-9999</v>
      </c>
      <c r="AE322" s="234" t="s">
        <v>523</v>
      </c>
      <c r="AF322" s="234">
        <v>3</v>
      </c>
      <c r="AG322" s="234" t="s">
        <v>774</v>
      </c>
      <c r="AH322" s="234" t="s">
        <v>623</v>
      </c>
      <c r="AI322" s="234">
        <v>-9999</v>
      </c>
      <c r="AJ322" s="234">
        <v>-9999</v>
      </c>
      <c r="AK322" s="234" t="s">
        <v>626</v>
      </c>
      <c r="AL322" s="234" t="s">
        <v>653</v>
      </c>
      <c r="AM322" s="234">
        <v>-9999</v>
      </c>
      <c r="AN322" s="234" t="s">
        <v>631</v>
      </c>
      <c r="AO322" s="234">
        <v>-9999</v>
      </c>
      <c r="AP322" s="234">
        <v>-9999</v>
      </c>
      <c r="AQ322" s="234" t="s">
        <v>631</v>
      </c>
      <c r="AR322" s="234">
        <v>0</v>
      </c>
      <c r="AS322" s="234">
        <v>-9999</v>
      </c>
      <c r="AT322" s="234">
        <v>-9999</v>
      </c>
      <c r="AU322" s="234">
        <v>0</v>
      </c>
      <c r="AV322" s="234">
        <v>-9999</v>
      </c>
      <c r="AW322" s="234">
        <v>-9999</v>
      </c>
      <c r="AX322" s="234">
        <v>0</v>
      </c>
      <c r="AY322" s="234">
        <v>-9999</v>
      </c>
      <c r="AZ322" s="234">
        <v>-9999</v>
      </c>
      <c r="BA322" s="234" t="s">
        <v>775</v>
      </c>
      <c r="BB322" s="234" t="s">
        <v>631</v>
      </c>
      <c r="BC322" s="234">
        <v>-9999</v>
      </c>
      <c r="BD322" s="234">
        <v>-9999</v>
      </c>
      <c r="BE322" s="234">
        <v>-9999</v>
      </c>
      <c r="BF322" s="234">
        <v>-9999</v>
      </c>
      <c r="BG322" s="234">
        <v>-9999</v>
      </c>
      <c r="BH322" s="234">
        <v>-9999</v>
      </c>
      <c r="BI322" s="234">
        <v>-9999</v>
      </c>
      <c r="BJ322" s="234">
        <v>-9999</v>
      </c>
      <c r="BK322" s="234">
        <v>-9999</v>
      </c>
      <c r="BL322" s="234">
        <v>-9999</v>
      </c>
      <c r="BM322" s="234">
        <v>-9999</v>
      </c>
      <c r="BN322" s="234">
        <v>-9999</v>
      </c>
      <c r="BO322" s="234">
        <v>-9999</v>
      </c>
      <c r="BP322" s="234">
        <v>-9999</v>
      </c>
      <c r="BQ322" s="234">
        <v>-9999</v>
      </c>
      <c r="BR322" s="234">
        <v>-9999</v>
      </c>
      <c r="BS322" s="491">
        <v>-9999</v>
      </c>
      <c r="BT322" s="234">
        <v>-9999</v>
      </c>
      <c r="BU322" s="234">
        <v>-9999</v>
      </c>
      <c r="BV322" s="234">
        <v>-9999</v>
      </c>
      <c r="BW322" s="234"/>
      <c r="BX322" s="234">
        <v>-9999</v>
      </c>
      <c r="BY322" s="234">
        <v>-9999</v>
      </c>
      <c r="BZ322" s="496">
        <v>-9999</v>
      </c>
      <c r="CA322" s="496">
        <v>-9999</v>
      </c>
      <c r="CB322" s="499"/>
      <c r="CC322" s="58">
        <v>1</v>
      </c>
      <c r="CD322" s="57">
        <v>1</v>
      </c>
      <c r="CE322" s="292">
        <v>0.2</v>
      </c>
      <c r="CF322" s="292">
        <v>0.2</v>
      </c>
      <c r="CG322" s="57">
        <v>1</v>
      </c>
    </row>
    <row r="323" spans="1:86" s="23" customFormat="1" x14ac:dyDescent="0.2">
      <c r="A323" s="234" t="s">
        <v>771</v>
      </c>
      <c r="B323" s="234" t="s">
        <v>42</v>
      </c>
      <c r="C323" s="234" t="s">
        <v>512</v>
      </c>
      <c r="D323" s="234" t="s">
        <v>619</v>
      </c>
      <c r="E323" s="493" t="s">
        <v>1518</v>
      </c>
      <c r="F323" s="493">
        <v>1</v>
      </c>
      <c r="G323" s="234">
        <v>2</v>
      </c>
      <c r="H323" s="234">
        <v>2</v>
      </c>
      <c r="I323" s="234" t="s">
        <v>954</v>
      </c>
      <c r="J323" s="234">
        <v>1970</v>
      </c>
      <c r="K323" s="234" t="s">
        <v>957</v>
      </c>
      <c r="L323" s="234">
        <v>1972</v>
      </c>
      <c r="M323" s="389">
        <v>-9999</v>
      </c>
      <c r="N323" s="389">
        <v>-9999</v>
      </c>
      <c r="O323" s="29"/>
      <c r="P323" s="389">
        <v>3.4</v>
      </c>
      <c r="Q323" s="234">
        <v>-9999</v>
      </c>
      <c r="R323" s="389"/>
      <c r="S323" s="234"/>
      <c r="T323" s="237">
        <f>+P323/G323</f>
        <v>1.7</v>
      </c>
      <c r="U323" s="234">
        <v>-9999</v>
      </c>
      <c r="V323" s="234"/>
      <c r="W323" s="237">
        <f>P323-P322</f>
        <v>3.1999999999999997</v>
      </c>
      <c r="X323" s="389"/>
      <c r="Y323" s="389"/>
      <c r="Z323" s="234" t="s">
        <v>46</v>
      </c>
      <c r="AA323" s="520">
        <v>21570</v>
      </c>
      <c r="AB323" s="389">
        <v>0.95</v>
      </c>
      <c r="AC323" s="234">
        <v>-9999</v>
      </c>
      <c r="AD323" s="234">
        <v>-9999</v>
      </c>
      <c r="AE323" s="234" t="s">
        <v>523</v>
      </c>
      <c r="AF323" s="234">
        <v>3</v>
      </c>
      <c r="AG323" s="234" t="s">
        <v>774</v>
      </c>
      <c r="AH323" s="234" t="s">
        <v>623</v>
      </c>
      <c r="AI323" s="234">
        <v>-9999</v>
      </c>
      <c r="AJ323" s="234">
        <v>-9999</v>
      </c>
      <c r="AK323" s="234" t="s">
        <v>626</v>
      </c>
      <c r="AL323" s="234" t="s">
        <v>653</v>
      </c>
      <c r="AM323" s="234">
        <v>-9999</v>
      </c>
      <c r="AN323" s="234" t="s">
        <v>631</v>
      </c>
      <c r="AO323" s="234">
        <v>-9999</v>
      </c>
      <c r="AP323" s="234">
        <v>-9999</v>
      </c>
      <c r="AQ323" s="234" t="s">
        <v>631</v>
      </c>
      <c r="AR323" s="234">
        <v>0</v>
      </c>
      <c r="AS323" s="234">
        <v>-9999</v>
      </c>
      <c r="AT323" s="234">
        <v>-9999</v>
      </c>
      <c r="AU323" s="234">
        <v>0</v>
      </c>
      <c r="AV323" s="234">
        <v>-9999</v>
      </c>
      <c r="AW323" s="234">
        <v>-9999</v>
      </c>
      <c r="AX323" s="234">
        <v>0</v>
      </c>
      <c r="AY323" s="234">
        <v>-9999</v>
      </c>
      <c r="AZ323" s="234">
        <v>-9999</v>
      </c>
      <c r="BA323" s="234" t="s">
        <v>775</v>
      </c>
      <c r="BB323" s="234" t="s">
        <v>631</v>
      </c>
      <c r="BC323" s="234">
        <v>-9999</v>
      </c>
      <c r="BD323" s="234">
        <v>-9999</v>
      </c>
      <c r="BE323" s="234">
        <v>-9999</v>
      </c>
      <c r="BF323" s="234">
        <v>-9999</v>
      </c>
      <c r="BG323" s="234">
        <v>-9999</v>
      </c>
      <c r="BH323" s="234">
        <v>-9999</v>
      </c>
      <c r="BI323" s="234">
        <v>-9999</v>
      </c>
      <c r="BJ323" s="234">
        <v>-9999</v>
      </c>
      <c r="BK323" s="234">
        <v>-9999</v>
      </c>
      <c r="BL323" s="234">
        <v>-9999</v>
      </c>
      <c r="BM323" s="234">
        <v>-9999</v>
      </c>
      <c r="BN323" s="234">
        <v>-9999</v>
      </c>
      <c r="BO323" s="234">
        <v>-9999</v>
      </c>
      <c r="BP323" s="234">
        <v>-9999</v>
      </c>
      <c r="BQ323" s="234">
        <v>-9999</v>
      </c>
      <c r="BR323" s="234">
        <v>-9999</v>
      </c>
      <c r="BS323" s="491">
        <v>-9999</v>
      </c>
      <c r="BT323" s="234">
        <v>-9999</v>
      </c>
      <c r="BU323" s="234">
        <v>-9999</v>
      </c>
      <c r="BV323" s="234">
        <v>-9999</v>
      </c>
      <c r="BW323" s="234"/>
      <c r="BX323" s="234">
        <v>-9999</v>
      </c>
      <c r="BY323" s="234">
        <v>-9999</v>
      </c>
      <c r="BZ323" s="496">
        <v>-9999</v>
      </c>
      <c r="CA323" s="496">
        <v>-9999</v>
      </c>
      <c r="CB323" s="499"/>
      <c r="CC323" s="58">
        <v>1</v>
      </c>
      <c r="CD323" s="57">
        <v>2</v>
      </c>
      <c r="CE323" s="292">
        <v>1.7</v>
      </c>
      <c r="CF323" s="292">
        <v>3.1999999999999997</v>
      </c>
      <c r="CG323" s="57">
        <v>2</v>
      </c>
    </row>
    <row r="324" spans="1:86" s="23" customFormat="1" x14ac:dyDescent="0.2">
      <c r="A324" s="234" t="s">
        <v>771</v>
      </c>
      <c r="B324" s="234" t="s">
        <v>42</v>
      </c>
      <c r="C324" s="234" t="s">
        <v>512</v>
      </c>
      <c r="D324" s="234" t="s">
        <v>619</v>
      </c>
      <c r="E324" s="493" t="s">
        <v>1518</v>
      </c>
      <c r="F324" s="493">
        <v>1</v>
      </c>
      <c r="G324" s="234">
        <v>3</v>
      </c>
      <c r="H324" s="234">
        <v>3</v>
      </c>
      <c r="I324" s="234" t="s">
        <v>954</v>
      </c>
      <c r="J324" s="234">
        <v>1970</v>
      </c>
      <c r="K324" s="234" t="s">
        <v>957</v>
      </c>
      <c r="L324" s="234">
        <v>1973</v>
      </c>
      <c r="M324" s="389">
        <v>-9999</v>
      </c>
      <c r="N324" s="389">
        <v>-9999</v>
      </c>
      <c r="O324" s="29"/>
      <c r="P324" s="389">
        <v>9.3000000000000007</v>
      </c>
      <c r="Q324" s="234">
        <v>-9999</v>
      </c>
      <c r="R324" s="389"/>
      <c r="S324" s="234"/>
      <c r="T324" s="237">
        <f>+P324/G324</f>
        <v>3.1</v>
      </c>
      <c r="U324" s="234">
        <v>-9999</v>
      </c>
      <c r="V324" s="234"/>
      <c r="W324" s="237">
        <f>P324-P323</f>
        <v>5.9</v>
      </c>
      <c r="X324" s="389"/>
      <c r="Y324" s="389"/>
      <c r="Z324" s="234" t="s">
        <v>46</v>
      </c>
      <c r="AA324" s="520">
        <v>21570</v>
      </c>
      <c r="AB324" s="389">
        <v>0.91</v>
      </c>
      <c r="AC324" s="234">
        <v>-9999</v>
      </c>
      <c r="AD324" s="234">
        <v>-9999</v>
      </c>
      <c r="AE324" s="234" t="s">
        <v>523</v>
      </c>
      <c r="AF324" s="234">
        <v>3</v>
      </c>
      <c r="AG324" s="234" t="s">
        <v>774</v>
      </c>
      <c r="AH324" s="234" t="s">
        <v>623</v>
      </c>
      <c r="AI324" s="234">
        <v>-9999</v>
      </c>
      <c r="AJ324" s="234">
        <v>-9999</v>
      </c>
      <c r="AK324" s="234" t="s">
        <v>626</v>
      </c>
      <c r="AL324" s="234" t="s">
        <v>653</v>
      </c>
      <c r="AM324" s="234">
        <v>-9999</v>
      </c>
      <c r="AN324" s="234" t="s">
        <v>631</v>
      </c>
      <c r="AO324" s="234">
        <v>-9999</v>
      </c>
      <c r="AP324" s="234">
        <v>-9999</v>
      </c>
      <c r="AQ324" s="234" t="s">
        <v>631</v>
      </c>
      <c r="AR324" s="234">
        <v>0</v>
      </c>
      <c r="AS324" s="234">
        <v>-9999</v>
      </c>
      <c r="AT324" s="234">
        <v>-9999</v>
      </c>
      <c r="AU324" s="234">
        <v>0</v>
      </c>
      <c r="AV324" s="234">
        <v>-9999</v>
      </c>
      <c r="AW324" s="234">
        <v>-9999</v>
      </c>
      <c r="AX324" s="234">
        <v>0</v>
      </c>
      <c r="AY324" s="234">
        <v>-9999</v>
      </c>
      <c r="AZ324" s="234">
        <v>-9999</v>
      </c>
      <c r="BA324" s="234" t="s">
        <v>775</v>
      </c>
      <c r="BB324" s="234" t="s">
        <v>631</v>
      </c>
      <c r="BC324" s="234">
        <v>-9999</v>
      </c>
      <c r="BD324" s="234">
        <v>-9999</v>
      </c>
      <c r="BE324" s="234">
        <v>-9999</v>
      </c>
      <c r="BF324" s="234">
        <v>-9999</v>
      </c>
      <c r="BG324" s="234">
        <v>-9999</v>
      </c>
      <c r="BH324" s="234">
        <v>-9999</v>
      </c>
      <c r="BI324" s="234">
        <v>-9999</v>
      </c>
      <c r="BJ324" s="234">
        <v>-9999</v>
      </c>
      <c r="BK324" s="234">
        <v>-9999</v>
      </c>
      <c r="BL324" s="234">
        <v>-9999</v>
      </c>
      <c r="BM324" s="234">
        <v>-9999</v>
      </c>
      <c r="BN324" s="234">
        <v>-9999</v>
      </c>
      <c r="BO324" s="234">
        <v>-9999</v>
      </c>
      <c r="BP324" s="234">
        <v>-9999</v>
      </c>
      <c r="BQ324" s="234">
        <v>-9999</v>
      </c>
      <c r="BR324" s="234">
        <v>-9999</v>
      </c>
      <c r="BS324" s="491">
        <v>-9999</v>
      </c>
      <c r="BT324" s="234">
        <v>-9999</v>
      </c>
      <c r="BU324" s="234">
        <v>-9999</v>
      </c>
      <c r="BV324" s="234">
        <v>-9999</v>
      </c>
      <c r="BW324" s="234"/>
      <c r="BX324" s="234">
        <v>-9999</v>
      </c>
      <c r="BY324" s="234">
        <v>-9999</v>
      </c>
      <c r="BZ324" s="496">
        <v>-9999</v>
      </c>
      <c r="CA324" s="496">
        <v>-9999</v>
      </c>
      <c r="CB324" s="499"/>
      <c r="CC324" s="58">
        <v>1</v>
      </c>
      <c r="CD324" s="57">
        <v>3</v>
      </c>
      <c r="CE324" s="292">
        <v>3.1</v>
      </c>
      <c r="CF324" s="292">
        <v>5.9</v>
      </c>
      <c r="CG324" s="57">
        <v>3</v>
      </c>
    </row>
    <row r="325" spans="1:86" s="23" customFormat="1" x14ac:dyDescent="0.2">
      <c r="A325" s="234" t="s">
        <v>771</v>
      </c>
      <c r="B325" s="234" t="s">
        <v>42</v>
      </c>
      <c r="C325" s="234" t="s">
        <v>512</v>
      </c>
      <c r="D325" s="234" t="s">
        <v>619</v>
      </c>
      <c r="E325" s="493" t="s">
        <v>1518</v>
      </c>
      <c r="F325" s="493">
        <v>1</v>
      </c>
      <c r="G325" s="234">
        <v>4</v>
      </c>
      <c r="H325" s="234">
        <v>4</v>
      </c>
      <c r="I325" s="234" t="s">
        <v>954</v>
      </c>
      <c r="J325" s="234">
        <v>1970</v>
      </c>
      <c r="K325" s="234" t="s">
        <v>957</v>
      </c>
      <c r="L325" s="234">
        <v>1974</v>
      </c>
      <c r="M325" s="389">
        <v>-9999</v>
      </c>
      <c r="N325" s="389">
        <v>-9999</v>
      </c>
      <c r="O325" s="29"/>
      <c r="P325" s="389">
        <v>14.1</v>
      </c>
      <c r="Q325" s="234">
        <v>-9999</v>
      </c>
      <c r="R325" s="389"/>
      <c r="S325" s="234"/>
      <c r="T325" s="237">
        <f>+P325/G325</f>
        <v>3.5249999999999999</v>
      </c>
      <c r="U325" s="234">
        <v>-9999</v>
      </c>
      <c r="V325" s="234"/>
      <c r="W325" s="237">
        <f>P325-P324</f>
        <v>4.7999999999999989</v>
      </c>
      <c r="X325" s="389"/>
      <c r="Y325" s="389"/>
      <c r="Z325" s="234" t="s">
        <v>46</v>
      </c>
      <c r="AA325" s="520">
        <v>21570</v>
      </c>
      <c r="AB325" s="389">
        <v>0.82</v>
      </c>
      <c r="AC325" s="234">
        <v>-9999</v>
      </c>
      <c r="AD325" s="234">
        <v>-9999</v>
      </c>
      <c r="AE325" s="234" t="s">
        <v>523</v>
      </c>
      <c r="AF325" s="234">
        <v>3</v>
      </c>
      <c r="AG325" s="234" t="s">
        <v>774</v>
      </c>
      <c r="AH325" s="234" t="s">
        <v>623</v>
      </c>
      <c r="AI325" s="234">
        <v>-9999</v>
      </c>
      <c r="AJ325" s="234">
        <v>-9999</v>
      </c>
      <c r="AK325" s="234" t="s">
        <v>626</v>
      </c>
      <c r="AL325" s="234" t="s">
        <v>653</v>
      </c>
      <c r="AM325" s="234">
        <v>-9999</v>
      </c>
      <c r="AN325" s="234" t="s">
        <v>631</v>
      </c>
      <c r="AO325" s="234">
        <v>-9999</v>
      </c>
      <c r="AP325" s="234">
        <v>-9999</v>
      </c>
      <c r="AQ325" s="234" t="s">
        <v>631</v>
      </c>
      <c r="AR325" s="234">
        <v>0</v>
      </c>
      <c r="AS325" s="234">
        <v>-9999</v>
      </c>
      <c r="AT325" s="234">
        <v>-9999</v>
      </c>
      <c r="AU325" s="234">
        <v>0</v>
      </c>
      <c r="AV325" s="234">
        <v>-9999</v>
      </c>
      <c r="AW325" s="234">
        <v>-9999</v>
      </c>
      <c r="AX325" s="234">
        <v>0</v>
      </c>
      <c r="AY325" s="234">
        <v>-9999</v>
      </c>
      <c r="AZ325" s="234">
        <v>-9999</v>
      </c>
      <c r="BA325" s="234" t="s">
        <v>775</v>
      </c>
      <c r="BB325" s="234" t="s">
        <v>631</v>
      </c>
      <c r="BC325" s="234">
        <v>-9999</v>
      </c>
      <c r="BD325" s="234">
        <v>-9999</v>
      </c>
      <c r="BE325" s="234">
        <v>-9999</v>
      </c>
      <c r="BF325" s="234">
        <v>-9999</v>
      </c>
      <c r="BG325" s="234">
        <v>-9999</v>
      </c>
      <c r="BH325" s="234">
        <v>-9999</v>
      </c>
      <c r="BI325" s="234">
        <v>-9999</v>
      </c>
      <c r="BJ325" s="234">
        <v>-9999</v>
      </c>
      <c r="BK325" s="234">
        <v>-9999</v>
      </c>
      <c r="BL325" s="234">
        <v>-9999</v>
      </c>
      <c r="BM325" s="234">
        <v>-9999</v>
      </c>
      <c r="BN325" s="234">
        <v>-9999</v>
      </c>
      <c r="BO325" s="234">
        <v>-9999</v>
      </c>
      <c r="BP325" s="234">
        <v>-9999</v>
      </c>
      <c r="BQ325" s="234">
        <v>-9999</v>
      </c>
      <c r="BR325" s="234">
        <v>-9999</v>
      </c>
      <c r="BS325" s="491">
        <v>-9999</v>
      </c>
      <c r="BT325" s="234">
        <v>-9999</v>
      </c>
      <c r="BU325" s="234">
        <v>-9999</v>
      </c>
      <c r="BV325" s="234">
        <v>-9999</v>
      </c>
      <c r="BW325" s="234"/>
      <c r="BX325" s="234">
        <v>-9999</v>
      </c>
      <c r="BY325" s="234">
        <v>-9999</v>
      </c>
      <c r="BZ325" s="496">
        <v>-9999</v>
      </c>
      <c r="CA325" s="496">
        <v>-9999</v>
      </c>
      <c r="CB325" s="499"/>
      <c r="CC325" s="58">
        <v>1</v>
      </c>
      <c r="CD325" s="57">
        <v>4</v>
      </c>
      <c r="CE325" s="401">
        <v>3.5249999999999999</v>
      </c>
      <c r="CF325" s="292">
        <v>4.7999999999999989</v>
      </c>
      <c r="CG325" s="57">
        <v>4</v>
      </c>
      <c r="CH325" s="479"/>
    </row>
    <row r="326" spans="1:86" s="23" customFormat="1" x14ac:dyDescent="0.2">
      <c r="A326" s="234"/>
      <c r="B326" s="234"/>
      <c r="C326" s="234"/>
      <c r="D326" s="234"/>
      <c r="E326" s="493"/>
      <c r="F326" s="493"/>
      <c r="G326" s="234"/>
      <c r="H326" s="234"/>
      <c r="I326" s="234"/>
      <c r="J326" s="234"/>
      <c r="K326" s="234"/>
      <c r="L326" s="234"/>
      <c r="M326" s="389"/>
      <c r="N326" s="389"/>
      <c r="O326" s="29"/>
      <c r="P326" s="389"/>
      <c r="Q326" s="234"/>
      <c r="R326" s="389"/>
      <c r="S326" s="234"/>
      <c r="T326" s="237"/>
      <c r="U326" s="234"/>
      <c r="V326" s="234"/>
      <c r="W326" s="237"/>
      <c r="X326" s="389"/>
      <c r="Y326" s="389"/>
      <c r="Z326" s="234"/>
      <c r="AA326" s="520"/>
      <c r="AB326" s="389"/>
      <c r="AC326" s="234"/>
      <c r="AD326" s="234"/>
      <c r="AE326" s="234"/>
      <c r="AF326" s="234"/>
      <c r="AG326" s="234"/>
      <c r="AH326" s="234"/>
      <c r="AI326" s="234"/>
      <c r="AJ326" s="234"/>
      <c r="AK326" s="234"/>
      <c r="AL326" s="234"/>
      <c r="AM326" s="234"/>
      <c r="AN326" s="234"/>
      <c r="AO326" s="234"/>
      <c r="AP326" s="234"/>
      <c r="AQ326" s="234"/>
      <c r="AR326" s="234"/>
      <c r="AS326" s="234"/>
      <c r="AT326" s="234"/>
      <c r="AU326" s="234"/>
      <c r="AV326" s="234"/>
      <c r="AW326" s="234"/>
      <c r="AX326" s="234"/>
      <c r="AY326" s="234"/>
      <c r="AZ326" s="234"/>
      <c r="BA326" s="234"/>
      <c r="BB326" s="234"/>
      <c r="BC326" s="234"/>
      <c r="BD326" s="234"/>
      <c r="BE326" s="234"/>
      <c r="BF326" s="234"/>
      <c r="BG326" s="234"/>
      <c r="BH326" s="234"/>
      <c r="BI326" s="234"/>
      <c r="BJ326" s="234"/>
      <c r="BK326" s="234"/>
      <c r="BL326" s="234"/>
      <c r="BM326" s="234"/>
      <c r="BN326" s="234"/>
      <c r="BO326" s="234"/>
      <c r="BP326" s="234"/>
      <c r="BQ326" s="234"/>
      <c r="BR326" s="234"/>
      <c r="BS326" s="491"/>
      <c r="BT326" s="234"/>
      <c r="BU326" s="234"/>
      <c r="BV326" s="234"/>
      <c r="BW326" s="234"/>
      <c r="BX326" s="234"/>
      <c r="BY326" s="234"/>
      <c r="BZ326" s="496"/>
      <c r="CA326" s="496"/>
      <c r="CB326" s="499"/>
      <c r="CC326" s="58"/>
      <c r="CD326" s="57"/>
      <c r="CE326" s="342" t="s">
        <v>1576</v>
      </c>
      <c r="CF326" s="342" t="s">
        <v>1575</v>
      </c>
      <c r="CG326" s="57"/>
    </row>
    <row r="327" spans="1:86" s="23" customFormat="1" x14ac:dyDescent="0.2">
      <c r="A327" s="234" t="s">
        <v>771</v>
      </c>
      <c r="B327" s="234" t="s">
        <v>42</v>
      </c>
      <c r="C327" s="234" t="s">
        <v>513</v>
      </c>
      <c r="D327" s="234" t="s">
        <v>619</v>
      </c>
      <c r="E327" s="493" t="s">
        <v>1521</v>
      </c>
      <c r="F327" s="493">
        <v>1</v>
      </c>
      <c r="G327" s="234">
        <v>1</v>
      </c>
      <c r="H327" s="234">
        <v>1</v>
      </c>
      <c r="I327" s="234" t="s">
        <v>954</v>
      </c>
      <c r="J327" s="234">
        <v>1970</v>
      </c>
      <c r="K327" s="234" t="s">
        <v>957</v>
      </c>
      <c r="L327" s="234">
        <v>1970</v>
      </c>
      <c r="M327" s="389">
        <v>-9999</v>
      </c>
      <c r="N327" s="389">
        <v>-9999</v>
      </c>
      <c r="O327" s="29"/>
      <c r="P327" s="389">
        <v>2.2999999999999998</v>
      </c>
      <c r="Q327" s="234">
        <v>-9999</v>
      </c>
      <c r="R327" s="389"/>
      <c r="S327" s="234"/>
      <c r="T327" s="237">
        <f>+P327/G327</f>
        <v>2.2999999999999998</v>
      </c>
      <c r="U327" s="234">
        <v>-9999</v>
      </c>
      <c r="V327" s="234"/>
      <c r="W327" s="237">
        <v>2.2999999999999998</v>
      </c>
      <c r="X327" s="389"/>
      <c r="Y327" s="389"/>
      <c r="Z327" s="234" t="s">
        <v>773</v>
      </c>
      <c r="AA327" s="520">
        <v>109649</v>
      </c>
      <c r="AB327" s="389">
        <v>0.96</v>
      </c>
      <c r="AC327" s="234">
        <v>-9999</v>
      </c>
      <c r="AD327" s="234">
        <v>-9999</v>
      </c>
      <c r="AE327" s="234" t="s">
        <v>523</v>
      </c>
      <c r="AF327" s="234">
        <v>3</v>
      </c>
      <c r="AG327" s="234" t="s">
        <v>774</v>
      </c>
      <c r="AH327" s="234" t="s">
        <v>623</v>
      </c>
      <c r="AI327" s="234">
        <v>-9999</v>
      </c>
      <c r="AJ327" s="234">
        <v>-9999</v>
      </c>
      <c r="AK327" s="234" t="s">
        <v>626</v>
      </c>
      <c r="AL327" s="234" t="s">
        <v>653</v>
      </c>
      <c r="AM327" s="234">
        <v>-9999</v>
      </c>
      <c r="AN327" s="234" t="s">
        <v>631</v>
      </c>
      <c r="AO327" s="234">
        <v>-9999</v>
      </c>
      <c r="AP327" s="234">
        <v>-9999</v>
      </c>
      <c r="AQ327" s="234" t="s">
        <v>631</v>
      </c>
      <c r="AR327" s="234">
        <v>0</v>
      </c>
      <c r="AS327" s="234">
        <v>-9999</v>
      </c>
      <c r="AT327" s="234">
        <v>-9999</v>
      </c>
      <c r="AU327" s="234">
        <v>0</v>
      </c>
      <c r="AV327" s="234">
        <v>-9999</v>
      </c>
      <c r="AW327" s="234">
        <v>-9999</v>
      </c>
      <c r="AX327" s="234">
        <v>0</v>
      </c>
      <c r="AY327" s="234">
        <v>-9999</v>
      </c>
      <c r="AZ327" s="234">
        <v>-9999</v>
      </c>
      <c r="BA327" s="234" t="s">
        <v>775</v>
      </c>
      <c r="BB327" s="234" t="s">
        <v>631</v>
      </c>
      <c r="BC327" s="234">
        <v>-9999</v>
      </c>
      <c r="BD327" s="234">
        <v>-9999</v>
      </c>
      <c r="BE327" s="234">
        <v>-9999</v>
      </c>
      <c r="BF327" s="234">
        <v>-9999</v>
      </c>
      <c r="BG327" s="234">
        <v>-9999</v>
      </c>
      <c r="BH327" s="234">
        <v>-9999</v>
      </c>
      <c r="BI327" s="234">
        <v>-9999</v>
      </c>
      <c r="BJ327" s="234">
        <v>-9999</v>
      </c>
      <c r="BK327" s="234">
        <v>-9999</v>
      </c>
      <c r="BL327" s="234">
        <v>-9999</v>
      </c>
      <c r="BM327" s="234">
        <v>-9999</v>
      </c>
      <c r="BN327" s="234">
        <v>-9999</v>
      </c>
      <c r="BO327" s="234">
        <v>-9999</v>
      </c>
      <c r="BP327" s="234">
        <v>-9999</v>
      </c>
      <c r="BQ327" s="234">
        <v>-9999</v>
      </c>
      <c r="BR327" s="234">
        <v>-9999</v>
      </c>
      <c r="BS327" s="491">
        <v>-9999</v>
      </c>
      <c r="BT327" s="234">
        <v>-9999</v>
      </c>
      <c r="BU327" s="234">
        <v>-9999</v>
      </c>
      <c r="BV327" s="234">
        <v>-9999</v>
      </c>
      <c r="BW327" s="234"/>
      <c r="BX327" s="234">
        <v>-9999</v>
      </c>
      <c r="BY327" s="234">
        <v>-9999</v>
      </c>
      <c r="BZ327" s="496">
        <v>-9999</v>
      </c>
      <c r="CA327" s="496">
        <v>-9999</v>
      </c>
      <c r="CB327" s="499"/>
      <c r="CC327" s="58">
        <v>1</v>
      </c>
      <c r="CD327" s="57">
        <v>1</v>
      </c>
      <c r="CE327" s="292">
        <v>2.2999999999999998</v>
      </c>
      <c r="CF327" s="292">
        <v>2.2999999999999998</v>
      </c>
      <c r="CG327" s="57">
        <v>1</v>
      </c>
    </row>
    <row r="328" spans="1:86" s="23" customFormat="1" x14ac:dyDescent="0.2">
      <c r="A328" s="234" t="s">
        <v>771</v>
      </c>
      <c r="B328" s="234" t="s">
        <v>42</v>
      </c>
      <c r="C328" s="234" t="s">
        <v>513</v>
      </c>
      <c r="D328" s="234" t="s">
        <v>619</v>
      </c>
      <c r="E328" s="493" t="s">
        <v>1521</v>
      </c>
      <c r="F328" s="493">
        <v>1</v>
      </c>
      <c r="G328" s="234">
        <v>2</v>
      </c>
      <c r="H328" s="234">
        <v>2</v>
      </c>
      <c r="I328" s="234" t="s">
        <v>954</v>
      </c>
      <c r="J328" s="234">
        <v>1970</v>
      </c>
      <c r="K328" s="234" t="s">
        <v>957</v>
      </c>
      <c r="L328" s="234">
        <v>1972</v>
      </c>
      <c r="M328" s="389">
        <v>-9999</v>
      </c>
      <c r="N328" s="389">
        <v>-9999</v>
      </c>
      <c r="O328" s="29"/>
      <c r="P328" s="389">
        <v>11.6</v>
      </c>
      <c r="Q328" s="234">
        <v>-9999</v>
      </c>
      <c r="R328" s="389"/>
      <c r="S328" s="234"/>
      <c r="T328" s="237">
        <f>+P328/G328</f>
        <v>5.8</v>
      </c>
      <c r="U328" s="234">
        <v>-9999</v>
      </c>
      <c r="V328" s="234"/>
      <c r="W328" s="237">
        <f>P328-P327</f>
        <v>9.3000000000000007</v>
      </c>
      <c r="X328" s="389"/>
      <c r="Y328" s="389"/>
      <c r="Z328" s="234" t="s">
        <v>773</v>
      </c>
      <c r="AA328" s="520">
        <v>109649</v>
      </c>
      <c r="AB328" s="389">
        <v>0.93</v>
      </c>
      <c r="AC328" s="234">
        <v>-9999</v>
      </c>
      <c r="AD328" s="234">
        <v>-9999</v>
      </c>
      <c r="AE328" s="234" t="s">
        <v>523</v>
      </c>
      <c r="AF328" s="234">
        <v>3</v>
      </c>
      <c r="AG328" s="234" t="s">
        <v>774</v>
      </c>
      <c r="AH328" s="234" t="s">
        <v>623</v>
      </c>
      <c r="AI328" s="234">
        <v>-9999</v>
      </c>
      <c r="AJ328" s="234">
        <v>-9999</v>
      </c>
      <c r="AK328" s="234" t="s">
        <v>626</v>
      </c>
      <c r="AL328" s="234" t="s">
        <v>653</v>
      </c>
      <c r="AM328" s="234">
        <v>-9999</v>
      </c>
      <c r="AN328" s="234" t="s">
        <v>631</v>
      </c>
      <c r="AO328" s="234">
        <v>-9999</v>
      </c>
      <c r="AP328" s="234">
        <v>-9999</v>
      </c>
      <c r="AQ328" s="234" t="s">
        <v>631</v>
      </c>
      <c r="AR328" s="234">
        <v>0</v>
      </c>
      <c r="AS328" s="234">
        <v>-9999</v>
      </c>
      <c r="AT328" s="234">
        <v>-9999</v>
      </c>
      <c r="AU328" s="234">
        <v>0</v>
      </c>
      <c r="AV328" s="234">
        <v>-9999</v>
      </c>
      <c r="AW328" s="234">
        <v>-9999</v>
      </c>
      <c r="AX328" s="234">
        <v>0</v>
      </c>
      <c r="AY328" s="234">
        <v>-9999</v>
      </c>
      <c r="AZ328" s="234">
        <v>-9999</v>
      </c>
      <c r="BA328" s="234" t="s">
        <v>775</v>
      </c>
      <c r="BB328" s="234" t="s">
        <v>631</v>
      </c>
      <c r="BC328" s="234">
        <v>-9999</v>
      </c>
      <c r="BD328" s="234">
        <v>-9999</v>
      </c>
      <c r="BE328" s="234">
        <v>-9999</v>
      </c>
      <c r="BF328" s="234">
        <v>-9999</v>
      </c>
      <c r="BG328" s="234">
        <v>-9999</v>
      </c>
      <c r="BH328" s="234">
        <v>-9999</v>
      </c>
      <c r="BI328" s="234">
        <v>-9999</v>
      </c>
      <c r="BJ328" s="234">
        <v>-9999</v>
      </c>
      <c r="BK328" s="234">
        <v>-9999</v>
      </c>
      <c r="BL328" s="234">
        <v>-9999</v>
      </c>
      <c r="BM328" s="234">
        <v>-9999</v>
      </c>
      <c r="BN328" s="234">
        <v>-9999</v>
      </c>
      <c r="BO328" s="234">
        <v>-9999</v>
      </c>
      <c r="BP328" s="234">
        <v>-9999</v>
      </c>
      <c r="BQ328" s="234">
        <v>-9999</v>
      </c>
      <c r="BR328" s="234">
        <v>-9999</v>
      </c>
      <c r="BS328" s="491">
        <v>-9999</v>
      </c>
      <c r="BT328" s="234">
        <v>-9999</v>
      </c>
      <c r="BU328" s="234">
        <v>-9999</v>
      </c>
      <c r="BV328" s="234">
        <v>-9999</v>
      </c>
      <c r="BW328" s="234"/>
      <c r="BX328" s="234">
        <v>-9999</v>
      </c>
      <c r="BY328" s="234">
        <v>-9999</v>
      </c>
      <c r="BZ328" s="496">
        <v>-9999</v>
      </c>
      <c r="CA328" s="496">
        <v>-9999</v>
      </c>
      <c r="CB328" s="499"/>
      <c r="CC328" s="58">
        <v>1</v>
      </c>
      <c r="CD328" s="57">
        <v>2</v>
      </c>
      <c r="CE328" s="292">
        <v>5.8</v>
      </c>
      <c r="CF328" s="292">
        <v>9.3000000000000007</v>
      </c>
      <c r="CG328" s="57">
        <v>2</v>
      </c>
    </row>
    <row r="329" spans="1:86" s="23" customFormat="1" x14ac:dyDescent="0.2">
      <c r="A329" s="234" t="s">
        <v>771</v>
      </c>
      <c r="B329" s="234" t="s">
        <v>42</v>
      </c>
      <c r="C329" s="234" t="s">
        <v>513</v>
      </c>
      <c r="D329" s="234" t="s">
        <v>619</v>
      </c>
      <c r="E329" s="493" t="s">
        <v>1521</v>
      </c>
      <c r="F329" s="493">
        <v>1</v>
      </c>
      <c r="G329" s="234">
        <v>3</v>
      </c>
      <c r="H329" s="234">
        <v>3</v>
      </c>
      <c r="I329" s="234" t="s">
        <v>954</v>
      </c>
      <c r="J329" s="234">
        <v>1970</v>
      </c>
      <c r="K329" s="234" t="s">
        <v>957</v>
      </c>
      <c r="L329" s="234">
        <v>1973</v>
      </c>
      <c r="M329" s="389">
        <v>-9999</v>
      </c>
      <c r="N329" s="389">
        <v>-9999</v>
      </c>
      <c r="O329" s="29"/>
      <c r="P329" s="389">
        <v>22</v>
      </c>
      <c r="Q329" s="234">
        <v>-9999</v>
      </c>
      <c r="R329" s="389"/>
      <c r="S329" s="234"/>
      <c r="T329" s="237">
        <f>+P329/G329</f>
        <v>7.333333333333333</v>
      </c>
      <c r="U329" s="234">
        <v>-9999</v>
      </c>
      <c r="V329" s="234"/>
      <c r="W329" s="237">
        <f>P329-P328</f>
        <v>10.4</v>
      </c>
      <c r="X329" s="389"/>
      <c r="Y329" s="389"/>
      <c r="Z329" s="234" t="s">
        <v>773</v>
      </c>
      <c r="AA329" s="520">
        <v>109649</v>
      </c>
      <c r="AB329" s="389">
        <v>0.88</v>
      </c>
      <c r="AC329" s="234">
        <v>-9999</v>
      </c>
      <c r="AD329" s="234">
        <v>-9999</v>
      </c>
      <c r="AE329" s="234" t="s">
        <v>523</v>
      </c>
      <c r="AF329" s="234">
        <v>3</v>
      </c>
      <c r="AG329" s="234" t="s">
        <v>774</v>
      </c>
      <c r="AH329" s="234" t="s">
        <v>623</v>
      </c>
      <c r="AI329" s="234">
        <v>-9999</v>
      </c>
      <c r="AJ329" s="234">
        <v>-9999</v>
      </c>
      <c r="AK329" s="234" t="s">
        <v>626</v>
      </c>
      <c r="AL329" s="234" t="s">
        <v>653</v>
      </c>
      <c r="AM329" s="234">
        <v>-9999</v>
      </c>
      <c r="AN329" s="234" t="s">
        <v>631</v>
      </c>
      <c r="AO329" s="234">
        <v>-9999</v>
      </c>
      <c r="AP329" s="234">
        <v>-9999</v>
      </c>
      <c r="AQ329" s="234" t="s">
        <v>631</v>
      </c>
      <c r="AR329" s="234">
        <v>0</v>
      </c>
      <c r="AS329" s="234">
        <v>-9999</v>
      </c>
      <c r="AT329" s="234">
        <v>-9999</v>
      </c>
      <c r="AU329" s="234">
        <v>0</v>
      </c>
      <c r="AV329" s="234">
        <v>-9999</v>
      </c>
      <c r="AW329" s="234">
        <v>-9999</v>
      </c>
      <c r="AX329" s="234">
        <v>0</v>
      </c>
      <c r="AY329" s="234">
        <v>-9999</v>
      </c>
      <c r="AZ329" s="234">
        <v>-9999</v>
      </c>
      <c r="BA329" s="234" t="s">
        <v>775</v>
      </c>
      <c r="BB329" s="234" t="s">
        <v>631</v>
      </c>
      <c r="BC329" s="234">
        <v>-9999</v>
      </c>
      <c r="BD329" s="234">
        <v>-9999</v>
      </c>
      <c r="BE329" s="234">
        <v>-9999</v>
      </c>
      <c r="BF329" s="234">
        <v>-9999</v>
      </c>
      <c r="BG329" s="234">
        <v>-9999</v>
      </c>
      <c r="BH329" s="234">
        <v>-9999</v>
      </c>
      <c r="BI329" s="234">
        <v>-9999</v>
      </c>
      <c r="BJ329" s="234">
        <v>-9999</v>
      </c>
      <c r="BK329" s="234">
        <v>-9999</v>
      </c>
      <c r="BL329" s="234">
        <v>-9999</v>
      </c>
      <c r="BM329" s="234">
        <v>-9999</v>
      </c>
      <c r="BN329" s="234">
        <v>-9999</v>
      </c>
      <c r="BO329" s="234">
        <v>-9999</v>
      </c>
      <c r="BP329" s="234">
        <v>-9999</v>
      </c>
      <c r="BQ329" s="234">
        <v>-9999</v>
      </c>
      <c r="BR329" s="234">
        <v>-9999</v>
      </c>
      <c r="BS329" s="491">
        <v>-9999</v>
      </c>
      <c r="BT329" s="234">
        <v>-9999</v>
      </c>
      <c r="BU329" s="234">
        <v>-9999</v>
      </c>
      <c r="BV329" s="234">
        <v>-9999</v>
      </c>
      <c r="BW329" s="234"/>
      <c r="BX329" s="234">
        <v>-9999</v>
      </c>
      <c r="BY329" s="234">
        <v>-9999</v>
      </c>
      <c r="BZ329" s="496">
        <v>-9999</v>
      </c>
      <c r="CA329" s="496">
        <v>-9999</v>
      </c>
      <c r="CB329" s="499"/>
      <c r="CC329" s="58">
        <v>1</v>
      </c>
      <c r="CD329" s="57">
        <v>3</v>
      </c>
      <c r="CE329" s="292">
        <v>7.333333333333333</v>
      </c>
      <c r="CF329" s="292">
        <v>10.4</v>
      </c>
      <c r="CG329" s="57">
        <v>3</v>
      </c>
    </row>
    <row r="330" spans="1:86" s="23" customFormat="1" x14ac:dyDescent="0.2">
      <c r="A330" s="234" t="s">
        <v>771</v>
      </c>
      <c r="B330" s="234" t="s">
        <v>42</v>
      </c>
      <c r="C330" s="234" t="s">
        <v>513</v>
      </c>
      <c r="D330" s="234" t="s">
        <v>619</v>
      </c>
      <c r="E330" s="493" t="s">
        <v>1521</v>
      </c>
      <c r="F330" s="493">
        <v>1</v>
      </c>
      <c r="G330" s="234">
        <v>4</v>
      </c>
      <c r="H330" s="234">
        <v>4</v>
      </c>
      <c r="I330" s="234" t="s">
        <v>954</v>
      </c>
      <c r="J330" s="234">
        <v>1970</v>
      </c>
      <c r="K330" s="234" t="s">
        <v>957</v>
      </c>
      <c r="L330" s="234">
        <v>1974</v>
      </c>
      <c r="M330" s="389">
        <v>-9999</v>
      </c>
      <c r="N330" s="389">
        <v>-9999</v>
      </c>
      <c r="O330" s="29"/>
      <c r="P330" s="389">
        <v>19.5</v>
      </c>
      <c r="Q330" s="234">
        <v>-9999</v>
      </c>
      <c r="R330" s="389"/>
      <c r="S330" s="234"/>
      <c r="T330" s="237">
        <f>+P330/G330</f>
        <v>4.875</v>
      </c>
      <c r="U330" s="234">
        <v>-9999</v>
      </c>
      <c r="V330" s="234"/>
      <c r="W330" s="237">
        <f>P330-P329</f>
        <v>-2.5</v>
      </c>
      <c r="X330" s="389"/>
      <c r="Y330" s="389"/>
      <c r="Z330" s="234" t="s">
        <v>773</v>
      </c>
      <c r="AA330" s="520">
        <v>109649</v>
      </c>
      <c r="AB330" s="389">
        <v>0.67</v>
      </c>
      <c r="AC330" s="234">
        <v>-9999</v>
      </c>
      <c r="AD330" s="234">
        <v>-9999</v>
      </c>
      <c r="AE330" s="234" t="s">
        <v>523</v>
      </c>
      <c r="AF330" s="234">
        <v>3</v>
      </c>
      <c r="AG330" s="234" t="s">
        <v>774</v>
      </c>
      <c r="AH330" s="234" t="s">
        <v>623</v>
      </c>
      <c r="AI330" s="234">
        <v>-9999</v>
      </c>
      <c r="AJ330" s="234">
        <v>-9999</v>
      </c>
      <c r="AK330" s="234" t="s">
        <v>626</v>
      </c>
      <c r="AL330" s="234" t="s">
        <v>653</v>
      </c>
      <c r="AM330" s="234">
        <v>-9999</v>
      </c>
      <c r="AN330" s="234" t="s">
        <v>631</v>
      </c>
      <c r="AO330" s="234">
        <v>-9999</v>
      </c>
      <c r="AP330" s="234">
        <v>-9999</v>
      </c>
      <c r="AQ330" s="234" t="s">
        <v>631</v>
      </c>
      <c r="AR330" s="234">
        <v>0</v>
      </c>
      <c r="AS330" s="234">
        <v>-9999</v>
      </c>
      <c r="AT330" s="234">
        <v>-9999</v>
      </c>
      <c r="AU330" s="234">
        <v>0</v>
      </c>
      <c r="AV330" s="234">
        <v>-9999</v>
      </c>
      <c r="AW330" s="234">
        <v>-9999</v>
      </c>
      <c r="AX330" s="234">
        <v>0</v>
      </c>
      <c r="AY330" s="234">
        <v>-9999</v>
      </c>
      <c r="AZ330" s="234">
        <v>-9999</v>
      </c>
      <c r="BA330" s="234" t="s">
        <v>775</v>
      </c>
      <c r="BB330" s="234" t="s">
        <v>631</v>
      </c>
      <c r="BC330" s="234">
        <v>-9999</v>
      </c>
      <c r="BD330" s="234">
        <v>-9999</v>
      </c>
      <c r="BE330" s="234">
        <v>-9999</v>
      </c>
      <c r="BF330" s="234">
        <v>-9999</v>
      </c>
      <c r="BG330" s="234">
        <v>-9999</v>
      </c>
      <c r="BH330" s="234">
        <v>-9999</v>
      </c>
      <c r="BI330" s="234">
        <v>-9999</v>
      </c>
      <c r="BJ330" s="234">
        <v>-9999</v>
      </c>
      <c r="BK330" s="234">
        <v>-9999</v>
      </c>
      <c r="BL330" s="234">
        <v>-9999</v>
      </c>
      <c r="BM330" s="234">
        <v>-9999</v>
      </c>
      <c r="BN330" s="234">
        <v>-9999</v>
      </c>
      <c r="BO330" s="234">
        <v>-9999</v>
      </c>
      <c r="BP330" s="234">
        <v>-9999</v>
      </c>
      <c r="BQ330" s="234">
        <v>-9999</v>
      </c>
      <c r="BR330" s="234">
        <v>-9999</v>
      </c>
      <c r="BS330" s="491">
        <v>-9999</v>
      </c>
      <c r="BT330" s="234">
        <v>-9999</v>
      </c>
      <c r="BU330" s="234">
        <v>-9999</v>
      </c>
      <c r="BV330" s="234">
        <v>-9999</v>
      </c>
      <c r="BW330" s="234"/>
      <c r="BX330" s="234">
        <v>-9999</v>
      </c>
      <c r="BY330" s="234">
        <v>-9999</v>
      </c>
      <c r="BZ330" s="496">
        <v>-9999</v>
      </c>
      <c r="CA330" s="496">
        <v>-9999</v>
      </c>
      <c r="CB330" s="499"/>
      <c r="CC330" s="58">
        <v>1</v>
      </c>
      <c r="CD330" s="57">
        <v>4</v>
      </c>
      <c r="CE330" s="394">
        <v>4.875</v>
      </c>
      <c r="CF330" s="292">
        <v>-2.5</v>
      </c>
      <c r="CG330" s="57">
        <v>4</v>
      </c>
      <c r="CH330" s="477"/>
    </row>
    <row r="331" spans="1:86" s="23" customFormat="1" x14ac:dyDescent="0.2">
      <c r="A331" s="234"/>
      <c r="B331" s="234"/>
      <c r="C331" s="234"/>
      <c r="D331" s="234"/>
      <c r="E331" s="493"/>
      <c r="F331" s="493"/>
      <c r="G331" s="234"/>
      <c r="H331" s="234"/>
      <c r="I331" s="234"/>
      <c r="J331" s="234"/>
      <c r="K331" s="234"/>
      <c r="L331" s="234"/>
      <c r="M331" s="389"/>
      <c r="N331" s="389"/>
      <c r="O331" s="29"/>
      <c r="P331" s="389"/>
      <c r="Q331" s="234"/>
      <c r="R331" s="389"/>
      <c r="S331" s="234"/>
      <c r="T331" s="237"/>
      <c r="U331" s="234"/>
      <c r="V331" s="234"/>
      <c r="W331" s="237"/>
      <c r="X331" s="389"/>
      <c r="Y331" s="389"/>
      <c r="Z331" s="234"/>
      <c r="AA331" s="520"/>
      <c r="AB331" s="389"/>
      <c r="AC331" s="234"/>
      <c r="AD331" s="234"/>
      <c r="AE331" s="234"/>
      <c r="AF331" s="234"/>
      <c r="AG331" s="234"/>
      <c r="AH331" s="234"/>
      <c r="AI331" s="234"/>
      <c r="AJ331" s="234"/>
      <c r="AK331" s="234"/>
      <c r="AL331" s="234"/>
      <c r="AM331" s="234"/>
      <c r="AN331" s="234"/>
      <c r="AO331" s="234"/>
      <c r="AP331" s="234"/>
      <c r="AQ331" s="234"/>
      <c r="AR331" s="234"/>
      <c r="AS331" s="234"/>
      <c r="AT331" s="234"/>
      <c r="AU331" s="234"/>
      <c r="AV331" s="234"/>
      <c r="AW331" s="234"/>
      <c r="AX331" s="234"/>
      <c r="AY331" s="234"/>
      <c r="AZ331" s="234"/>
      <c r="BA331" s="234"/>
      <c r="BB331" s="234"/>
      <c r="BC331" s="234"/>
      <c r="BD331" s="234"/>
      <c r="BE331" s="234"/>
      <c r="BF331" s="234"/>
      <c r="BG331" s="234"/>
      <c r="BH331" s="234"/>
      <c r="BI331" s="234"/>
      <c r="BJ331" s="234"/>
      <c r="BK331" s="234"/>
      <c r="BL331" s="234"/>
      <c r="BM331" s="234"/>
      <c r="BN331" s="234"/>
      <c r="BO331" s="234"/>
      <c r="BP331" s="234"/>
      <c r="BQ331" s="234"/>
      <c r="BR331" s="234"/>
      <c r="BS331" s="491"/>
      <c r="BT331" s="234"/>
      <c r="BU331" s="234"/>
      <c r="BV331" s="234"/>
      <c r="BW331" s="234"/>
      <c r="BX331" s="234"/>
      <c r="BY331" s="234"/>
      <c r="BZ331" s="496"/>
      <c r="CA331" s="496"/>
      <c r="CB331" s="499"/>
      <c r="CC331" s="58"/>
      <c r="CD331" s="57"/>
      <c r="CE331" s="342" t="s">
        <v>1576</v>
      </c>
      <c r="CF331" s="342" t="s">
        <v>1575</v>
      </c>
      <c r="CG331" s="57"/>
    </row>
    <row r="332" spans="1:86" s="23" customFormat="1" x14ac:dyDescent="0.2">
      <c r="A332" s="234" t="s">
        <v>771</v>
      </c>
      <c r="B332" s="234" t="s">
        <v>42</v>
      </c>
      <c r="C332" s="234" t="s">
        <v>514</v>
      </c>
      <c r="D332" s="234" t="s">
        <v>619</v>
      </c>
      <c r="E332" s="493" t="s">
        <v>1521</v>
      </c>
      <c r="F332" s="493">
        <v>1</v>
      </c>
      <c r="G332" s="234">
        <v>1</v>
      </c>
      <c r="H332" s="234">
        <v>1</v>
      </c>
      <c r="I332" s="234" t="s">
        <v>954</v>
      </c>
      <c r="J332" s="234">
        <v>1970</v>
      </c>
      <c r="K332" s="234" t="s">
        <v>957</v>
      </c>
      <c r="L332" s="234">
        <v>1970</v>
      </c>
      <c r="M332" s="389">
        <v>-9999</v>
      </c>
      <c r="N332" s="389">
        <v>-9999</v>
      </c>
      <c r="O332" s="29"/>
      <c r="P332" s="389">
        <v>1.3</v>
      </c>
      <c r="Q332" s="234">
        <v>-9999</v>
      </c>
      <c r="R332" s="389"/>
      <c r="S332" s="234"/>
      <c r="T332" s="237">
        <f>+P332/H332</f>
        <v>1.3</v>
      </c>
      <c r="U332" s="234">
        <v>-9999</v>
      </c>
      <c r="V332" s="234"/>
      <c r="W332" s="237">
        <v>1.3</v>
      </c>
      <c r="X332" s="389"/>
      <c r="Y332" s="389"/>
      <c r="Z332" s="234" t="s">
        <v>43</v>
      </c>
      <c r="AA332" s="520">
        <v>54825</v>
      </c>
      <c r="AB332" s="389">
        <v>0.89</v>
      </c>
      <c r="AC332" s="234">
        <v>-9999</v>
      </c>
      <c r="AD332" s="234">
        <v>-9999</v>
      </c>
      <c r="AE332" s="234" t="s">
        <v>523</v>
      </c>
      <c r="AF332" s="234">
        <v>3</v>
      </c>
      <c r="AG332" s="234" t="s">
        <v>774</v>
      </c>
      <c r="AH332" s="234" t="s">
        <v>623</v>
      </c>
      <c r="AI332" s="234">
        <v>-9999</v>
      </c>
      <c r="AJ332" s="234">
        <v>-9999</v>
      </c>
      <c r="AK332" s="234" t="s">
        <v>626</v>
      </c>
      <c r="AL332" s="234" t="s">
        <v>653</v>
      </c>
      <c r="AM332" s="234">
        <v>-9999</v>
      </c>
      <c r="AN332" s="234" t="s">
        <v>631</v>
      </c>
      <c r="AO332" s="234">
        <v>-9999</v>
      </c>
      <c r="AP332" s="234">
        <v>-9999</v>
      </c>
      <c r="AQ332" s="234" t="s">
        <v>631</v>
      </c>
      <c r="AR332" s="234">
        <v>0</v>
      </c>
      <c r="AS332" s="234">
        <v>-9999</v>
      </c>
      <c r="AT332" s="234">
        <v>-9999</v>
      </c>
      <c r="AU332" s="234">
        <v>0</v>
      </c>
      <c r="AV332" s="234">
        <v>-9999</v>
      </c>
      <c r="AW332" s="234">
        <v>-9999</v>
      </c>
      <c r="AX332" s="234">
        <v>0</v>
      </c>
      <c r="AY332" s="234">
        <v>-9999</v>
      </c>
      <c r="AZ332" s="234">
        <v>-9999</v>
      </c>
      <c r="BA332" s="234" t="s">
        <v>775</v>
      </c>
      <c r="BB332" s="234" t="s">
        <v>631</v>
      </c>
      <c r="BC332" s="234">
        <v>-9999</v>
      </c>
      <c r="BD332" s="234">
        <v>-9999</v>
      </c>
      <c r="BE332" s="234">
        <v>-9999</v>
      </c>
      <c r="BF332" s="234">
        <v>-9999</v>
      </c>
      <c r="BG332" s="234">
        <v>-9999</v>
      </c>
      <c r="BH332" s="234">
        <v>-9999</v>
      </c>
      <c r="BI332" s="234">
        <v>-9999</v>
      </c>
      <c r="BJ332" s="234">
        <v>-9999</v>
      </c>
      <c r="BK332" s="234">
        <v>-9999</v>
      </c>
      <c r="BL332" s="234">
        <v>-9999</v>
      </c>
      <c r="BM332" s="234">
        <v>-9999</v>
      </c>
      <c r="BN332" s="234">
        <v>-9999</v>
      </c>
      <c r="BO332" s="234">
        <v>-9999</v>
      </c>
      <c r="BP332" s="234">
        <v>-9999</v>
      </c>
      <c r="BQ332" s="234">
        <v>-9999</v>
      </c>
      <c r="BR332" s="234">
        <v>-9999</v>
      </c>
      <c r="BS332" s="491">
        <v>-9999</v>
      </c>
      <c r="BT332" s="234">
        <v>-9999</v>
      </c>
      <c r="BU332" s="234">
        <v>-9999</v>
      </c>
      <c r="BV332" s="234">
        <v>-9999</v>
      </c>
      <c r="BW332" s="234"/>
      <c r="BX332" s="234">
        <v>-9999</v>
      </c>
      <c r="BY332" s="234">
        <v>-9999</v>
      </c>
      <c r="BZ332" s="496">
        <v>-9999</v>
      </c>
      <c r="CA332" s="496">
        <v>-9999</v>
      </c>
      <c r="CB332" s="499"/>
      <c r="CC332" s="58">
        <v>1</v>
      </c>
      <c r="CD332" s="57">
        <v>1</v>
      </c>
      <c r="CE332" s="292">
        <v>1.3</v>
      </c>
      <c r="CF332" s="292">
        <v>1.3</v>
      </c>
      <c r="CG332" s="57">
        <v>1</v>
      </c>
    </row>
    <row r="333" spans="1:86" s="23" customFormat="1" x14ac:dyDescent="0.2">
      <c r="A333" s="234" t="s">
        <v>771</v>
      </c>
      <c r="B333" s="234" t="s">
        <v>42</v>
      </c>
      <c r="C333" s="234" t="s">
        <v>514</v>
      </c>
      <c r="D333" s="234" t="s">
        <v>619</v>
      </c>
      <c r="E333" s="493" t="s">
        <v>1521</v>
      </c>
      <c r="F333" s="493">
        <v>1</v>
      </c>
      <c r="G333" s="234">
        <v>2</v>
      </c>
      <c r="H333" s="234">
        <v>2</v>
      </c>
      <c r="I333" s="234" t="s">
        <v>954</v>
      </c>
      <c r="J333" s="234">
        <v>1970</v>
      </c>
      <c r="K333" s="234" t="s">
        <v>957</v>
      </c>
      <c r="L333" s="234">
        <v>1972</v>
      </c>
      <c r="M333" s="389">
        <v>-9999</v>
      </c>
      <c r="N333" s="389">
        <v>-9999</v>
      </c>
      <c r="O333" s="29"/>
      <c r="P333" s="389">
        <v>9.1</v>
      </c>
      <c r="Q333" s="234">
        <v>-9999</v>
      </c>
      <c r="R333" s="389"/>
      <c r="S333" s="234"/>
      <c r="T333" s="237">
        <f>+P333/H333</f>
        <v>4.55</v>
      </c>
      <c r="U333" s="234">
        <v>-9999</v>
      </c>
      <c r="V333" s="234"/>
      <c r="W333" s="237">
        <f>P333-P332</f>
        <v>7.8</v>
      </c>
      <c r="X333" s="389"/>
      <c r="Y333" s="389"/>
      <c r="Z333" s="234" t="s">
        <v>43</v>
      </c>
      <c r="AA333" s="520">
        <v>54825</v>
      </c>
      <c r="AB333" s="389">
        <v>0.87</v>
      </c>
      <c r="AC333" s="234">
        <v>-9999</v>
      </c>
      <c r="AD333" s="234">
        <v>-9999</v>
      </c>
      <c r="AE333" s="234" t="s">
        <v>523</v>
      </c>
      <c r="AF333" s="234">
        <v>3</v>
      </c>
      <c r="AG333" s="234" t="s">
        <v>774</v>
      </c>
      <c r="AH333" s="234" t="s">
        <v>623</v>
      </c>
      <c r="AI333" s="234">
        <v>-9999</v>
      </c>
      <c r="AJ333" s="234">
        <v>-9999</v>
      </c>
      <c r="AK333" s="234" t="s">
        <v>626</v>
      </c>
      <c r="AL333" s="234" t="s">
        <v>653</v>
      </c>
      <c r="AM333" s="234">
        <v>-9999</v>
      </c>
      <c r="AN333" s="234" t="s">
        <v>631</v>
      </c>
      <c r="AO333" s="234">
        <v>-9999</v>
      </c>
      <c r="AP333" s="234">
        <v>-9999</v>
      </c>
      <c r="AQ333" s="234" t="s">
        <v>631</v>
      </c>
      <c r="AR333" s="234">
        <v>0</v>
      </c>
      <c r="AS333" s="234">
        <v>-9999</v>
      </c>
      <c r="AT333" s="234">
        <v>-9999</v>
      </c>
      <c r="AU333" s="234">
        <v>0</v>
      </c>
      <c r="AV333" s="234">
        <v>-9999</v>
      </c>
      <c r="AW333" s="234">
        <v>-9999</v>
      </c>
      <c r="AX333" s="234">
        <v>0</v>
      </c>
      <c r="AY333" s="234">
        <v>-9999</v>
      </c>
      <c r="AZ333" s="234">
        <v>-9999</v>
      </c>
      <c r="BA333" s="234" t="s">
        <v>775</v>
      </c>
      <c r="BB333" s="234" t="s">
        <v>631</v>
      </c>
      <c r="BC333" s="234">
        <v>-9999</v>
      </c>
      <c r="BD333" s="234">
        <v>-9999</v>
      </c>
      <c r="BE333" s="234">
        <v>-9999</v>
      </c>
      <c r="BF333" s="234">
        <v>-9999</v>
      </c>
      <c r="BG333" s="234">
        <v>-9999</v>
      </c>
      <c r="BH333" s="234">
        <v>-9999</v>
      </c>
      <c r="BI333" s="234">
        <v>-9999</v>
      </c>
      <c r="BJ333" s="234">
        <v>-9999</v>
      </c>
      <c r="BK333" s="234">
        <v>-9999</v>
      </c>
      <c r="BL333" s="234">
        <v>-9999</v>
      </c>
      <c r="BM333" s="234">
        <v>-9999</v>
      </c>
      <c r="BN333" s="234">
        <v>-9999</v>
      </c>
      <c r="BO333" s="234">
        <v>-9999</v>
      </c>
      <c r="BP333" s="234">
        <v>-9999</v>
      </c>
      <c r="BQ333" s="234">
        <v>-9999</v>
      </c>
      <c r="BR333" s="234">
        <v>-9999</v>
      </c>
      <c r="BS333" s="491">
        <v>-9999</v>
      </c>
      <c r="BT333" s="234">
        <v>-9999</v>
      </c>
      <c r="BU333" s="234">
        <v>-9999</v>
      </c>
      <c r="BV333" s="234">
        <v>-9999</v>
      </c>
      <c r="BW333" s="234"/>
      <c r="BX333" s="234">
        <v>-9999</v>
      </c>
      <c r="BY333" s="234">
        <v>-9999</v>
      </c>
      <c r="BZ333" s="496">
        <v>-9999</v>
      </c>
      <c r="CA333" s="496">
        <v>-9999</v>
      </c>
      <c r="CB333" s="499"/>
      <c r="CC333" s="58">
        <v>1</v>
      </c>
      <c r="CD333" s="57">
        <v>2</v>
      </c>
      <c r="CE333" s="292">
        <v>4.55</v>
      </c>
      <c r="CF333" s="292">
        <v>7.8</v>
      </c>
      <c r="CG333" s="57">
        <v>2</v>
      </c>
    </row>
    <row r="334" spans="1:86" s="23" customFormat="1" x14ac:dyDescent="0.2">
      <c r="A334" s="234" t="s">
        <v>771</v>
      </c>
      <c r="B334" s="234" t="s">
        <v>42</v>
      </c>
      <c r="C334" s="234" t="s">
        <v>514</v>
      </c>
      <c r="D334" s="234" t="s">
        <v>619</v>
      </c>
      <c r="E334" s="493" t="s">
        <v>1521</v>
      </c>
      <c r="F334" s="493">
        <v>1</v>
      </c>
      <c r="G334" s="234">
        <v>3</v>
      </c>
      <c r="H334" s="234">
        <v>3</v>
      </c>
      <c r="I334" s="234" t="s">
        <v>954</v>
      </c>
      <c r="J334" s="234">
        <v>1970</v>
      </c>
      <c r="K334" s="234" t="s">
        <v>957</v>
      </c>
      <c r="L334" s="234">
        <v>1973</v>
      </c>
      <c r="M334" s="389">
        <v>-9999</v>
      </c>
      <c r="N334" s="389">
        <v>-9999</v>
      </c>
      <c r="O334" s="29"/>
      <c r="P334" s="389">
        <v>17.8</v>
      </c>
      <c r="Q334" s="234">
        <v>-9999</v>
      </c>
      <c r="R334" s="389"/>
      <c r="S334" s="234"/>
      <c r="T334" s="237">
        <f>+P334/H334</f>
        <v>5.9333333333333336</v>
      </c>
      <c r="U334" s="234">
        <v>-9999</v>
      </c>
      <c r="V334" s="234"/>
      <c r="W334" s="237">
        <f>P334-P333</f>
        <v>8.7000000000000011</v>
      </c>
      <c r="X334" s="389"/>
      <c r="Y334" s="389"/>
      <c r="Z334" s="234" t="s">
        <v>43</v>
      </c>
      <c r="AA334" s="520">
        <v>54825</v>
      </c>
      <c r="AB334" s="389">
        <v>0.8</v>
      </c>
      <c r="AC334" s="234">
        <v>-9999</v>
      </c>
      <c r="AD334" s="234">
        <v>-9999</v>
      </c>
      <c r="AE334" s="234" t="s">
        <v>523</v>
      </c>
      <c r="AF334" s="234">
        <v>3</v>
      </c>
      <c r="AG334" s="234" t="s">
        <v>774</v>
      </c>
      <c r="AH334" s="234" t="s">
        <v>623</v>
      </c>
      <c r="AI334" s="234">
        <v>-9999</v>
      </c>
      <c r="AJ334" s="234">
        <v>-9999</v>
      </c>
      <c r="AK334" s="234" t="s">
        <v>626</v>
      </c>
      <c r="AL334" s="234" t="s">
        <v>653</v>
      </c>
      <c r="AM334" s="234">
        <v>-9999</v>
      </c>
      <c r="AN334" s="234" t="s">
        <v>631</v>
      </c>
      <c r="AO334" s="234">
        <v>-9999</v>
      </c>
      <c r="AP334" s="234">
        <v>-9999</v>
      </c>
      <c r="AQ334" s="234" t="s">
        <v>631</v>
      </c>
      <c r="AR334" s="234">
        <v>0</v>
      </c>
      <c r="AS334" s="234">
        <v>-9999</v>
      </c>
      <c r="AT334" s="234">
        <v>-9999</v>
      </c>
      <c r="AU334" s="234">
        <v>0</v>
      </c>
      <c r="AV334" s="234">
        <v>-9999</v>
      </c>
      <c r="AW334" s="234">
        <v>-9999</v>
      </c>
      <c r="AX334" s="234">
        <v>0</v>
      </c>
      <c r="AY334" s="234">
        <v>-9999</v>
      </c>
      <c r="AZ334" s="234">
        <v>-9999</v>
      </c>
      <c r="BA334" s="234" t="s">
        <v>775</v>
      </c>
      <c r="BB334" s="234" t="s">
        <v>631</v>
      </c>
      <c r="BC334" s="234">
        <v>-9999</v>
      </c>
      <c r="BD334" s="234">
        <v>-9999</v>
      </c>
      <c r="BE334" s="234">
        <v>-9999</v>
      </c>
      <c r="BF334" s="234">
        <v>-9999</v>
      </c>
      <c r="BG334" s="234">
        <v>-9999</v>
      </c>
      <c r="BH334" s="234">
        <v>-9999</v>
      </c>
      <c r="BI334" s="234">
        <v>-9999</v>
      </c>
      <c r="BJ334" s="234">
        <v>-9999</v>
      </c>
      <c r="BK334" s="234">
        <v>-9999</v>
      </c>
      <c r="BL334" s="234">
        <v>-9999</v>
      </c>
      <c r="BM334" s="234">
        <v>-9999</v>
      </c>
      <c r="BN334" s="234">
        <v>-9999</v>
      </c>
      <c r="BO334" s="234">
        <v>-9999</v>
      </c>
      <c r="BP334" s="234">
        <v>-9999</v>
      </c>
      <c r="BQ334" s="234">
        <v>-9999</v>
      </c>
      <c r="BR334" s="234">
        <v>-9999</v>
      </c>
      <c r="BS334" s="491">
        <v>-9999</v>
      </c>
      <c r="BT334" s="234">
        <v>-9999</v>
      </c>
      <c r="BU334" s="234">
        <v>-9999</v>
      </c>
      <c r="BV334" s="234">
        <v>-9999</v>
      </c>
      <c r="BW334" s="234"/>
      <c r="BX334" s="234">
        <v>-9999</v>
      </c>
      <c r="BY334" s="234">
        <v>-9999</v>
      </c>
      <c r="BZ334" s="496">
        <v>-9999</v>
      </c>
      <c r="CA334" s="496">
        <v>-9999</v>
      </c>
      <c r="CB334" s="499"/>
      <c r="CC334" s="58">
        <v>1</v>
      </c>
      <c r="CD334" s="57">
        <v>3</v>
      </c>
      <c r="CE334" s="394">
        <v>5.9333333333333336</v>
      </c>
      <c r="CF334" s="292">
        <v>8.7000000000000011</v>
      </c>
      <c r="CG334" s="57">
        <v>3</v>
      </c>
      <c r="CH334" s="477"/>
    </row>
    <row r="335" spans="1:86" s="23" customFormat="1" x14ac:dyDescent="0.2">
      <c r="A335" s="234" t="s">
        <v>771</v>
      </c>
      <c r="B335" s="234" t="s">
        <v>42</v>
      </c>
      <c r="C335" s="234" t="s">
        <v>514</v>
      </c>
      <c r="D335" s="234" t="s">
        <v>619</v>
      </c>
      <c r="E335" s="493" t="s">
        <v>1521</v>
      </c>
      <c r="F335" s="493">
        <v>1</v>
      </c>
      <c r="G335" s="234">
        <v>4</v>
      </c>
      <c r="H335" s="234">
        <v>4</v>
      </c>
      <c r="I335" s="234" t="s">
        <v>954</v>
      </c>
      <c r="J335" s="234">
        <v>1970</v>
      </c>
      <c r="K335" s="234" t="s">
        <v>957</v>
      </c>
      <c r="L335" s="234">
        <v>1974</v>
      </c>
      <c r="M335" s="389">
        <v>-9999</v>
      </c>
      <c r="N335" s="389">
        <v>-9999</v>
      </c>
      <c r="O335" s="29"/>
      <c r="P335" s="389">
        <v>23.5</v>
      </c>
      <c r="Q335" s="234">
        <v>-9999</v>
      </c>
      <c r="R335" s="389"/>
      <c r="S335" s="234"/>
      <c r="T335" s="237">
        <f>+P335/H335</f>
        <v>5.875</v>
      </c>
      <c r="U335" s="234">
        <v>-9999</v>
      </c>
      <c r="V335" s="234"/>
      <c r="W335" s="237">
        <f>P335-P334</f>
        <v>5.6999999999999993</v>
      </c>
      <c r="X335" s="389"/>
      <c r="Y335" s="389"/>
      <c r="Z335" s="234" t="s">
        <v>43</v>
      </c>
      <c r="AA335" s="520">
        <v>54825</v>
      </c>
      <c r="AB335" s="389">
        <v>0.71</v>
      </c>
      <c r="AC335" s="234">
        <v>-9999</v>
      </c>
      <c r="AD335" s="234">
        <v>-9999</v>
      </c>
      <c r="AE335" s="234" t="s">
        <v>523</v>
      </c>
      <c r="AF335" s="234">
        <v>3</v>
      </c>
      <c r="AG335" s="234" t="s">
        <v>774</v>
      </c>
      <c r="AH335" s="234" t="s">
        <v>623</v>
      </c>
      <c r="AI335" s="234">
        <v>-9999</v>
      </c>
      <c r="AJ335" s="234">
        <v>-9999</v>
      </c>
      <c r="AK335" s="234" t="s">
        <v>626</v>
      </c>
      <c r="AL335" s="234" t="s">
        <v>653</v>
      </c>
      <c r="AM335" s="234">
        <v>-9999</v>
      </c>
      <c r="AN335" s="234" t="s">
        <v>631</v>
      </c>
      <c r="AO335" s="234">
        <v>-9999</v>
      </c>
      <c r="AP335" s="234">
        <v>-9999</v>
      </c>
      <c r="AQ335" s="234" t="s">
        <v>631</v>
      </c>
      <c r="AR335" s="234">
        <v>0</v>
      </c>
      <c r="AS335" s="234">
        <v>-9999</v>
      </c>
      <c r="AT335" s="234">
        <v>-9999</v>
      </c>
      <c r="AU335" s="234">
        <v>0</v>
      </c>
      <c r="AV335" s="234">
        <v>-9999</v>
      </c>
      <c r="AW335" s="234">
        <v>-9999</v>
      </c>
      <c r="AX335" s="234">
        <v>0</v>
      </c>
      <c r="AY335" s="234">
        <v>-9999</v>
      </c>
      <c r="AZ335" s="234">
        <v>-9999</v>
      </c>
      <c r="BA335" s="234" t="s">
        <v>775</v>
      </c>
      <c r="BB335" s="234" t="s">
        <v>631</v>
      </c>
      <c r="BC335" s="234">
        <v>-9999</v>
      </c>
      <c r="BD335" s="234">
        <v>-9999</v>
      </c>
      <c r="BE335" s="234">
        <v>-9999</v>
      </c>
      <c r="BF335" s="234">
        <v>-9999</v>
      </c>
      <c r="BG335" s="234">
        <v>-9999</v>
      </c>
      <c r="BH335" s="234">
        <v>-9999</v>
      </c>
      <c r="BI335" s="234">
        <v>-9999</v>
      </c>
      <c r="BJ335" s="234">
        <v>-9999</v>
      </c>
      <c r="BK335" s="234">
        <v>-9999</v>
      </c>
      <c r="BL335" s="234">
        <v>-9999</v>
      </c>
      <c r="BM335" s="234">
        <v>-9999</v>
      </c>
      <c r="BN335" s="234">
        <v>-9999</v>
      </c>
      <c r="BO335" s="234">
        <v>-9999</v>
      </c>
      <c r="BP335" s="234">
        <v>-9999</v>
      </c>
      <c r="BQ335" s="234">
        <v>-9999</v>
      </c>
      <c r="BR335" s="234">
        <v>-9999</v>
      </c>
      <c r="BS335" s="491">
        <v>-9999</v>
      </c>
      <c r="BT335" s="234">
        <v>-9999</v>
      </c>
      <c r="BU335" s="234">
        <v>-9999</v>
      </c>
      <c r="BV335" s="234">
        <v>-9999</v>
      </c>
      <c r="BW335" s="234"/>
      <c r="BX335" s="234">
        <v>-9999</v>
      </c>
      <c r="BY335" s="234">
        <v>-9999</v>
      </c>
      <c r="BZ335" s="496">
        <v>-9999</v>
      </c>
      <c r="CA335" s="496">
        <v>-9999</v>
      </c>
      <c r="CB335" s="499"/>
      <c r="CC335" s="58">
        <v>1</v>
      </c>
      <c r="CD335" s="57">
        <v>4</v>
      </c>
      <c r="CE335" s="292">
        <v>5.875</v>
      </c>
      <c r="CF335" s="292">
        <v>5.6999999999999993</v>
      </c>
      <c r="CG335" s="57">
        <v>4</v>
      </c>
    </row>
    <row r="336" spans="1:86" s="23" customFormat="1" x14ac:dyDescent="0.2">
      <c r="A336" s="234"/>
      <c r="B336" s="234"/>
      <c r="C336" s="234"/>
      <c r="D336" s="234"/>
      <c r="E336" s="493"/>
      <c r="F336" s="493"/>
      <c r="G336" s="234"/>
      <c r="H336" s="234"/>
      <c r="I336" s="234"/>
      <c r="J336" s="234"/>
      <c r="K336" s="234"/>
      <c r="L336" s="234"/>
      <c r="M336" s="389"/>
      <c r="N336" s="389"/>
      <c r="O336" s="29"/>
      <c r="P336" s="389"/>
      <c r="Q336" s="234"/>
      <c r="R336" s="389"/>
      <c r="S336" s="234"/>
      <c r="T336" s="237"/>
      <c r="U336" s="234"/>
      <c r="V336" s="234"/>
      <c r="W336" s="237"/>
      <c r="X336" s="389"/>
      <c r="Y336" s="389"/>
      <c r="Z336" s="234"/>
      <c r="AA336" s="520"/>
      <c r="AB336" s="389"/>
      <c r="AC336" s="234"/>
      <c r="AD336" s="234"/>
      <c r="AE336" s="234"/>
      <c r="AF336" s="234"/>
      <c r="AG336" s="234"/>
      <c r="AH336" s="234"/>
      <c r="AI336" s="234"/>
      <c r="AJ336" s="234"/>
      <c r="AK336" s="234"/>
      <c r="AL336" s="234"/>
      <c r="AM336" s="234"/>
      <c r="AN336" s="234"/>
      <c r="AO336" s="234"/>
      <c r="AP336" s="234"/>
      <c r="AQ336" s="234"/>
      <c r="AR336" s="234"/>
      <c r="AS336" s="234"/>
      <c r="AT336" s="234"/>
      <c r="AU336" s="234"/>
      <c r="AV336" s="234"/>
      <c r="AW336" s="234"/>
      <c r="AX336" s="234"/>
      <c r="AY336" s="234"/>
      <c r="AZ336" s="234"/>
      <c r="BA336" s="234"/>
      <c r="BB336" s="234"/>
      <c r="BC336" s="234"/>
      <c r="BD336" s="234"/>
      <c r="BE336" s="234"/>
      <c r="BF336" s="234"/>
      <c r="BG336" s="234"/>
      <c r="BH336" s="234"/>
      <c r="BI336" s="234"/>
      <c r="BJ336" s="234"/>
      <c r="BK336" s="234"/>
      <c r="BL336" s="234"/>
      <c r="BM336" s="234"/>
      <c r="BN336" s="234"/>
      <c r="BO336" s="234"/>
      <c r="BP336" s="234"/>
      <c r="BQ336" s="234"/>
      <c r="BR336" s="234"/>
      <c r="BS336" s="491"/>
      <c r="BT336" s="234"/>
      <c r="BU336" s="234"/>
      <c r="BV336" s="234"/>
      <c r="BW336" s="234"/>
      <c r="BX336" s="234"/>
      <c r="BY336" s="234"/>
      <c r="BZ336" s="496"/>
      <c r="CA336" s="496"/>
      <c r="CB336" s="499"/>
      <c r="CC336" s="58"/>
      <c r="CD336" s="57"/>
      <c r="CE336" s="342" t="s">
        <v>1576</v>
      </c>
      <c r="CF336" s="342" t="s">
        <v>1575</v>
      </c>
      <c r="CG336" s="57"/>
    </row>
    <row r="337" spans="1:86" s="23" customFormat="1" x14ac:dyDescent="0.2">
      <c r="A337" s="234" t="s">
        <v>771</v>
      </c>
      <c r="B337" s="234" t="s">
        <v>42</v>
      </c>
      <c r="C337" s="234" t="s">
        <v>515</v>
      </c>
      <c r="D337" s="234" t="s">
        <v>619</v>
      </c>
      <c r="E337" s="493" t="s">
        <v>1521</v>
      </c>
      <c r="F337" s="493">
        <v>1</v>
      </c>
      <c r="G337" s="234">
        <v>1</v>
      </c>
      <c r="H337" s="234">
        <v>1</v>
      </c>
      <c r="I337" s="234" t="s">
        <v>954</v>
      </c>
      <c r="J337" s="234">
        <v>1970</v>
      </c>
      <c r="K337" s="234" t="s">
        <v>957</v>
      </c>
      <c r="L337" s="234">
        <v>1970</v>
      </c>
      <c r="M337" s="389">
        <v>-9999</v>
      </c>
      <c r="N337" s="389">
        <v>-9999</v>
      </c>
      <c r="O337" s="29"/>
      <c r="P337" s="389">
        <v>1</v>
      </c>
      <c r="Q337" s="234">
        <v>-9999</v>
      </c>
      <c r="R337" s="389"/>
      <c r="S337" s="234"/>
      <c r="T337" s="237">
        <f>+P337/G337</f>
        <v>1</v>
      </c>
      <c r="U337" s="234">
        <v>-9999</v>
      </c>
      <c r="V337" s="234"/>
      <c r="W337" s="237">
        <v>1</v>
      </c>
      <c r="X337" s="389"/>
      <c r="Y337" s="389"/>
      <c r="Z337" s="234" t="s">
        <v>44</v>
      </c>
      <c r="AA337" s="520">
        <v>35562</v>
      </c>
      <c r="AB337" s="389">
        <v>0.94</v>
      </c>
      <c r="AC337" s="234">
        <v>-9999</v>
      </c>
      <c r="AD337" s="234">
        <v>-9999</v>
      </c>
      <c r="AE337" s="234" t="s">
        <v>523</v>
      </c>
      <c r="AF337" s="234">
        <v>3</v>
      </c>
      <c r="AG337" s="234" t="s">
        <v>774</v>
      </c>
      <c r="AH337" s="234" t="s">
        <v>623</v>
      </c>
      <c r="AI337" s="234">
        <v>-9999</v>
      </c>
      <c r="AJ337" s="234">
        <v>-9999</v>
      </c>
      <c r="AK337" s="234" t="s">
        <v>626</v>
      </c>
      <c r="AL337" s="234" t="s">
        <v>653</v>
      </c>
      <c r="AM337" s="234">
        <v>-9999</v>
      </c>
      <c r="AN337" s="234" t="s">
        <v>631</v>
      </c>
      <c r="AO337" s="234">
        <v>-9999</v>
      </c>
      <c r="AP337" s="234">
        <v>-9999</v>
      </c>
      <c r="AQ337" s="234" t="s">
        <v>631</v>
      </c>
      <c r="AR337" s="234">
        <v>0</v>
      </c>
      <c r="AS337" s="234">
        <v>-9999</v>
      </c>
      <c r="AT337" s="234">
        <v>-9999</v>
      </c>
      <c r="AU337" s="234">
        <v>0</v>
      </c>
      <c r="AV337" s="234">
        <v>-9999</v>
      </c>
      <c r="AW337" s="234">
        <v>-9999</v>
      </c>
      <c r="AX337" s="234">
        <v>0</v>
      </c>
      <c r="AY337" s="234">
        <v>-9999</v>
      </c>
      <c r="AZ337" s="234">
        <v>-9999</v>
      </c>
      <c r="BA337" s="234" t="s">
        <v>775</v>
      </c>
      <c r="BB337" s="234" t="s">
        <v>631</v>
      </c>
      <c r="BC337" s="234">
        <v>-9999</v>
      </c>
      <c r="BD337" s="234">
        <v>-9999</v>
      </c>
      <c r="BE337" s="234">
        <v>-9999</v>
      </c>
      <c r="BF337" s="234">
        <v>-9999</v>
      </c>
      <c r="BG337" s="234">
        <v>-9999</v>
      </c>
      <c r="BH337" s="234">
        <v>-9999</v>
      </c>
      <c r="BI337" s="234">
        <v>-9999</v>
      </c>
      <c r="BJ337" s="234">
        <v>-9999</v>
      </c>
      <c r="BK337" s="234">
        <v>-9999</v>
      </c>
      <c r="BL337" s="234">
        <v>-9999</v>
      </c>
      <c r="BM337" s="234">
        <v>-9999</v>
      </c>
      <c r="BN337" s="234">
        <v>-9999</v>
      </c>
      <c r="BO337" s="234">
        <v>-9999</v>
      </c>
      <c r="BP337" s="234">
        <v>-9999</v>
      </c>
      <c r="BQ337" s="234">
        <v>-9999</v>
      </c>
      <c r="BR337" s="234">
        <v>-9999</v>
      </c>
      <c r="BS337" s="491">
        <v>-9999</v>
      </c>
      <c r="BT337" s="234">
        <v>-9999</v>
      </c>
      <c r="BU337" s="234">
        <v>-9999</v>
      </c>
      <c r="BV337" s="234">
        <v>-9999</v>
      </c>
      <c r="BW337" s="234"/>
      <c r="BX337" s="234">
        <v>-9999</v>
      </c>
      <c r="BY337" s="234">
        <v>-9999</v>
      </c>
      <c r="BZ337" s="496">
        <v>-9999</v>
      </c>
      <c r="CA337" s="496">
        <v>-9999</v>
      </c>
      <c r="CB337" s="499"/>
      <c r="CC337" s="58">
        <v>1</v>
      </c>
      <c r="CD337" s="57">
        <v>1</v>
      </c>
      <c r="CE337" s="292">
        <v>1</v>
      </c>
      <c r="CF337" s="292">
        <v>1</v>
      </c>
      <c r="CG337" s="57">
        <v>1</v>
      </c>
    </row>
    <row r="338" spans="1:86" s="23" customFormat="1" x14ac:dyDescent="0.2">
      <c r="A338" s="234" t="s">
        <v>771</v>
      </c>
      <c r="B338" s="234" t="s">
        <v>42</v>
      </c>
      <c r="C338" s="234" t="s">
        <v>515</v>
      </c>
      <c r="D338" s="234" t="s">
        <v>619</v>
      </c>
      <c r="E338" s="493" t="s">
        <v>1521</v>
      </c>
      <c r="F338" s="493">
        <v>1</v>
      </c>
      <c r="G338" s="234">
        <v>2</v>
      </c>
      <c r="H338" s="234">
        <v>2</v>
      </c>
      <c r="I338" s="234" t="s">
        <v>954</v>
      </c>
      <c r="J338" s="234">
        <v>1970</v>
      </c>
      <c r="K338" s="234" t="s">
        <v>957</v>
      </c>
      <c r="L338" s="234">
        <v>1972</v>
      </c>
      <c r="M338" s="389">
        <v>-9999</v>
      </c>
      <c r="N338" s="389">
        <v>-9999</v>
      </c>
      <c r="O338" s="29"/>
      <c r="P338" s="389">
        <v>8.9</v>
      </c>
      <c r="Q338" s="234">
        <v>-9999</v>
      </c>
      <c r="R338" s="389"/>
      <c r="S338" s="234"/>
      <c r="T338" s="237">
        <f>+P338/G338</f>
        <v>4.45</v>
      </c>
      <c r="U338" s="234">
        <v>-9999</v>
      </c>
      <c r="V338" s="234"/>
      <c r="W338" s="237">
        <f>P338-P337</f>
        <v>7.9</v>
      </c>
      <c r="X338" s="389"/>
      <c r="Y338" s="389"/>
      <c r="Z338" s="234" t="s">
        <v>44</v>
      </c>
      <c r="AA338" s="520">
        <v>35562</v>
      </c>
      <c r="AB338" s="389">
        <v>0.93</v>
      </c>
      <c r="AC338" s="234">
        <v>-9999</v>
      </c>
      <c r="AD338" s="234">
        <v>-9999</v>
      </c>
      <c r="AE338" s="234" t="s">
        <v>523</v>
      </c>
      <c r="AF338" s="234">
        <v>3</v>
      </c>
      <c r="AG338" s="234" t="s">
        <v>774</v>
      </c>
      <c r="AH338" s="234" t="s">
        <v>623</v>
      </c>
      <c r="AI338" s="234">
        <v>-9999</v>
      </c>
      <c r="AJ338" s="234">
        <v>-9999</v>
      </c>
      <c r="AK338" s="234" t="s">
        <v>626</v>
      </c>
      <c r="AL338" s="234" t="s">
        <v>653</v>
      </c>
      <c r="AM338" s="234">
        <v>-9999</v>
      </c>
      <c r="AN338" s="234" t="s">
        <v>631</v>
      </c>
      <c r="AO338" s="234">
        <v>-9999</v>
      </c>
      <c r="AP338" s="234">
        <v>-9999</v>
      </c>
      <c r="AQ338" s="234" t="s">
        <v>631</v>
      </c>
      <c r="AR338" s="234">
        <v>0</v>
      </c>
      <c r="AS338" s="234">
        <v>-9999</v>
      </c>
      <c r="AT338" s="234">
        <v>-9999</v>
      </c>
      <c r="AU338" s="234">
        <v>0</v>
      </c>
      <c r="AV338" s="234">
        <v>-9999</v>
      </c>
      <c r="AW338" s="234">
        <v>-9999</v>
      </c>
      <c r="AX338" s="234">
        <v>0</v>
      </c>
      <c r="AY338" s="234">
        <v>-9999</v>
      </c>
      <c r="AZ338" s="234">
        <v>-9999</v>
      </c>
      <c r="BA338" s="234" t="s">
        <v>775</v>
      </c>
      <c r="BB338" s="234" t="s">
        <v>631</v>
      </c>
      <c r="BC338" s="234">
        <v>-9999</v>
      </c>
      <c r="BD338" s="234">
        <v>-9999</v>
      </c>
      <c r="BE338" s="234">
        <v>-9999</v>
      </c>
      <c r="BF338" s="234">
        <v>-9999</v>
      </c>
      <c r="BG338" s="234">
        <v>-9999</v>
      </c>
      <c r="BH338" s="234">
        <v>-9999</v>
      </c>
      <c r="BI338" s="234">
        <v>-9999</v>
      </c>
      <c r="BJ338" s="234">
        <v>-9999</v>
      </c>
      <c r="BK338" s="234">
        <v>-9999</v>
      </c>
      <c r="BL338" s="234">
        <v>-9999</v>
      </c>
      <c r="BM338" s="234">
        <v>-9999</v>
      </c>
      <c r="BN338" s="234">
        <v>-9999</v>
      </c>
      <c r="BO338" s="234">
        <v>-9999</v>
      </c>
      <c r="BP338" s="234">
        <v>-9999</v>
      </c>
      <c r="BQ338" s="234">
        <v>-9999</v>
      </c>
      <c r="BR338" s="234">
        <v>-9999</v>
      </c>
      <c r="BS338" s="491">
        <v>-9999</v>
      </c>
      <c r="BT338" s="234">
        <v>-9999</v>
      </c>
      <c r="BU338" s="234">
        <v>-9999</v>
      </c>
      <c r="BV338" s="234">
        <v>-9999</v>
      </c>
      <c r="BW338" s="234"/>
      <c r="BX338" s="234">
        <v>-9999</v>
      </c>
      <c r="BY338" s="234">
        <v>-9999</v>
      </c>
      <c r="BZ338" s="496">
        <v>-9999</v>
      </c>
      <c r="CA338" s="496">
        <v>-9999</v>
      </c>
      <c r="CB338" s="499"/>
      <c r="CC338" s="58">
        <v>1</v>
      </c>
      <c r="CD338" s="57">
        <v>2</v>
      </c>
      <c r="CE338" s="292">
        <v>4.45</v>
      </c>
      <c r="CF338" s="292">
        <v>7.9</v>
      </c>
      <c r="CG338" s="57">
        <v>2</v>
      </c>
    </row>
    <row r="339" spans="1:86" s="23" customFormat="1" x14ac:dyDescent="0.2">
      <c r="A339" s="234" t="s">
        <v>771</v>
      </c>
      <c r="B339" s="234" t="s">
        <v>42</v>
      </c>
      <c r="C339" s="234" t="s">
        <v>515</v>
      </c>
      <c r="D339" s="234" t="s">
        <v>619</v>
      </c>
      <c r="E339" s="493" t="s">
        <v>1521</v>
      </c>
      <c r="F339" s="493">
        <v>1</v>
      </c>
      <c r="G339" s="234">
        <v>3</v>
      </c>
      <c r="H339" s="234">
        <v>3</v>
      </c>
      <c r="I339" s="234" t="s">
        <v>954</v>
      </c>
      <c r="J339" s="234">
        <v>1970</v>
      </c>
      <c r="K339" s="234" t="s">
        <v>957</v>
      </c>
      <c r="L339" s="234">
        <v>1973</v>
      </c>
      <c r="M339" s="389">
        <v>-9999</v>
      </c>
      <c r="N339" s="389">
        <v>-9999</v>
      </c>
      <c r="O339" s="29"/>
      <c r="P339" s="389">
        <v>19.2</v>
      </c>
      <c r="Q339" s="234">
        <v>-9999</v>
      </c>
      <c r="R339" s="389"/>
      <c r="S339" s="234"/>
      <c r="T339" s="237">
        <f>+P339/G339</f>
        <v>6.3999999999999995</v>
      </c>
      <c r="U339" s="234">
        <v>-9999</v>
      </c>
      <c r="V339" s="234"/>
      <c r="W339" s="237">
        <f>P339-P338</f>
        <v>10.299999999999999</v>
      </c>
      <c r="X339" s="389"/>
      <c r="Y339" s="389"/>
      <c r="Z339" s="234" t="s">
        <v>44</v>
      </c>
      <c r="AA339" s="520">
        <v>35562</v>
      </c>
      <c r="AB339" s="389">
        <v>0.87</v>
      </c>
      <c r="AC339" s="234">
        <v>-9999</v>
      </c>
      <c r="AD339" s="234">
        <v>-9999</v>
      </c>
      <c r="AE339" s="234" t="s">
        <v>523</v>
      </c>
      <c r="AF339" s="234">
        <v>3</v>
      </c>
      <c r="AG339" s="234" t="s">
        <v>774</v>
      </c>
      <c r="AH339" s="234" t="s">
        <v>623</v>
      </c>
      <c r="AI339" s="234">
        <v>-9999</v>
      </c>
      <c r="AJ339" s="234">
        <v>-9999</v>
      </c>
      <c r="AK339" s="234" t="s">
        <v>626</v>
      </c>
      <c r="AL339" s="234" t="s">
        <v>653</v>
      </c>
      <c r="AM339" s="234">
        <v>-9999</v>
      </c>
      <c r="AN339" s="234" t="s">
        <v>631</v>
      </c>
      <c r="AO339" s="234">
        <v>-9999</v>
      </c>
      <c r="AP339" s="234">
        <v>-9999</v>
      </c>
      <c r="AQ339" s="234" t="s">
        <v>631</v>
      </c>
      <c r="AR339" s="234">
        <v>0</v>
      </c>
      <c r="AS339" s="234">
        <v>-9999</v>
      </c>
      <c r="AT339" s="234">
        <v>-9999</v>
      </c>
      <c r="AU339" s="234">
        <v>0</v>
      </c>
      <c r="AV339" s="234">
        <v>-9999</v>
      </c>
      <c r="AW339" s="234">
        <v>-9999</v>
      </c>
      <c r="AX339" s="234">
        <v>0</v>
      </c>
      <c r="AY339" s="234">
        <v>-9999</v>
      </c>
      <c r="AZ339" s="234">
        <v>-9999</v>
      </c>
      <c r="BA339" s="234" t="s">
        <v>775</v>
      </c>
      <c r="BB339" s="234" t="s">
        <v>631</v>
      </c>
      <c r="BC339" s="234">
        <v>-9999</v>
      </c>
      <c r="BD339" s="234">
        <v>-9999</v>
      </c>
      <c r="BE339" s="234">
        <v>-9999</v>
      </c>
      <c r="BF339" s="234">
        <v>-9999</v>
      </c>
      <c r="BG339" s="234">
        <v>-9999</v>
      </c>
      <c r="BH339" s="234">
        <v>-9999</v>
      </c>
      <c r="BI339" s="234">
        <v>-9999</v>
      </c>
      <c r="BJ339" s="234">
        <v>-9999</v>
      </c>
      <c r="BK339" s="234">
        <v>-9999</v>
      </c>
      <c r="BL339" s="234">
        <v>-9999</v>
      </c>
      <c r="BM339" s="234">
        <v>-9999</v>
      </c>
      <c r="BN339" s="234">
        <v>-9999</v>
      </c>
      <c r="BO339" s="234">
        <v>-9999</v>
      </c>
      <c r="BP339" s="234">
        <v>-9999</v>
      </c>
      <c r="BQ339" s="234">
        <v>-9999</v>
      </c>
      <c r="BR339" s="234">
        <v>-9999</v>
      </c>
      <c r="BS339" s="491">
        <v>-9999</v>
      </c>
      <c r="BT339" s="234">
        <v>-9999</v>
      </c>
      <c r="BU339" s="234">
        <v>-9999</v>
      </c>
      <c r="BV339" s="234">
        <v>-9999</v>
      </c>
      <c r="BW339" s="234"/>
      <c r="BX339" s="234">
        <v>-9999</v>
      </c>
      <c r="BY339" s="234">
        <v>-9999</v>
      </c>
      <c r="BZ339" s="496">
        <v>-9999</v>
      </c>
      <c r="CA339" s="496">
        <v>-9999</v>
      </c>
      <c r="CB339" s="499"/>
      <c r="CC339" s="58">
        <v>1</v>
      </c>
      <c r="CD339" s="57">
        <v>3</v>
      </c>
      <c r="CE339" s="292">
        <v>6.3999999999999995</v>
      </c>
      <c r="CF339" s="292">
        <v>10.299999999999999</v>
      </c>
      <c r="CG339" s="57">
        <v>3</v>
      </c>
    </row>
    <row r="340" spans="1:86" s="23" customFormat="1" x14ac:dyDescent="0.2">
      <c r="A340" s="234" t="s">
        <v>771</v>
      </c>
      <c r="B340" s="234" t="s">
        <v>42</v>
      </c>
      <c r="C340" s="234" t="s">
        <v>515</v>
      </c>
      <c r="D340" s="234" t="s">
        <v>619</v>
      </c>
      <c r="E340" s="493" t="s">
        <v>1521</v>
      </c>
      <c r="F340" s="493">
        <v>1</v>
      </c>
      <c r="G340" s="234">
        <v>4</v>
      </c>
      <c r="H340" s="234">
        <v>4</v>
      </c>
      <c r="I340" s="234" t="s">
        <v>954</v>
      </c>
      <c r="J340" s="234">
        <v>1970</v>
      </c>
      <c r="K340" s="234" t="s">
        <v>957</v>
      </c>
      <c r="L340" s="234">
        <v>1974</v>
      </c>
      <c r="M340" s="389">
        <v>-9999</v>
      </c>
      <c r="N340" s="389">
        <v>-9999</v>
      </c>
      <c r="O340" s="29"/>
      <c r="P340" s="389">
        <v>28.3</v>
      </c>
      <c r="Q340" s="234">
        <v>-9999</v>
      </c>
      <c r="R340" s="389"/>
      <c r="S340" s="234"/>
      <c r="T340" s="237">
        <f>+P340/G340</f>
        <v>7.0750000000000002</v>
      </c>
      <c r="U340" s="234">
        <v>-9999</v>
      </c>
      <c r="V340" s="234"/>
      <c r="W340" s="237">
        <f>P340-P339</f>
        <v>9.1000000000000014</v>
      </c>
      <c r="X340" s="389"/>
      <c r="Y340" s="389"/>
      <c r="Z340" s="234" t="s">
        <v>44</v>
      </c>
      <c r="AA340" s="520">
        <v>35562</v>
      </c>
      <c r="AB340" s="389">
        <v>0.84</v>
      </c>
      <c r="AC340" s="234">
        <v>-9999</v>
      </c>
      <c r="AD340" s="234">
        <v>-9999</v>
      </c>
      <c r="AE340" s="234" t="s">
        <v>523</v>
      </c>
      <c r="AF340" s="234">
        <v>3</v>
      </c>
      <c r="AG340" s="234" t="s">
        <v>774</v>
      </c>
      <c r="AH340" s="234" t="s">
        <v>623</v>
      </c>
      <c r="AI340" s="234">
        <v>-9999</v>
      </c>
      <c r="AJ340" s="234">
        <v>-9999</v>
      </c>
      <c r="AK340" s="234" t="s">
        <v>626</v>
      </c>
      <c r="AL340" s="234" t="s">
        <v>653</v>
      </c>
      <c r="AM340" s="234">
        <v>-9999</v>
      </c>
      <c r="AN340" s="234" t="s">
        <v>631</v>
      </c>
      <c r="AO340" s="234">
        <v>-9999</v>
      </c>
      <c r="AP340" s="234">
        <v>-9999</v>
      </c>
      <c r="AQ340" s="234" t="s">
        <v>631</v>
      </c>
      <c r="AR340" s="234">
        <v>0</v>
      </c>
      <c r="AS340" s="234">
        <v>-9999</v>
      </c>
      <c r="AT340" s="234">
        <v>-9999</v>
      </c>
      <c r="AU340" s="234">
        <v>0</v>
      </c>
      <c r="AV340" s="234">
        <v>-9999</v>
      </c>
      <c r="AW340" s="234">
        <v>-9999</v>
      </c>
      <c r="AX340" s="234">
        <v>0</v>
      </c>
      <c r="AY340" s="234">
        <v>-9999</v>
      </c>
      <c r="AZ340" s="234">
        <v>-9999</v>
      </c>
      <c r="BA340" s="234" t="s">
        <v>775</v>
      </c>
      <c r="BB340" s="234" t="s">
        <v>631</v>
      </c>
      <c r="BC340" s="234">
        <v>-9999</v>
      </c>
      <c r="BD340" s="234">
        <v>-9999</v>
      </c>
      <c r="BE340" s="234">
        <v>-9999</v>
      </c>
      <c r="BF340" s="234">
        <v>-9999</v>
      </c>
      <c r="BG340" s="234">
        <v>-9999</v>
      </c>
      <c r="BH340" s="234">
        <v>-9999</v>
      </c>
      <c r="BI340" s="234">
        <v>-9999</v>
      </c>
      <c r="BJ340" s="234">
        <v>-9999</v>
      </c>
      <c r="BK340" s="234">
        <v>-9999</v>
      </c>
      <c r="BL340" s="234">
        <v>-9999</v>
      </c>
      <c r="BM340" s="234">
        <v>-9999</v>
      </c>
      <c r="BN340" s="234">
        <v>-9999</v>
      </c>
      <c r="BO340" s="234">
        <v>-9999</v>
      </c>
      <c r="BP340" s="234">
        <v>-9999</v>
      </c>
      <c r="BQ340" s="234">
        <v>-9999</v>
      </c>
      <c r="BR340" s="234">
        <v>-9999</v>
      </c>
      <c r="BS340" s="491">
        <v>-9999</v>
      </c>
      <c r="BT340" s="234">
        <v>-9999</v>
      </c>
      <c r="BU340" s="234">
        <v>-9999</v>
      </c>
      <c r="BV340" s="234">
        <v>-9999</v>
      </c>
      <c r="BW340" s="234"/>
      <c r="BX340" s="234">
        <v>-9999</v>
      </c>
      <c r="BY340" s="234">
        <v>-9999</v>
      </c>
      <c r="BZ340" s="496">
        <v>-9999</v>
      </c>
      <c r="CA340" s="496">
        <v>-9999</v>
      </c>
      <c r="CB340" s="499"/>
      <c r="CC340" s="58">
        <v>1</v>
      </c>
      <c r="CD340" s="57">
        <v>4</v>
      </c>
      <c r="CE340" s="401">
        <v>7.0750000000000002</v>
      </c>
      <c r="CF340" s="292">
        <v>9.1000000000000014</v>
      </c>
      <c r="CG340" s="57">
        <v>4</v>
      </c>
      <c r="CH340" s="479"/>
    </row>
    <row r="341" spans="1:86" s="23" customFormat="1" x14ac:dyDescent="0.2">
      <c r="A341" s="234"/>
      <c r="B341" s="234"/>
      <c r="C341" s="234"/>
      <c r="D341" s="234"/>
      <c r="E341" s="493"/>
      <c r="F341" s="493"/>
      <c r="G341" s="234"/>
      <c r="H341" s="234"/>
      <c r="I341" s="234"/>
      <c r="J341" s="234"/>
      <c r="K341" s="234"/>
      <c r="L341" s="234"/>
      <c r="M341" s="389"/>
      <c r="N341" s="389"/>
      <c r="O341" s="29"/>
      <c r="P341" s="389"/>
      <c r="Q341" s="234"/>
      <c r="R341" s="389"/>
      <c r="S341" s="234"/>
      <c r="T341" s="237"/>
      <c r="U341" s="234"/>
      <c r="V341" s="234"/>
      <c r="W341" s="237"/>
      <c r="X341" s="389"/>
      <c r="Y341" s="389"/>
      <c r="Z341" s="234"/>
      <c r="AA341" s="520"/>
      <c r="AB341" s="389"/>
      <c r="AC341" s="234"/>
      <c r="AD341" s="234"/>
      <c r="AE341" s="234"/>
      <c r="AF341" s="234"/>
      <c r="AG341" s="234"/>
      <c r="AH341" s="234"/>
      <c r="AI341" s="234"/>
      <c r="AJ341" s="234"/>
      <c r="AK341" s="234"/>
      <c r="AL341" s="234"/>
      <c r="AM341" s="234"/>
      <c r="AN341" s="234"/>
      <c r="AO341" s="234"/>
      <c r="AP341" s="234"/>
      <c r="AQ341" s="234"/>
      <c r="AR341" s="234"/>
      <c r="AS341" s="234"/>
      <c r="AT341" s="234"/>
      <c r="AU341" s="234"/>
      <c r="AV341" s="234"/>
      <c r="AW341" s="234"/>
      <c r="AX341" s="234"/>
      <c r="AY341" s="234"/>
      <c r="AZ341" s="234"/>
      <c r="BA341" s="234"/>
      <c r="BB341" s="234"/>
      <c r="BC341" s="234"/>
      <c r="BD341" s="234"/>
      <c r="BE341" s="234"/>
      <c r="BF341" s="234"/>
      <c r="BG341" s="234"/>
      <c r="BH341" s="234"/>
      <c r="BI341" s="234"/>
      <c r="BJ341" s="234"/>
      <c r="BK341" s="234"/>
      <c r="BL341" s="234"/>
      <c r="BM341" s="234"/>
      <c r="BN341" s="234"/>
      <c r="BO341" s="234"/>
      <c r="BP341" s="234"/>
      <c r="BQ341" s="234"/>
      <c r="BR341" s="234"/>
      <c r="BS341" s="491"/>
      <c r="BT341" s="234"/>
      <c r="BU341" s="234"/>
      <c r="BV341" s="234"/>
      <c r="BW341" s="234"/>
      <c r="BX341" s="234"/>
      <c r="BY341" s="234"/>
      <c r="BZ341" s="496"/>
      <c r="CA341" s="496"/>
      <c r="CB341" s="499"/>
      <c r="CC341" s="58"/>
      <c r="CD341" s="57"/>
      <c r="CE341" s="342" t="s">
        <v>1576</v>
      </c>
      <c r="CF341" s="342" t="s">
        <v>1575</v>
      </c>
      <c r="CG341" s="57"/>
    </row>
    <row r="342" spans="1:86" s="23" customFormat="1" x14ac:dyDescent="0.2">
      <c r="A342" s="234" t="s">
        <v>771</v>
      </c>
      <c r="B342" s="234" t="s">
        <v>42</v>
      </c>
      <c r="C342" s="234" t="s">
        <v>516</v>
      </c>
      <c r="D342" s="234" t="s">
        <v>619</v>
      </c>
      <c r="E342" s="493" t="s">
        <v>1521</v>
      </c>
      <c r="F342" s="493">
        <v>1</v>
      </c>
      <c r="G342" s="234">
        <v>1</v>
      </c>
      <c r="H342" s="234">
        <v>1</v>
      </c>
      <c r="I342" s="234" t="s">
        <v>954</v>
      </c>
      <c r="J342" s="234">
        <v>1970</v>
      </c>
      <c r="K342" s="234" t="s">
        <v>957</v>
      </c>
      <c r="L342" s="234">
        <v>1970</v>
      </c>
      <c r="M342" s="389">
        <v>-9999</v>
      </c>
      <c r="N342" s="389">
        <v>-9999</v>
      </c>
      <c r="O342" s="29"/>
      <c r="P342" s="389">
        <v>0.8</v>
      </c>
      <c r="Q342" s="234">
        <v>-9999</v>
      </c>
      <c r="R342" s="389"/>
      <c r="S342" s="234"/>
      <c r="T342" s="237">
        <f>+P342/G342</f>
        <v>0.8</v>
      </c>
      <c r="U342" s="234">
        <v>-9999</v>
      </c>
      <c r="V342" s="234"/>
      <c r="W342" s="237">
        <v>0.8</v>
      </c>
      <c r="X342" s="389"/>
      <c r="Y342" s="389"/>
      <c r="Z342" s="234" t="s">
        <v>45</v>
      </c>
      <c r="AA342" s="520">
        <v>26853</v>
      </c>
      <c r="AB342" s="389">
        <v>0.95</v>
      </c>
      <c r="AC342" s="234">
        <v>-9999</v>
      </c>
      <c r="AD342" s="234">
        <v>-9999</v>
      </c>
      <c r="AE342" s="234" t="s">
        <v>523</v>
      </c>
      <c r="AF342" s="234">
        <v>3</v>
      </c>
      <c r="AG342" s="234" t="s">
        <v>774</v>
      </c>
      <c r="AH342" s="234" t="s">
        <v>623</v>
      </c>
      <c r="AI342" s="234">
        <v>-9999</v>
      </c>
      <c r="AJ342" s="234">
        <v>-9999</v>
      </c>
      <c r="AK342" s="234" t="s">
        <v>626</v>
      </c>
      <c r="AL342" s="234" t="s">
        <v>653</v>
      </c>
      <c r="AM342" s="234">
        <v>-9999</v>
      </c>
      <c r="AN342" s="234" t="s">
        <v>631</v>
      </c>
      <c r="AO342" s="234">
        <v>-9999</v>
      </c>
      <c r="AP342" s="234">
        <v>-9999</v>
      </c>
      <c r="AQ342" s="234" t="s">
        <v>631</v>
      </c>
      <c r="AR342" s="234">
        <v>0</v>
      </c>
      <c r="AS342" s="234">
        <v>-9999</v>
      </c>
      <c r="AT342" s="234">
        <v>-9999</v>
      </c>
      <c r="AU342" s="234">
        <v>0</v>
      </c>
      <c r="AV342" s="234">
        <v>-9999</v>
      </c>
      <c r="AW342" s="234">
        <v>-9999</v>
      </c>
      <c r="AX342" s="234">
        <v>0</v>
      </c>
      <c r="AY342" s="234">
        <v>-9999</v>
      </c>
      <c r="AZ342" s="234">
        <v>-9999</v>
      </c>
      <c r="BA342" s="234" t="s">
        <v>775</v>
      </c>
      <c r="BB342" s="234" t="s">
        <v>631</v>
      </c>
      <c r="BC342" s="234">
        <v>-9999</v>
      </c>
      <c r="BD342" s="234">
        <v>-9999</v>
      </c>
      <c r="BE342" s="234">
        <v>-9999</v>
      </c>
      <c r="BF342" s="234">
        <v>-9999</v>
      </c>
      <c r="BG342" s="234">
        <v>-9999</v>
      </c>
      <c r="BH342" s="234">
        <v>-9999</v>
      </c>
      <c r="BI342" s="234">
        <v>-9999</v>
      </c>
      <c r="BJ342" s="234">
        <v>-9999</v>
      </c>
      <c r="BK342" s="234">
        <v>-9999</v>
      </c>
      <c r="BL342" s="234">
        <v>-9999</v>
      </c>
      <c r="BM342" s="234">
        <v>-9999</v>
      </c>
      <c r="BN342" s="234">
        <v>-9999</v>
      </c>
      <c r="BO342" s="234">
        <v>-9999</v>
      </c>
      <c r="BP342" s="234">
        <v>-9999</v>
      </c>
      <c r="BQ342" s="234">
        <v>-9999</v>
      </c>
      <c r="BR342" s="234">
        <v>-9999</v>
      </c>
      <c r="BS342" s="491">
        <v>-9999</v>
      </c>
      <c r="BT342" s="234">
        <v>-9999</v>
      </c>
      <c r="BU342" s="234">
        <v>-9999</v>
      </c>
      <c r="BV342" s="234">
        <v>-9999</v>
      </c>
      <c r="BW342" s="234"/>
      <c r="BX342" s="234">
        <v>-9999</v>
      </c>
      <c r="BY342" s="234">
        <v>-9999</v>
      </c>
      <c r="BZ342" s="496">
        <v>-9999</v>
      </c>
      <c r="CA342" s="496">
        <v>-9999</v>
      </c>
      <c r="CB342" s="499"/>
      <c r="CC342" s="58">
        <v>1</v>
      </c>
      <c r="CD342" s="57">
        <v>1</v>
      </c>
      <c r="CE342" s="292">
        <v>0.8</v>
      </c>
      <c r="CF342" s="292">
        <v>0.8</v>
      </c>
      <c r="CG342" s="57">
        <v>1</v>
      </c>
    </row>
    <row r="343" spans="1:86" s="23" customFormat="1" x14ac:dyDescent="0.2">
      <c r="A343" s="234" t="s">
        <v>771</v>
      </c>
      <c r="B343" s="234" t="s">
        <v>42</v>
      </c>
      <c r="C343" s="234" t="s">
        <v>516</v>
      </c>
      <c r="D343" s="234" t="s">
        <v>619</v>
      </c>
      <c r="E343" s="493" t="s">
        <v>1521</v>
      </c>
      <c r="F343" s="493">
        <v>1</v>
      </c>
      <c r="G343" s="234">
        <v>2</v>
      </c>
      <c r="H343" s="234">
        <v>2</v>
      </c>
      <c r="I343" s="234" t="s">
        <v>954</v>
      </c>
      <c r="J343" s="234">
        <v>1970</v>
      </c>
      <c r="K343" s="234" t="s">
        <v>957</v>
      </c>
      <c r="L343" s="234">
        <v>1972</v>
      </c>
      <c r="M343" s="389">
        <v>-9999</v>
      </c>
      <c r="N343" s="389">
        <v>-9999</v>
      </c>
      <c r="O343" s="29"/>
      <c r="P343" s="389">
        <v>7.9</v>
      </c>
      <c r="Q343" s="234">
        <v>-9999</v>
      </c>
      <c r="R343" s="389"/>
      <c r="S343" s="234"/>
      <c r="T343" s="237">
        <f>+P343/G343</f>
        <v>3.95</v>
      </c>
      <c r="U343" s="234">
        <v>-9999</v>
      </c>
      <c r="V343" s="234"/>
      <c r="W343" s="237">
        <f>P343-P342</f>
        <v>7.1000000000000005</v>
      </c>
      <c r="X343" s="389"/>
      <c r="Y343" s="389"/>
      <c r="Z343" s="234" t="s">
        <v>45</v>
      </c>
      <c r="AA343" s="520">
        <v>26853</v>
      </c>
      <c r="AB343" s="389">
        <v>0.93</v>
      </c>
      <c r="AC343" s="234">
        <v>-9999</v>
      </c>
      <c r="AD343" s="234">
        <v>-9999</v>
      </c>
      <c r="AE343" s="234" t="s">
        <v>523</v>
      </c>
      <c r="AF343" s="234">
        <v>3</v>
      </c>
      <c r="AG343" s="234" t="s">
        <v>774</v>
      </c>
      <c r="AH343" s="234" t="s">
        <v>623</v>
      </c>
      <c r="AI343" s="234">
        <v>-9999</v>
      </c>
      <c r="AJ343" s="234">
        <v>-9999</v>
      </c>
      <c r="AK343" s="234" t="s">
        <v>626</v>
      </c>
      <c r="AL343" s="234" t="s">
        <v>653</v>
      </c>
      <c r="AM343" s="234">
        <v>-9999</v>
      </c>
      <c r="AN343" s="234" t="s">
        <v>631</v>
      </c>
      <c r="AO343" s="234">
        <v>-9999</v>
      </c>
      <c r="AP343" s="234">
        <v>-9999</v>
      </c>
      <c r="AQ343" s="234" t="s">
        <v>631</v>
      </c>
      <c r="AR343" s="234">
        <v>0</v>
      </c>
      <c r="AS343" s="234">
        <v>-9999</v>
      </c>
      <c r="AT343" s="234">
        <v>-9999</v>
      </c>
      <c r="AU343" s="234">
        <v>0</v>
      </c>
      <c r="AV343" s="234">
        <v>-9999</v>
      </c>
      <c r="AW343" s="234">
        <v>-9999</v>
      </c>
      <c r="AX343" s="234">
        <v>0</v>
      </c>
      <c r="AY343" s="234">
        <v>-9999</v>
      </c>
      <c r="AZ343" s="234">
        <v>-9999</v>
      </c>
      <c r="BA343" s="234" t="s">
        <v>775</v>
      </c>
      <c r="BB343" s="234" t="s">
        <v>631</v>
      </c>
      <c r="BC343" s="234">
        <v>-9999</v>
      </c>
      <c r="BD343" s="234">
        <v>-9999</v>
      </c>
      <c r="BE343" s="234">
        <v>-9999</v>
      </c>
      <c r="BF343" s="234">
        <v>-9999</v>
      </c>
      <c r="BG343" s="234">
        <v>-9999</v>
      </c>
      <c r="BH343" s="234">
        <v>-9999</v>
      </c>
      <c r="BI343" s="234">
        <v>-9999</v>
      </c>
      <c r="BJ343" s="234">
        <v>-9999</v>
      </c>
      <c r="BK343" s="234">
        <v>-9999</v>
      </c>
      <c r="BL343" s="234">
        <v>-9999</v>
      </c>
      <c r="BM343" s="234">
        <v>-9999</v>
      </c>
      <c r="BN343" s="234">
        <v>-9999</v>
      </c>
      <c r="BO343" s="234">
        <v>-9999</v>
      </c>
      <c r="BP343" s="234">
        <v>-9999</v>
      </c>
      <c r="BQ343" s="234">
        <v>-9999</v>
      </c>
      <c r="BR343" s="234">
        <v>-9999</v>
      </c>
      <c r="BS343" s="491">
        <v>-9999</v>
      </c>
      <c r="BT343" s="234">
        <v>-9999</v>
      </c>
      <c r="BU343" s="234">
        <v>-9999</v>
      </c>
      <c r="BV343" s="234">
        <v>-9999</v>
      </c>
      <c r="BW343" s="234"/>
      <c r="BX343" s="234">
        <v>-9999</v>
      </c>
      <c r="BY343" s="234">
        <v>-9999</v>
      </c>
      <c r="BZ343" s="496">
        <v>-9999</v>
      </c>
      <c r="CA343" s="496">
        <v>-9999</v>
      </c>
      <c r="CB343" s="499"/>
      <c r="CC343" s="58">
        <v>1</v>
      </c>
      <c r="CD343" s="57">
        <v>2</v>
      </c>
      <c r="CE343" s="292">
        <v>3.95</v>
      </c>
      <c r="CF343" s="292">
        <v>7.1000000000000005</v>
      </c>
      <c r="CG343" s="57">
        <v>2</v>
      </c>
    </row>
    <row r="344" spans="1:86" s="23" customFormat="1" x14ac:dyDescent="0.2">
      <c r="A344" s="234" t="s">
        <v>771</v>
      </c>
      <c r="B344" s="234" t="s">
        <v>42</v>
      </c>
      <c r="C344" s="234" t="s">
        <v>516</v>
      </c>
      <c r="D344" s="234" t="s">
        <v>619</v>
      </c>
      <c r="E344" s="493" t="s">
        <v>1521</v>
      </c>
      <c r="F344" s="493">
        <v>1</v>
      </c>
      <c r="G344" s="234">
        <v>3</v>
      </c>
      <c r="H344" s="234">
        <v>3</v>
      </c>
      <c r="I344" s="234" t="s">
        <v>954</v>
      </c>
      <c r="J344" s="234">
        <v>1970</v>
      </c>
      <c r="K344" s="234" t="s">
        <v>957</v>
      </c>
      <c r="L344" s="234">
        <v>1973</v>
      </c>
      <c r="M344" s="389">
        <v>-9999</v>
      </c>
      <c r="N344" s="389">
        <v>-9999</v>
      </c>
      <c r="O344" s="29"/>
      <c r="P344" s="389">
        <v>17.3</v>
      </c>
      <c r="Q344" s="234">
        <v>-9999</v>
      </c>
      <c r="R344" s="389"/>
      <c r="S344" s="234"/>
      <c r="T344" s="237">
        <f>+P344/G344</f>
        <v>5.7666666666666666</v>
      </c>
      <c r="U344" s="234">
        <v>-9999</v>
      </c>
      <c r="V344" s="234"/>
      <c r="W344" s="237">
        <f>P344-P343</f>
        <v>9.4</v>
      </c>
      <c r="X344" s="389"/>
      <c r="Y344" s="389"/>
      <c r="Z344" s="234" t="s">
        <v>45</v>
      </c>
      <c r="AA344" s="520">
        <v>26853</v>
      </c>
      <c r="AB344" s="389">
        <v>0.91</v>
      </c>
      <c r="AC344" s="234">
        <v>-9999</v>
      </c>
      <c r="AD344" s="234">
        <v>-9999</v>
      </c>
      <c r="AE344" s="234" t="s">
        <v>523</v>
      </c>
      <c r="AF344" s="234">
        <v>3</v>
      </c>
      <c r="AG344" s="234" t="s">
        <v>774</v>
      </c>
      <c r="AH344" s="234" t="s">
        <v>623</v>
      </c>
      <c r="AI344" s="234">
        <v>-9999</v>
      </c>
      <c r="AJ344" s="234">
        <v>-9999</v>
      </c>
      <c r="AK344" s="234" t="s">
        <v>626</v>
      </c>
      <c r="AL344" s="234" t="s">
        <v>653</v>
      </c>
      <c r="AM344" s="234">
        <v>-9999</v>
      </c>
      <c r="AN344" s="234" t="s">
        <v>631</v>
      </c>
      <c r="AO344" s="234">
        <v>-9999</v>
      </c>
      <c r="AP344" s="234">
        <v>-9999</v>
      </c>
      <c r="AQ344" s="234" t="s">
        <v>631</v>
      </c>
      <c r="AR344" s="234">
        <v>0</v>
      </c>
      <c r="AS344" s="234">
        <v>-9999</v>
      </c>
      <c r="AT344" s="234">
        <v>-9999</v>
      </c>
      <c r="AU344" s="234">
        <v>0</v>
      </c>
      <c r="AV344" s="234">
        <v>-9999</v>
      </c>
      <c r="AW344" s="234">
        <v>-9999</v>
      </c>
      <c r="AX344" s="234">
        <v>0</v>
      </c>
      <c r="AY344" s="234">
        <v>-9999</v>
      </c>
      <c r="AZ344" s="234">
        <v>-9999</v>
      </c>
      <c r="BA344" s="234" t="s">
        <v>775</v>
      </c>
      <c r="BB344" s="234" t="s">
        <v>631</v>
      </c>
      <c r="BC344" s="234">
        <v>-9999</v>
      </c>
      <c r="BD344" s="234">
        <v>-9999</v>
      </c>
      <c r="BE344" s="234">
        <v>-9999</v>
      </c>
      <c r="BF344" s="234">
        <v>-9999</v>
      </c>
      <c r="BG344" s="234">
        <v>-9999</v>
      </c>
      <c r="BH344" s="234">
        <v>-9999</v>
      </c>
      <c r="BI344" s="234">
        <v>-9999</v>
      </c>
      <c r="BJ344" s="234">
        <v>-9999</v>
      </c>
      <c r="BK344" s="234">
        <v>-9999</v>
      </c>
      <c r="BL344" s="234">
        <v>-9999</v>
      </c>
      <c r="BM344" s="234">
        <v>-9999</v>
      </c>
      <c r="BN344" s="234">
        <v>-9999</v>
      </c>
      <c r="BO344" s="234">
        <v>-9999</v>
      </c>
      <c r="BP344" s="234">
        <v>-9999</v>
      </c>
      <c r="BQ344" s="234">
        <v>-9999</v>
      </c>
      <c r="BR344" s="234">
        <v>-9999</v>
      </c>
      <c r="BS344" s="491">
        <v>-9999</v>
      </c>
      <c r="BT344" s="234">
        <v>-9999</v>
      </c>
      <c r="BU344" s="234">
        <v>-9999</v>
      </c>
      <c r="BV344" s="234">
        <v>-9999</v>
      </c>
      <c r="BW344" s="234"/>
      <c r="BX344" s="234">
        <v>-9999</v>
      </c>
      <c r="BY344" s="234">
        <v>-9999</v>
      </c>
      <c r="BZ344" s="496">
        <v>-9999</v>
      </c>
      <c r="CA344" s="496">
        <v>-9999</v>
      </c>
      <c r="CB344" s="499"/>
      <c r="CC344" s="58">
        <v>1</v>
      </c>
      <c r="CD344" s="57">
        <v>3</v>
      </c>
      <c r="CE344" s="292">
        <v>5.7666666666666666</v>
      </c>
      <c r="CF344" s="292">
        <v>9.4</v>
      </c>
      <c r="CG344" s="57">
        <v>3</v>
      </c>
    </row>
    <row r="345" spans="1:86" s="23" customFormat="1" x14ac:dyDescent="0.2">
      <c r="A345" s="234" t="s">
        <v>771</v>
      </c>
      <c r="B345" s="234" t="s">
        <v>42</v>
      </c>
      <c r="C345" s="234" t="s">
        <v>516</v>
      </c>
      <c r="D345" s="234" t="s">
        <v>619</v>
      </c>
      <c r="E345" s="493" t="s">
        <v>1521</v>
      </c>
      <c r="F345" s="493">
        <v>1</v>
      </c>
      <c r="G345" s="234">
        <v>4</v>
      </c>
      <c r="H345" s="234">
        <v>4</v>
      </c>
      <c r="I345" s="234" t="s">
        <v>954</v>
      </c>
      <c r="J345" s="234">
        <v>1970</v>
      </c>
      <c r="K345" s="234" t="s">
        <v>957</v>
      </c>
      <c r="L345" s="234">
        <v>1974</v>
      </c>
      <c r="M345" s="389">
        <v>-9999</v>
      </c>
      <c r="N345" s="389">
        <v>-9999</v>
      </c>
      <c r="O345" s="29"/>
      <c r="P345" s="389">
        <v>25.5</v>
      </c>
      <c r="Q345" s="234">
        <v>-9999</v>
      </c>
      <c r="R345" s="389"/>
      <c r="S345" s="234"/>
      <c r="T345" s="237">
        <f>+P345/G345</f>
        <v>6.375</v>
      </c>
      <c r="U345" s="234">
        <v>-9999</v>
      </c>
      <c r="V345" s="234"/>
      <c r="W345" s="237">
        <f>P345-P344</f>
        <v>8.1999999999999993</v>
      </c>
      <c r="X345" s="389"/>
      <c r="Y345" s="389"/>
      <c r="Z345" s="234" t="s">
        <v>45</v>
      </c>
      <c r="AA345" s="520">
        <v>26853</v>
      </c>
      <c r="AB345" s="389">
        <v>0.82</v>
      </c>
      <c r="AC345" s="234">
        <v>-9999</v>
      </c>
      <c r="AD345" s="234">
        <v>-9999</v>
      </c>
      <c r="AE345" s="234" t="s">
        <v>523</v>
      </c>
      <c r="AF345" s="234">
        <v>3</v>
      </c>
      <c r="AG345" s="234" t="s">
        <v>774</v>
      </c>
      <c r="AH345" s="234" t="s">
        <v>623</v>
      </c>
      <c r="AI345" s="234">
        <v>-9999</v>
      </c>
      <c r="AJ345" s="234">
        <v>-9999</v>
      </c>
      <c r="AK345" s="234" t="s">
        <v>626</v>
      </c>
      <c r="AL345" s="234" t="s">
        <v>653</v>
      </c>
      <c r="AM345" s="234">
        <v>-9999</v>
      </c>
      <c r="AN345" s="234" t="s">
        <v>631</v>
      </c>
      <c r="AO345" s="234">
        <v>-9999</v>
      </c>
      <c r="AP345" s="234">
        <v>-9999</v>
      </c>
      <c r="AQ345" s="234" t="s">
        <v>631</v>
      </c>
      <c r="AR345" s="234">
        <v>0</v>
      </c>
      <c r="AS345" s="234">
        <v>-9999</v>
      </c>
      <c r="AT345" s="234">
        <v>-9999</v>
      </c>
      <c r="AU345" s="234">
        <v>0</v>
      </c>
      <c r="AV345" s="234">
        <v>-9999</v>
      </c>
      <c r="AW345" s="234">
        <v>-9999</v>
      </c>
      <c r="AX345" s="234">
        <v>0</v>
      </c>
      <c r="AY345" s="234">
        <v>-9999</v>
      </c>
      <c r="AZ345" s="234">
        <v>-9999</v>
      </c>
      <c r="BA345" s="234" t="s">
        <v>775</v>
      </c>
      <c r="BB345" s="234" t="s">
        <v>631</v>
      </c>
      <c r="BC345" s="234">
        <v>-9999</v>
      </c>
      <c r="BD345" s="234">
        <v>-9999</v>
      </c>
      <c r="BE345" s="234">
        <v>-9999</v>
      </c>
      <c r="BF345" s="234">
        <v>-9999</v>
      </c>
      <c r="BG345" s="234">
        <v>-9999</v>
      </c>
      <c r="BH345" s="234">
        <v>-9999</v>
      </c>
      <c r="BI345" s="234">
        <v>-9999</v>
      </c>
      <c r="BJ345" s="234">
        <v>-9999</v>
      </c>
      <c r="BK345" s="234">
        <v>-9999</v>
      </c>
      <c r="BL345" s="234">
        <v>-9999</v>
      </c>
      <c r="BM345" s="234">
        <v>-9999</v>
      </c>
      <c r="BN345" s="234">
        <v>-9999</v>
      </c>
      <c r="BO345" s="234">
        <v>-9999</v>
      </c>
      <c r="BP345" s="234">
        <v>-9999</v>
      </c>
      <c r="BQ345" s="234">
        <v>-9999</v>
      </c>
      <c r="BR345" s="234">
        <v>-9999</v>
      </c>
      <c r="BS345" s="491">
        <v>-9999</v>
      </c>
      <c r="BT345" s="234">
        <v>-9999</v>
      </c>
      <c r="BU345" s="234">
        <v>-9999</v>
      </c>
      <c r="BV345" s="234">
        <v>-9999</v>
      </c>
      <c r="BW345" s="234"/>
      <c r="BX345" s="234">
        <v>-9999</v>
      </c>
      <c r="BY345" s="234">
        <v>-9999</v>
      </c>
      <c r="BZ345" s="496">
        <v>-9999</v>
      </c>
      <c r="CA345" s="496">
        <v>-9999</v>
      </c>
      <c r="CB345" s="499"/>
      <c r="CC345" s="58">
        <v>1</v>
      </c>
      <c r="CD345" s="57">
        <v>4</v>
      </c>
      <c r="CE345" s="401">
        <v>6.375</v>
      </c>
      <c r="CF345" s="292">
        <v>8.1999999999999993</v>
      </c>
      <c r="CG345" s="57">
        <v>4</v>
      </c>
      <c r="CH345" s="479"/>
    </row>
    <row r="346" spans="1:86" s="23" customFormat="1" x14ac:dyDescent="0.2">
      <c r="A346" s="234"/>
      <c r="B346" s="234"/>
      <c r="C346" s="234"/>
      <c r="D346" s="234"/>
      <c r="E346" s="493"/>
      <c r="F346" s="493"/>
      <c r="G346" s="234"/>
      <c r="H346" s="234"/>
      <c r="I346" s="234"/>
      <c r="J346" s="234"/>
      <c r="K346" s="234"/>
      <c r="L346" s="234"/>
      <c r="M346" s="389"/>
      <c r="N346" s="389"/>
      <c r="O346" s="29"/>
      <c r="P346" s="389"/>
      <c r="Q346" s="234"/>
      <c r="R346" s="389"/>
      <c r="S346" s="234"/>
      <c r="T346" s="237"/>
      <c r="U346" s="234"/>
      <c r="V346" s="234"/>
      <c r="W346" s="237"/>
      <c r="X346" s="389"/>
      <c r="Y346" s="389"/>
      <c r="Z346" s="234"/>
      <c r="AA346" s="520"/>
      <c r="AB346" s="389"/>
      <c r="AC346" s="234"/>
      <c r="AD346" s="234"/>
      <c r="AE346" s="234"/>
      <c r="AF346" s="234"/>
      <c r="AG346" s="234"/>
      <c r="AH346" s="234"/>
      <c r="AI346" s="234"/>
      <c r="AJ346" s="234"/>
      <c r="AK346" s="234"/>
      <c r="AL346" s="234"/>
      <c r="AM346" s="234"/>
      <c r="AN346" s="234"/>
      <c r="AO346" s="234"/>
      <c r="AP346" s="234"/>
      <c r="AQ346" s="234"/>
      <c r="AR346" s="234"/>
      <c r="AS346" s="234"/>
      <c r="AT346" s="234"/>
      <c r="AU346" s="234"/>
      <c r="AV346" s="234"/>
      <c r="AW346" s="234"/>
      <c r="AX346" s="234"/>
      <c r="AY346" s="234"/>
      <c r="AZ346" s="234"/>
      <c r="BA346" s="234"/>
      <c r="BB346" s="234"/>
      <c r="BC346" s="234"/>
      <c r="BD346" s="234"/>
      <c r="BE346" s="234"/>
      <c r="BF346" s="234"/>
      <c r="BG346" s="234"/>
      <c r="BH346" s="234"/>
      <c r="BI346" s="234"/>
      <c r="BJ346" s="234"/>
      <c r="BK346" s="234"/>
      <c r="BL346" s="234"/>
      <c r="BM346" s="234"/>
      <c r="BN346" s="234"/>
      <c r="BO346" s="234"/>
      <c r="BP346" s="234"/>
      <c r="BQ346" s="234"/>
      <c r="BR346" s="234"/>
      <c r="BS346" s="491"/>
      <c r="BT346" s="234"/>
      <c r="BU346" s="234"/>
      <c r="BV346" s="234"/>
      <c r="BW346" s="234"/>
      <c r="BX346" s="234"/>
      <c r="BY346" s="234"/>
      <c r="BZ346" s="496"/>
      <c r="CA346" s="496"/>
      <c r="CB346" s="499"/>
      <c r="CC346" s="58"/>
      <c r="CD346" s="57"/>
      <c r="CE346" s="342" t="s">
        <v>1576</v>
      </c>
      <c r="CF346" s="342" t="s">
        <v>1575</v>
      </c>
      <c r="CG346" s="57"/>
    </row>
    <row r="347" spans="1:86" s="23" customFormat="1" x14ac:dyDescent="0.2">
      <c r="A347" s="234" t="s">
        <v>771</v>
      </c>
      <c r="B347" s="234" t="s">
        <v>42</v>
      </c>
      <c r="C347" s="234" t="s">
        <v>517</v>
      </c>
      <c r="D347" s="234" t="s">
        <v>619</v>
      </c>
      <c r="E347" s="493" t="s">
        <v>1521</v>
      </c>
      <c r="F347" s="493">
        <v>1</v>
      </c>
      <c r="G347" s="234">
        <v>1</v>
      </c>
      <c r="H347" s="234">
        <v>1</v>
      </c>
      <c r="I347" s="234" t="s">
        <v>954</v>
      </c>
      <c r="J347" s="234">
        <v>1970</v>
      </c>
      <c r="K347" s="234" t="s">
        <v>957</v>
      </c>
      <c r="L347" s="234">
        <v>1970</v>
      </c>
      <c r="M347" s="389">
        <v>-9999</v>
      </c>
      <c r="N347" s="389">
        <v>-9999</v>
      </c>
      <c r="O347" s="29"/>
      <c r="P347" s="389">
        <v>0.5</v>
      </c>
      <c r="Q347" s="234">
        <v>-9999</v>
      </c>
      <c r="R347" s="389"/>
      <c r="S347" s="234"/>
      <c r="T347" s="237">
        <f>+P347/G347</f>
        <v>0.5</v>
      </c>
      <c r="U347" s="234">
        <v>-9999</v>
      </c>
      <c r="V347" s="234"/>
      <c r="W347" s="237">
        <v>0.5</v>
      </c>
      <c r="X347" s="389"/>
      <c r="Y347" s="389"/>
      <c r="Z347" s="234" t="s">
        <v>46</v>
      </c>
      <c r="AA347" s="520">
        <v>21570</v>
      </c>
      <c r="AB347" s="389">
        <v>0.98</v>
      </c>
      <c r="AC347" s="234">
        <v>-9999</v>
      </c>
      <c r="AD347" s="234">
        <v>-9999</v>
      </c>
      <c r="AE347" s="234" t="s">
        <v>523</v>
      </c>
      <c r="AF347" s="234">
        <v>3</v>
      </c>
      <c r="AG347" s="234" t="s">
        <v>774</v>
      </c>
      <c r="AH347" s="234" t="s">
        <v>623</v>
      </c>
      <c r="AI347" s="234">
        <v>-9999</v>
      </c>
      <c r="AJ347" s="234">
        <v>-9999</v>
      </c>
      <c r="AK347" s="234" t="s">
        <v>626</v>
      </c>
      <c r="AL347" s="234" t="s">
        <v>653</v>
      </c>
      <c r="AM347" s="234">
        <v>-9999</v>
      </c>
      <c r="AN347" s="234" t="s">
        <v>631</v>
      </c>
      <c r="AO347" s="234">
        <v>-9999</v>
      </c>
      <c r="AP347" s="234">
        <v>-9999</v>
      </c>
      <c r="AQ347" s="234" t="s">
        <v>631</v>
      </c>
      <c r="AR347" s="234">
        <v>0</v>
      </c>
      <c r="AS347" s="234">
        <v>-9999</v>
      </c>
      <c r="AT347" s="234">
        <v>-9999</v>
      </c>
      <c r="AU347" s="234">
        <v>0</v>
      </c>
      <c r="AV347" s="234">
        <v>-9999</v>
      </c>
      <c r="AW347" s="234">
        <v>-9999</v>
      </c>
      <c r="AX347" s="234">
        <v>0</v>
      </c>
      <c r="AY347" s="234">
        <v>-9999</v>
      </c>
      <c r="AZ347" s="234">
        <v>-9999</v>
      </c>
      <c r="BA347" s="234" t="s">
        <v>775</v>
      </c>
      <c r="BB347" s="234" t="s">
        <v>631</v>
      </c>
      <c r="BC347" s="234">
        <v>-9999</v>
      </c>
      <c r="BD347" s="234">
        <v>-9999</v>
      </c>
      <c r="BE347" s="234">
        <v>-9999</v>
      </c>
      <c r="BF347" s="234">
        <v>-9999</v>
      </c>
      <c r="BG347" s="234">
        <v>-9999</v>
      </c>
      <c r="BH347" s="234">
        <v>-9999</v>
      </c>
      <c r="BI347" s="234">
        <v>-9999</v>
      </c>
      <c r="BJ347" s="234">
        <v>-9999</v>
      </c>
      <c r="BK347" s="234">
        <v>-9999</v>
      </c>
      <c r="BL347" s="234">
        <v>-9999</v>
      </c>
      <c r="BM347" s="234">
        <v>-9999</v>
      </c>
      <c r="BN347" s="234">
        <v>-9999</v>
      </c>
      <c r="BO347" s="234">
        <v>-9999</v>
      </c>
      <c r="BP347" s="234">
        <v>-9999</v>
      </c>
      <c r="BQ347" s="234">
        <v>-9999</v>
      </c>
      <c r="BR347" s="234">
        <v>-9999</v>
      </c>
      <c r="BS347" s="491">
        <v>-9999</v>
      </c>
      <c r="BT347" s="234">
        <v>-9999</v>
      </c>
      <c r="BU347" s="234">
        <v>-9999</v>
      </c>
      <c r="BV347" s="234">
        <v>-9999</v>
      </c>
      <c r="BW347" s="234"/>
      <c r="BX347" s="234">
        <v>-9999</v>
      </c>
      <c r="BY347" s="234">
        <v>-9999</v>
      </c>
      <c r="BZ347" s="496">
        <v>-9999</v>
      </c>
      <c r="CA347" s="496">
        <v>-9999</v>
      </c>
      <c r="CB347" s="499"/>
      <c r="CC347" s="58">
        <v>1</v>
      </c>
      <c r="CD347" s="57">
        <v>1</v>
      </c>
      <c r="CE347" s="292">
        <v>0.5</v>
      </c>
      <c r="CF347" s="292">
        <v>0.5</v>
      </c>
      <c r="CG347" s="57">
        <v>1</v>
      </c>
    </row>
    <row r="348" spans="1:86" s="23" customFormat="1" x14ac:dyDescent="0.2">
      <c r="A348" s="234" t="s">
        <v>771</v>
      </c>
      <c r="B348" s="234" t="s">
        <v>42</v>
      </c>
      <c r="C348" s="234" t="s">
        <v>517</v>
      </c>
      <c r="D348" s="234" t="s">
        <v>619</v>
      </c>
      <c r="E348" s="493" t="s">
        <v>1521</v>
      </c>
      <c r="F348" s="493">
        <v>1</v>
      </c>
      <c r="G348" s="234">
        <v>2</v>
      </c>
      <c r="H348" s="234">
        <v>2</v>
      </c>
      <c r="I348" s="234" t="s">
        <v>954</v>
      </c>
      <c r="J348" s="234">
        <v>1970</v>
      </c>
      <c r="K348" s="234" t="s">
        <v>957</v>
      </c>
      <c r="L348" s="234">
        <v>1972</v>
      </c>
      <c r="M348" s="389">
        <v>-9999</v>
      </c>
      <c r="N348" s="389">
        <v>-9999</v>
      </c>
      <c r="O348" s="29"/>
      <c r="P348" s="389">
        <v>7</v>
      </c>
      <c r="Q348" s="234">
        <v>-9999</v>
      </c>
      <c r="R348" s="389"/>
      <c r="S348" s="234"/>
      <c r="T348" s="237">
        <f>+P348/G348</f>
        <v>3.5</v>
      </c>
      <c r="U348" s="234">
        <v>-9999</v>
      </c>
      <c r="V348" s="234"/>
      <c r="W348" s="237">
        <f>P348-P347</f>
        <v>6.5</v>
      </c>
      <c r="X348" s="389"/>
      <c r="Y348" s="389"/>
      <c r="Z348" s="234" t="s">
        <v>46</v>
      </c>
      <c r="AA348" s="520">
        <v>21570</v>
      </c>
      <c r="AB348" s="389">
        <v>0.95</v>
      </c>
      <c r="AC348" s="234">
        <v>-9999</v>
      </c>
      <c r="AD348" s="234">
        <v>-9999</v>
      </c>
      <c r="AE348" s="234" t="s">
        <v>523</v>
      </c>
      <c r="AF348" s="234">
        <v>3</v>
      </c>
      <c r="AG348" s="234" t="s">
        <v>774</v>
      </c>
      <c r="AH348" s="234" t="s">
        <v>623</v>
      </c>
      <c r="AI348" s="234">
        <v>-9999</v>
      </c>
      <c r="AJ348" s="234">
        <v>-9999</v>
      </c>
      <c r="AK348" s="234" t="s">
        <v>626</v>
      </c>
      <c r="AL348" s="234" t="s">
        <v>653</v>
      </c>
      <c r="AM348" s="234">
        <v>-9999</v>
      </c>
      <c r="AN348" s="234" t="s">
        <v>631</v>
      </c>
      <c r="AO348" s="234">
        <v>-9999</v>
      </c>
      <c r="AP348" s="234">
        <v>-9999</v>
      </c>
      <c r="AQ348" s="234" t="s">
        <v>631</v>
      </c>
      <c r="AR348" s="234">
        <v>0</v>
      </c>
      <c r="AS348" s="234">
        <v>-9999</v>
      </c>
      <c r="AT348" s="234">
        <v>-9999</v>
      </c>
      <c r="AU348" s="234">
        <v>0</v>
      </c>
      <c r="AV348" s="234">
        <v>-9999</v>
      </c>
      <c r="AW348" s="234">
        <v>-9999</v>
      </c>
      <c r="AX348" s="234">
        <v>0</v>
      </c>
      <c r="AY348" s="234">
        <v>-9999</v>
      </c>
      <c r="AZ348" s="234">
        <v>-9999</v>
      </c>
      <c r="BA348" s="234" t="s">
        <v>775</v>
      </c>
      <c r="BB348" s="234" t="s">
        <v>631</v>
      </c>
      <c r="BC348" s="234">
        <v>-9999</v>
      </c>
      <c r="BD348" s="234">
        <v>-9999</v>
      </c>
      <c r="BE348" s="234">
        <v>-9999</v>
      </c>
      <c r="BF348" s="234">
        <v>-9999</v>
      </c>
      <c r="BG348" s="234">
        <v>-9999</v>
      </c>
      <c r="BH348" s="234">
        <v>-9999</v>
      </c>
      <c r="BI348" s="234">
        <v>-9999</v>
      </c>
      <c r="BJ348" s="234">
        <v>-9999</v>
      </c>
      <c r="BK348" s="234">
        <v>-9999</v>
      </c>
      <c r="BL348" s="234">
        <v>-9999</v>
      </c>
      <c r="BM348" s="234">
        <v>-9999</v>
      </c>
      <c r="BN348" s="234">
        <v>-9999</v>
      </c>
      <c r="BO348" s="234">
        <v>-9999</v>
      </c>
      <c r="BP348" s="234">
        <v>-9999</v>
      </c>
      <c r="BQ348" s="234">
        <v>-9999</v>
      </c>
      <c r="BR348" s="234">
        <v>-9999</v>
      </c>
      <c r="BS348" s="491">
        <v>-9999</v>
      </c>
      <c r="BT348" s="234">
        <v>-9999</v>
      </c>
      <c r="BU348" s="234">
        <v>-9999</v>
      </c>
      <c r="BV348" s="234">
        <v>-9999</v>
      </c>
      <c r="BW348" s="234"/>
      <c r="BX348" s="234">
        <v>-9999</v>
      </c>
      <c r="BY348" s="234">
        <v>-9999</v>
      </c>
      <c r="BZ348" s="496">
        <v>-9999</v>
      </c>
      <c r="CA348" s="496">
        <v>-9999</v>
      </c>
      <c r="CB348" s="499"/>
      <c r="CC348" s="58">
        <v>1</v>
      </c>
      <c r="CD348" s="57">
        <v>2</v>
      </c>
      <c r="CE348" s="292">
        <v>3.5</v>
      </c>
      <c r="CF348" s="292">
        <v>6.5</v>
      </c>
      <c r="CG348" s="57">
        <v>2</v>
      </c>
    </row>
    <row r="349" spans="1:86" s="23" customFormat="1" x14ac:dyDescent="0.2">
      <c r="A349" s="234" t="s">
        <v>771</v>
      </c>
      <c r="B349" s="234" t="s">
        <v>42</v>
      </c>
      <c r="C349" s="234" t="s">
        <v>517</v>
      </c>
      <c r="D349" s="234" t="s">
        <v>619</v>
      </c>
      <c r="E349" s="493" t="s">
        <v>1521</v>
      </c>
      <c r="F349" s="493">
        <v>1</v>
      </c>
      <c r="G349" s="234">
        <v>3</v>
      </c>
      <c r="H349" s="234">
        <v>3</v>
      </c>
      <c r="I349" s="234" t="s">
        <v>954</v>
      </c>
      <c r="J349" s="234">
        <v>1970</v>
      </c>
      <c r="K349" s="234" t="s">
        <v>957</v>
      </c>
      <c r="L349" s="234">
        <v>1973</v>
      </c>
      <c r="M349" s="389">
        <v>-9999</v>
      </c>
      <c r="N349" s="389">
        <v>-9999</v>
      </c>
      <c r="O349" s="29"/>
      <c r="P349" s="389">
        <v>17.2</v>
      </c>
      <c r="Q349" s="234">
        <v>-9999</v>
      </c>
      <c r="R349" s="389"/>
      <c r="S349" s="234"/>
      <c r="T349" s="237">
        <f>+P349/G349</f>
        <v>5.7333333333333334</v>
      </c>
      <c r="U349" s="234">
        <v>-9999</v>
      </c>
      <c r="V349" s="234"/>
      <c r="W349" s="237">
        <f>P349-P348</f>
        <v>10.199999999999999</v>
      </c>
      <c r="X349" s="389"/>
      <c r="Y349" s="389"/>
      <c r="Z349" s="234" t="s">
        <v>46</v>
      </c>
      <c r="AA349" s="520">
        <v>21570</v>
      </c>
      <c r="AB349" s="389">
        <v>0.91</v>
      </c>
      <c r="AC349" s="234">
        <v>-9999</v>
      </c>
      <c r="AD349" s="234">
        <v>-9999</v>
      </c>
      <c r="AE349" s="234" t="s">
        <v>523</v>
      </c>
      <c r="AF349" s="234">
        <v>3</v>
      </c>
      <c r="AG349" s="234" t="s">
        <v>774</v>
      </c>
      <c r="AH349" s="234" t="s">
        <v>623</v>
      </c>
      <c r="AI349" s="234">
        <v>-9999</v>
      </c>
      <c r="AJ349" s="234">
        <v>-9999</v>
      </c>
      <c r="AK349" s="234" t="s">
        <v>626</v>
      </c>
      <c r="AL349" s="234" t="s">
        <v>653</v>
      </c>
      <c r="AM349" s="234">
        <v>-9999</v>
      </c>
      <c r="AN349" s="234" t="s">
        <v>631</v>
      </c>
      <c r="AO349" s="234">
        <v>-9999</v>
      </c>
      <c r="AP349" s="234">
        <v>-9999</v>
      </c>
      <c r="AQ349" s="234" t="s">
        <v>631</v>
      </c>
      <c r="AR349" s="234">
        <v>0</v>
      </c>
      <c r="AS349" s="234">
        <v>-9999</v>
      </c>
      <c r="AT349" s="234">
        <v>-9999</v>
      </c>
      <c r="AU349" s="234">
        <v>0</v>
      </c>
      <c r="AV349" s="234">
        <v>-9999</v>
      </c>
      <c r="AW349" s="234">
        <v>-9999</v>
      </c>
      <c r="AX349" s="234">
        <v>0</v>
      </c>
      <c r="AY349" s="234">
        <v>-9999</v>
      </c>
      <c r="AZ349" s="234">
        <v>-9999</v>
      </c>
      <c r="BA349" s="234" t="s">
        <v>775</v>
      </c>
      <c r="BB349" s="234" t="s">
        <v>631</v>
      </c>
      <c r="BC349" s="234">
        <v>-9999</v>
      </c>
      <c r="BD349" s="234">
        <v>-9999</v>
      </c>
      <c r="BE349" s="234">
        <v>-9999</v>
      </c>
      <c r="BF349" s="234">
        <v>-9999</v>
      </c>
      <c r="BG349" s="234">
        <v>-9999</v>
      </c>
      <c r="BH349" s="234">
        <v>-9999</v>
      </c>
      <c r="BI349" s="234">
        <v>-9999</v>
      </c>
      <c r="BJ349" s="234">
        <v>-9999</v>
      </c>
      <c r="BK349" s="234">
        <v>-9999</v>
      </c>
      <c r="BL349" s="234">
        <v>-9999</v>
      </c>
      <c r="BM349" s="234">
        <v>-9999</v>
      </c>
      <c r="BN349" s="234">
        <v>-9999</v>
      </c>
      <c r="BO349" s="234">
        <v>-9999</v>
      </c>
      <c r="BP349" s="234">
        <v>-9999</v>
      </c>
      <c r="BQ349" s="234">
        <v>-9999</v>
      </c>
      <c r="BR349" s="234">
        <v>-9999</v>
      </c>
      <c r="BS349" s="491">
        <v>-9999</v>
      </c>
      <c r="BT349" s="234">
        <v>-9999</v>
      </c>
      <c r="BU349" s="234">
        <v>-9999</v>
      </c>
      <c r="BV349" s="234">
        <v>-9999</v>
      </c>
      <c r="BW349" s="234"/>
      <c r="BX349" s="234">
        <v>-9999</v>
      </c>
      <c r="BY349" s="234">
        <v>-9999</v>
      </c>
      <c r="BZ349" s="496">
        <v>-9999</v>
      </c>
      <c r="CA349" s="496">
        <v>-9999</v>
      </c>
      <c r="CB349" s="499"/>
      <c r="CC349" s="58">
        <v>1</v>
      </c>
      <c r="CD349" s="57">
        <v>3</v>
      </c>
      <c r="CE349" s="292">
        <v>5.7333333333333334</v>
      </c>
      <c r="CF349" s="292">
        <v>10.199999999999999</v>
      </c>
      <c r="CG349" s="57">
        <v>3</v>
      </c>
    </row>
    <row r="350" spans="1:86" s="23" customFormat="1" x14ac:dyDescent="0.2">
      <c r="A350" s="234" t="s">
        <v>771</v>
      </c>
      <c r="B350" s="234" t="s">
        <v>42</v>
      </c>
      <c r="C350" s="234" t="s">
        <v>517</v>
      </c>
      <c r="D350" s="234" t="s">
        <v>619</v>
      </c>
      <c r="E350" s="493" t="s">
        <v>1521</v>
      </c>
      <c r="F350" s="493">
        <v>1</v>
      </c>
      <c r="G350" s="234">
        <v>4</v>
      </c>
      <c r="H350" s="234">
        <v>4</v>
      </c>
      <c r="I350" s="234" t="s">
        <v>954</v>
      </c>
      <c r="J350" s="234">
        <v>1970</v>
      </c>
      <c r="K350" s="234" t="s">
        <v>957</v>
      </c>
      <c r="L350" s="234">
        <v>1974</v>
      </c>
      <c r="M350" s="389">
        <v>-9999</v>
      </c>
      <c r="N350" s="389">
        <v>-9999</v>
      </c>
      <c r="O350" s="29"/>
      <c r="P350" s="389">
        <v>24</v>
      </c>
      <c r="Q350" s="234">
        <v>-9999</v>
      </c>
      <c r="R350" s="389"/>
      <c r="S350" s="234"/>
      <c r="T350" s="237">
        <f>+P350/G350</f>
        <v>6</v>
      </c>
      <c r="U350" s="234">
        <v>-9999</v>
      </c>
      <c r="V350" s="234"/>
      <c r="W350" s="237">
        <f>P350-P349</f>
        <v>6.8000000000000007</v>
      </c>
      <c r="X350" s="389"/>
      <c r="Y350" s="389"/>
      <c r="Z350" s="234" t="s">
        <v>46</v>
      </c>
      <c r="AA350" s="520">
        <v>21570</v>
      </c>
      <c r="AB350" s="389">
        <v>0.82</v>
      </c>
      <c r="AC350" s="234">
        <v>-9999</v>
      </c>
      <c r="AD350" s="234">
        <v>-9999</v>
      </c>
      <c r="AE350" s="234" t="s">
        <v>523</v>
      </c>
      <c r="AF350" s="234">
        <v>3</v>
      </c>
      <c r="AG350" s="234" t="s">
        <v>774</v>
      </c>
      <c r="AH350" s="234" t="s">
        <v>623</v>
      </c>
      <c r="AI350" s="234">
        <v>-9999</v>
      </c>
      <c r="AJ350" s="234">
        <v>-9999</v>
      </c>
      <c r="AK350" s="234" t="s">
        <v>626</v>
      </c>
      <c r="AL350" s="234" t="s">
        <v>653</v>
      </c>
      <c r="AM350" s="234">
        <v>-9999</v>
      </c>
      <c r="AN350" s="234" t="s">
        <v>631</v>
      </c>
      <c r="AO350" s="234">
        <v>-9999</v>
      </c>
      <c r="AP350" s="234">
        <v>-9999</v>
      </c>
      <c r="AQ350" s="234" t="s">
        <v>631</v>
      </c>
      <c r="AR350" s="234">
        <v>0</v>
      </c>
      <c r="AS350" s="234">
        <v>-9999</v>
      </c>
      <c r="AT350" s="234">
        <v>-9999</v>
      </c>
      <c r="AU350" s="234">
        <v>0</v>
      </c>
      <c r="AV350" s="234">
        <v>-9999</v>
      </c>
      <c r="AW350" s="234">
        <v>-9999</v>
      </c>
      <c r="AX350" s="234">
        <v>0</v>
      </c>
      <c r="AY350" s="234">
        <v>-9999</v>
      </c>
      <c r="AZ350" s="234">
        <v>-9999</v>
      </c>
      <c r="BA350" s="234" t="s">
        <v>775</v>
      </c>
      <c r="BB350" s="234" t="s">
        <v>631</v>
      </c>
      <c r="BC350" s="234">
        <v>-9999</v>
      </c>
      <c r="BD350" s="234">
        <v>-9999</v>
      </c>
      <c r="BE350" s="234">
        <v>-9999</v>
      </c>
      <c r="BF350" s="234">
        <v>-9999</v>
      </c>
      <c r="BG350" s="234">
        <v>-9999</v>
      </c>
      <c r="BH350" s="234">
        <v>-9999</v>
      </c>
      <c r="BI350" s="234">
        <v>-9999</v>
      </c>
      <c r="BJ350" s="234">
        <v>-9999</v>
      </c>
      <c r="BK350" s="234">
        <v>-9999</v>
      </c>
      <c r="BL350" s="234">
        <v>-9999</v>
      </c>
      <c r="BM350" s="234">
        <v>-9999</v>
      </c>
      <c r="BN350" s="234">
        <v>-9999</v>
      </c>
      <c r="BO350" s="234">
        <v>-9999</v>
      </c>
      <c r="BP350" s="234">
        <v>-9999</v>
      </c>
      <c r="BQ350" s="234">
        <v>-9999</v>
      </c>
      <c r="BR350" s="234">
        <v>-9999</v>
      </c>
      <c r="BS350" s="491">
        <v>-9999</v>
      </c>
      <c r="BT350" s="234">
        <v>-9999</v>
      </c>
      <c r="BU350" s="234">
        <v>-9999</v>
      </c>
      <c r="BV350" s="234">
        <v>-9999</v>
      </c>
      <c r="BW350" s="234"/>
      <c r="BX350" s="234">
        <v>-9999</v>
      </c>
      <c r="BY350" s="234">
        <v>-9999</v>
      </c>
      <c r="BZ350" s="496">
        <v>-9999</v>
      </c>
      <c r="CA350" s="496">
        <v>-9999</v>
      </c>
      <c r="CB350" s="499"/>
      <c r="CC350" s="58">
        <v>1</v>
      </c>
      <c r="CD350" s="57">
        <v>4</v>
      </c>
      <c r="CE350" s="401">
        <v>6</v>
      </c>
      <c r="CF350" s="292">
        <v>6.8000000000000007</v>
      </c>
      <c r="CG350" s="57">
        <v>4</v>
      </c>
      <c r="CH350" s="479"/>
    </row>
    <row r="351" spans="1:86" s="23" customFormat="1" x14ac:dyDescent="0.2">
      <c r="A351" s="234"/>
      <c r="B351" s="234"/>
      <c r="C351" s="234"/>
      <c r="D351" s="234"/>
      <c r="E351" s="493"/>
      <c r="F351" s="493"/>
      <c r="G351" s="234"/>
      <c r="H351" s="234"/>
      <c r="I351" s="234"/>
      <c r="J351" s="234"/>
      <c r="K351" s="234"/>
      <c r="L351" s="234"/>
      <c r="M351" s="389"/>
      <c r="N351" s="389"/>
      <c r="O351" s="29"/>
      <c r="P351" s="389"/>
      <c r="Q351" s="234"/>
      <c r="R351" s="389"/>
      <c r="S351" s="234"/>
      <c r="T351" s="237"/>
      <c r="U351" s="234"/>
      <c r="V351" s="234"/>
      <c r="W351" s="237"/>
      <c r="X351" s="389"/>
      <c r="Y351" s="389"/>
      <c r="Z351" s="234"/>
      <c r="AA351" s="520"/>
      <c r="AB351" s="389"/>
      <c r="AC351" s="234"/>
      <c r="AD351" s="234"/>
      <c r="AE351" s="234"/>
      <c r="AF351" s="234"/>
      <c r="AG351" s="234"/>
      <c r="AH351" s="234"/>
      <c r="AI351" s="234"/>
      <c r="AJ351" s="234"/>
      <c r="AK351" s="234"/>
      <c r="AL351" s="234"/>
      <c r="AM351" s="234"/>
      <c r="AN351" s="234"/>
      <c r="AO351" s="234"/>
      <c r="AP351" s="234"/>
      <c r="AQ351" s="234"/>
      <c r="AR351" s="234"/>
      <c r="AS351" s="234"/>
      <c r="AT351" s="234"/>
      <c r="AU351" s="234"/>
      <c r="AV351" s="234"/>
      <c r="AW351" s="234"/>
      <c r="AX351" s="234"/>
      <c r="AY351" s="234"/>
      <c r="AZ351" s="234"/>
      <c r="BA351" s="234"/>
      <c r="BB351" s="234"/>
      <c r="BC351" s="234"/>
      <c r="BD351" s="234"/>
      <c r="BE351" s="234"/>
      <c r="BF351" s="234"/>
      <c r="BG351" s="234"/>
      <c r="BH351" s="234"/>
      <c r="BI351" s="234"/>
      <c r="BJ351" s="234"/>
      <c r="BK351" s="234"/>
      <c r="BL351" s="234"/>
      <c r="BM351" s="234"/>
      <c r="BN351" s="234"/>
      <c r="BO351" s="234"/>
      <c r="BP351" s="234"/>
      <c r="BQ351" s="234"/>
      <c r="BR351" s="234"/>
      <c r="BS351" s="491"/>
      <c r="BT351" s="234"/>
      <c r="BU351" s="234"/>
      <c r="BV351" s="234"/>
      <c r="BW351" s="234"/>
      <c r="BX351" s="234"/>
      <c r="BY351" s="234"/>
      <c r="BZ351" s="496"/>
      <c r="CA351" s="496"/>
      <c r="CB351" s="499"/>
      <c r="CC351" s="58"/>
      <c r="CD351" s="57"/>
      <c r="CE351" s="342" t="s">
        <v>1576</v>
      </c>
      <c r="CF351" s="342" t="s">
        <v>1575</v>
      </c>
      <c r="CG351" s="57"/>
    </row>
    <row r="352" spans="1:86" s="23" customFormat="1" x14ac:dyDescent="0.2">
      <c r="A352" s="234" t="s">
        <v>771</v>
      </c>
      <c r="B352" s="234" t="s">
        <v>42</v>
      </c>
      <c r="C352" s="234" t="s">
        <v>518</v>
      </c>
      <c r="D352" s="234" t="s">
        <v>619</v>
      </c>
      <c r="E352" s="493" t="s">
        <v>1503</v>
      </c>
      <c r="F352" s="493">
        <v>1</v>
      </c>
      <c r="G352" s="234">
        <v>1</v>
      </c>
      <c r="H352" s="234">
        <v>1</v>
      </c>
      <c r="I352" s="234" t="s">
        <v>954</v>
      </c>
      <c r="J352" s="234">
        <v>1970</v>
      </c>
      <c r="K352" s="234" t="s">
        <v>957</v>
      </c>
      <c r="L352" s="234">
        <v>1970</v>
      </c>
      <c r="M352" s="389">
        <v>-9999</v>
      </c>
      <c r="N352" s="389">
        <v>-9999</v>
      </c>
      <c r="O352" s="29"/>
      <c r="P352" s="389">
        <v>1.6</v>
      </c>
      <c r="Q352" s="234">
        <v>-9999</v>
      </c>
      <c r="R352" s="389"/>
      <c r="S352" s="234"/>
      <c r="T352" s="237">
        <f>+P352/G352</f>
        <v>1.6</v>
      </c>
      <c r="U352" s="234">
        <v>-9999</v>
      </c>
      <c r="V352" s="234"/>
      <c r="W352" s="237">
        <v>1.6</v>
      </c>
      <c r="X352" s="389"/>
      <c r="Y352" s="389"/>
      <c r="Z352" s="234" t="s">
        <v>773</v>
      </c>
      <c r="AA352" s="520">
        <v>109649</v>
      </c>
      <c r="AB352" s="389">
        <v>0.96</v>
      </c>
      <c r="AC352" s="234">
        <v>-9999</v>
      </c>
      <c r="AD352" s="234">
        <v>-9999</v>
      </c>
      <c r="AE352" s="234" t="s">
        <v>523</v>
      </c>
      <c r="AF352" s="234">
        <v>3</v>
      </c>
      <c r="AG352" s="234" t="s">
        <v>774</v>
      </c>
      <c r="AH352" s="234" t="s">
        <v>623</v>
      </c>
      <c r="AI352" s="234">
        <v>-9999</v>
      </c>
      <c r="AJ352" s="234">
        <v>-9999</v>
      </c>
      <c r="AK352" s="234" t="s">
        <v>626</v>
      </c>
      <c r="AL352" s="234" t="s">
        <v>653</v>
      </c>
      <c r="AM352" s="234">
        <v>-9999</v>
      </c>
      <c r="AN352" s="234" t="s">
        <v>631</v>
      </c>
      <c r="AO352" s="234">
        <v>-9999</v>
      </c>
      <c r="AP352" s="234">
        <v>-9999</v>
      </c>
      <c r="AQ352" s="234" t="s">
        <v>631</v>
      </c>
      <c r="AR352" s="234">
        <v>0</v>
      </c>
      <c r="AS352" s="234">
        <v>-9999</v>
      </c>
      <c r="AT352" s="234">
        <v>-9999</v>
      </c>
      <c r="AU352" s="234">
        <v>0</v>
      </c>
      <c r="AV352" s="234">
        <v>-9999</v>
      </c>
      <c r="AW352" s="234">
        <v>-9999</v>
      </c>
      <c r="AX352" s="234">
        <v>0</v>
      </c>
      <c r="AY352" s="234">
        <v>-9999</v>
      </c>
      <c r="AZ352" s="234">
        <v>-9999</v>
      </c>
      <c r="BA352" s="234" t="s">
        <v>775</v>
      </c>
      <c r="BB352" s="234" t="s">
        <v>631</v>
      </c>
      <c r="BC352" s="234">
        <v>-9999</v>
      </c>
      <c r="BD352" s="234">
        <v>-9999</v>
      </c>
      <c r="BE352" s="234">
        <v>-9999</v>
      </c>
      <c r="BF352" s="234">
        <v>-9999</v>
      </c>
      <c r="BG352" s="234">
        <v>-9999</v>
      </c>
      <c r="BH352" s="234">
        <v>-9999</v>
      </c>
      <c r="BI352" s="234">
        <v>-9999</v>
      </c>
      <c r="BJ352" s="234">
        <v>-9999</v>
      </c>
      <c r="BK352" s="234">
        <v>-9999</v>
      </c>
      <c r="BL352" s="234">
        <v>-9999</v>
      </c>
      <c r="BM352" s="234">
        <v>-9999</v>
      </c>
      <c r="BN352" s="234">
        <v>-9999</v>
      </c>
      <c r="BO352" s="234">
        <v>-9999</v>
      </c>
      <c r="BP352" s="234">
        <v>-9999</v>
      </c>
      <c r="BQ352" s="234">
        <v>-9999</v>
      </c>
      <c r="BR352" s="234">
        <v>-9999</v>
      </c>
      <c r="BS352" s="491">
        <v>-9999</v>
      </c>
      <c r="BT352" s="234">
        <v>-9999</v>
      </c>
      <c r="BU352" s="234">
        <v>-9999</v>
      </c>
      <c r="BV352" s="234">
        <v>-9999</v>
      </c>
      <c r="BW352" s="234"/>
      <c r="BX352" s="234">
        <v>-9999</v>
      </c>
      <c r="BY352" s="234">
        <v>-9999</v>
      </c>
      <c r="BZ352" s="496">
        <v>-9999</v>
      </c>
      <c r="CA352" s="496">
        <v>-9999</v>
      </c>
      <c r="CB352" s="499"/>
      <c r="CC352" s="58">
        <v>1</v>
      </c>
      <c r="CD352" s="57">
        <v>1</v>
      </c>
      <c r="CE352" s="292">
        <v>1.6</v>
      </c>
      <c r="CF352" s="292">
        <v>1.6</v>
      </c>
      <c r="CG352" s="57">
        <v>1</v>
      </c>
    </row>
    <row r="353" spans="1:86" s="23" customFormat="1" x14ac:dyDescent="0.2">
      <c r="A353" s="234" t="s">
        <v>771</v>
      </c>
      <c r="B353" s="234" t="s">
        <v>42</v>
      </c>
      <c r="C353" s="234" t="s">
        <v>518</v>
      </c>
      <c r="D353" s="234" t="s">
        <v>619</v>
      </c>
      <c r="E353" s="493" t="s">
        <v>1503</v>
      </c>
      <c r="F353" s="493">
        <v>1</v>
      </c>
      <c r="G353" s="234">
        <v>2</v>
      </c>
      <c r="H353" s="234">
        <v>2</v>
      </c>
      <c r="I353" s="234" t="s">
        <v>954</v>
      </c>
      <c r="J353" s="234">
        <v>1970</v>
      </c>
      <c r="K353" s="234" t="s">
        <v>957</v>
      </c>
      <c r="L353" s="234">
        <v>1972</v>
      </c>
      <c r="M353" s="389">
        <v>-9999</v>
      </c>
      <c r="N353" s="389">
        <v>-9999</v>
      </c>
      <c r="O353" s="29"/>
      <c r="P353" s="389">
        <v>14.3</v>
      </c>
      <c r="Q353" s="234">
        <v>-9999</v>
      </c>
      <c r="R353" s="389"/>
      <c r="S353" s="234"/>
      <c r="T353" s="237">
        <f>+P353/G353</f>
        <v>7.15</v>
      </c>
      <c r="U353" s="234">
        <v>-9999</v>
      </c>
      <c r="V353" s="234"/>
      <c r="W353" s="237">
        <f>P353-P352</f>
        <v>12.700000000000001</v>
      </c>
      <c r="X353" s="389"/>
      <c r="Y353" s="389"/>
      <c r="Z353" s="234" t="s">
        <v>773</v>
      </c>
      <c r="AA353" s="520">
        <v>109649</v>
      </c>
      <c r="AB353" s="389">
        <v>0.93</v>
      </c>
      <c r="AC353" s="234">
        <v>-9999</v>
      </c>
      <c r="AD353" s="234">
        <v>-9999</v>
      </c>
      <c r="AE353" s="234" t="s">
        <v>523</v>
      </c>
      <c r="AF353" s="234">
        <v>3</v>
      </c>
      <c r="AG353" s="234" t="s">
        <v>774</v>
      </c>
      <c r="AH353" s="234" t="s">
        <v>623</v>
      </c>
      <c r="AI353" s="234">
        <v>-9999</v>
      </c>
      <c r="AJ353" s="234">
        <v>-9999</v>
      </c>
      <c r="AK353" s="234" t="s">
        <v>626</v>
      </c>
      <c r="AL353" s="234" t="s">
        <v>653</v>
      </c>
      <c r="AM353" s="234">
        <v>-9999</v>
      </c>
      <c r="AN353" s="234" t="s">
        <v>631</v>
      </c>
      <c r="AO353" s="234">
        <v>-9999</v>
      </c>
      <c r="AP353" s="234">
        <v>-9999</v>
      </c>
      <c r="AQ353" s="234" t="s">
        <v>631</v>
      </c>
      <c r="AR353" s="234">
        <v>0</v>
      </c>
      <c r="AS353" s="234">
        <v>-9999</v>
      </c>
      <c r="AT353" s="234">
        <v>-9999</v>
      </c>
      <c r="AU353" s="234">
        <v>0</v>
      </c>
      <c r="AV353" s="234">
        <v>-9999</v>
      </c>
      <c r="AW353" s="234">
        <v>-9999</v>
      </c>
      <c r="AX353" s="234">
        <v>0</v>
      </c>
      <c r="AY353" s="234">
        <v>-9999</v>
      </c>
      <c r="AZ353" s="234">
        <v>-9999</v>
      </c>
      <c r="BA353" s="234" t="s">
        <v>775</v>
      </c>
      <c r="BB353" s="234" t="s">
        <v>631</v>
      </c>
      <c r="BC353" s="234">
        <v>-9999</v>
      </c>
      <c r="BD353" s="234">
        <v>-9999</v>
      </c>
      <c r="BE353" s="234">
        <v>-9999</v>
      </c>
      <c r="BF353" s="234">
        <v>-9999</v>
      </c>
      <c r="BG353" s="234">
        <v>-9999</v>
      </c>
      <c r="BH353" s="234">
        <v>-9999</v>
      </c>
      <c r="BI353" s="234">
        <v>-9999</v>
      </c>
      <c r="BJ353" s="234">
        <v>-9999</v>
      </c>
      <c r="BK353" s="234">
        <v>-9999</v>
      </c>
      <c r="BL353" s="234">
        <v>-9999</v>
      </c>
      <c r="BM353" s="234">
        <v>-9999</v>
      </c>
      <c r="BN353" s="234">
        <v>-9999</v>
      </c>
      <c r="BO353" s="234">
        <v>-9999</v>
      </c>
      <c r="BP353" s="234">
        <v>-9999</v>
      </c>
      <c r="BQ353" s="234">
        <v>-9999</v>
      </c>
      <c r="BR353" s="234">
        <v>-9999</v>
      </c>
      <c r="BS353" s="491">
        <v>-9999</v>
      </c>
      <c r="BT353" s="234">
        <v>-9999</v>
      </c>
      <c r="BU353" s="234">
        <v>-9999</v>
      </c>
      <c r="BV353" s="234">
        <v>-9999</v>
      </c>
      <c r="BW353" s="234"/>
      <c r="BX353" s="234">
        <v>-9999</v>
      </c>
      <c r="BY353" s="234">
        <v>-9999</v>
      </c>
      <c r="BZ353" s="496">
        <v>-9999</v>
      </c>
      <c r="CA353" s="496">
        <v>-9999</v>
      </c>
      <c r="CB353" s="499"/>
      <c r="CC353" s="58">
        <v>1</v>
      </c>
      <c r="CD353" s="57">
        <v>2</v>
      </c>
      <c r="CE353" s="292">
        <v>7.15</v>
      </c>
      <c r="CF353" s="292">
        <v>12.700000000000001</v>
      </c>
      <c r="CG353" s="57">
        <v>2</v>
      </c>
    </row>
    <row r="354" spans="1:86" s="23" customFormat="1" x14ac:dyDescent="0.2">
      <c r="A354" s="234" t="s">
        <v>771</v>
      </c>
      <c r="B354" s="234" t="s">
        <v>42</v>
      </c>
      <c r="C354" s="234" t="s">
        <v>518</v>
      </c>
      <c r="D354" s="234" t="s">
        <v>619</v>
      </c>
      <c r="E354" s="493" t="s">
        <v>1503</v>
      </c>
      <c r="F354" s="493">
        <v>1</v>
      </c>
      <c r="G354" s="234">
        <v>3</v>
      </c>
      <c r="H354" s="234">
        <v>3</v>
      </c>
      <c r="I354" s="234" t="s">
        <v>954</v>
      </c>
      <c r="J354" s="234">
        <v>1970</v>
      </c>
      <c r="K354" s="234" t="s">
        <v>957</v>
      </c>
      <c r="L354" s="234">
        <v>1973</v>
      </c>
      <c r="M354" s="389">
        <v>-9999</v>
      </c>
      <c r="N354" s="389">
        <v>-9999</v>
      </c>
      <c r="O354" s="29"/>
      <c r="P354" s="389">
        <v>27.5</v>
      </c>
      <c r="Q354" s="234">
        <v>-9999</v>
      </c>
      <c r="R354" s="389"/>
      <c r="S354" s="234"/>
      <c r="T354" s="237">
        <f>+P354/G354</f>
        <v>9.1666666666666661</v>
      </c>
      <c r="U354" s="234">
        <v>-9999</v>
      </c>
      <c r="V354" s="234"/>
      <c r="W354" s="237">
        <f>P354-P353</f>
        <v>13.2</v>
      </c>
      <c r="X354" s="389"/>
      <c r="Y354" s="389"/>
      <c r="Z354" s="234" t="s">
        <v>773</v>
      </c>
      <c r="AA354" s="520">
        <v>109649</v>
      </c>
      <c r="AB354" s="389">
        <v>0.88</v>
      </c>
      <c r="AC354" s="234">
        <v>-9999</v>
      </c>
      <c r="AD354" s="234">
        <v>-9999</v>
      </c>
      <c r="AE354" s="234" t="s">
        <v>523</v>
      </c>
      <c r="AF354" s="234">
        <v>3</v>
      </c>
      <c r="AG354" s="234" t="s">
        <v>774</v>
      </c>
      <c r="AH354" s="234" t="s">
        <v>623</v>
      </c>
      <c r="AI354" s="234">
        <v>-9999</v>
      </c>
      <c r="AJ354" s="234">
        <v>-9999</v>
      </c>
      <c r="AK354" s="234" t="s">
        <v>626</v>
      </c>
      <c r="AL354" s="234" t="s">
        <v>653</v>
      </c>
      <c r="AM354" s="234">
        <v>-9999</v>
      </c>
      <c r="AN354" s="234" t="s">
        <v>631</v>
      </c>
      <c r="AO354" s="234">
        <v>-9999</v>
      </c>
      <c r="AP354" s="234">
        <v>-9999</v>
      </c>
      <c r="AQ354" s="234" t="s">
        <v>631</v>
      </c>
      <c r="AR354" s="234">
        <v>0</v>
      </c>
      <c r="AS354" s="234">
        <v>-9999</v>
      </c>
      <c r="AT354" s="234">
        <v>-9999</v>
      </c>
      <c r="AU354" s="234">
        <v>0</v>
      </c>
      <c r="AV354" s="234">
        <v>-9999</v>
      </c>
      <c r="AW354" s="234">
        <v>-9999</v>
      </c>
      <c r="AX354" s="234">
        <v>0</v>
      </c>
      <c r="AY354" s="234">
        <v>-9999</v>
      </c>
      <c r="AZ354" s="234">
        <v>-9999</v>
      </c>
      <c r="BA354" s="234" t="s">
        <v>775</v>
      </c>
      <c r="BB354" s="234" t="s">
        <v>631</v>
      </c>
      <c r="BC354" s="234">
        <v>-9999</v>
      </c>
      <c r="BD354" s="234">
        <v>-9999</v>
      </c>
      <c r="BE354" s="234">
        <v>-9999</v>
      </c>
      <c r="BF354" s="234">
        <v>-9999</v>
      </c>
      <c r="BG354" s="234">
        <v>-9999</v>
      </c>
      <c r="BH354" s="234">
        <v>-9999</v>
      </c>
      <c r="BI354" s="234">
        <v>-9999</v>
      </c>
      <c r="BJ354" s="234">
        <v>-9999</v>
      </c>
      <c r="BK354" s="234">
        <v>-9999</v>
      </c>
      <c r="BL354" s="234">
        <v>-9999</v>
      </c>
      <c r="BM354" s="234">
        <v>-9999</v>
      </c>
      <c r="BN354" s="234">
        <v>-9999</v>
      </c>
      <c r="BO354" s="234">
        <v>-9999</v>
      </c>
      <c r="BP354" s="234">
        <v>-9999</v>
      </c>
      <c r="BQ354" s="234">
        <v>-9999</v>
      </c>
      <c r="BR354" s="234">
        <v>-9999</v>
      </c>
      <c r="BS354" s="491">
        <v>-9999</v>
      </c>
      <c r="BT354" s="234">
        <v>-9999</v>
      </c>
      <c r="BU354" s="234">
        <v>-9999</v>
      </c>
      <c r="BV354" s="234">
        <v>-9999</v>
      </c>
      <c r="BW354" s="234"/>
      <c r="BX354" s="234">
        <v>-9999</v>
      </c>
      <c r="BY354" s="234">
        <v>-9999</v>
      </c>
      <c r="BZ354" s="496">
        <v>-9999</v>
      </c>
      <c r="CA354" s="496">
        <v>-9999</v>
      </c>
      <c r="CB354" s="499"/>
      <c r="CC354" s="58">
        <v>1</v>
      </c>
      <c r="CD354" s="57">
        <v>3</v>
      </c>
      <c r="CE354" s="292">
        <v>9.1666666666666661</v>
      </c>
      <c r="CF354" s="292">
        <v>13.2</v>
      </c>
      <c r="CG354" s="57">
        <v>3</v>
      </c>
    </row>
    <row r="355" spans="1:86" s="13" customFormat="1" x14ac:dyDescent="0.2">
      <c r="A355" s="231" t="s">
        <v>771</v>
      </c>
      <c r="B355" s="231" t="s">
        <v>42</v>
      </c>
      <c r="C355" s="231" t="s">
        <v>518</v>
      </c>
      <c r="D355" s="231" t="s">
        <v>619</v>
      </c>
      <c r="E355" s="493" t="s">
        <v>1503</v>
      </c>
      <c r="F355" s="232">
        <v>1</v>
      </c>
      <c r="G355" s="231">
        <v>4</v>
      </c>
      <c r="H355" s="231">
        <v>4</v>
      </c>
      <c r="I355" s="231" t="s">
        <v>954</v>
      </c>
      <c r="J355" s="231">
        <v>1970</v>
      </c>
      <c r="K355" s="231" t="s">
        <v>957</v>
      </c>
      <c r="L355" s="231">
        <v>1974</v>
      </c>
      <c r="M355" s="235">
        <v>-9999</v>
      </c>
      <c r="N355" s="235">
        <v>-9999</v>
      </c>
      <c r="O355" s="18"/>
      <c r="P355" s="235">
        <v>37.700000000000003</v>
      </c>
      <c r="Q355" s="231">
        <v>-9999</v>
      </c>
      <c r="R355" s="235"/>
      <c r="S355" s="231"/>
      <c r="T355" s="236">
        <f>+P355/G355</f>
        <v>9.4250000000000007</v>
      </c>
      <c r="U355" s="231">
        <v>-9999</v>
      </c>
      <c r="V355" s="231"/>
      <c r="W355" s="236">
        <f>P355-P354</f>
        <v>10.200000000000003</v>
      </c>
      <c r="X355" s="235"/>
      <c r="Y355" s="235"/>
      <c r="Z355" s="231" t="s">
        <v>773</v>
      </c>
      <c r="AA355" s="521">
        <v>109649</v>
      </c>
      <c r="AB355" s="389">
        <v>0.67</v>
      </c>
      <c r="AC355" s="231">
        <v>-9999</v>
      </c>
      <c r="AD355" s="231">
        <v>-9999</v>
      </c>
      <c r="AE355" s="231" t="s">
        <v>523</v>
      </c>
      <c r="AF355" s="231">
        <v>3</v>
      </c>
      <c r="AG355" s="231" t="s">
        <v>774</v>
      </c>
      <c r="AH355" s="231" t="s">
        <v>623</v>
      </c>
      <c r="AI355" s="231">
        <v>-9999</v>
      </c>
      <c r="AJ355" s="231">
        <v>-9999</v>
      </c>
      <c r="AK355" s="231" t="s">
        <v>626</v>
      </c>
      <c r="AL355" s="231" t="s">
        <v>653</v>
      </c>
      <c r="AM355" s="231">
        <v>-9999</v>
      </c>
      <c r="AN355" s="231" t="s">
        <v>631</v>
      </c>
      <c r="AO355" s="231">
        <v>-9999</v>
      </c>
      <c r="AP355" s="231">
        <v>-9999</v>
      </c>
      <c r="AQ355" s="231" t="s">
        <v>631</v>
      </c>
      <c r="AR355" s="231">
        <v>0</v>
      </c>
      <c r="AS355" s="231">
        <v>-9999</v>
      </c>
      <c r="AT355" s="231">
        <v>-9999</v>
      </c>
      <c r="AU355" s="231">
        <v>0</v>
      </c>
      <c r="AV355" s="231">
        <v>-9999</v>
      </c>
      <c r="AW355" s="231">
        <v>-9999</v>
      </c>
      <c r="AX355" s="231">
        <v>0</v>
      </c>
      <c r="AY355" s="231">
        <v>-9999</v>
      </c>
      <c r="AZ355" s="231">
        <v>-9999</v>
      </c>
      <c r="BA355" s="231" t="s">
        <v>775</v>
      </c>
      <c r="BB355" s="231" t="s">
        <v>631</v>
      </c>
      <c r="BC355" s="231">
        <v>-9999</v>
      </c>
      <c r="BD355" s="231">
        <v>-9999</v>
      </c>
      <c r="BE355" s="231">
        <v>-9999</v>
      </c>
      <c r="BF355" s="231">
        <v>-9999</v>
      </c>
      <c r="BG355" s="231">
        <v>-9999</v>
      </c>
      <c r="BH355" s="231">
        <v>-9999</v>
      </c>
      <c r="BI355" s="231">
        <v>-9999</v>
      </c>
      <c r="BJ355" s="231">
        <v>-9999</v>
      </c>
      <c r="BK355" s="231">
        <v>-9999</v>
      </c>
      <c r="BL355" s="231">
        <v>-9999</v>
      </c>
      <c r="BM355" s="231">
        <v>-9999</v>
      </c>
      <c r="BN355" s="231">
        <v>-9999</v>
      </c>
      <c r="BO355" s="231">
        <v>-9999</v>
      </c>
      <c r="BP355" s="231">
        <v>-9999</v>
      </c>
      <c r="BQ355" s="231">
        <v>-9999</v>
      </c>
      <c r="BR355" s="231">
        <v>-9999</v>
      </c>
      <c r="BS355" s="233">
        <v>-9999</v>
      </c>
      <c r="BT355" s="231">
        <v>-9999</v>
      </c>
      <c r="BU355" s="231">
        <v>-9999</v>
      </c>
      <c r="BV355" s="231">
        <v>-9999</v>
      </c>
      <c r="BW355" s="231"/>
      <c r="BX355" s="231">
        <v>-9999</v>
      </c>
      <c r="BY355" s="231">
        <v>-9999</v>
      </c>
      <c r="BZ355" s="238">
        <v>-9999</v>
      </c>
      <c r="CA355" s="238">
        <v>-9999</v>
      </c>
      <c r="CB355" s="239"/>
      <c r="CC355" s="175">
        <v>1</v>
      </c>
      <c r="CD355" s="174">
        <v>4</v>
      </c>
      <c r="CE355" s="393">
        <v>9.4250000000000007</v>
      </c>
      <c r="CF355" s="99">
        <v>10.200000000000003</v>
      </c>
      <c r="CG355" s="174">
        <v>4</v>
      </c>
      <c r="CH355" s="436" t="s">
        <v>1757</v>
      </c>
    </row>
    <row r="356" spans="1:86" s="23" customFormat="1" x14ac:dyDescent="0.2">
      <c r="A356" s="234"/>
      <c r="B356" s="234"/>
      <c r="C356" s="234"/>
      <c r="D356" s="234"/>
      <c r="E356" s="493"/>
      <c r="F356" s="493"/>
      <c r="G356" s="234"/>
      <c r="H356" s="234"/>
      <c r="I356" s="234"/>
      <c r="J356" s="234"/>
      <c r="K356" s="234"/>
      <c r="L356" s="234"/>
      <c r="M356" s="389"/>
      <c r="N356" s="389"/>
      <c r="O356" s="29"/>
      <c r="P356" s="389"/>
      <c r="Q356" s="234"/>
      <c r="R356" s="389"/>
      <c r="S356" s="234"/>
      <c r="T356" s="237"/>
      <c r="U356" s="234"/>
      <c r="V356" s="234"/>
      <c r="W356" s="237"/>
      <c r="X356" s="389"/>
      <c r="Y356" s="389"/>
      <c r="Z356" s="234"/>
      <c r="AA356" s="520"/>
      <c r="AB356" s="389"/>
      <c r="AC356" s="234"/>
      <c r="AD356" s="234"/>
      <c r="AE356" s="234"/>
      <c r="AF356" s="234"/>
      <c r="AG356" s="234"/>
      <c r="AH356" s="234"/>
      <c r="AI356" s="234"/>
      <c r="AJ356" s="234"/>
      <c r="AK356" s="234"/>
      <c r="AL356" s="234"/>
      <c r="AM356" s="234"/>
      <c r="AN356" s="234"/>
      <c r="AO356" s="234"/>
      <c r="AP356" s="234"/>
      <c r="AQ356" s="234"/>
      <c r="AR356" s="234"/>
      <c r="AS356" s="234"/>
      <c r="AT356" s="234"/>
      <c r="AU356" s="234"/>
      <c r="AV356" s="234"/>
      <c r="AW356" s="234"/>
      <c r="AX356" s="234"/>
      <c r="AY356" s="234"/>
      <c r="AZ356" s="234"/>
      <c r="BA356" s="234"/>
      <c r="BB356" s="234"/>
      <c r="BC356" s="234"/>
      <c r="BD356" s="234"/>
      <c r="BE356" s="234"/>
      <c r="BF356" s="234"/>
      <c r="BG356" s="234"/>
      <c r="BH356" s="234"/>
      <c r="BI356" s="234"/>
      <c r="BJ356" s="234"/>
      <c r="BK356" s="234"/>
      <c r="BL356" s="234"/>
      <c r="BM356" s="234"/>
      <c r="BN356" s="234"/>
      <c r="BO356" s="234"/>
      <c r="BP356" s="234"/>
      <c r="BQ356" s="234"/>
      <c r="BR356" s="234"/>
      <c r="BS356" s="491"/>
      <c r="BT356" s="234"/>
      <c r="BU356" s="234"/>
      <c r="BV356" s="234"/>
      <c r="BW356" s="234"/>
      <c r="BX356" s="234"/>
      <c r="BY356" s="234"/>
      <c r="BZ356" s="496"/>
      <c r="CA356" s="496"/>
      <c r="CB356" s="499"/>
      <c r="CC356" s="58"/>
      <c r="CD356" s="57"/>
      <c r="CE356" s="342" t="s">
        <v>1576</v>
      </c>
      <c r="CF356" s="342" t="s">
        <v>1575</v>
      </c>
      <c r="CG356" s="57"/>
    </row>
    <row r="357" spans="1:86" s="23" customFormat="1" x14ac:dyDescent="0.2">
      <c r="A357" s="234" t="s">
        <v>771</v>
      </c>
      <c r="B357" s="234" t="s">
        <v>42</v>
      </c>
      <c r="C357" s="234" t="s">
        <v>519</v>
      </c>
      <c r="D357" s="234" t="s">
        <v>619</v>
      </c>
      <c r="E357" s="493" t="s">
        <v>1503</v>
      </c>
      <c r="F357" s="493">
        <v>1</v>
      </c>
      <c r="G357" s="234">
        <v>1</v>
      </c>
      <c r="H357" s="234">
        <v>1</v>
      </c>
      <c r="I357" s="234" t="s">
        <v>954</v>
      </c>
      <c r="J357" s="234">
        <v>1970</v>
      </c>
      <c r="K357" s="234" t="s">
        <v>957</v>
      </c>
      <c r="L357" s="234">
        <v>1970</v>
      </c>
      <c r="M357" s="389">
        <v>-9999</v>
      </c>
      <c r="N357" s="389">
        <v>-9999</v>
      </c>
      <c r="O357" s="29"/>
      <c r="P357" s="389">
        <v>0.8</v>
      </c>
      <c r="Q357" s="234">
        <v>-9999</v>
      </c>
      <c r="R357" s="389"/>
      <c r="S357" s="234"/>
      <c r="T357" s="237">
        <f>+P357/G357</f>
        <v>0.8</v>
      </c>
      <c r="U357" s="234">
        <v>-9999</v>
      </c>
      <c r="V357" s="234"/>
      <c r="W357" s="237">
        <v>0.8</v>
      </c>
      <c r="X357" s="389"/>
      <c r="Y357" s="389"/>
      <c r="Z357" s="234" t="s">
        <v>43</v>
      </c>
      <c r="AA357" s="520">
        <v>54825</v>
      </c>
      <c r="AB357" s="389">
        <v>0.89</v>
      </c>
      <c r="AC357" s="234">
        <v>-9999</v>
      </c>
      <c r="AD357" s="234">
        <v>-9999</v>
      </c>
      <c r="AE357" s="234" t="s">
        <v>523</v>
      </c>
      <c r="AF357" s="234">
        <v>3</v>
      </c>
      <c r="AG357" s="234" t="s">
        <v>774</v>
      </c>
      <c r="AH357" s="234" t="s">
        <v>623</v>
      </c>
      <c r="AI357" s="234">
        <v>-9999</v>
      </c>
      <c r="AJ357" s="234">
        <v>-9999</v>
      </c>
      <c r="AK357" s="234" t="s">
        <v>626</v>
      </c>
      <c r="AL357" s="234" t="s">
        <v>653</v>
      </c>
      <c r="AM357" s="234">
        <v>-9999</v>
      </c>
      <c r="AN357" s="234" t="s">
        <v>631</v>
      </c>
      <c r="AO357" s="234">
        <v>-9999</v>
      </c>
      <c r="AP357" s="234">
        <v>-9999</v>
      </c>
      <c r="AQ357" s="234" t="s">
        <v>631</v>
      </c>
      <c r="AR357" s="234">
        <v>0</v>
      </c>
      <c r="AS357" s="234">
        <v>-9999</v>
      </c>
      <c r="AT357" s="234">
        <v>-9999</v>
      </c>
      <c r="AU357" s="234">
        <v>0</v>
      </c>
      <c r="AV357" s="234">
        <v>-9999</v>
      </c>
      <c r="AW357" s="234">
        <v>-9999</v>
      </c>
      <c r="AX357" s="234">
        <v>0</v>
      </c>
      <c r="AY357" s="234">
        <v>-9999</v>
      </c>
      <c r="AZ357" s="234">
        <v>-9999</v>
      </c>
      <c r="BA357" s="234" t="s">
        <v>775</v>
      </c>
      <c r="BB357" s="234" t="s">
        <v>631</v>
      </c>
      <c r="BC357" s="234">
        <v>-9999</v>
      </c>
      <c r="BD357" s="234">
        <v>-9999</v>
      </c>
      <c r="BE357" s="234">
        <v>-9999</v>
      </c>
      <c r="BF357" s="234">
        <v>-9999</v>
      </c>
      <c r="BG357" s="234">
        <v>-9999</v>
      </c>
      <c r="BH357" s="234">
        <v>-9999</v>
      </c>
      <c r="BI357" s="234">
        <v>-9999</v>
      </c>
      <c r="BJ357" s="234">
        <v>-9999</v>
      </c>
      <c r="BK357" s="234">
        <v>-9999</v>
      </c>
      <c r="BL357" s="234">
        <v>-9999</v>
      </c>
      <c r="BM357" s="234">
        <v>-9999</v>
      </c>
      <c r="BN357" s="234">
        <v>-9999</v>
      </c>
      <c r="BO357" s="234">
        <v>-9999</v>
      </c>
      <c r="BP357" s="234">
        <v>-9999</v>
      </c>
      <c r="BQ357" s="234">
        <v>-9999</v>
      </c>
      <c r="BR357" s="234">
        <v>-9999</v>
      </c>
      <c r="BS357" s="491">
        <v>-9999</v>
      </c>
      <c r="BT357" s="234">
        <v>-9999</v>
      </c>
      <c r="BU357" s="234">
        <v>-9999</v>
      </c>
      <c r="BV357" s="234">
        <v>-9999</v>
      </c>
      <c r="BW357" s="234"/>
      <c r="BX357" s="234">
        <v>-9999</v>
      </c>
      <c r="BY357" s="234">
        <v>-9999</v>
      </c>
      <c r="BZ357" s="496">
        <v>-9999</v>
      </c>
      <c r="CA357" s="496">
        <v>-9999</v>
      </c>
      <c r="CB357" s="499"/>
      <c r="CC357" s="58">
        <v>1</v>
      </c>
      <c r="CD357" s="57">
        <v>1</v>
      </c>
      <c r="CE357" s="292">
        <v>0.8</v>
      </c>
      <c r="CF357" s="292">
        <v>0.8</v>
      </c>
      <c r="CG357" s="57">
        <v>1</v>
      </c>
    </row>
    <row r="358" spans="1:86" s="23" customFormat="1" x14ac:dyDescent="0.2">
      <c r="A358" s="234" t="s">
        <v>771</v>
      </c>
      <c r="B358" s="234" t="s">
        <v>42</v>
      </c>
      <c r="C358" s="234" t="s">
        <v>519</v>
      </c>
      <c r="D358" s="234" t="s">
        <v>619</v>
      </c>
      <c r="E358" s="493" t="s">
        <v>1503</v>
      </c>
      <c r="F358" s="493">
        <v>1</v>
      </c>
      <c r="G358" s="234">
        <v>2</v>
      </c>
      <c r="H358" s="234">
        <v>2</v>
      </c>
      <c r="I358" s="234" t="s">
        <v>954</v>
      </c>
      <c r="J358" s="234">
        <v>1970</v>
      </c>
      <c r="K358" s="234" t="s">
        <v>957</v>
      </c>
      <c r="L358" s="234">
        <v>1972</v>
      </c>
      <c r="M358" s="389">
        <v>-9999</v>
      </c>
      <c r="N358" s="389">
        <v>-9999</v>
      </c>
      <c r="O358" s="29"/>
      <c r="P358" s="389">
        <v>9.1999999999999993</v>
      </c>
      <c r="Q358" s="234">
        <v>-9999</v>
      </c>
      <c r="R358" s="389"/>
      <c r="S358" s="234"/>
      <c r="T358" s="237">
        <f>+P358/G358</f>
        <v>4.5999999999999996</v>
      </c>
      <c r="U358" s="234">
        <v>-9999</v>
      </c>
      <c r="V358" s="234"/>
      <c r="W358" s="237">
        <f>P358-P357</f>
        <v>8.3999999999999986</v>
      </c>
      <c r="X358" s="389"/>
      <c r="Y358" s="389"/>
      <c r="Z358" s="234" t="s">
        <v>43</v>
      </c>
      <c r="AA358" s="520">
        <v>54825</v>
      </c>
      <c r="AB358" s="389">
        <v>0.87</v>
      </c>
      <c r="AC358" s="234">
        <v>-9999</v>
      </c>
      <c r="AD358" s="234">
        <v>-9999</v>
      </c>
      <c r="AE358" s="234" t="s">
        <v>523</v>
      </c>
      <c r="AF358" s="234">
        <v>3</v>
      </c>
      <c r="AG358" s="234" t="s">
        <v>774</v>
      </c>
      <c r="AH358" s="234" t="s">
        <v>623</v>
      </c>
      <c r="AI358" s="234">
        <v>-9999</v>
      </c>
      <c r="AJ358" s="234">
        <v>-9999</v>
      </c>
      <c r="AK358" s="234" t="s">
        <v>626</v>
      </c>
      <c r="AL358" s="234" t="s">
        <v>653</v>
      </c>
      <c r="AM358" s="234">
        <v>-9999</v>
      </c>
      <c r="AN358" s="234" t="s">
        <v>631</v>
      </c>
      <c r="AO358" s="234">
        <v>-9999</v>
      </c>
      <c r="AP358" s="234">
        <v>-9999</v>
      </c>
      <c r="AQ358" s="234" t="s">
        <v>631</v>
      </c>
      <c r="AR358" s="234">
        <v>0</v>
      </c>
      <c r="AS358" s="234">
        <v>-9999</v>
      </c>
      <c r="AT358" s="234">
        <v>-9999</v>
      </c>
      <c r="AU358" s="234">
        <v>0</v>
      </c>
      <c r="AV358" s="234">
        <v>-9999</v>
      </c>
      <c r="AW358" s="234">
        <v>-9999</v>
      </c>
      <c r="AX358" s="234">
        <v>0</v>
      </c>
      <c r="AY358" s="234">
        <v>-9999</v>
      </c>
      <c r="AZ358" s="234">
        <v>-9999</v>
      </c>
      <c r="BA358" s="234" t="s">
        <v>775</v>
      </c>
      <c r="BB358" s="234" t="s">
        <v>631</v>
      </c>
      <c r="BC358" s="234">
        <v>-9999</v>
      </c>
      <c r="BD358" s="234">
        <v>-9999</v>
      </c>
      <c r="BE358" s="234">
        <v>-9999</v>
      </c>
      <c r="BF358" s="234">
        <v>-9999</v>
      </c>
      <c r="BG358" s="234">
        <v>-9999</v>
      </c>
      <c r="BH358" s="234">
        <v>-9999</v>
      </c>
      <c r="BI358" s="234">
        <v>-9999</v>
      </c>
      <c r="BJ358" s="234">
        <v>-9999</v>
      </c>
      <c r="BK358" s="234">
        <v>-9999</v>
      </c>
      <c r="BL358" s="234">
        <v>-9999</v>
      </c>
      <c r="BM358" s="234">
        <v>-9999</v>
      </c>
      <c r="BN358" s="234">
        <v>-9999</v>
      </c>
      <c r="BO358" s="234">
        <v>-9999</v>
      </c>
      <c r="BP358" s="234">
        <v>-9999</v>
      </c>
      <c r="BQ358" s="234">
        <v>-9999</v>
      </c>
      <c r="BR358" s="234">
        <v>-9999</v>
      </c>
      <c r="BS358" s="491">
        <v>-9999</v>
      </c>
      <c r="BT358" s="234">
        <v>-9999</v>
      </c>
      <c r="BU358" s="234">
        <v>-9999</v>
      </c>
      <c r="BV358" s="234">
        <v>-9999</v>
      </c>
      <c r="BW358" s="234"/>
      <c r="BX358" s="234">
        <v>-9999</v>
      </c>
      <c r="BY358" s="234">
        <v>-9999</v>
      </c>
      <c r="BZ358" s="496">
        <v>-9999</v>
      </c>
      <c r="CA358" s="496">
        <v>-9999</v>
      </c>
      <c r="CB358" s="499"/>
      <c r="CC358" s="58">
        <v>1</v>
      </c>
      <c r="CD358" s="57">
        <v>2</v>
      </c>
      <c r="CE358" s="292">
        <v>4.5999999999999996</v>
      </c>
      <c r="CF358" s="292">
        <v>8.3999999999999986</v>
      </c>
      <c r="CG358" s="57">
        <v>2</v>
      </c>
    </row>
    <row r="359" spans="1:86" s="23" customFormat="1" x14ac:dyDescent="0.2">
      <c r="A359" s="234" t="s">
        <v>771</v>
      </c>
      <c r="B359" s="234" t="s">
        <v>42</v>
      </c>
      <c r="C359" s="234" t="s">
        <v>519</v>
      </c>
      <c r="D359" s="234" t="s">
        <v>619</v>
      </c>
      <c r="E359" s="493" t="s">
        <v>1503</v>
      </c>
      <c r="F359" s="493">
        <v>1</v>
      </c>
      <c r="G359" s="234">
        <v>3</v>
      </c>
      <c r="H359" s="234">
        <v>3</v>
      </c>
      <c r="I359" s="234" t="s">
        <v>954</v>
      </c>
      <c r="J359" s="234">
        <v>1970</v>
      </c>
      <c r="K359" s="234" t="s">
        <v>957</v>
      </c>
      <c r="L359" s="234">
        <v>1973</v>
      </c>
      <c r="M359" s="389">
        <v>-9999</v>
      </c>
      <c r="N359" s="389">
        <v>-9999</v>
      </c>
      <c r="O359" s="29"/>
      <c r="P359" s="389">
        <v>18.8</v>
      </c>
      <c r="Q359" s="234">
        <v>-9999</v>
      </c>
      <c r="R359" s="389"/>
      <c r="S359" s="234"/>
      <c r="T359" s="237">
        <f>+P359/G359</f>
        <v>6.2666666666666666</v>
      </c>
      <c r="U359" s="234">
        <v>-9999</v>
      </c>
      <c r="V359" s="234"/>
      <c r="W359" s="237">
        <f>P359-P358</f>
        <v>9.6000000000000014</v>
      </c>
      <c r="X359" s="389"/>
      <c r="Y359" s="389"/>
      <c r="Z359" s="234" t="s">
        <v>43</v>
      </c>
      <c r="AA359" s="520">
        <v>54825</v>
      </c>
      <c r="AB359" s="389">
        <v>0.8</v>
      </c>
      <c r="AC359" s="234">
        <v>-9999</v>
      </c>
      <c r="AD359" s="234">
        <v>-9999</v>
      </c>
      <c r="AE359" s="234" t="s">
        <v>523</v>
      </c>
      <c r="AF359" s="234">
        <v>3</v>
      </c>
      <c r="AG359" s="234" t="s">
        <v>774</v>
      </c>
      <c r="AH359" s="234" t="s">
        <v>623</v>
      </c>
      <c r="AI359" s="234">
        <v>-9999</v>
      </c>
      <c r="AJ359" s="234">
        <v>-9999</v>
      </c>
      <c r="AK359" s="234" t="s">
        <v>626</v>
      </c>
      <c r="AL359" s="234" t="s">
        <v>653</v>
      </c>
      <c r="AM359" s="234">
        <v>-9999</v>
      </c>
      <c r="AN359" s="234" t="s">
        <v>631</v>
      </c>
      <c r="AO359" s="234">
        <v>-9999</v>
      </c>
      <c r="AP359" s="234">
        <v>-9999</v>
      </c>
      <c r="AQ359" s="234" t="s">
        <v>631</v>
      </c>
      <c r="AR359" s="234">
        <v>0</v>
      </c>
      <c r="AS359" s="234">
        <v>-9999</v>
      </c>
      <c r="AT359" s="234">
        <v>-9999</v>
      </c>
      <c r="AU359" s="234">
        <v>0</v>
      </c>
      <c r="AV359" s="234">
        <v>-9999</v>
      </c>
      <c r="AW359" s="234">
        <v>-9999</v>
      </c>
      <c r="AX359" s="234">
        <v>0</v>
      </c>
      <c r="AY359" s="234">
        <v>-9999</v>
      </c>
      <c r="AZ359" s="234">
        <v>-9999</v>
      </c>
      <c r="BA359" s="234" t="s">
        <v>775</v>
      </c>
      <c r="BB359" s="234" t="s">
        <v>631</v>
      </c>
      <c r="BC359" s="234">
        <v>-9999</v>
      </c>
      <c r="BD359" s="234">
        <v>-9999</v>
      </c>
      <c r="BE359" s="234">
        <v>-9999</v>
      </c>
      <c r="BF359" s="234">
        <v>-9999</v>
      </c>
      <c r="BG359" s="234">
        <v>-9999</v>
      </c>
      <c r="BH359" s="234">
        <v>-9999</v>
      </c>
      <c r="BI359" s="234">
        <v>-9999</v>
      </c>
      <c r="BJ359" s="234">
        <v>-9999</v>
      </c>
      <c r="BK359" s="234">
        <v>-9999</v>
      </c>
      <c r="BL359" s="234">
        <v>-9999</v>
      </c>
      <c r="BM359" s="234">
        <v>-9999</v>
      </c>
      <c r="BN359" s="234">
        <v>-9999</v>
      </c>
      <c r="BO359" s="234">
        <v>-9999</v>
      </c>
      <c r="BP359" s="234">
        <v>-9999</v>
      </c>
      <c r="BQ359" s="234">
        <v>-9999</v>
      </c>
      <c r="BR359" s="234">
        <v>-9999</v>
      </c>
      <c r="BS359" s="491">
        <v>-9999</v>
      </c>
      <c r="BT359" s="234">
        <v>-9999</v>
      </c>
      <c r="BU359" s="234">
        <v>-9999</v>
      </c>
      <c r="BV359" s="234">
        <v>-9999</v>
      </c>
      <c r="BW359" s="234"/>
      <c r="BX359" s="234">
        <v>-9999</v>
      </c>
      <c r="BY359" s="234">
        <v>-9999</v>
      </c>
      <c r="BZ359" s="496">
        <v>-9999</v>
      </c>
      <c r="CA359" s="496">
        <v>-9999</v>
      </c>
      <c r="CB359" s="499"/>
      <c r="CC359" s="58">
        <v>1</v>
      </c>
      <c r="CD359" s="57">
        <v>3</v>
      </c>
      <c r="CE359" s="292">
        <v>6.2666666666666666</v>
      </c>
      <c r="CF359" s="292">
        <v>9.6000000000000014</v>
      </c>
      <c r="CG359" s="57">
        <v>3</v>
      </c>
    </row>
    <row r="360" spans="1:86" s="23" customFormat="1" x14ac:dyDescent="0.2">
      <c r="A360" s="234" t="s">
        <v>771</v>
      </c>
      <c r="B360" s="234" t="s">
        <v>42</v>
      </c>
      <c r="C360" s="234" t="s">
        <v>519</v>
      </c>
      <c r="D360" s="234" t="s">
        <v>619</v>
      </c>
      <c r="E360" s="493" t="s">
        <v>1503</v>
      </c>
      <c r="F360" s="493">
        <v>1</v>
      </c>
      <c r="G360" s="234">
        <v>4</v>
      </c>
      <c r="H360" s="234">
        <v>4</v>
      </c>
      <c r="I360" s="234" t="s">
        <v>954</v>
      </c>
      <c r="J360" s="234">
        <v>1970</v>
      </c>
      <c r="K360" s="234" t="s">
        <v>957</v>
      </c>
      <c r="L360" s="234">
        <v>1974</v>
      </c>
      <c r="M360" s="389">
        <v>-9999</v>
      </c>
      <c r="N360" s="389">
        <v>-9999</v>
      </c>
      <c r="O360" s="29"/>
      <c r="P360" s="389">
        <v>25.8</v>
      </c>
      <c r="Q360" s="234">
        <v>-9999</v>
      </c>
      <c r="R360" s="389"/>
      <c r="S360" s="234"/>
      <c r="T360" s="237">
        <f>+P360/G360</f>
        <v>6.45</v>
      </c>
      <c r="U360" s="234">
        <v>-9999</v>
      </c>
      <c r="V360" s="234"/>
      <c r="W360" s="237">
        <f>P360-P359</f>
        <v>7</v>
      </c>
      <c r="X360" s="389"/>
      <c r="Y360" s="389"/>
      <c r="Z360" s="234" t="s">
        <v>43</v>
      </c>
      <c r="AA360" s="520">
        <v>54825</v>
      </c>
      <c r="AB360" s="389">
        <v>0.71</v>
      </c>
      <c r="AC360" s="234">
        <v>-9999</v>
      </c>
      <c r="AD360" s="234">
        <v>-9999</v>
      </c>
      <c r="AE360" s="234" t="s">
        <v>523</v>
      </c>
      <c r="AF360" s="234">
        <v>3</v>
      </c>
      <c r="AG360" s="234" t="s">
        <v>774</v>
      </c>
      <c r="AH360" s="234" t="s">
        <v>623</v>
      </c>
      <c r="AI360" s="234">
        <v>-9999</v>
      </c>
      <c r="AJ360" s="234">
        <v>-9999</v>
      </c>
      <c r="AK360" s="234" t="s">
        <v>626</v>
      </c>
      <c r="AL360" s="234" t="s">
        <v>653</v>
      </c>
      <c r="AM360" s="234">
        <v>-9999</v>
      </c>
      <c r="AN360" s="234" t="s">
        <v>631</v>
      </c>
      <c r="AO360" s="234">
        <v>-9999</v>
      </c>
      <c r="AP360" s="234">
        <v>-9999</v>
      </c>
      <c r="AQ360" s="234" t="s">
        <v>631</v>
      </c>
      <c r="AR360" s="234">
        <v>0</v>
      </c>
      <c r="AS360" s="234">
        <v>-9999</v>
      </c>
      <c r="AT360" s="234">
        <v>-9999</v>
      </c>
      <c r="AU360" s="234">
        <v>0</v>
      </c>
      <c r="AV360" s="234">
        <v>-9999</v>
      </c>
      <c r="AW360" s="234">
        <v>-9999</v>
      </c>
      <c r="AX360" s="234">
        <v>0</v>
      </c>
      <c r="AY360" s="234">
        <v>-9999</v>
      </c>
      <c r="AZ360" s="234">
        <v>-9999</v>
      </c>
      <c r="BA360" s="234" t="s">
        <v>775</v>
      </c>
      <c r="BB360" s="234" t="s">
        <v>631</v>
      </c>
      <c r="BC360" s="234">
        <v>-9999</v>
      </c>
      <c r="BD360" s="234">
        <v>-9999</v>
      </c>
      <c r="BE360" s="234">
        <v>-9999</v>
      </c>
      <c r="BF360" s="234">
        <v>-9999</v>
      </c>
      <c r="BG360" s="234">
        <v>-9999</v>
      </c>
      <c r="BH360" s="234">
        <v>-9999</v>
      </c>
      <c r="BI360" s="234">
        <v>-9999</v>
      </c>
      <c r="BJ360" s="234">
        <v>-9999</v>
      </c>
      <c r="BK360" s="234">
        <v>-9999</v>
      </c>
      <c r="BL360" s="234">
        <v>-9999</v>
      </c>
      <c r="BM360" s="234">
        <v>-9999</v>
      </c>
      <c r="BN360" s="234">
        <v>-9999</v>
      </c>
      <c r="BO360" s="234">
        <v>-9999</v>
      </c>
      <c r="BP360" s="234">
        <v>-9999</v>
      </c>
      <c r="BQ360" s="234">
        <v>-9999</v>
      </c>
      <c r="BR360" s="234">
        <v>-9999</v>
      </c>
      <c r="BS360" s="491">
        <v>-9999</v>
      </c>
      <c r="BT360" s="234">
        <v>-9999</v>
      </c>
      <c r="BU360" s="234">
        <v>-9999</v>
      </c>
      <c r="BV360" s="234">
        <v>-9999</v>
      </c>
      <c r="BW360" s="234"/>
      <c r="BX360" s="234">
        <v>-9999</v>
      </c>
      <c r="BY360" s="234">
        <v>-9999</v>
      </c>
      <c r="BZ360" s="496">
        <v>-9999</v>
      </c>
      <c r="CA360" s="496">
        <v>-9999</v>
      </c>
      <c r="CB360" s="499"/>
      <c r="CC360" s="58">
        <v>1</v>
      </c>
      <c r="CD360" s="57">
        <v>4</v>
      </c>
      <c r="CE360" s="401">
        <v>6.45</v>
      </c>
      <c r="CF360" s="292">
        <v>7</v>
      </c>
      <c r="CG360" s="57">
        <v>4</v>
      </c>
      <c r="CH360" s="479"/>
    </row>
    <row r="361" spans="1:86" s="23" customFormat="1" x14ac:dyDescent="0.2">
      <c r="A361" s="234"/>
      <c r="B361" s="234"/>
      <c r="C361" s="234"/>
      <c r="D361" s="234"/>
      <c r="E361" s="493"/>
      <c r="F361" s="493"/>
      <c r="G361" s="234"/>
      <c r="H361" s="234"/>
      <c r="I361" s="234"/>
      <c r="J361" s="234"/>
      <c r="K361" s="234"/>
      <c r="L361" s="234"/>
      <c r="M361" s="389"/>
      <c r="N361" s="389"/>
      <c r="O361" s="29"/>
      <c r="P361" s="389"/>
      <c r="Q361" s="234"/>
      <c r="R361" s="389"/>
      <c r="S361" s="234"/>
      <c r="T361" s="237"/>
      <c r="U361" s="234"/>
      <c r="V361" s="234"/>
      <c r="W361" s="237"/>
      <c r="X361" s="389"/>
      <c r="Y361" s="389"/>
      <c r="Z361" s="234"/>
      <c r="AA361" s="520"/>
      <c r="AB361" s="389"/>
      <c r="AC361" s="234"/>
      <c r="AD361" s="234"/>
      <c r="AE361" s="234"/>
      <c r="AF361" s="234"/>
      <c r="AG361" s="234"/>
      <c r="AH361" s="234"/>
      <c r="AI361" s="234"/>
      <c r="AJ361" s="234"/>
      <c r="AK361" s="234"/>
      <c r="AL361" s="234"/>
      <c r="AM361" s="234"/>
      <c r="AN361" s="234"/>
      <c r="AO361" s="234"/>
      <c r="AP361" s="234"/>
      <c r="AQ361" s="234"/>
      <c r="AR361" s="234"/>
      <c r="AS361" s="234"/>
      <c r="AT361" s="234"/>
      <c r="AU361" s="234"/>
      <c r="AV361" s="234"/>
      <c r="AW361" s="234"/>
      <c r="AX361" s="234"/>
      <c r="AY361" s="234"/>
      <c r="AZ361" s="234"/>
      <c r="BA361" s="234"/>
      <c r="BB361" s="234"/>
      <c r="BC361" s="234"/>
      <c r="BD361" s="234"/>
      <c r="BE361" s="234"/>
      <c r="BF361" s="234"/>
      <c r="BG361" s="234"/>
      <c r="BH361" s="234"/>
      <c r="BI361" s="234"/>
      <c r="BJ361" s="234"/>
      <c r="BK361" s="234"/>
      <c r="BL361" s="234"/>
      <c r="BM361" s="234"/>
      <c r="BN361" s="234"/>
      <c r="BO361" s="234"/>
      <c r="BP361" s="234"/>
      <c r="BQ361" s="234"/>
      <c r="BR361" s="234"/>
      <c r="BS361" s="491"/>
      <c r="BT361" s="234"/>
      <c r="BU361" s="234"/>
      <c r="BV361" s="234"/>
      <c r="BW361" s="234"/>
      <c r="BX361" s="234"/>
      <c r="BY361" s="234"/>
      <c r="BZ361" s="496"/>
      <c r="CA361" s="496"/>
      <c r="CB361" s="499"/>
      <c r="CC361" s="58"/>
      <c r="CD361" s="57"/>
      <c r="CE361" s="342" t="s">
        <v>1576</v>
      </c>
      <c r="CF361" s="342" t="s">
        <v>1575</v>
      </c>
      <c r="CG361" s="57"/>
    </row>
    <row r="362" spans="1:86" s="23" customFormat="1" x14ac:dyDescent="0.2">
      <c r="A362" s="234" t="s">
        <v>771</v>
      </c>
      <c r="B362" s="234" t="s">
        <v>42</v>
      </c>
      <c r="C362" s="234" t="s">
        <v>520</v>
      </c>
      <c r="D362" s="234" t="s">
        <v>619</v>
      </c>
      <c r="E362" s="493" t="s">
        <v>1503</v>
      </c>
      <c r="F362" s="493">
        <v>1</v>
      </c>
      <c r="G362" s="234">
        <v>1</v>
      </c>
      <c r="H362" s="234">
        <v>1</v>
      </c>
      <c r="I362" s="234" t="s">
        <v>954</v>
      </c>
      <c r="J362" s="234">
        <v>1970</v>
      </c>
      <c r="K362" s="234" t="s">
        <v>957</v>
      </c>
      <c r="L362" s="234">
        <v>1970</v>
      </c>
      <c r="M362" s="389">
        <v>-9999</v>
      </c>
      <c r="N362" s="389">
        <v>-9999</v>
      </c>
      <c r="O362" s="29"/>
      <c r="P362" s="389">
        <v>0.7</v>
      </c>
      <c r="Q362" s="234">
        <v>-9999</v>
      </c>
      <c r="R362" s="389"/>
      <c r="S362" s="234"/>
      <c r="T362" s="237">
        <f>+P362/G362</f>
        <v>0.7</v>
      </c>
      <c r="U362" s="234">
        <v>-9999</v>
      </c>
      <c r="V362" s="234"/>
      <c r="W362" s="237">
        <v>0.7</v>
      </c>
      <c r="X362" s="389"/>
      <c r="Y362" s="389"/>
      <c r="Z362" s="234" t="s">
        <v>44</v>
      </c>
      <c r="AA362" s="520">
        <v>35562</v>
      </c>
      <c r="AB362" s="389">
        <v>0.94</v>
      </c>
      <c r="AC362" s="234">
        <v>-9999</v>
      </c>
      <c r="AD362" s="234">
        <v>-9999</v>
      </c>
      <c r="AE362" s="234" t="s">
        <v>523</v>
      </c>
      <c r="AF362" s="234">
        <v>3</v>
      </c>
      <c r="AG362" s="234" t="s">
        <v>774</v>
      </c>
      <c r="AH362" s="234" t="s">
        <v>623</v>
      </c>
      <c r="AI362" s="234">
        <v>-9999</v>
      </c>
      <c r="AJ362" s="234">
        <v>-9999</v>
      </c>
      <c r="AK362" s="234" t="s">
        <v>626</v>
      </c>
      <c r="AL362" s="234" t="s">
        <v>653</v>
      </c>
      <c r="AM362" s="234">
        <v>-9999</v>
      </c>
      <c r="AN362" s="234" t="s">
        <v>631</v>
      </c>
      <c r="AO362" s="234">
        <v>-9999</v>
      </c>
      <c r="AP362" s="234">
        <v>-9999</v>
      </c>
      <c r="AQ362" s="234" t="s">
        <v>631</v>
      </c>
      <c r="AR362" s="234">
        <v>0</v>
      </c>
      <c r="AS362" s="234">
        <v>-9999</v>
      </c>
      <c r="AT362" s="234">
        <v>-9999</v>
      </c>
      <c r="AU362" s="234">
        <v>0</v>
      </c>
      <c r="AV362" s="234">
        <v>-9999</v>
      </c>
      <c r="AW362" s="234">
        <v>-9999</v>
      </c>
      <c r="AX362" s="234">
        <v>0</v>
      </c>
      <c r="AY362" s="234">
        <v>-9999</v>
      </c>
      <c r="AZ362" s="234">
        <v>-9999</v>
      </c>
      <c r="BA362" s="234" t="s">
        <v>775</v>
      </c>
      <c r="BB362" s="234" t="s">
        <v>631</v>
      </c>
      <c r="BC362" s="234">
        <v>-9999</v>
      </c>
      <c r="BD362" s="234">
        <v>-9999</v>
      </c>
      <c r="BE362" s="234">
        <v>-9999</v>
      </c>
      <c r="BF362" s="234">
        <v>-9999</v>
      </c>
      <c r="BG362" s="234">
        <v>-9999</v>
      </c>
      <c r="BH362" s="234">
        <v>-9999</v>
      </c>
      <c r="BI362" s="234">
        <v>-9999</v>
      </c>
      <c r="BJ362" s="234">
        <v>-9999</v>
      </c>
      <c r="BK362" s="234">
        <v>-9999</v>
      </c>
      <c r="BL362" s="234">
        <v>-9999</v>
      </c>
      <c r="BM362" s="234">
        <v>-9999</v>
      </c>
      <c r="BN362" s="234">
        <v>-9999</v>
      </c>
      <c r="BO362" s="234">
        <v>-9999</v>
      </c>
      <c r="BP362" s="234">
        <v>-9999</v>
      </c>
      <c r="BQ362" s="234">
        <v>-9999</v>
      </c>
      <c r="BR362" s="234">
        <v>-9999</v>
      </c>
      <c r="BS362" s="491">
        <v>-9999</v>
      </c>
      <c r="BT362" s="234">
        <v>-9999</v>
      </c>
      <c r="BU362" s="234">
        <v>-9999</v>
      </c>
      <c r="BV362" s="234">
        <v>-9999</v>
      </c>
      <c r="BW362" s="234"/>
      <c r="BX362" s="234">
        <v>-9999</v>
      </c>
      <c r="BY362" s="234">
        <v>-9999</v>
      </c>
      <c r="BZ362" s="496">
        <v>-9999</v>
      </c>
      <c r="CA362" s="496">
        <v>-9999</v>
      </c>
      <c r="CB362" s="499"/>
      <c r="CC362" s="58">
        <v>1</v>
      </c>
      <c r="CD362" s="57">
        <v>1</v>
      </c>
      <c r="CE362" s="292">
        <v>0.7</v>
      </c>
      <c r="CF362" s="292">
        <v>0.7</v>
      </c>
      <c r="CG362" s="57">
        <v>1</v>
      </c>
    </row>
    <row r="363" spans="1:86" s="23" customFormat="1" x14ac:dyDescent="0.2">
      <c r="A363" s="234" t="s">
        <v>771</v>
      </c>
      <c r="B363" s="234" t="s">
        <v>42</v>
      </c>
      <c r="C363" s="234" t="s">
        <v>520</v>
      </c>
      <c r="D363" s="234" t="s">
        <v>619</v>
      </c>
      <c r="E363" s="493" t="s">
        <v>1503</v>
      </c>
      <c r="F363" s="493">
        <v>1</v>
      </c>
      <c r="G363" s="234">
        <v>2</v>
      </c>
      <c r="H363" s="234">
        <v>2</v>
      </c>
      <c r="I363" s="234" t="s">
        <v>954</v>
      </c>
      <c r="J363" s="234">
        <v>1970</v>
      </c>
      <c r="K363" s="234" t="s">
        <v>957</v>
      </c>
      <c r="L363" s="234">
        <v>1972</v>
      </c>
      <c r="M363" s="389">
        <v>-9999</v>
      </c>
      <c r="N363" s="389">
        <v>-9999</v>
      </c>
      <c r="O363" s="29"/>
      <c r="P363" s="389">
        <v>9.6999999999999993</v>
      </c>
      <c r="Q363" s="234">
        <v>-9999</v>
      </c>
      <c r="R363" s="389"/>
      <c r="S363" s="234"/>
      <c r="T363" s="237">
        <f>+P363/G363</f>
        <v>4.8499999999999996</v>
      </c>
      <c r="U363" s="234">
        <v>-9999</v>
      </c>
      <c r="V363" s="234"/>
      <c r="W363" s="237">
        <f>P363-P362</f>
        <v>9</v>
      </c>
      <c r="X363" s="389"/>
      <c r="Y363" s="389"/>
      <c r="Z363" s="234" t="s">
        <v>44</v>
      </c>
      <c r="AA363" s="520">
        <v>35562</v>
      </c>
      <c r="AB363" s="389">
        <v>0.93</v>
      </c>
      <c r="AC363" s="234">
        <v>-9999</v>
      </c>
      <c r="AD363" s="234">
        <v>-9999</v>
      </c>
      <c r="AE363" s="234" t="s">
        <v>523</v>
      </c>
      <c r="AF363" s="234">
        <v>3</v>
      </c>
      <c r="AG363" s="234" t="s">
        <v>774</v>
      </c>
      <c r="AH363" s="234" t="s">
        <v>623</v>
      </c>
      <c r="AI363" s="234">
        <v>-9999</v>
      </c>
      <c r="AJ363" s="234">
        <v>-9999</v>
      </c>
      <c r="AK363" s="234" t="s">
        <v>626</v>
      </c>
      <c r="AL363" s="234" t="s">
        <v>653</v>
      </c>
      <c r="AM363" s="234">
        <v>-9999</v>
      </c>
      <c r="AN363" s="234" t="s">
        <v>631</v>
      </c>
      <c r="AO363" s="234">
        <v>-9999</v>
      </c>
      <c r="AP363" s="234">
        <v>-9999</v>
      </c>
      <c r="AQ363" s="234" t="s">
        <v>631</v>
      </c>
      <c r="AR363" s="234">
        <v>0</v>
      </c>
      <c r="AS363" s="234">
        <v>-9999</v>
      </c>
      <c r="AT363" s="234">
        <v>-9999</v>
      </c>
      <c r="AU363" s="234">
        <v>0</v>
      </c>
      <c r="AV363" s="234">
        <v>-9999</v>
      </c>
      <c r="AW363" s="234">
        <v>-9999</v>
      </c>
      <c r="AX363" s="234">
        <v>0</v>
      </c>
      <c r="AY363" s="234">
        <v>-9999</v>
      </c>
      <c r="AZ363" s="234">
        <v>-9999</v>
      </c>
      <c r="BA363" s="234" t="s">
        <v>775</v>
      </c>
      <c r="BB363" s="234" t="s">
        <v>631</v>
      </c>
      <c r="BC363" s="234">
        <v>-9999</v>
      </c>
      <c r="BD363" s="234">
        <v>-9999</v>
      </c>
      <c r="BE363" s="234">
        <v>-9999</v>
      </c>
      <c r="BF363" s="234">
        <v>-9999</v>
      </c>
      <c r="BG363" s="234">
        <v>-9999</v>
      </c>
      <c r="BH363" s="234">
        <v>-9999</v>
      </c>
      <c r="BI363" s="234">
        <v>-9999</v>
      </c>
      <c r="BJ363" s="234">
        <v>-9999</v>
      </c>
      <c r="BK363" s="234">
        <v>-9999</v>
      </c>
      <c r="BL363" s="234">
        <v>-9999</v>
      </c>
      <c r="BM363" s="234">
        <v>-9999</v>
      </c>
      <c r="BN363" s="234">
        <v>-9999</v>
      </c>
      <c r="BO363" s="234">
        <v>-9999</v>
      </c>
      <c r="BP363" s="234">
        <v>-9999</v>
      </c>
      <c r="BQ363" s="234">
        <v>-9999</v>
      </c>
      <c r="BR363" s="234">
        <v>-9999</v>
      </c>
      <c r="BS363" s="491">
        <v>-9999</v>
      </c>
      <c r="BT363" s="234">
        <v>-9999</v>
      </c>
      <c r="BU363" s="234">
        <v>-9999</v>
      </c>
      <c r="BV363" s="234">
        <v>-9999</v>
      </c>
      <c r="BW363" s="234"/>
      <c r="BX363" s="234">
        <v>-9999</v>
      </c>
      <c r="BY363" s="234">
        <v>-9999</v>
      </c>
      <c r="BZ363" s="496">
        <v>-9999</v>
      </c>
      <c r="CA363" s="496">
        <v>-9999</v>
      </c>
      <c r="CB363" s="499"/>
      <c r="CC363" s="58">
        <v>1</v>
      </c>
      <c r="CD363" s="57">
        <v>2</v>
      </c>
      <c r="CE363" s="292">
        <v>4.8499999999999996</v>
      </c>
      <c r="CF363" s="292">
        <v>9</v>
      </c>
      <c r="CG363" s="57">
        <v>2</v>
      </c>
    </row>
    <row r="364" spans="1:86" s="23" customFormat="1" x14ac:dyDescent="0.2">
      <c r="A364" s="234" t="s">
        <v>771</v>
      </c>
      <c r="B364" s="234" t="s">
        <v>42</v>
      </c>
      <c r="C364" s="234" t="s">
        <v>520</v>
      </c>
      <c r="D364" s="234" t="s">
        <v>619</v>
      </c>
      <c r="E364" s="493" t="s">
        <v>1503</v>
      </c>
      <c r="F364" s="493">
        <v>1</v>
      </c>
      <c r="G364" s="234">
        <v>3</v>
      </c>
      <c r="H364" s="234">
        <v>3</v>
      </c>
      <c r="I364" s="234" t="s">
        <v>954</v>
      </c>
      <c r="J364" s="234">
        <v>1970</v>
      </c>
      <c r="K364" s="234" t="s">
        <v>957</v>
      </c>
      <c r="L364" s="234">
        <v>1973</v>
      </c>
      <c r="M364" s="389">
        <v>-9999</v>
      </c>
      <c r="N364" s="389">
        <v>-9999</v>
      </c>
      <c r="O364" s="29"/>
      <c r="P364" s="389">
        <v>22.4</v>
      </c>
      <c r="Q364" s="234">
        <v>-9999</v>
      </c>
      <c r="R364" s="389"/>
      <c r="S364" s="234"/>
      <c r="T364" s="237">
        <f>+P364/G364</f>
        <v>7.4666666666666659</v>
      </c>
      <c r="U364" s="234">
        <v>-9999</v>
      </c>
      <c r="V364" s="234"/>
      <c r="W364" s="237">
        <f>P364-P363</f>
        <v>12.7</v>
      </c>
      <c r="X364" s="389"/>
      <c r="Y364" s="389"/>
      <c r="Z364" s="234" t="s">
        <v>44</v>
      </c>
      <c r="AA364" s="520">
        <v>35562</v>
      </c>
      <c r="AB364" s="389">
        <v>0.87</v>
      </c>
      <c r="AC364" s="234">
        <v>-9999</v>
      </c>
      <c r="AD364" s="234">
        <v>-9999</v>
      </c>
      <c r="AE364" s="234" t="s">
        <v>523</v>
      </c>
      <c r="AF364" s="234">
        <v>3</v>
      </c>
      <c r="AG364" s="234" t="s">
        <v>774</v>
      </c>
      <c r="AH364" s="234" t="s">
        <v>623</v>
      </c>
      <c r="AI364" s="234">
        <v>-9999</v>
      </c>
      <c r="AJ364" s="234">
        <v>-9999</v>
      </c>
      <c r="AK364" s="234" t="s">
        <v>626</v>
      </c>
      <c r="AL364" s="234" t="s">
        <v>653</v>
      </c>
      <c r="AM364" s="234">
        <v>-9999</v>
      </c>
      <c r="AN364" s="234" t="s">
        <v>631</v>
      </c>
      <c r="AO364" s="234">
        <v>-9999</v>
      </c>
      <c r="AP364" s="234">
        <v>-9999</v>
      </c>
      <c r="AQ364" s="234" t="s">
        <v>631</v>
      </c>
      <c r="AR364" s="234">
        <v>0</v>
      </c>
      <c r="AS364" s="234">
        <v>-9999</v>
      </c>
      <c r="AT364" s="234">
        <v>-9999</v>
      </c>
      <c r="AU364" s="234">
        <v>0</v>
      </c>
      <c r="AV364" s="234">
        <v>-9999</v>
      </c>
      <c r="AW364" s="234">
        <v>-9999</v>
      </c>
      <c r="AX364" s="234">
        <v>0</v>
      </c>
      <c r="AY364" s="234">
        <v>-9999</v>
      </c>
      <c r="AZ364" s="234">
        <v>-9999</v>
      </c>
      <c r="BA364" s="234" t="s">
        <v>775</v>
      </c>
      <c r="BB364" s="234" t="s">
        <v>631</v>
      </c>
      <c r="BC364" s="234">
        <v>-9999</v>
      </c>
      <c r="BD364" s="234">
        <v>-9999</v>
      </c>
      <c r="BE364" s="234">
        <v>-9999</v>
      </c>
      <c r="BF364" s="234">
        <v>-9999</v>
      </c>
      <c r="BG364" s="234">
        <v>-9999</v>
      </c>
      <c r="BH364" s="234">
        <v>-9999</v>
      </c>
      <c r="BI364" s="234">
        <v>-9999</v>
      </c>
      <c r="BJ364" s="234">
        <v>-9999</v>
      </c>
      <c r="BK364" s="234">
        <v>-9999</v>
      </c>
      <c r="BL364" s="234">
        <v>-9999</v>
      </c>
      <c r="BM364" s="234">
        <v>-9999</v>
      </c>
      <c r="BN364" s="234">
        <v>-9999</v>
      </c>
      <c r="BO364" s="234">
        <v>-9999</v>
      </c>
      <c r="BP364" s="234">
        <v>-9999</v>
      </c>
      <c r="BQ364" s="234">
        <v>-9999</v>
      </c>
      <c r="BR364" s="234">
        <v>-9999</v>
      </c>
      <c r="BS364" s="491">
        <v>-9999</v>
      </c>
      <c r="BT364" s="234">
        <v>-9999</v>
      </c>
      <c r="BU364" s="234">
        <v>-9999</v>
      </c>
      <c r="BV364" s="234">
        <v>-9999</v>
      </c>
      <c r="BW364" s="234"/>
      <c r="BX364" s="234">
        <v>-9999</v>
      </c>
      <c r="BY364" s="234">
        <v>-9999</v>
      </c>
      <c r="BZ364" s="496">
        <v>-9999</v>
      </c>
      <c r="CA364" s="496">
        <v>-9999</v>
      </c>
      <c r="CB364" s="499"/>
      <c r="CC364" s="58">
        <v>1</v>
      </c>
      <c r="CD364" s="57">
        <v>3</v>
      </c>
      <c r="CE364" s="292">
        <v>7.4666666666666659</v>
      </c>
      <c r="CF364" s="292">
        <v>12.7</v>
      </c>
      <c r="CG364" s="57">
        <v>3</v>
      </c>
    </row>
    <row r="365" spans="1:86" s="23" customFormat="1" x14ac:dyDescent="0.2">
      <c r="A365" s="234" t="s">
        <v>771</v>
      </c>
      <c r="B365" s="234" t="s">
        <v>42</v>
      </c>
      <c r="C365" s="234" t="s">
        <v>520</v>
      </c>
      <c r="D365" s="234" t="s">
        <v>619</v>
      </c>
      <c r="E365" s="493" t="s">
        <v>1503</v>
      </c>
      <c r="F365" s="493">
        <v>1</v>
      </c>
      <c r="G365" s="234">
        <v>4</v>
      </c>
      <c r="H365" s="234">
        <v>4</v>
      </c>
      <c r="I365" s="234" t="s">
        <v>954</v>
      </c>
      <c r="J365" s="234">
        <v>1970</v>
      </c>
      <c r="K365" s="234" t="s">
        <v>957</v>
      </c>
      <c r="L365" s="234">
        <v>1974</v>
      </c>
      <c r="M365" s="389">
        <v>-9999</v>
      </c>
      <c r="N365" s="389">
        <v>-9999</v>
      </c>
      <c r="O365" s="29"/>
      <c r="P365" s="389">
        <v>31.7</v>
      </c>
      <c r="Q365" s="234">
        <v>-9999</v>
      </c>
      <c r="R365" s="389"/>
      <c r="S365" s="234"/>
      <c r="T365" s="237">
        <f>+P365/G365</f>
        <v>7.9249999999999998</v>
      </c>
      <c r="U365" s="234">
        <v>-9999</v>
      </c>
      <c r="V365" s="234"/>
      <c r="W365" s="237">
        <f>P365-P364</f>
        <v>9.3000000000000007</v>
      </c>
      <c r="X365" s="389"/>
      <c r="Y365" s="389"/>
      <c r="Z365" s="234" t="s">
        <v>44</v>
      </c>
      <c r="AA365" s="520">
        <v>35562</v>
      </c>
      <c r="AB365" s="389">
        <v>0.84</v>
      </c>
      <c r="AC365" s="234">
        <v>-9999</v>
      </c>
      <c r="AD365" s="234">
        <v>-9999</v>
      </c>
      <c r="AE365" s="234" t="s">
        <v>523</v>
      </c>
      <c r="AF365" s="234">
        <v>3</v>
      </c>
      <c r="AG365" s="234" t="s">
        <v>774</v>
      </c>
      <c r="AH365" s="234" t="s">
        <v>623</v>
      </c>
      <c r="AI365" s="234">
        <v>-9999</v>
      </c>
      <c r="AJ365" s="234">
        <v>-9999</v>
      </c>
      <c r="AK365" s="234" t="s">
        <v>626</v>
      </c>
      <c r="AL365" s="234" t="s">
        <v>653</v>
      </c>
      <c r="AM365" s="234">
        <v>-9999</v>
      </c>
      <c r="AN365" s="234" t="s">
        <v>631</v>
      </c>
      <c r="AO365" s="234">
        <v>-9999</v>
      </c>
      <c r="AP365" s="234">
        <v>-9999</v>
      </c>
      <c r="AQ365" s="234" t="s">
        <v>631</v>
      </c>
      <c r="AR365" s="234">
        <v>0</v>
      </c>
      <c r="AS365" s="234">
        <v>-9999</v>
      </c>
      <c r="AT365" s="234">
        <v>-9999</v>
      </c>
      <c r="AU365" s="234">
        <v>0</v>
      </c>
      <c r="AV365" s="234">
        <v>-9999</v>
      </c>
      <c r="AW365" s="234">
        <v>-9999</v>
      </c>
      <c r="AX365" s="234">
        <v>0</v>
      </c>
      <c r="AY365" s="234">
        <v>-9999</v>
      </c>
      <c r="AZ365" s="234">
        <v>-9999</v>
      </c>
      <c r="BA365" s="234" t="s">
        <v>775</v>
      </c>
      <c r="BB365" s="234" t="s">
        <v>631</v>
      </c>
      <c r="BC365" s="234">
        <v>-9999</v>
      </c>
      <c r="BD365" s="234">
        <v>-9999</v>
      </c>
      <c r="BE365" s="234">
        <v>-9999</v>
      </c>
      <c r="BF365" s="234">
        <v>-9999</v>
      </c>
      <c r="BG365" s="234">
        <v>-9999</v>
      </c>
      <c r="BH365" s="234">
        <v>-9999</v>
      </c>
      <c r="BI365" s="234">
        <v>-9999</v>
      </c>
      <c r="BJ365" s="234">
        <v>-9999</v>
      </c>
      <c r="BK365" s="234">
        <v>-9999</v>
      </c>
      <c r="BL365" s="234">
        <v>-9999</v>
      </c>
      <c r="BM365" s="234">
        <v>-9999</v>
      </c>
      <c r="BN365" s="234">
        <v>-9999</v>
      </c>
      <c r="BO365" s="234">
        <v>-9999</v>
      </c>
      <c r="BP365" s="234">
        <v>-9999</v>
      </c>
      <c r="BQ365" s="234">
        <v>-9999</v>
      </c>
      <c r="BR365" s="234">
        <v>-9999</v>
      </c>
      <c r="BS365" s="491">
        <v>-9999</v>
      </c>
      <c r="BT365" s="234">
        <v>-9999</v>
      </c>
      <c r="BU365" s="234">
        <v>-9999</v>
      </c>
      <c r="BV365" s="234">
        <v>-9999</v>
      </c>
      <c r="BW365" s="234"/>
      <c r="BX365" s="234">
        <v>-9999</v>
      </c>
      <c r="BY365" s="234">
        <v>-9999</v>
      </c>
      <c r="BZ365" s="496">
        <v>-9999</v>
      </c>
      <c r="CA365" s="496">
        <v>-9999</v>
      </c>
      <c r="CB365" s="499"/>
      <c r="CC365" s="58">
        <v>1</v>
      </c>
      <c r="CD365" s="57">
        <v>4</v>
      </c>
      <c r="CE365" s="401">
        <v>7.9249999999999998</v>
      </c>
      <c r="CF365" s="292">
        <v>9.3000000000000007</v>
      </c>
      <c r="CG365" s="57">
        <v>4</v>
      </c>
      <c r="CH365" s="479"/>
    </row>
    <row r="366" spans="1:86" s="23" customFormat="1" x14ac:dyDescent="0.2">
      <c r="A366" s="234"/>
      <c r="B366" s="234"/>
      <c r="C366" s="234"/>
      <c r="D366" s="234"/>
      <c r="E366" s="493"/>
      <c r="F366" s="493"/>
      <c r="G366" s="234"/>
      <c r="H366" s="234"/>
      <c r="I366" s="234"/>
      <c r="J366" s="234"/>
      <c r="K366" s="234"/>
      <c r="L366" s="234"/>
      <c r="M366" s="389"/>
      <c r="N366" s="389"/>
      <c r="O366" s="29"/>
      <c r="P366" s="389"/>
      <c r="Q366" s="234"/>
      <c r="R366" s="389"/>
      <c r="S366" s="234"/>
      <c r="T366" s="237"/>
      <c r="U366" s="234"/>
      <c r="V366" s="234"/>
      <c r="W366" s="237"/>
      <c r="X366" s="389"/>
      <c r="Y366" s="389"/>
      <c r="Z366" s="234"/>
      <c r="AA366" s="520"/>
      <c r="AB366" s="389"/>
      <c r="AC366" s="234"/>
      <c r="AD366" s="234"/>
      <c r="AE366" s="234"/>
      <c r="AF366" s="234"/>
      <c r="AG366" s="234"/>
      <c r="AH366" s="234"/>
      <c r="AI366" s="234"/>
      <c r="AJ366" s="234"/>
      <c r="AK366" s="234"/>
      <c r="AL366" s="234"/>
      <c r="AM366" s="234"/>
      <c r="AN366" s="234"/>
      <c r="AO366" s="234"/>
      <c r="AP366" s="234"/>
      <c r="AQ366" s="234"/>
      <c r="AR366" s="234"/>
      <c r="AS366" s="234"/>
      <c r="AT366" s="234"/>
      <c r="AU366" s="234"/>
      <c r="AV366" s="234"/>
      <c r="AW366" s="234"/>
      <c r="AX366" s="234"/>
      <c r="AY366" s="234"/>
      <c r="AZ366" s="234"/>
      <c r="BA366" s="234"/>
      <c r="BB366" s="234"/>
      <c r="BC366" s="234"/>
      <c r="BD366" s="234"/>
      <c r="BE366" s="234"/>
      <c r="BF366" s="234"/>
      <c r="BG366" s="234"/>
      <c r="BH366" s="234"/>
      <c r="BI366" s="234"/>
      <c r="BJ366" s="234"/>
      <c r="BK366" s="234"/>
      <c r="BL366" s="234"/>
      <c r="BM366" s="234"/>
      <c r="BN366" s="234"/>
      <c r="BO366" s="234"/>
      <c r="BP366" s="234"/>
      <c r="BQ366" s="234"/>
      <c r="BR366" s="234"/>
      <c r="BS366" s="491"/>
      <c r="BT366" s="234"/>
      <c r="BU366" s="234"/>
      <c r="BV366" s="234"/>
      <c r="BW366" s="234"/>
      <c r="BX366" s="234"/>
      <c r="BY366" s="234"/>
      <c r="BZ366" s="496"/>
      <c r="CA366" s="496"/>
      <c r="CB366" s="499"/>
      <c r="CC366" s="58"/>
      <c r="CD366" s="57"/>
      <c r="CE366" s="342" t="s">
        <v>1576</v>
      </c>
      <c r="CF366" s="342" t="s">
        <v>1575</v>
      </c>
      <c r="CG366" s="57"/>
    </row>
    <row r="367" spans="1:86" s="23" customFormat="1" x14ac:dyDescent="0.2">
      <c r="A367" s="234" t="s">
        <v>771</v>
      </c>
      <c r="B367" s="234" t="s">
        <v>42</v>
      </c>
      <c r="C367" s="234" t="s">
        <v>521</v>
      </c>
      <c r="D367" s="234" t="s">
        <v>619</v>
      </c>
      <c r="E367" s="493" t="s">
        <v>1503</v>
      </c>
      <c r="F367" s="493">
        <v>1</v>
      </c>
      <c r="G367" s="234">
        <v>1</v>
      </c>
      <c r="H367" s="234">
        <v>1</v>
      </c>
      <c r="I367" s="234" t="s">
        <v>954</v>
      </c>
      <c r="J367" s="234">
        <v>1970</v>
      </c>
      <c r="K367" s="234" t="s">
        <v>957</v>
      </c>
      <c r="L367" s="234">
        <v>1970</v>
      </c>
      <c r="M367" s="389">
        <v>-9999</v>
      </c>
      <c r="N367" s="389">
        <v>-9999</v>
      </c>
      <c r="O367" s="29"/>
      <c r="P367" s="389">
        <v>0.7</v>
      </c>
      <c r="Q367" s="234">
        <v>-9999</v>
      </c>
      <c r="R367" s="389"/>
      <c r="S367" s="234"/>
      <c r="T367" s="237">
        <f>+P367/G367</f>
        <v>0.7</v>
      </c>
      <c r="U367" s="234">
        <v>-9999</v>
      </c>
      <c r="V367" s="234"/>
      <c r="W367" s="237">
        <v>0.7</v>
      </c>
      <c r="X367" s="389"/>
      <c r="Y367" s="389"/>
      <c r="Z367" s="234" t="s">
        <v>45</v>
      </c>
      <c r="AA367" s="520">
        <v>26853</v>
      </c>
      <c r="AB367" s="389">
        <v>0.95</v>
      </c>
      <c r="AC367" s="234">
        <v>-9999</v>
      </c>
      <c r="AD367" s="234">
        <v>-9999</v>
      </c>
      <c r="AE367" s="234" t="s">
        <v>523</v>
      </c>
      <c r="AF367" s="234">
        <v>3</v>
      </c>
      <c r="AG367" s="234" t="s">
        <v>774</v>
      </c>
      <c r="AH367" s="234" t="s">
        <v>623</v>
      </c>
      <c r="AI367" s="234">
        <v>-9999</v>
      </c>
      <c r="AJ367" s="234">
        <v>-9999</v>
      </c>
      <c r="AK367" s="234" t="s">
        <v>626</v>
      </c>
      <c r="AL367" s="234" t="s">
        <v>653</v>
      </c>
      <c r="AM367" s="234">
        <v>-9999</v>
      </c>
      <c r="AN367" s="234" t="s">
        <v>631</v>
      </c>
      <c r="AO367" s="234">
        <v>-9999</v>
      </c>
      <c r="AP367" s="234">
        <v>-9999</v>
      </c>
      <c r="AQ367" s="234" t="s">
        <v>631</v>
      </c>
      <c r="AR367" s="234">
        <v>0</v>
      </c>
      <c r="AS367" s="234">
        <v>-9999</v>
      </c>
      <c r="AT367" s="234">
        <v>-9999</v>
      </c>
      <c r="AU367" s="234">
        <v>0</v>
      </c>
      <c r="AV367" s="234">
        <v>-9999</v>
      </c>
      <c r="AW367" s="234">
        <v>-9999</v>
      </c>
      <c r="AX367" s="234">
        <v>0</v>
      </c>
      <c r="AY367" s="234">
        <v>-9999</v>
      </c>
      <c r="AZ367" s="234">
        <v>-9999</v>
      </c>
      <c r="BA367" s="234" t="s">
        <v>775</v>
      </c>
      <c r="BB367" s="234" t="s">
        <v>631</v>
      </c>
      <c r="BC367" s="234">
        <v>-9999</v>
      </c>
      <c r="BD367" s="234">
        <v>-9999</v>
      </c>
      <c r="BE367" s="234">
        <v>-9999</v>
      </c>
      <c r="BF367" s="234">
        <v>-9999</v>
      </c>
      <c r="BG367" s="234">
        <v>-9999</v>
      </c>
      <c r="BH367" s="234">
        <v>-9999</v>
      </c>
      <c r="BI367" s="234">
        <v>-9999</v>
      </c>
      <c r="BJ367" s="234">
        <v>-9999</v>
      </c>
      <c r="BK367" s="234">
        <v>-9999</v>
      </c>
      <c r="BL367" s="234">
        <v>-9999</v>
      </c>
      <c r="BM367" s="234">
        <v>-9999</v>
      </c>
      <c r="BN367" s="234">
        <v>-9999</v>
      </c>
      <c r="BO367" s="234">
        <v>-9999</v>
      </c>
      <c r="BP367" s="234">
        <v>-9999</v>
      </c>
      <c r="BQ367" s="234">
        <v>-9999</v>
      </c>
      <c r="BR367" s="234">
        <v>-9999</v>
      </c>
      <c r="BS367" s="491">
        <v>-9999</v>
      </c>
      <c r="BT367" s="234">
        <v>-9999</v>
      </c>
      <c r="BU367" s="234">
        <v>-9999</v>
      </c>
      <c r="BV367" s="234">
        <v>-9999</v>
      </c>
      <c r="BW367" s="234"/>
      <c r="BX367" s="234">
        <v>-9999</v>
      </c>
      <c r="BY367" s="234">
        <v>-9999</v>
      </c>
      <c r="BZ367" s="496">
        <v>-9999</v>
      </c>
      <c r="CA367" s="496">
        <v>-9999</v>
      </c>
      <c r="CB367" s="499"/>
      <c r="CC367" s="58">
        <v>1</v>
      </c>
      <c r="CD367" s="57">
        <v>1</v>
      </c>
      <c r="CE367" s="292">
        <v>0.7</v>
      </c>
      <c r="CF367" s="292">
        <v>0.7</v>
      </c>
      <c r="CG367" s="57">
        <v>1</v>
      </c>
    </row>
    <row r="368" spans="1:86" s="23" customFormat="1" x14ac:dyDescent="0.2">
      <c r="A368" s="234" t="s">
        <v>771</v>
      </c>
      <c r="B368" s="234" t="s">
        <v>42</v>
      </c>
      <c r="C368" s="234" t="s">
        <v>521</v>
      </c>
      <c r="D368" s="234" t="s">
        <v>619</v>
      </c>
      <c r="E368" s="493" t="s">
        <v>1503</v>
      </c>
      <c r="F368" s="493">
        <v>1</v>
      </c>
      <c r="G368" s="234">
        <v>2</v>
      </c>
      <c r="H368" s="234">
        <v>2</v>
      </c>
      <c r="I368" s="234" t="s">
        <v>954</v>
      </c>
      <c r="J368" s="234">
        <v>1970</v>
      </c>
      <c r="K368" s="234" t="s">
        <v>957</v>
      </c>
      <c r="L368" s="234">
        <v>1972</v>
      </c>
      <c r="M368" s="389">
        <v>-9999</v>
      </c>
      <c r="N368" s="389">
        <v>-9999</v>
      </c>
      <c r="O368" s="29"/>
      <c r="P368" s="389">
        <v>9.6999999999999993</v>
      </c>
      <c r="Q368" s="234">
        <v>-9999</v>
      </c>
      <c r="R368" s="389"/>
      <c r="S368" s="234"/>
      <c r="T368" s="237">
        <f>+P368/G368</f>
        <v>4.8499999999999996</v>
      </c>
      <c r="U368" s="234">
        <v>-9999</v>
      </c>
      <c r="V368" s="234"/>
      <c r="W368" s="237">
        <f>P368-P367</f>
        <v>9</v>
      </c>
      <c r="X368" s="389"/>
      <c r="Y368" s="389"/>
      <c r="Z368" s="234" t="s">
        <v>45</v>
      </c>
      <c r="AA368" s="520">
        <v>26853</v>
      </c>
      <c r="AB368" s="389">
        <v>0.93</v>
      </c>
      <c r="AC368" s="234">
        <v>-9999</v>
      </c>
      <c r="AD368" s="234">
        <v>-9999</v>
      </c>
      <c r="AE368" s="234" t="s">
        <v>523</v>
      </c>
      <c r="AF368" s="234">
        <v>3</v>
      </c>
      <c r="AG368" s="234" t="s">
        <v>774</v>
      </c>
      <c r="AH368" s="234" t="s">
        <v>623</v>
      </c>
      <c r="AI368" s="234">
        <v>-9999</v>
      </c>
      <c r="AJ368" s="234">
        <v>-9999</v>
      </c>
      <c r="AK368" s="234" t="s">
        <v>626</v>
      </c>
      <c r="AL368" s="234" t="s">
        <v>653</v>
      </c>
      <c r="AM368" s="234">
        <v>-9999</v>
      </c>
      <c r="AN368" s="234" t="s">
        <v>631</v>
      </c>
      <c r="AO368" s="234">
        <v>-9999</v>
      </c>
      <c r="AP368" s="234">
        <v>-9999</v>
      </c>
      <c r="AQ368" s="234" t="s">
        <v>631</v>
      </c>
      <c r="AR368" s="234">
        <v>0</v>
      </c>
      <c r="AS368" s="234">
        <v>-9999</v>
      </c>
      <c r="AT368" s="234">
        <v>-9999</v>
      </c>
      <c r="AU368" s="234">
        <v>0</v>
      </c>
      <c r="AV368" s="234">
        <v>-9999</v>
      </c>
      <c r="AW368" s="234">
        <v>-9999</v>
      </c>
      <c r="AX368" s="234">
        <v>0</v>
      </c>
      <c r="AY368" s="234">
        <v>-9999</v>
      </c>
      <c r="AZ368" s="234">
        <v>-9999</v>
      </c>
      <c r="BA368" s="234" t="s">
        <v>775</v>
      </c>
      <c r="BB368" s="234" t="s">
        <v>631</v>
      </c>
      <c r="BC368" s="234">
        <v>-9999</v>
      </c>
      <c r="BD368" s="234">
        <v>-9999</v>
      </c>
      <c r="BE368" s="234">
        <v>-9999</v>
      </c>
      <c r="BF368" s="234">
        <v>-9999</v>
      </c>
      <c r="BG368" s="234">
        <v>-9999</v>
      </c>
      <c r="BH368" s="234">
        <v>-9999</v>
      </c>
      <c r="BI368" s="234">
        <v>-9999</v>
      </c>
      <c r="BJ368" s="234">
        <v>-9999</v>
      </c>
      <c r="BK368" s="234">
        <v>-9999</v>
      </c>
      <c r="BL368" s="234">
        <v>-9999</v>
      </c>
      <c r="BM368" s="234">
        <v>-9999</v>
      </c>
      <c r="BN368" s="234">
        <v>-9999</v>
      </c>
      <c r="BO368" s="234">
        <v>-9999</v>
      </c>
      <c r="BP368" s="234">
        <v>-9999</v>
      </c>
      <c r="BQ368" s="234">
        <v>-9999</v>
      </c>
      <c r="BR368" s="234">
        <v>-9999</v>
      </c>
      <c r="BS368" s="491">
        <v>-9999</v>
      </c>
      <c r="BT368" s="234">
        <v>-9999</v>
      </c>
      <c r="BU368" s="234">
        <v>-9999</v>
      </c>
      <c r="BV368" s="234">
        <v>-9999</v>
      </c>
      <c r="BW368" s="234"/>
      <c r="BX368" s="234">
        <v>-9999</v>
      </c>
      <c r="BY368" s="234">
        <v>-9999</v>
      </c>
      <c r="BZ368" s="496">
        <v>-9999</v>
      </c>
      <c r="CA368" s="496">
        <v>-9999</v>
      </c>
      <c r="CB368" s="499"/>
      <c r="CC368" s="58">
        <v>1</v>
      </c>
      <c r="CD368" s="57">
        <v>2</v>
      </c>
      <c r="CE368" s="292">
        <v>4.8499999999999996</v>
      </c>
      <c r="CF368" s="292">
        <v>9</v>
      </c>
      <c r="CG368" s="57">
        <v>2</v>
      </c>
    </row>
    <row r="369" spans="1:1873" s="23" customFormat="1" x14ac:dyDescent="0.2">
      <c r="A369" s="234" t="s">
        <v>771</v>
      </c>
      <c r="B369" s="234" t="s">
        <v>42</v>
      </c>
      <c r="C369" s="234" t="s">
        <v>521</v>
      </c>
      <c r="D369" s="234" t="s">
        <v>619</v>
      </c>
      <c r="E369" s="493" t="s">
        <v>1503</v>
      </c>
      <c r="F369" s="493">
        <v>1</v>
      </c>
      <c r="G369" s="234">
        <v>3</v>
      </c>
      <c r="H369" s="234">
        <v>3</v>
      </c>
      <c r="I369" s="234" t="s">
        <v>954</v>
      </c>
      <c r="J369" s="234">
        <v>1970</v>
      </c>
      <c r="K369" s="234" t="s">
        <v>957</v>
      </c>
      <c r="L369" s="234">
        <v>1973</v>
      </c>
      <c r="M369" s="389">
        <v>-9999</v>
      </c>
      <c r="N369" s="389">
        <v>-9999</v>
      </c>
      <c r="O369" s="29"/>
      <c r="P369" s="389">
        <v>23.3</v>
      </c>
      <c r="Q369" s="234">
        <v>-9999</v>
      </c>
      <c r="R369" s="389"/>
      <c r="S369" s="234"/>
      <c r="T369" s="237">
        <f>+P369/G369</f>
        <v>7.7666666666666666</v>
      </c>
      <c r="U369" s="234">
        <v>-9999</v>
      </c>
      <c r="V369" s="234"/>
      <c r="W369" s="237">
        <f>P369-P368</f>
        <v>13.600000000000001</v>
      </c>
      <c r="X369" s="389"/>
      <c r="Y369" s="389"/>
      <c r="Z369" s="234" t="s">
        <v>45</v>
      </c>
      <c r="AA369" s="520">
        <v>26853</v>
      </c>
      <c r="AB369" s="389">
        <v>0.91</v>
      </c>
      <c r="AC369" s="234">
        <v>-9999</v>
      </c>
      <c r="AD369" s="234">
        <v>-9999</v>
      </c>
      <c r="AE369" s="234" t="s">
        <v>523</v>
      </c>
      <c r="AF369" s="234">
        <v>3</v>
      </c>
      <c r="AG369" s="234" t="s">
        <v>774</v>
      </c>
      <c r="AH369" s="234" t="s">
        <v>623</v>
      </c>
      <c r="AI369" s="234">
        <v>-9999</v>
      </c>
      <c r="AJ369" s="234">
        <v>-9999</v>
      </c>
      <c r="AK369" s="234" t="s">
        <v>626</v>
      </c>
      <c r="AL369" s="234" t="s">
        <v>653</v>
      </c>
      <c r="AM369" s="234">
        <v>-9999</v>
      </c>
      <c r="AN369" s="234" t="s">
        <v>631</v>
      </c>
      <c r="AO369" s="234">
        <v>-9999</v>
      </c>
      <c r="AP369" s="234">
        <v>-9999</v>
      </c>
      <c r="AQ369" s="234" t="s">
        <v>631</v>
      </c>
      <c r="AR369" s="234">
        <v>0</v>
      </c>
      <c r="AS369" s="234">
        <v>-9999</v>
      </c>
      <c r="AT369" s="234">
        <v>-9999</v>
      </c>
      <c r="AU369" s="234">
        <v>0</v>
      </c>
      <c r="AV369" s="234">
        <v>-9999</v>
      </c>
      <c r="AW369" s="234">
        <v>-9999</v>
      </c>
      <c r="AX369" s="234">
        <v>0</v>
      </c>
      <c r="AY369" s="234">
        <v>-9999</v>
      </c>
      <c r="AZ369" s="234">
        <v>-9999</v>
      </c>
      <c r="BA369" s="234" t="s">
        <v>775</v>
      </c>
      <c r="BB369" s="234" t="s">
        <v>631</v>
      </c>
      <c r="BC369" s="234">
        <v>-9999</v>
      </c>
      <c r="BD369" s="234">
        <v>-9999</v>
      </c>
      <c r="BE369" s="234">
        <v>-9999</v>
      </c>
      <c r="BF369" s="234">
        <v>-9999</v>
      </c>
      <c r="BG369" s="234">
        <v>-9999</v>
      </c>
      <c r="BH369" s="234">
        <v>-9999</v>
      </c>
      <c r="BI369" s="234">
        <v>-9999</v>
      </c>
      <c r="BJ369" s="234">
        <v>-9999</v>
      </c>
      <c r="BK369" s="234">
        <v>-9999</v>
      </c>
      <c r="BL369" s="234">
        <v>-9999</v>
      </c>
      <c r="BM369" s="234">
        <v>-9999</v>
      </c>
      <c r="BN369" s="234">
        <v>-9999</v>
      </c>
      <c r="BO369" s="234">
        <v>-9999</v>
      </c>
      <c r="BP369" s="234">
        <v>-9999</v>
      </c>
      <c r="BQ369" s="234">
        <v>-9999</v>
      </c>
      <c r="BR369" s="234">
        <v>-9999</v>
      </c>
      <c r="BS369" s="491">
        <v>-9999</v>
      </c>
      <c r="BT369" s="234">
        <v>-9999</v>
      </c>
      <c r="BU369" s="234">
        <v>-9999</v>
      </c>
      <c r="BV369" s="234">
        <v>-9999</v>
      </c>
      <c r="BW369" s="234"/>
      <c r="BX369" s="234">
        <v>-9999</v>
      </c>
      <c r="BY369" s="234">
        <v>-9999</v>
      </c>
      <c r="BZ369" s="496">
        <v>-9999</v>
      </c>
      <c r="CA369" s="496">
        <v>-9999</v>
      </c>
      <c r="CB369" s="499"/>
      <c r="CC369" s="58">
        <v>1</v>
      </c>
      <c r="CD369" s="57">
        <v>3</v>
      </c>
      <c r="CE369" s="292">
        <v>7.7666666666666666</v>
      </c>
      <c r="CF369" s="292">
        <v>13.600000000000001</v>
      </c>
      <c r="CG369" s="57">
        <v>3</v>
      </c>
    </row>
    <row r="370" spans="1:1873" s="23" customFormat="1" x14ac:dyDescent="0.2">
      <c r="A370" s="234" t="s">
        <v>771</v>
      </c>
      <c r="B370" s="234" t="s">
        <v>42</v>
      </c>
      <c r="C370" s="234" t="s">
        <v>521</v>
      </c>
      <c r="D370" s="234" t="s">
        <v>619</v>
      </c>
      <c r="E370" s="493" t="s">
        <v>1503</v>
      </c>
      <c r="F370" s="493">
        <v>1</v>
      </c>
      <c r="G370" s="234">
        <v>4</v>
      </c>
      <c r="H370" s="234">
        <v>4</v>
      </c>
      <c r="I370" s="234" t="s">
        <v>954</v>
      </c>
      <c r="J370" s="234">
        <v>1970</v>
      </c>
      <c r="K370" s="234" t="s">
        <v>957</v>
      </c>
      <c r="L370" s="234">
        <v>1974</v>
      </c>
      <c r="M370" s="389">
        <v>-9999</v>
      </c>
      <c r="N370" s="389">
        <v>-9999</v>
      </c>
      <c r="O370" s="29"/>
      <c r="P370" s="389">
        <v>32.6</v>
      </c>
      <c r="Q370" s="234">
        <v>-9999</v>
      </c>
      <c r="R370" s="389"/>
      <c r="S370" s="234"/>
      <c r="T370" s="237">
        <f>+P370/G370</f>
        <v>8.15</v>
      </c>
      <c r="U370" s="234">
        <v>-9999</v>
      </c>
      <c r="V370" s="234"/>
      <c r="W370" s="237">
        <f>P370-P369</f>
        <v>9.3000000000000007</v>
      </c>
      <c r="X370" s="389"/>
      <c r="Y370" s="389"/>
      <c r="Z370" s="234" t="s">
        <v>45</v>
      </c>
      <c r="AA370" s="520">
        <v>26853</v>
      </c>
      <c r="AB370" s="389">
        <v>0.82</v>
      </c>
      <c r="AC370" s="234">
        <v>-9999</v>
      </c>
      <c r="AD370" s="234">
        <v>-9999</v>
      </c>
      <c r="AE370" s="234" t="s">
        <v>523</v>
      </c>
      <c r="AF370" s="234">
        <v>3</v>
      </c>
      <c r="AG370" s="234" t="s">
        <v>774</v>
      </c>
      <c r="AH370" s="234" t="s">
        <v>623</v>
      </c>
      <c r="AI370" s="234">
        <v>-9999</v>
      </c>
      <c r="AJ370" s="234">
        <v>-9999</v>
      </c>
      <c r="AK370" s="234" t="s">
        <v>626</v>
      </c>
      <c r="AL370" s="234" t="s">
        <v>653</v>
      </c>
      <c r="AM370" s="234">
        <v>-9999</v>
      </c>
      <c r="AN370" s="234" t="s">
        <v>631</v>
      </c>
      <c r="AO370" s="234">
        <v>-9999</v>
      </c>
      <c r="AP370" s="234">
        <v>-9999</v>
      </c>
      <c r="AQ370" s="234" t="s">
        <v>631</v>
      </c>
      <c r="AR370" s="234">
        <v>0</v>
      </c>
      <c r="AS370" s="234">
        <v>-9999</v>
      </c>
      <c r="AT370" s="234">
        <v>-9999</v>
      </c>
      <c r="AU370" s="234">
        <v>0</v>
      </c>
      <c r="AV370" s="234">
        <v>-9999</v>
      </c>
      <c r="AW370" s="234">
        <v>-9999</v>
      </c>
      <c r="AX370" s="234">
        <v>0</v>
      </c>
      <c r="AY370" s="234">
        <v>-9999</v>
      </c>
      <c r="AZ370" s="234">
        <v>-9999</v>
      </c>
      <c r="BA370" s="234" t="s">
        <v>775</v>
      </c>
      <c r="BB370" s="234" t="s">
        <v>631</v>
      </c>
      <c r="BC370" s="234">
        <v>-9999</v>
      </c>
      <c r="BD370" s="234">
        <v>-9999</v>
      </c>
      <c r="BE370" s="234">
        <v>-9999</v>
      </c>
      <c r="BF370" s="234">
        <v>-9999</v>
      </c>
      <c r="BG370" s="234">
        <v>-9999</v>
      </c>
      <c r="BH370" s="234">
        <v>-9999</v>
      </c>
      <c r="BI370" s="234">
        <v>-9999</v>
      </c>
      <c r="BJ370" s="234">
        <v>-9999</v>
      </c>
      <c r="BK370" s="234">
        <v>-9999</v>
      </c>
      <c r="BL370" s="234">
        <v>-9999</v>
      </c>
      <c r="BM370" s="234">
        <v>-9999</v>
      </c>
      <c r="BN370" s="234">
        <v>-9999</v>
      </c>
      <c r="BO370" s="234">
        <v>-9999</v>
      </c>
      <c r="BP370" s="234">
        <v>-9999</v>
      </c>
      <c r="BQ370" s="234">
        <v>-9999</v>
      </c>
      <c r="BR370" s="234">
        <v>-9999</v>
      </c>
      <c r="BS370" s="491">
        <v>-9999</v>
      </c>
      <c r="BT370" s="234">
        <v>-9999</v>
      </c>
      <c r="BU370" s="234">
        <v>-9999</v>
      </c>
      <c r="BV370" s="234">
        <v>-9999</v>
      </c>
      <c r="BW370" s="234"/>
      <c r="BX370" s="234">
        <v>-9999</v>
      </c>
      <c r="BY370" s="234">
        <v>-9999</v>
      </c>
      <c r="BZ370" s="496">
        <v>-9999</v>
      </c>
      <c r="CA370" s="496">
        <v>-9999</v>
      </c>
      <c r="CB370" s="499"/>
      <c r="CC370" s="58">
        <v>1</v>
      </c>
      <c r="CD370" s="57">
        <v>4</v>
      </c>
      <c r="CE370" s="401">
        <v>8.15</v>
      </c>
      <c r="CF370" s="292">
        <v>9.3000000000000007</v>
      </c>
      <c r="CG370" s="57">
        <v>4</v>
      </c>
      <c r="CH370" s="479"/>
    </row>
    <row r="371" spans="1:1873" s="23" customFormat="1" x14ac:dyDescent="0.2">
      <c r="A371" s="234"/>
      <c r="B371" s="234"/>
      <c r="C371" s="234"/>
      <c r="D371" s="234"/>
      <c r="E371" s="493"/>
      <c r="F371" s="493"/>
      <c r="G371" s="234"/>
      <c r="H371" s="234"/>
      <c r="I371" s="234"/>
      <c r="J371" s="234"/>
      <c r="K371" s="234"/>
      <c r="L371" s="234"/>
      <c r="M371" s="389"/>
      <c r="N371" s="389"/>
      <c r="O371" s="29"/>
      <c r="P371" s="389"/>
      <c r="Q371" s="234"/>
      <c r="R371" s="389"/>
      <c r="S371" s="234"/>
      <c r="T371" s="237"/>
      <c r="U371" s="234"/>
      <c r="V371" s="234"/>
      <c r="W371" s="237"/>
      <c r="X371" s="389"/>
      <c r="Y371" s="389"/>
      <c r="Z371" s="234"/>
      <c r="AA371" s="520"/>
      <c r="AB371" s="389"/>
      <c r="AC371" s="234"/>
      <c r="AD371" s="234"/>
      <c r="AE371" s="234"/>
      <c r="AF371" s="234"/>
      <c r="AG371" s="234"/>
      <c r="AH371" s="234"/>
      <c r="AI371" s="234"/>
      <c r="AJ371" s="234"/>
      <c r="AK371" s="234"/>
      <c r="AL371" s="234"/>
      <c r="AM371" s="234"/>
      <c r="AN371" s="234"/>
      <c r="AO371" s="234"/>
      <c r="AP371" s="234"/>
      <c r="AQ371" s="234"/>
      <c r="AR371" s="234"/>
      <c r="AS371" s="234"/>
      <c r="AT371" s="234"/>
      <c r="AU371" s="234"/>
      <c r="AV371" s="234"/>
      <c r="AW371" s="234"/>
      <c r="AX371" s="234"/>
      <c r="AY371" s="234"/>
      <c r="AZ371" s="234"/>
      <c r="BA371" s="234"/>
      <c r="BB371" s="234"/>
      <c r="BC371" s="234"/>
      <c r="BD371" s="234"/>
      <c r="BE371" s="234"/>
      <c r="BF371" s="234"/>
      <c r="BG371" s="234"/>
      <c r="BH371" s="234"/>
      <c r="BI371" s="234"/>
      <c r="BJ371" s="234"/>
      <c r="BK371" s="234"/>
      <c r="BL371" s="234"/>
      <c r="BM371" s="234"/>
      <c r="BN371" s="234"/>
      <c r="BO371" s="234"/>
      <c r="BP371" s="234"/>
      <c r="BQ371" s="234"/>
      <c r="BR371" s="234"/>
      <c r="BS371" s="491"/>
      <c r="BT371" s="234"/>
      <c r="BU371" s="234"/>
      <c r="BV371" s="234"/>
      <c r="BW371" s="234"/>
      <c r="BX371" s="234"/>
      <c r="BY371" s="234"/>
      <c r="BZ371" s="496"/>
      <c r="CA371" s="496"/>
      <c r="CB371" s="499"/>
      <c r="CC371" s="58"/>
      <c r="CD371" s="57"/>
      <c r="CE371" s="342" t="s">
        <v>1576</v>
      </c>
      <c r="CF371" s="342" t="s">
        <v>1575</v>
      </c>
      <c r="CG371" s="57"/>
    </row>
    <row r="372" spans="1:1873" s="23" customFormat="1" x14ac:dyDescent="0.2">
      <c r="A372" s="234" t="s">
        <v>771</v>
      </c>
      <c r="B372" s="234" t="s">
        <v>42</v>
      </c>
      <c r="C372" s="234" t="s">
        <v>522</v>
      </c>
      <c r="D372" s="234" t="s">
        <v>619</v>
      </c>
      <c r="E372" s="493" t="s">
        <v>1503</v>
      </c>
      <c r="F372" s="493">
        <v>1</v>
      </c>
      <c r="G372" s="234">
        <v>1</v>
      </c>
      <c r="H372" s="234">
        <v>1</v>
      </c>
      <c r="I372" s="234" t="s">
        <v>954</v>
      </c>
      <c r="J372" s="234">
        <v>1970</v>
      </c>
      <c r="K372" s="234" t="s">
        <v>957</v>
      </c>
      <c r="L372" s="234">
        <v>1970</v>
      </c>
      <c r="M372" s="389">
        <v>-9999</v>
      </c>
      <c r="N372" s="389">
        <v>-9999</v>
      </c>
      <c r="O372" s="29"/>
      <c r="P372" s="389">
        <v>0.5</v>
      </c>
      <c r="Q372" s="234">
        <v>-9999</v>
      </c>
      <c r="R372" s="389"/>
      <c r="S372" s="234"/>
      <c r="T372" s="237">
        <f>+P372/G372</f>
        <v>0.5</v>
      </c>
      <c r="U372" s="234">
        <v>-9999</v>
      </c>
      <c r="V372" s="234"/>
      <c r="W372" s="237">
        <f>+P372</f>
        <v>0.5</v>
      </c>
      <c r="X372" s="389"/>
      <c r="Y372" s="389"/>
      <c r="Z372" s="234" t="s">
        <v>46</v>
      </c>
      <c r="AA372" s="520">
        <v>21570</v>
      </c>
      <c r="AB372" s="389">
        <v>0.98</v>
      </c>
      <c r="AC372" s="234">
        <v>-9999</v>
      </c>
      <c r="AD372" s="234">
        <v>-9999</v>
      </c>
      <c r="AE372" s="234" t="s">
        <v>523</v>
      </c>
      <c r="AF372" s="234">
        <v>3</v>
      </c>
      <c r="AG372" s="234" t="s">
        <v>774</v>
      </c>
      <c r="AH372" s="234" t="s">
        <v>623</v>
      </c>
      <c r="AI372" s="234">
        <v>-9999</v>
      </c>
      <c r="AJ372" s="234">
        <v>-9999</v>
      </c>
      <c r="AK372" s="234" t="s">
        <v>626</v>
      </c>
      <c r="AL372" s="234" t="s">
        <v>653</v>
      </c>
      <c r="AM372" s="234">
        <v>-9999</v>
      </c>
      <c r="AN372" s="234" t="s">
        <v>631</v>
      </c>
      <c r="AO372" s="234">
        <v>-9999</v>
      </c>
      <c r="AP372" s="234">
        <v>-9999</v>
      </c>
      <c r="AQ372" s="234" t="s">
        <v>631</v>
      </c>
      <c r="AR372" s="234">
        <v>0</v>
      </c>
      <c r="AS372" s="234">
        <v>-9999</v>
      </c>
      <c r="AT372" s="234">
        <v>-9999</v>
      </c>
      <c r="AU372" s="234">
        <v>0</v>
      </c>
      <c r="AV372" s="234">
        <v>-9999</v>
      </c>
      <c r="AW372" s="234">
        <v>-9999</v>
      </c>
      <c r="AX372" s="234">
        <v>0</v>
      </c>
      <c r="AY372" s="234">
        <v>-9999</v>
      </c>
      <c r="AZ372" s="234">
        <v>-9999</v>
      </c>
      <c r="BA372" s="234" t="s">
        <v>775</v>
      </c>
      <c r="BB372" s="234" t="s">
        <v>631</v>
      </c>
      <c r="BC372" s="234">
        <v>-9999</v>
      </c>
      <c r="BD372" s="234">
        <v>-9999</v>
      </c>
      <c r="BE372" s="234">
        <v>-9999</v>
      </c>
      <c r="BF372" s="234">
        <v>-9999</v>
      </c>
      <c r="BG372" s="234">
        <v>-9999</v>
      </c>
      <c r="BH372" s="234">
        <v>-9999</v>
      </c>
      <c r="BI372" s="234">
        <v>-9999</v>
      </c>
      <c r="BJ372" s="234">
        <v>-9999</v>
      </c>
      <c r="BK372" s="234">
        <v>-9999</v>
      </c>
      <c r="BL372" s="234">
        <v>-9999</v>
      </c>
      <c r="BM372" s="234">
        <v>-9999</v>
      </c>
      <c r="BN372" s="234">
        <v>-9999</v>
      </c>
      <c r="BO372" s="234">
        <v>-9999</v>
      </c>
      <c r="BP372" s="234">
        <v>-9999</v>
      </c>
      <c r="BQ372" s="234">
        <v>-9999</v>
      </c>
      <c r="BR372" s="234">
        <v>-9999</v>
      </c>
      <c r="BS372" s="491">
        <v>-9999</v>
      </c>
      <c r="BT372" s="234">
        <v>-9999</v>
      </c>
      <c r="BU372" s="234">
        <v>-9999</v>
      </c>
      <c r="BV372" s="234">
        <v>-9999</v>
      </c>
      <c r="BW372" s="234"/>
      <c r="BX372" s="234">
        <v>-9999</v>
      </c>
      <c r="BY372" s="234">
        <v>-9999</v>
      </c>
      <c r="BZ372" s="496">
        <v>-9999</v>
      </c>
      <c r="CA372" s="496">
        <v>-9999</v>
      </c>
      <c r="CB372" s="499"/>
      <c r="CC372" s="58">
        <v>1</v>
      </c>
      <c r="CD372" s="57">
        <v>1</v>
      </c>
      <c r="CE372" s="292">
        <v>0.5</v>
      </c>
      <c r="CF372" s="292">
        <v>0.5</v>
      </c>
      <c r="CG372" s="57">
        <v>1</v>
      </c>
    </row>
    <row r="373" spans="1:1873" s="23" customFormat="1" x14ac:dyDescent="0.2">
      <c r="A373" s="234" t="s">
        <v>771</v>
      </c>
      <c r="B373" s="234" t="s">
        <v>42</v>
      </c>
      <c r="C373" s="234" t="s">
        <v>522</v>
      </c>
      <c r="D373" s="234" t="s">
        <v>619</v>
      </c>
      <c r="E373" s="493" t="s">
        <v>1503</v>
      </c>
      <c r="F373" s="493">
        <v>1</v>
      </c>
      <c r="G373" s="234">
        <v>2</v>
      </c>
      <c r="H373" s="234">
        <v>2</v>
      </c>
      <c r="I373" s="234" t="s">
        <v>954</v>
      </c>
      <c r="J373" s="234">
        <v>1970</v>
      </c>
      <c r="K373" s="234" t="s">
        <v>957</v>
      </c>
      <c r="L373" s="234">
        <v>1972</v>
      </c>
      <c r="M373" s="389">
        <v>-9999</v>
      </c>
      <c r="N373" s="389">
        <v>-9999</v>
      </c>
      <c r="O373" s="29"/>
      <c r="P373" s="389">
        <v>7.1</v>
      </c>
      <c r="Q373" s="234">
        <v>-9999</v>
      </c>
      <c r="R373" s="389"/>
      <c r="S373" s="234"/>
      <c r="T373" s="237">
        <f>+P373/G373</f>
        <v>3.55</v>
      </c>
      <c r="U373" s="234">
        <v>-9999</v>
      </c>
      <c r="V373" s="234"/>
      <c r="W373" s="237">
        <f>P373-P372</f>
        <v>6.6</v>
      </c>
      <c r="X373" s="389"/>
      <c r="Y373" s="389"/>
      <c r="Z373" s="234" t="s">
        <v>46</v>
      </c>
      <c r="AA373" s="520">
        <v>21570</v>
      </c>
      <c r="AB373" s="389">
        <v>0.95</v>
      </c>
      <c r="AC373" s="234">
        <v>-9999</v>
      </c>
      <c r="AD373" s="234">
        <v>-9999</v>
      </c>
      <c r="AE373" s="234" t="s">
        <v>523</v>
      </c>
      <c r="AF373" s="234">
        <v>3</v>
      </c>
      <c r="AG373" s="234" t="s">
        <v>774</v>
      </c>
      <c r="AH373" s="234" t="s">
        <v>623</v>
      </c>
      <c r="AI373" s="234">
        <v>-9999</v>
      </c>
      <c r="AJ373" s="234">
        <v>-9999</v>
      </c>
      <c r="AK373" s="234" t="s">
        <v>626</v>
      </c>
      <c r="AL373" s="234" t="s">
        <v>653</v>
      </c>
      <c r="AM373" s="234">
        <v>-9999</v>
      </c>
      <c r="AN373" s="234" t="s">
        <v>631</v>
      </c>
      <c r="AO373" s="234">
        <v>-9999</v>
      </c>
      <c r="AP373" s="234">
        <v>-9999</v>
      </c>
      <c r="AQ373" s="234" t="s">
        <v>631</v>
      </c>
      <c r="AR373" s="234">
        <v>0</v>
      </c>
      <c r="AS373" s="234">
        <v>-9999</v>
      </c>
      <c r="AT373" s="234">
        <v>-9999</v>
      </c>
      <c r="AU373" s="234">
        <v>0</v>
      </c>
      <c r="AV373" s="234">
        <v>-9999</v>
      </c>
      <c r="AW373" s="234">
        <v>-9999</v>
      </c>
      <c r="AX373" s="234">
        <v>0</v>
      </c>
      <c r="AY373" s="234">
        <v>-9999</v>
      </c>
      <c r="AZ373" s="234">
        <v>-9999</v>
      </c>
      <c r="BA373" s="234" t="s">
        <v>775</v>
      </c>
      <c r="BB373" s="234" t="s">
        <v>631</v>
      </c>
      <c r="BC373" s="234">
        <v>-9999</v>
      </c>
      <c r="BD373" s="234">
        <v>-9999</v>
      </c>
      <c r="BE373" s="234">
        <v>-9999</v>
      </c>
      <c r="BF373" s="234">
        <v>-9999</v>
      </c>
      <c r="BG373" s="234">
        <v>-9999</v>
      </c>
      <c r="BH373" s="234">
        <v>-9999</v>
      </c>
      <c r="BI373" s="234">
        <v>-9999</v>
      </c>
      <c r="BJ373" s="234">
        <v>-9999</v>
      </c>
      <c r="BK373" s="234">
        <v>-9999</v>
      </c>
      <c r="BL373" s="234">
        <v>-9999</v>
      </c>
      <c r="BM373" s="234">
        <v>-9999</v>
      </c>
      <c r="BN373" s="234">
        <v>-9999</v>
      </c>
      <c r="BO373" s="234">
        <v>-9999</v>
      </c>
      <c r="BP373" s="234">
        <v>-9999</v>
      </c>
      <c r="BQ373" s="234">
        <v>-9999</v>
      </c>
      <c r="BR373" s="234">
        <v>-9999</v>
      </c>
      <c r="BS373" s="491">
        <v>-9999</v>
      </c>
      <c r="BT373" s="234">
        <v>-9999</v>
      </c>
      <c r="BU373" s="234">
        <v>-9999</v>
      </c>
      <c r="BV373" s="234">
        <v>-9999</v>
      </c>
      <c r="BW373" s="234"/>
      <c r="BX373" s="234">
        <v>-9999</v>
      </c>
      <c r="BY373" s="234">
        <v>-9999</v>
      </c>
      <c r="BZ373" s="496">
        <v>-9999</v>
      </c>
      <c r="CA373" s="496">
        <v>-9999</v>
      </c>
      <c r="CB373" s="499"/>
      <c r="CC373" s="58">
        <v>1</v>
      </c>
      <c r="CD373" s="57">
        <v>2</v>
      </c>
      <c r="CE373" s="292">
        <v>3.55</v>
      </c>
      <c r="CF373" s="292">
        <v>6.6</v>
      </c>
      <c r="CG373" s="57">
        <v>2</v>
      </c>
    </row>
    <row r="374" spans="1:1873" s="23" customFormat="1" x14ac:dyDescent="0.2">
      <c r="A374" s="234" t="s">
        <v>771</v>
      </c>
      <c r="B374" s="234" t="s">
        <v>42</v>
      </c>
      <c r="C374" s="234" t="s">
        <v>522</v>
      </c>
      <c r="D374" s="234" t="s">
        <v>619</v>
      </c>
      <c r="E374" s="493" t="s">
        <v>1503</v>
      </c>
      <c r="F374" s="493">
        <v>1</v>
      </c>
      <c r="G374" s="234">
        <v>3</v>
      </c>
      <c r="H374" s="234">
        <v>3</v>
      </c>
      <c r="I374" s="234" t="s">
        <v>954</v>
      </c>
      <c r="J374" s="234">
        <v>1970</v>
      </c>
      <c r="K374" s="234" t="s">
        <v>957</v>
      </c>
      <c r="L374" s="234">
        <v>1973</v>
      </c>
      <c r="M374" s="389">
        <v>-9999</v>
      </c>
      <c r="N374" s="389">
        <v>-9999</v>
      </c>
      <c r="O374" s="29"/>
      <c r="P374" s="389">
        <v>17.600000000000001</v>
      </c>
      <c r="Q374" s="234">
        <v>-9999</v>
      </c>
      <c r="R374" s="389"/>
      <c r="S374" s="234"/>
      <c r="T374" s="237">
        <f>+P374/G374</f>
        <v>5.8666666666666671</v>
      </c>
      <c r="U374" s="234">
        <v>-9999</v>
      </c>
      <c r="V374" s="234"/>
      <c r="W374" s="237">
        <f>P374-P373</f>
        <v>10.500000000000002</v>
      </c>
      <c r="X374" s="389"/>
      <c r="Y374" s="389"/>
      <c r="Z374" s="234" t="s">
        <v>46</v>
      </c>
      <c r="AA374" s="520">
        <v>21570</v>
      </c>
      <c r="AB374" s="389">
        <v>0.91</v>
      </c>
      <c r="AC374" s="234">
        <v>-9999</v>
      </c>
      <c r="AD374" s="234">
        <v>-9999</v>
      </c>
      <c r="AE374" s="234" t="s">
        <v>523</v>
      </c>
      <c r="AF374" s="234">
        <v>3</v>
      </c>
      <c r="AG374" s="234" t="s">
        <v>774</v>
      </c>
      <c r="AH374" s="234" t="s">
        <v>623</v>
      </c>
      <c r="AI374" s="234">
        <v>-9999</v>
      </c>
      <c r="AJ374" s="234">
        <v>-9999</v>
      </c>
      <c r="AK374" s="234" t="s">
        <v>626</v>
      </c>
      <c r="AL374" s="234" t="s">
        <v>653</v>
      </c>
      <c r="AM374" s="234">
        <v>-9999</v>
      </c>
      <c r="AN374" s="234" t="s">
        <v>631</v>
      </c>
      <c r="AO374" s="234">
        <v>-9999</v>
      </c>
      <c r="AP374" s="234">
        <v>-9999</v>
      </c>
      <c r="AQ374" s="234" t="s">
        <v>631</v>
      </c>
      <c r="AR374" s="234">
        <v>0</v>
      </c>
      <c r="AS374" s="234">
        <v>-9999</v>
      </c>
      <c r="AT374" s="234">
        <v>-9999</v>
      </c>
      <c r="AU374" s="234">
        <v>0</v>
      </c>
      <c r="AV374" s="234">
        <v>-9999</v>
      </c>
      <c r="AW374" s="234">
        <v>-9999</v>
      </c>
      <c r="AX374" s="234">
        <v>0</v>
      </c>
      <c r="AY374" s="234">
        <v>-9999</v>
      </c>
      <c r="AZ374" s="234">
        <v>-9999</v>
      </c>
      <c r="BA374" s="234" t="s">
        <v>775</v>
      </c>
      <c r="BB374" s="234" t="s">
        <v>631</v>
      </c>
      <c r="BC374" s="234">
        <v>-9999</v>
      </c>
      <c r="BD374" s="234">
        <v>-9999</v>
      </c>
      <c r="BE374" s="234">
        <v>-9999</v>
      </c>
      <c r="BF374" s="234">
        <v>-9999</v>
      </c>
      <c r="BG374" s="234">
        <v>-9999</v>
      </c>
      <c r="BH374" s="234">
        <v>-9999</v>
      </c>
      <c r="BI374" s="234">
        <v>-9999</v>
      </c>
      <c r="BJ374" s="234">
        <v>-9999</v>
      </c>
      <c r="BK374" s="234">
        <v>-9999</v>
      </c>
      <c r="BL374" s="234">
        <v>-9999</v>
      </c>
      <c r="BM374" s="234">
        <v>-9999</v>
      </c>
      <c r="BN374" s="234">
        <v>-9999</v>
      </c>
      <c r="BO374" s="234">
        <v>-9999</v>
      </c>
      <c r="BP374" s="234">
        <v>-9999</v>
      </c>
      <c r="BQ374" s="234">
        <v>-9999</v>
      </c>
      <c r="BR374" s="234">
        <v>-9999</v>
      </c>
      <c r="BS374" s="491">
        <v>-9999</v>
      </c>
      <c r="BT374" s="234">
        <v>-9999</v>
      </c>
      <c r="BU374" s="234">
        <v>-9999</v>
      </c>
      <c r="BV374" s="234">
        <v>-9999</v>
      </c>
      <c r="BW374" s="234"/>
      <c r="BX374" s="234">
        <v>-9999</v>
      </c>
      <c r="BY374" s="234">
        <v>-9999</v>
      </c>
      <c r="BZ374" s="496">
        <v>-9999</v>
      </c>
      <c r="CA374" s="496">
        <v>-9999</v>
      </c>
      <c r="CB374" s="499"/>
      <c r="CC374" s="58">
        <v>1</v>
      </c>
      <c r="CD374" s="57">
        <v>3</v>
      </c>
      <c r="CE374" s="292">
        <v>5.8666666666666671</v>
      </c>
      <c r="CF374" s="292">
        <v>10.500000000000002</v>
      </c>
      <c r="CG374" s="57">
        <v>3</v>
      </c>
    </row>
    <row r="375" spans="1:1873" s="23" customFormat="1" x14ac:dyDescent="0.2">
      <c r="A375" s="234" t="s">
        <v>771</v>
      </c>
      <c r="B375" s="234" t="s">
        <v>42</v>
      </c>
      <c r="C375" s="234" t="s">
        <v>522</v>
      </c>
      <c r="D375" s="234" t="s">
        <v>619</v>
      </c>
      <c r="E375" s="493" t="s">
        <v>1503</v>
      </c>
      <c r="F375" s="493">
        <v>1</v>
      </c>
      <c r="G375" s="234">
        <v>4</v>
      </c>
      <c r="H375" s="234">
        <v>4</v>
      </c>
      <c r="I375" s="234" t="s">
        <v>954</v>
      </c>
      <c r="J375" s="234">
        <v>1970</v>
      </c>
      <c r="K375" s="234" t="s">
        <v>957</v>
      </c>
      <c r="L375" s="234">
        <v>1974</v>
      </c>
      <c r="M375" s="389">
        <v>-9999</v>
      </c>
      <c r="N375" s="389">
        <v>-9999</v>
      </c>
      <c r="O375" s="29"/>
      <c r="P375" s="389">
        <v>26.1</v>
      </c>
      <c r="Q375" s="234">
        <v>-9999</v>
      </c>
      <c r="R375" s="389"/>
      <c r="S375" s="234"/>
      <c r="T375" s="237">
        <f>+P375/G375</f>
        <v>6.5250000000000004</v>
      </c>
      <c r="U375" s="234">
        <v>-9999</v>
      </c>
      <c r="V375" s="234"/>
      <c r="W375" s="237">
        <f>P375-P374</f>
        <v>8.5</v>
      </c>
      <c r="X375" s="389"/>
      <c r="Y375" s="389"/>
      <c r="Z375" s="234" t="s">
        <v>46</v>
      </c>
      <c r="AA375" s="520">
        <v>21570</v>
      </c>
      <c r="AB375" s="389">
        <v>0.82</v>
      </c>
      <c r="AC375" s="234">
        <v>-9999</v>
      </c>
      <c r="AD375" s="234">
        <v>-9999</v>
      </c>
      <c r="AE375" s="234" t="s">
        <v>523</v>
      </c>
      <c r="AF375" s="234">
        <v>3</v>
      </c>
      <c r="AG375" s="234" t="s">
        <v>774</v>
      </c>
      <c r="AH375" s="234" t="s">
        <v>623</v>
      </c>
      <c r="AI375" s="234">
        <v>-9999</v>
      </c>
      <c r="AJ375" s="234">
        <v>-9999</v>
      </c>
      <c r="AK375" s="234" t="s">
        <v>626</v>
      </c>
      <c r="AL375" s="234" t="s">
        <v>653</v>
      </c>
      <c r="AM375" s="234">
        <v>-9999</v>
      </c>
      <c r="AN375" s="234" t="s">
        <v>631</v>
      </c>
      <c r="AO375" s="234">
        <v>-9999</v>
      </c>
      <c r="AP375" s="234">
        <v>-9999</v>
      </c>
      <c r="AQ375" s="234" t="s">
        <v>631</v>
      </c>
      <c r="AR375" s="234">
        <v>0</v>
      </c>
      <c r="AS375" s="234">
        <v>-9999</v>
      </c>
      <c r="AT375" s="234">
        <v>-9999</v>
      </c>
      <c r="AU375" s="234">
        <v>0</v>
      </c>
      <c r="AV375" s="234">
        <v>-9999</v>
      </c>
      <c r="AW375" s="234">
        <v>-9999</v>
      </c>
      <c r="AX375" s="234">
        <v>0</v>
      </c>
      <c r="AY375" s="234">
        <v>-9999</v>
      </c>
      <c r="AZ375" s="234">
        <v>-9999</v>
      </c>
      <c r="BA375" s="234" t="s">
        <v>775</v>
      </c>
      <c r="BB375" s="234" t="s">
        <v>631</v>
      </c>
      <c r="BC375" s="234">
        <v>-9999</v>
      </c>
      <c r="BD375" s="234">
        <v>-9999</v>
      </c>
      <c r="BE375" s="234">
        <v>-9999</v>
      </c>
      <c r="BF375" s="234">
        <v>-9999</v>
      </c>
      <c r="BG375" s="234">
        <v>-9999</v>
      </c>
      <c r="BH375" s="234">
        <v>-9999</v>
      </c>
      <c r="BI375" s="234">
        <v>-9999</v>
      </c>
      <c r="BJ375" s="234">
        <v>-9999</v>
      </c>
      <c r="BK375" s="234">
        <v>-9999</v>
      </c>
      <c r="BL375" s="234">
        <v>-9999</v>
      </c>
      <c r="BM375" s="234">
        <v>-9999</v>
      </c>
      <c r="BN375" s="234">
        <v>-9999</v>
      </c>
      <c r="BO375" s="234">
        <v>-9999</v>
      </c>
      <c r="BP375" s="234">
        <v>-9999</v>
      </c>
      <c r="BQ375" s="234">
        <v>-9999</v>
      </c>
      <c r="BR375" s="234">
        <v>-9999</v>
      </c>
      <c r="BS375" s="491">
        <v>-9999</v>
      </c>
      <c r="BT375" s="234">
        <v>-9999</v>
      </c>
      <c r="BU375" s="234">
        <v>-9999</v>
      </c>
      <c r="BV375" s="234">
        <v>-9999</v>
      </c>
      <c r="BW375" s="234"/>
      <c r="BX375" s="234">
        <v>-9999</v>
      </c>
      <c r="BY375" s="234">
        <v>-9999</v>
      </c>
      <c r="BZ375" s="496">
        <v>-9999</v>
      </c>
      <c r="CA375" s="496">
        <v>-9999</v>
      </c>
      <c r="CB375" s="499"/>
      <c r="CC375" s="58">
        <v>1</v>
      </c>
      <c r="CD375" s="57">
        <v>4</v>
      </c>
      <c r="CE375" s="401">
        <v>6.5250000000000004</v>
      </c>
      <c r="CF375" s="292">
        <v>8.5</v>
      </c>
      <c r="CG375" s="57">
        <v>4</v>
      </c>
      <c r="CH375" s="479"/>
    </row>
    <row r="376" spans="1:1873" s="23" customFormat="1" x14ac:dyDescent="0.2">
      <c r="A376" s="29"/>
      <c r="B376" s="29"/>
      <c r="C376" s="29"/>
      <c r="D376" s="29"/>
      <c r="E376" s="66"/>
      <c r="F376" s="29"/>
      <c r="G376" s="29"/>
      <c r="H376" s="30"/>
      <c r="I376" s="29"/>
      <c r="J376" s="29"/>
      <c r="K376" s="29"/>
      <c r="L376" s="29"/>
      <c r="M376" s="31"/>
      <c r="N376" s="31"/>
      <c r="O376" s="30"/>
      <c r="P376" s="31"/>
      <c r="Q376" s="29"/>
      <c r="R376" s="31"/>
      <c r="S376" s="29"/>
      <c r="T376" s="31"/>
      <c r="U376" s="29"/>
      <c r="V376" s="29"/>
      <c r="W376" s="31"/>
      <c r="X376" s="29"/>
      <c r="Y376" s="29"/>
      <c r="Z376" s="29"/>
      <c r="AA376" s="29"/>
      <c r="AB376" s="31"/>
      <c r="AC376" s="29"/>
      <c r="AD376" s="29"/>
      <c r="AE376" s="29"/>
      <c r="AF376" s="29"/>
      <c r="AG376" s="29"/>
      <c r="AH376" s="29"/>
      <c r="AI376" s="29"/>
      <c r="AJ376" s="29"/>
      <c r="AK376" s="29"/>
      <c r="AL376" s="29"/>
      <c r="AM376" s="29"/>
      <c r="AN376" s="29"/>
      <c r="AO376" s="29"/>
      <c r="AP376" s="29"/>
      <c r="AQ376" s="29"/>
      <c r="AR376" s="29"/>
      <c r="AS376" s="29"/>
      <c r="AT376" s="29"/>
      <c r="AU376" s="29"/>
      <c r="AV376" s="29"/>
      <c r="AW376" s="29"/>
      <c r="AX376" s="29"/>
      <c r="AY376" s="29"/>
      <c r="AZ376" s="29"/>
      <c r="BA376" s="29"/>
      <c r="BB376" s="29"/>
      <c r="BC376" s="29"/>
      <c r="BD376" s="29"/>
      <c r="BE376" s="29"/>
      <c r="BF376" s="29"/>
      <c r="BG376" s="29"/>
      <c r="BH376" s="29"/>
      <c r="BI376" s="29"/>
      <c r="BJ376" s="29"/>
      <c r="BK376" s="29"/>
      <c r="BL376" s="29"/>
      <c r="BM376" s="29"/>
      <c r="BN376" s="29"/>
      <c r="BO376" s="29"/>
      <c r="BP376" s="29"/>
      <c r="BQ376" s="29"/>
      <c r="BR376" s="30"/>
      <c r="BS376" s="30"/>
      <c r="BT376" s="30"/>
      <c r="BU376" s="30"/>
      <c r="BV376" s="30"/>
      <c r="BW376" s="30"/>
      <c r="BX376" s="30"/>
      <c r="BY376" s="29"/>
      <c r="BZ376" s="98"/>
      <c r="CA376" s="98"/>
      <c r="CC376" s="29"/>
      <c r="CD376" s="29"/>
      <c r="CE376" s="342" t="s">
        <v>1576</v>
      </c>
      <c r="CF376" s="342" t="s">
        <v>1575</v>
      </c>
      <c r="CG376" s="30"/>
    </row>
    <row r="377" spans="1:1873" s="2" customFormat="1" x14ac:dyDescent="0.2">
      <c r="A377" s="522" t="s">
        <v>1424</v>
      </c>
      <c r="B377" s="234" t="s">
        <v>42</v>
      </c>
      <c r="C377" s="522" t="s">
        <v>47</v>
      </c>
      <c r="D377" s="234" t="s">
        <v>619</v>
      </c>
      <c r="E377" s="493" t="s">
        <v>1503</v>
      </c>
      <c r="F377" s="523">
        <v>1</v>
      </c>
      <c r="G377" s="522">
        <v>1</v>
      </c>
      <c r="H377" s="524">
        <v>1</v>
      </c>
      <c r="I377" s="234" t="s">
        <v>954</v>
      </c>
      <c r="J377" s="524">
        <v>1981</v>
      </c>
      <c r="K377" s="524" t="s">
        <v>957</v>
      </c>
      <c r="L377" s="522">
        <v>1981</v>
      </c>
      <c r="M377" s="525">
        <v>1</v>
      </c>
      <c r="N377" s="389">
        <v>-9999</v>
      </c>
      <c r="O377" s="29"/>
      <c r="P377" s="525">
        <f>+M377</f>
        <v>1</v>
      </c>
      <c r="Q377" s="234">
        <v>-9999</v>
      </c>
      <c r="R377" s="389"/>
      <c r="S377" s="234"/>
      <c r="T377" s="237">
        <f>+P377/G377</f>
        <v>1</v>
      </c>
      <c r="U377" s="234">
        <v>-9999</v>
      </c>
      <c r="V377" s="234"/>
      <c r="W377" s="412">
        <f>+P377</f>
        <v>1</v>
      </c>
      <c r="X377" s="491">
        <v>-9999</v>
      </c>
      <c r="Y377" s="491"/>
      <c r="Z377" s="390" t="s">
        <v>1704</v>
      </c>
      <c r="AA377" s="520">
        <v>20833</v>
      </c>
      <c r="AB377" s="389">
        <v>0.91</v>
      </c>
      <c r="AC377" s="522">
        <v>1.2</v>
      </c>
      <c r="AD377" s="526">
        <v>125</v>
      </c>
      <c r="AE377" s="522" t="s">
        <v>168</v>
      </c>
      <c r="AF377" s="522">
        <v>3</v>
      </c>
      <c r="AG377" s="522" t="s">
        <v>776</v>
      </c>
      <c r="AH377" s="522" t="s">
        <v>623</v>
      </c>
      <c r="AI377" s="234">
        <v>-9999</v>
      </c>
      <c r="AJ377" s="234">
        <v>-9999</v>
      </c>
      <c r="AK377" s="522" t="s">
        <v>626</v>
      </c>
      <c r="AL377" s="522" t="s">
        <v>272</v>
      </c>
      <c r="AM377" s="234">
        <v>-9999</v>
      </c>
      <c r="AN377" s="522" t="s">
        <v>777</v>
      </c>
      <c r="AO377" s="234">
        <v>-9999</v>
      </c>
      <c r="AP377" s="234">
        <v>-9999</v>
      </c>
      <c r="AQ377" s="522" t="s">
        <v>777</v>
      </c>
      <c r="AR377" s="234">
        <v>0</v>
      </c>
      <c r="AS377" s="234">
        <v>-9999</v>
      </c>
      <c r="AT377" s="522">
        <v>-9999</v>
      </c>
      <c r="AU377" s="234">
        <v>0</v>
      </c>
      <c r="AV377" s="234">
        <v>-9999</v>
      </c>
      <c r="AW377" s="522">
        <v>-9999</v>
      </c>
      <c r="AX377" s="234">
        <v>0</v>
      </c>
      <c r="AY377" s="234">
        <v>-9999</v>
      </c>
      <c r="AZ377" s="522">
        <v>-9999</v>
      </c>
      <c r="BA377" s="234">
        <v>-9999</v>
      </c>
      <c r="BB377" s="522" t="s">
        <v>626</v>
      </c>
      <c r="BC377" s="522" t="s">
        <v>273</v>
      </c>
      <c r="BD377" s="522" t="s">
        <v>642</v>
      </c>
      <c r="BE377" s="234">
        <v>-9999</v>
      </c>
      <c r="BF377" s="522" t="s">
        <v>274</v>
      </c>
      <c r="BG377" s="522" t="s">
        <v>275</v>
      </c>
      <c r="BH377" s="234">
        <v>-9999</v>
      </c>
      <c r="BI377" s="234">
        <v>-9999</v>
      </c>
      <c r="BJ377" s="234">
        <v>-9999</v>
      </c>
      <c r="BK377" s="234">
        <v>-9999</v>
      </c>
      <c r="BL377" s="234">
        <f>(1.7+1.7)/2</f>
        <v>1.7</v>
      </c>
      <c r="BM377" s="234">
        <v>-9999</v>
      </c>
      <c r="BN377" s="234">
        <f>(1.4+1.4)/2</f>
        <v>1.4</v>
      </c>
      <c r="BO377" s="234">
        <v>-9999</v>
      </c>
      <c r="BP377" s="234">
        <v>-9999</v>
      </c>
      <c r="BQ377" s="234">
        <v>-9999</v>
      </c>
      <c r="BR377" s="234">
        <v>-9999</v>
      </c>
      <c r="BS377" s="491">
        <v>-9999</v>
      </c>
      <c r="BT377" s="234">
        <v>-9999</v>
      </c>
      <c r="BU377" s="234">
        <v>-9999</v>
      </c>
      <c r="BV377" s="234">
        <v>-9999</v>
      </c>
      <c r="BW377" s="234"/>
      <c r="BX377" s="234">
        <v>-9999</v>
      </c>
      <c r="BY377" s="234">
        <v>-9999</v>
      </c>
      <c r="BZ377" s="496">
        <v>-9999</v>
      </c>
      <c r="CA377" s="527">
        <v>15</v>
      </c>
      <c r="CB377" s="528"/>
      <c r="CC377" s="117">
        <v>1</v>
      </c>
      <c r="CD377" s="10">
        <v>1</v>
      </c>
      <c r="CE377" s="290">
        <v>1</v>
      </c>
      <c r="CF377" s="290">
        <v>1</v>
      </c>
      <c r="CG377" s="14">
        <v>1</v>
      </c>
    </row>
    <row r="378" spans="1:1873" s="2" customFormat="1" x14ac:dyDescent="0.2">
      <c r="A378" s="522" t="s">
        <v>1424</v>
      </c>
      <c r="B378" s="234" t="s">
        <v>42</v>
      </c>
      <c r="C378" s="522" t="s">
        <v>47</v>
      </c>
      <c r="D378" s="234" t="s">
        <v>619</v>
      </c>
      <c r="E378" s="493" t="s">
        <v>1503</v>
      </c>
      <c r="F378" s="523">
        <v>1</v>
      </c>
      <c r="G378" s="522">
        <v>2</v>
      </c>
      <c r="H378" s="524">
        <v>2</v>
      </c>
      <c r="I378" s="234" t="s">
        <v>954</v>
      </c>
      <c r="J378" s="524">
        <v>1981</v>
      </c>
      <c r="K378" s="524" t="s">
        <v>957</v>
      </c>
      <c r="L378" s="522">
        <v>1982</v>
      </c>
      <c r="M378" s="525">
        <v>10.3</v>
      </c>
      <c r="N378" s="389">
        <v>-9999</v>
      </c>
      <c r="O378" s="29"/>
      <c r="P378" s="525">
        <f>+M378</f>
        <v>10.3</v>
      </c>
      <c r="Q378" s="234">
        <v>-9999</v>
      </c>
      <c r="R378" s="389"/>
      <c r="S378" s="234"/>
      <c r="T378" s="237">
        <f>+P378/G378</f>
        <v>5.15</v>
      </c>
      <c r="U378" s="234">
        <v>-9999</v>
      </c>
      <c r="V378" s="234"/>
      <c r="W378" s="412">
        <f>+P378-P377</f>
        <v>9.3000000000000007</v>
      </c>
      <c r="X378" s="491">
        <v>-9999</v>
      </c>
      <c r="Y378" s="491"/>
      <c r="Z378" s="390" t="s">
        <v>1704</v>
      </c>
      <c r="AA378" s="520">
        <v>20833</v>
      </c>
      <c r="AB378" s="389">
        <v>0.92</v>
      </c>
      <c r="AC378" s="522">
        <v>1.2</v>
      </c>
      <c r="AD378" s="526">
        <v>125</v>
      </c>
      <c r="AE378" s="522" t="s">
        <v>168</v>
      </c>
      <c r="AF378" s="522">
        <v>3</v>
      </c>
      <c r="AG378" s="522" t="s">
        <v>776</v>
      </c>
      <c r="AH378" s="522" t="s">
        <v>623</v>
      </c>
      <c r="AI378" s="234">
        <v>-9999</v>
      </c>
      <c r="AJ378" s="234">
        <v>-9999</v>
      </c>
      <c r="AK378" s="522" t="s">
        <v>626</v>
      </c>
      <c r="AL378" s="522" t="s">
        <v>272</v>
      </c>
      <c r="AM378" s="234">
        <v>-9999</v>
      </c>
      <c r="AN378" s="522" t="s">
        <v>777</v>
      </c>
      <c r="AO378" s="234">
        <v>-9999</v>
      </c>
      <c r="AP378" s="234">
        <v>-9999</v>
      </c>
      <c r="AQ378" s="522" t="s">
        <v>777</v>
      </c>
      <c r="AR378" s="234">
        <v>0</v>
      </c>
      <c r="AS378" s="234">
        <v>-9999</v>
      </c>
      <c r="AT378" s="522">
        <v>-9999</v>
      </c>
      <c r="AU378" s="234">
        <v>0</v>
      </c>
      <c r="AV378" s="234">
        <v>-9999</v>
      </c>
      <c r="AW378" s="522">
        <v>-9999</v>
      </c>
      <c r="AX378" s="234">
        <v>0</v>
      </c>
      <c r="AY378" s="234">
        <v>-9999</v>
      </c>
      <c r="AZ378" s="522">
        <v>-9999</v>
      </c>
      <c r="BA378" s="234">
        <v>-9999</v>
      </c>
      <c r="BB378" s="522" t="s">
        <v>626</v>
      </c>
      <c r="BC378" s="522" t="s">
        <v>273</v>
      </c>
      <c r="BD378" s="522" t="s">
        <v>642</v>
      </c>
      <c r="BE378" s="234">
        <v>-9999</v>
      </c>
      <c r="BF378" s="522" t="s">
        <v>274</v>
      </c>
      <c r="BG378" s="522" t="s">
        <v>275</v>
      </c>
      <c r="BH378" s="234">
        <v>-9999</v>
      </c>
      <c r="BI378" s="234">
        <v>-9999</v>
      </c>
      <c r="BJ378" s="234">
        <v>-9999</v>
      </c>
      <c r="BK378" s="234">
        <v>-9999</v>
      </c>
      <c r="BL378" s="234">
        <f>(4.2+4.6)/2</f>
        <v>4.4000000000000004</v>
      </c>
      <c r="BM378" s="234">
        <v>-9999</v>
      </c>
      <c r="BN378" s="234">
        <f>(2.7+3)/2</f>
        <v>2.85</v>
      </c>
      <c r="BO378" s="234">
        <v>-9999</v>
      </c>
      <c r="BP378" s="234">
        <v>-9999</v>
      </c>
      <c r="BQ378" s="234">
        <v>-9999</v>
      </c>
      <c r="BR378" s="234">
        <v>-9999</v>
      </c>
      <c r="BS378" s="491">
        <v>-9999</v>
      </c>
      <c r="BT378" s="234">
        <v>-9999</v>
      </c>
      <c r="BU378" s="234">
        <v>-9999</v>
      </c>
      <c r="BV378" s="234">
        <v>-9999</v>
      </c>
      <c r="BW378" s="234"/>
      <c r="BX378" s="234">
        <v>-9999</v>
      </c>
      <c r="BY378" s="234">
        <v>-9999</v>
      </c>
      <c r="BZ378" s="496">
        <v>-9999</v>
      </c>
      <c r="CA378" s="527">
        <v>15</v>
      </c>
      <c r="CB378" s="528"/>
      <c r="CC378" s="117">
        <v>1</v>
      </c>
      <c r="CD378" s="10">
        <v>2</v>
      </c>
      <c r="CE378" s="290">
        <v>5.15</v>
      </c>
      <c r="CF378" s="290">
        <v>9.3000000000000007</v>
      </c>
      <c r="CG378" s="14">
        <v>2</v>
      </c>
    </row>
    <row r="379" spans="1:1873" s="2" customFormat="1" x14ac:dyDescent="0.2">
      <c r="A379" s="522" t="s">
        <v>1424</v>
      </c>
      <c r="B379" s="234" t="s">
        <v>42</v>
      </c>
      <c r="C379" s="522" t="s">
        <v>47</v>
      </c>
      <c r="D379" s="234" t="s">
        <v>619</v>
      </c>
      <c r="E379" s="493" t="s">
        <v>1503</v>
      </c>
      <c r="F379" s="523">
        <v>1</v>
      </c>
      <c r="G379" s="522">
        <v>3</v>
      </c>
      <c r="H379" s="524">
        <v>3</v>
      </c>
      <c r="I379" s="234" t="s">
        <v>954</v>
      </c>
      <c r="J379" s="524">
        <v>1981</v>
      </c>
      <c r="K379" s="524" t="s">
        <v>957</v>
      </c>
      <c r="L379" s="522">
        <v>1983</v>
      </c>
      <c r="M379" s="525">
        <v>20.3</v>
      </c>
      <c r="N379" s="389">
        <v>-9999</v>
      </c>
      <c r="O379" s="29"/>
      <c r="P379" s="525">
        <f>+M379</f>
        <v>20.3</v>
      </c>
      <c r="Q379" s="234">
        <v>-9999</v>
      </c>
      <c r="R379" s="389"/>
      <c r="S379" s="234"/>
      <c r="T379" s="237">
        <f>+P379/G379</f>
        <v>6.7666666666666666</v>
      </c>
      <c r="U379" s="234">
        <v>-9999</v>
      </c>
      <c r="V379" s="234"/>
      <c r="W379" s="412">
        <f>+P379-P378</f>
        <v>10</v>
      </c>
      <c r="X379" s="491">
        <v>-9999</v>
      </c>
      <c r="Y379" s="491"/>
      <c r="Z379" s="390" t="s">
        <v>1704</v>
      </c>
      <c r="AA379" s="520">
        <v>20833</v>
      </c>
      <c r="AB379" s="389">
        <v>0.9</v>
      </c>
      <c r="AC379" s="522">
        <v>1.2</v>
      </c>
      <c r="AD379" s="526">
        <v>125</v>
      </c>
      <c r="AE379" s="522" t="s">
        <v>168</v>
      </c>
      <c r="AF379" s="522">
        <v>3</v>
      </c>
      <c r="AG379" s="522" t="s">
        <v>776</v>
      </c>
      <c r="AH379" s="522" t="s">
        <v>623</v>
      </c>
      <c r="AI379" s="234">
        <v>-9999</v>
      </c>
      <c r="AJ379" s="234">
        <v>-9999</v>
      </c>
      <c r="AK379" s="522" t="s">
        <v>626</v>
      </c>
      <c r="AL379" s="522" t="s">
        <v>272</v>
      </c>
      <c r="AM379" s="234">
        <v>-9999</v>
      </c>
      <c r="AN379" s="522" t="s">
        <v>777</v>
      </c>
      <c r="AO379" s="234">
        <v>-9999</v>
      </c>
      <c r="AP379" s="234">
        <v>-9999</v>
      </c>
      <c r="AQ379" s="522" t="s">
        <v>777</v>
      </c>
      <c r="AR379" s="234">
        <v>0</v>
      </c>
      <c r="AS379" s="234">
        <v>-9999</v>
      </c>
      <c r="AT379" s="522">
        <v>-9999</v>
      </c>
      <c r="AU379" s="234">
        <v>0</v>
      </c>
      <c r="AV379" s="234">
        <v>-9999</v>
      </c>
      <c r="AW379" s="522">
        <v>-9999</v>
      </c>
      <c r="AX379" s="234">
        <v>0</v>
      </c>
      <c r="AY379" s="234">
        <v>-9999</v>
      </c>
      <c r="AZ379" s="522">
        <v>-9999</v>
      </c>
      <c r="BA379" s="234">
        <v>-9999</v>
      </c>
      <c r="BB379" s="522" t="s">
        <v>626</v>
      </c>
      <c r="BC379" s="522" t="s">
        <v>273</v>
      </c>
      <c r="BD379" s="522" t="s">
        <v>642</v>
      </c>
      <c r="BE379" s="234">
        <v>-9999</v>
      </c>
      <c r="BF379" s="522" t="s">
        <v>274</v>
      </c>
      <c r="BG379" s="522" t="s">
        <v>275</v>
      </c>
      <c r="BH379" s="234">
        <v>-9999</v>
      </c>
      <c r="BI379" s="234">
        <v>-9999</v>
      </c>
      <c r="BJ379" s="234">
        <v>-9999</v>
      </c>
      <c r="BK379" s="234">
        <v>-9999</v>
      </c>
      <c r="BL379" s="234">
        <f>(5.6+5.8)/2</f>
        <v>5.6999999999999993</v>
      </c>
      <c r="BM379" s="234">
        <v>-9999</v>
      </c>
      <c r="BN379" s="234">
        <f>(3.6+3.7)/2</f>
        <v>3.6500000000000004</v>
      </c>
      <c r="BO379" s="234">
        <v>-9999</v>
      </c>
      <c r="BP379" s="234">
        <v>-9999</v>
      </c>
      <c r="BQ379" s="234">
        <v>-9999</v>
      </c>
      <c r="BR379" s="234">
        <v>-9999</v>
      </c>
      <c r="BS379" s="491">
        <v>-9999</v>
      </c>
      <c r="BT379" s="234">
        <v>-9999</v>
      </c>
      <c r="BU379" s="234">
        <v>-9999</v>
      </c>
      <c r="BV379" s="234">
        <v>-9999</v>
      </c>
      <c r="BW379" s="234"/>
      <c r="BX379" s="234">
        <v>-9999</v>
      </c>
      <c r="BY379" s="234">
        <v>-9999</v>
      </c>
      <c r="BZ379" s="496">
        <v>-9999</v>
      </c>
      <c r="CA379" s="527">
        <v>15</v>
      </c>
      <c r="CB379" s="528"/>
      <c r="CC379" s="117">
        <v>1</v>
      </c>
      <c r="CD379" s="10">
        <v>3</v>
      </c>
      <c r="CE379" s="290">
        <v>6.7666666666666666</v>
      </c>
      <c r="CF379" s="290">
        <v>10</v>
      </c>
      <c r="CG379" s="14">
        <v>3</v>
      </c>
    </row>
    <row r="380" spans="1:1873" s="184" customFormat="1" x14ac:dyDescent="0.2">
      <c r="A380" s="529" t="s">
        <v>1424</v>
      </c>
      <c r="B380" s="234" t="s">
        <v>42</v>
      </c>
      <c r="C380" s="522" t="s">
        <v>47</v>
      </c>
      <c r="D380" s="234" t="s">
        <v>619</v>
      </c>
      <c r="E380" s="493" t="s">
        <v>1503</v>
      </c>
      <c r="F380" s="523">
        <v>1</v>
      </c>
      <c r="G380" s="522">
        <v>4</v>
      </c>
      <c r="H380" s="524">
        <v>4</v>
      </c>
      <c r="I380" s="234" t="s">
        <v>954</v>
      </c>
      <c r="J380" s="524">
        <v>1981</v>
      </c>
      <c r="K380" s="524" t="s">
        <v>957</v>
      </c>
      <c r="L380" s="522">
        <v>1984</v>
      </c>
      <c r="M380" s="525">
        <v>33.5</v>
      </c>
      <c r="N380" s="389">
        <v>-9999</v>
      </c>
      <c r="O380" s="29"/>
      <c r="P380" s="525">
        <f>+M380</f>
        <v>33.5</v>
      </c>
      <c r="Q380" s="234">
        <v>-9999</v>
      </c>
      <c r="R380" s="389"/>
      <c r="S380" s="234"/>
      <c r="T380" s="237">
        <f>+P380/G380</f>
        <v>8.375</v>
      </c>
      <c r="U380" s="234">
        <v>-9999</v>
      </c>
      <c r="V380" s="234"/>
      <c r="W380" s="412">
        <f>+P380-P379</f>
        <v>13.2</v>
      </c>
      <c r="X380" s="491">
        <v>-9999</v>
      </c>
      <c r="Y380" s="491"/>
      <c r="Z380" s="390" t="s">
        <v>1704</v>
      </c>
      <c r="AA380" s="520">
        <v>20833</v>
      </c>
      <c r="AB380" s="389">
        <v>0.89</v>
      </c>
      <c r="AC380" s="522">
        <v>1.2</v>
      </c>
      <c r="AD380" s="526">
        <v>125</v>
      </c>
      <c r="AE380" s="522" t="s">
        <v>168</v>
      </c>
      <c r="AF380" s="522">
        <v>3</v>
      </c>
      <c r="AG380" s="522" t="s">
        <v>776</v>
      </c>
      <c r="AH380" s="522" t="s">
        <v>623</v>
      </c>
      <c r="AI380" s="234">
        <v>-9999</v>
      </c>
      <c r="AJ380" s="234">
        <v>-9999</v>
      </c>
      <c r="AK380" s="522" t="s">
        <v>626</v>
      </c>
      <c r="AL380" s="522" t="s">
        <v>272</v>
      </c>
      <c r="AM380" s="234">
        <v>-9999</v>
      </c>
      <c r="AN380" s="522" t="s">
        <v>777</v>
      </c>
      <c r="AO380" s="234">
        <v>-9999</v>
      </c>
      <c r="AP380" s="234">
        <v>-9999</v>
      </c>
      <c r="AQ380" s="522" t="s">
        <v>777</v>
      </c>
      <c r="AR380" s="234">
        <v>0</v>
      </c>
      <c r="AS380" s="234">
        <v>-9999</v>
      </c>
      <c r="AT380" s="522">
        <v>-9999</v>
      </c>
      <c r="AU380" s="234">
        <v>0</v>
      </c>
      <c r="AV380" s="234">
        <v>-9999</v>
      </c>
      <c r="AW380" s="522">
        <v>-9999</v>
      </c>
      <c r="AX380" s="234">
        <v>0</v>
      </c>
      <c r="AY380" s="234">
        <v>-9999</v>
      </c>
      <c r="AZ380" s="522">
        <v>-9999</v>
      </c>
      <c r="BA380" s="234">
        <v>-9999</v>
      </c>
      <c r="BB380" s="522" t="s">
        <v>626</v>
      </c>
      <c r="BC380" s="522" t="s">
        <v>273</v>
      </c>
      <c r="BD380" s="522" t="s">
        <v>642</v>
      </c>
      <c r="BE380" s="234">
        <v>-9999</v>
      </c>
      <c r="BF380" s="522" t="s">
        <v>274</v>
      </c>
      <c r="BG380" s="522" t="s">
        <v>275</v>
      </c>
      <c r="BH380" s="234">
        <v>-9999</v>
      </c>
      <c r="BI380" s="234">
        <v>-9999</v>
      </c>
      <c r="BJ380" s="234">
        <v>-9999</v>
      </c>
      <c r="BK380" s="234">
        <v>-9999</v>
      </c>
      <c r="BL380" s="234">
        <f>(6.8+6.7)/2</f>
        <v>6.75</v>
      </c>
      <c r="BM380" s="234">
        <v>-9999</v>
      </c>
      <c r="BN380" s="234">
        <f>(4.2+4.2)/2</f>
        <v>4.2</v>
      </c>
      <c r="BO380" s="234">
        <v>-9999</v>
      </c>
      <c r="BP380" s="234">
        <v>-9999</v>
      </c>
      <c r="BQ380" s="234">
        <v>-9999</v>
      </c>
      <c r="BR380" s="234">
        <v>-9999</v>
      </c>
      <c r="BS380" s="491">
        <v>-9999</v>
      </c>
      <c r="BT380" s="234">
        <v>-9999</v>
      </c>
      <c r="BU380" s="234">
        <v>-9999</v>
      </c>
      <c r="BV380" s="234">
        <v>-9999</v>
      </c>
      <c r="BW380" s="234"/>
      <c r="BX380" s="234">
        <v>-9999</v>
      </c>
      <c r="BY380" s="234">
        <v>-9999</v>
      </c>
      <c r="BZ380" s="496">
        <v>-9999</v>
      </c>
      <c r="CA380" s="527">
        <v>15</v>
      </c>
      <c r="CB380" s="528"/>
      <c r="CC380" s="182">
        <v>1</v>
      </c>
      <c r="CD380" s="181">
        <v>4</v>
      </c>
      <c r="CE380" s="290">
        <v>8.375</v>
      </c>
      <c r="CF380" s="290">
        <v>13.2</v>
      </c>
      <c r="CG380" s="183">
        <v>4</v>
      </c>
      <c r="CH380" s="312" t="s">
        <v>1757</v>
      </c>
      <c r="CI380" s="2"/>
      <c r="CJ380" s="2"/>
      <c r="CK380" s="2"/>
      <c r="CL380" s="2"/>
      <c r="CM380" s="2"/>
      <c r="CN380" s="2"/>
      <c r="CO380" s="2"/>
      <c r="CP380" s="2"/>
      <c r="CQ380" s="2"/>
      <c r="CR380" s="2"/>
      <c r="CS380" s="2"/>
      <c r="CT380" s="2"/>
      <c r="CU380" s="2"/>
      <c r="CV380" s="2"/>
      <c r="CW380" s="2"/>
      <c r="CX380" s="2"/>
      <c r="CY380" s="2"/>
      <c r="CZ380" s="2"/>
      <c r="DA380" s="2"/>
      <c r="DB380" s="2"/>
      <c r="DC380" s="2"/>
      <c r="DD380" s="2"/>
      <c r="DE380" s="2"/>
      <c r="DF380" s="2"/>
      <c r="DG380" s="2"/>
      <c r="DH380" s="2"/>
      <c r="DI380" s="2"/>
      <c r="DJ380" s="2"/>
      <c r="DK380" s="2"/>
      <c r="DL380" s="2"/>
      <c r="DM380" s="2"/>
      <c r="DN380" s="2"/>
      <c r="DO380" s="2"/>
      <c r="DP380" s="2"/>
      <c r="DQ380" s="2"/>
      <c r="DR380" s="2"/>
      <c r="DS380" s="2"/>
      <c r="DT380" s="2"/>
      <c r="DU380" s="2"/>
      <c r="DV380" s="2"/>
      <c r="DW380" s="2"/>
      <c r="DX380" s="2"/>
      <c r="DY380" s="2"/>
      <c r="DZ380" s="2"/>
      <c r="EA380" s="2"/>
      <c r="EB380" s="2"/>
      <c r="EC380" s="2"/>
      <c r="ED380" s="2"/>
      <c r="EE380" s="2"/>
      <c r="EF380" s="2"/>
      <c r="EG380" s="2"/>
      <c r="EH380" s="2"/>
      <c r="EI380" s="2"/>
      <c r="EJ380" s="2"/>
      <c r="EK380" s="2"/>
      <c r="EL380" s="2"/>
      <c r="EM380" s="2"/>
      <c r="EN380" s="2"/>
      <c r="EO380" s="2"/>
      <c r="EP380" s="2"/>
      <c r="EQ380" s="2"/>
      <c r="ER380" s="2"/>
      <c r="ES380" s="2"/>
      <c r="ET380" s="2"/>
      <c r="EU380" s="2"/>
      <c r="EV380" s="2"/>
      <c r="EW380" s="2"/>
      <c r="EX380" s="2"/>
      <c r="EY380" s="2"/>
      <c r="EZ380" s="2"/>
      <c r="FA380" s="2"/>
      <c r="FB380" s="2"/>
      <c r="FC380" s="2"/>
      <c r="FD380" s="2"/>
      <c r="FE380" s="2"/>
      <c r="FF380" s="2"/>
      <c r="FG380" s="2"/>
      <c r="FH380" s="2"/>
      <c r="FI380" s="2"/>
      <c r="FJ380" s="2"/>
      <c r="FK380" s="2"/>
      <c r="FL380" s="2"/>
      <c r="FM380" s="2"/>
      <c r="FN380" s="2"/>
      <c r="FO380" s="2"/>
      <c r="FP380" s="2"/>
      <c r="FQ380" s="2"/>
      <c r="FR380" s="2"/>
      <c r="FS380" s="2"/>
      <c r="FT380" s="2"/>
      <c r="FU380" s="2"/>
      <c r="FV380" s="2"/>
      <c r="FW380" s="2"/>
      <c r="FX380" s="2"/>
      <c r="FY380" s="2"/>
      <c r="FZ380" s="2"/>
      <c r="GA380" s="2"/>
      <c r="GB380" s="2"/>
      <c r="GC380" s="2"/>
      <c r="GD380" s="2"/>
      <c r="GE380" s="2"/>
      <c r="GF380" s="2"/>
      <c r="GG380" s="2"/>
      <c r="GH380" s="2"/>
      <c r="GI380" s="2"/>
      <c r="GJ380" s="2"/>
      <c r="GK380" s="2"/>
      <c r="GL380" s="2"/>
      <c r="GM380" s="2"/>
      <c r="GN380" s="2"/>
      <c r="GO380" s="2"/>
      <c r="GP380" s="2"/>
      <c r="GQ380" s="2"/>
      <c r="GR380" s="2"/>
      <c r="GS380" s="2"/>
      <c r="GT380" s="2"/>
      <c r="GU380" s="2"/>
      <c r="GV380" s="2"/>
      <c r="GW380" s="2"/>
      <c r="GX380" s="2"/>
      <c r="GY380" s="2"/>
      <c r="GZ380" s="2"/>
      <c r="HA380" s="2"/>
      <c r="HB380" s="2"/>
      <c r="HC380" s="2"/>
      <c r="HD380" s="2"/>
      <c r="HE380" s="2"/>
      <c r="HF380" s="2"/>
      <c r="HG380" s="2"/>
      <c r="HH380" s="2"/>
      <c r="HI380" s="2"/>
      <c r="HJ380" s="2"/>
      <c r="HK380" s="2"/>
      <c r="HL380" s="2"/>
      <c r="HM380" s="2"/>
      <c r="HN380" s="2"/>
      <c r="HO380" s="2"/>
      <c r="HP380" s="2"/>
      <c r="HQ380" s="2"/>
      <c r="HR380" s="2"/>
      <c r="HS380" s="2"/>
      <c r="HT380" s="2"/>
      <c r="HU380" s="2"/>
      <c r="HV380" s="2"/>
      <c r="HW380" s="2"/>
      <c r="HX380" s="2"/>
      <c r="HY380" s="2"/>
      <c r="HZ380" s="2"/>
      <c r="IA380" s="2"/>
      <c r="IB380" s="2"/>
      <c r="IC380" s="2"/>
      <c r="ID380" s="2"/>
      <c r="IE380" s="2"/>
      <c r="IF380" s="2"/>
      <c r="IG380" s="2"/>
      <c r="IH380" s="2"/>
      <c r="II380" s="2"/>
      <c r="IJ380" s="2"/>
      <c r="IK380" s="2"/>
      <c r="IL380" s="2"/>
      <c r="IM380" s="2"/>
      <c r="IN380" s="2"/>
      <c r="IO380" s="2"/>
      <c r="IP380" s="2"/>
      <c r="IQ380" s="2"/>
      <c r="IR380" s="2"/>
      <c r="IS380" s="2"/>
      <c r="IT380" s="2"/>
      <c r="IU380" s="2"/>
      <c r="IV380" s="2"/>
      <c r="IW380" s="2"/>
      <c r="IX380" s="2"/>
      <c r="IY380" s="2"/>
      <c r="IZ380" s="2"/>
      <c r="JA380" s="2"/>
      <c r="JB380" s="2"/>
      <c r="JC380" s="2"/>
      <c r="JD380" s="2"/>
      <c r="JE380" s="2"/>
      <c r="JF380" s="2"/>
      <c r="JG380" s="2"/>
      <c r="JH380" s="2"/>
      <c r="JI380" s="2"/>
      <c r="JJ380" s="2"/>
      <c r="JK380" s="2"/>
      <c r="JL380" s="2"/>
      <c r="JM380" s="2"/>
      <c r="JN380" s="2"/>
      <c r="JO380" s="2"/>
      <c r="JP380" s="2"/>
      <c r="JQ380" s="2"/>
      <c r="JR380" s="2"/>
      <c r="JS380" s="2"/>
      <c r="JT380" s="2"/>
      <c r="JU380" s="2"/>
      <c r="JV380" s="2"/>
      <c r="JW380" s="2"/>
      <c r="JX380" s="2"/>
      <c r="JY380" s="2"/>
      <c r="JZ380" s="2"/>
      <c r="KA380" s="2"/>
      <c r="KB380" s="2"/>
      <c r="KC380" s="2"/>
      <c r="KD380" s="2"/>
      <c r="KE380" s="2"/>
      <c r="KF380" s="2"/>
      <c r="KG380" s="2"/>
      <c r="KH380" s="2"/>
      <c r="KI380" s="2"/>
      <c r="KJ380" s="2"/>
      <c r="KK380" s="2"/>
      <c r="KL380" s="2"/>
      <c r="KM380" s="2"/>
      <c r="KN380" s="2"/>
      <c r="KO380" s="2"/>
      <c r="KP380" s="2"/>
      <c r="KQ380" s="2"/>
      <c r="KR380" s="2"/>
      <c r="KS380" s="2"/>
      <c r="KT380" s="2"/>
      <c r="KU380" s="2"/>
      <c r="KV380" s="2"/>
      <c r="KW380" s="2"/>
      <c r="KX380" s="2"/>
      <c r="KY380" s="2"/>
      <c r="KZ380" s="2"/>
      <c r="LA380" s="2"/>
      <c r="LB380" s="2"/>
      <c r="LC380" s="2"/>
      <c r="LD380" s="2"/>
      <c r="LE380" s="2"/>
      <c r="LF380" s="2"/>
      <c r="LG380" s="2"/>
      <c r="LH380" s="2"/>
      <c r="LI380" s="2"/>
      <c r="LJ380" s="2"/>
      <c r="LK380" s="2"/>
      <c r="LL380" s="2"/>
      <c r="LM380" s="2"/>
      <c r="LN380" s="2"/>
      <c r="LO380" s="2"/>
      <c r="LP380" s="2"/>
      <c r="LQ380" s="2"/>
      <c r="LR380" s="2"/>
      <c r="LS380" s="2"/>
      <c r="LT380" s="2"/>
      <c r="LU380" s="2"/>
      <c r="LV380" s="2"/>
      <c r="LW380" s="2"/>
      <c r="LX380" s="2"/>
      <c r="LY380" s="2"/>
      <c r="LZ380" s="2"/>
      <c r="MA380" s="2"/>
      <c r="MB380" s="2"/>
      <c r="MC380" s="2"/>
      <c r="MD380" s="2"/>
      <c r="ME380" s="2"/>
      <c r="MF380" s="2"/>
      <c r="MG380" s="2"/>
      <c r="MH380" s="2"/>
      <c r="MI380" s="2"/>
      <c r="MJ380" s="2"/>
      <c r="MK380" s="2"/>
      <c r="ML380" s="2"/>
      <c r="MM380" s="2"/>
      <c r="MN380" s="2"/>
      <c r="MO380" s="2"/>
      <c r="MP380" s="2"/>
      <c r="MQ380" s="2"/>
      <c r="MR380" s="2"/>
      <c r="MS380" s="2"/>
      <c r="MT380" s="2"/>
      <c r="MU380" s="2"/>
      <c r="MV380" s="2"/>
      <c r="MW380" s="2"/>
      <c r="MX380" s="2"/>
      <c r="MY380" s="2"/>
      <c r="MZ380" s="2"/>
      <c r="NA380" s="2"/>
      <c r="NB380" s="2"/>
      <c r="NC380" s="2"/>
      <c r="ND380" s="2"/>
      <c r="NE380" s="2"/>
      <c r="NF380" s="2"/>
      <c r="NG380" s="2"/>
      <c r="NH380" s="2"/>
      <c r="NI380" s="2"/>
      <c r="NJ380" s="2"/>
      <c r="NK380" s="2"/>
      <c r="NL380" s="2"/>
      <c r="NM380" s="2"/>
      <c r="NN380" s="2"/>
      <c r="NO380" s="2"/>
      <c r="NP380" s="2"/>
      <c r="NQ380" s="2"/>
      <c r="NR380" s="2"/>
      <c r="NS380" s="2"/>
      <c r="NT380" s="2"/>
      <c r="NU380" s="2"/>
      <c r="NV380" s="2"/>
      <c r="NW380" s="2"/>
      <c r="NX380" s="2"/>
      <c r="NY380" s="2"/>
      <c r="NZ380" s="2"/>
      <c r="OA380" s="2"/>
      <c r="OB380" s="2"/>
      <c r="OC380" s="2"/>
      <c r="OD380" s="2"/>
      <c r="OE380" s="2"/>
      <c r="OF380" s="2"/>
      <c r="OG380" s="2"/>
      <c r="OH380" s="2"/>
      <c r="OI380" s="2"/>
      <c r="OJ380" s="2"/>
      <c r="OK380" s="2"/>
      <c r="OL380" s="2"/>
      <c r="OM380" s="2"/>
      <c r="ON380" s="2"/>
      <c r="OO380" s="2"/>
      <c r="OP380" s="2"/>
      <c r="OQ380" s="2"/>
      <c r="OR380" s="2"/>
      <c r="OS380" s="2"/>
      <c r="OT380" s="2"/>
      <c r="OU380" s="2"/>
      <c r="OV380" s="2"/>
      <c r="OW380" s="2"/>
      <c r="OX380" s="2"/>
      <c r="OY380" s="2"/>
      <c r="OZ380" s="2"/>
      <c r="PA380" s="2"/>
      <c r="PB380" s="2"/>
      <c r="PC380" s="2"/>
      <c r="PD380" s="2"/>
      <c r="PE380" s="2"/>
      <c r="PF380" s="2"/>
      <c r="PG380" s="2"/>
      <c r="PH380" s="2"/>
      <c r="PI380" s="2"/>
      <c r="PJ380" s="2"/>
      <c r="PK380" s="2"/>
      <c r="PL380" s="2"/>
      <c r="PM380" s="2"/>
      <c r="PN380" s="2"/>
      <c r="PO380" s="2"/>
      <c r="PP380" s="2"/>
      <c r="PQ380" s="2"/>
      <c r="PR380" s="2"/>
      <c r="PS380" s="2"/>
      <c r="PT380" s="2"/>
      <c r="PU380" s="2"/>
      <c r="PV380" s="2"/>
      <c r="PW380" s="2"/>
      <c r="PX380" s="2"/>
      <c r="PY380" s="2"/>
      <c r="PZ380" s="2"/>
      <c r="QA380" s="2"/>
      <c r="QB380" s="2"/>
      <c r="QC380" s="2"/>
      <c r="QD380" s="2"/>
      <c r="QE380" s="2"/>
      <c r="QF380" s="2"/>
      <c r="QG380" s="2"/>
      <c r="QH380" s="2"/>
      <c r="QI380" s="2"/>
      <c r="QJ380" s="2"/>
      <c r="QK380" s="2"/>
      <c r="QL380" s="2"/>
      <c r="QM380" s="2"/>
      <c r="QN380" s="2"/>
      <c r="QO380" s="2"/>
      <c r="QP380" s="2"/>
      <c r="QQ380" s="2"/>
      <c r="QR380" s="2"/>
      <c r="QS380" s="2"/>
      <c r="QT380" s="2"/>
      <c r="QU380" s="2"/>
      <c r="QV380" s="2"/>
      <c r="QW380" s="2"/>
      <c r="QX380" s="2"/>
      <c r="QY380" s="2"/>
      <c r="QZ380" s="2"/>
      <c r="RA380" s="2"/>
      <c r="RB380" s="2"/>
      <c r="RC380" s="2"/>
      <c r="RD380" s="2"/>
      <c r="RE380" s="2"/>
      <c r="RF380" s="2"/>
      <c r="RG380" s="2"/>
      <c r="RH380" s="2"/>
      <c r="RI380" s="2"/>
      <c r="RJ380" s="2"/>
      <c r="RK380" s="2"/>
      <c r="RL380" s="2"/>
      <c r="RM380" s="2"/>
      <c r="RN380" s="2"/>
      <c r="RO380" s="2"/>
      <c r="RP380" s="2"/>
      <c r="RQ380" s="2"/>
      <c r="RR380" s="2"/>
      <c r="RS380" s="2"/>
      <c r="RT380" s="2"/>
      <c r="RU380" s="2"/>
      <c r="RV380" s="2"/>
      <c r="RW380" s="2"/>
      <c r="RX380" s="2"/>
      <c r="RY380" s="2"/>
      <c r="RZ380" s="2"/>
      <c r="SA380" s="2"/>
      <c r="SB380" s="2"/>
      <c r="SC380" s="2"/>
      <c r="SD380" s="2"/>
      <c r="SE380" s="2"/>
      <c r="SF380" s="2"/>
      <c r="SG380" s="2"/>
      <c r="SH380" s="2"/>
      <c r="SI380" s="2"/>
      <c r="SJ380" s="2"/>
      <c r="SK380" s="2"/>
      <c r="SL380" s="2"/>
      <c r="SM380" s="2"/>
      <c r="SN380" s="2"/>
      <c r="SO380" s="2"/>
      <c r="SP380" s="2"/>
      <c r="SQ380" s="2"/>
      <c r="SR380" s="2"/>
      <c r="SS380" s="2"/>
      <c r="ST380" s="2"/>
      <c r="SU380" s="2"/>
      <c r="SV380" s="2"/>
      <c r="SW380" s="2"/>
      <c r="SX380" s="2"/>
      <c r="SY380" s="2"/>
      <c r="SZ380" s="2"/>
      <c r="TA380" s="2"/>
      <c r="TB380" s="2"/>
      <c r="TC380" s="2"/>
      <c r="TD380" s="2"/>
      <c r="TE380" s="2"/>
      <c r="TF380" s="2"/>
      <c r="TG380" s="2"/>
      <c r="TH380" s="2"/>
      <c r="TI380" s="2"/>
      <c r="TJ380" s="2"/>
      <c r="TK380" s="2"/>
      <c r="TL380" s="2"/>
      <c r="TM380" s="2"/>
      <c r="TN380" s="2"/>
      <c r="TO380" s="2"/>
      <c r="TP380" s="2"/>
      <c r="TQ380" s="2"/>
      <c r="TR380" s="2"/>
      <c r="TS380" s="2"/>
      <c r="TT380" s="2"/>
      <c r="TU380" s="2"/>
      <c r="TV380" s="2"/>
      <c r="TW380" s="2"/>
      <c r="TX380" s="2"/>
      <c r="TY380" s="2"/>
      <c r="TZ380" s="2"/>
      <c r="UA380" s="2"/>
      <c r="UB380" s="2"/>
      <c r="UC380" s="2"/>
      <c r="UD380" s="2"/>
      <c r="UE380" s="2"/>
      <c r="UF380" s="2"/>
      <c r="UG380" s="2"/>
      <c r="UH380" s="2"/>
      <c r="UI380" s="2"/>
      <c r="UJ380" s="2"/>
      <c r="UK380" s="2"/>
      <c r="UL380" s="2"/>
      <c r="UM380" s="2"/>
      <c r="UN380" s="2"/>
      <c r="UO380" s="2"/>
      <c r="UP380" s="2"/>
      <c r="UQ380" s="2"/>
      <c r="UR380" s="2"/>
      <c r="US380" s="2"/>
      <c r="UT380" s="2"/>
      <c r="UU380" s="2"/>
      <c r="UV380" s="2"/>
      <c r="UW380" s="2"/>
      <c r="UX380" s="2"/>
      <c r="UY380" s="2"/>
      <c r="UZ380" s="2"/>
      <c r="VA380" s="2"/>
      <c r="VB380" s="2"/>
      <c r="VC380" s="2"/>
      <c r="VD380" s="2"/>
      <c r="VE380" s="2"/>
      <c r="VF380" s="2"/>
      <c r="VG380" s="2"/>
      <c r="VH380" s="2"/>
      <c r="VI380" s="2"/>
      <c r="VJ380" s="2"/>
      <c r="VK380" s="2"/>
      <c r="VL380" s="2"/>
      <c r="VM380" s="2"/>
      <c r="VN380" s="2"/>
      <c r="VO380" s="2"/>
      <c r="VP380" s="2"/>
      <c r="VQ380" s="2"/>
      <c r="VR380" s="2"/>
      <c r="VS380" s="2"/>
      <c r="VT380" s="2"/>
      <c r="VU380" s="2"/>
      <c r="VV380" s="2"/>
      <c r="VW380" s="2"/>
      <c r="VX380" s="2"/>
      <c r="VY380" s="2"/>
      <c r="VZ380" s="2"/>
      <c r="WA380" s="2"/>
      <c r="WB380" s="2"/>
      <c r="WC380" s="2"/>
      <c r="WD380" s="2"/>
      <c r="WE380" s="2"/>
      <c r="WF380" s="2"/>
      <c r="WG380" s="2"/>
      <c r="WH380" s="2"/>
      <c r="WI380" s="2"/>
      <c r="WJ380" s="2"/>
      <c r="WK380" s="2"/>
      <c r="WL380" s="2"/>
      <c r="WM380" s="2"/>
      <c r="WN380" s="2"/>
      <c r="WO380" s="2"/>
      <c r="WP380" s="2"/>
      <c r="WQ380" s="2"/>
      <c r="WR380" s="2"/>
      <c r="WS380" s="2"/>
      <c r="WT380" s="2"/>
      <c r="WU380" s="2"/>
      <c r="WV380" s="2"/>
      <c r="WW380" s="2"/>
      <c r="WX380" s="2"/>
      <c r="WY380" s="2"/>
      <c r="WZ380" s="2"/>
      <c r="XA380" s="2"/>
      <c r="XB380" s="2"/>
      <c r="XC380" s="2"/>
      <c r="XD380" s="2"/>
      <c r="XE380" s="2"/>
      <c r="XF380" s="2"/>
      <c r="XG380" s="2"/>
      <c r="XH380" s="2"/>
      <c r="XI380" s="2"/>
      <c r="XJ380" s="2"/>
      <c r="XK380" s="2"/>
      <c r="XL380" s="2"/>
      <c r="XM380" s="2"/>
      <c r="XN380" s="2"/>
      <c r="XO380" s="2"/>
      <c r="XP380" s="2"/>
      <c r="XQ380" s="2"/>
      <c r="XR380" s="2"/>
      <c r="XS380" s="2"/>
      <c r="XT380" s="2"/>
      <c r="XU380" s="2"/>
      <c r="XV380" s="2"/>
      <c r="XW380" s="2"/>
      <c r="XX380" s="2"/>
      <c r="XY380" s="2"/>
      <c r="XZ380" s="2"/>
      <c r="YA380" s="2"/>
      <c r="YB380" s="2"/>
      <c r="YC380" s="2"/>
      <c r="YD380" s="2"/>
      <c r="YE380" s="2"/>
      <c r="YF380" s="2"/>
      <c r="YG380" s="2"/>
      <c r="YH380" s="2"/>
      <c r="YI380" s="2"/>
      <c r="YJ380" s="2"/>
      <c r="YK380" s="2"/>
      <c r="YL380" s="2"/>
      <c r="YM380" s="2"/>
      <c r="YN380" s="2"/>
      <c r="YO380" s="2"/>
      <c r="YP380" s="2"/>
      <c r="YQ380" s="2"/>
      <c r="YR380" s="2"/>
      <c r="YS380" s="2"/>
      <c r="YT380" s="2"/>
      <c r="YU380" s="2"/>
      <c r="YV380" s="2"/>
      <c r="YW380" s="2"/>
      <c r="YX380" s="2"/>
      <c r="YY380" s="2"/>
      <c r="YZ380" s="2"/>
      <c r="ZA380" s="2"/>
      <c r="ZB380" s="2"/>
      <c r="ZC380" s="2"/>
      <c r="ZD380" s="2"/>
      <c r="ZE380" s="2"/>
      <c r="ZF380" s="2"/>
      <c r="ZG380" s="2"/>
      <c r="ZH380" s="2"/>
      <c r="ZI380" s="2"/>
      <c r="ZJ380" s="2"/>
      <c r="ZK380" s="2"/>
      <c r="ZL380" s="2"/>
      <c r="ZM380" s="2"/>
      <c r="ZN380" s="2"/>
      <c r="ZO380" s="2"/>
      <c r="ZP380" s="2"/>
      <c r="ZQ380" s="2"/>
      <c r="ZR380" s="2"/>
      <c r="ZS380" s="2"/>
      <c r="ZT380" s="2"/>
      <c r="ZU380" s="2"/>
      <c r="ZV380" s="2"/>
      <c r="ZW380" s="2"/>
      <c r="ZX380" s="2"/>
      <c r="ZY380" s="2"/>
      <c r="ZZ380" s="2"/>
      <c r="AAA380" s="2"/>
      <c r="AAB380" s="2"/>
      <c r="AAC380" s="2"/>
      <c r="AAD380" s="2"/>
      <c r="AAE380" s="2"/>
      <c r="AAF380" s="2"/>
      <c r="AAG380" s="2"/>
      <c r="AAH380" s="2"/>
      <c r="AAI380" s="2"/>
      <c r="AAJ380" s="2"/>
      <c r="AAK380" s="2"/>
      <c r="AAL380" s="2"/>
      <c r="AAM380" s="2"/>
      <c r="AAN380" s="2"/>
      <c r="AAO380" s="2"/>
      <c r="AAP380" s="2"/>
      <c r="AAQ380" s="2"/>
      <c r="AAR380" s="2"/>
      <c r="AAS380" s="2"/>
      <c r="AAT380" s="2"/>
      <c r="AAU380" s="2"/>
      <c r="AAV380" s="2"/>
      <c r="AAW380" s="2"/>
      <c r="AAX380" s="2"/>
      <c r="AAY380" s="2"/>
      <c r="AAZ380" s="2"/>
      <c r="ABA380" s="2"/>
      <c r="ABB380" s="2"/>
      <c r="ABC380" s="2"/>
      <c r="ABD380" s="2"/>
      <c r="ABE380" s="2"/>
      <c r="ABF380" s="2"/>
      <c r="ABG380" s="2"/>
      <c r="ABH380" s="2"/>
      <c r="ABI380" s="2"/>
      <c r="ABJ380" s="2"/>
      <c r="ABK380" s="2"/>
      <c r="ABL380" s="2"/>
      <c r="ABM380" s="2"/>
      <c r="ABN380" s="2"/>
      <c r="ABO380" s="2"/>
      <c r="ABP380" s="2"/>
      <c r="ABQ380" s="2"/>
      <c r="ABR380" s="2"/>
      <c r="ABS380" s="2"/>
      <c r="ABT380" s="2"/>
      <c r="ABU380" s="2"/>
      <c r="ABV380" s="2"/>
      <c r="ABW380" s="2"/>
      <c r="ABX380" s="2"/>
      <c r="ABY380" s="2"/>
      <c r="ABZ380" s="2"/>
      <c r="ACA380" s="2"/>
      <c r="ACB380" s="2"/>
      <c r="ACC380" s="2"/>
      <c r="ACD380" s="2"/>
      <c r="ACE380" s="2"/>
      <c r="ACF380" s="2"/>
      <c r="ACG380" s="2"/>
      <c r="ACH380" s="2"/>
      <c r="ACI380" s="2"/>
      <c r="ACJ380" s="2"/>
      <c r="ACK380" s="2"/>
      <c r="ACL380" s="2"/>
      <c r="ACM380" s="2"/>
      <c r="ACN380" s="2"/>
      <c r="ACO380" s="2"/>
      <c r="ACP380" s="2"/>
      <c r="ACQ380" s="2"/>
      <c r="ACR380" s="2"/>
      <c r="ACS380" s="2"/>
      <c r="ACT380" s="2"/>
      <c r="ACU380" s="2"/>
      <c r="ACV380" s="2"/>
      <c r="ACW380" s="2"/>
      <c r="ACX380" s="2"/>
      <c r="ACY380" s="2"/>
      <c r="ACZ380" s="2"/>
      <c r="ADA380" s="2"/>
      <c r="ADB380" s="2"/>
      <c r="ADC380" s="2"/>
      <c r="ADD380" s="2"/>
      <c r="ADE380" s="2"/>
      <c r="ADF380" s="2"/>
      <c r="ADG380" s="2"/>
      <c r="ADH380" s="2"/>
      <c r="ADI380" s="2"/>
      <c r="ADJ380" s="2"/>
      <c r="ADK380" s="2"/>
      <c r="ADL380" s="2"/>
      <c r="ADM380" s="2"/>
      <c r="ADN380" s="2"/>
      <c r="ADO380" s="2"/>
      <c r="ADP380" s="2"/>
      <c r="ADQ380" s="2"/>
      <c r="ADR380" s="2"/>
      <c r="ADS380" s="2"/>
      <c r="ADT380" s="2"/>
      <c r="ADU380" s="2"/>
      <c r="ADV380" s="2"/>
      <c r="ADW380" s="2"/>
      <c r="ADX380" s="2"/>
      <c r="ADY380" s="2"/>
      <c r="ADZ380" s="2"/>
      <c r="AEA380" s="2"/>
      <c r="AEB380" s="2"/>
      <c r="AEC380" s="2"/>
      <c r="AED380" s="2"/>
      <c r="AEE380" s="2"/>
      <c r="AEF380" s="2"/>
      <c r="AEG380" s="2"/>
      <c r="AEH380" s="2"/>
      <c r="AEI380" s="2"/>
      <c r="AEJ380" s="2"/>
      <c r="AEK380" s="2"/>
      <c r="AEL380" s="2"/>
      <c r="AEM380" s="2"/>
      <c r="AEN380" s="2"/>
      <c r="AEO380" s="2"/>
      <c r="AEP380" s="2"/>
      <c r="AEQ380" s="2"/>
      <c r="AER380" s="2"/>
      <c r="AES380" s="2"/>
      <c r="AET380" s="2"/>
      <c r="AEU380" s="2"/>
      <c r="AEV380" s="2"/>
      <c r="AEW380" s="2"/>
      <c r="AEX380" s="2"/>
      <c r="AEY380" s="2"/>
      <c r="AEZ380" s="2"/>
      <c r="AFA380" s="2"/>
      <c r="AFB380" s="2"/>
      <c r="AFC380" s="2"/>
      <c r="AFD380" s="2"/>
      <c r="AFE380" s="2"/>
      <c r="AFF380" s="2"/>
      <c r="AFG380" s="2"/>
      <c r="AFH380" s="2"/>
      <c r="AFI380" s="2"/>
      <c r="AFJ380" s="2"/>
      <c r="AFK380" s="2"/>
      <c r="AFL380" s="2"/>
      <c r="AFM380" s="2"/>
      <c r="AFN380" s="2"/>
      <c r="AFO380" s="2"/>
      <c r="AFP380" s="2"/>
      <c r="AFQ380" s="2"/>
      <c r="AFR380" s="2"/>
      <c r="AFS380" s="2"/>
      <c r="AFT380" s="2"/>
      <c r="AFU380" s="2"/>
      <c r="AFV380" s="2"/>
      <c r="AFW380" s="2"/>
      <c r="AFX380" s="2"/>
      <c r="AFY380" s="2"/>
      <c r="AFZ380" s="2"/>
      <c r="AGA380" s="2"/>
      <c r="AGB380" s="2"/>
      <c r="AGC380" s="2"/>
      <c r="AGD380" s="2"/>
      <c r="AGE380" s="2"/>
      <c r="AGF380" s="2"/>
      <c r="AGG380" s="2"/>
      <c r="AGH380" s="2"/>
      <c r="AGI380" s="2"/>
      <c r="AGJ380" s="2"/>
      <c r="AGK380" s="2"/>
      <c r="AGL380" s="2"/>
      <c r="AGM380" s="2"/>
      <c r="AGN380" s="2"/>
      <c r="AGO380" s="2"/>
      <c r="AGP380" s="2"/>
      <c r="AGQ380" s="2"/>
      <c r="AGR380" s="2"/>
      <c r="AGS380" s="2"/>
      <c r="AGT380" s="2"/>
      <c r="AGU380" s="2"/>
      <c r="AGV380" s="2"/>
      <c r="AGW380" s="2"/>
      <c r="AGX380" s="2"/>
      <c r="AGY380" s="2"/>
      <c r="AGZ380" s="2"/>
      <c r="AHA380" s="2"/>
      <c r="AHB380" s="2"/>
      <c r="AHC380" s="2"/>
      <c r="AHD380" s="2"/>
      <c r="AHE380" s="2"/>
      <c r="AHF380" s="2"/>
      <c r="AHG380" s="2"/>
      <c r="AHH380" s="2"/>
      <c r="AHI380" s="2"/>
      <c r="AHJ380" s="2"/>
      <c r="AHK380" s="2"/>
      <c r="AHL380" s="2"/>
      <c r="AHM380" s="2"/>
      <c r="AHN380" s="2"/>
      <c r="AHO380" s="2"/>
      <c r="AHP380" s="2"/>
      <c r="AHQ380" s="2"/>
      <c r="AHR380" s="2"/>
      <c r="AHS380" s="2"/>
      <c r="AHT380" s="2"/>
      <c r="AHU380" s="2"/>
      <c r="AHV380" s="2"/>
      <c r="AHW380" s="2"/>
      <c r="AHX380" s="2"/>
      <c r="AHY380" s="2"/>
      <c r="AHZ380" s="2"/>
      <c r="AIA380" s="2"/>
      <c r="AIB380" s="2"/>
      <c r="AIC380" s="2"/>
      <c r="AID380" s="2"/>
      <c r="AIE380" s="2"/>
      <c r="AIF380" s="2"/>
      <c r="AIG380" s="2"/>
      <c r="AIH380" s="2"/>
      <c r="AII380" s="2"/>
      <c r="AIJ380" s="2"/>
      <c r="AIK380" s="2"/>
      <c r="AIL380" s="2"/>
      <c r="AIM380" s="2"/>
      <c r="AIN380" s="2"/>
      <c r="AIO380" s="2"/>
      <c r="AIP380" s="2"/>
      <c r="AIQ380" s="2"/>
      <c r="AIR380" s="2"/>
      <c r="AIS380" s="2"/>
      <c r="AIT380" s="2"/>
      <c r="AIU380" s="2"/>
      <c r="AIV380" s="2"/>
      <c r="AIW380" s="2"/>
      <c r="AIX380" s="2"/>
      <c r="AIY380" s="2"/>
      <c r="AIZ380" s="2"/>
      <c r="AJA380" s="2"/>
      <c r="AJB380" s="2"/>
      <c r="AJC380" s="2"/>
      <c r="AJD380" s="2"/>
      <c r="AJE380" s="2"/>
      <c r="AJF380" s="2"/>
      <c r="AJG380" s="2"/>
      <c r="AJH380" s="2"/>
      <c r="AJI380" s="2"/>
      <c r="AJJ380" s="2"/>
      <c r="AJK380" s="2"/>
      <c r="AJL380" s="2"/>
      <c r="AJM380" s="2"/>
      <c r="AJN380" s="2"/>
      <c r="AJO380" s="2"/>
      <c r="AJP380" s="2"/>
      <c r="AJQ380" s="2"/>
      <c r="AJR380" s="2"/>
      <c r="AJS380" s="2"/>
      <c r="AJT380" s="2"/>
      <c r="AJU380" s="2"/>
      <c r="AJV380" s="2"/>
      <c r="AJW380" s="2"/>
      <c r="AJX380" s="2"/>
      <c r="AJY380" s="2"/>
      <c r="AJZ380" s="2"/>
      <c r="AKA380" s="2"/>
      <c r="AKB380" s="2"/>
      <c r="AKC380" s="2"/>
      <c r="AKD380" s="2"/>
      <c r="AKE380" s="2"/>
      <c r="AKF380" s="2"/>
      <c r="AKG380" s="2"/>
      <c r="AKH380" s="2"/>
      <c r="AKI380" s="2"/>
      <c r="AKJ380" s="2"/>
      <c r="AKK380" s="2"/>
      <c r="AKL380" s="2"/>
      <c r="AKM380" s="2"/>
      <c r="AKN380" s="2"/>
      <c r="AKO380" s="2"/>
      <c r="AKP380" s="2"/>
      <c r="AKQ380" s="2"/>
      <c r="AKR380" s="2"/>
      <c r="AKS380" s="2"/>
      <c r="AKT380" s="2"/>
      <c r="AKU380" s="2"/>
      <c r="AKV380" s="2"/>
      <c r="AKW380" s="2"/>
      <c r="AKX380" s="2"/>
      <c r="AKY380" s="2"/>
      <c r="AKZ380" s="2"/>
      <c r="ALA380" s="2"/>
      <c r="ALB380" s="2"/>
      <c r="ALC380" s="2"/>
      <c r="ALD380" s="2"/>
      <c r="ALE380" s="2"/>
      <c r="ALF380" s="2"/>
      <c r="ALG380" s="2"/>
      <c r="ALH380" s="2"/>
      <c r="ALI380" s="2"/>
      <c r="ALJ380" s="2"/>
      <c r="ALK380" s="2"/>
      <c r="ALL380" s="2"/>
      <c r="ALM380" s="2"/>
      <c r="ALN380" s="2"/>
      <c r="ALO380" s="2"/>
      <c r="ALP380" s="2"/>
      <c r="ALQ380" s="2"/>
      <c r="ALR380" s="2"/>
      <c r="ALS380" s="2"/>
      <c r="ALT380" s="2"/>
      <c r="ALU380" s="2"/>
      <c r="ALV380" s="2"/>
      <c r="ALW380" s="2"/>
      <c r="ALX380" s="2"/>
      <c r="ALY380" s="2"/>
      <c r="ALZ380" s="2"/>
      <c r="AMA380" s="2"/>
      <c r="AMB380" s="2"/>
      <c r="AMC380" s="2"/>
      <c r="AMD380" s="2"/>
      <c r="AME380" s="2"/>
      <c r="AMF380" s="2"/>
      <c r="AMG380" s="2"/>
      <c r="AMH380" s="2"/>
      <c r="AMI380" s="2"/>
      <c r="AMJ380" s="2"/>
      <c r="AMK380" s="2"/>
      <c r="AML380" s="2"/>
      <c r="AMM380" s="2"/>
      <c r="AMN380" s="2"/>
      <c r="AMO380" s="2"/>
      <c r="AMP380" s="2"/>
      <c r="AMQ380" s="2"/>
      <c r="AMR380" s="2"/>
      <c r="AMS380" s="2"/>
      <c r="AMT380" s="2"/>
      <c r="AMU380" s="2"/>
      <c r="AMV380" s="2"/>
      <c r="AMW380" s="2"/>
      <c r="AMX380" s="2"/>
      <c r="AMY380" s="2"/>
      <c r="AMZ380" s="2"/>
      <c r="ANA380" s="2"/>
      <c r="ANB380" s="2"/>
      <c r="ANC380" s="2"/>
      <c r="AND380" s="2"/>
      <c r="ANE380" s="2"/>
      <c r="ANF380" s="2"/>
      <c r="ANG380" s="2"/>
      <c r="ANH380" s="2"/>
      <c r="ANI380" s="2"/>
      <c r="ANJ380" s="2"/>
      <c r="ANK380" s="2"/>
      <c r="ANL380" s="2"/>
      <c r="ANM380" s="2"/>
      <c r="ANN380" s="2"/>
      <c r="ANO380" s="2"/>
      <c r="ANP380" s="2"/>
      <c r="ANQ380" s="2"/>
      <c r="ANR380" s="2"/>
      <c r="ANS380" s="2"/>
      <c r="ANT380" s="2"/>
      <c r="ANU380" s="2"/>
      <c r="ANV380" s="2"/>
      <c r="ANW380" s="2"/>
      <c r="ANX380" s="2"/>
      <c r="ANY380" s="2"/>
      <c r="ANZ380" s="2"/>
      <c r="AOA380" s="2"/>
      <c r="AOB380" s="2"/>
      <c r="AOC380" s="2"/>
      <c r="AOD380" s="2"/>
      <c r="AOE380" s="2"/>
      <c r="AOF380" s="2"/>
      <c r="AOG380" s="2"/>
      <c r="AOH380" s="2"/>
      <c r="AOI380" s="2"/>
      <c r="AOJ380" s="2"/>
      <c r="AOK380" s="2"/>
      <c r="AOL380" s="2"/>
      <c r="AOM380" s="2"/>
      <c r="AON380" s="2"/>
      <c r="AOO380" s="2"/>
      <c r="AOP380" s="2"/>
      <c r="AOQ380" s="2"/>
      <c r="AOR380" s="2"/>
      <c r="AOS380" s="2"/>
      <c r="AOT380" s="2"/>
      <c r="AOU380" s="2"/>
      <c r="AOV380" s="2"/>
      <c r="AOW380" s="2"/>
      <c r="AOX380" s="2"/>
      <c r="AOY380" s="2"/>
      <c r="AOZ380" s="2"/>
      <c r="APA380" s="2"/>
      <c r="APB380" s="2"/>
      <c r="APC380" s="2"/>
      <c r="APD380" s="2"/>
      <c r="APE380" s="2"/>
      <c r="APF380" s="2"/>
      <c r="APG380" s="2"/>
      <c r="APH380" s="2"/>
      <c r="API380" s="2"/>
      <c r="APJ380" s="2"/>
      <c r="APK380" s="2"/>
      <c r="APL380" s="2"/>
      <c r="APM380" s="2"/>
      <c r="APN380" s="2"/>
      <c r="APO380" s="2"/>
      <c r="APP380" s="2"/>
      <c r="APQ380" s="2"/>
      <c r="APR380" s="2"/>
      <c r="APS380" s="2"/>
      <c r="APT380" s="2"/>
      <c r="APU380" s="2"/>
      <c r="APV380" s="2"/>
      <c r="APW380" s="2"/>
      <c r="APX380" s="2"/>
      <c r="APY380" s="2"/>
      <c r="APZ380" s="2"/>
      <c r="AQA380" s="2"/>
      <c r="AQB380" s="2"/>
      <c r="AQC380" s="2"/>
      <c r="AQD380" s="2"/>
      <c r="AQE380" s="2"/>
      <c r="AQF380" s="2"/>
      <c r="AQG380" s="2"/>
      <c r="AQH380" s="2"/>
      <c r="AQI380" s="2"/>
      <c r="AQJ380" s="2"/>
      <c r="AQK380" s="2"/>
      <c r="AQL380" s="2"/>
      <c r="AQM380" s="2"/>
      <c r="AQN380" s="2"/>
      <c r="AQO380" s="2"/>
      <c r="AQP380" s="2"/>
      <c r="AQQ380" s="2"/>
      <c r="AQR380" s="2"/>
      <c r="AQS380" s="2"/>
      <c r="AQT380" s="2"/>
      <c r="AQU380" s="2"/>
      <c r="AQV380" s="2"/>
      <c r="AQW380" s="2"/>
      <c r="AQX380" s="2"/>
      <c r="AQY380" s="2"/>
      <c r="AQZ380" s="2"/>
      <c r="ARA380" s="2"/>
      <c r="ARB380" s="2"/>
      <c r="ARC380" s="2"/>
      <c r="ARD380" s="2"/>
      <c r="ARE380" s="2"/>
      <c r="ARF380" s="2"/>
      <c r="ARG380" s="2"/>
      <c r="ARH380" s="2"/>
      <c r="ARI380" s="2"/>
      <c r="ARJ380" s="2"/>
      <c r="ARK380" s="2"/>
      <c r="ARL380" s="2"/>
      <c r="ARM380" s="2"/>
      <c r="ARN380" s="2"/>
      <c r="ARO380" s="2"/>
      <c r="ARP380" s="2"/>
      <c r="ARQ380" s="2"/>
      <c r="ARR380" s="2"/>
      <c r="ARS380" s="2"/>
      <c r="ART380" s="2"/>
      <c r="ARU380" s="2"/>
      <c r="ARV380" s="2"/>
      <c r="ARW380" s="2"/>
      <c r="ARX380" s="2"/>
      <c r="ARY380" s="2"/>
      <c r="ARZ380" s="2"/>
      <c r="ASA380" s="2"/>
      <c r="ASB380" s="2"/>
      <c r="ASC380" s="2"/>
      <c r="ASD380" s="2"/>
      <c r="ASE380" s="2"/>
      <c r="ASF380" s="2"/>
      <c r="ASG380" s="2"/>
      <c r="ASH380" s="2"/>
      <c r="ASI380" s="2"/>
      <c r="ASJ380" s="2"/>
      <c r="ASK380" s="2"/>
      <c r="ASL380" s="2"/>
      <c r="ASM380" s="2"/>
      <c r="ASN380" s="2"/>
      <c r="ASO380" s="2"/>
      <c r="ASP380" s="2"/>
      <c r="ASQ380" s="2"/>
      <c r="ASR380" s="2"/>
      <c r="ASS380" s="2"/>
      <c r="AST380" s="2"/>
      <c r="ASU380" s="2"/>
      <c r="ASV380" s="2"/>
      <c r="ASW380" s="2"/>
      <c r="ASX380" s="2"/>
      <c r="ASY380" s="2"/>
      <c r="ASZ380" s="2"/>
      <c r="ATA380" s="2"/>
      <c r="ATB380" s="2"/>
      <c r="ATC380" s="2"/>
      <c r="ATD380" s="2"/>
      <c r="ATE380" s="2"/>
      <c r="ATF380" s="2"/>
      <c r="ATG380" s="2"/>
      <c r="ATH380" s="2"/>
      <c r="ATI380" s="2"/>
      <c r="ATJ380" s="2"/>
      <c r="ATK380" s="2"/>
      <c r="ATL380" s="2"/>
      <c r="ATM380" s="2"/>
      <c r="ATN380" s="2"/>
      <c r="ATO380" s="2"/>
      <c r="ATP380" s="2"/>
      <c r="ATQ380" s="2"/>
      <c r="ATR380" s="2"/>
      <c r="ATS380" s="2"/>
      <c r="ATT380" s="2"/>
      <c r="ATU380" s="2"/>
      <c r="ATV380" s="2"/>
      <c r="ATW380" s="2"/>
      <c r="ATX380" s="2"/>
      <c r="ATY380" s="2"/>
      <c r="ATZ380" s="2"/>
      <c r="AUA380" s="2"/>
      <c r="AUB380" s="2"/>
      <c r="AUC380" s="2"/>
      <c r="AUD380" s="2"/>
      <c r="AUE380" s="2"/>
      <c r="AUF380" s="2"/>
      <c r="AUG380" s="2"/>
      <c r="AUH380" s="2"/>
      <c r="AUI380" s="2"/>
      <c r="AUJ380" s="2"/>
      <c r="AUK380" s="2"/>
      <c r="AUL380" s="2"/>
      <c r="AUM380" s="2"/>
      <c r="AUN380" s="2"/>
      <c r="AUO380" s="2"/>
      <c r="AUP380" s="2"/>
      <c r="AUQ380" s="2"/>
      <c r="AUR380" s="2"/>
      <c r="AUS380" s="2"/>
      <c r="AUT380" s="2"/>
      <c r="AUU380" s="2"/>
      <c r="AUV380" s="2"/>
      <c r="AUW380" s="2"/>
      <c r="AUX380" s="2"/>
      <c r="AUY380" s="2"/>
      <c r="AUZ380" s="2"/>
      <c r="AVA380" s="2"/>
      <c r="AVB380" s="2"/>
      <c r="AVC380" s="2"/>
      <c r="AVD380" s="2"/>
      <c r="AVE380" s="2"/>
      <c r="AVF380" s="2"/>
      <c r="AVG380" s="2"/>
      <c r="AVH380" s="2"/>
      <c r="AVI380" s="2"/>
      <c r="AVJ380" s="2"/>
      <c r="AVK380" s="2"/>
      <c r="AVL380" s="2"/>
      <c r="AVM380" s="2"/>
      <c r="AVN380" s="2"/>
      <c r="AVO380" s="2"/>
      <c r="AVP380" s="2"/>
      <c r="AVQ380" s="2"/>
      <c r="AVR380" s="2"/>
      <c r="AVS380" s="2"/>
      <c r="AVT380" s="2"/>
      <c r="AVU380" s="2"/>
      <c r="AVV380" s="2"/>
      <c r="AVW380" s="2"/>
      <c r="AVX380" s="2"/>
      <c r="AVY380" s="2"/>
      <c r="AVZ380" s="2"/>
      <c r="AWA380" s="2"/>
      <c r="AWB380" s="2"/>
      <c r="AWC380" s="2"/>
      <c r="AWD380" s="2"/>
      <c r="AWE380" s="2"/>
      <c r="AWF380" s="2"/>
      <c r="AWG380" s="2"/>
      <c r="AWH380" s="2"/>
      <c r="AWI380" s="2"/>
      <c r="AWJ380" s="2"/>
      <c r="AWK380" s="2"/>
      <c r="AWL380" s="2"/>
      <c r="AWM380" s="2"/>
      <c r="AWN380" s="2"/>
      <c r="AWO380" s="2"/>
      <c r="AWP380" s="2"/>
      <c r="AWQ380" s="2"/>
      <c r="AWR380" s="2"/>
      <c r="AWS380" s="2"/>
      <c r="AWT380" s="2"/>
      <c r="AWU380" s="2"/>
      <c r="AWV380" s="2"/>
      <c r="AWW380" s="2"/>
      <c r="AWX380" s="2"/>
      <c r="AWY380" s="2"/>
      <c r="AWZ380" s="2"/>
      <c r="AXA380" s="2"/>
      <c r="AXB380" s="2"/>
      <c r="AXC380" s="2"/>
      <c r="AXD380" s="2"/>
      <c r="AXE380" s="2"/>
      <c r="AXF380" s="2"/>
      <c r="AXG380" s="2"/>
      <c r="AXH380" s="2"/>
      <c r="AXI380" s="2"/>
      <c r="AXJ380" s="2"/>
      <c r="AXK380" s="2"/>
      <c r="AXL380" s="2"/>
      <c r="AXM380" s="2"/>
      <c r="AXN380" s="2"/>
      <c r="AXO380" s="2"/>
      <c r="AXP380" s="2"/>
      <c r="AXQ380" s="2"/>
      <c r="AXR380" s="2"/>
      <c r="AXS380" s="2"/>
      <c r="AXT380" s="2"/>
      <c r="AXU380" s="2"/>
      <c r="AXV380" s="2"/>
      <c r="AXW380" s="2"/>
      <c r="AXX380" s="2"/>
      <c r="AXY380" s="2"/>
      <c r="AXZ380" s="2"/>
      <c r="AYA380" s="2"/>
      <c r="AYB380" s="2"/>
      <c r="AYC380" s="2"/>
      <c r="AYD380" s="2"/>
      <c r="AYE380" s="2"/>
      <c r="AYF380" s="2"/>
      <c r="AYG380" s="2"/>
      <c r="AYH380" s="2"/>
      <c r="AYI380" s="2"/>
      <c r="AYJ380" s="2"/>
      <c r="AYK380" s="2"/>
      <c r="AYL380" s="2"/>
      <c r="AYM380" s="2"/>
      <c r="AYN380" s="2"/>
      <c r="AYO380" s="2"/>
      <c r="AYP380" s="2"/>
      <c r="AYQ380" s="2"/>
      <c r="AYR380" s="2"/>
      <c r="AYS380" s="2"/>
      <c r="AYT380" s="2"/>
      <c r="AYU380" s="2"/>
      <c r="AYV380" s="2"/>
      <c r="AYW380" s="2"/>
      <c r="AYX380" s="2"/>
      <c r="AYY380" s="2"/>
      <c r="AYZ380" s="2"/>
      <c r="AZA380" s="2"/>
      <c r="AZB380" s="2"/>
      <c r="AZC380" s="2"/>
      <c r="AZD380" s="2"/>
      <c r="AZE380" s="2"/>
      <c r="AZF380" s="2"/>
      <c r="AZG380" s="2"/>
      <c r="AZH380" s="2"/>
      <c r="AZI380" s="2"/>
      <c r="AZJ380" s="2"/>
      <c r="AZK380" s="2"/>
      <c r="AZL380" s="2"/>
      <c r="AZM380" s="2"/>
      <c r="AZN380" s="2"/>
      <c r="AZO380" s="2"/>
      <c r="AZP380" s="2"/>
      <c r="AZQ380" s="2"/>
      <c r="AZR380" s="2"/>
      <c r="AZS380" s="2"/>
      <c r="AZT380" s="2"/>
      <c r="AZU380" s="2"/>
      <c r="AZV380" s="2"/>
      <c r="AZW380" s="2"/>
      <c r="AZX380" s="2"/>
      <c r="AZY380" s="2"/>
      <c r="AZZ380" s="2"/>
      <c r="BAA380" s="2"/>
      <c r="BAB380" s="2"/>
      <c r="BAC380" s="2"/>
      <c r="BAD380" s="2"/>
      <c r="BAE380" s="2"/>
      <c r="BAF380" s="2"/>
      <c r="BAG380" s="2"/>
      <c r="BAH380" s="2"/>
      <c r="BAI380" s="2"/>
      <c r="BAJ380" s="2"/>
      <c r="BAK380" s="2"/>
      <c r="BAL380" s="2"/>
      <c r="BAM380" s="2"/>
      <c r="BAN380" s="2"/>
      <c r="BAO380" s="2"/>
      <c r="BAP380" s="2"/>
      <c r="BAQ380" s="2"/>
      <c r="BAR380" s="2"/>
      <c r="BAS380" s="2"/>
      <c r="BAT380" s="2"/>
      <c r="BAU380" s="2"/>
      <c r="BAV380" s="2"/>
      <c r="BAW380" s="2"/>
      <c r="BAX380" s="2"/>
      <c r="BAY380" s="2"/>
      <c r="BAZ380" s="2"/>
      <c r="BBA380" s="2"/>
      <c r="BBB380" s="2"/>
      <c r="BBC380" s="2"/>
      <c r="BBD380" s="2"/>
      <c r="BBE380" s="2"/>
      <c r="BBF380" s="2"/>
      <c r="BBG380" s="2"/>
      <c r="BBH380" s="2"/>
      <c r="BBI380" s="2"/>
      <c r="BBJ380" s="2"/>
      <c r="BBK380" s="2"/>
      <c r="BBL380" s="2"/>
      <c r="BBM380" s="2"/>
      <c r="BBN380" s="2"/>
      <c r="BBO380" s="2"/>
      <c r="BBP380" s="2"/>
      <c r="BBQ380" s="2"/>
      <c r="BBR380" s="2"/>
      <c r="BBS380" s="2"/>
      <c r="BBT380" s="2"/>
      <c r="BBU380" s="2"/>
      <c r="BBV380" s="2"/>
      <c r="BBW380" s="2"/>
      <c r="BBX380" s="2"/>
      <c r="BBY380" s="2"/>
      <c r="BBZ380" s="2"/>
      <c r="BCA380" s="2"/>
      <c r="BCB380" s="2"/>
      <c r="BCC380" s="2"/>
      <c r="BCD380" s="2"/>
      <c r="BCE380" s="2"/>
      <c r="BCF380" s="2"/>
      <c r="BCG380" s="2"/>
      <c r="BCH380" s="2"/>
      <c r="BCI380" s="2"/>
      <c r="BCJ380" s="2"/>
      <c r="BCK380" s="2"/>
      <c r="BCL380" s="2"/>
      <c r="BCM380" s="2"/>
      <c r="BCN380" s="2"/>
      <c r="BCO380" s="2"/>
      <c r="BCP380" s="2"/>
      <c r="BCQ380" s="2"/>
      <c r="BCR380" s="2"/>
      <c r="BCS380" s="2"/>
      <c r="BCT380" s="2"/>
      <c r="BCU380" s="2"/>
      <c r="BCV380" s="2"/>
      <c r="BCW380" s="2"/>
      <c r="BCX380" s="2"/>
      <c r="BCY380" s="2"/>
      <c r="BCZ380" s="2"/>
      <c r="BDA380" s="2"/>
      <c r="BDB380" s="2"/>
      <c r="BDC380" s="2"/>
      <c r="BDD380" s="2"/>
      <c r="BDE380" s="2"/>
      <c r="BDF380" s="2"/>
      <c r="BDG380" s="2"/>
      <c r="BDH380" s="2"/>
      <c r="BDI380" s="2"/>
      <c r="BDJ380" s="2"/>
      <c r="BDK380" s="2"/>
      <c r="BDL380" s="2"/>
      <c r="BDM380" s="2"/>
      <c r="BDN380" s="2"/>
      <c r="BDO380" s="2"/>
      <c r="BDP380" s="2"/>
      <c r="BDQ380" s="2"/>
      <c r="BDR380" s="2"/>
      <c r="BDS380" s="2"/>
      <c r="BDT380" s="2"/>
      <c r="BDU380" s="2"/>
      <c r="BDV380" s="2"/>
      <c r="BDW380" s="2"/>
      <c r="BDX380" s="2"/>
      <c r="BDY380" s="2"/>
      <c r="BDZ380" s="2"/>
      <c r="BEA380" s="2"/>
      <c r="BEB380" s="2"/>
      <c r="BEC380" s="2"/>
      <c r="BED380" s="2"/>
      <c r="BEE380" s="2"/>
      <c r="BEF380" s="2"/>
      <c r="BEG380" s="2"/>
      <c r="BEH380" s="2"/>
      <c r="BEI380" s="2"/>
      <c r="BEJ380" s="2"/>
      <c r="BEK380" s="2"/>
      <c r="BEL380" s="2"/>
      <c r="BEM380" s="2"/>
      <c r="BEN380" s="2"/>
      <c r="BEO380" s="2"/>
      <c r="BEP380" s="2"/>
      <c r="BEQ380" s="2"/>
      <c r="BER380" s="2"/>
      <c r="BES380" s="2"/>
      <c r="BET380" s="2"/>
      <c r="BEU380" s="2"/>
      <c r="BEV380" s="2"/>
      <c r="BEW380" s="2"/>
      <c r="BEX380" s="2"/>
      <c r="BEY380" s="2"/>
      <c r="BEZ380" s="2"/>
      <c r="BFA380" s="2"/>
      <c r="BFB380" s="2"/>
      <c r="BFC380" s="2"/>
      <c r="BFD380" s="2"/>
      <c r="BFE380" s="2"/>
      <c r="BFF380" s="2"/>
      <c r="BFG380" s="2"/>
      <c r="BFH380" s="2"/>
      <c r="BFI380" s="2"/>
      <c r="BFJ380" s="2"/>
      <c r="BFK380" s="2"/>
      <c r="BFL380" s="2"/>
      <c r="BFM380" s="2"/>
      <c r="BFN380" s="2"/>
      <c r="BFO380" s="2"/>
      <c r="BFP380" s="2"/>
      <c r="BFQ380" s="2"/>
      <c r="BFR380" s="2"/>
      <c r="BFS380" s="2"/>
      <c r="BFT380" s="2"/>
      <c r="BFU380" s="2"/>
      <c r="BFV380" s="2"/>
      <c r="BFW380" s="2"/>
      <c r="BFX380" s="2"/>
      <c r="BFY380" s="2"/>
      <c r="BFZ380" s="2"/>
      <c r="BGA380" s="2"/>
      <c r="BGB380" s="2"/>
      <c r="BGC380" s="2"/>
      <c r="BGD380" s="2"/>
      <c r="BGE380" s="2"/>
      <c r="BGF380" s="2"/>
      <c r="BGG380" s="2"/>
      <c r="BGH380" s="2"/>
      <c r="BGI380" s="2"/>
      <c r="BGJ380" s="2"/>
      <c r="BGK380" s="2"/>
      <c r="BGL380" s="2"/>
      <c r="BGM380" s="2"/>
      <c r="BGN380" s="2"/>
      <c r="BGO380" s="2"/>
      <c r="BGP380" s="2"/>
      <c r="BGQ380" s="2"/>
      <c r="BGR380" s="2"/>
      <c r="BGS380" s="2"/>
      <c r="BGT380" s="2"/>
      <c r="BGU380" s="2"/>
      <c r="BGV380" s="2"/>
      <c r="BGW380" s="2"/>
      <c r="BGX380" s="2"/>
      <c r="BGY380" s="2"/>
      <c r="BGZ380" s="2"/>
      <c r="BHA380" s="2"/>
      <c r="BHB380" s="2"/>
      <c r="BHC380" s="2"/>
      <c r="BHD380" s="2"/>
      <c r="BHE380" s="2"/>
      <c r="BHF380" s="2"/>
      <c r="BHG380" s="2"/>
      <c r="BHH380" s="2"/>
      <c r="BHI380" s="2"/>
      <c r="BHJ380" s="2"/>
      <c r="BHK380" s="2"/>
      <c r="BHL380" s="2"/>
      <c r="BHM380" s="2"/>
      <c r="BHN380" s="2"/>
      <c r="BHO380" s="2"/>
      <c r="BHP380" s="2"/>
      <c r="BHQ380" s="2"/>
      <c r="BHR380" s="2"/>
      <c r="BHS380" s="2"/>
      <c r="BHT380" s="2"/>
      <c r="BHU380" s="2"/>
      <c r="BHV380" s="2"/>
      <c r="BHW380" s="2"/>
      <c r="BHX380" s="2"/>
      <c r="BHY380" s="2"/>
      <c r="BHZ380" s="2"/>
      <c r="BIA380" s="2"/>
      <c r="BIB380" s="2"/>
      <c r="BIC380" s="2"/>
      <c r="BID380" s="2"/>
      <c r="BIE380" s="2"/>
      <c r="BIF380" s="2"/>
      <c r="BIG380" s="2"/>
      <c r="BIH380" s="2"/>
      <c r="BII380" s="2"/>
      <c r="BIJ380" s="2"/>
      <c r="BIK380" s="2"/>
      <c r="BIL380" s="2"/>
      <c r="BIM380" s="2"/>
      <c r="BIN380" s="2"/>
      <c r="BIO380" s="2"/>
      <c r="BIP380" s="2"/>
      <c r="BIQ380" s="2"/>
      <c r="BIR380" s="2"/>
      <c r="BIS380" s="2"/>
      <c r="BIT380" s="2"/>
      <c r="BIU380" s="2"/>
      <c r="BIV380" s="2"/>
      <c r="BIW380" s="2"/>
      <c r="BIX380" s="2"/>
      <c r="BIY380" s="2"/>
      <c r="BIZ380" s="2"/>
      <c r="BJA380" s="2"/>
      <c r="BJB380" s="2"/>
      <c r="BJC380" s="2"/>
      <c r="BJD380" s="2"/>
      <c r="BJE380" s="2"/>
      <c r="BJF380" s="2"/>
      <c r="BJG380" s="2"/>
      <c r="BJH380" s="2"/>
      <c r="BJI380" s="2"/>
      <c r="BJJ380" s="2"/>
      <c r="BJK380" s="2"/>
      <c r="BJL380" s="2"/>
      <c r="BJM380" s="2"/>
      <c r="BJN380" s="2"/>
      <c r="BJO380" s="2"/>
      <c r="BJP380" s="2"/>
      <c r="BJQ380" s="2"/>
      <c r="BJR380" s="2"/>
      <c r="BJS380" s="2"/>
      <c r="BJT380" s="2"/>
      <c r="BJU380" s="2"/>
      <c r="BJV380" s="2"/>
      <c r="BJW380" s="2"/>
      <c r="BJX380" s="2"/>
      <c r="BJY380" s="2"/>
      <c r="BJZ380" s="2"/>
      <c r="BKA380" s="2"/>
      <c r="BKB380" s="2"/>
      <c r="BKC380" s="2"/>
      <c r="BKD380" s="2"/>
      <c r="BKE380" s="2"/>
      <c r="BKF380" s="2"/>
      <c r="BKG380" s="2"/>
      <c r="BKH380" s="2"/>
      <c r="BKI380" s="2"/>
      <c r="BKJ380" s="2"/>
      <c r="BKK380" s="2"/>
      <c r="BKL380" s="2"/>
      <c r="BKM380" s="2"/>
      <c r="BKN380" s="2"/>
      <c r="BKO380" s="2"/>
      <c r="BKP380" s="2"/>
      <c r="BKQ380" s="2"/>
      <c r="BKR380" s="2"/>
      <c r="BKS380" s="2"/>
      <c r="BKT380" s="2"/>
      <c r="BKU380" s="2"/>
      <c r="BKV380" s="2"/>
      <c r="BKW380" s="2"/>
      <c r="BKX380" s="2"/>
      <c r="BKY380" s="2"/>
      <c r="BKZ380" s="2"/>
      <c r="BLA380" s="2"/>
      <c r="BLB380" s="2"/>
      <c r="BLC380" s="2"/>
      <c r="BLD380" s="2"/>
      <c r="BLE380" s="2"/>
      <c r="BLF380" s="2"/>
      <c r="BLG380" s="2"/>
      <c r="BLH380" s="2"/>
      <c r="BLI380" s="2"/>
      <c r="BLJ380" s="2"/>
      <c r="BLK380" s="2"/>
      <c r="BLL380" s="2"/>
      <c r="BLM380" s="2"/>
      <c r="BLN380" s="2"/>
      <c r="BLO380" s="2"/>
      <c r="BLP380" s="2"/>
      <c r="BLQ380" s="2"/>
      <c r="BLR380" s="2"/>
      <c r="BLS380" s="2"/>
      <c r="BLT380" s="2"/>
      <c r="BLU380" s="2"/>
      <c r="BLV380" s="2"/>
      <c r="BLW380" s="2"/>
      <c r="BLX380" s="2"/>
      <c r="BLY380" s="2"/>
      <c r="BLZ380" s="2"/>
      <c r="BMA380" s="2"/>
      <c r="BMB380" s="2"/>
      <c r="BMC380" s="2"/>
      <c r="BMD380" s="2"/>
      <c r="BME380" s="2"/>
      <c r="BMF380" s="2"/>
      <c r="BMG380" s="2"/>
      <c r="BMH380" s="2"/>
      <c r="BMI380" s="2"/>
      <c r="BMJ380" s="2"/>
      <c r="BMK380" s="2"/>
      <c r="BML380" s="2"/>
      <c r="BMM380" s="2"/>
      <c r="BMN380" s="2"/>
      <c r="BMO380" s="2"/>
      <c r="BMP380" s="2"/>
      <c r="BMQ380" s="2"/>
      <c r="BMR380" s="2"/>
      <c r="BMS380" s="2"/>
      <c r="BMT380" s="2"/>
      <c r="BMU380" s="2"/>
      <c r="BMV380" s="2"/>
      <c r="BMW380" s="2"/>
      <c r="BMX380" s="2"/>
      <c r="BMY380" s="2"/>
      <c r="BMZ380" s="2"/>
      <c r="BNA380" s="2"/>
      <c r="BNB380" s="2"/>
      <c r="BNC380" s="2"/>
      <c r="BND380" s="2"/>
      <c r="BNE380" s="2"/>
      <c r="BNF380" s="2"/>
      <c r="BNG380" s="2"/>
      <c r="BNH380" s="2"/>
      <c r="BNI380" s="2"/>
      <c r="BNJ380" s="2"/>
      <c r="BNK380" s="2"/>
      <c r="BNL380" s="2"/>
      <c r="BNM380" s="2"/>
      <c r="BNN380" s="2"/>
      <c r="BNO380" s="2"/>
      <c r="BNP380" s="2"/>
      <c r="BNQ380" s="2"/>
      <c r="BNR380" s="2"/>
      <c r="BNS380" s="2"/>
      <c r="BNT380" s="2"/>
      <c r="BNU380" s="2"/>
      <c r="BNV380" s="2"/>
      <c r="BNW380" s="2"/>
      <c r="BNX380" s="2"/>
      <c r="BNY380" s="2"/>
      <c r="BNZ380" s="2"/>
      <c r="BOA380" s="2"/>
      <c r="BOB380" s="2"/>
      <c r="BOC380" s="2"/>
      <c r="BOD380" s="2"/>
      <c r="BOE380" s="2"/>
      <c r="BOF380" s="2"/>
      <c r="BOG380" s="2"/>
      <c r="BOH380" s="2"/>
      <c r="BOI380" s="2"/>
      <c r="BOJ380" s="2"/>
      <c r="BOK380" s="2"/>
      <c r="BOL380" s="2"/>
      <c r="BOM380" s="2"/>
      <c r="BON380" s="2"/>
      <c r="BOO380" s="2"/>
      <c r="BOP380" s="2"/>
      <c r="BOQ380" s="2"/>
      <c r="BOR380" s="2"/>
      <c r="BOS380" s="2"/>
      <c r="BOT380" s="2"/>
      <c r="BOU380" s="2"/>
      <c r="BOV380" s="2"/>
      <c r="BOW380" s="2"/>
      <c r="BOX380" s="2"/>
      <c r="BOY380" s="2"/>
      <c r="BOZ380" s="2"/>
      <c r="BPA380" s="2"/>
      <c r="BPB380" s="2"/>
      <c r="BPC380" s="2"/>
      <c r="BPD380" s="2"/>
      <c r="BPE380" s="2"/>
      <c r="BPF380" s="2"/>
      <c r="BPG380" s="2"/>
      <c r="BPH380" s="2"/>
      <c r="BPI380" s="2"/>
      <c r="BPJ380" s="2"/>
      <c r="BPK380" s="2"/>
      <c r="BPL380" s="2"/>
      <c r="BPM380" s="2"/>
      <c r="BPN380" s="2"/>
      <c r="BPO380" s="2"/>
      <c r="BPP380" s="2"/>
      <c r="BPQ380" s="2"/>
      <c r="BPR380" s="2"/>
      <c r="BPS380" s="2"/>
      <c r="BPT380" s="2"/>
      <c r="BPU380" s="2"/>
      <c r="BPV380" s="2"/>
      <c r="BPW380" s="2"/>
      <c r="BPX380" s="2"/>
      <c r="BPY380" s="2"/>
      <c r="BPZ380" s="2"/>
      <c r="BQA380" s="2"/>
      <c r="BQB380" s="2"/>
      <c r="BQC380" s="2"/>
      <c r="BQD380" s="2"/>
      <c r="BQE380" s="2"/>
      <c r="BQF380" s="2"/>
      <c r="BQG380" s="2"/>
      <c r="BQH380" s="2"/>
      <c r="BQI380" s="2"/>
      <c r="BQJ380" s="2"/>
      <c r="BQK380" s="2"/>
      <c r="BQL380" s="2"/>
      <c r="BQM380" s="2"/>
      <c r="BQN380" s="2"/>
      <c r="BQO380" s="2"/>
      <c r="BQP380" s="2"/>
      <c r="BQQ380" s="2"/>
      <c r="BQR380" s="2"/>
      <c r="BQS380" s="2"/>
      <c r="BQT380" s="2"/>
      <c r="BQU380" s="2"/>
      <c r="BQV380" s="2"/>
      <c r="BQW380" s="2"/>
      <c r="BQX380" s="2"/>
      <c r="BQY380" s="2"/>
      <c r="BQZ380" s="2"/>
      <c r="BRA380" s="2"/>
      <c r="BRB380" s="2"/>
      <c r="BRC380" s="2"/>
      <c r="BRD380" s="2"/>
      <c r="BRE380" s="2"/>
      <c r="BRF380" s="2"/>
      <c r="BRG380" s="2"/>
      <c r="BRH380" s="2"/>
      <c r="BRI380" s="2"/>
      <c r="BRJ380" s="2"/>
      <c r="BRK380" s="2"/>
      <c r="BRL380" s="2"/>
      <c r="BRM380" s="2"/>
      <c r="BRN380" s="2"/>
      <c r="BRO380" s="2"/>
      <c r="BRP380" s="2"/>
      <c r="BRQ380" s="2"/>
      <c r="BRR380" s="2"/>
      <c r="BRS380" s="2"/>
      <c r="BRT380" s="2"/>
      <c r="BRU380" s="2"/>
      <c r="BRV380" s="2"/>
      <c r="BRW380" s="2"/>
      <c r="BRX380" s="2"/>
      <c r="BRY380" s="2"/>
      <c r="BRZ380" s="2"/>
      <c r="BSA380" s="2"/>
      <c r="BSB380" s="2"/>
      <c r="BSC380" s="2"/>
      <c r="BSD380" s="2"/>
      <c r="BSE380" s="2"/>
      <c r="BSF380" s="2"/>
      <c r="BSG380" s="2"/>
      <c r="BSH380" s="2"/>
      <c r="BSI380" s="2"/>
      <c r="BSJ380" s="2"/>
      <c r="BSK380" s="2"/>
      <c r="BSL380" s="2"/>
      <c r="BSM380" s="2"/>
      <c r="BSN380" s="2"/>
      <c r="BSO380" s="2"/>
      <c r="BSP380" s="2"/>
      <c r="BSQ380" s="2"/>
      <c r="BSR380" s="2"/>
      <c r="BSS380" s="2"/>
      <c r="BST380" s="2"/>
      <c r="BSU380" s="2"/>
      <c r="BSV380" s="2"/>
      <c r="BSW380" s="2"/>
      <c r="BSX380" s="2"/>
      <c r="BSY380" s="2"/>
      <c r="BSZ380" s="2"/>
      <c r="BTA380" s="2"/>
    </row>
    <row r="381" spans="1:1873" s="2" customFormat="1" x14ac:dyDescent="0.2">
      <c r="A381" s="522"/>
      <c r="B381" s="234"/>
      <c r="C381" s="522"/>
      <c r="D381" s="234"/>
      <c r="E381" s="493"/>
      <c r="F381" s="523"/>
      <c r="G381" s="522"/>
      <c r="H381" s="524"/>
      <c r="I381" s="522"/>
      <c r="J381" s="524"/>
      <c r="K381" s="524"/>
      <c r="L381" s="522"/>
      <c r="M381" s="525"/>
      <c r="N381" s="389"/>
      <c r="O381" s="29"/>
      <c r="P381" s="525"/>
      <c r="Q381" s="234"/>
      <c r="R381" s="389"/>
      <c r="S381" s="234"/>
      <c r="T381" s="530"/>
      <c r="U381" s="234"/>
      <c r="V381" s="234"/>
      <c r="W381" s="389"/>
      <c r="X381" s="491"/>
      <c r="Y381" s="491"/>
      <c r="Z381" s="390"/>
      <c r="AA381" s="520"/>
      <c r="AB381" s="389"/>
      <c r="AC381" s="522"/>
      <c r="AD381" s="526"/>
      <c r="AE381" s="522"/>
      <c r="AF381" s="522"/>
      <c r="AG381" s="522"/>
      <c r="AH381" s="522"/>
      <c r="AI381" s="234"/>
      <c r="AJ381" s="234"/>
      <c r="AK381" s="522"/>
      <c r="AL381" s="522"/>
      <c r="AM381" s="234"/>
      <c r="AN381" s="522"/>
      <c r="AO381" s="234"/>
      <c r="AP381" s="234"/>
      <c r="AQ381" s="522"/>
      <c r="AR381" s="234"/>
      <c r="AS381" s="234"/>
      <c r="AT381" s="522"/>
      <c r="AU381" s="234"/>
      <c r="AV381" s="234"/>
      <c r="AW381" s="522"/>
      <c r="AX381" s="234"/>
      <c r="AY381" s="234"/>
      <c r="AZ381" s="522"/>
      <c r="BA381" s="234"/>
      <c r="BB381" s="522"/>
      <c r="BC381" s="522"/>
      <c r="BD381" s="522"/>
      <c r="BE381" s="234"/>
      <c r="BF381" s="522"/>
      <c r="BG381" s="522"/>
      <c r="BH381" s="234"/>
      <c r="BI381" s="234"/>
      <c r="BJ381" s="234"/>
      <c r="BK381" s="234"/>
      <c r="BL381" s="234"/>
      <c r="BM381" s="234"/>
      <c r="BN381" s="234"/>
      <c r="BO381" s="234"/>
      <c r="BP381" s="234"/>
      <c r="BQ381" s="234"/>
      <c r="BR381" s="234"/>
      <c r="BS381" s="491"/>
      <c r="BT381" s="234"/>
      <c r="BU381" s="234"/>
      <c r="BV381" s="234"/>
      <c r="BW381" s="234"/>
      <c r="BX381" s="234"/>
      <c r="BY381" s="234"/>
      <c r="BZ381" s="496"/>
      <c r="CA381" s="527"/>
      <c r="CB381" s="528"/>
      <c r="CC381" s="117"/>
      <c r="CD381" s="10"/>
      <c r="CE381" s="342" t="s">
        <v>1576</v>
      </c>
      <c r="CF381" s="342" t="s">
        <v>1575</v>
      </c>
      <c r="CG381" s="14"/>
    </row>
    <row r="382" spans="1:1873" s="118" customFormat="1" x14ac:dyDescent="0.2">
      <c r="A382" s="522" t="s">
        <v>1424</v>
      </c>
      <c r="B382" s="234" t="s">
        <v>42</v>
      </c>
      <c r="C382" s="522" t="s">
        <v>50</v>
      </c>
      <c r="D382" s="234" t="s">
        <v>619</v>
      </c>
      <c r="E382" s="493" t="s">
        <v>1503</v>
      </c>
      <c r="F382" s="523">
        <v>1</v>
      </c>
      <c r="G382" s="522">
        <v>1</v>
      </c>
      <c r="H382" s="524">
        <v>1</v>
      </c>
      <c r="I382" s="234" t="s">
        <v>954</v>
      </c>
      <c r="J382" s="524">
        <v>1981</v>
      </c>
      <c r="K382" s="524" t="s">
        <v>957</v>
      </c>
      <c r="L382" s="522">
        <v>1981</v>
      </c>
      <c r="M382" s="525">
        <v>0.9</v>
      </c>
      <c r="N382" s="389">
        <v>-9999</v>
      </c>
      <c r="O382" s="29"/>
      <c r="P382" s="525">
        <f>+M382</f>
        <v>0.9</v>
      </c>
      <c r="Q382" s="234">
        <v>-9999</v>
      </c>
      <c r="R382" s="389"/>
      <c r="S382" s="234"/>
      <c r="T382" s="237">
        <f>+P382/G382</f>
        <v>0.9</v>
      </c>
      <c r="U382" s="234">
        <v>-9999</v>
      </c>
      <c r="V382" s="234"/>
      <c r="W382" s="412">
        <f>+P382</f>
        <v>0.9</v>
      </c>
      <c r="X382" s="491">
        <v>-9999</v>
      </c>
      <c r="Y382" s="491"/>
      <c r="Z382" s="390" t="s">
        <v>1704</v>
      </c>
      <c r="AA382" s="520">
        <v>20833</v>
      </c>
      <c r="AB382" s="389">
        <v>0.88</v>
      </c>
      <c r="AC382" s="522">
        <v>1.2</v>
      </c>
      <c r="AD382" s="526">
        <v>125</v>
      </c>
      <c r="AE382" s="522" t="s">
        <v>168</v>
      </c>
      <c r="AF382" s="522">
        <v>3</v>
      </c>
      <c r="AG382" s="522" t="s">
        <v>776</v>
      </c>
      <c r="AH382" s="522" t="s">
        <v>623</v>
      </c>
      <c r="AI382" s="234">
        <v>-9999</v>
      </c>
      <c r="AJ382" s="234">
        <v>-9999</v>
      </c>
      <c r="AK382" s="522" t="s">
        <v>626</v>
      </c>
      <c r="AL382" s="522" t="s">
        <v>272</v>
      </c>
      <c r="AM382" s="234">
        <v>-9999</v>
      </c>
      <c r="AN382" s="522" t="s">
        <v>779</v>
      </c>
      <c r="AO382" s="522" t="s">
        <v>51</v>
      </c>
      <c r="AP382" s="522" t="s">
        <v>52</v>
      </c>
      <c r="AQ382" s="522" t="s">
        <v>777</v>
      </c>
      <c r="AR382" s="234">
        <v>0</v>
      </c>
      <c r="AS382" s="234">
        <v>-9999</v>
      </c>
      <c r="AT382" s="522">
        <v>-9999</v>
      </c>
      <c r="AU382" s="234">
        <v>0</v>
      </c>
      <c r="AV382" s="234">
        <v>-9999</v>
      </c>
      <c r="AW382" s="522">
        <v>-9999</v>
      </c>
      <c r="AX382" s="234">
        <v>0</v>
      </c>
      <c r="AY382" s="234">
        <v>-9999</v>
      </c>
      <c r="AZ382" s="522">
        <v>-9999</v>
      </c>
      <c r="BA382" s="234">
        <v>-9999</v>
      </c>
      <c r="BB382" s="522" t="s">
        <v>626</v>
      </c>
      <c r="BC382" s="522" t="s">
        <v>273</v>
      </c>
      <c r="BD382" s="522" t="s">
        <v>642</v>
      </c>
      <c r="BE382" s="234">
        <v>-9999</v>
      </c>
      <c r="BF382" s="522" t="s">
        <v>274</v>
      </c>
      <c r="BG382" s="522" t="s">
        <v>275</v>
      </c>
      <c r="BH382" s="234">
        <v>-9999</v>
      </c>
      <c r="BI382" s="234">
        <v>-9999</v>
      </c>
      <c r="BJ382" s="234">
        <v>-9999</v>
      </c>
      <c r="BK382" s="234">
        <v>-9999</v>
      </c>
      <c r="BL382" s="234">
        <f>(1.7+1.6)/2</f>
        <v>1.65</v>
      </c>
      <c r="BM382" s="234">
        <v>-9999</v>
      </c>
      <c r="BN382" s="234">
        <f>(1.3+1.4)/2</f>
        <v>1.35</v>
      </c>
      <c r="BO382" s="234">
        <v>-9999</v>
      </c>
      <c r="BP382" s="234">
        <v>-9999</v>
      </c>
      <c r="BQ382" s="234">
        <v>-9999</v>
      </c>
      <c r="BR382" s="234">
        <v>-9999</v>
      </c>
      <c r="BS382" s="491">
        <v>-9999</v>
      </c>
      <c r="BT382" s="234">
        <v>-9999</v>
      </c>
      <c r="BU382" s="234">
        <v>-9999</v>
      </c>
      <c r="BV382" s="234">
        <v>-9999</v>
      </c>
      <c r="BW382" s="234"/>
      <c r="BX382" s="234">
        <v>-9999</v>
      </c>
      <c r="BY382" s="234">
        <v>-9999</v>
      </c>
      <c r="BZ382" s="496">
        <v>-9999</v>
      </c>
      <c r="CA382" s="527">
        <v>15</v>
      </c>
      <c r="CB382" s="531"/>
      <c r="CC382" s="117">
        <v>1</v>
      </c>
      <c r="CD382" s="10">
        <v>1</v>
      </c>
      <c r="CE382" s="343">
        <v>0.9</v>
      </c>
      <c r="CF382" s="343">
        <v>0.9</v>
      </c>
      <c r="CG382" s="14">
        <v>1</v>
      </c>
    </row>
    <row r="383" spans="1:1873" s="118" customFormat="1" x14ac:dyDescent="0.2">
      <c r="A383" s="522" t="s">
        <v>1424</v>
      </c>
      <c r="B383" s="234" t="s">
        <v>42</v>
      </c>
      <c r="C383" s="522" t="s">
        <v>50</v>
      </c>
      <c r="D383" s="234" t="s">
        <v>619</v>
      </c>
      <c r="E383" s="493" t="s">
        <v>1503</v>
      </c>
      <c r="F383" s="523">
        <v>1</v>
      </c>
      <c r="G383" s="522">
        <v>2</v>
      </c>
      <c r="H383" s="524">
        <v>2</v>
      </c>
      <c r="I383" s="234" t="s">
        <v>954</v>
      </c>
      <c r="J383" s="524">
        <v>1981</v>
      </c>
      <c r="K383" s="524" t="s">
        <v>957</v>
      </c>
      <c r="L383" s="522">
        <v>1982</v>
      </c>
      <c r="M383" s="525">
        <v>9</v>
      </c>
      <c r="N383" s="389">
        <v>-9999</v>
      </c>
      <c r="O383" s="29"/>
      <c r="P383" s="525">
        <f>+M383</f>
        <v>9</v>
      </c>
      <c r="Q383" s="234">
        <v>-9999</v>
      </c>
      <c r="R383" s="389"/>
      <c r="S383" s="234"/>
      <c r="T383" s="237">
        <f>+P383/G383</f>
        <v>4.5</v>
      </c>
      <c r="U383" s="234">
        <v>-9999</v>
      </c>
      <c r="V383" s="234"/>
      <c r="W383" s="412">
        <f>+P383-P382</f>
        <v>8.1</v>
      </c>
      <c r="X383" s="491">
        <v>-9999</v>
      </c>
      <c r="Y383" s="491"/>
      <c r="Z383" s="390" t="s">
        <v>1704</v>
      </c>
      <c r="AA383" s="520">
        <v>20833</v>
      </c>
      <c r="AB383" s="389">
        <v>0.87</v>
      </c>
      <c r="AC383" s="522">
        <v>1.2</v>
      </c>
      <c r="AD383" s="526">
        <v>125</v>
      </c>
      <c r="AE383" s="522" t="s">
        <v>168</v>
      </c>
      <c r="AF383" s="522">
        <v>3</v>
      </c>
      <c r="AG383" s="522" t="s">
        <v>776</v>
      </c>
      <c r="AH383" s="522" t="s">
        <v>623</v>
      </c>
      <c r="AI383" s="234">
        <v>-9999</v>
      </c>
      <c r="AJ383" s="234">
        <v>-9999</v>
      </c>
      <c r="AK383" s="522" t="s">
        <v>626</v>
      </c>
      <c r="AL383" s="522" t="s">
        <v>272</v>
      </c>
      <c r="AM383" s="234">
        <v>-9999</v>
      </c>
      <c r="AN383" s="522" t="s">
        <v>779</v>
      </c>
      <c r="AO383" s="522" t="s">
        <v>51</v>
      </c>
      <c r="AP383" s="522" t="s">
        <v>52</v>
      </c>
      <c r="AQ383" s="522" t="s">
        <v>777</v>
      </c>
      <c r="AR383" s="234">
        <v>0</v>
      </c>
      <c r="AS383" s="234">
        <v>-9999</v>
      </c>
      <c r="AT383" s="522">
        <v>-9999</v>
      </c>
      <c r="AU383" s="234">
        <v>0</v>
      </c>
      <c r="AV383" s="234">
        <v>-9999</v>
      </c>
      <c r="AW383" s="522">
        <v>-9999</v>
      </c>
      <c r="AX383" s="234">
        <v>0</v>
      </c>
      <c r="AY383" s="234">
        <v>-9999</v>
      </c>
      <c r="AZ383" s="522">
        <v>-9999</v>
      </c>
      <c r="BA383" s="234">
        <v>-9999</v>
      </c>
      <c r="BB383" s="522" t="s">
        <v>626</v>
      </c>
      <c r="BC383" s="522" t="s">
        <v>273</v>
      </c>
      <c r="BD383" s="522" t="s">
        <v>642</v>
      </c>
      <c r="BE383" s="234">
        <v>-9999</v>
      </c>
      <c r="BF383" s="522" t="s">
        <v>274</v>
      </c>
      <c r="BG383" s="522" t="s">
        <v>275</v>
      </c>
      <c r="BH383" s="234">
        <v>-9999</v>
      </c>
      <c r="BI383" s="234">
        <v>-9999</v>
      </c>
      <c r="BJ383" s="234">
        <v>-9999</v>
      </c>
      <c r="BK383" s="234">
        <v>-9999</v>
      </c>
      <c r="BL383" s="234">
        <f>(3.7+4.6)/2</f>
        <v>4.1500000000000004</v>
      </c>
      <c r="BM383" s="234">
        <v>-9999</v>
      </c>
      <c r="BN383" s="234">
        <f>(2.5+3.1)/2</f>
        <v>2.8</v>
      </c>
      <c r="BO383" s="234">
        <v>-9999</v>
      </c>
      <c r="BP383" s="234">
        <v>-9999</v>
      </c>
      <c r="BQ383" s="234">
        <v>-9999</v>
      </c>
      <c r="BR383" s="234">
        <v>-9999</v>
      </c>
      <c r="BS383" s="491">
        <v>-9999</v>
      </c>
      <c r="BT383" s="234">
        <v>-9999</v>
      </c>
      <c r="BU383" s="234">
        <v>-9999</v>
      </c>
      <c r="BV383" s="234">
        <v>-9999</v>
      </c>
      <c r="BW383" s="234"/>
      <c r="BX383" s="234">
        <v>-9999</v>
      </c>
      <c r="BY383" s="234">
        <v>-9999</v>
      </c>
      <c r="BZ383" s="496">
        <v>-9999</v>
      </c>
      <c r="CA383" s="527">
        <v>15</v>
      </c>
      <c r="CB383" s="531"/>
      <c r="CC383" s="117">
        <v>1</v>
      </c>
      <c r="CD383" s="10">
        <v>2</v>
      </c>
      <c r="CE383" s="343">
        <v>4.5</v>
      </c>
      <c r="CF383" s="343">
        <v>8.1</v>
      </c>
      <c r="CG383" s="14">
        <v>2</v>
      </c>
    </row>
    <row r="384" spans="1:1873" s="118" customFormat="1" x14ac:dyDescent="0.2">
      <c r="A384" s="522" t="s">
        <v>1424</v>
      </c>
      <c r="B384" s="234" t="s">
        <v>42</v>
      </c>
      <c r="C384" s="522" t="s">
        <v>50</v>
      </c>
      <c r="D384" s="234" t="s">
        <v>619</v>
      </c>
      <c r="E384" s="493" t="s">
        <v>1503</v>
      </c>
      <c r="F384" s="523">
        <v>1</v>
      </c>
      <c r="G384" s="522">
        <v>3</v>
      </c>
      <c r="H384" s="524">
        <v>3</v>
      </c>
      <c r="I384" s="234" t="s">
        <v>954</v>
      </c>
      <c r="J384" s="524">
        <v>1981</v>
      </c>
      <c r="K384" s="524" t="s">
        <v>957</v>
      </c>
      <c r="L384" s="522">
        <v>1983</v>
      </c>
      <c r="M384" s="525">
        <v>21</v>
      </c>
      <c r="N384" s="389">
        <v>-9999</v>
      </c>
      <c r="O384" s="29"/>
      <c r="P384" s="525">
        <f>+M384</f>
        <v>21</v>
      </c>
      <c r="Q384" s="234">
        <v>-9999</v>
      </c>
      <c r="R384" s="389"/>
      <c r="S384" s="234"/>
      <c r="T384" s="237">
        <f>+P384/G384</f>
        <v>7</v>
      </c>
      <c r="U384" s="234">
        <v>-9999</v>
      </c>
      <c r="V384" s="234"/>
      <c r="W384" s="412">
        <f>+P384-P383</f>
        <v>12</v>
      </c>
      <c r="X384" s="491">
        <v>-9999</v>
      </c>
      <c r="Y384" s="491"/>
      <c r="Z384" s="390" t="s">
        <v>1704</v>
      </c>
      <c r="AA384" s="520">
        <v>20833</v>
      </c>
      <c r="AB384" s="389">
        <v>0.87</v>
      </c>
      <c r="AC384" s="522">
        <v>1.2</v>
      </c>
      <c r="AD384" s="526">
        <v>125</v>
      </c>
      <c r="AE384" s="522" t="s">
        <v>168</v>
      </c>
      <c r="AF384" s="522">
        <v>3</v>
      </c>
      <c r="AG384" s="522" t="s">
        <v>776</v>
      </c>
      <c r="AH384" s="522" t="s">
        <v>623</v>
      </c>
      <c r="AI384" s="234">
        <v>-9999</v>
      </c>
      <c r="AJ384" s="234">
        <v>-9999</v>
      </c>
      <c r="AK384" s="522" t="s">
        <v>626</v>
      </c>
      <c r="AL384" s="522" t="s">
        <v>272</v>
      </c>
      <c r="AM384" s="234">
        <v>-9999</v>
      </c>
      <c r="AN384" s="522" t="s">
        <v>779</v>
      </c>
      <c r="AO384" s="522" t="s">
        <v>51</v>
      </c>
      <c r="AP384" s="522" t="s">
        <v>52</v>
      </c>
      <c r="AQ384" s="522" t="s">
        <v>777</v>
      </c>
      <c r="AR384" s="234">
        <v>0</v>
      </c>
      <c r="AS384" s="234">
        <v>-9999</v>
      </c>
      <c r="AT384" s="522">
        <v>-9999</v>
      </c>
      <c r="AU384" s="234">
        <v>0</v>
      </c>
      <c r="AV384" s="234">
        <v>-9999</v>
      </c>
      <c r="AW384" s="522">
        <v>-9999</v>
      </c>
      <c r="AX384" s="234">
        <v>0</v>
      </c>
      <c r="AY384" s="234">
        <v>-9999</v>
      </c>
      <c r="AZ384" s="522">
        <v>-9999</v>
      </c>
      <c r="BA384" s="234">
        <v>-9999</v>
      </c>
      <c r="BB384" s="522" t="s">
        <v>626</v>
      </c>
      <c r="BC384" s="522" t="s">
        <v>273</v>
      </c>
      <c r="BD384" s="522" t="s">
        <v>642</v>
      </c>
      <c r="BE384" s="234">
        <v>-9999</v>
      </c>
      <c r="BF384" s="522" t="s">
        <v>274</v>
      </c>
      <c r="BG384" s="522" t="s">
        <v>275</v>
      </c>
      <c r="BH384" s="234">
        <v>-9999</v>
      </c>
      <c r="BI384" s="234">
        <v>-9999</v>
      </c>
      <c r="BJ384" s="234">
        <v>-9999</v>
      </c>
      <c r="BK384" s="234">
        <v>-9999</v>
      </c>
      <c r="BL384" s="234">
        <f>(5.3+6)/2</f>
        <v>5.65</v>
      </c>
      <c r="BM384" s="234">
        <v>-9999</v>
      </c>
      <c r="BN384" s="234">
        <f>(3.5+4)/2</f>
        <v>3.75</v>
      </c>
      <c r="BO384" s="234">
        <v>-9999</v>
      </c>
      <c r="BP384" s="234">
        <v>-9999</v>
      </c>
      <c r="BQ384" s="234">
        <v>-9999</v>
      </c>
      <c r="BR384" s="234">
        <v>-9999</v>
      </c>
      <c r="BS384" s="491">
        <v>-9999</v>
      </c>
      <c r="BT384" s="234">
        <v>-9999</v>
      </c>
      <c r="BU384" s="234">
        <v>-9999</v>
      </c>
      <c r="BV384" s="234">
        <v>-9999</v>
      </c>
      <c r="BW384" s="234"/>
      <c r="BX384" s="234">
        <v>-9999</v>
      </c>
      <c r="BY384" s="234">
        <v>-9999</v>
      </c>
      <c r="BZ384" s="496">
        <v>-9999</v>
      </c>
      <c r="CA384" s="527">
        <v>15</v>
      </c>
      <c r="CB384" s="531"/>
      <c r="CC384" s="117">
        <v>1</v>
      </c>
      <c r="CD384" s="10">
        <v>3</v>
      </c>
      <c r="CE384" s="343">
        <v>7</v>
      </c>
      <c r="CF384" s="343">
        <v>12</v>
      </c>
      <c r="CG384" s="14">
        <v>3</v>
      </c>
    </row>
    <row r="385" spans="1:1873" s="185" customFormat="1" x14ac:dyDescent="0.2">
      <c r="A385" s="529" t="s">
        <v>1424</v>
      </c>
      <c r="B385" s="234" t="s">
        <v>42</v>
      </c>
      <c r="C385" s="522" t="s">
        <v>50</v>
      </c>
      <c r="D385" s="234" t="s">
        <v>619</v>
      </c>
      <c r="E385" s="493" t="s">
        <v>1503</v>
      </c>
      <c r="F385" s="523">
        <v>1</v>
      </c>
      <c r="G385" s="522">
        <v>4</v>
      </c>
      <c r="H385" s="524">
        <v>4</v>
      </c>
      <c r="I385" s="234" t="s">
        <v>954</v>
      </c>
      <c r="J385" s="524">
        <v>1981</v>
      </c>
      <c r="K385" s="524" t="s">
        <v>957</v>
      </c>
      <c r="L385" s="522">
        <v>1984</v>
      </c>
      <c r="M385" s="525">
        <v>33.299999999999997</v>
      </c>
      <c r="N385" s="389">
        <v>-9999</v>
      </c>
      <c r="O385" s="29"/>
      <c r="P385" s="525">
        <f>+M385</f>
        <v>33.299999999999997</v>
      </c>
      <c r="Q385" s="234">
        <v>-9999</v>
      </c>
      <c r="R385" s="389"/>
      <c r="S385" s="234"/>
      <c r="T385" s="237">
        <f>+P385/G385</f>
        <v>8.3249999999999993</v>
      </c>
      <c r="U385" s="234">
        <v>-9999</v>
      </c>
      <c r="V385" s="234"/>
      <c r="W385" s="412">
        <f>+P385-P384</f>
        <v>12.299999999999997</v>
      </c>
      <c r="X385" s="491">
        <v>-9999</v>
      </c>
      <c r="Y385" s="491"/>
      <c r="Z385" s="390" t="s">
        <v>1704</v>
      </c>
      <c r="AA385" s="520">
        <v>20833</v>
      </c>
      <c r="AB385" s="389">
        <v>0.87</v>
      </c>
      <c r="AC385" s="522">
        <v>1.2</v>
      </c>
      <c r="AD385" s="526">
        <v>125</v>
      </c>
      <c r="AE385" s="522" t="s">
        <v>168</v>
      </c>
      <c r="AF385" s="522">
        <v>3</v>
      </c>
      <c r="AG385" s="522" t="s">
        <v>776</v>
      </c>
      <c r="AH385" s="522" t="s">
        <v>623</v>
      </c>
      <c r="AI385" s="234">
        <v>-9999</v>
      </c>
      <c r="AJ385" s="234">
        <v>-9999</v>
      </c>
      <c r="AK385" s="522" t="s">
        <v>626</v>
      </c>
      <c r="AL385" s="522" t="s">
        <v>272</v>
      </c>
      <c r="AM385" s="234">
        <v>-9999</v>
      </c>
      <c r="AN385" s="522" t="s">
        <v>779</v>
      </c>
      <c r="AO385" s="522" t="s">
        <v>51</v>
      </c>
      <c r="AP385" s="522" t="s">
        <v>52</v>
      </c>
      <c r="AQ385" s="522" t="s">
        <v>777</v>
      </c>
      <c r="AR385" s="234">
        <v>0</v>
      </c>
      <c r="AS385" s="234">
        <v>-9999</v>
      </c>
      <c r="AT385" s="522">
        <v>-9999</v>
      </c>
      <c r="AU385" s="234">
        <v>0</v>
      </c>
      <c r="AV385" s="234">
        <v>-9999</v>
      </c>
      <c r="AW385" s="522">
        <v>-9999</v>
      </c>
      <c r="AX385" s="234">
        <v>0</v>
      </c>
      <c r="AY385" s="234">
        <v>-9999</v>
      </c>
      <c r="AZ385" s="522">
        <v>-9999</v>
      </c>
      <c r="BA385" s="234">
        <v>-9999</v>
      </c>
      <c r="BB385" s="522" t="s">
        <v>626</v>
      </c>
      <c r="BC385" s="522" t="s">
        <v>273</v>
      </c>
      <c r="BD385" s="522" t="s">
        <v>642</v>
      </c>
      <c r="BE385" s="234">
        <v>-9999</v>
      </c>
      <c r="BF385" s="522" t="s">
        <v>274</v>
      </c>
      <c r="BG385" s="522" t="s">
        <v>275</v>
      </c>
      <c r="BH385" s="234">
        <v>-9999</v>
      </c>
      <c r="BI385" s="234">
        <v>-9999</v>
      </c>
      <c r="BJ385" s="234">
        <v>-9999</v>
      </c>
      <c r="BK385" s="234">
        <v>-9999</v>
      </c>
      <c r="BL385" s="234">
        <f>(6.7+6.9)/2</f>
        <v>6.8000000000000007</v>
      </c>
      <c r="BM385" s="234">
        <v>-9999</v>
      </c>
      <c r="BN385" s="234">
        <f>(4.1+4.6)/2</f>
        <v>4.3499999999999996</v>
      </c>
      <c r="BO385" s="234">
        <v>-9999</v>
      </c>
      <c r="BP385" s="234">
        <v>-9999</v>
      </c>
      <c r="BQ385" s="234">
        <v>-9999</v>
      </c>
      <c r="BR385" s="234">
        <v>-9999</v>
      </c>
      <c r="BS385" s="491">
        <v>-9999</v>
      </c>
      <c r="BT385" s="234">
        <v>-9999</v>
      </c>
      <c r="BU385" s="234">
        <v>-9999</v>
      </c>
      <c r="BV385" s="234">
        <v>-9999</v>
      </c>
      <c r="BW385" s="234"/>
      <c r="BX385" s="234">
        <v>-9999</v>
      </c>
      <c r="BY385" s="234">
        <v>-9999</v>
      </c>
      <c r="BZ385" s="496">
        <v>-9999</v>
      </c>
      <c r="CA385" s="527">
        <v>15</v>
      </c>
      <c r="CB385" s="531"/>
      <c r="CC385" s="182">
        <v>1</v>
      </c>
      <c r="CD385" s="181">
        <v>4</v>
      </c>
      <c r="CE385" s="343">
        <v>8.3249999999999993</v>
      </c>
      <c r="CF385" s="343">
        <v>12.299999999999997</v>
      </c>
      <c r="CG385" s="183">
        <v>4</v>
      </c>
      <c r="CH385" s="346" t="s">
        <v>1757</v>
      </c>
      <c r="CI385" s="118"/>
      <c r="CJ385" s="118"/>
      <c r="CK385" s="118"/>
      <c r="CL385" s="118"/>
      <c r="CM385" s="118"/>
      <c r="CN385" s="118"/>
      <c r="CO385" s="118"/>
      <c r="CP385" s="118"/>
      <c r="CQ385" s="118"/>
      <c r="CR385" s="118"/>
      <c r="CS385" s="118"/>
      <c r="CT385" s="118"/>
      <c r="CU385" s="118"/>
      <c r="CV385" s="118"/>
      <c r="CW385" s="118"/>
      <c r="CX385" s="118"/>
      <c r="CY385" s="118"/>
      <c r="CZ385" s="118"/>
      <c r="DA385" s="118"/>
      <c r="DB385" s="118"/>
      <c r="DC385" s="118"/>
      <c r="DD385" s="118"/>
      <c r="DE385" s="118"/>
      <c r="DF385" s="118"/>
      <c r="DG385" s="118"/>
      <c r="DH385" s="118"/>
      <c r="DI385" s="118"/>
      <c r="DJ385" s="118"/>
      <c r="DK385" s="118"/>
      <c r="DL385" s="118"/>
      <c r="DM385" s="118"/>
      <c r="DN385" s="118"/>
      <c r="DO385" s="118"/>
      <c r="DP385" s="118"/>
      <c r="DQ385" s="118"/>
      <c r="DR385" s="118"/>
      <c r="DS385" s="118"/>
      <c r="DT385" s="118"/>
      <c r="DU385" s="118"/>
      <c r="DV385" s="118"/>
      <c r="DW385" s="118"/>
      <c r="DX385" s="118"/>
      <c r="DY385" s="118"/>
      <c r="DZ385" s="118"/>
      <c r="EA385" s="118"/>
      <c r="EB385" s="118"/>
      <c r="EC385" s="118"/>
      <c r="ED385" s="118"/>
      <c r="EE385" s="118"/>
      <c r="EF385" s="118"/>
      <c r="EG385" s="118"/>
      <c r="EH385" s="118"/>
      <c r="EI385" s="118"/>
      <c r="EJ385" s="118"/>
      <c r="EK385" s="118"/>
      <c r="EL385" s="118"/>
      <c r="EM385" s="118"/>
      <c r="EN385" s="118"/>
      <c r="EO385" s="118"/>
      <c r="EP385" s="118"/>
      <c r="EQ385" s="118"/>
      <c r="ER385" s="118"/>
      <c r="ES385" s="118"/>
      <c r="ET385" s="118"/>
      <c r="EU385" s="118"/>
      <c r="EV385" s="118"/>
      <c r="EW385" s="118"/>
      <c r="EX385" s="118"/>
      <c r="EY385" s="118"/>
      <c r="EZ385" s="118"/>
      <c r="FA385" s="118"/>
      <c r="FB385" s="118"/>
      <c r="FC385" s="118"/>
      <c r="FD385" s="118"/>
      <c r="FE385" s="118"/>
      <c r="FF385" s="118"/>
      <c r="FG385" s="118"/>
      <c r="FH385" s="118"/>
      <c r="FI385" s="118"/>
      <c r="FJ385" s="118"/>
      <c r="FK385" s="118"/>
      <c r="FL385" s="118"/>
      <c r="FM385" s="118"/>
      <c r="FN385" s="118"/>
      <c r="FO385" s="118"/>
      <c r="FP385" s="118"/>
      <c r="FQ385" s="118"/>
      <c r="FR385" s="118"/>
      <c r="FS385" s="118"/>
      <c r="FT385" s="118"/>
      <c r="FU385" s="118"/>
      <c r="FV385" s="118"/>
      <c r="FW385" s="118"/>
      <c r="FX385" s="118"/>
      <c r="FY385" s="118"/>
      <c r="FZ385" s="118"/>
      <c r="GA385" s="118"/>
      <c r="GB385" s="118"/>
      <c r="GC385" s="118"/>
      <c r="GD385" s="118"/>
      <c r="GE385" s="118"/>
      <c r="GF385" s="118"/>
      <c r="GG385" s="118"/>
      <c r="GH385" s="118"/>
      <c r="GI385" s="118"/>
      <c r="GJ385" s="118"/>
      <c r="GK385" s="118"/>
      <c r="GL385" s="118"/>
      <c r="GM385" s="118"/>
      <c r="GN385" s="118"/>
      <c r="GO385" s="118"/>
      <c r="GP385" s="118"/>
      <c r="GQ385" s="118"/>
      <c r="GR385" s="118"/>
      <c r="GS385" s="118"/>
      <c r="GT385" s="118"/>
      <c r="GU385" s="118"/>
      <c r="GV385" s="118"/>
      <c r="GW385" s="118"/>
      <c r="GX385" s="118"/>
      <c r="GY385" s="118"/>
      <c r="GZ385" s="118"/>
      <c r="HA385" s="118"/>
      <c r="HB385" s="118"/>
      <c r="HC385" s="118"/>
      <c r="HD385" s="118"/>
      <c r="HE385" s="118"/>
      <c r="HF385" s="118"/>
      <c r="HG385" s="118"/>
      <c r="HH385" s="118"/>
      <c r="HI385" s="118"/>
      <c r="HJ385" s="118"/>
      <c r="HK385" s="118"/>
      <c r="HL385" s="118"/>
      <c r="HM385" s="118"/>
      <c r="HN385" s="118"/>
      <c r="HO385" s="118"/>
      <c r="HP385" s="118"/>
      <c r="HQ385" s="118"/>
      <c r="HR385" s="118"/>
      <c r="HS385" s="118"/>
      <c r="HT385" s="118"/>
      <c r="HU385" s="118"/>
      <c r="HV385" s="118"/>
      <c r="HW385" s="118"/>
      <c r="HX385" s="118"/>
      <c r="HY385" s="118"/>
      <c r="HZ385" s="118"/>
      <c r="IA385" s="118"/>
      <c r="IB385" s="118"/>
      <c r="IC385" s="118"/>
      <c r="ID385" s="118"/>
      <c r="IE385" s="118"/>
      <c r="IF385" s="118"/>
      <c r="IG385" s="118"/>
      <c r="IH385" s="118"/>
      <c r="II385" s="118"/>
      <c r="IJ385" s="118"/>
      <c r="IK385" s="118"/>
      <c r="IL385" s="118"/>
      <c r="IM385" s="118"/>
      <c r="IN385" s="118"/>
      <c r="IO385" s="118"/>
      <c r="IP385" s="118"/>
      <c r="IQ385" s="118"/>
      <c r="IR385" s="118"/>
      <c r="IS385" s="118"/>
      <c r="IT385" s="118"/>
      <c r="IU385" s="118"/>
      <c r="IV385" s="118"/>
      <c r="IW385" s="118"/>
      <c r="IX385" s="118"/>
      <c r="IY385" s="118"/>
      <c r="IZ385" s="118"/>
      <c r="JA385" s="118"/>
      <c r="JB385" s="118"/>
      <c r="JC385" s="118"/>
      <c r="JD385" s="118"/>
      <c r="JE385" s="118"/>
      <c r="JF385" s="118"/>
      <c r="JG385" s="118"/>
      <c r="JH385" s="118"/>
      <c r="JI385" s="118"/>
      <c r="JJ385" s="118"/>
      <c r="JK385" s="118"/>
      <c r="JL385" s="118"/>
      <c r="JM385" s="118"/>
      <c r="JN385" s="118"/>
      <c r="JO385" s="118"/>
      <c r="JP385" s="118"/>
      <c r="JQ385" s="118"/>
      <c r="JR385" s="118"/>
      <c r="JS385" s="118"/>
      <c r="JT385" s="118"/>
      <c r="JU385" s="118"/>
      <c r="JV385" s="118"/>
      <c r="JW385" s="118"/>
      <c r="JX385" s="118"/>
      <c r="JY385" s="118"/>
      <c r="JZ385" s="118"/>
      <c r="KA385" s="118"/>
      <c r="KB385" s="118"/>
      <c r="KC385" s="118"/>
      <c r="KD385" s="118"/>
      <c r="KE385" s="118"/>
      <c r="KF385" s="118"/>
      <c r="KG385" s="118"/>
      <c r="KH385" s="118"/>
      <c r="KI385" s="118"/>
      <c r="KJ385" s="118"/>
      <c r="KK385" s="118"/>
      <c r="KL385" s="118"/>
      <c r="KM385" s="118"/>
      <c r="KN385" s="118"/>
      <c r="KO385" s="118"/>
      <c r="KP385" s="118"/>
      <c r="KQ385" s="118"/>
      <c r="KR385" s="118"/>
      <c r="KS385" s="118"/>
      <c r="KT385" s="118"/>
      <c r="KU385" s="118"/>
      <c r="KV385" s="118"/>
      <c r="KW385" s="118"/>
      <c r="KX385" s="118"/>
      <c r="KY385" s="118"/>
      <c r="KZ385" s="118"/>
      <c r="LA385" s="118"/>
      <c r="LB385" s="118"/>
      <c r="LC385" s="118"/>
      <c r="LD385" s="118"/>
      <c r="LE385" s="118"/>
      <c r="LF385" s="118"/>
      <c r="LG385" s="118"/>
      <c r="LH385" s="118"/>
      <c r="LI385" s="118"/>
      <c r="LJ385" s="118"/>
      <c r="LK385" s="118"/>
      <c r="LL385" s="118"/>
      <c r="LM385" s="118"/>
      <c r="LN385" s="118"/>
      <c r="LO385" s="118"/>
      <c r="LP385" s="118"/>
      <c r="LQ385" s="118"/>
      <c r="LR385" s="118"/>
      <c r="LS385" s="118"/>
      <c r="LT385" s="118"/>
      <c r="LU385" s="118"/>
      <c r="LV385" s="118"/>
      <c r="LW385" s="118"/>
      <c r="LX385" s="118"/>
      <c r="LY385" s="118"/>
      <c r="LZ385" s="118"/>
      <c r="MA385" s="118"/>
      <c r="MB385" s="118"/>
      <c r="MC385" s="118"/>
      <c r="MD385" s="118"/>
      <c r="ME385" s="118"/>
      <c r="MF385" s="118"/>
      <c r="MG385" s="118"/>
      <c r="MH385" s="118"/>
      <c r="MI385" s="118"/>
      <c r="MJ385" s="118"/>
      <c r="MK385" s="118"/>
      <c r="ML385" s="118"/>
      <c r="MM385" s="118"/>
      <c r="MN385" s="118"/>
      <c r="MO385" s="118"/>
      <c r="MP385" s="118"/>
      <c r="MQ385" s="118"/>
      <c r="MR385" s="118"/>
      <c r="MS385" s="118"/>
      <c r="MT385" s="118"/>
      <c r="MU385" s="118"/>
      <c r="MV385" s="118"/>
      <c r="MW385" s="118"/>
      <c r="MX385" s="118"/>
      <c r="MY385" s="118"/>
      <c r="MZ385" s="118"/>
      <c r="NA385" s="118"/>
      <c r="NB385" s="118"/>
      <c r="NC385" s="118"/>
      <c r="ND385" s="118"/>
      <c r="NE385" s="118"/>
      <c r="NF385" s="118"/>
      <c r="NG385" s="118"/>
      <c r="NH385" s="118"/>
      <c r="NI385" s="118"/>
      <c r="NJ385" s="118"/>
      <c r="NK385" s="118"/>
      <c r="NL385" s="118"/>
      <c r="NM385" s="118"/>
      <c r="NN385" s="118"/>
      <c r="NO385" s="118"/>
      <c r="NP385" s="118"/>
      <c r="NQ385" s="118"/>
      <c r="NR385" s="118"/>
      <c r="NS385" s="118"/>
      <c r="NT385" s="118"/>
      <c r="NU385" s="118"/>
      <c r="NV385" s="118"/>
      <c r="NW385" s="118"/>
      <c r="NX385" s="118"/>
      <c r="NY385" s="118"/>
      <c r="NZ385" s="118"/>
      <c r="OA385" s="118"/>
      <c r="OB385" s="118"/>
      <c r="OC385" s="118"/>
      <c r="OD385" s="118"/>
      <c r="OE385" s="118"/>
      <c r="OF385" s="118"/>
      <c r="OG385" s="118"/>
      <c r="OH385" s="118"/>
      <c r="OI385" s="118"/>
      <c r="OJ385" s="118"/>
      <c r="OK385" s="118"/>
      <c r="OL385" s="118"/>
      <c r="OM385" s="118"/>
      <c r="ON385" s="118"/>
      <c r="OO385" s="118"/>
      <c r="OP385" s="118"/>
      <c r="OQ385" s="118"/>
      <c r="OR385" s="118"/>
      <c r="OS385" s="118"/>
      <c r="OT385" s="118"/>
      <c r="OU385" s="118"/>
      <c r="OV385" s="118"/>
      <c r="OW385" s="118"/>
      <c r="OX385" s="118"/>
      <c r="OY385" s="118"/>
      <c r="OZ385" s="118"/>
      <c r="PA385" s="118"/>
      <c r="PB385" s="118"/>
      <c r="PC385" s="118"/>
      <c r="PD385" s="118"/>
      <c r="PE385" s="118"/>
      <c r="PF385" s="118"/>
      <c r="PG385" s="118"/>
      <c r="PH385" s="118"/>
      <c r="PI385" s="118"/>
      <c r="PJ385" s="118"/>
      <c r="PK385" s="118"/>
      <c r="PL385" s="118"/>
      <c r="PM385" s="118"/>
      <c r="PN385" s="118"/>
      <c r="PO385" s="118"/>
      <c r="PP385" s="118"/>
      <c r="PQ385" s="118"/>
      <c r="PR385" s="118"/>
      <c r="PS385" s="118"/>
      <c r="PT385" s="118"/>
      <c r="PU385" s="118"/>
      <c r="PV385" s="118"/>
      <c r="PW385" s="118"/>
      <c r="PX385" s="118"/>
      <c r="PY385" s="118"/>
      <c r="PZ385" s="118"/>
      <c r="QA385" s="118"/>
      <c r="QB385" s="118"/>
      <c r="QC385" s="118"/>
      <c r="QD385" s="118"/>
      <c r="QE385" s="118"/>
      <c r="QF385" s="118"/>
      <c r="QG385" s="118"/>
      <c r="QH385" s="118"/>
      <c r="QI385" s="118"/>
      <c r="QJ385" s="118"/>
      <c r="QK385" s="118"/>
      <c r="QL385" s="118"/>
      <c r="QM385" s="118"/>
      <c r="QN385" s="118"/>
      <c r="QO385" s="118"/>
      <c r="QP385" s="118"/>
      <c r="QQ385" s="118"/>
      <c r="QR385" s="118"/>
      <c r="QS385" s="118"/>
      <c r="QT385" s="118"/>
      <c r="QU385" s="118"/>
      <c r="QV385" s="118"/>
      <c r="QW385" s="118"/>
      <c r="QX385" s="118"/>
      <c r="QY385" s="118"/>
      <c r="QZ385" s="118"/>
      <c r="RA385" s="118"/>
      <c r="RB385" s="118"/>
      <c r="RC385" s="118"/>
      <c r="RD385" s="118"/>
      <c r="RE385" s="118"/>
      <c r="RF385" s="118"/>
      <c r="RG385" s="118"/>
      <c r="RH385" s="118"/>
      <c r="RI385" s="118"/>
      <c r="RJ385" s="118"/>
      <c r="RK385" s="118"/>
      <c r="RL385" s="118"/>
      <c r="RM385" s="118"/>
      <c r="RN385" s="118"/>
      <c r="RO385" s="118"/>
      <c r="RP385" s="118"/>
      <c r="RQ385" s="118"/>
      <c r="RR385" s="118"/>
      <c r="RS385" s="118"/>
      <c r="RT385" s="118"/>
      <c r="RU385" s="118"/>
      <c r="RV385" s="118"/>
      <c r="RW385" s="118"/>
      <c r="RX385" s="118"/>
      <c r="RY385" s="118"/>
      <c r="RZ385" s="118"/>
      <c r="SA385" s="118"/>
      <c r="SB385" s="118"/>
      <c r="SC385" s="118"/>
      <c r="SD385" s="118"/>
      <c r="SE385" s="118"/>
      <c r="SF385" s="118"/>
      <c r="SG385" s="118"/>
      <c r="SH385" s="118"/>
      <c r="SI385" s="118"/>
      <c r="SJ385" s="118"/>
      <c r="SK385" s="118"/>
      <c r="SL385" s="118"/>
      <c r="SM385" s="118"/>
      <c r="SN385" s="118"/>
      <c r="SO385" s="118"/>
      <c r="SP385" s="118"/>
      <c r="SQ385" s="118"/>
      <c r="SR385" s="118"/>
      <c r="SS385" s="118"/>
      <c r="ST385" s="118"/>
      <c r="SU385" s="118"/>
      <c r="SV385" s="118"/>
      <c r="SW385" s="118"/>
      <c r="SX385" s="118"/>
      <c r="SY385" s="118"/>
      <c r="SZ385" s="118"/>
      <c r="TA385" s="118"/>
      <c r="TB385" s="118"/>
      <c r="TC385" s="118"/>
      <c r="TD385" s="118"/>
      <c r="TE385" s="118"/>
      <c r="TF385" s="118"/>
      <c r="TG385" s="118"/>
      <c r="TH385" s="118"/>
      <c r="TI385" s="118"/>
      <c r="TJ385" s="118"/>
      <c r="TK385" s="118"/>
      <c r="TL385" s="118"/>
      <c r="TM385" s="118"/>
      <c r="TN385" s="118"/>
      <c r="TO385" s="118"/>
      <c r="TP385" s="118"/>
      <c r="TQ385" s="118"/>
      <c r="TR385" s="118"/>
      <c r="TS385" s="118"/>
      <c r="TT385" s="118"/>
      <c r="TU385" s="118"/>
      <c r="TV385" s="118"/>
      <c r="TW385" s="118"/>
      <c r="TX385" s="118"/>
      <c r="TY385" s="118"/>
      <c r="TZ385" s="118"/>
      <c r="UA385" s="118"/>
      <c r="UB385" s="118"/>
      <c r="UC385" s="118"/>
      <c r="UD385" s="118"/>
      <c r="UE385" s="118"/>
      <c r="UF385" s="118"/>
      <c r="UG385" s="118"/>
      <c r="UH385" s="118"/>
      <c r="UI385" s="118"/>
      <c r="UJ385" s="118"/>
      <c r="UK385" s="118"/>
      <c r="UL385" s="118"/>
      <c r="UM385" s="118"/>
      <c r="UN385" s="118"/>
      <c r="UO385" s="118"/>
      <c r="UP385" s="118"/>
      <c r="UQ385" s="118"/>
      <c r="UR385" s="118"/>
      <c r="US385" s="118"/>
      <c r="UT385" s="118"/>
      <c r="UU385" s="118"/>
      <c r="UV385" s="118"/>
      <c r="UW385" s="118"/>
      <c r="UX385" s="118"/>
      <c r="UY385" s="118"/>
      <c r="UZ385" s="118"/>
      <c r="VA385" s="118"/>
      <c r="VB385" s="118"/>
      <c r="VC385" s="118"/>
      <c r="VD385" s="118"/>
      <c r="VE385" s="118"/>
      <c r="VF385" s="118"/>
      <c r="VG385" s="118"/>
      <c r="VH385" s="118"/>
      <c r="VI385" s="118"/>
      <c r="VJ385" s="118"/>
      <c r="VK385" s="118"/>
      <c r="VL385" s="118"/>
      <c r="VM385" s="118"/>
      <c r="VN385" s="118"/>
      <c r="VO385" s="118"/>
      <c r="VP385" s="118"/>
      <c r="VQ385" s="118"/>
      <c r="VR385" s="118"/>
      <c r="VS385" s="118"/>
      <c r="VT385" s="118"/>
      <c r="VU385" s="118"/>
      <c r="VV385" s="118"/>
      <c r="VW385" s="118"/>
      <c r="VX385" s="118"/>
      <c r="VY385" s="118"/>
      <c r="VZ385" s="118"/>
      <c r="WA385" s="118"/>
      <c r="WB385" s="118"/>
      <c r="WC385" s="118"/>
      <c r="WD385" s="118"/>
      <c r="WE385" s="118"/>
      <c r="WF385" s="118"/>
      <c r="WG385" s="118"/>
      <c r="WH385" s="118"/>
      <c r="WI385" s="118"/>
      <c r="WJ385" s="118"/>
      <c r="WK385" s="118"/>
      <c r="WL385" s="118"/>
      <c r="WM385" s="118"/>
      <c r="WN385" s="118"/>
      <c r="WO385" s="118"/>
      <c r="WP385" s="118"/>
      <c r="WQ385" s="118"/>
      <c r="WR385" s="118"/>
      <c r="WS385" s="118"/>
      <c r="WT385" s="118"/>
      <c r="WU385" s="118"/>
      <c r="WV385" s="118"/>
      <c r="WW385" s="118"/>
      <c r="WX385" s="118"/>
      <c r="WY385" s="118"/>
      <c r="WZ385" s="118"/>
      <c r="XA385" s="118"/>
      <c r="XB385" s="118"/>
      <c r="XC385" s="118"/>
      <c r="XD385" s="118"/>
      <c r="XE385" s="118"/>
      <c r="XF385" s="118"/>
      <c r="XG385" s="118"/>
      <c r="XH385" s="118"/>
      <c r="XI385" s="118"/>
      <c r="XJ385" s="118"/>
      <c r="XK385" s="118"/>
      <c r="XL385" s="118"/>
      <c r="XM385" s="118"/>
      <c r="XN385" s="118"/>
      <c r="XO385" s="118"/>
      <c r="XP385" s="118"/>
      <c r="XQ385" s="118"/>
      <c r="XR385" s="118"/>
      <c r="XS385" s="118"/>
      <c r="XT385" s="118"/>
      <c r="XU385" s="118"/>
      <c r="XV385" s="118"/>
      <c r="XW385" s="118"/>
      <c r="XX385" s="118"/>
      <c r="XY385" s="118"/>
      <c r="XZ385" s="118"/>
      <c r="YA385" s="118"/>
      <c r="YB385" s="118"/>
      <c r="YC385" s="118"/>
      <c r="YD385" s="118"/>
      <c r="YE385" s="118"/>
      <c r="YF385" s="118"/>
      <c r="YG385" s="118"/>
      <c r="YH385" s="118"/>
      <c r="YI385" s="118"/>
      <c r="YJ385" s="118"/>
      <c r="YK385" s="118"/>
      <c r="YL385" s="118"/>
      <c r="YM385" s="118"/>
      <c r="YN385" s="118"/>
      <c r="YO385" s="118"/>
      <c r="YP385" s="118"/>
      <c r="YQ385" s="118"/>
      <c r="YR385" s="118"/>
      <c r="YS385" s="118"/>
      <c r="YT385" s="118"/>
      <c r="YU385" s="118"/>
      <c r="YV385" s="118"/>
      <c r="YW385" s="118"/>
      <c r="YX385" s="118"/>
      <c r="YY385" s="118"/>
      <c r="YZ385" s="118"/>
      <c r="ZA385" s="118"/>
      <c r="ZB385" s="118"/>
      <c r="ZC385" s="118"/>
      <c r="ZD385" s="118"/>
      <c r="ZE385" s="118"/>
      <c r="ZF385" s="118"/>
      <c r="ZG385" s="118"/>
      <c r="ZH385" s="118"/>
      <c r="ZI385" s="118"/>
      <c r="ZJ385" s="118"/>
      <c r="ZK385" s="118"/>
      <c r="ZL385" s="118"/>
      <c r="ZM385" s="118"/>
      <c r="ZN385" s="118"/>
      <c r="ZO385" s="118"/>
      <c r="ZP385" s="118"/>
      <c r="ZQ385" s="118"/>
      <c r="ZR385" s="118"/>
      <c r="ZS385" s="118"/>
      <c r="ZT385" s="118"/>
      <c r="ZU385" s="118"/>
      <c r="ZV385" s="118"/>
      <c r="ZW385" s="118"/>
      <c r="ZX385" s="118"/>
      <c r="ZY385" s="118"/>
      <c r="ZZ385" s="118"/>
      <c r="AAA385" s="118"/>
      <c r="AAB385" s="118"/>
      <c r="AAC385" s="118"/>
      <c r="AAD385" s="118"/>
      <c r="AAE385" s="118"/>
      <c r="AAF385" s="118"/>
      <c r="AAG385" s="118"/>
      <c r="AAH385" s="118"/>
      <c r="AAI385" s="118"/>
      <c r="AAJ385" s="118"/>
      <c r="AAK385" s="118"/>
      <c r="AAL385" s="118"/>
      <c r="AAM385" s="118"/>
      <c r="AAN385" s="118"/>
      <c r="AAO385" s="118"/>
      <c r="AAP385" s="118"/>
      <c r="AAQ385" s="118"/>
      <c r="AAR385" s="118"/>
      <c r="AAS385" s="118"/>
      <c r="AAT385" s="118"/>
      <c r="AAU385" s="118"/>
      <c r="AAV385" s="118"/>
      <c r="AAW385" s="118"/>
      <c r="AAX385" s="118"/>
      <c r="AAY385" s="118"/>
      <c r="AAZ385" s="118"/>
      <c r="ABA385" s="118"/>
      <c r="ABB385" s="118"/>
      <c r="ABC385" s="118"/>
      <c r="ABD385" s="118"/>
      <c r="ABE385" s="118"/>
      <c r="ABF385" s="118"/>
      <c r="ABG385" s="118"/>
      <c r="ABH385" s="118"/>
      <c r="ABI385" s="118"/>
      <c r="ABJ385" s="118"/>
      <c r="ABK385" s="118"/>
      <c r="ABL385" s="118"/>
      <c r="ABM385" s="118"/>
      <c r="ABN385" s="118"/>
      <c r="ABO385" s="118"/>
      <c r="ABP385" s="118"/>
      <c r="ABQ385" s="118"/>
      <c r="ABR385" s="118"/>
      <c r="ABS385" s="118"/>
      <c r="ABT385" s="118"/>
      <c r="ABU385" s="118"/>
      <c r="ABV385" s="118"/>
      <c r="ABW385" s="118"/>
      <c r="ABX385" s="118"/>
      <c r="ABY385" s="118"/>
      <c r="ABZ385" s="118"/>
      <c r="ACA385" s="118"/>
      <c r="ACB385" s="118"/>
      <c r="ACC385" s="118"/>
      <c r="ACD385" s="118"/>
      <c r="ACE385" s="118"/>
      <c r="ACF385" s="118"/>
      <c r="ACG385" s="118"/>
      <c r="ACH385" s="118"/>
      <c r="ACI385" s="118"/>
      <c r="ACJ385" s="118"/>
      <c r="ACK385" s="118"/>
      <c r="ACL385" s="118"/>
      <c r="ACM385" s="118"/>
      <c r="ACN385" s="118"/>
      <c r="ACO385" s="118"/>
      <c r="ACP385" s="118"/>
      <c r="ACQ385" s="118"/>
      <c r="ACR385" s="118"/>
      <c r="ACS385" s="118"/>
      <c r="ACT385" s="118"/>
      <c r="ACU385" s="118"/>
      <c r="ACV385" s="118"/>
      <c r="ACW385" s="118"/>
      <c r="ACX385" s="118"/>
      <c r="ACY385" s="118"/>
      <c r="ACZ385" s="118"/>
      <c r="ADA385" s="118"/>
      <c r="ADB385" s="118"/>
      <c r="ADC385" s="118"/>
      <c r="ADD385" s="118"/>
      <c r="ADE385" s="118"/>
      <c r="ADF385" s="118"/>
      <c r="ADG385" s="118"/>
      <c r="ADH385" s="118"/>
      <c r="ADI385" s="118"/>
      <c r="ADJ385" s="118"/>
      <c r="ADK385" s="118"/>
      <c r="ADL385" s="118"/>
      <c r="ADM385" s="118"/>
      <c r="ADN385" s="118"/>
      <c r="ADO385" s="118"/>
      <c r="ADP385" s="118"/>
      <c r="ADQ385" s="118"/>
      <c r="ADR385" s="118"/>
      <c r="ADS385" s="118"/>
      <c r="ADT385" s="118"/>
      <c r="ADU385" s="118"/>
      <c r="ADV385" s="118"/>
      <c r="ADW385" s="118"/>
      <c r="ADX385" s="118"/>
      <c r="ADY385" s="118"/>
      <c r="ADZ385" s="118"/>
      <c r="AEA385" s="118"/>
      <c r="AEB385" s="118"/>
      <c r="AEC385" s="118"/>
      <c r="AED385" s="118"/>
      <c r="AEE385" s="118"/>
      <c r="AEF385" s="118"/>
      <c r="AEG385" s="118"/>
      <c r="AEH385" s="118"/>
      <c r="AEI385" s="118"/>
      <c r="AEJ385" s="118"/>
      <c r="AEK385" s="118"/>
      <c r="AEL385" s="118"/>
      <c r="AEM385" s="118"/>
      <c r="AEN385" s="118"/>
      <c r="AEO385" s="118"/>
      <c r="AEP385" s="118"/>
      <c r="AEQ385" s="118"/>
      <c r="AER385" s="118"/>
      <c r="AES385" s="118"/>
      <c r="AET385" s="118"/>
      <c r="AEU385" s="118"/>
      <c r="AEV385" s="118"/>
      <c r="AEW385" s="118"/>
      <c r="AEX385" s="118"/>
      <c r="AEY385" s="118"/>
      <c r="AEZ385" s="118"/>
      <c r="AFA385" s="118"/>
      <c r="AFB385" s="118"/>
      <c r="AFC385" s="118"/>
      <c r="AFD385" s="118"/>
      <c r="AFE385" s="118"/>
      <c r="AFF385" s="118"/>
      <c r="AFG385" s="118"/>
      <c r="AFH385" s="118"/>
      <c r="AFI385" s="118"/>
      <c r="AFJ385" s="118"/>
      <c r="AFK385" s="118"/>
      <c r="AFL385" s="118"/>
      <c r="AFM385" s="118"/>
      <c r="AFN385" s="118"/>
      <c r="AFO385" s="118"/>
      <c r="AFP385" s="118"/>
      <c r="AFQ385" s="118"/>
      <c r="AFR385" s="118"/>
      <c r="AFS385" s="118"/>
      <c r="AFT385" s="118"/>
      <c r="AFU385" s="118"/>
      <c r="AFV385" s="118"/>
      <c r="AFW385" s="118"/>
      <c r="AFX385" s="118"/>
      <c r="AFY385" s="118"/>
      <c r="AFZ385" s="118"/>
      <c r="AGA385" s="118"/>
      <c r="AGB385" s="118"/>
      <c r="AGC385" s="118"/>
      <c r="AGD385" s="118"/>
      <c r="AGE385" s="118"/>
      <c r="AGF385" s="118"/>
      <c r="AGG385" s="118"/>
      <c r="AGH385" s="118"/>
      <c r="AGI385" s="118"/>
      <c r="AGJ385" s="118"/>
      <c r="AGK385" s="118"/>
      <c r="AGL385" s="118"/>
      <c r="AGM385" s="118"/>
      <c r="AGN385" s="118"/>
      <c r="AGO385" s="118"/>
      <c r="AGP385" s="118"/>
      <c r="AGQ385" s="118"/>
      <c r="AGR385" s="118"/>
      <c r="AGS385" s="118"/>
      <c r="AGT385" s="118"/>
      <c r="AGU385" s="118"/>
      <c r="AGV385" s="118"/>
      <c r="AGW385" s="118"/>
      <c r="AGX385" s="118"/>
      <c r="AGY385" s="118"/>
      <c r="AGZ385" s="118"/>
      <c r="AHA385" s="118"/>
      <c r="AHB385" s="118"/>
      <c r="AHC385" s="118"/>
      <c r="AHD385" s="118"/>
      <c r="AHE385" s="118"/>
      <c r="AHF385" s="118"/>
      <c r="AHG385" s="118"/>
      <c r="AHH385" s="118"/>
      <c r="AHI385" s="118"/>
      <c r="AHJ385" s="118"/>
      <c r="AHK385" s="118"/>
      <c r="AHL385" s="118"/>
      <c r="AHM385" s="118"/>
      <c r="AHN385" s="118"/>
      <c r="AHO385" s="118"/>
      <c r="AHP385" s="118"/>
      <c r="AHQ385" s="118"/>
      <c r="AHR385" s="118"/>
      <c r="AHS385" s="118"/>
      <c r="AHT385" s="118"/>
      <c r="AHU385" s="118"/>
      <c r="AHV385" s="118"/>
      <c r="AHW385" s="118"/>
      <c r="AHX385" s="118"/>
      <c r="AHY385" s="118"/>
      <c r="AHZ385" s="118"/>
      <c r="AIA385" s="118"/>
      <c r="AIB385" s="118"/>
      <c r="AIC385" s="118"/>
      <c r="AID385" s="118"/>
      <c r="AIE385" s="118"/>
      <c r="AIF385" s="118"/>
      <c r="AIG385" s="118"/>
      <c r="AIH385" s="118"/>
      <c r="AII385" s="118"/>
      <c r="AIJ385" s="118"/>
      <c r="AIK385" s="118"/>
      <c r="AIL385" s="118"/>
      <c r="AIM385" s="118"/>
      <c r="AIN385" s="118"/>
      <c r="AIO385" s="118"/>
      <c r="AIP385" s="118"/>
      <c r="AIQ385" s="118"/>
      <c r="AIR385" s="118"/>
      <c r="AIS385" s="118"/>
      <c r="AIT385" s="118"/>
      <c r="AIU385" s="118"/>
      <c r="AIV385" s="118"/>
      <c r="AIW385" s="118"/>
      <c r="AIX385" s="118"/>
      <c r="AIY385" s="118"/>
      <c r="AIZ385" s="118"/>
      <c r="AJA385" s="118"/>
      <c r="AJB385" s="118"/>
      <c r="AJC385" s="118"/>
      <c r="AJD385" s="118"/>
      <c r="AJE385" s="118"/>
      <c r="AJF385" s="118"/>
      <c r="AJG385" s="118"/>
      <c r="AJH385" s="118"/>
      <c r="AJI385" s="118"/>
      <c r="AJJ385" s="118"/>
      <c r="AJK385" s="118"/>
      <c r="AJL385" s="118"/>
      <c r="AJM385" s="118"/>
      <c r="AJN385" s="118"/>
      <c r="AJO385" s="118"/>
      <c r="AJP385" s="118"/>
      <c r="AJQ385" s="118"/>
      <c r="AJR385" s="118"/>
      <c r="AJS385" s="118"/>
      <c r="AJT385" s="118"/>
      <c r="AJU385" s="118"/>
      <c r="AJV385" s="118"/>
      <c r="AJW385" s="118"/>
      <c r="AJX385" s="118"/>
      <c r="AJY385" s="118"/>
      <c r="AJZ385" s="118"/>
      <c r="AKA385" s="118"/>
      <c r="AKB385" s="118"/>
      <c r="AKC385" s="118"/>
      <c r="AKD385" s="118"/>
      <c r="AKE385" s="118"/>
      <c r="AKF385" s="118"/>
      <c r="AKG385" s="118"/>
      <c r="AKH385" s="118"/>
      <c r="AKI385" s="118"/>
      <c r="AKJ385" s="118"/>
      <c r="AKK385" s="118"/>
      <c r="AKL385" s="118"/>
      <c r="AKM385" s="118"/>
      <c r="AKN385" s="118"/>
      <c r="AKO385" s="118"/>
      <c r="AKP385" s="118"/>
      <c r="AKQ385" s="118"/>
      <c r="AKR385" s="118"/>
      <c r="AKS385" s="118"/>
      <c r="AKT385" s="118"/>
      <c r="AKU385" s="118"/>
      <c r="AKV385" s="118"/>
      <c r="AKW385" s="118"/>
      <c r="AKX385" s="118"/>
      <c r="AKY385" s="118"/>
      <c r="AKZ385" s="118"/>
      <c r="ALA385" s="118"/>
      <c r="ALB385" s="118"/>
      <c r="ALC385" s="118"/>
      <c r="ALD385" s="118"/>
      <c r="ALE385" s="118"/>
      <c r="ALF385" s="118"/>
      <c r="ALG385" s="118"/>
      <c r="ALH385" s="118"/>
      <c r="ALI385" s="118"/>
      <c r="ALJ385" s="118"/>
      <c r="ALK385" s="118"/>
      <c r="ALL385" s="118"/>
      <c r="ALM385" s="118"/>
      <c r="ALN385" s="118"/>
      <c r="ALO385" s="118"/>
      <c r="ALP385" s="118"/>
      <c r="ALQ385" s="118"/>
      <c r="ALR385" s="118"/>
      <c r="ALS385" s="118"/>
      <c r="ALT385" s="118"/>
      <c r="ALU385" s="118"/>
      <c r="ALV385" s="118"/>
      <c r="ALW385" s="118"/>
      <c r="ALX385" s="118"/>
      <c r="ALY385" s="118"/>
      <c r="ALZ385" s="118"/>
      <c r="AMA385" s="118"/>
      <c r="AMB385" s="118"/>
      <c r="AMC385" s="118"/>
      <c r="AMD385" s="118"/>
      <c r="AME385" s="118"/>
      <c r="AMF385" s="118"/>
      <c r="AMG385" s="118"/>
      <c r="AMH385" s="118"/>
      <c r="AMI385" s="118"/>
      <c r="AMJ385" s="118"/>
      <c r="AMK385" s="118"/>
      <c r="AML385" s="118"/>
      <c r="AMM385" s="118"/>
      <c r="AMN385" s="118"/>
      <c r="AMO385" s="118"/>
      <c r="AMP385" s="118"/>
      <c r="AMQ385" s="118"/>
      <c r="AMR385" s="118"/>
      <c r="AMS385" s="118"/>
      <c r="AMT385" s="118"/>
      <c r="AMU385" s="118"/>
      <c r="AMV385" s="118"/>
      <c r="AMW385" s="118"/>
      <c r="AMX385" s="118"/>
      <c r="AMY385" s="118"/>
      <c r="AMZ385" s="118"/>
      <c r="ANA385" s="118"/>
      <c r="ANB385" s="118"/>
      <c r="ANC385" s="118"/>
      <c r="AND385" s="118"/>
      <c r="ANE385" s="118"/>
      <c r="ANF385" s="118"/>
      <c r="ANG385" s="118"/>
      <c r="ANH385" s="118"/>
      <c r="ANI385" s="118"/>
      <c r="ANJ385" s="118"/>
      <c r="ANK385" s="118"/>
      <c r="ANL385" s="118"/>
      <c r="ANM385" s="118"/>
      <c r="ANN385" s="118"/>
      <c r="ANO385" s="118"/>
      <c r="ANP385" s="118"/>
      <c r="ANQ385" s="118"/>
      <c r="ANR385" s="118"/>
      <c r="ANS385" s="118"/>
      <c r="ANT385" s="118"/>
      <c r="ANU385" s="118"/>
      <c r="ANV385" s="118"/>
      <c r="ANW385" s="118"/>
      <c r="ANX385" s="118"/>
      <c r="ANY385" s="118"/>
      <c r="ANZ385" s="118"/>
      <c r="AOA385" s="118"/>
      <c r="AOB385" s="118"/>
      <c r="AOC385" s="118"/>
      <c r="AOD385" s="118"/>
      <c r="AOE385" s="118"/>
      <c r="AOF385" s="118"/>
      <c r="AOG385" s="118"/>
      <c r="AOH385" s="118"/>
      <c r="AOI385" s="118"/>
      <c r="AOJ385" s="118"/>
      <c r="AOK385" s="118"/>
      <c r="AOL385" s="118"/>
      <c r="AOM385" s="118"/>
      <c r="AON385" s="118"/>
      <c r="AOO385" s="118"/>
      <c r="AOP385" s="118"/>
      <c r="AOQ385" s="118"/>
      <c r="AOR385" s="118"/>
      <c r="AOS385" s="118"/>
      <c r="AOT385" s="118"/>
      <c r="AOU385" s="118"/>
      <c r="AOV385" s="118"/>
      <c r="AOW385" s="118"/>
      <c r="AOX385" s="118"/>
      <c r="AOY385" s="118"/>
      <c r="AOZ385" s="118"/>
      <c r="APA385" s="118"/>
      <c r="APB385" s="118"/>
      <c r="APC385" s="118"/>
      <c r="APD385" s="118"/>
      <c r="APE385" s="118"/>
      <c r="APF385" s="118"/>
      <c r="APG385" s="118"/>
      <c r="APH385" s="118"/>
      <c r="API385" s="118"/>
      <c r="APJ385" s="118"/>
      <c r="APK385" s="118"/>
      <c r="APL385" s="118"/>
      <c r="APM385" s="118"/>
      <c r="APN385" s="118"/>
      <c r="APO385" s="118"/>
      <c r="APP385" s="118"/>
      <c r="APQ385" s="118"/>
      <c r="APR385" s="118"/>
      <c r="APS385" s="118"/>
      <c r="APT385" s="118"/>
      <c r="APU385" s="118"/>
      <c r="APV385" s="118"/>
      <c r="APW385" s="118"/>
      <c r="APX385" s="118"/>
      <c r="APY385" s="118"/>
      <c r="APZ385" s="118"/>
      <c r="AQA385" s="118"/>
      <c r="AQB385" s="118"/>
      <c r="AQC385" s="118"/>
      <c r="AQD385" s="118"/>
      <c r="AQE385" s="118"/>
      <c r="AQF385" s="118"/>
      <c r="AQG385" s="118"/>
      <c r="AQH385" s="118"/>
      <c r="AQI385" s="118"/>
      <c r="AQJ385" s="118"/>
      <c r="AQK385" s="118"/>
      <c r="AQL385" s="118"/>
      <c r="AQM385" s="118"/>
      <c r="AQN385" s="118"/>
      <c r="AQO385" s="118"/>
      <c r="AQP385" s="118"/>
      <c r="AQQ385" s="118"/>
      <c r="AQR385" s="118"/>
      <c r="AQS385" s="118"/>
      <c r="AQT385" s="118"/>
      <c r="AQU385" s="118"/>
      <c r="AQV385" s="118"/>
      <c r="AQW385" s="118"/>
      <c r="AQX385" s="118"/>
      <c r="AQY385" s="118"/>
      <c r="AQZ385" s="118"/>
      <c r="ARA385" s="118"/>
      <c r="ARB385" s="118"/>
      <c r="ARC385" s="118"/>
      <c r="ARD385" s="118"/>
      <c r="ARE385" s="118"/>
      <c r="ARF385" s="118"/>
      <c r="ARG385" s="118"/>
      <c r="ARH385" s="118"/>
      <c r="ARI385" s="118"/>
      <c r="ARJ385" s="118"/>
      <c r="ARK385" s="118"/>
      <c r="ARL385" s="118"/>
      <c r="ARM385" s="118"/>
      <c r="ARN385" s="118"/>
      <c r="ARO385" s="118"/>
      <c r="ARP385" s="118"/>
      <c r="ARQ385" s="118"/>
      <c r="ARR385" s="118"/>
      <c r="ARS385" s="118"/>
      <c r="ART385" s="118"/>
      <c r="ARU385" s="118"/>
      <c r="ARV385" s="118"/>
      <c r="ARW385" s="118"/>
      <c r="ARX385" s="118"/>
      <c r="ARY385" s="118"/>
      <c r="ARZ385" s="118"/>
      <c r="ASA385" s="118"/>
      <c r="ASB385" s="118"/>
      <c r="ASC385" s="118"/>
      <c r="ASD385" s="118"/>
      <c r="ASE385" s="118"/>
      <c r="ASF385" s="118"/>
      <c r="ASG385" s="118"/>
      <c r="ASH385" s="118"/>
      <c r="ASI385" s="118"/>
      <c r="ASJ385" s="118"/>
      <c r="ASK385" s="118"/>
      <c r="ASL385" s="118"/>
      <c r="ASM385" s="118"/>
      <c r="ASN385" s="118"/>
      <c r="ASO385" s="118"/>
      <c r="ASP385" s="118"/>
      <c r="ASQ385" s="118"/>
      <c r="ASR385" s="118"/>
      <c r="ASS385" s="118"/>
      <c r="AST385" s="118"/>
      <c r="ASU385" s="118"/>
      <c r="ASV385" s="118"/>
      <c r="ASW385" s="118"/>
      <c r="ASX385" s="118"/>
      <c r="ASY385" s="118"/>
      <c r="ASZ385" s="118"/>
      <c r="ATA385" s="118"/>
      <c r="ATB385" s="118"/>
      <c r="ATC385" s="118"/>
      <c r="ATD385" s="118"/>
      <c r="ATE385" s="118"/>
      <c r="ATF385" s="118"/>
      <c r="ATG385" s="118"/>
      <c r="ATH385" s="118"/>
      <c r="ATI385" s="118"/>
      <c r="ATJ385" s="118"/>
      <c r="ATK385" s="118"/>
      <c r="ATL385" s="118"/>
      <c r="ATM385" s="118"/>
      <c r="ATN385" s="118"/>
      <c r="ATO385" s="118"/>
      <c r="ATP385" s="118"/>
      <c r="ATQ385" s="118"/>
      <c r="ATR385" s="118"/>
      <c r="ATS385" s="118"/>
      <c r="ATT385" s="118"/>
      <c r="ATU385" s="118"/>
      <c r="ATV385" s="118"/>
      <c r="ATW385" s="118"/>
      <c r="ATX385" s="118"/>
      <c r="ATY385" s="118"/>
      <c r="ATZ385" s="118"/>
      <c r="AUA385" s="118"/>
      <c r="AUB385" s="118"/>
      <c r="AUC385" s="118"/>
      <c r="AUD385" s="118"/>
      <c r="AUE385" s="118"/>
      <c r="AUF385" s="118"/>
      <c r="AUG385" s="118"/>
      <c r="AUH385" s="118"/>
      <c r="AUI385" s="118"/>
      <c r="AUJ385" s="118"/>
      <c r="AUK385" s="118"/>
      <c r="AUL385" s="118"/>
      <c r="AUM385" s="118"/>
      <c r="AUN385" s="118"/>
      <c r="AUO385" s="118"/>
      <c r="AUP385" s="118"/>
      <c r="AUQ385" s="118"/>
      <c r="AUR385" s="118"/>
      <c r="AUS385" s="118"/>
      <c r="AUT385" s="118"/>
      <c r="AUU385" s="118"/>
      <c r="AUV385" s="118"/>
      <c r="AUW385" s="118"/>
      <c r="AUX385" s="118"/>
      <c r="AUY385" s="118"/>
      <c r="AUZ385" s="118"/>
      <c r="AVA385" s="118"/>
      <c r="AVB385" s="118"/>
      <c r="AVC385" s="118"/>
      <c r="AVD385" s="118"/>
      <c r="AVE385" s="118"/>
      <c r="AVF385" s="118"/>
      <c r="AVG385" s="118"/>
      <c r="AVH385" s="118"/>
      <c r="AVI385" s="118"/>
      <c r="AVJ385" s="118"/>
      <c r="AVK385" s="118"/>
      <c r="AVL385" s="118"/>
      <c r="AVM385" s="118"/>
      <c r="AVN385" s="118"/>
      <c r="AVO385" s="118"/>
      <c r="AVP385" s="118"/>
      <c r="AVQ385" s="118"/>
      <c r="AVR385" s="118"/>
      <c r="AVS385" s="118"/>
      <c r="AVT385" s="118"/>
      <c r="AVU385" s="118"/>
      <c r="AVV385" s="118"/>
      <c r="AVW385" s="118"/>
      <c r="AVX385" s="118"/>
      <c r="AVY385" s="118"/>
      <c r="AVZ385" s="118"/>
      <c r="AWA385" s="118"/>
      <c r="AWB385" s="118"/>
      <c r="AWC385" s="118"/>
      <c r="AWD385" s="118"/>
      <c r="AWE385" s="118"/>
      <c r="AWF385" s="118"/>
      <c r="AWG385" s="118"/>
      <c r="AWH385" s="118"/>
      <c r="AWI385" s="118"/>
      <c r="AWJ385" s="118"/>
      <c r="AWK385" s="118"/>
      <c r="AWL385" s="118"/>
      <c r="AWM385" s="118"/>
      <c r="AWN385" s="118"/>
      <c r="AWO385" s="118"/>
      <c r="AWP385" s="118"/>
      <c r="AWQ385" s="118"/>
      <c r="AWR385" s="118"/>
      <c r="AWS385" s="118"/>
      <c r="AWT385" s="118"/>
      <c r="AWU385" s="118"/>
      <c r="AWV385" s="118"/>
      <c r="AWW385" s="118"/>
      <c r="AWX385" s="118"/>
      <c r="AWY385" s="118"/>
      <c r="AWZ385" s="118"/>
      <c r="AXA385" s="118"/>
      <c r="AXB385" s="118"/>
      <c r="AXC385" s="118"/>
      <c r="AXD385" s="118"/>
      <c r="AXE385" s="118"/>
      <c r="AXF385" s="118"/>
      <c r="AXG385" s="118"/>
      <c r="AXH385" s="118"/>
      <c r="AXI385" s="118"/>
      <c r="AXJ385" s="118"/>
      <c r="AXK385" s="118"/>
      <c r="AXL385" s="118"/>
      <c r="AXM385" s="118"/>
      <c r="AXN385" s="118"/>
      <c r="AXO385" s="118"/>
      <c r="AXP385" s="118"/>
      <c r="AXQ385" s="118"/>
      <c r="AXR385" s="118"/>
      <c r="AXS385" s="118"/>
      <c r="AXT385" s="118"/>
      <c r="AXU385" s="118"/>
      <c r="AXV385" s="118"/>
      <c r="AXW385" s="118"/>
      <c r="AXX385" s="118"/>
      <c r="AXY385" s="118"/>
      <c r="AXZ385" s="118"/>
      <c r="AYA385" s="118"/>
      <c r="AYB385" s="118"/>
      <c r="AYC385" s="118"/>
      <c r="AYD385" s="118"/>
      <c r="AYE385" s="118"/>
      <c r="AYF385" s="118"/>
      <c r="AYG385" s="118"/>
      <c r="AYH385" s="118"/>
      <c r="AYI385" s="118"/>
      <c r="AYJ385" s="118"/>
      <c r="AYK385" s="118"/>
      <c r="AYL385" s="118"/>
      <c r="AYM385" s="118"/>
      <c r="AYN385" s="118"/>
      <c r="AYO385" s="118"/>
      <c r="AYP385" s="118"/>
      <c r="AYQ385" s="118"/>
      <c r="AYR385" s="118"/>
      <c r="AYS385" s="118"/>
      <c r="AYT385" s="118"/>
      <c r="AYU385" s="118"/>
      <c r="AYV385" s="118"/>
      <c r="AYW385" s="118"/>
      <c r="AYX385" s="118"/>
      <c r="AYY385" s="118"/>
      <c r="AYZ385" s="118"/>
      <c r="AZA385" s="118"/>
      <c r="AZB385" s="118"/>
      <c r="AZC385" s="118"/>
      <c r="AZD385" s="118"/>
      <c r="AZE385" s="118"/>
      <c r="AZF385" s="118"/>
      <c r="AZG385" s="118"/>
      <c r="AZH385" s="118"/>
      <c r="AZI385" s="118"/>
      <c r="AZJ385" s="118"/>
      <c r="AZK385" s="118"/>
      <c r="AZL385" s="118"/>
      <c r="AZM385" s="118"/>
      <c r="AZN385" s="118"/>
      <c r="AZO385" s="118"/>
      <c r="AZP385" s="118"/>
      <c r="AZQ385" s="118"/>
      <c r="AZR385" s="118"/>
      <c r="AZS385" s="118"/>
      <c r="AZT385" s="118"/>
      <c r="AZU385" s="118"/>
      <c r="AZV385" s="118"/>
      <c r="AZW385" s="118"/>
      <c r="AZX385" s="118"/>
      <c r="AZY385" s="118"/>
      <c r="AZZ385" s="118"/>
      <c r="BAA385" s="118"/>
      <c r="BAB385" s="118"/>
      <c r="BAC385" s="118"/>
      <c r="BAD385" s="118"/>
      <c r="BAE385" s="118"/>
      <c r="BAF385" s="118"/>
      <c r="BAG385" s="118"/>
      <c r="BAH385" s="118"/>
      <c r="BAI385" s="118"/>
      <c r="BAJ385" s="118"/>
      <c r="BAK385" s="118"/>
      <c r="BAL385" s="118"/>
      <c r="BAM385" s="118"/>
      <c r="BAN385" s="118"/>
      <c r="BAO385" s="118"/>
      <c r="BAP385" s="118"/>
      <c r="BAQ385" s="118"/>
      <c r="BAR385" s="118"/>
      <c r="BAS385" s="118"/>
      <c r="BAT385" s="118"/>
      <c r="BAU385" s="118"/>
      <c r="BAV385" s="118"/>
      <c r="BAW385" s="118"/>
      <c r="BAX385" s="118"/>
      <c r="BAY385" s="118"/>
      <c r="BAZ385" s="118"/>
      <c r="BBA385" s="118"/>
      <c r="BBB385" s="118"/>
      <c r="BBC385" s="118"/>
      <c r="BBD385" s="118"/>
      <c r="BBE385" s="118"/>
      <c r="BBF385" s="118"/>
      <c r="BBG385" s="118"/>
      <c r="BBH385" s="118"/>
      <c r="BBI385" s="118"/>
      <c r="BBJ385" s="118"/>
      <c r="BBK385" s="118"/>
      <c r="BBL385" s="118"/>
      <c r="BBM385" s="118"/>
      <c r="BBN385" s="118"/>
      <c r="BBO385" s="118"/>
      <c r="BBP385" s="118"/>
      <c r="BBQ385" s="118"/>
      <c r="BBR385" s="118"/>
      <c r="BBS385" s="118"/>
      <c r="BBT385" s="118"/>
      <c r="BBU385" s="118"/>
      <c r="BBV385" s="118"/>
      <c r="BBW385" s="118"/>
      <c r="BBX385" s="118"/>
      <c r="BBY385" s="118"/>
      <c r="BBZ385" s="118"/>
      <c r="BCA385" s="118"/>
      <c r="BCB385" s="118"/>
      <c r="BCC385" s="118"/>
      <c r="BCD385" s="118"/>
      <c r="BCE385" s="118"/>
      <c r="BCF385" s="118"/>
      <c r="BCG385" s="118"/>
      <c r="BCH385" s="118"/>
      <c r="BCI385" s="118"/>
      <c r="BCJ385" s="118"/>
      <c r="BCK385" s="118"/>
      <c r="BCL385" s="118"/>
      <c r="BCM385" s="118"/>
      <c r="BCN385" s="118"/>
      <c r="BCO385" s="118"/>
      <c r="BCP385" s="118"/>
      <c r="BCQ385" s="118"/>
      <c r="BCR385" s="118"/>
      <c r="BCS385" s="118"/>
      <c r="BCT385" s="118"/>
      <c r="BCU385" s="118"/>
      <c r="BCV385" s="118"/>
      <c r="BCW385" s="118"/>
      <c r="BCX385" s="118"/>
      <c r="BCY385" s="118"/>
      <c r="BCZ385" s="118"/>
      <c r="BDA385" s="118"/>
      <c r="BDB385" s="118"/>
      <c r="BDC385" s="118"/>
      <c r="BDD385" s="118"/>
      <c r="BDE385" s="118"/>
      <c r="BDF385" s="118"/>
      <c r="BDG385" s="118"/>
      <c r="BDH385" s="118"/>
      <c r="BDI385" s="118"/>
      <c r="BDJ385" s="118"/>
      <c r="BDK385" s="118"/>
      <c r="BDL385" s="118"/>
      <c r="BDM385" s="118"/>
      <c r="BDN385" s="118"/>
      <c r="BDO385" s="118"/>
      <c r="BDP385" s="118"/>
      <c r="BDQ385" s="118"/>
      <c r="BDR385" s="118"/>
      <c r="BDS385" s="118"/>
      <c r="BDT385" s="118"/>
      <c r="BDU385" s="118"/>
      <c r="BDV385" s="118"/>
      <c r="BDW385" s="118"/>
      <c r="BDX385" s="118"/>
      <c r="BDY385" s="118"/>
      <c r="BDZ385" s="118"/>
      <c r="BEA385" s="118"/>
      <c r="BEB385" s="118"/>
      <c r="BEC385" s="118"/>
      <c r="BED385" s="118"/>
      <c r="BEE385" s="118"/>
      <c r="BEF385" s="118"/>
      <c r="BEG385" s="118"/>
      <c r="BEH385" s="118"/>
      <c r="BEI385" s="118"/>
      <c r="BEJ385" s="118"/>
      <c r="BEK385" s="118"/>
      <c r="BEL385" s="118"/>
      <c r="BEM385" s="118"/>
      <c r="BEN385" s="118"/>
      <c r="BEO385" s="118"/>
      <c r="BEP385" s="118"/>
      <c r="BEQ385" s="118"/>
      <c r="BER385" s="118"/>
      <c r="BES385" s="118"/>
      <c r="BET385" s="118"/>
      <c r="BEU385" s="118"/>
      <c r="BEV385" s="118"/>
      <c r="BEW385" s="118"/>
      <c r="BEX385" s="118"/>
      <c r="BEY385" s="118"/>
      <c r="BEZ385" s="118"/>
      <c r="BFA385" s="118"/>
      <c r="BFB385" s="118"/>
      <c r="BFC385" s="118"/>
      <c r="BFD385" s="118"/>
      <c r="BFE385" s="118"/>
      <c r="BFF385" s="118"/>
      <c r="BFG385" s="118"/>
      <c r="BFH385" s="118"/>
      <c r="BFI385" s="118"/>
      <c r="BFJ385" s="118"/>
      <c r="BFK385" s="118"/>
      <c r="BFL385" s="118"/>
      <c r="BFM385" s="118"/>
      <c r="BFN385" s="118"/>
      <c r="BFO385" s="118"/>
      <c r="BFP385" s="118"/>
      <c r="BFQ385" s="118"/>
      <c r="BFR385" s="118"/>
      <c r="BFS385" s="118"/>
      <c r="BFT385" s="118"/>
      <c r="BFU385" s="118"/>
      <c r="BFV385" s="118"/>
      <c r="BFW385" s="118"/>
      <c r="BFX385" s="118"/>
      <c r="BFY385" s="118"/>
      <c r="BFZ385" s="118"/>
      <c r="BGA385" s="118"/>
      <c r="BGB385" s="118"/>
      <c r="BGC385" s="118"/>
      <c r="BGD385" s="118"/>
      <c r="BGE385" s="118"/>
      <c r="BGF385" s="118"/>
      <c r="BGG385" s="118"/>
      <c r="BGH385" s="118"/>
      <c r="BGI385" s="118"/>
      <c r="BGJ385" s="118"/>
      <c r="BGK385" s="118"/>
      <c r="BGL385" s="118"/>
      <c r="BGM385" s="118"/>
      <c r="BGN385" s="118"/>
      <c r="BGO385" s="118"/>
      <c r="BGP385" s="118"/>
      <c r="BGQ385" s="118"/>
      <c r="BGR385" s="118"/>
      <c r="BGS385" s="118"/>
      <c r="BGT385" s="118"/>
      <c r="BGU385" s="118"/>
      <c r="BGV385" s="118"/>
      <c r="BGW385" s="118"/>
      <c r="BGX385" s="118"/>
      <c r="BGY385" s="118"/>
      <c r="BGZ385" s="118"/>
      <c r="BHA385" s="118"/>
      <c r="BHB385" s="118"/>
      <c r="BHC385" s="118"/>
      <c r="BHD385" s="118"/>
      <c r="BHE385" s="118"/>
      <c r="BHF385" s="118"/>
      <c r="BHG385" s="118"/>
      <c r="BHH385" s="118"/>
      <c r="BHI385" s="118"/>
      <c r="BHJ385" s="118"/>
      <c r="BHK385" s="118"/>
      <c r="BHL385" s="118"/>
      <c r="BHM385" s="118"/>
      <c r="BHN385" s="118"/>
      <c r="BHO385" s="118"/>
      <c r="BHP385" s="118"/>
      <c r="BHQ385" s="118"/>
      <c r="BHR385" s="118"/>
      <c r="BHS385" s="118"/>
      <c r="BHT385" s="118"/>
      <c r="BHU385" s="118"/>
      <c r="BHV385" s="118"/>
      <c r="BHW385" s="118"/>
      <c r="BHX385" s="118"/>
      <c r="BHY385" s="118"/>
      <c r="BHZ385" s="118"/>
      <c r="BIA385" s="118"/>
      <c r="BIB385" s="118"/>
      <c r="BIC385" s="118"/>
      <c r="BID385" s="118"/>
      <c r="BIE385" s="118"/>
      <c r="BIF385" s="118"/>
      <c r="BIG385" s="118"/>
      <c r="BIH385" s="118"/>
      <c r="BII385" s="118"/>
      <c r="BIJ385" s="118"/>
      <c r="BIK385" s="118"/>
      <c r="BIL385" s="118"/>
      <c r="BIM385" s="118"/>
      <c r="BIN385" s="118"/>
      <c r="BIO385" s="118"/>
      <c r="BIP385" s="118"/>
      <c r="BIQ385" s="118"/>
      <c r="BIR385" s="118"/>
      <c r="BIS385" s="118"/>
      <c r="BIT385" s="118"/>
      <c r="BIU385" s="118"/>
      <c r="BIV385" s="118"/>
      <c r="BIW385" s="118"/>
      <c r="BIX385" s="118"/>
      <c r="BIY385" s="118"/>
      <c r="BIZ385" s="118"/>
      <c r="BJA385" s="118"/>
      <c r="BJB385" s="118"/>
      <c r="BJC385" s="118"/>
      <c r="BJD385" s="118"/>
      <c r="BJE385" s="118"/>
      <c r="BJF385" s="118"/>
      <c r="BJG385" s="118"/>
      <c r="BJH385" s="118"/>
      <c r="BJI385" s="118"/>
      <c r="BJJ385" s="118"/>
      <c r="BJK385" s="118"/>
      <c r="BJL385" s="118"/>
      <c r="BJM385" s="118"/>
      <c r="BJN385" s="118"/>
      <c r="BJO385" s="118"/>
      <c r="BJP385" s="118"/>
      <c r="BJQ385" s="118"/>
      <c r="BJR385" s="118"/>
      <c r="BJS385" s="118"/>
      <c r="BJT385" s="118"/>
      <c r="BJU385" s="118"/>
      <c r="BJV385" s="118"/>
      <c r="BJW385" s="118"/>
      <c r="BJX385" s="118"/>
      <c r="BJY385" s="118"/>
      <c r="BJZ385" s="118"/>
      <c r="BKA385" s="118"/>
      <c r="BKB385" s="118"/>
      <c r="BKC385" s="118"/>
      <c r="BKD385" s="118"/>
      <c r="BKE385" s="118"/>
      <c r="BKF385" s="118"/>
      <c r="BKG385" s="118"/>
      <c r="BKH385" s="118"/>
      <c r="BKI385" s="118"/>
      <c r="BKJ385" s="118"/>
      <c r="BKK385" s="118"/>
      <c r="BKL385" s="118"/>
      <c r="BKM385" s="118"/>
      <c r="BKN385" s="118"/>
      <c r="BKO385" s="118"/>
      <c r="BKP385" s="118"/>
      <c r="BKQ385" s="118"/>
      <c r="BKR385" s="118"/>
      <c r="BKS385" s="118"/>
      <c r="BKT385" s="118"/>
      <c r="BKU385" s="118"/>
      <c r="BKV385" s="118"/>
      <c r="BKW385" s="118"/>
      <c r="BKX385" s="118"/>
      <c r="BKY385" s="118"/>
      <c r="BKZ385" s="118"/>
      <c r="BLA385" s="118"/>
      <c r="BLB385" s="118"/>
      <c r="BLC385" s="118"/>
      <c r="BLD385" s="118"/>
      <c r="BLE385" s="118"/>
      <c r="BLF385" s="118"/>
      <c r="BLG385" s="118"/>
      <c r="BLH385" s="118"/>
      <c r="BLI385" s="118"/>
      <c r="BLJ385" s="118"/>
      <c r="BLK385" s="118"/>
      <c r="BLL385" s="118"/>
      <c r="BLM385" s="118"/>
      <c r="BLN385" s="118"/>
      <c r="BLO385" s="118"/>
      <c r="BLP385" s="118"/>
      <c r="BLQ385" s="118"/>
      <c r="BLR385" s="118"/>
      <c r="BLS385" s="118"/>
      <c r="BLT385" s="118"/>
      <c r="BLU385" s="118"/>
      <c r="BLV385" s="118"/>
      <c r="BLW385" s="118"/>
      <c r="BLX385" s="118"/>
      <c r="BLY385" s="118"/>
      <c r="BLZ385" s="118"/>
      <c r="BMA385" s="118"/>
      <c r="BMB385" s="118"/>
      <c r="BMC385" s="118"/>
      <c r="BMD385" s="118"/>
      <c r="BME385" s="118"/>
      <c r="BMF385" s="118"/>
      <c r="BMG385" s="118"/>
      <c r="BMH385" s="118"/>
      <c r="BMI385" s="118"/>
      <c r="BMJ385" s="118"/>
      <c r="BMK385" s="118"/>
      <c r="BML385" s="118"/>
      <c r="BMM385" s="118"/>
      <c r="BMN385" s="118"/>
      <c r="BMO385" s="118"/>
      <c r="BMP385" s="118"/>
      <c r="BMQ385" s="118"/>
      <c r="BMR385" s="118"/>
      <c r="BMS385" s="118"/>
      <c r="BMT385" s="118"/>
      <c r="BMU385" s="118"/>
      <c r="BMV385" s="118"/>
      <c r="BMW385" s="118"/>
      <c r="BMX385" s="118"/>
      <c r="BMY385" s="118"/>
      <c r="BMZ385" s="118"/>
      <c r="BNA385" s="118"/>
      <c r="BNB385" s="118"/>
      <c r="BNC385" s="118"/>
      <c r="BND385" s="118"/>
      <c r="BNE385" s="118"/>
      <c r="BNF385" s="118"/>
      <c r="BNG385" s="118"/>
      <c r="BNH385" s="118"/>
      <c r="BNI385" s="118"/>
      <c r="BNJ385" s="118"/>
      <c r="BNK385" s="118"/>
      <c r="BNL385" s="118"/>
      <c r="BNM385" s="118"/>
      <c r="BNN385" s="118"/>
      <c r="BNO385" s="118"/>
      <c r="BNP385" s="118"/>
      <c r="BNQ385" s="118"/>
      <c r="BNR385" s="118"/>
      <c r="BNS385" s="118"/>
      <c r="BNT385" s="118"/>
      <c r="BNU385" s="118"/>
      <c r="BNV385" s="118"/>
      <c r="BNW385" s="118"/>
      <c r="BNX385" s="118"/>
      <c r="BNY385" s="118"/>
      <c r="BNZ385" s="118"/>
      <c r="BOA385" s="118"/>
      <c r="BOB385" s="118"/>
      <c r="BOC385" s="118"/>
      <c r="BOD385" s="118"/>
      <c r="BOE385" s="118"/>
      <c r="BOF385" s="118"/>
      <c r="BOG385" s="118"/>
      <c r="BOH385" s="118"/>
      <c r="BOI385" s="118"/>
      <c r="BOJ385" s="118"/>
      <c r="BOK385" s="118"/>
      <c r="BOL385" s="118"/>
      <c r="BOM385" s="118"/>
      <c r="BON385" s="118"/>
      <c r="BOO385" s="118"/>
      <c r="BOP385" s="118"/>
      <c r="BOQ385" s="118"/>
      <c r="BOR385" s="118"/>
      <c r="BOS385" s="118"/>
      <c r="BOT385" s="118"/>
      <c r="BOU385" s="118"/>
      <c r="BOV385" s="118"/>
      <c r="BOW385" s="118"/>
      <c r="BOX385" s="118"/>
      <c r="BOY385" s="118"/>
      <c r="BOZ385" s="118"/>
      <c r="BPA385" s="118"/>
      <c r="BPB385" s="118"/>
      <c r="BPC385" s="118"/>
      <c r="BPD385" s="118"/>
      <c r="BPE385" s="118"/>
      <c r="BPF385" s="118"/>
      <c r="BPG385" s="118"/>
      <c r="BPH385" s="118"/>
      <c r="BPI385" s="118"/>
      <c r="BPJ385" s="118"/>
      <c r="BPK385" s="118"/>
      <c r="BPL385" s="118"/>
      <c r="BPM385" s="118"/>
      <c r="BPN385" s="118"/>
      <c r="BPO385" s="118"/>
      <c r="BPP385" s="118"/>
      <c r="BPQ385" s="118"/>
      <c r="BPR385" s="118"/>
      <c r="BPS385" s="118"/>
      <c r="BPT385" s="118"/>
      <c r="BPU385" s="118"/>
      <c r="BPV385" s="118"/>
      <c r="BPW385" s="118"/>
      <c r="BPX385" s="118"/>
      <c r="BPY385" s="118"/>
      <c r="BPZ385" s="118"/>
      <c r="BQA385" s="118"/>
      <c r="BQB385" s="118"/>
      <c r="BQC385" s="118"/>
      <c r="BQD385" s="118"/>
      <c r="BQE385" s="118"/>
      <c r="BQF385" s="118"/>
      <c r="BQG385" s="118"/>
      <c r="BQH385" s="118"/>
      <c r="BQI385" s="118"/>
      <c r="BQJ385" s="118"/>
      <c r="BQK385" s="118"/>
      <c r="BQL385" s="118"/>
      <c r="BQM385" s="118"/>
      <c r="BQN385" s="118"/>
      <c r="BQO385" s="118"/>
      <c r="BQP385" s="118"/>
      <c r="BQQ385" s="118"/>
      <c r="BQR385" s="118"/>
      <c r="BQS385" s="118"/>
      <c r="BQT385" s="118"/>
      <c r="BQU385" s="118"/>
      <c r="BQV385" s="118"/>
      <c r="BQW385" s="118"/>
      <c r="BQX385" s="118"/>
      <c r="BQY385" s="118"/>
      <c r="BQZ385" s="118"/>
      <c r="BRA385" s="118"/>
      <c r="BRB385" s="118"/>
      <c r="BRC385" s="118"/>
      <c r="BRD385" s="118"/>
      <c r="BRE385" s="118"/>
      <c r="BRF385" s="118"/>
      <c r="BRG385" s="118"/>
      <c r="BRH385" s="118"/>
      <c r="BRI385" s="118"/>
      <c r="BRJ385" s="118"/>
      <c r="BRK385" s="118"/>
      <c r="BRL385" s="118"/>
      <c r="BRM385" s="118"/>
      <c r="BRN385" s="118"/>
      <c r="BRO385" s="118"/>
      <c r="BRP385" s="118"/>
      <c r="BRQ385" s="118"/>
      <c r="BRR385" s="118"/>
      <c r="BRS385" s="118"/>
      <c r="BRT385" s="118"/>
      <c r="BRU385" s="118"/>
      <c r="BRV385" s="118"/>
      <c r="BRW385" s="118"/>
      <c r="BRX385" s="118"/>
      <c r="BRY385" s="118"/>
      <c r="BRZ385" s="118"/>
      <c r="BSA385" s="118"/>
      <c r="BSB385" s="118"/>
      <c r="BSC385" s="118"/>
      <c r="BSD385" s="118"/>
      <c r="BSE385" s="118"/>
      <c r="BSF385" s="118"/>
      <c r="BSG385" s="118"/>
      <c r="BSH385" s="118"/>
      <c r="BSI385" s="118"/>
      <c r="BSJ385" s="118"/>
      <c r="BSK385" s="118"/>
      <c r="BSL385" s="118"/>
      <c r="BSM385" s="118"/>
      <c r="BSN385" s="118"/>
      <c r="BSO385" s="118"/>
      <c r="BSP385" s="118"/>
      <c r="BSQ385" s="118"/>
      <c r="BSR385" s="118"/>
      <c r="BSS385" s="118"/>
      <c r="BST385" s="118"/>
      <c r="BSU385" s="118"/>
      <c r="BSV385" s="118"/>
      <c r="BSW385" s="118"/>
      <c r="BSX385" s="118"/>
      <c r="BSY385" s="118"/>
      <c r="BSZ385" s="118"/>
      <c r="BTA385" s="118"/>
    </row>
    <row r="386" spans="1:1873" s="118" customFormat="1" x14ac:dyDescent="0.2">
      <c r="A386" s="522"/>
      <c r="B386" s="234"/>
      <c r="C386" s="522"/>
      <c r="D386" s="234"/>
      <c r="E386" s="493"/>
      <c r="F386" s="523"/>
      <c r="G386" s="522"/>
      <c r="H386" s="524"/>
      <c r="I386" s="522"/>
      <c r="J386" s="524"/>
      <c r="K386" s="524"/>
      <c r="L386" s="522"/>
      <c r="M386" s="525"/>
      <c r="N386" s="389"/>
      <c r="O386" s="29"/>
      <c r="P386" s="525"/>
      <c r="Q386" s="234"/>
      <c r="R386" s="389"/>
      <c r="S386" s="234"/>
      <c r="T386" s="530"/>
      <c r="U386" s="234"/>
      <c r="V386" s="234"/>
      <c r="W386" s="389"/>
      <c r="X386" s="491"/>
      <c r="Y386" s="491"/>
      <c r="Z386" s="390"/>
      <c r="AA386" s="520"/>
      <c r="AB386" s="389"/>
      <c r="AC386" s="522"/>
      <c r="AD386" s="526"/>
      <c r="AE386" s="522"/>
      <c r="AF386" s="522"/>
      <c r="AG386" s="522"/>
      <c r="AH386" s="522"/>
      <c r="AI386" s="234"/>
      <c r="AJ386" s="234"/>
      <c r="AK386" s="522"/>
      <c r="AL386" s="522"/>
      <c r="AM386" s="234"/>
      <c r="AN386" s="522"/>
      <c r="AO386" s="522"/>
      <c r="AP386" s="522"/>
      <c r="AQ386" s="522"/>
      <c r="AR386" s="234"/>
      <c r="AS386" s="234"/>
      <c r="AT386" s="522"/>
      <c r="AU386" s="234"/>
      <c r="AV386" s="234"/>
      <c r="AW386" s="522"/>
      <c r="AX386" s="234"/>
      <c r="AY386" s="234"/>
      <c r="AZ386" s="522"/>
      <c r="BA386" s="234"/>
      <c r="BB386" s="522"/>
      <c r="BC386" s="522"/>
      <c r="BD386" s="522"/>
      <c r="BE386" s="234"/>
      <c r="BF386" s="522"/>
      <c r="BG386" s="522"/>
      <c r="BH386" s="234"/>
      <c r="BI386" s="234"/>
      <c r="BJ386" s="234"/>
      <c r="BK386" s="234"/>
      <c r="BL386" s="234"/>
      <c r="BM386" s="234"/>
      <c r="BN386" s="234"/>
      <c r="BO386" s="234"/>
      <c r="BP386" s="234"/>
      <c r="BQ386" s="234"/>
      <c r="BR386" s="234"/>
      <c r="BS386" s="491"/>
      <c r="BT386" s="234"/>
      <c r="BU386" s="234"/>
      <c r="BV386" s="234"/>
      <c r="BW386" s="234"/>
      <c r="BX386" s="234"/>
      <c r="BY386" s="234"/>
      <c r="BZ386" s="496"/>
      <c r="CA386" s="527"/>
      <c r="CB386" s="531"/>
      <c r="CC386" s="117"/>
      <c r="CD386" s="10"/>
      <c r="CE386" s="342" t="s">
        <v>1576</v>
      </c>
      <c r="CF386" s="342" t="s">
        <v>1575</v>
      </c>
      <c r="CG386" s="14"/>
    </row>
    <row r="387" spans="1:1873" s="2" customFormat="1" x14ac:dyDescent="0.2">
      <c r="A387" s="522" t="s">
        <v>1424</v>
      </c>
      <c r="B387" s="234" t="s">
        <v>42</v>
      </c>
      <c r="C387" s="522" t="s">
        <v>49</v>
      </c>
      <c r="D387" s="234" t="s">
        <v>619</v>
      </c>
      <c r="E387" s="493" t="s">
        <v>1503</v>
      </c>
      <c r="F387" s="523">
        <v>1</v>
      </c>
      <c r="G387" s="522">
        <v>1</v>
      </c>
      <c r="H387" s="524">
        <v>1</v>
      </c>
      <c r="I387" s="234" t="s">
        <v>954</v>
      </c>
      <c r="J387" s="524">
        <v>1981</v>
      </c>
      <c r="K387" s="524" t="s">
        <v>957</v>
      </c>
      <c r="L387" s="522">
        <v>1981</v>
      </c>
      <c r="M387" s="525">
        <v>0.9</v>
      </c>
      <c r="N387" s="389">
        <v>-9999</v>
      </c>
      <c r="O387" s="29"/>
      <c r="P387" s="525">
        <f>+M387</f>
        <v>0.9</v>
      </c>
      <c r="Q387" s="234">
        <v>-9999</v>
      </c>
      <c r="R387" s="389"/>
      <c r="S387" s="234"/>
      <c r="T387" s="237">
        <f>+P387/G387</f>
        <v>0.9</v>
      </c>
      <c r="U387" s="234">
        <v>-9999</v>
      </c>
      <c r="V387" s="234"/>
      <c r="W387" s="412">
        <f>+P387</f>
        <v>0.9</v>
      </c>
      <c r="X387" s="491">
        <v>-9999</v>
      </c>
      <c r="Y387" s="491"/>
      <c r="Z387" s="390" t="s">
        <v>1704</v>
      </c>
      <c r="AA387" s="520">
        <v>20833</v>
      </c>
      <c r="AB387" s="389">
        <v>0.91</v>
      </c>
      <c r="AC387" s="522">
        <v>1.2</v>
      </c>
      <c r="AD387" s="526">
        <v>125</v>
      </c>
      <c r="AE387" s="522" t="s">
        <v>168</v>
      </c>
      <c r="AF387" s="522">
        <v>3</v>
      </c>
      <c r="AG387" s="522" t="s">
        <v>776</v>
      </c>
      <c r="AH387" s="522" t="s">
        <v>623</v>
      </c>
      <c r="AI387" s="234">
        <v>-9999</v>
      </c>
      <c r="AJ387" s="234">
        <v>-9999</v>
      </c>
      <c r="AK387" s="522" t="s">
        <v>626</v>
      </c>
      <c r="AL387" s="522" t="s">
        <v>272</v>
      </c>
      <c r="AM387" s="234">
        <v>-9999</v>
      </c>
      <c r="AN387" s="522" t="s">
        <v>777</v>
      </c>
      <c r="AO387" s="234">
        <v>-9999</v>
      </c>
      <c r="AP387" s="234">
        <v>-9999</v>
      </c>
      <c r="AQ387" s="522" t="s">
        <v>779</v>
      </c>
      <c r="AR387" s="234" t="s">
        <v>52</v>
      </c>
      <c r="AS387" s="234">
        <v>-9999</v>
      </c>
      <c r="AT387" s="234" t="s">
        <v>749</v>
      </c>
      <c r="AU387" s="234" t="s">
        <v>52</v>
      </c>
      <c r="AV387" s="234">
        <v>-9999</v>
      </c>
      <c r="AW387" s="234" t="s">
        <v>749</v>
      </c>
      <c r="AX387" s="234" t="s">
        <v>52</v>
      </c>
      <c r="AY387" s="234">
        <v>-9999</v>
      </c>
      <c r="AZ387" s="234" t="s">
        <v>749</v>
      </c>
      <c r="BA387" s="234">
        <v>-9999</v>
      </c>
      <c r="BB387" s="522" t="s">
        <v>626</v>
      </c>
      <c r="BC387" s="522" t="s">
        <v>273</v>
      </c>
      <c r="BD387" s="522" t="s">
        <v>642</v>
      </c>
      <c r="BE387" s="234">
        <v>-9999</v>
      </c>
      <c r="BF387" s="522" t="s">
        <v>274</v>
      </c>
      <c r="BG387" s="522" t="s">
        <v>275</v>
      </c>
      <c r="BH387" s="234">
        <v>-9999</v>
      </c>
      <c r="BI387" s="234">
        <v>-9999</v>
      </c>
      <c r="BJ387" s="234">
        <v>-9999</v>
      </c>
      <c r="BK387" s="234">
        <v>-9999</v>
      </c>
      <c r="BL387" s="234">
        <f>(1.7+1.6)/2</f>
        <v>1.65</v>
      </c>
      <c r="BM387" s="234">
        <v>-9999</v>
      </c>
      <c r="BN387" s="234">
        <f>(1.3+1.3)/2</f>
        <v>1.3</v>
      </c>
      <c r="BO387" s="234">
        <v>-9999</v>
      </c>
      <c r="BP387" s="234">
        <v>-9999</v>
      </c>
      <c r="BQ387" s="234">
        <v>-9999</v>
      </c>
      <c r="BR387" s="234">
        <v>-9999</v>
      </c>
      <c r="BS387" s="491">
        <v>-9999</v>
      </c>
      <c r="BT387" s="234">
        <v>-9999</v>
      </c>
      <c r="BU387" s="234">
        <v>-9999</v>
      </c>
      <c r="BV387" s="234">
        <v>-9999</v>
      </c>
      <c r="BW387" s="234"/>
      <c r="BX387" s="234">
        <v>-9999</v>
      </c>
      <c r="BY387" s="234">
        <v>-9999</v>
      </c>
      <c r="BZ387" s="496">
        <v>-9999</v>
      </c>
      <c r="CA387" s="527">
        <v>15</v>
      </c>
      <c r="CB387" s="528"/>
      <c r="CC387" s="117">
        <v>1</v>
      </c>
      <c r="CD387" s="10">
        <v>1</v>
      </c>
      <c r="CE387" s="290">
        <v>0.9</v>
      </c>
      <c r="CF387" s="290">
        <v>0.9</v>
      </c>
      <c r="CG387" s="14">
        <v>1</v>
      </c>
    </row>
    <row r="388" spans="1:1873" s="2" customFormat="1" x14ac:dyDescent="0.2">
      <c r="A388" s="522" t="s">
        <v>1424</v>
      </c>
      <c r="B388" s="234" t="s">
        <v>42</v>
      </c>
      <c r="C388" s="522" t="s">
        <v>49</v>
      </c>
      <c r="D388" s="234" t="s">
        <v>619</v>
      </c>
      <c r="E388" s="493" t="s">
        <v>1503</v>
      </c>
      <c r="F388" s="523">
        <v>1</v>
      </c>
      <c r="G388" s="522">
        <v>2</v>
      </c>
      <c r="H388" s="524">
        <v>2</v>
      </c>
      <c r="I388" s="234" t="s">
        <v>954</v>
      </c>
      <c r="J388" s="524">
        <v>1981</v>
      </c>
      <c r="K388" s="524" t="s">
        <v>957</v>
      </c>
      <c r="L388" s="522">
        <v>1982</v>
      </c>
      <c r="M388" s="525">
        <v>12.3</v>
      </c>
      <c r="N388" s="389">
        <v>-9999</v>
      </c>
      <c r="O388" s="29"/>
      <c r="P388" s="525">
        <f>+M388</f>
        <v>12.3</v>
      </c>
      <c r="Q388" s="234">
        <v>-9999</v>
      </c>
      <c r="R388" s="389"/>
      <c r="S388" s="234"/>
      <c r="T388" s="237">
        <f>+P388/G388</f>
        <v>6.15</v>
      </c>
      <c r="U388" s="234">
        <v>-9999</v>
      </c>
      <c r="V388" s="234"/>
      <c r="W388" s="412">
        <f>+P388-P387</f>
        <v>11.4</v>
      </c>
      <c r="X388" s="491">
        <v>-9999</v>
      </c>
      <c r="Y388" s="491"/>
      <c r="Z388" s="390" t="s">
        <v>1704</v>
      </c>
      <c r="AA388" s="520">
        <v>20833</v>
      </c>
      <c r="AB388" s="389">
        <v>0.92</v>
      </c>
      <c r="AC388" s="522">
        <v>1.2</v>
      </c>
      <c r="AD388" s="526">
        <v>125</v>
      </c>
      <c r="AE388" s="522" t="s">
        <v>168</v>
      </c>
      <c r="AF388" s="522">
        <v>3</v>
      </c>
      <c r="AG388" s="522" t="s">
        <v>776</v>
      </c>
      <c r="AH388" s="522" t="s">
        <v>623</v>
      </c>
      <c r="AI388" s="234">
        <v>-9999</v>
      </c>
      <c r="AJ388" s="234">
        <v>-9999</v>
      </c>
      <c r="AK388" s="522" t="s">
        <v>626</v>
      </c>
      <c r="AL388" s="522" t="s">
        <v>272</v>
      </c>
      <c r="AM388" s="234">
        <v>-9999</v>
      </c>
      <c r="AN388" s="522" t="s">
        <v>777</v>
      </c>
      <c r="AO388" s="234">
        <v>-9999</v>
      </c>
      <c r="AP388" s="234">
        <v>-9999</v>
      </c>
      <c r="AQ388" s="522" t="s">
        <v>779</v>
      </c>
      <c r="AR388" s="234" t="s">
        <v>52</v>
      </c>
      <c r="AS388" s="234">
        <v>-9999</v>
      </c>
      <c r="AT388" s="234" t="s">
        <v>749</v>
      </c>
      <c r="AU388" s="234" t="s">
        <v>52</v>
      </c>
      <c r="AV388" s="234">
        <v>-9999</v>
      </c>
      <c r="AW388" s="234" t="s">
        <v>749</v>
      </c>
      <c r="AX388" s="234" t="s">
        <v>52</v>
      </c>
      <c r="AY388" s="234">
        <v>-9999</v>
      </c>
      <c r="AZ388" s="234" t="s">
        <v>749</v>
      </c>
      <c r="BA388" s="234">
        <v>-9999</v>
      </c>
      <c r="BB388" s="522" t="s">
        <v>626</v>
      </c>
      <c r="BC388" s="522" t="s">
        <v>273</v>
      </c>
      <c r="BD388" s="522" t="s">
        <v>642</v>
      </c>
      <c r="BE388" s="234">
        <v>-9999</v>
      </c>
      <c r="BF388" s="522" t="s">
        <v>274</v>
      </c>
      <c r="BG388" s="522" t="s">
        <v>275</v>
      </c>
      <c r="BH388" s="234">
        <v>-9999</v>
      </c>
      <c r="BI388" s="234">
        <v>-9999</v>
      </c>
      <c r="BJ388" s="234">
        <v>-9999</v>
      </c>
      <c r="BK388" s="234">
        <v>-9999</v>
      </c>
      <c r="BL388" s="234">
        <f>(4.5+4.7)/2</f>
        <v>4.5999999999999996</v>
      </c>
      <c r="BM388" s="234">
        <v>-9999</v>
      </c>
      <c r="BN388" s="234">
        <f>(3+3.1)/2</f>
        <v>3.05</v>
      </c>
      <c r="BO388" s="234">
        <v>-9999</v>
      </c>
      <c r="BP388" s="234">
        <v>-9999</v>
      </c>
      <c r="BQ388" s="234">
        <v>-9999</v>
      </c>
      <c r="BR388" s="234">
        <v>-9999</v>
      </c>
      <c r="BS388" s="491">
        <v>-9999</v>
      </c>
      <c r="BT388" s="234">
        <v>-9999</v>
      </c>
      <c r="BU388" s="234">
        <v>-9999</v>
      </c>
      <c r="BV388" s="234">
        <v>-9999</v>
      </c>
      <c r="BW388" s="234"/>
      <c r="BX388" s="234">
        <v>-9999</v>
      </c>
      <c r="BY388" s="234">
        <v>-9999</v>
      </c>
      <c r="BZ388" s="496">
        <v>-9999</v>
      </c>
      <c r="CA388" s="527">
        <v>15</v>
      </c>
      <c r="CB388" s="528"/>
      <c r="CC388" s="117">
        <v>1</v>
      </c>
      <c r="CD388" s="10">
        <v>2</v>
      </c>
      <c r="CE388" s="290">
        <v>6.15</v>
      </c>
      <c r="CF388" s="290">
        <v>11.4</v>
      </c>
      <c r="CG388" s="14">
        <v>2</v>
      </c>
      <c r="CW388" s="312" t="s">
        <v>1586</v>
      </c>
    </row>
    <row r="389" spans="1:1873" s="2" customFormat="1" x14ac:dyDescent="0.2">
      <c r="A389" s="522" t="s">
        <v>1424</v>
      </c>
      <c r="B389" s="234" t="s">
        <v>42</v>
      </c>
      <c r="C389" s="522" t="s">
        <v>49</v>
      </c>
      <c r="D389" s="234" t="s">
        <v>619</v>
      </c>
      <c r="E389" s="493" t="s">
        <v>1503</v>
      </c>
      <c r="F389" s="523">
        <v>1</v>
      </c>
      <c r="G389" s="522">
        <v>3</v>
      </c>
      <c r="H389" s="524">
        <v>3</v>
      </c>
      <c r="I389" s="234" t="s">
        <v>954</v>
      </c>
      <c r="J389" s="524">
        <v>1981</v>
      </c>
      <c r="K389" s="524" t="s">
        <v>957</v>
      </c>
      <c r="L389" s="522">
        <v>1983</v>
      </c>
      <c r="M389" s="525">
        <v>27.1</v>
      </c>
      <c r="N389" s="389">
        <v>-9999</v>
      </c>
      <c r="O389" s="29"/>
      <c r="P389" s="525">
        <f>+M389</f>
        <v>27.1</v>
      </c>
      <c r="Q389" s="234">
        <v>-9999</v>
      </c>
      <c r="R389" s="389"/>
      <c r="S389" s="234"/>
      <c r="T389" s="237">
        <f>+P389/G389</f>
        <v>9.0333333333333332</v>
      </c>
      <c r="U389" s="234">
        <v>-9999</v>
      </c>
      <c r="V389" s="234"/>
      <c r="W389" s="412">
        <f>+P389-P388</f>
        <v>14.8</v>
      </c>
      <c r="X389" s="491">
        <v>-9999</v>
      </c>
      <c r="Y389" s="491"/>
      <c r="Z389" s="390" t="s">
        <v>1704</v>
      </c>
      <c r="AA389" s="520">
        <v>20833</v>
      </c>
      <c r="AB389" s="389">
        <v>0.91</v>
      </c>
      <c r="AC389" s="522">
        <v>1.2</v>
      </c>
      <c r="AD389" s="526">
        <v>125</v>
      </c>
      <c r="AE389" s="522" t="s">
        <v>168</v>
      </c>
      <c r="AF389" s="522">
        <v>3</v>
      </c>
      <c r="AG389" s="522" t="s">
        <v>776</v>
      </c>
      <c r="AH389" s="522" t="s">
        <v>623</v>
      </c>
      <c r="AI389" s="234">
        <v>-9999</v>
      </c>
      <c r="AJ389" s="234">
        <v>-9999</v>
      </c>
      <c r="AK389" s="522" t="s">
        <v>626</v>
      </c>
      <c r="AL389" s="522" t="s">
        <v>272</v>
      </c>
      <c r="AM389" s="234">
        <v>-9999</v>
      </c>
      <c r="AN389" s="522" t="s">
        <v>777</v>
      </c>
      <c r="AO389" s="234">
        <v>-9999</v>
      </c>
      <c r="AP389" s="234">
        <v>-9999</v>
      </c>
      <c r="AQ389" s="522" t="s">
        <v>779</v>
      </c>
      <c r="AR389" s="234" t="s">
        <v>52</v>
      </c>
      <c r="AS389" s="234">
        <v>-9999</v>
      </c>
      <c r="AT389" s="234" t="s">
        <v>749</v>
      </c>
      <c r="AU389" s="234" t="s">
        <v>52</v>
      </c>
      <c r="AV389" s="234">
        <v>-9999</v>
      </c>
      <c r="AW389" s="234" t="s">
        <v>749</v>
      </c>
      <c r="AX389" s="234" t="s">
        <v>52</v>
      </c>
      <c r="AY389" s="234">
        <v>-9999</v>
      </c>
      <c r="AZ389" s="234" t="s">
        <v>749</v>
      </c>
      <c r="BA389" s="234">
        <v>-9999</v>
      </c>
      <c r="BB389" s="522" t="s">
        <v>626</v>
      </c>
      <c r="BC389" s="522" t="s">
        <v>273</v>
      </c>
      <c r="BD389" s="522" t="s">
        <v>642</v>
      </c>
      <c r="BE389" s="234">
        <v>-9999</v>
      </c>
      <c r="BF389" s="522" t="s">
        <v>274</v>
      </c>
      <c r="BG389" s="522" t="s">
        <v>275</v>
      </c>
      <c r="BH389" s="234">
        <v>-9999</v>
      </c>
      <c r="BI389" s="234">
        <v>-9999</v>
      </c>
      <c r="BJ389" s="234">
        <v>-9999</v>
      </c>
      <c r="BK389" s="234">
        <v>-9999</v>
      </c>
      <c r="BL389" s="234">
        <f>(5.7+5.9)/2</f>
        <v>5.8000000000000007</v>
      </c>
      <c r="BM389" s="234">
        <v>-9999</v>
      </c>
      <c r="BN389" s="234">
        <f>(4+3.9)/2</f>
        <v>3.95</v>
      </c>
      <c r="BO389" s="234">
        <v>-9999</v>
      </c>
      <c r="BP389" s="234">
        <v>-9999</v>
      </c>
      <c r="BQ389" s="234">
        <v>-9999</v>
      </c>
      <c r="BR389" s="234">
        <v>-9999</v>
      </c>
      <c r="BS389" s="491">
        <v>-9999</v>
      </c>
      <c r="BT389" s="234">
        <v>-9999</v>
      </c>
      <c r="BU389" s="234">
        <v>-9999</v>
      </c>
      <c r="BV389" s="234">
        <v>-9999</v>
      </c>
      <c r="BW389" s="234"/>
      <c r="BX389" s="234">
        <v>-9999</v>
      </c>
      <c r="BY389" s="234">
        <v>-9999</v>
      </c>
      <c r="BZ389" s="496">
        <v>-9999</v>
      </c>
      <c r="CA389" s="527">
        <v>15</v>
      </c>
      <c r="CB389" s="528"/>
      <c r="CC389" s="117">
        <v>1</v>
      </c>
      <c r="CD389" s="10">
        <v>3</v>
      </c>
      <c r="CE389" s="290">
        <v>9.0333333333333332</v>
      </c>
      <c r="CF389" s="290">
        <v>14.8</v>
      </c>
      <c r="CG389" s="14">
        <v>3</v>
      </c>
    </row>
    <row r="390" spans="1:1873" s="189" customFormat="1" x14ac:dyDescent="0.2">
      <c r="A390" s="532" t="s">
        <v>1424</v>
      </c>
      <c r="B390" s="231" t="s">
        <v>42</v>
      </c>
      <c r="C390" s="532" t="s">
        <v>49</v>
      </c>
      <c r="D390" s="231" t="s">
        <v>619</v>
      </c>
      <c r="E390" s="232" t="s">
        <v>1503</v>
      </c>
      <c r="F390" s="533">
        <v>1</v>
      </c>
      <c r="G390" s="532">
        <v>4</v>
      </c>
      <c r="H390" s="534">
        <v>4</v>
      </c>
      <c r="I390" s="231" t="s">
        <v>954</v>
      </c>
      <c r="J390" s="534">
        <v>1981</v>
      </c>
      <c r="K390" s="534" t="s">
        <v>957</v>
      </c>
      <c r="L390" s="532">
        <v>1984</v>
      </c>
      <c r="M390" s="535">
        <v>40.4</v>
      </c>
      <c r="N390" s="235">
        <v>-9999</v>
      </c>
      <c r="O390" s="18"/>
      <c r="P390" s="535">
        <f>+M390</f>
        <v>40.4</v>
      </c>
      <c r="Q390" s="231">
        <v>-9999</v>
      </c>
      <c r="R390" s="235"/>
      <c r="S390" s="231"/>
      <c r="T390" s="536">
        <f>+P390/G390</f>
        <v>10.1</v>
      </c>
      <c r="U390" s="231">
        <v>-9999</v>
      </c>
      <c r="V390" s="231"/>
      <c r="W390" s="517">
        <f>+P390-P389</f>
        <v>13.299999999999997</v>
      </c>
      <c r="X390" s="233">
        <v>-9999</v>
      </c>
      <c r="Y390" s="233"/>
      <c r="Z390" s="231" t="s">
        <v>1704</v>
      </c>
      <c r="AA390" s="521">
        <v>20833</v>
      </c>
      <c r="AB390" s="235">
        <v>0.83</v>
      </c>
      <c r="AC390" s="532">
        <v>1.2</v>
      </c>
      <c r="AD390" s="537">
        <v>125</v>
      </c>
      <c r="AE390" s="532" t="s">
        <v>168</v>
      </c>
      <c r="AF390" s="532">
        <v>3</v>
      </c>
      <c r="AG390" s="532" t="s">
        <v>776</v>
      </c>
      <c r="AH390" s="532" t="s">
        <v>623</v>
      </c>
      <c r="AI390" s="231">
        <v>-9999</v>
      </c>
      <c r="AJ390" s="231">
        <v>-9999</v>
      </c>
      <c r="AK390" s="532" t="s">
        <v>626</v>
      </c>
      <c r="AL390" s="532" t="s">
        <v>272</v>
      </c>
      <c r="AM390" s="231">
        <v>-9999</v>
      </c>
      <c r="AN390" s="532" t="s">
        <v>777</v>
      </c>
      <c r="AO390" s="231">
        <v>-9999</v>
      </c>
      <c r="AP390" s="231">
        <v>-9999</v>
      </c>
      <c r="AQ390" s="532" t="s">
        <v>779</v>
      </c>
      <c r="AR390" s="231" t="s">
        <v>52</v>
      </c>
      <c r="AS390" s="231">
        <v>-9999</v>
      </c>
      <c r="AT390" s="231" t="s">
        <v>749</v>
      </c>
      <c r="AU390" s="231" t="s">
        <v>52</v>
      </c>
      <c r="AV390" s="231">
        <v>-9999</v>
      </c>
      <c r="AW390" s="231" t="s">
        <v>749</v>
      </c>
      <c r="AX390" s="231" t="s">
        <v>52</v>
      </c>
      <c r="AY390" s="231">
        <v>-9999</v>
      </c>
      <c r="AZ390" s="231" t="s">
        <v>749</v>
      </c>
      <c r="BA390" s="231">
        <v>-9999</v>
      </c>
      <c r="BB390" s="532" t="s">
        <v>626</v>
      </c>
      <c r="BC390" s="532" t="s">
        <v>273</v>
      </c>
      <c r="BD390" s="532" t="s">
        <v>642</v>
      </c>
      <c r="BE390" s="231">
        <v>-9999</v>
      </c>
      <c r="BF390" s="532" t="s">
        <v>274</v>
      </c>
      <c r="BG390" s="532" t="s">
        <v>275</v>
      </c>
      <c r="BH390" s="231">
        <v>-9999</v>
      </c>
      <c r="BI390" s="231">
        <v>-9999</v>
      </c>
      <c r="BJ390" s="231">
        <v>-9999</v>
      </c>
      <c r="BK390" s="231">
        <v>-9999</v>
      </c>
      <c r="BL390" s="231">
        <f>(7.1+7.1)/2</f>
        <v>7.1</v>
      </c>
      <c r="BM390" s="231">
        <v>-9999</v>
      </c>
      <c r="BN390" s="231">
        <f>(4.8+4.6)/2</f>
        <v>4.6999999999999993</v>
      </c>
      <c r="BO390" s="231">
        <v>-9999</v>
      </c>
      <c r="BP390" s="231">
        <v>-9999</v>
      </c>
      <c r="BQ390" s="231">
        <v>-9999</v>
      </c>
      <c r="BR390" s="231">
        <v>-9999</v>
      </c>
      <c r="BS390" s="233">
        <v>-9999</v>
      </c>
      <c r="BT390" s="231">
        <v>-9999</v>
      </c>
      <c r="BU390" s="231">
        <v>-9999</v>
      </c>
      <c r="BV390" s="231">
        <v>-9999</v>
      </c>
      <c r="BW390" s="231"/>
      <c r="BX390" s="231">
        <v>-9999</v>
      </c>
      <c r="BY390" s="231">
        <v>-9999</v>
      </c>
      <c r="BZ390" s="238">
        <v>-9999</v>
      </c>
      <c r="CA390" s="538">
        <v>15</v>
      </c>
      <c r="CB390" s="539"/>
      <c r="CC390" s="187">
        <v>1</v>
      </c>
      <c r="CD390" s="186">
        <v>4</v>
      </c>
      <c r="CE390" s="398">
        <v>10.1</v>
      </c>
      <c r="CF390" s="138">
        <v>13.299999999999997</v>
      </c>
      <c r="CG390" s="188">
        <v>4</v>
      </c>
      <c r="CH390" s="440" t="s">
        <v>1757</v>
      </c>
      <c r="CI390" s="9"/>
      <c r="CJ390" s="9"/>
      <c r="CK390" s="9"/>
      <c r="CL390" s="9"/>
      <c r="CM390" s="9"/>
      <c r="CN390" s="9"/>
      <c r="CO390" s="9"/>
      <c r="CP390" s="9"/>
      <c r="CQ390" s="9"/>
      <c r="CR390" s="9"/>
      <c r="CS390" s="9"/>
      <c r="CT390" s="9"/>
      <c r="CU390" s="9"/>
      <c r="CV390" s="9"/>
      <c r="CW390" s="9"/>
      <c r="CX390" s="9"/>
      <c r="CY390" s="9"/>
      <c r="CZ390" s="9"/>
      <c r="DA390" s="9"/>
      <c r="DB390" s="9"/>
      <c r="DC390" s="9"/>
      <c r="DD390" s="9"/>
      <c r="DE390" s="9"/>
      <c r="DF390" s="9"/>
      <c r="DG390" s="9"/>
      <c r="DH390" s="9"/>
      <c r="DI390" s="9"/>
      <c r="DJ390" s="9"/>
      <c r="DK390" s="9"/>
      <c r="DL390" s="9"/>
      <c r="DM390" s="9"/>
      <c r="DN390" s="9"/>
      <c r="DO390" s="9"/>
      <c r="DP390" s="9"/>
      <c r="DQ390" s="9"/>
      <c r="DR390" s="9"/>
      <c r="DS390" s="9"/>
      <c r="DT390" s="9"/>
      <c r="DU390" s="9"/>
      <c r="DV390" s="9"/>
      <c r="DW390" s="9"/>
      <c r="DX390" s="9"/>
      <c r="DY390" s="9"/>
      <c r="DZ390" s="9"/>
      <c r="EA390" s="9"/>
      <c r="EB390" s="9"/>
      <c r="EC390" s="9"/>
      <c r="ED390" s="9"/>
      <c r="EE390" s="9"/>
      <c r="EF390" s="9"/>
      <c r="EG390" s="9"/>
      <c r="EH390" s="9"/>
      <c r="EI390" s="9"/>
      <c r="EJ390" s="9"/>
      <c r="EK390" s="9"/>
      <c r="EL390" s="9"/>
      <c r="EM390" s="9"/>
      <c r="EN390" s="9"/>
      <c r="EO390" s="9"/>
      <c r="EP390" s="9"/>
      <c r="EQ390" s="9"/>
      <c r="ER390" s="9"/>
      <c r="ES390" s="9"/>
      <c r="ET390" s="9"/>
      <c r="EU390" s="9"/>
      <c r="EV390" s="9"/>
      <c r="EW390" s="9"/>
      <c r="EX390" s="9"/>
      <c r="EY390" s="9"/>
      <c r="EZ390" s="9"/>
      <c r="FA390" s="9"/>
      <c r="FB390" s="9"/>
      <c r="FC390" s="9"/>
      <c r="FD390" s="9"/>
      <c r="FE390" s="9"/>
      <c r="FF390" s="9"/>
      <c r="FG390" s="9"/>
      <c r="FH390" s="9"/>
      <c r="FI390" s="9"/>
      <c r="FJ390" s="9"/>
      <c r="FK390" s="9"/>
      <c r="FL390" s="9"/>
      <c r="FM390" s="9"/>
      <c r="FN390" s="9"/>
      <c r="FO390" s="9"/>
      <c r="FP390" s="9"/>
      <c r="FQ390" s="9"/>
      <c r="FR390" s="9"/>
      <c r="FS390" s="9"/>
      <c r="FT390" s="9"/>
      <c r="FU390" s="9"/>
      <c r="FV390" s="9"/>
      <c r="FW390" s="9"/>
      <c r="FX390" s="9"/>
      <c r="FY390" s="9"/>
      <c r="FZ390" s="9"/>
      <c r="GA390" s="9"/>
      <c r="GB390" s="9"/>
      <c r="GC390" s="9"/>
      <c r="GD390" s="9"/>
      <c r="GE390" s="9"/>
      <c r="GF390" s="9"/>
      <c r="GG390" s="9"/>
      <c r="GH390" s="9"/>
      <c r="GI390" s="9"/>
      <c r="GJ390" s="9"/>
      <c r="GK390" s="9"/>
      <c r="GL390" s="9"/>
      <c r="GM390" s="9"/>
      <c r="GN390" s="9"/>
      <c r="GO390" s="9"/>
      <c r="GP390" s="9"/>
      <c r="GQ390" s="9"/>
      <c r="GR390" s="9"/>
      <c r="GS390" s="9"/>
      <c r="GT390" s="9"/>
      <c r="GU390" s="9"/>
      <c r="GV390" s="9"/>
      <c r="GW390" s="9"/>
      <c r="GX390" s="9"/>
      <c r="GY390" s="9"/>
      <c r="GZ390" s="9"/>
      <c r="HA390" s="9"/>
      <c r="HB390" s="9"/>
      <c r="HC390" s="9"/>
      <c r="HD390" s="9"/>
      <c r="HE390" s="9"/>
      <c r="HF390" s="9"/>
      <c r="HG390" s="9"/>
      <c r="HH390" s="9"/>
      <c r="HI390" s="9"/>
      <c r="HJ390" s="9"/>
      <c r="HK390" s="9"/>
      <c r="HL390" s="9"/>
      <c r="HM390" s="9"/>
      <c r="HN390" s="9"/>
      <c r="HO390" s="9"/>
      <c r="HP390" s="9"/>
      <c r="HQ390" s="9"/>
      <c r="HR390" s="9"/>
      <c r="HS390" s="9"/>
      <c r="HT390" s="9"/>
      <c r="HU390" s="9"/>
      <c r="HV390" s="9"/>
      <c r="HW390" s="9"/>
      <c r="HX390" s="9"/>
      <c r="HY390" s="9"/>
      <c r="HZ390" s="9"/>
      <c r="IA390" s="9"/>
      <c r="IB390" s="9"/>
      <c r="IC390" s="9"/>
      <c r="ID390" s="9"/>
      <c r="IE390" s="9"/>
      <c r="IF390" s="9"/>
      <c r="IG390" s="9"/>
      <c r="IH390" s="9"/>
      <c r="II390" s="9"/>
      <c r="IJ390" s="9"/>
      <c r="IK390" s="9"/>
      <c r="IL390" s="9"/>
      <c r="IM390" s="9"/>
      <c r="IN390" s="9"/>
      <c r="IO390" s="9"/>
      <c r="IP390" s="9"/>
      <c r="IQ390" s="9"/>
      <c r="IR390" s="9"/>
      <c r="IS390" s="9"/>
      <c r="IT390" s="9"/>
      <c r="IU390" s="9"/>
      <c r="IV390" s="9"/>
      <c r="IW390" s="9"/>
      <c r="IX390" s="9"/>
      <c r="IY390" s="9"/>
      <c r="IZ390" s="9"/>
      <c r="JA390" s="9"/>
      <c r="JB390" s="9"/>
      <c r="JC390" s="9"/>
      <c r="JD390" s="9"/>
      <c r="JE390" s="9"/>
      <c r="JF390" s="9"/>
      <c r="JG390" s="9"/>
      <c r="JH390" s="9"/>
      <c r="JI390" s="9"/>
      <c r="JJ390" s="9"/>
      <c r="JK390" s="9"/>
      <c r="JL390" s="9"/>
      <c r="JM390" s="9"/>
      <c r="JN390" s="9"/>
      <c r="JO390" s="9"/>
      <c r="JP390" s="9"/>
      <c r="JQ390" s="9"/>
      <c r="JR390" s="9"/>
      <c r="JS390" s="9"/>
      <c r="JT390" s="9"/>
      <c r="JU390" s="9"/>
      <c r="JV390" s="9"/>
      <c r="JW390" s="9"/>
      <c r="JX390" s="9"/>
      <c r="JY390" s="9"/>
      <c r="JZ390" s="9"/>
      <c r="KA390" s="9"/>
      <c r="KB390" s="9"/>
      <c r="KC390" s="9"/>
      <c r="KD390" s="9"/>
      <c r="KE390" s="9"/>
      <c r="KF390" s="9"/>
      <c r="KG390" s="9"/>
      <c r="KH390" s="9"/>
      <c r="KI390" s="9"/>
      <c r="KJ390" s="9"/>
      <c r="KK390" s="9"/>
      <c r="KL390" s="9"/>
      <c r="KM390" s="9"/>
      <c r="KN390" s="9"/>
      <c r="KO390" s="9"/>
      <c r="KP390" s="9"/>
      <c r="KQ390" s="9"/>
      <c r="KR390" s="9"/>
      <c r="KS390" s="9"/>
      <c r="KT390" s="9"/>
      <c r="KU390" s="9"/>
      <c r="KV390" s="9"/>
      <c r="KW390" s="9"/>
      <c r="KX390" s="9"/>
      <c r="KY390" s="9"/>
      <c r="KZ390" s="9"/>
      <c r="LA390" s="9"/>
      <c r="LB390" s="9"/>
      <c r="LC390" s="9"/>
      <c r="LD390" s="9"/>
      <c r="LE390" s="9"/>
      <c r="LF390" s="9"/>
      <c r="LG390" s="9"/>
      <c r="LH390" s="9"/>
      <c r="LI390" s="9"/>
      <c r="LJ390" s="9"/>
      <c r="LK390" s="9"/>
      <c r="LL390" s="9"/>
      <c r="LM390" s="9"/>
      <c r="LN390" s="9"/>
      <c r="LO390" s="9"/>
      <c r="LP390" s="9"/>
      <c r="LQ390" s="9"/>
      <c r="LR390" s="9"/>
      <c r="LS390" s="9"/>
      <c r="LT390" s="9"/>
      <c r="LU390" s="9"/>
      <c r="LV390" s="9"/>
      <c r="LW390" s="9"/>
      <c r="LX390" s="9"/>
      <c r="LY390" s="9"/>
      <c r="LZ390" s="9"/>
      <c r="MA390" s="9"/>
      <c r="MB390" s="9"/>
      <c r="MC390" s="9"/>
      <c r="MD390" s="9"/>
      <c r="ME390" s="9"/>
      <c r="MF390" s="9"/>
      <c r="MG390" s="9"/>
      <c r="MH390" s="9"/>
      <c r="MI390" s="9"/>
      <c r="MJ390" s="9"/>
      <c r="MK390" s="9"/>
      <c r="ML390" s="9"/>
      <c r="MM390" s="9"/>
      <c r="MN390" s="9"/>
      <c r="MO390" s="9"/>
      <c r="MP390" s="9"/>
      <c r="MQ390" s="9"/>
      <c r="MR390" s="9"/>
      <c r="MS390" s="9"/>
      <c r="MT390" s="9"/>
      <c r="MU390" s="9"/>
      <c r="MV390" s="9"/>
      <c r="MW390" s="9"/>
      <c r="MX390" s="9"/>
      <c r="MY390" s="9"/>
      <c r="MZ390" s="9"/>
      <c r="NA390" s="9"/>
      <c r="NB390" s="9"/>
      <c r="NC390" s="9"/>
      <c r="ND390" s="9"/>
      <c r="NE390" s="9"/>
      <c r="NF390" s="9"/>
      <c r="NG390" s="9"/>
      <c r="NH390" s="9"/>
      <c r="NI390" s="9"/>
      <c r="NJ390" s="9"/>
      <c r="NK390" s="9"/>
      <c r="NL390" s="9"/>
      <c r="NM390" s="9"/>
      <c r="NN390" s="9"/>
      <c r="NO390" s="9"/>
      <c r="NP390" s="9"/>
      <c r="NQ390" s="9"/>
      <c r="NR390" s="9"/>
      <c r="NS390" s="9"/>
      <c r="NT390" s="9"/>
      <c r="NU390" s="9"/>
      <c r="NV390" s="9"/>
      <c r="NW390" s="9"/>
      <c r="NX390" s="9"/>
      <c r="NY390" s="9"/>
      <c r="NZ390" s="9"/>
      <c r="OA390" s="9"/>
      <c r="OB390" s="9"/>
      <c r="OC390" s="9"/>
      <c r="OD390" s="9"/>
      <c r="OE390" s="9"/>
      <c r="OF390" s="9"/>
      <c r="OG390" s="9"/>
      <c r="OH390" s="9"/>
      <c r="OI390" s="9"/>
      <c r="OJ390" s="9"/>
      <c r="OK390" s="9"/>
      <c r="OL390" s="9"/>
      <c r="OM390" s="9"/>
      <c r="ON390" s="9"/>
      <c r="OO390" s="9"/>
      <c r="OP390" s="9"/>
      <c r="OQ390" s="9"/>
      <c r="OR390" s="9"/>
      <c r="OS390" s="9"/>
      <c r="OT390" s="9"/>
      <c r="OU390" s="9"/>
      <c r="OV390" s="9"/>
      <c r="OW390" s="9"/>
      <c r="OX390" s="9"/>
      <c r="OY390" s="9"/>
      <c r="OZ390" s="9"/>
      <c r="PA390" s="9"/>
      <c r="PB390" s="9"/>
      <c r="PC390" s="9"/>
      <c r="PD390" s="9"/>
      <c r="PE390" s="9"/>
      <c r="PF390" s="9"/>
      <c r="PG390" s="9"/>
      <c r="PH390" s="9"/>
      <c r="PI390" s="9"/>
      <c r="PJ390" s="9"/>
      <c r="PK390" s="9"/>
      <c r="PL390" s="9"/>
      <c r="PM390" s="9"/>
      <c r="PN390" s="9"/>
      <c r="PO390" s="9"/>
      <c r="PP390" s="9"/>
      <c r="PQ390" s="9"/>
      <c r="PR390" s="9"/>
      <c r="PS390" s="9"/>
      <c r="PT390" s="9"/>
      <c r="PU390" s="9"/>
      <c r="PV390" s="9"/>
      <c r="PW390" s="9"/>
      <c r="PX390" s="9"/>
      <c r="PY390" s="9"/>
      <c r="PZ390" s="9"/>
      <c r="QA390" s="9"/>
      <c r="QB390" s="9"/>
      <c r="QC390" s="9"/>
      <c r="QD390" s="9"/>
      <c r="QE390" s="9"/>
      <c r="QF390" s="9"/>
      <c r="QG390" s="9"/>
      <c r="QH390" s="9"/>
      <c r="QI390" s="9"/>
      <c r="QJ390" s="9"/>
      <c r="QK390" s="9"/>
      <c r="QL390" s="9"/>
      <c r="QM390" s="9"/>
      <c r="QN390" s="9"/>
      <c r="QO390" s="9"/>
      <c r="QP390" s="9"/>
      <c r="QQ390" s="9"/>
      <c r="QR390" s="9"/>
      <c r="QS390" s="9"/>
      <c r="QT390" s="9"/>
      <c r="QU390" s="9"/>
      <c r="QV390" s="9"/>
      <c r="QW390" s="9"/>
      <c r="QX390" s="9"/>
      <c r="QY390" s="9"/>
      <c r="QZ390" s="9"/>
      <c r="RA390" s="9"/>
      <c r="RB390" s="9"/>
      <c r="RC390" s="9"/>
      <c r="RD390" s="9"/>
      <c r="RE390" s="9"/>
      <c r="RF390" s="9"/>
      <c r="RG390" s="9"/>
      <c r="RH390" s="9"/>
      <c r="RI390" s="9"/>
      <c r="RJ390" s="9"/>
      <c r="RK390" s="9"/>
      <c r="RL390" s="9"/>
      <c r="RM390" s="9"/>
      <c r="RN390" s="9"/>
      <c r="RO390" s="9"/>
      <c r="RP390" s="9"/>
      <c r="RQ390" s="9"/>
      <c r="RR390" s="9"/>
      <c r="RS390" s="9"/>
      <c r="RT390" s="9"/>
      <c r="RU390" s="9"/>
      <c r="RV390" s="9"/>
      <c r="RW390" s="9"/>
      <c r="RX390" s="9"/>
      <c r="RY390" s="9"/>
      <c r="RZ390" s="9"/>
      <c r="SA390" s="9"/>
      <c r="SB390" s="9"/>
      <c r="SC390" s="9"/>
      <c r="SD390" s="9"/>
      <c r="SE390" s="9"/>
      <c r="SF390" s="9"/>
      <c r="SG390" s="9"/>
      <c r="SH390" s="9"/>
      <c r="SI390" s="9"/>
      <c r="SJ390" s="9"/>
      <c r="SK390" s="9"/>
      <c r="SL390" s="9"/>
      <c r="SM390" s="9"/>
      <c r="SN390" s="9"/>
      <c r="SO390" s="9"/>
      <c r="SP390" s="9"/>
      <c r="SQ390" s="9"/>
      <c r="SR390" s="9"/>
      <c r="SS390" s="9"/>
      <c r="ST390" s="9"/>
      <c r="SU390" s="9"/>
      <c r="SV390" s="9"/>
      <c r="SW390" s="9"/>
      <c r="SX390" s="9"/>
      <c r="SY390" s="9"/>
      <c r="SZ390" s="9"/>
      <c r="TA390" s="9"/>
      <c r="TB390" s="9"/>
      <c r="TC390" s="9"/>
      <c r="TD390" s="9"/>
      <c r="TE390" s="9"/>
      <c r="TF390" s="9"/>
      <c r="TG390" s="9"/>
      <c r="TH390" s="9"/>
      <c r="TI390" s="9"/>
      <c r="TJ390" s="9"/>
      <c r="TK390" s="9"/>
      <c r="TL390" s="9"/>
      <c r="TM390" s="9"/>
      <c r="TN390" s="9"/>
      <c r="TO390" s="9"/>
      <c r="TP390" s="9"/>
      <c r="TQ390" s="9"/>
      <c r="TR390" s="9"/>
      <c r="TS390" s="9"/>
      <c r="TT390" s="9"/>
      <c r="TU390" s="9"/>
      <c r="TV390" s="9"/>
      <c r="TW390" s="9"/>
      <c r="TX390" s="9"/>
      <c r="TY390" s="9"/>
      <c r="TZ390" s="9"/>
      <c r="UA390" s="9"/>
      <c r="UB390" s="9"/>
      <c r="UC390" s="9"/>
      <c r="UD390" s="9"/>
      <c r="UE390" s="9"/>
      <c r="UF390" s="9"/>
      <c r="UG390" s="9"/>
      <c r="UH390" s="9"/>
      <c r="UI390" s="9"/>
      <c r="UJ390" s="9"/>
      <c r="UK390" s="9"/>
      <c r="UL390" s="9"/>
      <c r="UM390" s="9"/>
      <c r="UN390" s="9"/>
      <c r="UO390" s="9"/>
      <c r="UP390" s="9"/>
      <c r="UQ390" s="9"/>
      <c r="UR390" s="9"/>
      <c r="US390" s="9"/>
      <c r="UT390" s="9"/>
      <c r="UU390" s="9"/>
      <c r="UV390" s="9"/>
      <c r="UW390" s="9"/>
      <c r="UX390" s="9"/>
      <c r="UY390" s="9"/>
      <c r="UZ390" s="9"/>
      <c r="VA390" s="9"/>
      <c r="VB390" s="9"/>
      <c r="VC390" s="9"/>
      <c r="VD390" s="9"/>
      <c r="VE390" s="9"/>
      <c r="VF390" s="9"/>
      <c r="VG390" s="9"/>
      <c r="VH390" s="9"/>
      <c r="VI390" s="9"/>
      <c r="VJ390" s="9"/>
      <c r="VK390" s="9"/>
      <c r="VL390" s="9"/>
      <c r="VM390" s="9"/>
      <c r="VN390" s="9"/>
      <c r="VO390" s="9"/>
      <c r="VP390" s="9"/>
      <c r="VQ390" s="9"/>
      <c r="VR390" s="9"/>
      <c r="VS390" s="9"/>
      <c r="VT390" s="9"/>
      <c r="VU390" s="9"/>
      <c r="VV390" s="9"/>
      <c r="VW390" s="9"/>
      <c r="VX390" s="9"/>
      <c r="VY390" s="9"/>
      <c r="VZ390" s="9"/>
      <c r="WA390" s="9"/>
      <c r="WB390" s="9"/>
      <c r="WC390" s="9"/>
      <c r="WD390" s="9"/>
      <c r="WE390" s="9"/>
      <c r="WF390" s="9"/>
      <c r="WG390" s="9"/>
      <c r="WH390" s="9"/>
      <c r="WI390" s="9"/>
      <c r="WJ390" s="9"/>
      <c r="WK390" s="9"/>
      <c r="WL390" s="9"/>
      <c r="WM390" s="9"/>
      <c r="WN390" s="9"/>
      <c r="WO390" s="9"/>
      <c r="WP390" s="9"/>
      <c r="WQ390" s="9"/>
      <c r="WR390" s="9"/>
      <c r="WS390" s="9"/>
      <c r="WT390" s="9"/>
      <c r="WU390" s="9"/>
      <c r="WV390" s="9"/>
      <c r="WW390" s="9"/>
      <c r="WX390" s="9"/>
      <c r="WY390" s="9"/>
      <c r="WZ390" s="9"/>
      <c r="XA390" s="9"/>
      <c r="XB390" s="9"/>
      <c r="XC390" s="9"/>
      <c r="XD390" s="9"/>
      <c r="XE390" s="9"/>
      <c r="XF390" s="9"/>
      <c r="XG390" s="9"/>
      <c r="XH390" s="9"/>
      <c r="XI390" s="9"/>
      <c r="XJ390" s="9"/>
      <c r="XK390" s="9"/>
      <c r="XL390" s="9"/>
      <c r="XM390" s="9"/>
      <c r="XN390" s="9"/>
      <c r="XO390" s="9"/>
      <c r="XP390" s="9"/>
      <c r="XQ390" s="9"/>
      <c r="XR390" s="9"/>
      <c r="XS390" s="9"/>
      <c r="XT390" s="9"/>
      <c r="XU390" s="9"/>
      <c r="XV390" s="9"/>
      <c r="XW390" s="9"/>
      <c r="XX390" s="9"/>
      <c r="XY390" s="9"/>
      <c r="XZ390" s="9"/>
      <c r="YA390" s="9"/>
      <c r="YB390" s="9"/>
      <c r="YC390" s="9"/>
      <c r="YD390" s="9"/>
      <c r="YE390" s="9"/>
      <c r="YF390" s="9"/>
      <c r="YG390" s="9"/>
      <c r="YH390" s="9"/>
      <c r="YI390" s="9"/>
      <c r="YJ390" s="9"/>
      <c r="YK390" s="9"/>
      <c r="YL390" s="9"/>
      <c r="YM390" s="9"/>
      <c r="YN390" s="9"/>
      <c r="YO390" s="9"/>
      <c r="YP390" s="9"/>
      <c r="YQ390" s="9"/>
      <c r="YR390" s="9"/>
      <c r="YS390" s="9"/>
      <c r="YT390" s="9"/>
      <c r="YU390" s="9"/>
      <c r="YV390" s="9"/>
      <c r="YW390" s="9"/>
      <c r="YX390" s="9"/>
      <c r="YY390" s="9"/>
      <c r="YZ390" s="9"/>
      <c r="ZA390" s="9"/>
      <c r="ZB390" s="9"/>
      <c r="ZC390" s="9"/>
      <c r="ZD390" s="9"/>
      <c r="ZE390" s="9"/>
      <c r="ZF390" s="9"/>
      <c r="ZG390" s="9"/>
      <c r="ZH390" s="9"/>
      <c r="ZI390" s="9"/>
      <c r="ZJ390" s="9"/>
      <c r="ZK390" s="9"/>
      <c r="ZL390" s="9"/>
      <c r="ZM390" s="9"/>
      <c r="ZN390" s="9"/>
      <c r="ZO390" s="9"/>
      <c r="ZP390" s="9"/>
      <c r="ZQ390" s="9"/>
      <c r="ZR390" s="9"/>
      <c r="ZS390" s="9"/>
      <c r="ZT390" s="9"/>
      <c r="ZU390" s="9"/>
      <c r="ZV390" s="9"/>
      <c r="ZW390" s="9"/>
      <c r="ZX390" s="9"/>
      <c r="ZY390" s="9"/>
      <c r="ZZ390" s="9"/>
      <c r="AAA390" s="9"/>
      <c r="AAB390" s="9"/>
      <c r="AAC390" s="9"/>
      <c r="AAD390" s="9"/>
      <c r="AAE390" s="9"/>
      <c r="AAF390" s="9"/>
      <c r="AAG390" s="9"/>
      <c r="AAH390" s="9"/>
      <c r="AAI390" s="9"/>
      <c r="AAJ390" s="9"/>
      <c r="AAK390" s="9"/>
      <c r="AAL390" s="9"/>
      <c r="AAM390" s="9"/>
      <c r="AAN390" s="9"/>
      <c r="AAO390" s="9"/>
      <c r="AAP390" s="9"/>
      <c r="AAQ390" s="9"/>
      <c r="AAR390" s="9"/>
      <c r="AAS390" s="9"/>
      <c r="AAT390" s="9"/>
      <c r="AAU390" s="9"/>
      <c r="AAV390" s="9"/>
      <c r="AAW390" s="9"/>
      <c r="AAX390" s="9"/>
      <c r="AAY390" s="9"/>
      <c r="AAZ390" s="9"/>
      <c r="ABA390" s="9"/>
      <c r="ABB390" s="9"/>
      <c r="ABC390" s="9"/>
      <c r="ABD390" s="9"/>
      <c r="ABE390" s="9"/>
      <c r="ABF390" s="9"/>
      <c r="ABG390" s="9"/>
      <c r="ABH390" s="9"/>
      <c r="ABI390" s="9"/>
      <c r="ABJ390" s="9"/>
      <c r="ABK390" s="9"/>
      <c r="ABL390" s="9"/>
      <c r="ABM390" s="9"/>
      <c r="ABN390" s="9"/>
      <c r="ABO390" s="9"/>
      <c r="ABP390" s="9"/>
      <c r="ABQ390" s="9"/>
      <c r="ABR390" s="9"/>
      <c r="ABS390" s="9"/>
      <c r="ABT390" s="9"/>
      <c r="ABU390" s="9"/>
      <c r="ABV390" s="9"/>
      <c r="ABW390" s="9"/>
      <c r="ABX390" s="9"/>
      <c r="ABY390" s="9"/>
      <c r="ABZ390" s="9"/>
      <c r="ACA390" s="9"/>
      <c r="ACB390" s="9"/>
      <c r="ACC390" s="9"/>
      <c r="ACD390" s="9"/>
      <c r="ACE390" s="9"/>
      <c r="ACF390" s="9"/>
      <c r="ACG390" s="9"/>
      <c r="ACH390" s="9"/>
      <c r="ACI390" s="9"/>
      <c r="ACJ390" s="9"/>
      <c r="ACK390" s="9"/>
      <c r="ACL390" s="9"/>
      <c r="ACM390" s="9"/>
      <c r="ACN390" s="9"/>
      <c r="ACO390" s="9"/>
      <c r="ACP390" s="9"/>
      <c r="ACQ390" s="9"/>
      <c r="ACR390" s="9"/>
      <c r="ACS390" s="9"/>
      <c r="ACT390" s="9"/>
      <c r="ACU390" s="9"/>
      <c r="ACV390" s="9"/>
      <c r="ACW390" s="9"/>
      <c r="ACX390" s="9"/>
      <c r="ACY390" s="9"/>
      <c r="ACZ390" s="9"/>
      <c r="ADA390" s="9"/>
      <c r="ADB390" s="9"/>
      <c r="ADC390" s="9"/>
      <c r="ADD390" s="9"/>
      <c r="ADE390" s="9"/>
      <c r="ADF390" s="9"/>
      <c r="ADG390" s="9"/>
      <c r="ADH390" s="9"/>
      <c r="ADI390" s="9"/>
      <c r="ADJ390" s="9"/>
      <c r="ADK390" s="9"/>
      <c r="ADL390" s="9"/>
      <c r="ADM390" s="9"/>
      <c r="ADN390" s="9"/>
      <c r="ADO390" s="9"/>
      <c r="ADP390" s="9"/>
      <c r="ADQ390" s="9"/>
      <c r="ADR390" s="9"/>
      <c r="ADS390" s="9"/>
      <c r="ADT390" s="9"/>
      <c r="ADU390" s="9"/>
      <c r="ADV390" s="9"/>
      <c r="ADW390" s="9"/>
      <c r="ADX390" s="9"/>
      <c r="ADY390" s="9"/>
      <c r="ADZ390" s="9"/>
      <c r="AEA390" s="9"/>
      <c r="AEB390" s="9"/>
      <c r="AEC390" s="9"/>
      <c r="AED390" s="9"/>
      <c r="AEE390" s="9"/>
      <c r="AEF390" s="9"/>
      <c r="AEG390" s="9"/>
      <c r="AEH390" s="9"/>
      <c r="AEI390" s="9"/>
      <c r="AEJ390" s="9"/>
      <c r="AEK390" s="9"/>
      <c r="AEL390" s="9"/>
      <c r="AEM390" s="9"/>
      <c r="AEN390" s="9"/>
      <c r="AEO390" s="9"/>
      <c r="AEP390" s="9"/>
      <c r="AEQ390" s="9"/>
      <c r="AER390" s="9"/>
      <c r="AES390" s="9"/>
      <c r="AET390" s="9"/>
      <c r="AEU390" s="9"/>
      <c r="AEV390" s="9"/>
      <c r="AEW390" s="9"/>
      <c r="AEX390" s="9"/>
      <c r="AEY390" s="9"/>
      <c r="AEZ390" s="9"/>
      <c r="AFA390" s="9"/>
      <c r="AFB390" s="9"/>
      <c r="AFC390" s="9"/>
      <c r="AFD390" s="9"/>
      <c r="AFE390" s="9"/>
      <c r="AFF390" s="9"/>
      <c r="AFG390" s="9"/>
      <c r="AFH390" s="9"/>
      <c r="AFI390" s="9"/>
      <c r="AFJ390" s="9"/>
      <c r="AFK390" s="9"/>
      <c r="AFL390" s="9"/>
      <c r="AFM390" s="9"/>
      <c r="AFN390" s="9"/>
      <c r="AFO390" s="9"/>
      <c r="AFP390" s="9"/>
      <c r="AFQ390" s="9"/>
      <c r="AFR390" s="9"/>
      <c r="AFS390" s="9"/>
      <c r="AFT390" s="9"/>
      <c r="AFU390" s="9"/>
      <c r="AFV390" s="9"/>
      <c r="AFW390" s="9"/>
      <c r="AFX390" s="9"/>
      <c r="AFY390" s="9"/>
      <c r="AFZ390" s="9"/>
      <c r="AGA390" s="9"/>
      <c r="AGB390" s="9"/>
      <c r="AGC390" s="9"/>
      <c r="AGD390" s="9"/>
      <c r="AGE390" s="9"/>
      <c r="AGF390" s="9"/>
      <c r="AGG390" s="9"/>
      <c r="AGH390" s="9"/>
      <c r="AGI390" s="9"/>
      <c r="AGJ390" s="9"/>
      <c r="AGK390" s="9"/>
      <c r="AGL390" s="9"/>
      <c r="AGM390" s="9"/>
      <c r="AGN390" s="9"/>
      <c r="AGO390" s="9"/>
      <c r="AGP390" s="9"/>
      <c r="AGQ390" s="9"/>
      <c r="AGR390" s="9"/>
      <c r="AGS390" s="9"/>
      <c r="AGT390" s="9"/>
      <c r="AGU390" s="9"/>
      <c r="AGV390" s="9"/>
      <c r="AGW390" s="9"/>
      <c r="AGX390" s="9"/>
      <c r="AGY390" s="9"/>
      <c r="AGZ390" s="9"/>
      <c r="AHA390" s="9"/>
      <c r="AHB390" s="9"/>
      <c r="AHC390" s="9"/>
      <c r="AHD390" s="9"/>
      <c r="AHE390" s="9"/>
      <c r="AHF390" s="9"/>
      <c r="AHG390" s="9"/>
      <c r="AHH390" s="9"/>
      <c r="AHI390" s="9"/>
      <c r="AHJ390" s="9"/>
      <c r="AHK390" s="9"/>
      <c r="AHL390" s="9"/>
      <c r="AHM390" s="9"/>
      <c r="AHN390" s="9"/>
      <c r="AHO390" s="9"/>
      <c r="AHP390" s="9"/>
      <c r="AHQ390" s="9"/>
      <c r="AHR390" s="9"/>
      <c r="AHS390" s="9"/>
      <c r="AHT390" s="9"/>
      <c r="AHU390" s="9"/>
      <c r="AHV390" s="9"/>
      <c r="AHW390" s="9"/>
      <c r="AHX390" s="9"/>
      <c r="AHY390" s="9"/>
      <c r="AHZ390" s="9"/>
      <c r="AIA390" s="9"/>
      <c r="AIB390" s="9"/>
      <c r="AIC390" s="9"/>
      <c r="AID390" s="9"/>
      <c r="AIE390" s="9"/>
      <c r="AIF390" s="9"/>
      <c r="AIG390" s="9"/>
      <c r="AIH390" s="9"/>
      <c r="AII390" s="9"/>
      <c r="AIJ390" s="9"/>
      <c r="AIK390" s="9"/>
      <c r="AIL390" s="9"/>
      <c r="AIM390" s="9"/>
      <c r="AIN390" s="9"/>
      <c r="AIO390" s="9"/>
      <c r="AIP390" s="9"/>
      <c r="AIQ390" s="9"/>
      <c r="AIR390" s="9"/>
      <c r="AIS390" s="9"/>
      <c r="AIT390" s="9"/>
      <c r="AIU390" s="9"/>
      <c r="AIV390" s="9"/>
      <c r="AIW390" s="9"/>
      <c r="AIX390" s="9"/>
      <c r="AIY390" s="9"/>
      <c r="AIZ390" s="9"/>
      <c r="AJA390" s="9"/>
      <c r="AJB390" s="9"/>
      <c r="AJC390" s="9"/>
      <c r="AJD390" s="9"/>
      <c r="AJE390" s="9"/>
      <c r="AJF390" s="9"/>
      <c r="AJG390" s="9"/>
      <c r="AJH390" s="9"/>
      <c r="AJI390" s="9"/>
      <c r="AJJ390" s="9"/>
      <c r="AJK390" s="9"/>
      <c r="AJL390" s="9"/>
      <c r="AJM390" s="9"/>
      <c r="AJN390" s="9"/>
      <c r="AJO390" s="9"/>
      <c r="AJP390" s="9"/>
      <c r="AJQ390" s="9"/>
      <c r="AJR390" s="9"/>
      <c r="AJS390" s="9"/>
      <c r="AJT390" s="9"/>
      <c r="AJU390" s="9"/>
      <c r="AJV390" s="9"/>
      <c r="AJW390" s="9"/>
      <c r="AJX390" s="9"/>
      <c r="AJY390" s="9"/>
      <c r="AJZ390" s="9"/>
      <c r="AKA390" s="9"/>
      <c r="AKB390" s="9"/>
      <c r="AKC390" s="9"/>
      <c r="AKD390" s="9"/>
      <c r="AKE390" s="9"/>
      <c r="AKF390" s="9"/>
      <c r="AKG390" s="9"/>
      <c r="AKH390" s="9"/>
      <c r="AKI390" s="9"/>
      <c r="AKJ390" s="9"/>
      <c r="AKK390" s="9"/>
      <c r="AKL390" s="9"/>
      <c r="AKM390" s="9"/>
      <c r="AKN390" s="9"/>
      <c r="AKO390" s="9"/>
      <c r="AKP390" s="9"/>
      <c r="AKQ390" s="9"/>
      <c r="AKR390" s="9"/>
      <c r="AKS390" s="9"/>
      <c r="AKT390" s="9"/>
      <c r="AKU390" s="9"/>
      <c r="AKV390" s="9"/>
      <c r="AKW390" s="9"/>
      <c r="AKX390" s="9"/>
      <c r="AKY390" s="9"/>
      <c r="AKZ390" s="9"/>
      <c r="ALA390" s="9"/>
      <c r="ALB390" s="9"/>
      <c r="ALC390" s="9"/>
      <c r="ALD390" s="9"/>
      <c r="ALE390" s="9"/>
      <c r="ALF390" s="9"/>
      <c r="ALG390" s="9"/>
      <c r="ALH390" s="9"/>
      <c r="ALI390" s="9"/>
      <c r="ALJ390" s="9"/>
      <c r="ALK390" s="9"/>
      <c r="ALL390" s="9"/>
      <c r="ALM390" s="9"/>
      <c r="ALN390" s="9"/>
      <c r="ALO390" s="9"/>
      <c r="ALP390" s="9"/>
      <c r="ALQ390" s="9"/>
      <c r="ALR390" s="9"/>
      <c r="ALS390" s="9"/>
      <c r="ALT390" s="9"/>
      <c r="ALU390" s="9"/>
      <c r="ALV390" s="9"/>
      <c r="ALW390" s="9"/>
      <c r="ALX390" s="9"/>
      <c r="ALY390" s="9"/>
      <c r="ALZ390" s="9"/>
      <c r="AMA390" s="9"/>
      <c r="AMB390" s="9"/>
      <c r="AMC390" s="9"/>
      <c r="AMD390" s="9"/>
      <c r="AME390" s="9"/>
      <c r="AMF390" s="9"/>
      <c r="AMG390" s="9"/>
      <c r="AMH390" s="9"/>
      <c r="AMI390" s="9"/>
      <c r="AMJ390" s="9"/>
      <c r="AMK390" s="9"/>
      <c r="AML390" s="9"/>
      <c r="AMM390" s="9"/>
      <c r="AMN390" s="9"/>
      <c r="AMO390" s="9"/>
      <c r="AMP390" s="9"/>
      <c r="AMQ390" s="9"/>
      <c r="AMR390" s="9"/>
      <c r="AMS390" s="9"/>
      <c r="AMT390" s="9"/>
      <c r="AMU390" s="9"/>
      <c r="AMV390" s="9"/>
      <c r="AMW390" s="9"/>
      <c r="AMX390" s="9"/>
      <c r="AMY390" s="9"/>
      <c r="AMZ390" s="9"/>
      <c r="ANA390" s="9"/>
      <c r="ANB390" s="9"/>
      <c r="ANC390" s="9"/>
      <c r="AND390" s="9"/>
      <c r="ANE390" s="9"/>
      <c r="ANF390" s="9"/>
      <c r="ANG390" s="9"/>
      <c r="ANH390" s="9"/>
      <c r="ANI390" s="9"/>
      <c r="ANJ390" s="9"/>
      <c r="ANK390" s="9"/>
      <c r="ANL390" s="9"/>
      <c r="ANM390" s="9"/>
      <c r="ANN390" s="9"/>
      <c r="ANO390" s="9"/>
      <c r="ANP390" s="9"/>
      <c r="ANQ390" s="9"/>
      <c r="ANR390" s="9"/>
      <c r="ANS390" s="9"/>
      <c r="ANT390" s="9"/>
      <c r="ANU390" s="9"/>
      <c r="ANV390" s="9"/>
      <c r="ANW390" s="9"/>
      <c r="ANX390" s="9"/>
      <c r="ANY390" s="9"/>
      <c r="ANZ390" s="9"/>
      <c r="AOA390" s="9"/>
      <c r="AOB390" s="9"/>
      <c r="AOC390" s="9"/>
      <c r="AOD390" s="9"/>
      <c r="AOE390" s="9"/>
      <c r="AOF390" s="9"/>
      <c r="AOG390" s="9"/>
      <c r="AOH390" s="9"/>
      <c r="AOI390" s="9"/>
      <c r="AOJ390" s="9"/>
      <c r="AOK390" s="9"/>
      <c r="AOL390" s="9"/>
      <c r="AOM390" s="9"/>
      <c r="AON390" s="9"/>
      <c r="AOO390" s="9"/>
      <c r="AOP390" s="9"/>
      <c r="AOQ390" s="9"/>
      <c r="AOR390" s="9"/>
      <c r="AOS390" s="9"/>
      <c r="AOT390" s="9"/>
      <c r="AOU390" s="9"/>
      <c r="AOV390" s="9"/>
      <c r="AOW390" s="9"/>
      <c r="AOX390" s="9"/>
      <c r="AOY390" s="9"/>
      <c r="AOZ390" s="9"/>
      <c r="APA390" s="9"/>
      <c r="APB390" s="9"/>
      <c r="APC390" s="9"/>
      <c r="APD390" s="9"/>
      <c r="APE390" s="9"/>
      <c r="APF390" s="9"/>
      <c r="APG390" s="9"/>
      <c r="APH390" s="9"/>
      <c r="API390" s="9"/>
      <c r="APJ390" s="9"/>
      <c r="APK390" s="9"/>
      <c r="APL390" s="9"/>
      <c r="APM390" s="9"/>
      <c r="APN390" s="9"/>
      <c r="APO390" s="9"/>
      <c r="APP390" s="9"/>
      <c r="APQ390" s="9"/>
      <c r="APR390" s="9"/>
      <c r="APS390" s="9"/>
      <c r="APT390" s="9"/>
      <c r="APU390" s="9"/>
      <c r="APV390" s="9"/>
      <c r="APW390" s="9"/>
      <c r="APX390" s="9"/>
      <c r="APY390" s="9"/>
      <c r="APZ390" s="9"/>
      <c r="AQA390" s="9"/>
      <c r="AQB390" s="9"/>
      <c r="AQC390" s="9"/>
      <c r="AQD390" s="9"/>
      <c r="AQE390" s="9"/>
      <c r="AQF390" s="9"/>
      <c r="AQG390" s="9"/>
      <c r="AQH390" s="9"/>
      <c r="AQI390" s="9"/>
      <c r="AQJ390" s="9"/>
      <c r="AQK390" s="9"/>
      <c r="AQL390" s="9"/>
      <c r="AQM390" s="9"/>
      <c r="AQN390" s="9"/>
      <c r="AQO390" s="9"/>
      <c r="AQP390" s="9"/>
      <c r="AQQ390" s="9"/>
      <c r="AQR390" s="9"/>
      <c r="AQS390" s="9"/>
      <c r="AQT390" s="9"/>
      <c r="AQU390" s="9"/>
      <c r="AQV390" s="9"/>
      <c r="AQW390" s="9"/>
      <c r="AQX390" s="9"/>
      <c r="AQY390" s="9"/>
      <c r="AQZ390" s="9"/>
      <c r="ARA390" s="9"/>
      <c r="ARB390" s="9"/>
      <c r="ARC390" s="9"/>
      <c r="ARD390" s="9"/>
      <c r="ARE390" s="9"/>
      <c r="ARF390" s="9"/>
      <c r="ARG390" s="9"/>
      <c r="ARH390" s="9"/>
      <c r="ARI390" s="9"/>
      <c r="ARJ390" s="9"/>
      <c r="ARK390" s="9"/>
      <c r="ARL390" s="9"/>
      <c r="ARM390" s="9"/>
      <c r="ARN390" s="9"/>
      <c r="ARO390" s="9"/>
      <c r="ARP390" s="9"/>
      <c r="ARQ390" s="9"/>
      <c r="ARR390" s="9"/>
      <c r="ARS390" s="9"/>
      <c r="ART390" s="9"/>
      <c r="ARU390" s="9"/>
      <c r="ARV390" s="9"/>
      <c r="ARW390" s="9"/>
      <c r="ARX390" s="9"/>
      <c r="ARY390" s="9"/>
      <c r="ARZ390" s="9"/>
      <c r="ASA390" s="9"/>
      <c r="ASB390" s="9"/>
      <c r="ASC390" s="9"/>
      <c r="ASD390" s="9"/>
      <c r="ASE390" s="9"/>
      <c r="ASF390" s="9"/>
      <c r="ASG390" s="9"/>
      <c r="ASH390" s="9"/>
      <c r="ASI390" s="9"/>
      <c r="ASJ390" s="9"/>
      <c r="ASK390" s="9"/>
      <c r="ASL390" s="9"/>
      <c r="ASM390" s="9"/>
      <c r="ASN390" s="9"/>
      <c r="ASO390" s="9"/>
      <c r="ASP390" s="9"/>
      <c r="ASQ390" s="9"/>
      <c r="ASR390" s="9"/>
      <c r="ASS390" s="9"/>
      <c r="AST390" s="9"/>
      <c r="ASU390" s="9"/>
      <c r="ASV390" s="9"/>
      <c r="ASW390" s="9"/>
      <c r="ASX390" s="9"/>
      <c r="ASY390" s="9"/>
      <c r="ASZ390" s="9"/>
      <c r="ATA390" s="9"/>
      <c r="ATB390" s="9"/>
      <c r="ATC390" s="9"/>
      <c r="ATD390" s="9"/>
      <c r="ATE390" s="9"/>
      <c r="ATF390" s="9"/>
      <c r="ATG390" s="9"/>
      <c r="ATH390" s="9"/>
      <c r="ATI390" s="9"/>
      <c r="ATJ390" s="9"/>
      <c r="ATK390" s="9"/>
      <c r="ATL390" s="9"/>
      <c r="ATM390" s="9"/>
      <c r="ATN390" s="9"/>
      <c r="ATO390" s="9"/>
      <c r="ATP390" s="9"/>
      <c r="ATQ390" s="9"/>
      <c r="ATR390" s="9"/>
      <c r="ATS390" s="9"/>
      <c r="ATT390" s="9"/>
      <c r="ATU390" s="9"/>
      <c r="ATV390" s="9"/>
      <c r="ATW390" s="9"/>
      <c r="ATX390" s="9"/>
      <c r="ATY390" s="9"/>
      <c r="ATZ390" s="9"/>
      <c r="AUA390" s="9"/>
      <c r="AUB390" s="9"/>
      <c r="AUC390" s="9"/>
      <c r="AUD390" s="9"/>
      <c r="AUE390" s="9"/>
      <c r="AUF390" s="9"/>
      <c r="AUG390" s="9"/>
      <c r="AUH390" s="9"/>
      <c r="AUI390" s="9"/>
      <c r="AUJ390" s="9"/>
      <c r="AUK390" s="9"/>
      <c r="AUL390" s="9"/>
      <c r="AUM390" s="9"/>
      <c r="AUN390" s="9"/>
      <c r="AUO390" s="9"/>
      <c r="AUP390" s="9"/>
      <c r="AUQ390" s="9"/>
      <c r="AUR390" s="9"/>
      <c r="AUS390" s="9"/>
      <c r="AUT390" s="9"/>
      <c r="AUU390" s="9"/>
      <c r="AUV390" s="9"/>
      <c r="AUW390" s="9"/>
      <c r="AUX390" s="9"/>
      <c r="AUY390" s="9"/>
      <c r="AUZ390" s="9"/>
      <c r="AVA390" s="9"/>
      <c r="AVB390" s="9"/>
      <c r="AVC390" s="9"/>
      <c r="AVD390" s="9"/>
      <c r="AVE390" s="9"/>
      <c r="AVF390" s="9"/>
      <c r="AVG390" s="9"/>
      <c r="AVH390" s="9"/>
      <c r="AVI390" s="9"/>
      <c r="AVJ390" s="9"/>
      <c r="AVK390" s="9"/>
      <c r="AVL390" s="9"/>
      <c r="AVM390" s="9"/>
      <c r="AVN390" s="9"/>
      <c r="AVO390" s="9"/>
      <c r="AVP390" s="9"/>
      <c r="AVQ390" s="9"/>
      <c r="AVR390" s="9"/>
      <c r="AVS390" s="9"/>
      <c r="AVT390" s="9"/>
      <c r="AVU390" s="9"/>
      <c r="AVV390" s="9"/>
      <c r="AVW390" s="9"/>
      <c r="AVX390" s="9"/>
      <c r="AVY390" s="9"/>
      <c r="AVZ390" s="9"/>
      <c r="AWA390" s="9"/>
      <c r="AWB390" s="9"/>
      <c r="AWC390" s="9"/>
      <c r="AWD390" s="9"/>
      <c r="AWE390" s="9"/>
      <c r="AWF390" s="9"/>
      <c r="AWG390" s="9"/>
      <c r="AWH390" s="9"/>
      <c r="AWI390" s="9"/>
      <c r="AWJ390" s="9"/>
      <c r="AWK390" s="9"/>
      <c r="AWL390" s="9"/>
      <c r="AWM390" s="9"/>
      <c r="AWN390" s="9"/>
      <c r="AWO390" s="9"/>
      <c r="AWP390" s="9"/>
      <c r="AWQ390" s="9"/>
      <c r="AWR390" s="9"/>
      <c r="AWS390" s="9"/>
      <c r="AWT390" s="9"/>
      <c r="AWU390" s="9"/>
      <c r="AWV390" s="9"/>
      <c r="AWW390" s="9"/>
      <c r="AWX390" s="9"/>
      <c r="AWY390" s="9"/>
      <c r="AWZ390" s="9"/>
      <c r="AXA390" s="9"/>
      <c r="AXB390" s="9"/>
      <c r="AXC390" s="9"/>
      <c r="AXD390" s="9"/>
      <c r="AXE390" s="9"/>
      <c r="AXF390" s="9"/>
      <c r="AXG390" s="9"/>
      <c r="AXH390" s="9"/>
      <c r="AXI390" s="9"/>
      <c r="AXJ390" s="9"/>
      <c r="AXK390" s="9"/>
      <c r="AXL390" s="9"/>
      <c r="AXM390" s="9"/>
      <c r="AXN390" s="9"/>
      <c r="AXO390" s="9"/>
      <c r="AXP390" s="9"/>
      <c r="AXQ390" s="9"/>
      <c r="AXR390" s="9"/>
      <c r="AXS390" s="9"/>
      <c r="AXT390" s="9"/>
      <c r="AXU390" s="9"/>
      <c r="AXV390" s="9"/>
      <c r="AXW390" s="9"/>
      <c r="AXX390" s="9"/>
      <c r="AXY390" s="9"/>
      <c r="AXZ390" s="9"/>
      <c r="AYA390" s="9"/>
      <c r="AYB390" s="9"/>
      <c r="AYC390" s="9"/>
      <c r="AYD390" s="9"/>
      <c r="AYE390" s="9"/>
      <c r="AYF390" s="9"/>
      <c r="AYG390" s="9"/>
      <c r="AYH390" s="9"/>
      <c r="AYI390" s="9"/>
      <c r="AYJ390" s="9"/>
      <c r="AYK390" s="9"/>
      <c r="AYL390" s="9"/>
      <c r="AYM390" s="9"/>
      <c r="AYN390" s="9"/>
      <c r="AYO390" s="9"/>
      <c r="AYP390" s="9"/>
      <c r="AYQ390" s="9"/>
      <c r="AYR390" s="9"/>
      <c r="AYS390" s="9"/>
      <c r="AYT390" s="9"/>
      <c r="AYU390" s="9"/>
      <c r="AYV390" s="9"/>
      <c r="AYW390" s="9"/>
      <c r="AYX390" s="9"/>
      <c r="AYY390" s="9"/>
      <c r="AYZ390" s="9"/>
      <c r="AZA390" s="9"/>
      <c r="AZB390" s="9"/>
      <c r="AZC390" s="9"/>
      <c r="AZD390" s="9"/>
      <c r="AZE390" s="9"/>
      <c r="AZF390" s="9"/>
      <c r="AZG390" s="9"/>
      <c r="AZH390" s="9"/>
      <c r="AZI390" s="9"/>
      <c r="AZJ390" s="9"/>
      <c r="AZK390" s="9"/>
      <c r="AZL390" s="9"/>
      <c r="AZM390" s="9"/>
      <c r="AZN390" s="9"/>
      <c r="AZO390" s="9"/>
      <c r="AZP390" s="9"/>
      <c r="AZQ390" s="9"/>
      <c r="AZR390" s="9"/>
      <c r="AZS390" s="9"/>
      <c r="AZT390" s="9"/>
      <c r="AZU390" s="9"/>
      <c r="AZV390" s="9"/>
      <c r="AZW390" s="9"/>
      <c r="AZX390" s="9"/>
      <c r="AZY390" s="9"/>
      <c r="AZZ390" s="9"/>
      <c r="BAA390" s="9"/>
      <c r="BAB390" s="9"/>
      <c r="BAC390" s="9"/>
      <c r="BAD390" s="9"/>
      <c r="BAE390" s="9"/>
      <c r="BAF390" s="9"/>
      <c r="BAG390" s="9"/>
      <c r="BAH390" s="9"/>
      <c r="BAI390" s="9"/>
      <c r="BAJ390" s="9"/>
      <c r="BAK390" s="9"/>
      <c r="BAL390" s="9"/>
      <c r="BAM390" s="9"/>
      <c r="BAN390" s="9"/>
      <c r="BAO390" s="9"/>
      <c r="BAP390" s="9"/>
      <c r="BAQ390" s="9"/>
      <c r="BAR390" s="9"/>
      <c r="BAS390" s="9"/>
      <c r="BAT390" s="9"/>
      <c r="BAU390" s="9"/>
      <c r="BAV390" s="9"/>
      <c r="BAW390" s="9"/>
      <c r="BAX390" s="9"/>
      <c r="BAY390" s="9"/>
      <c r="BAZ390" s="9"/>
      <c r="BBA390" s="9"/>
      <c r="BBB390" s="9"/>
      <c r="BBC390" s="9"/>
      <c r="BBD390" s="9"/>
      <c r="BBE390" s="9"/>
      <c r="BBF390" s="9"/>
      <c r="BBG390" s="9"/>
      <c r="BBH390" s="9"/>
      <c r="BBI390" s="9"/>
      <c r="BBJ390" s="9"/>
      <c r="BBK390" s="9"/>
      <c r="BBL390" s="9"/>
      <c r="BBM390" s="9"/>
      <c r="BBN390" s="9"/>
      <c r="BBO390" s="9"/>
      <c r="BBP390" s="9"/>
      <c r="BBQ390" s="9"/>
      <c r="BBR390" s="9"/>
      <c r="BBS390" s="9"/>
      <c r="BBT390" s="9"/>
      <c r="BBU390" s="9"/>
      <c r="BBV390" s="9"/>
      <c r="BBW390" s="9"/>
      <c r="BBX390" s="9"/>
      <c r="BBY390" s="9"/>
      <c r="BBZ390" s="9"/>
      <c r="BCA390" s="9"/>
      <c r="BCB390" s="9"/>
      <c r="BCC390" s="9"/>
      <c r="BCD390" s="9"/>
      <c r="BCE390" s="9"/>
      <c r="BCF390" s="9"/>
      <c r="BCG390" s="9"/>
      <c r="BCH390" s="9"/>
      <c r="BCI390" s="9"/>
      <c r="BCJ390" s="9"/>
      <c r="BCK390" s="9"/>
      <c r="BCL390" s="9"/>
      <c r="BCM390" s="9"/>
      <c r="BCN390" s="9"/>
      <c r="BCO390" s="9"/>
      <c r="BCP390" s="9"/>
      <c r="BCQ390" s="9"/>
      <c r="BCR390" s="9"/>
      <c r="BCS390" s="9"/>
      <c r="BCT390" s="9"/>
      <c r="BCU390" s="9"/>
      <c r="BCV390" s="9"/>
      <c r="BCW390" s="9"/>
      <c r="BCX390" s="9"/>
      <c r="BCY390" s="9"/>
      <c r="BCZ390" s="9"/>
      <c r="BDA390" s="9"/>
      <c r="BDB390" s="9"/>
      <c r="BDC390" s="9"/>
      <c r="BDD390" s="9"/>
      <c r="BDE390" s="9"/>
      <c r="BDF390" s="9"/>
      <c r="BDG390" s="9"/>
      <c r="BDH390" s="9"/>
      <c r="BDI390" s="9"/>
      <c r="BDJ390" s="9"/>
      <c r="BDK390" s="9"/>
      <c r="BDL390" s="9"/>
      <c r="BDM390" s="9"/>
      <c r="BDN390" s="9"/>
      <c r="BDO390" s="9"/>
      <c r="BDP390" s="9"/>
      <c r="BDQ390" s="9"/>
      <c r="BDR390" s="9"/>
      <c r="BDS390" s="9"/>
      <c r="BDT390" s="9"/>
      <c r="BDU390" s="9"/>
      <c r="BDV390" s="9"/>
      <c r="BDW390" s="9"/>
      <c r="BDX390" s="9"/>
      <c r="BDY390" s="9"/>
      <c r="BDZ390" s="9"/>
      <c r="BEA390" s="9"/>
      <c r="BEB390" s="9"/>
      <c r="BEC390" s="9"/>
      <c r="BED390" s="9"/>
      <c r="BEE390" s="9"/>
      <c r="BEF390" s="9"/>
      <c r="BEG390" s="9"/>
      <c r="BEH390" s="9"/>
      <c r="BEI390" s="9"/>
      <c r="BEJ390" s="9"/>
      <c r="BEK390" s="9"/>
      <c r="BEL390" s="9"/>
      <c r="BEM390" s="9"/>
      <c r="BEN390" s="9"/>
      <c r="BEO390" s="9"/>
      <c r="BEP390" s="9"/>
      <c r="BEQ390" s="9"/>
      <c r="BER390" s="9"/>
      <c r="BES390" s="9"/>
      <c r="BET390" s="9"/>
      <c r="BEU390" s="9"/>
      <c r="BEV390" s="9"/>
      <c r="BEW390" s="9"/>
      <c r="BEX390" s="9"/>
      <c r="BEY390" s="9"/>
      <c r="BEZ390" s="9"/>
      <c r="BFA390" s="9"/>
      <c r="BFB390" s="9"/>
      <c r="BFC390" s="9"/>
      <c r="BFD390" s="9"/>
      <c r="BFE390" s="9"/>
      <c r="BFF390" s="9"/>
      <c r="BFG390" s="9"/>
      <c r="BFH390" s="9"/>
      <c r="BFI390" s="9"/>
      <c r="BFJ390" s="9"/>
      <c r="BFK390" s="9"/>
      <c r="BFL390" s="9"/>
      <c r="BFM390" s="9"/>
      <c r="BFN390" s="9"/>
      <c r="BFO390" s="9"/>
      <c r="BFP390" s="9"/>
      <c r="BFQ390" s="9"/>
      <c r="BFR390" s="9"/>
      <c r="BFS390" s="9"/>
      <c r="BFT390" s="9"/>
      <c r="BFU390" s="9"/>
      <c r="BFV390" s="9"/>
      <c r="BFW390" s="9"/>
      <c r="BFX390" s="9"/>
      <c r="BFY390" s="9"/>
      <c r="BFZ390" s="9"/>
      <c r="BGA390" s="9"/>
      <c r="BGB390" s="9"/>
      <c r="BGC390" s="9"/>
      <c r="BGD390" s="9"/>
      <c r="BGE390" s="9"/>
      <c r="BGF390" s="9"/>
      <c r="BGG390" s="9"/>
      <c r="BGH390" s="9"/>
      <c r="BGI390" s="9"/>
      <c r="BGJ390" s="9"/>
      <c r="BGK390" s="9"/>
      <c r="BGL390" s="9"/>
      <c r="BGM390" s="9"/>
      <c r="BGN390" s="9"/>
      <c r="BGO390" s="9"/>
      <c r="BGP390" s="9"/>
      <c r="BGQ390" s="9"/>
      <c r="BGR390" s="9"/>
      <c r="BGS390" s="9"/>
      <c r="BGT390" s="9"/>
      <c r="BGU390" s="9"/>
      <c r="BGV390" s="9"/>
      <c r="BGW390" s="9"/>
      <c r="BGX390" s="9"/>
      <c r="BGY390" s="9"/>
      <c r="BGZ390" s="9"/>
      <c r="BHA390" s="9"/>
      <c r="BHB390" s="9"/>
      <c r="BHC390" s="9"/>
      <c r="BHD390" s="9"/>
      <c r="BHE390" s="9"/>
      <c r="BHF390" s="9"/>
      <c r="BHG390" s="9"/>
      <c r="BHH390" s="9"/>
      <c r="BHI390" s="9"/>
      <c r="BHJ390" s="9"/>
      <c r="BHK390" s="9"/>
      <c r="BHL390" s="9"/>
      <c r="BHM390" s="9"/>
      <c r="BHN390" s="9"/>
      <c r="BHO390" s="9"/>
      <c r="BHP390" s="9"/>
      <c r="BHQ390" s="9"/>
      <c r="BHR390" s="9"/>
      <c r="BHS390" s="9"/>
      <c r="BHT390" s="9"/>
      <c r="BHU390" s="9"/>
      <c r="BHV390" s="9"/>
      <c r="BHW390" s="9"/>
      <c r="BHX390" s="9"/>
      <c r="BHY390" s="9"/>
      <c r="BHZ390" s="9"/>
      <c r="BIA390" s="9"/>
      <c r="BIB390" s="9"/>
      <c r="BIC390" s="9"/>
      <c r="BID390" s="9"/>
      <c r="BIE390" s="9"/>
      <c r="BIF390" s="9"/>
      <c r="BIG390" s="9"/>
      <c r="BIH390" s="9"/>
      <c r="BII390" s="9"/>
      <c r="BIJ390" s="9"/>
      <c r="BIK390" s="9"/>
      <c r="BIL390" s="9"/>
      <c r="BIM390" s="9"/>
      <c r="BIN390" s="9"/>
      <c r="BIO390" s="9"/>
      <c r="BIP390" s="9"/>
      <c r="BIQ390" s="9"/>
      <c r="BIR390" s="9"/>
      <c r="BIS390" s="9"/>
      <c r="BIT390" s="9"/>
      <c r="BIU390" s="9"/>
      <c r="BIV390" s="9"/>
      <c r="BIW390" s="9"/>
      <c r="BIX390" s="9"/>
      <c r="BIY390" s="9"/>
      <c r="BIZ390" s="9"/>
      <c r="BJA390" s="9"/>
      <c r="BJB390" s="9"/>
      <c r="BJC390" s="9"/>
      <c r="BJD390" s="9"/>
      <c r="BJE390" s="9"/>
      <c r="BJF390" s="9"/>
      <c r="BJG390" s="9"/>
      <c r="BJH390" s="9"/>
      <c r="BJI390" s="9"/>
      <c r="BJJ390" s="9"/>
      <c r="BJK390" s="9"/>
      <c r="BJL390" s="9"/>
      <c r="BJM390" s="9"/>
      <c r="BJN390" s="9"/>
      <c r="BJO390" s="9"/>
      <c r="BJP390" s="9"/>
      <c r="BJQ390" s="9"/>
      <c r="BJR390" s="9"/>
      <c r="BJS390" s="9"/>
      <c r="BJT390" s="9"/>
      <c r="BJU390" s="9"/>
      <c r="BJV390" s="9"/>
      <c r="BJW390" s="9"/>
      <c r="BJX390" s="9"/>
      <c r="BJY390" s="9"/>
      <c r="BJZ390" s="9"/>
      <c r="BKA390" s="9"/>
      <c r="BKB390" s="9"/>
      <c r="BKC390" s="9"/>
      <c r="BKD390" s="9"/>
      <c r="BKE390" s="9"/>
      <c r="BKF390" s="9"/>
      <c r="BKG390" s="9"/>
      <c r="BKH390" s="9"/>
      <c r="BKI390" s="9"/>
      <c r="BKJ390" s="9"/>
      <c r="BKK390" s="9"/>
      <c r="BKL390" s="9"/>
      <c r="BKM390" s="9"/>
      <c r="BKN390" s="9"/>
      <c r="BKO390" s="9"/>
      <c r="BKP390" s="9"/>
      <c r="BKQ390" s="9"/>
      <c r="BKR390" s="9"/>
      <c r="BKS390" s="9"/>
      <c r="BKT390" s="9"/>
      <c r="BKU390" s="9"/>
      <c r="BKV390" s="9"/>
      <c r="BKW390" s="9"/>
      <c r="BKX390" s="9"/>
      <c r="BKY390" s="9"/>
      <c r="BKZ390" s="9"/>
      <c r="BLA390" s="9"/>
      <c r="BLB390" s="9"/>
      <c r="BLC390" s="9"/>
      <c r="BLD390" s="9"/>
      <c r="BLE390" s="9"/>
      <c r="BLF390" s="9"/>
      <c r="BLG390" s="9"/>
      <c r="BLH390" s="9"/>
      <c r="BLI390" s="9"/>
      <c r="BLJ390" s="9"/>
      <c r="BLK390" s="9"/>
      <c r="BLL390" s="9"/>
      <c r="BLM390" s="9"/>
      <c r="BLN390" s="9"/>
      <c r="BLO390" s="9"/>
      <c r="BLP390" s="9"/>
      <c r="BLQ390" s="9"/>
      <c r="BLR390" s="9"/>
      <c r="BLS390" s="9"/>
      <c r="BLT390" s="9"/>
      <c r="BLU390" s="9"/>
      <c r="BLV390" s="9"/>
      <c r="BLW390" s="9"/>
      <c r="BLX390" s="9"/>
      <c r="BLY390" s="9"/>
      <c r="BLZ390" s="9"/>
      <c r="BMA390" s="9"/>
      <c r="BMB390" s="9"/>
      <c r="BMC390" s="9"/>
      <c r="BMD390" s="9"/>
      <c r="BME390" s="9"/>
      <c r="BMF390" s="9"/>
      <c r="BMG390" s="9"/>
      <c r="BMH390" s="9"/>
      <c r="BMI390" s="9"/>
      <c r="BMJ390" s="9"/>
      <c r="BMK390" s="9"/>
      <c r="BML390" s="9"/>
      <c r="BMM390" s="9"/>
      <c r="BMN390" s="9"/>
      <c r="BMO390" s="9"/>
      <c r="BMP390" s="9"/>
      <c r="BMQ390" s="9"/>
      <c r="BMR390" s="9"/>
      <c r="BMS390" s="9"/>
      <c r="BMT390" s="9"/>
      <c r="BMU390" s="9"/>
      <c r="BMV390" s="9"/>
      <c r="BMW390" s="9"/>
      <c r="BMX390" s="9"/>
      <c r="BMY390" s="9"/>
      <c r="BMZ390" s="9"/>
      <c r="BNA390" s="9"/>
      <c r="BNB390" s="9"/>
      <c r="BNC390" s="9"/>
      <c r="BND390" s="9"/>
      <c r="BNE390" s="9"/>
      <c r="BNF390" s="9"/>
      <c r="BNG390" s="9"/>
      <c r="BNH390" s="9"/>
      <c r="BNI390" s="9"/>
      <c r="BNJ390" s="9"/>
      <c r="BNK390" s="9"/>
      <c r="BNL390" s="9"/>
      <c r="BNM390" s="9"/>
      <c r="BNN390" s="9"/>
      <c r="BNO390" s="9"/>
      <c r="BNP390" s="9"/>
      <c r="BNQ390" s="9"/>
      <c r="BNR390" s="9"/>
      <c r="BNS390" s="9"/>
      <c r="BNT390" s="9"/>
      <c r="BNU390" s="9"/>
      <c r="BNV390" s="9"/>
      <c r="BNW390" s="9"/>
      <c r="BNX390" s="9"/>
      <c r="BNY390" s="9"/>
      <c r="BNZ390" s="9"/>
      <c r="BOA390" s="9"/>
      <c r="BOB390" s="9"/>
      <c r="BOC390" s="9"/>
      <c r="BOD390" s="9"/>
      <c r="BOE390" s="9"/>
      <c r="BOF390" s="9"/>
      <c r="BOG390" s="9"/>
      <c r="BOH390" s="9"/>
      <c r="BOI390" s="9"/>
      <c r="BOJ390" s="9"/>
      <c r="BOK390" s="9"/>
      <c r="BOL390" s="9"/>
      <c r="BOM390" s="9"/>
      <c r="BON390" s="9"/>
      <c r="BOO390" s="9"/>
      <c r="BOP390" s="9"/>
      <c r="BOQ390" s="9"/>
      <c r="BOR390" s="9"/>
      <c r="BOS390" s="9"/>
      <c r="BOT390" s="9"/>
      <c r="BOU390" s="9"/>
      <c r="BOV390" s="9"/>
      <c r="BOW390" s="9"/>
      <c r="BOX390" s="9"/>
      <c r="BOY390" s="9"/>
      <c r="BOZ390" s="9"/>
      <c r="BPA390" s="9"/>
      <c r="BPB390" s="9"/>
      <c r="BPC390" s="9"/>
      <c r="BPD390" s="9"/>
      <c r="BPE390" s="9"/>
      <c r="BPF390" s="9"/>
      <c r="BPG390" s="9"/>
      <c r="BPH390" s="9"/>
      <c r="BPI390" s="9"/>
      <c r="BPJ390" s="9"/>
      <c r="BPK390" s="9"/>
      <c r="BPL390" s="9"/>
      <c r="BPM390" s="9"/>
      <c r="BPN390" s="9"/>
      <c r="BPO390" s="9"/>
      <c r="BPP390" s="9"/>
      <c r="BPQ390" s="9"/>
      <c r="BPR390" s="9"/>
      <c r="BPS390" s="9"/>
      <c r="BPT390" s="9"/>
      <c r="BPU390" s="9"/>
      <c r="BPV390" s="9"/>
      <c r="BPW390" s="9"/>
      <c r="BPX390" s="9"/>
      <c r="BPY390" s="9"/>
      <c r="BPZ390" s="9"/>
      <c r="BQA390" s="9"/>
      <c r="BQB390" s="9"/>
      <c r="BQC390" s="9"/>
      <c r="BQD390" s="9"/>
      <c r="BQE390" s="9"/>
      <c r="BQF390" s="9"/>
      <c r="BQG390" s="9"/>
      <c r="BQH390" s="9"/>
      <c r="BQI390" s="9"/>
      <c r="BQJ390" s="9"/>
      <c r="BQK390" s="9"/>
      <c r="BQL390" s="9"/>
      <c r="BQM390" s="9"/>
      <c r="BQN390" s="9"/>
      <c r="BQO390" s="9"/>
      <c r="BQP390" s="9"/>
      <c r="BQQ390" s="9"/>
      <c r="BQR390" s="9"/>
      <c r="BQS390" s="9"/>
      <c r="BQT390" s="9"/>
      <c r="BQU390" s="9"/>
      <c r="BQV390" s="9"/>
      <c r="BQW390" s="9"/>
      <c r="BQX390" s="9"/>
      <c r="BQY390" s="9"/>
      <c r="BQZ390" s="9"/>
      <c r="BRA390" s="9"/>
      <c r="BRB390" s="9"/>
      <c r="BRC390" s="9"/>
      <c r="BRD390" s="9"/>
      <c r="BRE390" s="9"/>
      <c r="BRF390" s="9"/>
      <c r="BRG390" s="9"/>
      <c r="BRH390" s="9"/>
      <c r="BRI390" s="9"/>
      <c r="BRJ390" s="9"/>
      <c r="BRK390" s="9"/>
      <c r="BRL390" s="9"/>
      <c r="BRM390" s="9"/>
      <c r="BRN390" s="9"/>
      <c r="BRO390" s="9"/>
      <c r="BRP390" s="9"/>
      <c r="BRQ390" s="9"/>
      <c r="BRR390" s="9"/>
      <c r="BRS390" s="9"/>
      <c r="BRT390" s="9"/>
      <c r="BRU390" s="9"/>
      <c r="BRV390" s="9"/>
      <c r="BRW390" s="9"/>
      <c r="BRX390" s="9"/>
      <c r="BRY390" s="9"/>
      <c r="BRZ390" s="9"/>
      <c r="BSA390" s="9"/>
      <c r="BSB390" s="9"/>
      <c r="BSC390" s="9"/>
      <c r="BSD390" s="9"/>
      <c r="BSE390" s="9"/>
      <c r="BSF390" s="9"/>
      <c r="BSG390" s="9"/>
      <c r="BSH390" s="9"/>
      <c r="BSI390" s="9"/>
      <c r="BSJ390" s="9"/>
      <c r="BSK390" s="9"/>
      <c r="BSL390" s="9"/>
      <c r="BSM390" s="9"/>
      <c r="BSN390" s="9"/>
      <c r="BSO390" s="9"/>
      <c r="BSP390" s="9"/>
      <c r="BSQ390" s="9"/>
      <c r="BSR390" s="9"/>
      <c r="BSS390" s="9"/>
      <c r="BST390" s="9"/>
      <c r="BSU390" s="9"/>
      <c r="BSV390" s="9"/>
      <c r="BSW390" s="9"/>
      <c r="BSX390" s="9"/>
      <c r="BSY390" s="9"/>
      <c r="BSZ390" s="9"/>
      <c r="BTA390" s="9"/>
    </row>
    <row r="391" spans="1:1873" s="2" customFormat="1" x14ac:dyDescent="0.2">
      <c r="A391" s="522"/>
      <c r="B391" s="234"/>
      <c r="C391" s="522"/>
      <c r="D391" s="234"/>
      <c r="E391" s="493"/>
      <c r="F391" s="523"/>
      <c r="G391" s="522"/>
      <c r="H391" s="524"/>
      <c r="I391" s="522"/>
      <c r="J391" s="524"/>
      <c r="K391" s="524"/>
      <c r="L391" s="522"/>
      <c r="M391" s="525"/>
      <c r="N391" s="389"/>
      <c r="O391" s="29"/>
      <c r="P391" s="525"/>
      <c r="Q391" s="234"/>
      <c r="R391" s="389"/>
      <c r="S391" s="234"/>
      <c r="T391" s="530"/>
      <c r="U391" s="234"/>
      <c r="V391" s="234"/>
      <c r="W391" s="389"/>
      <c r="X391" s="491"/>
      <c r="Y391" s="491"/>
      <c r="Z391" s="390"/>
      <c r="AA391" s="520"/>
      <c r="AB391" s="389"/>
      <c r="AC391" s="522"/>
      <c r="AD391" s="526"/>
      <c r="AE391" s="522"/>
      <c r="AF391" s="522"/>
      <c r="AG391" s="522"/>
      <c r="AH391" s="522"/>
      <c r="AI391" s="234"/>
      <c r="AJ391" s="234"/>
      <c r="AK391" s="522"/>
      <c r="AL391" s="522"/>
      <c r="AM391" s="234"/>
      <c r="AN391" s="522"/>
      <c r="AO391" s="234"/>
      <c r="AP391" s="234"/>
      <c r="AQ391" s="522"/>
      <c r="AR391" s="234"/>
      <c r="AS391" s="234"/>
      <c r="AT391" s="234"/>
      <c r="AU391" s="234"/>
      <c r="AV391" s="234"/>
      <c r="AW391" s="234"/>
      <c r="AX391" s="234"/>
      <c r="AY391" s="234"/>
      <c r="AZ391" s="234"/>
      <c r="BA391" s="234"/>
      <c r="BB391" s="522"/>
      <c r="BC391" s="522"/>
      <c r="BD391" s="522"/>
      <c r="BE391" s="234"/>
      <c r="BF391" s="522"/>
      <c r="BG391" s="522"/>
      <c r="BH391" s="234"/>
      <c r="BI391" s="234"/>
      <c r="BJ391" s="234"/>
      <c r="BK391" s="234"/>
      <c r="BL391" s="234"/>
      <c r="BM391" s="234"/>
      <c r="BN391" s="234"/>
      <c r="BO391" s="234"/>
      <c r="BP391" s="234"/>
      <c r="BQ391" s="234"/>
      <c r="BR391" s="234"/>
      <c r="BS391" s="491"/>
      <c r="BT391" s="234"/>
      <c r="BU391" s="234"/>
      <c r="BV391" s="234"/>
      <c r="BW391" s="234"/>
      <c r="BX391" s="234"/>
      <c r="BY391" s="234"/>
      <c r="BZ391" s="496"/>
      <c r="CA391" s="527"/>
      <c r="CB391" s="528"/>
      <c r="CC391" s="117"/>
      <c r="CD391" s="10"/>
      <c r="CE391" s="342" t="s">
        <v>1576</v>
      </c>
      <c r="CF391" s="342" t="s">
        <v>1575</v>
      </c>
      <c r="CG391" s="14"/>
    </row>
    <row r="392" spans="1:1873" s="118" customFormat="1" ht="13.15" customHeight="1" x14ac:dyDescent="0.2">
      <c r="A392" s="522" t="s">
        <v>1424</v>
      </c>
      <c r="B392" s="234" t="s">
        <v>42</v>
      </c>
      <c r="C392" s="522" t="s">
        <v>53</v>
      </c>
      <c r="D392" s="234" t="s">
        <v>619</v>
      </c>
      <c r="E392" s="493" t="s">
        <v>1503</v>
      </c>
      <c r="F392" s="523">
        <v>1</v>
      </c>
      <c r="G392" s="522">
        <v>1</v>
      </c>
      <c r="H392" s="524">
        <v>1</v>
      </c>
      <c r="I392" s="234" t="s">
        <v>954</v>
      </c>
      <c r="J392" s="524">
        <v>1981</v>
      </c>
      <c r="K392" s="524" t="s">
        <v>957</v>
      </c>
      <c r="L392" s="522">
        <v>1981</v>
      </c>
      <c r="M392" s="525">
        <v>1</v>
      </c>
      <c r="N392" s="389">
        <v>-9999</v>
      </c>
      <c r="O392" s="29"/>
      <c r="P392" s="525">
        <f>+M392</f>
        <v>1</v>
      </c>
      <c r="Q392" s="234">
        <v>-9999</v>
      </c>
      <c r="R392" s="389"/>
      <c r="S392" s="234"/>
      <c r="T392" s="237">
        <f>+P392/G392</f>
        <v>1</v>
      </c>
      <c r="U392" s="234">
        <v>-9999</v>
      </c>
      <c r="V392" s="234"/>
      <c r="W392" s="412">
        <f>+P392</f>
        <v>1</v>
      </c>
      <c r="X392" s="491">
        <v>-9999</v>
      </c>
      <c r="Y392" s="491"/>
      <c r="Z392" s="390" t="s">
        <v>1704</v>
      </c>
      <c r="AA392" s="520">
        <v>20833</v>
      </c>
      <c r="AB392" s="389">
        <v>0.89</v>
      </c>
      <c r="AC392" s="522">
        <v>1.2</v>
      </c>
      <c r="AD392" s="526">
        <v>125</v>
      </c>
      <c r="AE392" s="522" t="s">
        <v>168</v>
      </c>
      <c r="AF392" s="522">
        <v>3</v>
      </c>
      <c r="AG392" s="522" t="s">
        <v>776</v>
      </c>
      <c r="AH392" s="522" t="s">
        <v>623</v>
      </c>
      <c r="AI392" s="234">
        <v>-9999</v>
      </c>
      <c r="AJ392" s="234">
        <v>-9999</v>
      </c>
      <c r="AK392" s="522" t="s">
        <v>626</v>
      </c>
      <c r="AL392" s="522" t="s">
        <v>272</v>
      </c>
      <c r="AM392" s="234">
        <v>-9999</v>
      </c>
      <c r="AN392" s="522" t="s">
        <v>779</v>
      </c>
      <c r="AO392" s="522" t="s">
        <v>51</v>
      </c>
      <c r="AP392" s="522" t="s">
        <v>52</v>
      </c>
      <c r="AQ392" s="522" t="s">
        <v>779</v>
      </c>
      <c r="AR392" s="234" t="s">
        <v>52</v>
      </c>
      <c r="AS392" s="234">
        <v>-9999</v>
      </c>
      <c r="AT392" s="234" t="s">
        <v>749</v>
      </c>
      <c r="AU392" s="234" t="s">
        <v>52</v>
      </c>
      <c r="AV392" s="234">
        <v>-9999</v>
      </c>
      <c r="AW392" s="234" t="s">
        <v>749</v>
      </c>
      <c r="AX392" s="234" t="s">
        <v>52</v>
      </c>
      <c r="AY392" s="234">
        <v>-9999</v>
      </c>
      <c r="AZ392" s="234" t="s">
        <v>749</v>
      </c>
      <c r="BA392" s="234">
        <v>-9999</v>
      </c>
      <c r="BB392" s="522" t="s">
        <v>626</v>
      </c>
      <c r="BC392" s="522" t="s">
        <v>273</v>
      </c>
      <c r="BD392" s="522" t="s">
        <v>642</v>
      </c>
      <c r="BE392" s="234">
        <v>-9999</v>
      </c>
      <c r="BF392" s="522" t="s">
        <v>274</v>
      </c>
      <c r="BG392" s="522" t="s">
        <v>275</v>
      </c>
      <c r="BH392" s="234">
        <v>-9999</v>
      </c>
      <c r="BI392" s="234">
        <v>-9999</v>
      </c>
      <c r="BJ392" s="234">
        <v>-9999</v>
      </c>
      <c r="BK392" s="234">
        <v>-9999</v>
      </c>
      <c r="BL392" s="234">
        <f>(1.9+1.7)/2</f>
        <v>1.7999999999999998</v>
      </c>
      <c r="BM392" s="234">
        <v>-9999</v>
      </c>
      <c r="BN392" s="234">
        <f>(1.5+1.4)/2</f>
        <v>1.45</v>
      </c>
      <c r="BO392" s="234">
        <v>-9999</v>
      </c>
      <c r="BP392" s="234">
        <v>-9999</v>
      </c>
      <c r="BQ392" s="234">
        <v>-9999</v>
      </c>
      <c r="BR392" s="234">
        <v>-9999</v>
      </c>
      <c r="BS392" s="491">
        <v>-9999</v>
      </c>
      <c r="BT392" s="234">
        <v>-9999</v>
      </c>
      <c r="BU392" s="234">
        <v>-9999</v>
      </c>
      <c r="BV392" s="234">
        <v>-9999</v>
      </c>
      <c r="BW392" s="234"/>
      <c r="BX392" s="234">
        <v>-9999</v>
      </c>
      <c r="BY392" s="234">
        <v>-9999</v>
      </c>
      <c r="BZ392" s="496">
        <v>-9999</v>
      </c>
      <c r="CA392" s="527">
        <v>15</v>
      </c>
      <c r="CB392" s="531"/>
      <c r="CC392" s="117">
        <v>1</v>
      </c>
      <c r="CD392" s="10">
        <v>1</v>
      </c>
      <c r="CE392" s="343">
        <v>1</v>
      </c>
      <c r="CF392" s="343">
        <v>1</v>
      </c>
      <c r="CG392" s="14">
        <v>1</v>
      </c>
    </row>
    <row r="393" spans="1:1873" s="118" customFormat="1" ht="13.15" customHeight="1" x14ac:dyDescent="0.2">
      <c r="A393" s="522" t="s">
        <v>1424</v>
      </c>
      <c r="B393" s="234" t="s">
        <v>42</v>
      </c>
      <c r="C393" s="522" t="s">
        <v>53</v>
      </c>
      <c r="D393" s="234" t="s">
        <v>619</v>
      </c>
      <c r="E393" s="493" t="s">
        <v>1503</v>
      </c>
      <c r="F393" s="523">
        <v>1</v>
      </c>
      <c r="G393" s="522">
        <v>2</v>
      </c>
      <c r="H393" s="524">
        <v>2</v>
      </c>
      <c r="I393" s="234" t="s">
        <v>954</v>
      </c>
      <c r="J393" s="524">
        <v>1981</v>
      </c>
      <c r="K393" s="524" t="s">
        <v>957</v>
      </c>
      <c r="L393" s="522">
        <v>1982</v>
      </c>
      <c r="M393" s="525">
        <v>12.7</v>
      </c>
      <c r="N393" s="389">
        <v>-9999</v>
      </c>
      <c r="O393" s="29"/>
      <c r="P393" s="525">
        <f>+M393</f>
        <v>12.7</v>
      </c>
      <c r="Q393" s="234">
        <v>-9999</v>
      </c>
      <c r="R393" s="389"/>
      <c r="S393" s="234"/>
      <c r="T393" s="237">
        <f>+P393/G393</f>
        <v>6.35</v>
      </c>
      <c r="U393" s="234">
        <v>-9999</v>
      </c>
      <c r="V393" s="234"/>
      <c r="W393" s="412">
        <f>+P393-P392</f>
        <v>11.7</v>
      </c>
      <c r="X393" s="491">
        <v>-9999</v>
      </c>
      <c r="Y393" s="491"/>
      <c r="Z393" s="390" t="s">
        <v>1704</v>
      </c>
      <c r="AA393" s="520">
        <v>20833</v>
      </c>
      <c r="AB393" s="389">
        <v>0.89</v>
      </c>
      <c r="AC393" s="522">
        <v>1.2</v>
      </c>
      <c r="AD393" s="526">
        <v>125</v>
      </c>
      <c r="AE393" s="522" t="s">
        <v>168</v>
      </c>
      <c r="AF393" s="522">
        <v>3</v>
      </c>
      <c r="AG393" s="522" t="s">
        <v>776</v>
      </c>
      <c r="AH393" s="522" t="s">
        <v>623</v>
      </c>
      <c r="AI393" s="234">
        <v>-9999</v>
      </c>
      <c r="AJ393" s="234">
        <v>-9999</v>
      </c>
      <c r="AK393" s="522" t="s">
        <v>626</v>
      </c>
      <c r="AL393" s="522" t="s">
        <v>272</v>
      </c>
      <c r="AM393" s="234">
        <v>-9999</v>
      </c>
      <c r="AN393" s="522" t="s">
        <v>779</v>
      </c>
      <c r="AO393" s="522" t="s">
        <v>51</v>
      </c>
      <c r="AP393" s="522" t="s">
        <v>52</v>
      </c>
      <c r="AQ393" s="522" t="s">
        <v>779</v>
      </c>
      <c r="AR393" s="234" t="s">
        <v>52</v>
      </c>
      <c r="AS393" s="234">
        <v>-9999</v>
      </c>
      <c r="AT393" s="234" t="s">
        <v>749</v>
      </c>
      <c r="AU393" s="234" t="s">
        <v>52</v>
      </c>
      <c r="AV393" s="234">
        <v>-9999</v>
      </c>
      <c r="AW393" s="234" t="s">
        <v>749</v>
      </c>
      <c r="AX393" s="234" t="s">
        <v>52</v>
      </c>
      <c r="AY393" s="234">
        <v>-9999</v>
      </c>
      <c r="AZ393" s="234" t="s">
        <v>749</v>
      </c>
      <c r="BA393" s="234">
        <v>-9999</v>
      </c>
      <c r="BB393" s="522" t="s">
        <v>626</v>
      </c>
      <c r="BC393" s="522" t="s">
        <v>273</v>
      </c>
      <c r="BD393" s="522" t="s">
        <v>642</v>
      </c>
      <c r="BE393" s="234">
        <v>-9999</v>
      </c>
      <c r="BF393" s="522" t="s">
        <v>274</v>
      </c>
      <c r="BG393" s="522" t="s">
        <v>275</v>
      </c>
      <c r="BH393" s="234">
        <v>-9999</v>
      </c>
      <c r="BI393" s="234">
        <v>-9999</v>
      </c>
      <c r="BJ393" s="234">
        <v>-9999</v>
      </c>
      <c r="BK393" s="234">
        <v>-9999</v>
      </c>
      <c r="BL393" s="234">
        <f>(4.7+4.7)/2</f>
        <v>4.7</v>
      </c>
      <c r="BM393" s="234">
        <v>-9999</v>
      </c>
      <c r="BN393" s="234">
        <f>(3.2+3.3)/2</f>
        <v>3.25</v>
      </c>
      <c r="BO393" s="234">
        <v>-9999</v>
      </c>
      <c r="BP393" s="234">
        <v>-9999</v>
      </c>
      <c r="BQ393" s="234">
        <v>-9999</v>
      </c>
      <c r="BR393" s="234">
        <v>-9999</v>
      </c>
      <c r="BS393" s="491">
        <v>-9999</v>
      </c>
      <c r="BT393" s="234">
        <v>-9999</v>
      </c>
      <c r="BU393" s="234">
        <v>-9999</v>
      </c>
      <c r="BV393" s="234">
        <v>-9999</v>
      </c>
      <c r="BW393" s="234"/>
      <c r="BX393" s="234">
        <v>-9999</v>
      </c>
      <c r="BY393" s="234">
        <v>-9999</v>
      </c>
      <c r="BZ393" s="496">
        <v>-9999</v>
      </c>
      <c r="CA393" s="527">
        <v>15</v>
      </c>
      <c r="CB393" s="531"/>
      <c r="CC393" s="117">
        <v>1</v>
      </c>
      <c r="CD393" s="10">
        <v>2</v>
      </c>
      <c r="CE393" s="343">
        <v>6.35</v>
      </c>
      <c r="CF393" s="343">
        <v>11.7</v>
      </c>
      <c r="CG393" s="14">
        <v>2</v>
      </c>
    </row>
    <row r="394" spans="1:1873" s="118" customFormat="1" ht="13.15" customHeight="1" x14ac:dyDescent="0.2">
      <c r="A394" s="522" t="s">
        <v>1424</v>
      </c>
      <c r="B394" s="234" t="s">
        <v>42</v>
      </c>
      <c r="C394" s="522" t="s">
        <v>53</v>
      </c>
      <c r="D394" s="234" t="s">
        <v>619</v>
      </c>
      <c r="E394" s="493" t="s">
        <v>1503</v>
      </c>
      <c r="F394" s="523">
        <v>1</v>
      </c>
      <c r="G394" s="522">
        <v>3</v>
      </c>
      <c r="H394" s="524">
        <v>3</v>
      </c>
      <c r="I394" s="234" t="s">
        <v>954</v>
      </c>
      <c r="J394" s="524">
        <v>1981</v>
      </c>
      <c r="K394" s="524" t="s">
        <v>957</v>
      </c>
      <c r="L394" s="522">
        <v>1983</v>
      </c>
      <c r="M394" s="525">
        <v>27.1</v>
      </c>
      <c r="N394" s="389">
        <v>-9999</v>
      </c>
      <c r="O394" s="29"/>
      <c r="P394" s="525">
        <f>+M394</f>
        <v>27.1</v>
      </c>
      <c r="Q394" s="234">
        <v>-9999</v>
      </c>
      <c r="R394" s="389"/>
      <c r="S394" s="234"/>
      <c r="T394" s="237">
        <f>+P394/G394</f>
        <v>9.0333333333333332</v>
      </c>
      <c r="U394" s="234">
        <v>-9999</v>
      </c>
      <c r="V394" s="234"/>
      <c r="W394" s="412">
        <f>+P394-P393</f>
        <v>14.400000000000002</v>
      </c>
      <c r="X394" s="491">
        <v>-9999</v>
      </c>
      <c r="Y394" s="491"/>
      <c r="Z394" s="390" t="s">
        <v>1704</v>
      </c>
      <c r="AA394" s="520">
        <v>20833</v>
      </c>
      <c r="AB394" s="389">
        <v>0.89</v>
      </c>
      <c r="AC394" s="522">
        <v>1.2</v>
      </c>
      <c r="AD394" s="526">
        <v>125</v>
      </c>
      <c r="AE394" s="522" t="s">
        <v>168</v>
      </c>
      <c r="AF394" s="522">
        <v>3</v>
      </c>
      <c r="AG394" s="522" t="s">
        <v>776</v>
      </c>
      <c r="AH394" s="522" t="s">
        <v>623</v>
      </c>
      <c r="AI394" s="234">
        <v>-9999</v>
      </c>
      <c r="AJ394" s="234">
        <v>-9999</v>
      </c>
      <c r="AK394" s="522" t="s">
        <v>626</v>
      </c>
      <c r="AL394" s="522" t="s">
        <v>272</v>
      </c>
      <c r="AM394" s="234">
        <v>-9999</v>
      </c>
      <c r="AN394" s="522" t="s">
        <v>779</v>
      </c>
      <c r="AO394" s="522" t="s">
        <v>51</v>
      </c>
      <c r="AP394" s="522" t="s">
        <v>52</v>
      </c>
      <c r="AQ394" s="522" t="s">
        <v>779</v>
      </c>
      <c r="AR394" s="234" t="s">
        <v>52</v>
      </c>
      <c r="AS394" s="234">
        <v>-9999</v>
      </c>
      <c r="AT394" s="234" t="s">
        <v>749</v>
      </c>
      <c r="AU394" s="234" t="s">
        <v>52</v>
      </c>
      <c r="AV394" s="234">
        <v>-9999</v>
      </c>
      <c r="AW394" s="234" t="s">
        <v>749</v>
      </c>
      <c r="AX394" s="234" t="s">
        <v>52</v>
      </c>
      <c r="AY394" s="234">
        <v>-9999</v>
      </c>
      <c r="AZ394" s="234" t="s">
        <v>749</v>
      </c>
      <c r="BA394" s="234">
        <v>-9999</v>
      </c>
      <c r="BB394" s="522" t="s">
        <v>626</v>
      </c>
      <c r="BC394" s="522" t="s">
        <v>273</v>
      </c>
      <c r="BD394" s="522" t="s">
        <v>642</v>
      </c>
      <c r="BE394" s="234">
        <v>-9999</v>
      </c>
      <c r="BF394" s="522" t="s">
        <v>274</v>
      </c>
      <c r="BG394" s="522" t="s">
        <v>275</v>
      </c>
      <c r="BH394" s="234">
        <v>-9999</v>
      </c>
      <c r="BI394" s="234">
        <v>-9999</v>
      </c>
      <c r="BJ394" s="234">
        <v>-9999</v>
      </c>
      <c r="BK394" s="234">
        <v>-9999</v>
      </c>
      <c r="BL394" s="234">
        <f>(6+6.2)/2</f>
        <v>6.1</v>
      </c>
      <c r="BM394" s="234">
        <v>-9999</v>
      </c>
      <c r="BN394" s="234">
        <f>(4.1+4.2)/2</f>
        <v>4.1500000000000004</v>
      </c>
      <c r="BO394" s="234">
        <v>-9999</v>
      </c>
      <c r="BP394" s="234">
        <v>-9999</v>
      </c>
      <c r="BQ394" s="234">
        <v>-9999</v>
      </c>
      <c r="BR394" s="234">
        <v>-9999</v>
      </c>
      <c r="BS394" s="491">
        <v>-9999</v>
      </c>
      <c r="BT394" s="234">
        <v>-9999</v>
      </c>
      <c r="BU394" s="234">
        <v>-9999</v>
      </c>
      <c r="BV394" s="234">
        <v>-9999</v>
      </c>
      <c r="BW394" s="234"/>
      <c r="BX394" s="234">
        <v>-9999</v>
      </c>
      <c r="BY394" s="234">
        <v>-9999</v>
      </c>
      <c r="BZ394" s="496">
        <v>-9999</v>
      </c>
      <c r="CA394" s="527">
        <v>15</v>
      </c>
      <c r="CB394" s="531"/>
      <c r="CC394" s="117">
        <v>1</v>
      </c>
      <c r="CD394" s="10">
        <v>3</v>
      </c>
      <c r="CE394" s="343">
        <v>9.0333333333333332</v>
      </c>
      <c r="CF394" s="343">
        <v>14.400000000000002</v>
      </c>
      <c r="CG394" s="14">
        <v>3</v>
      </c>
    </row>
    <row r="395" spans="1:1873" s="190" customFormat="1" ht="13.15" customHeight="1" x14ac:dyDescent="0.2">
      <c r="A395" s="532" t="s">
        <v>1424</v>
      </c>
      <c r="B395" s="231" t="s">
        <v>42</v>
      </c>
      <c r="C395" s="532" t="s">
        <v>53</v>
      </c>
      <c r="D395" s="231" t="s">
        <v>619</v>
      </c>
      <c r="E395" s="232" t="s">
        <v>1503</v>
      </c>
      <c r="F395" s="533">
        <v>1</v>
      </c>
      <c r="G395" s="532">
        <v>4</v>
      </c>
      <c r="H395" s="534">
        <v>4</v>
      </c>
      <c r="I395" s="231" t="s">
        <v>954</v>
      </c>
      <c r="J395" s="534">
        <v>1981</v>
      </c>
      <c r="K395" s="534" t="s">
        <v>957</v>
      </c>
      <c r="L395" s="532">
        <v>1984</v>
      </c>
      <c r="M395" s="535">
        <v>42.1</v>
      </c>
      <c r="N395" s="235">
        <v>-9999</v>
      </c>
      <c r="O395" s="18"/>
      <c r="P395" s="535">
        <f>+M395</f>
        <v>42.1</v>
      </c>
      <c r="Q395" s="231">
        <v>-9999</v>
      </c>
      <c r="R395" s="235"/>
      <c r="S395" s="231"/>
      <c r="T395" s="536">
        <f>+P395/G395</f>
        <v>10.525</v>
      </c>
      <c r="U395" s="231">
        <v>-9999</v>
      </c>
      <c r="V395" s="231"/>
      <c r="W395" s="517">
        <f>+P395-P394</f>
        <v>15</v>
      </c>
      <c r="X395" s="233">
        <v>-9999</v>
      </c>
      <c r="Y395" s="233"/>
      <c r="Z395" s="231" t="s">
        <v>1704</v>
      </c>
      <c r="AA395" s="521">
        <v>20833</v>
      </c>
      <c r="AB395" s="235">
        <v>0.8</v>
      </c>
      <c r="AC395" s="532">
        <v>1.2</v>
      </c>
      <c r="AD395" s="537">
        <v>125</v>
      </c>
      <c r="AE395" s="532" t="s">
        <v>168</v>
      </c>
      <c r="AF395" s="532">
        <v>3</v>
      </c>
      <c r="AG395" s="532" t="s">
        <v>776</v>
      </c>
      <c r="AH395" s="532" t="s">
        <v>623</v>
      </c>
      <c r="AI395" s="231">
        <v>-9999</v>
      </c>
      <c r="AJ395" s="231">
        <v>-9999</v>
      </c>
      <c r="AK395" s="532" t="s">
        <v>626</v>
      </c>
      <c r="AL395" s="532" t="s">
        <v>272</v>
      </c>
      <c r="AM395" s="231">
        <v>-9999</v>
      </c>
      <c r="AN395" s="532" t="s">
        <v>779</v>
      </c>
      <c r="AO395" s="532" t="s">
        <v>51</v>
      </c>
      <c r="AP395" s="532" t="s">
        <v>52</v>
      </c>
      <c r="AQ395" s="532" t="s">
        <v>779</v>
      </c>
      <c r="AR395" s="231" t="s">
        <v>52</v>
      </c>
      <c r="AS395" s="231">
        <v>-9999</v>
      </c>
      <c r="AT395" s="231" t="s">
        <v>749</v>
      </c>
      <c r="AU395" s="231" t="s">
        <v>52</v>
      </c>
      <c r="AV395" s="231">
        <v>-9999</v>
      </c>
      <c r="AW395" s="231" t="s">
        <v>749</v>
      </c>
      <c r="AX395" s="231" t="s">
        <v>52</v>
      </c>
      <c r="AY395" s="231">
        <v>-9999</v>
      </c>
      <c r="AZ395" s="231" t="s">
        <v>749</v>
      </c>
      <c r="BA395" s="231">
        <v>-9999</v>
      </c>
      <c r="BB395" s="532" t="s">
        <v>626</v>
      </c>
      <c r="BC395" s="532" t="s">
        <v>273</v>
      </c>
      <c r="BD395" s="532" t="s">
        <v>642</v>
      </c>
      <c r="BE395" s="231">
        <v>-9999</v>
      </c>
      <c r="BF395" s="532" t="s">
        <v>274</v>
      </c>
      <c r="BG395" s="532" t="s">
        <v>275</v>
      </c>
      <c r="BH395" s="231">
        <v>-9999</v>
      </c>
      <c r="BI395" s="231">
        <v>-9999</v>
      </c>
      <c r="BJ395" s="231">
        <v>-9999</v>
      </c>
      <c r="BK395" s="231">
        <v>-9999</v>
      </c>
      <c r="BL395" s="231">
        <f>(7.4+7.4)/2</f>
        <v>7.4</v>
      </c>
      <c r="BM395" s="231">
        <v>-9999</v>
      </c>
      <c r="BN395" s="231">
        <f>(4.8+5)/2</f>
        <v>4.9000000000000004</v>
      </c>
      <c r="BO395" s="231">
        <v>-9999</v>
      </c>
      <c r="BP395" s="231">
        <v>-9999</v>
      </c>
      <c r="BQ395" s="231">
        <v>-9999</v>
      </c>
      <c r="BR395" s="231">
        <v>-9999</v>
      </c>
      <c r="BS395" s="233">
        <v>-9999</v>
      </c>
      <c r="BT395" s="231">
        <v>-9999</v>
      </c>
      <c r="BU395" s="231">
        <v>-9999</v>
      </c>
      <c r="BV395" s="231">
        <v>-9999</v>
      </c>
      <c r="BW395" s="231"/>
      <c r="BX395" s="231">
        <v>-9999</v>
      </c>
      <c r="BY395" s="231">
        <v>-9999</v>
      </c>
      <c r="BZ395" s="238">
        <v>-9999</v>
      </c>
      <c r="CA395" s="538">
        <v>15</v>
      </c>
      <c r="CB395" s="487"/>
      <c r="CC395" s="187">
        <v>1</v>
      </c>
      <c r="CD395" s="186">
        <v>4</v>
      </c>
      <c r="CE395" s="399">
        <v>10.525</v>
      </c>
      <c r="CF395" s="341">
        <v>15</v>
      </c>
      <c r="CG395" s="188">
        <v>4</v>
      </c>
      <c r="CH395" s="480" t="s">
        <v>1757</v>
      </c>
      <c r="CI395" s="7"/>
      <c r="CJ395" s="7"/>
      <c r="CK395" s="7"/>
      <c r="CL395" s="7"/>
      <c r="CM395" s="7"/>
      <c r="CN395" s="7"/>
      <c r="CO395" s="7"/>
      <c r="CP395" s="7"/>
      <c r="CQ395" s="7"/>
      <c r="CR395" s="7"/>
      <c r="CS395" s="7"/>
      <c r="CT395" s="7"/>
      <c r="CU395" s="7"/>
      <c r="CV395" s="7"/>
      <c r="CW395" s="7"/>
      <c r="CX395" s="7"/>
      <c r="CY395" s="7"/>
      <c r="CZ395" s="7"/>
      <c r="DA395" s="7"/>
      <c r="DB395" s="7"/>
      <c r="DC395" s="7"/>
      <c r="DD395" s="7"/>
      <c r="DE395" s="7"/>
      <c r="DF395" s="7"/>
      <c r="DG395" s="7"/>
      <c r="DH395" s="7"/>
      <c r="DI395" s="7"/>
      <c r="DJ395" s="7"/>
      <c r="DK395" s="7"/>
      <c r="DL395" s="7"/>
      <c r="DM395" s="7"/>
      <c r="DN395" s="7"/>
      <c r="DO395" s="7"/>
      <c r="DP395" s="7"/>
      <c r="DQ395" s="7"/>
      <c r="DR395" s="7"/>
      <c r="DS395" s="7"/>
      <c r="DT395" s="7"/>
      <c r="DU395" s="7"/>
      <c r="DV395" s="7"/>
      <c r="DW395" s="7"/>
      <c r="DX395" s="7"/>
      <c r="DY395" s="7"/>
      <c r="DZ395" s="7"/>
      <c r="EA395" s="7"/>
      <c r="EB395" s="7"/>
      <c r="EC395" s="7"/>
      <c r="ED395" s="7"/>
      <c r="EE395" s="7"/>
      <c r="EF395" s="7"/>
      <c r="EG395" s="7"/>
      <c r="EH395" s="7"/>
      <c r="EI395" s="7"/>
      <c r="EJ395" s="7"/>
      <c r="EK395" s="7"/>
      <c r="EL395" s="7"/>
      <c r="EM395" s="7"/>
      <c r="EN395" s="7"/>
      <c r="EO395" s="7"/>
      <c r="EP395" s="7"/>
      <c r="EQ395" s="7"/>
      <c r="ER395" s="7"/>
      <c r="ES395" s="7"/>
      <c r="ET395" s="7"/>
      <c r="EU395" s="7"/>
      <c r="EV395" s="7"/>
      <c r="EW395" s="7"/>
      <c r="EX395" s="7"/>
      <c r="EY395" s="7"/>
      <c r="EZ395" s="7"/>
      <c r="FA395" s="7"/>
      <c r="FB395" s="7"/>
      <c r="FC395" s="7"/>
      <c r="FD395" s="7"/>
      <c r="FE395" s="7"/>
      <c r="FF395" s="7"/>
      <c r="FG395" s="7"/>
      <c r="FH395" s="7"/>
      <c r="FI395" s="7"/>
      <c r="FJ395" s="7"/>
      <c r="FK395" s="7"/>
      <c r="FL395" s="7"/>
      <c r="FM395" s="7"/>
      <c r="FN395" s="7"/>
      <c r="FO395" s="7"/>
      <c r="FP395" s="7"/>
      <c r="FQ395" s="7"/>
      <c r="FR395" s="7"/>
      <c r="FS395" s="7"/>
      <c r="FT395" s="7"/>
      <c r="FU395" s="7"/>
      <c r="FV395" s="7"/>
      <c r="FW395" s="7"/>
      <c r="FX395" s="7"/>
      <c r="FY395" s="7"/>
      <c r="FZ395" s="7"/>
      <c r="GA395" s="7"/>
      <c r="GB395" s="7"/>
      <c r="GC395" s="7"/>
      <c r="GD395" s="7"/>
      <c r="GE395" s="7"/>
      <c r="GF395" s="7"/>
      <c r="GG395" s="7"/>
      <c r="GH395" s="7"/>
      <c r="GI395" s="7"/>
      <c r="GJ395" s="7"/>
      <c r="GK395" s="7"/>
      <c r="GL395" s="7"/>
      <c r="GM395" s="7"/>
      <c r="GN395" s="7"/>
      <c r="GO395" s="7"/>
      <c r="GP395" s="7"/>
      <c r="GQ395" s="7"/>
      <c r="GR395" s="7"/>
      <c r="GS395" s="7"/>
      <c r="GT395" s="7"/>
      <c r="GU395" s="7"/>
      <c r="GV395" s="7"/>
      <c r="GW395" s="7"/>
      <c r="GX395" s="7"/>
      <c r="GY395" s="7"/>
      <c r="GZ395" s="7"/>
      <c r="HA395" s="7"/>
      <c r="HB395" s="7"/>
      <c r="HC395" s="7"/>
      <c r="HD395" s="7"/>
      <c r="HE395" s="7"/>
      <c r="HF395" s="7"/>
      <c r="HG395" s="7"/>
      <c r="HH395" s="7"/>
      <c r="HI395" s="7"/>
      <c r="HJ395" s="7"/>
      <c r="HK395" s="7"/>
      <c r="HL395" s="7"/>
      <c r="HM395" s="7"/>
      <c r="HN395" s="7"/>
      <c r="HO395" s="7"/>
      <c r="HP395" s="7"/>
      <c r="HQ395" s="7"/>
      <c r="HR395" s="7"/>
      <c r="HS395" s="7"/>
      <c r="HT395" s="7"/>
      <c r="HU395" s="7"/>
      <c r="HV395" s="7"/>
      <c r="HW395" s="7"/>
      <c r="HX395" s="7"/>
      <c r="HY395" s="7"/>
      <c r="HZ395" s="7"/>
      <c r="IA395" s="7"/>
      <c r="IB395" s="7"/>
      <c r="IC395" s="7"/>
      <c r="ID395" s="7"/>
      <c r="IE395" s="7"/>
      <c r="IF395" s="7"/>
      <c r="IG395" s="7"/>
      <c r="IH395" s="7"/>
      <c r="II395" s="7"/>
      <c r="IJ395" s="7"/>
      <c r="IK395" s="7"/>
      <c r="IL395" s="7"/>
      <c r="IM395" s="7"/>
      <c r="IN395" s="7"/>
      <c r="IO395" s="7"/>
      <c r="IP395" s="7"/>
      <c r="IQ395" s="7"/>
      <c r="IR395" s="7"/>
      <c r="IS395" s="7"/>
      <c r="IT395" s="7"/>
      <c r="IU395" s="7"/>
      <c r="IV395" s="7"/>
      <c r="IW395" s="7"/>
      <c r="IX395" s="7"/>
      <c r="IY395" s="7"/>
      <c r="IZ395" s="7"/>
      <c r="JA395" s="7"/>
      <c r="JB395" s="7"/>
      <c r="JC395" s="7"/>
      <c r="JD395" s="7"/>
      <c r="JE395" s="7"/>
      <c r="JF395" s="7"/>
      <c r="JG395" s="7"/>
      <c r="JH395" s="7"/>
      <c r="JI395" s="7"/>
      <c r="JJ395" s="7"/>
      <c r="JK395" s="7"/>
      <c r="JL395" s="7"/>
      <c r="JM395" s="7"/>
      <c r="JN395" s="7"/>
      <c r="JO395" s="7"/>
      <c r="JP395" s="7"/>
      <c r="JQ395" s="7"/>
      <c r="JR395" s="7"/>
      <c r="JS395" s="7"/>
      <c r="JT395" s="7"/>
      <c r="JU395" s="7"/>
      <c r="JV395" s="7"/>
      <c r="JW395" s="7"/>
      <c r="JX395" s="7"/>
      <c r="JY395" s="7"/>
      <c r="JZ395" s="7"/>
      <c r="KA395" s="7"/>
      <c r="KB395" s="7"/>
      <c r="KC395" s="7"/>
      <c r="KD395" s="7"/>
      <c r="KE395" s="7"/>
      <c r="KF395" s="7"/>
      <c r="KG395" s="7"/>
      <c r="KH395" s="7"/>
      <c r="KI395" s="7"/>
      <c r="KJ395" s="7"/>
      <c r="KK395" s="7"/>
      <c r="KL395" s="7"/>
      <c r="KM395" s="7"/>
      <c r="KN395" s="7"/>
      <c r="KO395" s="7"/>
      <c r="KP395" s="7"/>
      <c r="KQ395" s="7"/>
      <c r="KR395" s="7"/>
      <c r="KS395" s="7"/>
      <c r="KT395" s="7"/>
      <c r="KU395" s="7"/>
      <c r="KV395" s="7"/>
      <c r="KW395" s="7"/>
      <c r="KX395" s="7"/>
      <c r="KY395" s="7"/>
      <c r="KZ395" s="7"/>
      <c r="LA395" s="7"/>
      <c r="LB395" s="7"/>
      <c r="LC395" s="7"/>
      <c r="LD395" s="7"/>
      <c r="LE395" s="7"/>
      <c r="LF395" s="7"/>
      <c r="LG395" s="7"/>
      <c r="LH395" s="7"/>
      <c r="LI395" s="7"/>
      <c r="LJ395" s="7"/>
      <c r="LK395" s="7"/>
      <c r="LL395" s="7"/>
      <c r="LM395" s="7"/>
      <c r="LN395" s="7"/>
      <c r="LO395" s="7"/>
      <c r="LP395" s="7"/>
      <c r="LQ395" s="7"/>
      <c r="LR395" s="7"/>
      <c r="LS395" s="7"/>
      <c r="LT395" s="7"/>
      <c r="LU395" s="7"/>
      <c r="LV395" s="7"/>
      <c r="LW395" s="7"/>
      <c r="LX395" s="7"/>
      <c r="LY395" s="7"/>
      <c r="LZ395" s="7"/>
      <c r="MA395" s="7"/>
      <c r="MB395" s="7"/>
      <c r="MC395" s="7"/>
      <c r="MD395" s="7"/>
      <c r="ME395" s="7"/>
      <c r="MF395" s="7"/>
      <c r="MG395" s="7"/>
      <c r="MH395" s="7"/>
      <c r="MI395" s="7"/>
      <c r="MJ395" s="7"/>
      <c r="MK395" s="7"/>
      <c r="ML395" s="7"/>
      <c r="MM395" s="7"/>
      <c r="MN395" s="7"/>
      <c r="MO395" s="7"/>
      <c r="MP395" s="7"/>
      <c r="MQ395" s="7"/>
      <c r="MR395" s="7"/>
      <c r="MS395" s="7"/>
      <c r="MT395" s="7"/>
      <c r="MU395" s="7"/>
      <c r="MV395" s="7"/>
      <c r="MW395" s="7"/>
      <c r="MX395" s="7"/>
      <c r="MY395" s="7"/>
      <c r="MZ395" s="7"/>
      <c r="NA395" s="7"/>
      <c r="NB395" s="7"/>
      <c r="NC395" s="7"/>
      <c r="ND395" s="7"/>
      <c r="NE395" s="7"/>
      <c r="NF395" s="7"/>
      <c r="NG395" s="7"/>
      <c r="NH395" s="7"/>
      <c r="NI395" s="7"/>
      <c r="NJ395" s="7"/>
      <c r="NK395" s="7"/>
      <c r="NL395" s="7"/>
      <c r="NM395" s="7"/>
      <c r="NN395" s="7"/>
      <c r="NO395" s="7"/>
      <c r="NP395" s="7"/>
      <c r="NQ395" s="7"/>
      <c r="NR395" s="7"/>
      <c r="NS395" s="7"/>
      <c r="NT395" s="7"/>
      <c r="NU395" s="7"/>
      <c r="NV395" s="7"/>
      <c r="NW395" s="7"/>
      <c r="NX395" s="7"/>
      <c r="NY395" s="7"/>
      <c r="NZ395" s="7"/>
      <c r="OA395" s="7"/>
      <c r="OB395" s="7"/>
      <c r="OC395" s="7"/>
      <c r="OD395" s="7"/>
      <c r="OE395" s="7"/>
      <c r="OF395" s="7"/>
      <c r="OG395" s="7"/>
      <c r="OH395" s="7"/>
      <c r="OI395" s="7"/>
      <c r="OJ395" s="7"/>
      <c r="OK395" s="7"/>
      <c r="OL395" s="7"/>
      <c r="OM395" s="7"/>
      <c r="ON395" s="7"/>
      <c r="OO395" s="7"/>
      <c r="OP395" s="7"/>
      <c r="OQ395" s="7"/>
      <c r="OR395" s="7"/>
      <c r="OS395" s="7"/>
      <c r="OT395" s="7"/>
      <c r="OU395" s="7"/>
      <c r="OV395" s="7"/>
      <c r="OW395" s="7"/>
      <c r="OX395" s="7"/>
      <c r="OY395" s="7"/>
      <c r="OZ395" s="7"/>
      <c r="PA395" s="7"/>
      <c r="PB395" s="7"/>
      <c r="PC395" s="7"/>
      <c r="PD395" s="7"/>
      <c r="PE395" s="7"/>
      <c r="PF395" s="7"/>
      <c r="PG395" s="7"/>
      <c r="PH395" s="7"/>
      <c r="PI395" s="7"/>
      <c r="PJ395" s="7"/>
      <c r="PK395" s="7"/>
      <c r="PL395" s="7"/>
      <c r="PM395" s="7"/>
      <c r="PN395" s="7"/>
      <c r="PO395" s="7"/>
      <c r="PP395" s="7"/>
      <c r="PQ395" s="7"/>
      <c r="PR395" s="7"/>
      <c r="PS395" s="7"/>
      <c r="PT395" s="7"/>
      <c r="PU395" s="7"/>
      <c r="PV395" s="7"/>
      <c r="PW395" s="7"/>
      <c r="PX395" s="7"/>
      <c r="PY395" s="7"/>
      <c r="PZ395" s="7"/>
      <c r="QA395" s="7"/>
      <c r="QB395" s="7"/>
      <c r="QC395" s="7"/>
      <c r="QD395" s="7"/>
      <c r="QE395" s="7"/>
      <c r="QF395" s="7"/>
      <c r="QG395" s="7"/>
      <c r="QH395" s="7"/>
      <c r="QI395" s="7"/>
      <c r="QJ395" s="7"/>
      <c r="QK395" s="7"/>
      <c r="QL395" s="7"/>
      <c r="QM395" s="7"/>
      <c r="QN395" s="7"/>
      <c r="QO395" s="7"/>
      <c r="QP395" s="7"/>
      <c r="QQ395" s="7"/>
      <c r="QR395" s="7"/>
      <c r="QS395" s="7"/>
      <c r="QT395" s="7"/>
      <c r="QU395" s="7"/>
      <c r="QV395" s="7"/>
      <c r="QW395" s="7"/>
      <c r="QX395" s="7"/>
      <c r="QY395" s="7"/>
      <c r="QZ395" s="7"/>
      <c r="RA395" s="7"/>
      <c r="RB395" s="7"/>
      <c r="RC395" s="7"/>
      <c r="RD395" s="7"/>
      <c r="RE395" s="7"/>
      <c r="RF395" s="7"/>
      <c r="RG395" s="7"/>
      <c r="RH395" s="7"/>
      <c r="RI395" s="7"/>
      <c r="RJ395" s="7"/>
      <c r="RK395" s="7"/>
      <c r="RL395" s="7"/>
      <c r="RM395" s="7"/>
      <c r="RN395" s="7"/>
      <c r="RO395" s="7"/>
      <c r="RP395" s="7"/>
      <c r="RQ395" s="7"/>
      <c r="RR395" s="7"/>
      <c r="RS395" s="7"/>
      <c r="RT395" s="7"/>
      <c r="RU395" s="7"/>
      <c r="RV395" s="7"/>
      <c r="RW395" s="7"/>
      <c r="RX395" s="7"/>
      <c r="RY395" s="7"/>
      <c r="RZ395" s="7"/>
      <c r="SA395" s="7"/>
      <c r="SB395" s="7"/>
      <c r="SC395" s="7"/>
      <c r="SD395" s="7"/>
      <c r="SE395" s="7"/>
      <c r="SF395" s="7"/>
      <c r="SG395" s="7"/>
      <c r="SH395" s="7"/>
      <c r="SI395" s="7"/>
      <c r="SJ395" s="7"/>
      <c r="SK395" s="7"/>
      <c r="SL395" s="7"/>
      <c r="SM395" s="7"/>
      <c r="SN395" s="7"/>
      <c r="SO395" s="7"/>
      <c r="SP395" s="7"/>
      <c r="SQ395" s="7"/>
      <c r="SR395" s="7"/>
      <c r="SS395" s="7"/>
      <c r="ST395" s="7"/>
      <c r="SU395" s="7"/>
      <c r="SV395" s="7"/>
      <c r="SW395" s="7"/>
      <c r="SX395" s="7"/>
      <c r="SY395" s="7"/>
      <c r="SZ395" s="7"/>
      <c r="TA395" s="7"/>
      <c r="TB395" s="7"/>
      <c r="TC395" s="7"/>
      <c r="TD395" s="7"/>
      <c r="TE395" s="7"/>
      <c r="TF395" s="7"/>
      <c r="TG395" s="7"/>
      <c r="TH395" s="7"/>
      <c r="TI395" s="7"/>
      <c r="TJ395" s="7"/>
      <c r="TK395" s="7"/>
      <c r="TL395" s="7"/>
      <c r="TM395" s="7"/>
      <c r="TN395" s="7"/>
      <c r="TO395" s="7"/>
      <c r="TP395" s="7"/>
      <c r="TQ395" s="7"/>
      <c r="TR395" s="7"/>
      <c r="TS395" s="7"/>
      <c r="TT395" s="7"/>
      <c r="TU395" s="7"/>
      <c r="TV395" s="7"/>
      <c r="TW395" s="7"/>
      <c r="TX395" s="7"/>
      <c r="TY395" s="7"/>
      <c r="TZ395" s="7"/>
      <c r="UA395" s="7"/>
      <c r="UB395" s="7"/>
      <c r="UC395" s="7"/>
      <c r="UD395" s="7"/>
      <c r="UE395" s="7"/>
      <c r="UF395" s="7"/>
      <c r="UG395" s="7"/>
      <c r="UH395" s="7"/>
      <c r="UI395" s="7"/>
      <c r="UJ395" s="7"/>
      <c r="UK395" s="7"/>
      <c r="UL395" s="7"/>
      <c r="UM395" s="7"/>
      <c r="UN395" s="7"/>
      <c r="UO395" s="7"/>
      <c r="UP395" s="7"/>
      <c r="UQ395" s="7"/>
      <c r="UR395" s="7"/>
      <c r="US395" s="7"/>
      <c r="UT395" s="7"/>
      <c r="UU395" s="7"/>
      <c r="UV395" s="7"/>
      <c r="UW395" s="7"/>
      <c r="UX395" s="7"/>
      <c r="UY395" s="7"/>
      <c r="UZ395" s="7"/>
      <c r="VA395" s="7"/>
      <c r="VB395" s="7"/>
      <c r="VC395" s="7"/>
      <c r="VD395" s="7"/>
      <c r="VE395" s="7"/>
      <c r="VF395" s="7"/>
      <c r="VG395" s="7"/>
      <c r="VH395" s="7"/>
      <c r="VI395" s="7"/>
      <c r="VJ395" s="7"/>
      <c r="VK395" s="7"/>
      <c r="VL395" s="7"/>
      <c r="VM395" s="7"/>
      <c r="VN395" s="7"/>
      <c r="VO395" s="7"/>
      <c r="VP395" s="7"/>
      <c r="VQ395" s="7"/>
      <c r="VR395" s="7"/>
      <c r="VS395" s="7"/>
      <c r="VT395" s="7"/>
      <c r="VU395" s="7"/>
      <c r="VV395" s="7"/>
      <c r="VW395" s="7"/>
      <c r="VX395" s="7"/>
      <c r="VY395" s="7"/>
      <c r="VZ395" s="7"/>
      <c r="WA395" s="7"/>
      <c r="WB395" s="7"/>
      <c r="WC395" s="7"/>
      <c r="WD395" s="7"/>
      <c r="WE395" s="7"/>
      <c r="WF395" s="7"/>
      <c r="WG395" s="7"/>
      <c r="WH395" s="7"/>
      <c r="WI395" s="7"/>
      <c r="WJ395" s="7"/>
      <c r="WK395" s="7"/>
      <c r="WL395" s="7"/>
      <c r="WM395" s="7"/>
      <c r="WN395" s="7"/>
      <c r="WO395" s="7"/>
      <c r="WP395" s="7"/>
      <c r="WQ395" s="7"/>
      <c r="WR395" s="7"/>
      <c r="WS395" s="7"/>
      <c r="WT395" s="7"/>
      <c r="WU395" s="7"/>
      <c r="WV395" s="7"/>
      <c r="WW395" s="7"/>
      <c r="WX395" s="7"/>
      <c r="WY395" s="7"/>
      <c r="WZ395" s="7"/>
      <c r="XA395" s="7"/>
      <c r="XB395" s="7"/>
      <c r="XC395" s="7"/>
      <c r="XD395" s="7"/>
      <c r="XE395" s="7"/>
      <c r="XF395" s="7"/>
      <c r="XG395" s="7"/>
      <c r="XH395" s="7"/>
      <c r="XI395" s="7"/>
      <c r="XJ395" s="7"/>
      <c r="XK395" s="7"/>
      <c r="XL395" s="7"/>
      <c r="XM395" s="7"/>
      <c r="XN395" s="7"/>
      <c r="XO395" s="7"/>
      <c r="XP395" s="7"/>
      <c r="XQ395" s="7"/>
      <c r="XR395" s="7"/>
      <c r="XS395" s="7"/>
      <c r="XT395" s="7"/>
      <c r="XU395" s="7"/>
      <c r="XV395" s="7"/>
      <c r="XW395" s="7"/>
      <c r="XX395" s="7"/>
      <c r="XY395" s="7"/>
      <c r="XZ395" s="7"/>
      <c r="YA395" s="7"/>
      <c r="YB395" s="7"/>
      <c r="YC395" s="7"/>
      <c r="YD395" s="7"/>
      <c r="YE395" s="7"/>
      <c r="YF395" s="7"/>
      <c r="YG395" s="7"/>
      <c r="YH395" s="7"/>
      <c r="YI395" s="7"/>
      <c r="YJ395" s="7"/>
      <c r="YK395" s="7"/>
      <c r="YL395" s="7"/>
      <c r="YM395" s="7"/>
      <c r="YN395" s="7"/>
      <c r="YO395" s="7"/>
      <c r="YP395" s="7"/>
      <c r="YQ395" s="7"/>
      <c r="YR395" s="7"/>
      <c r="YS395" s="7"/>
      <c r="YT395" s="7"/>
      <c r="YU395" s="7"/>
      <c r="YV395" s="7"/>
      <c r="YW395" s="7"/>
      <c r="YX395" s="7"/>
      <c r="YY395" s="7"/>
      <c r="YZ395" s="7"/>
      <c r="ZA395" s="7"/>
      <c r="ZB395" s="7"/>
      <c r="ZC395" s="7"/>
      <c r="ZD395" s="7"/>
      <c r="ZE395" s="7"/>
      <c r="ZF395" s="7"/>
      <c r="ZG395" s="7"/>
      <c r="ZH395" s="7"/>
      <c r="ZI395" s="7"/>
      <c r="ZJ395" s="7"/>
      <c r="ZK395" s="7"/>
      <c r="ZL395" s="7"/>
      <c r="ZM395" s="7"/>
      <c r="ZN395" s="7"/>
      <c r="ZO395" s="7"/>
      <c r="ZP395" s="7"/>
      <c r="ZQ395" s="7"/>
      <c r="ZR395" s="7"/>
      <c r="ZS395" s="7"/>
      <c r="ZT395" s="7"/>
      <c r="ZU395" s="7"/>
      <c r="ZV395" s="7"/>
      <c r="ZW395" s="7"/>
      <c r="ZX395" s="7"/>
      <c r="ZY395" s="7"/>
      <c r="ZZ395" s="7"/>
      <c r="AAA395" s="7"/>
      <c r="AAB395" s="7"/>
      <c r="AAC395" s="7"/>
      <c r="AAD395" s="7"/>
      <c r="AAE395" s="7"/>
      <c r="AAF395" s="7"/>
      <c r="AAG395" s="7"/>
      <c r="AAH395" s="7"/>
      <c r="AAI395" s="7"/>
      <c r="AAJ395" s="7"/>
      <c r="AAK395" s="7"/>
      <c r="AAL395" s="7"/>
      <c r="AAM395" s="7"/>
      <c r="AAN395" s="7"/>
      <c r="AAO395" s="7"/>
      <c r="AAP395" s="7"/>
      <c r="AAQ395" s="7"/>
      <c r="AAR395" s="7"/>
      <c r="AAS395" s="7"/>
      <c r="AAT395" s="7"/>
      <c r="AAU395" s="7"/>
      <c r="AAV395" s="7"/>
      <c r="AAW395" s="7"/>
      <c r="AAX395" s="7"/>
      <c r="AAY395" s="7"/>
      <c r="AAZ395" s="7"/>
      <c r="ABA395" s="7"/>
      <c r="ABB395" s="7"/>
      <c r="ABC395" s="7"/>
      <c r="ABD395" s="7"/>
      <c r="ABE395" s="7"/>
      <c r="ABF395" s="7"/>
      <c r="ABG395" s="7"/>
      <c r="ABH395" s="7"/>
      <c r="ABI395" s="7"/>
      <c r="ABJ395" s="7"/>
      <c r="ABK395" s="7"/>
      <c r="ABL395" s="7"/>
      <c r="ABM395" s="7"/>
      <c r="ABN395" s="7"/>
      <c r="ABO395" s="7"/>
      <c r="ABP395" s="7"/>
      <c r="ABQ395" s="7"/>
      <c r="ABR395" s="7"/>
      <c r="ABS395" s="7"/>
      <c r="ABT395" s="7"/>
      <c r="ABU395" s="7"/>
      <c r="ABV395" s="7"/>
      <c r="ABW395" s="7"/>
      <c r="ABX395" s="7"/>
      <c r="ABY395" s="7"/>
      <c r="ABZ395" s="7"/>
      <c r="ACA395" s="7"/>
      <c r="ACB395" s="7"/>
      <c r="ACC395" s="7"/>
      <c r="ACD395" s="7"/>
      <c r="ACE395" s="7"/>
      <c r="ACF395" s="7"/>
      <c r="ACG395" s="7"/>
      <c r="ACH395" s="7"/>
      <c r="ACI395" s="7"/>
      <c r="ACJ395" s="7"/>
      <c r="ACK395" s="7"/>
      <c r="ACL395" s="7"/>
      <c r="ACM395" s="7"/>
      <c r="ACN395" s="7"/>
      <c r="ACO395" s="7"/>
      <c r="ACP395" s="7"/>
      <c r="ACQ395" s="7"/>
      <c r="ACR395" s="7"/>
      <c r="ACS395" s="7"/>
      <c r="ACT395" s="7"/>
      <c r="ACU395" s="7"/>
      <c r="ACV395" s="7"/>
      <c r="ACW395" s="7"/>
      <c r="ACX395" s="7"/>
      <c r="ACY395" s="7"/>
      <c r="ACZ395" s="7"/>
      <c r="ADA395" s="7"/>
      <c r="ADB395" s="7"/>
      <c r="ADC395" s="7"/>
      <c r="ADD395" s="7"/>
      <c r="ADE395" s="7"/>
      <c r="ADF395" s="7"/>
      <c r="ADG395" s="7"/>
      <c r="ADH395" s="7"/>
      <c r="ADI395" s="7"/>
      <c r="ADJ395" s="7"/>
      <c r="ADK395" s="7"/>
      <c r="ADL395" s="7"/>
      <c r="ADM395" s="7"/>
      <c r="ADN395" s="7"/>
      <c r="ADO395" s="7"/>
      <c r="ADP395" s="7"/>
      <c r="ADQ395" s="7"/>
      <c r="ADR395" s="7"/>
      <c r="ADS395" s="7"/>
      <c r="ADT395" s="7"/>
      <c r="ADU395" s="7"/>
      <c r="ADV395" s="7"/>
      <c r="ADW395" s="7"/>
      <c r="ADX395" s="7"/>
      <c r="ADY395" s="7"/>
      <c r="ADZ395" s="7"/>
      <c r="AEA395" s="7"/>
      <c r="AEB395" s="7"/>
      <c r="AEC395" s="7"/>
      <c r="AED395" s="7"/>
      <c r="AEE395" s="7"/>
      <c r="AEF395" s="7"/>
      <c r="AEG395" s="7"/>
      <c r="AEH395" s="7"/>
      <c r="AEI395" s="7"/>
      <c r="AEJ395" s="7"/>
      <c r="AEK395" s="7"/>
      <c r="AEL395" s="7"/>
      <c r="AEM395" s="7"/>
      <c r="AEN395" s="7"/>
      <c r="AEO395" s="7"/>
      <c r="AEP395" s="7"/>
      <c r="AEQ395" s="7"/>
      <c r="AER395" s="7"/>
      <c r="AES395" s="7"/>
      <c r="AET395" s="7"/>
      <c r="AEU395" s="7"/>
      <c r="AEV395" s="7"/>
      <c r="AEW395" s="7"/>
      <c r="AEX395" s="7"/>
      <c r="AEY395" s="7"/>
      <c r="AEZ395" s="7"/>
      <c r="AFA395" s="7"/>
      <c r="AFB395" s="7"/>
      <c r="AFC395" s="7"/>
      <c r="AFD395" s="7"/>
      <c r="AFE395" s="7"/>
      <c r="AFF395" s="7"/>
      <c r="AFG395" s="7"/>
      <c r="AFH395" s="7"/>
      <c r="AFI395" s="7"/>
      <c r="AFJ395" s="7"/>
      <c r="AFK395" s="7"/>
      <c r="AFL395" s="7"/>
      <c r="AFM395" s="7"/>
      <c r="AFN395" s="7"/>
      <c r="AFO395" s="7"/>
      <c r="AFP395" s="7"/>
      <c r="AFQ395" s="7"/>
      <c r="AFR395" s="7"/>
      <c r="AFS395" s="7"/>
      <c r="AFT395" s="7"/>
      <c r="AFU395" s="7"/>
      <c r="AFV395" s="7"/>
      <c r="AFW395" s="7"/>
      <c r="AFX395" s="7"/>
      <c r="AFY395" s="7"/>
      <c r="AFZ395" s="7"/>
      <c r="AGA395" s="7"/>
      <c r="AGB395" s="7"/>
      <c r="AGC395" s="7"/>
      <c r="AGD395" s="7"/>
      <c r="AGE395" s="7"/>
      <c r="AGF395" s="7"/>
      <c r="AGG395" s="7"/>
      <c r="AGH395" s="7"/>
      <c r="AGI395" s="7"/>
      <c r="AGJ395" s="7"/>
      <c r="AGK395" s="7"/>
      <c r="AGL395" s="7"/>
      <c r="AGM395" s="7"/>
      <c r="AGN395" s="7"/>
      <c r="AGO395" s="7"/>
      <c r="AGP395" s="7"/>
      <c r="AGQ395" s="7"/>
      <c r="AGR395" s="7"/>
      <c r="AGS395" s="7"/>
      <c r="AGT395" s="7"/>
      <c r="AGU395" s="7"/>
      <c r="AGV395" s="7"/>
      <c r="AGW395" s="7"/>
      <c r="AGX395" s="7"/>
      <c r="AGY395" s="7"/>
      <c r="AGZ395" s="7"/>
      <c r="AHA395" s="7"/>
      <c r="AHB395" s="7"/>
      <c r="AHC395" s="7"/>
      <c r="AHD395" s="7"/>
      <c r="AHE395" s="7"/>
      <c r="AHF395" s="7"/>
      <c r="AHG395" s="7"/>
      <c r="AHH395" s="7"/>
      <c r="AHI395" s="7"/>
      <c r="AHJ395" s="7"/>
      <c r="AHK395" s="7"/>
      <c r="AHL395" s="7"/>
      <c r="AHM395" s="7"/>
      <c r="AHN395" s="7"/>
      <c r="AHO395" s="7"/>
      <c r="AHP395" s="7"/>
      <c r="AHQ395" s="7"/>
      <c r="AHR395" s="7"/>
      <c r="AHS395" s="7"/>
      <c r="AHT395" s="7"/>
      <c r="AHU395" s="7"/>
      <c r="AHV395" s="7"/>
      <c r="AHW395" s="7"/>
      <c r="AHX395" s="7"/>
      <c r="AHY395" s="7"/>
      <c r="AHZ395" s="7"/>
      <c r="AIA395" s="7"/>
      <c r="AIB395" s="7"/>
      <c r="AIC395" s="7"/>
      <c r="AID395" s="7"/>
      <c r="AIE395" s="7"/>
      <c r="AIF395" s="7"/>
      <c r="AIG395" s="7"/>
      <c r="AIH395" s="7"/>
      <c r="AII395" s="7"/>
      <c r="AIJ395" s="7"/>
      <c r="AIK395" s="7"/>
      <c r="AIL395" s="7"/>
      <c r="AIM395" s="7"/>
      <c r="AIN395" s="7"/>
      <c r="AIO395" s="7"/>
      <c r="AIP395" s="7"/>
      <c r="AIQ395" s="7"/>
      <c r="AIR395" s="7"/>
      <c r="AIS395" s="7"/>
      <c r="AIT395" s="7"/>
      <c r="AIU395" s="7"/>
      <c r="AIV395" s="7"/>
      <c r="AIW395" s="7"/>
      <c r="AIX395" s="7"/>
      <c r="AIY395" s="7"/>
      <c r="AIZ395" s="7"/>
      <c r="AJA395" s="7"/>
      <c r="AJB395" s="7"/>
      <c r="AJC395" s="7"/>
      <c r="AJD395" s="7"/>
      <c r="AJE395" s="7"/>
      <c r="AJF395" s="7"/>
      <c r="AJG395" s="7"/>
      <c r="AJH395" s="7"/>
      <c r="AJI395" s="7"/>
      <c r="AJJ395" s="7"/>
      <c r="AJK395" s="7"/>
      <c r="AJL395" s="7"/>
      <c r="AJM395" s="7"/>
      <c r="AJN395" s="7"/>
      <c r="AJO395" s="7"/>
      <c r="AJP395" s="7"/>
      <c r="AJQ395" s="7"/>
      <c r="AJR395" s="7"/>
      <c r="AJS395" s="7"/>
      <c r="AJT395" s="7"/>
      <c r="AJU395" s="7"/>
      <c r="AJV395" s="7"/>
      <c r="AJW395" s="7"/>
      <c r="AJX395" s="7"/>
      <c r="AJY395" s="7"/>
      <c r="AJZ395" s="7"/>
      <c r="AKA395" s="7"/>
      <c r="AKB395" s="7"/>
      <c r="AKC395" s="7"/>
      <c r="AKD395" s="7"/>
      <c r="AKE395" s="7"/>
      <c r="AKF395" s="7"/>
      <c r="AKG395" s="7"/>
      <c r="AKH395" s="7"/>
      <c r="AKI395" s="7"/>
      <c r="AKJ395" s="7"/>
      <c r="AKK395" s="7"/>
      <c r="AKL395" s="7"/>
      <c r="AKM395" s="7"/>
      <c r="AKN395" s="7"/>
      <c r="AKO395" s="7"/>
      <c r="AKP395" s="7"/>
      <c r="AKQ395" s="7"/>
      <c r="AKR395" s="7"/>
      <c r="AKS395" s="7"/>
      <c r="AKT395" s="7"/>
      <c r="AKU395" s="7"/>
      <c r="AKV395" s="7"/>
      <c r="AKW395" s="7"/>
      <c r="AKX395" s="7"/>
      <c r="AKY395" s="7"/>
      <c r="AKZ395" s="7"/>
      <c r="ALA395" s="7"/>
      <c r="ALB395" s="7"/>
      <c r="ALC395" s="7"/>
      <c r="ALD395" s="7"/>
      <c r="ALE395" s="7"/>
      <c r="ALF395" s="7"/>
      <c r="ALG395" s="7"/>
      <c r="ALH395" s="7"/>
      <c r="ALI395" s="7"/>
      <c r="ALJ395" s="7"/>
      <c r="ALK395" s="7"/>
      <c r="ALL395" s="7"/>
      <c r="ALM395" s="7"/>
      <c r="ALN395" s="7"/>
      <c r="ALO395" s="7"/>
      <c r="ALP395" s="7"/>
      <c r="ALQ395" s="7"/>
      <c r="ALR395" s="7"/>
      <c r="ALS395" s="7"/>
      <c r="ALT395" s="7"/>
      <c r="ALU395" s="7"/>
      <c r="ALV395" s="7"/>
      <c r="ALW395" s="7"/>
      <c r="ALX395" s="7"/>
      <c r="ALY395" s="7"/>
      <c r="ALZ395" s="7"/>
      <c r="AMA395" s="7"/>
      <c r="AMB395" s="7"/>
      <c r="AMC395" s="7"/>
      <c r="AMD395" s="7"/>
      <c r="AME395" s="7"/>
      <c r="AMF395" s="7"/>
      <c r="AMG395" s="7"/>
      <c r="AMH395" s="7"/>
      <c r="AMI395" s="7"/>
      <c r="AMJ395" s="7"/>
      <c r="AMK395" s="7"/>
      <c r="AML395" s="7"/>
      <c r="AMM395" s="7"/>
      <c r="AMN395" s="7"/>
      <c r="AMO395" s="7"/>
      <c r="AMP395" s="7"/>
      <c r="AMQ395" s="7"/>
      <c r="AMR395" s="7"/>
      <c r="AMS395" s="7"/>
      <c r="AMT395" s="7"/>
      <c r="AMU395" s="7"/>
      <c r="AMV395" s="7"/>
      <c r="AMW395" s="7"/>
      <c r="AMX395" s="7"/>
      <c r="AMY395" s="7"/>
      <c r="AMZ395" s="7"/>
      <c r="ANA395" s="7"/>
      <c r="ANB395" s="7"/>
      <c r="ANC395" s="7"/>
      <c r="AND395" s="7"/>
      <c r="ANE395" s="7"/>
      <c r="ANF395" s="7"/>
      <c r="ANG395" s="7"/>
      <c r="ANH395" s="7"/>
      <c r="ANI395" s="7"/>
      <c r="ANJ395" s="7"/>
      <c r="ANK395" s="7"/>
      <c r="ANL395" s="7"/>
      <c r="ANM395" s="7"/>
      <c r="ANN395" s="7"/>
      <c r="ANO395" s="7"/>
      <c r="ANP395" s="7"/>
      <c r="ANQ395" s="7"/>
      <c r="ANR395" s="7"/>
      <c r="ANS395" s="7"/>
      <c r="ANT395" s="7"/>
      <c r="ANU395" s="7"/>
      <c r="ANV395" s="7"/>
      <c r="ANW395" s="7"/>
      <c r="ANX395" s="7"/>
      <c r="ANY395" s="7"/>
      <c r="ANZ395" s="7"/>
      <c r="AOA395" s="7"/>
      <c r="AOB395" s="7"/>
      <c r="AOC395" s="7"/>
      <c r="AOD395" s="7"/>
      <c r="AOE395" s="7"/>
      <c r="AOF395" s="7"/>
      <c r="AOG395" s="7"/>
      <c r="AOH395" s="7"/>
      <c r="AOI395" s="7"/>
      <c r="AOJ395" s="7"/>
      <c r="AOK395" s="7"/>
      <c r="AOL395" s="7"/>
      <c r="AOM395" s="7"/>
      <c r="AON395" s="7"/>
      <c r="AOO395" s="7"/>
      <c r="AOP395" s="7"/>
      <c r="AOQ395" s="7"/>
      <c r="AOR395" s="7"/>
      <c r="AOS395" s="7"/>
      <c r="AOT395" s="7"/>
      <c r="AOU395" s="7"/>
      <c r="AOV395" s="7"/>
      <c r="AOW395" s="7"/>
      <c r="AOX395" s="7"/>
      <c r="AOY395" s="7"/>
      <c r="AOZ395" s="7"/>
      <c r="APA395" s="7"/>
      <c r="APB395" s="7"/>
      <c r="APC395" s="7"/>
      <c r="APD395" s="7"/>
      <c r="APE395" s="7"/>
      <c r="APF395" s="7"/>
      <c r="APG395" s="7"/>
      <c r="APH395" s="7"/>
      <c r="API395" s="7"/>
      <c r="APJ395" s="7"/>
      <c r="APK395" s="7"/>
      <c r="APL395" s="7"/>
      <c r="APM395" s="7"/>
      <c r="APN395" s="7"/>
      <c r="APO395" s="7"/>
      <c r="APP395" s="7"/>
      <c r="APQ395" s="7"/>
      <c r="APR395" s="7"/>
      <c r="APS395" s="7"/>
      <c r="APT395" s="7"/>
      <c r="APU395" s="7"/>
      <c r="APV395" s="7"/>
      <c r="APW395" s="7"/>
      <c r="APX395" s="7"/>
      <c r="APY395" s="7"/>
      <c r="APZ395" s="7"/>
      <c r="AQA395" s="7"/>
      <c r="AQB395" s="7"/>
      <c r="AQC395" s="7"/>
      <c r="AQD395" s="7"/>
      <c r="AQE395" s="7"/>
      <c r="AQF395" s="7"/>
      <c r="AQG395" s="7"/>
      <c r="AQH395" s="7"/>
      <c r="AQI395" s="7"/>
      <c r="AQJ395" s="7"/>
      <c r="AQK395" s="7"/>
      <c r="AQL395" s="7"/>
      <c r="AQM395" s="7"/>
      <c r="AQN395" s="7"/>
      <c r="AQO395" s="7"/>
      <c r="AQP395" s="7"/>
      <c r="AQQ395" s="7"/>
      <c r="AQR395" s="7"/>
      <c r="AQS395" s="7"/>
      <c r="AQT395" s="7"/>
      <c r="AQU395" s="7"/>
      <c r="AQV395" s="7"/>
      <c r="AQW395" s="7"/>
      <c r="AQX395" s="7"/>
      <c r="AQY395" s="7"/>
      <c r="AQZ395" s="7"/>
      <c r="ARA395" s="7"/>
      <c r="ARB395" s="7"/>
      <c r="ARC395" s="7"/>
      <c r="ARD395" s="7"/>
      <c r="ARE395" s="7"/>
      <c r="ARF395" s="7"/>
      <c r="ARG395" s="7"/>
      <c r="ARH395" s="7"/>
      <c r="ARI395" s="7"/>
      <c r="ARJ395" s="7"/>
      <c r="ARK395" s="7"/>
      <c r="ARL395" s="7"/>
      <c r="ARM395" s="7"/>
      <c r="ARN395" s="7"/>
      <c r="ARO395" s="7"/>
      <c r="ARP395" s="7"/>
      <c r="ARQ395" s="7"/>
      <c r="ARR395" s="7"/>
      <c r="ARS395" s="7"/>
      <c r="ART395" s="7"/>
      <c r="ARU395" s="7"/>
      <c r="ARV395" s="7"/>
      <c r="ARW395" s="7"/>
      <c r="ARX395" s="7"/>
      <c r="ARY395" s="7"/>
      <c r="ARZ395" s="7"/>
      <c r="ASA395" s="7"/>
      <c r="ASB395" s="7"/>
      <c r="ASC395" s="7"/>
      <c r="ASD395" s="7"/>
      <c r="ASE395" s="7"/>
      <c r="ASF395" s="7"/>
      <c r="ASG395" s="7"/>
      <c r="ASH395" s="7"/>
      <c r="ASI395" s="7"/>
      <c r="ASJ395" s="7"/>
      <c r="ASK395" s="7"/>
      <c r="ASL395" s="7"/>
      <c r="ASM395" s="7"/>
      <c r="ASN395" s="7"/>
      <c r="ASO395" s="7"/>
      <c r="ASP395" s="7"/>
      <c r="ASQ395" s="7"/>
      <c r="ASR395" s="7"/>
      <c r="ASS395" s="7"/>
      <c r="AST395" s="7"/>
      <c r="ASU395" s="7"/>
      <c r="ASV395" s="7"/>
      <c r="ASW395" s="7"/>
      <c r="ASX395" s="7"/>
      <c r="ASY395" s="7"/>
      <c r="ASZ395" s="7"/>
      <c r="ATA395" s="7"/>
      <c r="ATB395" s="7"/>
      <c r="ATC395" s="7"/>
      <c r="ATD395" s="7"/>
      <c r="ATE395" s="7"/>
      <c r="ATF395" s="7"/>
      <c r="ATG395" s="7"/>
      <c r="ATH395" s="7"/>
      <c r="ATI395" s="7"/>
      <c r="ATJ395" s="7"/>
      <c r="ATK395" s="7"/>
      <c r="ATL395" s="7"/>
      <c r="ATM395" s="7"/>
      <c r="ATN395" s="7"/>
      <c r="ATO395" s="7"/>
      <c r="ATP395" s="7"/>
      <c r="ATQ395" s="7"/>
      <c r="ATR395" s="7"/>
      <c r="ATS395" s="7"/>
      <c r="ATT395" s="7"/>
      <c r="ATU395" s="7"/>
      <c r="ATV395" s="7"/>
      <c r="ATW395" s="7"/>
      <c r="ATX395" s="7"/>
      <c r="ATY395" s="7"/>
      <c r="ATZ395" s="7"/>
      <c r="AUA395" s="7"/>
      <c r="AUB395" s="7"/>
      <c r="AUC395" s="7"/>
      <c r="AUD395" s="7"/>
      <c r="AUE395" s="7"/>
      <c r="AUF395" s="7"/>
      <c r="AUG395" s="7"/>
      <c r="AUH395" s="7"/>
      <c r="AUI395" s="7"/>
      <c r="AUJ395" s="7"/>
      <c r="AUK395" s="7"/>
      <c r="AUL395" s="7"/>
      <c r="AUM395" s="7"/>
      <c r="AUN395" s="7"/>
      <c r="AUO395" s="7"/>
      <c r="AUP395" s="7"/>
      <c r="AUQ395" s="7"/>
      <c r="AUR395" s="7"/>
      <c r="AUS395" s="7"/>
      <c r="AUT395" s="7"/>
      <c r="AUU395" s="7"/>
      <c r="AUV395" s="7"/>
      <c r="AUW395" s="7"/>
      <c r="AUX395" s="7"/>
      <c r="AUY395" s="7"/>
      <c r="AUZ395" s="7"/>
      <c r="AVA395" s="7"/>
      <c r="AVB395" s="7"/>
      <c r="AVC395" s="7"/>
      <c r="AVD395" s="7"/>
      <c r="AVE395" s="7"/>
      <c r="AVF395" s="7"/>
      <c r="AVG395" s="7"/>
      <c r="AVH395" s="7"/>
      <c r="AVI395" s="7"/>
      <c r="AVJ395" s="7"/>
      <c r="AVK395" s="7"/>
      <c r="AVL395" s="7"/>
      <c r="AVM395" s="7"/>
      <c r="AVN395" s="7"/>
      <c r="AVO395" s="7"/>
      <c r="AVP395" s="7"/>
      <c r="AVQ395" s="7"/>
      <c r="AVR395" s="7"/>
      <c r="AVS395" s="7"/>
      <c r="AVT395" s="7"/>
      <c r="AVU395" s="7"/>
      <c r="AVV395" s="7"/>
      <c r="AVW395" s="7"/>
      <c r="AVX395" s="7"/>
      <c r="AVY395" s="7"/>
      <c r="AVZ395" s="7"/>
      <c r="AWA395" s="7"/>
      <c r="AWB395" s="7"/>
      <c r="AWC395" s="7"/>
      <c r="AWD395" s="7"/>
      <c r="AWE395" s="7"/>
      <c r="AWF395" s="7"/>
      <c r="AWG395" s="7"/>
      <c r="AWH395" s="7"/>
      <c r="AWI395" s="7"/>
      <c r="AWJ395" s="7"/>
      <c r="AWK395" s="7"/>
      <c r="AWL395" s="7"/>
      <c r="AWM395" s="7"/>
      <c r="AWN395" s="7"/>
      <c r="AWO395" s="7"/>
      <c r="AWP395" s="7"/>
      <c r="AWQ395" s="7"/>
      <c r="AWR395" s="7"/>
      <c r="AWS395" s="7"/>
      <c r="AWT395" s="7"/>
      <c r="AWU395" s="7"/>
      <c r="AWV395" s="7"/>
      <c r="AWW395" s="7"/>
      <c r="AWX395" s="7"/>
      <c r="AWY395" s="7"/>
      <c r="AWZ395" s="7"/>
      <c r="AXA395" s="7"/>
      <c r="AXB395" s="7"/>
      <c r="AXC395" s="7"/>
      <c r="AXD395" s="7"/>
      <c r="AXE395" s="7"/>
      <c r="AXF395" s="7"/>
      <c r="AXG395" s="7"/>
      <c r="AXH395" s="7"/>
      <c r="AXI395" s="7"/>
      <c r="AXJ395" s="7"/>
      <c r="AXK395" s="7"/>
      <c r="AXL395" s="7"/>
      <c r="AXM395" s="7"/>
      <c r="AXN395" s="7"/>
      <c r="AXO395" s="7"/>
      <c r="AXP395" s="7"/>
      <c r="AXQ395" s="7"/>
      <c r="AXR395" s="7"/>
      <c r="AXS395" s="7"/>
      <c r="AXT395" s="7"/>
      <c r="AXU395" s="7"/>
      <c r="AXV395" s="7"/>
      <c r="AXW395" s="7"/>
      <c r="AXX395" s="7"/>
      <c r="AXY395" s="7"/>
      <c r="AXZ395" s="7"/>
      <c r="AYA395" s="7"/>
      <c r="AYB395" s="7"/>
      <c r="AYC395" s="7"/>
      <c r="AYD395" s="7"/>
      <c r="AYE395" s="7"/>
      <c r="AYF395" s="7"/>
      <c r="AYG395" s="7"/>
      <c r="AYH395" s="7"/>
      <c r="AYI395" s="7"/>
      <c r="AYJ395" s="7"/>
      <c r="AYK395" s="7"/>
      <c r="AYL395" s="7"/>
      <c r="AYM395" s="7"/>
      <c r="AYN395" s="7"/>
      <c r="AYO395" s="7"/>
      <c r="AYP395" s="7"/>
      <c r="AYQ395" s="7"/>
      <c r="AYR395" s="7"/>
      <c r="AYS395" s="7"/>
      <c r="AYT395" s="7"/>
      <c r="AYU395" s="7"/>
      <c r="AYV395" s="7"/>
      <c r="AYW395" s="7"/>
      <c r="AYX395" s="7"/>
      <c r="AYY395" s="7"/>
      <c r="AYZ395" s="7"/>
      <c r="AZA395" s="7"/>
      <c r="AZB395" s="7"/>
      <c r="AZC395" s="7"/>
      <c r="AZD395" s="7"/>
      <c r="AZE395" s="7"/>
      <c r="AZF395" s="7"/>
      <c r="AZG395" s="7"/>
      <c r="AZH395" s="7"/>
      <c r="AZI395" s="7"/>
      <c r="AZJ395" s="7"/>
      <c r="AZK395" s="7"/>
      <c r="AZL395" s="7"/>
      <c r="AZM395" s="7"/>
      <c r="AZN395" s="7"/>
      <c r="AZO395" s="7"/>
      <c r="AZP395" s="7"/>
      <c r="AZQ395" s="7"/>
      <c r="AZR395" s="7"/>
      <c r="AZS395" s="7"/>
      <c r="AZT395" s="7"/>
      <c r="AZU395" s="7"/>
      <c r="AZV395" s="7"/>
      <c r="AZW395" s="7"/>
      <c r="AZX395" s="7"/>
      <c r="AZY395" s="7"/>
      <c r="AZZ395" s="7"/>
      <c r="BAA395" s="7"/>
      <c r="BAB395" s="7"/>
      <c r="BAC395" s="7"/>
      <c r="BAD395" s="7"/>
      <c r="BAE395" s="7"/>
      <c r="BAF395" s="7"/>
      <c r="BAG395" s="7"/>
      <c r="BAH395" s="7"/>
      <c r="BAI395" s="7"/>
      <c r="BAJ395" s="7"/>
      <c r="BAK395" s="7"/>
      <c r="BAL395" s="7"/>
      <c r="BAM395" s="7"/>
      <c r="BAN395" s="7"/>
      <c r="BAO395" s="7"/>
      <c r="BAP395" s="7"/>
      <c r="BAQ395" s="7"/>
      <c r="BAR395" s="7"/>
      <c r="BAS395" s="7"/>
      <c r="BAT395" s="7"/>
      <c r="BAU395" s="7"/>
      <c r="BAV395" s="7"/>
      <c r="BAW395" s="7"/>
      <c r="BAX395" s="7"/>
      <c r="BAY395" s="7"/>
      <c r="BAZ395" s="7"/>
      <c r="BBA395" s="7"/>
      <c r="BBB395" s="7"/>
      <c r="BBC395" s="7"/>
      <c r="BBD395" s="7"/>
      <c r="BBE395" s="7"/>
      <c r="BBF395" s="7"/>
      <c r="BBG395" s="7"/>
      <c r="BBH395" s="7"/>
      <c r="BBI395" s="7"/>
      <c r="BBJ395" s="7"/>
      <c r="BBK395" s="7"/>
      <c r="BBL395" s="7"/>
      <c r="BBM395" s="7"/>
      <c r="BBN395" s="7"/>
      <c r="BBO395" s="7"/>
      <c r="BBP395" s="7"/>
      <c r="BBQ395" s="7"/>
      <c r="BBR395" s="7"/>
      <c r="BBS395" s="7"/>
      <c r="BBT395" s="7"/>
      <c r="BBU395" s="7"/>
      <c r="BBV395" s="7"/>
      <c r="BBW395" s="7"/>
      <c r="BBX395" s="7"/>
      <c r="BBY395" s="7"/>
      <c r="BBZ395" s="7"/>
      <c r="BCA395" s="7"/>
      <c r="BCB395" s="7"/>
      <c r="BCC395" s="7"/>
      <c r="BCD395" s="7"/>
      <c r="BCE395" s="7"/>
      <c r="BCF395" s="7"/>
      <c r="BCG395" s="7"/>
      <c r="BCH395" s="7"/>
      <c r="BCI395" s="7"/>
      <c r="BCJ395" s="7"/>
      <c r="BCK395" s="7"/>
      <c r="BCL395" s="7"/>
      <c r="BCM395" s="7"/>
      <c r="BCN395" s="7"/>
      <c r="BCO395" s="7"/>
      <c r="BCP395" s="7"/>
      <c r="BCQ395" s="7"/>
      <c r="BCR395" s="7"/>
      <c r="BCS395" s="7"/>
      <c r="BCT395" s="7"/>
      <c r="BCU395" s="7"/>
      <c r="BCV395" s="7"/>
      <c r="BCW395" s="7"/>
      <c r="BCX395" s="7"/>
      <c r="BCY395" s="7"/>
      <c r="BCZ395" s="7"/>
      <c r="BDA395" s="7"/>
      <c r="BDB395" s="7"/>
      <c r="BDC395" s="7"/>
      <c r="BDD395" s="7"/>
      <c r="BDE395" s="7"/>
      <c r="BDF395" s="7"/>
      <c r="BDG395" s="7"/>
      <c r="BDH395" s="7"/>
      <c r="BDI395" s="7"/>
      <c r="BDJ395" s="7"/>
      <c r="BDK395" s="7"/>
      <c r="BDL395" s="7"/>
      <c r="BDM395" s="7"/>
      <c r="BDN395" s="7"/>
      <c r="BDO395" s="7"/>
      <c r="BDP395" s="7"/>
      <c r="BDQ395" s="7"/>
      <c r="BDR395" s="7"/>
      <c r="BDS395" s="7"/>
      <c r="BDT395" s="7"/>
      <c r="BDU395" s="7"/>
      <c r="BDV395" s="7"/>
      <c r="BDW395" s="7"/>
      <c r="BDX395" s="7"/>
      <c r="BDY395" s="7"/>
      <c r="BDZ395" s="7"/>
      <c r="BEA395" s="7"/>
      <c r="BEB395" s="7"/>
      <c r="BEC395" s="7"/>
      <c r="BED395" s="7"/>
      <c r="BEE395" s="7"/>
      <c r="BEF395" s="7"/>
      <c r="BEG395" s="7"/>
      <c r="BEH395" s="7"/>
      <c r="BEI395" s="7"/>
      <c r="BEJ395" s="7"/>
      <c r="BEK395" s="7"/>
      <c r="BEL395" s="7"/>
      <c r="BEM395" s="7"/>
      <c r="BEN395" s="7"/>
      <c r="BEO395" s="7"/>
      <c r="BEP395" s="7"/>
      <c r="BEQ395" s="7"/>
      <c r="BER395" s="7"/>
      <c r="BES395" s="7"/>
      <c r="BET395" s="7"/>
      <c r="BEU395" s="7"/>
      <c r="BEV395" s="7"/>
      <c r="BEW395" s="7"/>
      <c r="BEX395" s="7"/>
      <c r="BEY395" s="7"/>
      <c r="BEZ395" s="7"/>
      <c r="BFA395" s="7"/>
      <c r="BFB395" s="7"/>
      <c r="BFC395" s="7"/>
      <c r="BFD395" s="7"/>
      <c r="BFE395" s="7"/>
      <c r="BFF395" s="7"/>
      <c r="BFG395" s="7"/>
      <c r="BFH395" s="7"/>
      <c r="BFI395" s="7"/>
      <c r="BFJ395" s="7"/>
      <c r="BFK395" s="7"/>
      <c r="BFL395" s="7"/>
      <c r="BFM395" s="7"/>
      <c r="BFN395" s="7"/>
      <c r="BFO395" s="7"/>
      <c r="BFP395" s="7"/>
      <c r="BFQ395" s="7"/>
      <c r="BFR395" s="7"/>
      <c r="BFS395" s="7"/>
      <c r="BFT395" s="7"/>
      <c r="BFU395" s="7"/>
      <c r="BFV395" s="7"/>
      <c r="BFW395" s="7"/>
      <c r="BFX395" s="7"/>
      <c r="BFY395" s="7"/>
      <c r="BFZ395" s="7"/>
      <c r="BGA395" s="7"/>
      <c r="BGB395" s="7"/>
      <c r="BGC395" s="7"/>
      <c r="BGD395" s="7"/>
      <c r="BGE395" s="7"/>
      <c r="BGF395" s="7"/>
      <c r="BGG395" s="7"/>
      <c r="BGH395" s="7"/>
      <c r="BGI395" s="7"/>
      <c r="BGJ395" s="7"/>
      <c r="BGK395" s="7"/>
      <c r="BGL395" s="7"/>
      <c r="BGM395" s="7"/>
      <c r="BGN395" s="7"/>
      <c r="BGO395" s="7"/>
      <c r="BGP395" s="7"/>
      <c r="BGQ395" s="7"/>
      <c r="BGR395" s="7"/>
      <c r="BGS395" s="7"/>
      <c r="BGT395" s="7"/>
      <c r="BGU395" s="7"/>
      <c r="BGV395" s="7"/>
      <c r="BGW395" s="7"/>
      <c r="BGX395" s="7"/>
      <c r="BGY395" s="7"/>
      <c r="BGZ395" s="7"/>
      <c r="BHA395" s="7"/>
      <c r="BHB395" s="7"/>
      <c r="BHC395" s="7"/>
      <c r="BHD395" s="7"/>
      <c r="BHE395" s="7"/>
      <c r="BHF395" s="7"/>
      <c r="BHG395" s="7"/>
      <c r="BHH395" s="7"/>
      <c r="BHI395" s="7"/>
      <c r="BHJ395" s="7"/>
      <c r="BHK395" s="7"/>
      <c r="BHL395" s="7"/>
      <c r="BHM395" s="7"/>
      <c r="BHN395" s="7"/>
      <c r="BHO395" s="7"/>
      <c r="BHP395" s="7"/>
      <c r="BHQ395" s="7"/>
      <c r="BHR395" s="7"/>
      <c r="BHS395" s="7"/>
      <c r="BHT395" s="7"/>
      <c r="BHU395" s="7"/>
      <c r="BHV395" s="7"/>
      <c r="BHW395" s="7"/>
      <c r="BHX395" s="7"/>
      <c r="BHY395" s="7"/>
      <c r="BHZ395" s="7"/>
      <c r="BIA395" s="7"/>
      <c r="BIB395" s="7"/>
      <c r="BIC395" s="7"/>
      <c r="BID395" s="7"/>
      <c r="BIE395" s="7"/>
      <c r="BIF395" s="7"/>
      <c r="BIG395" s="7"/>
      <c r="BIH395" s="7"/>
      <c r="BII395" s="7"/>
      <c r="BIJ395" s="7"/>
      <c r="BIK395" s="7"/>
      <c r="BIL395" s="7"/>
      <c r="BIM395" s="7"/>
      <c r="BIN395" s="7"/>
      <c r="BIO395" s="7"/>
      <c r="BIP395" s="7"/>
      <c r="BIQ395" s="7"/>
      <c r="BIR395" s="7"/>
      <c r="BIS395" s="7"/>
      <c r="BIT395" s="7"/>
      <c r="BIU395" s="7"/>
      <c r="BIV395" s="7"/>
      <c r="BIW395" s="7"/>
      <c r="BIX395" s="7"/>
      <c r="BIY395" s="7"/>
      <c r="BIZ395" s="7"/>
      <c r="BJA395" s="7"/>
      <c r="BJB395" s="7"/>
      <c r="BJC395" s="7"/>
      <c r="BJD395" s="7"/>
      <c r="BJE395" s="7"/>
      <c r="BJF395" s="7"/>
      <c r="BJG395" s="7"/>
      <c r="BJH395" s="7"/>
      <c r="BJI395" s="7"/>
      <c r="BJJ395" s="7"/>
      <c r="BJK395" s="7"/>
      <c r="BJL395" s="7"/>
      <c r="BJM395" s="7"/>
      <c r="BJN395" s="7"/>
      <c r="BJO395" s="7"/>
      <c r="BJP395" s="7"/>
      <c r="BJQ395" s="7"/>
      <c r="BJR395" s="7"/>
      <c r="BJS395" s="7"/>
      <c r="BJT395" s="7"/>
      <c r="BJU395" s="7"/>
      <c r="BJV395" s="7"/>
      <c r="BJW395" s="7"/>
      <c r="BJX395" s="7"/>
      <c r="BJY395" s="7"/>
      <c r="BJZ395" s="7"/>
      <c r="BKA395" s="7"/>
      <c r="BKB395" s="7"/>
      <c r="BKC395" s="7"/>
      <c r="BKD395" s="7"/>
      <c r="BKE395" s="7"/>
      <c r="BKF395" s="7"/>
      <c r="BKG395" s="7"/>
      <c r="BKH395" s="7"/>
      <c r="BKI395" s="7"/>
      <c r="BKJ395" s="7"/>
      <c r="BKK395" s="7"/>
      <c r="BKL395" s="7"/>
      <c r="BKM395" s="7"/>
      <c r="BKN395" s="7"/>
      <c r="BKO395" s="7"/>
      <c r="BKP395" s="7"/>
      <c r="BKQ395" s="7"/>
      <c r="BKR395" s="7"/>
      <c r="BKS395" s="7"/>
      <c r="BKT395" s="7"/>
      <c r="BKU395" s="7"/>
      <c r="BKV395" s="7"/>
      <c r="BKW395" s="7"/>
      <c r="BKX395" s="7"/>
      <c r="BKY395" s="7"/>
      <c r="BKZ395" s="7"/>
      <c r="BLA395" s="7"/>
      <c r="BLB395" s="7"/>
      <c r="BLC395" s="7"/>
      <c r="BLD395" s="7"/>
      <c r="BLE395" s="7"/>
      <c r="BLF395" s="7"/>
      <c r="BLG395" s="7"/>
      <c r="BLH395" s="7"/>
      <c r="BLI395" s="7"/>
      <c r="BLJ395" s="7"/>
      <c r="BLK395" s="7"/>
      <c r="BLL395" s="7"/>
      <c r="BLM395" s="7"/>
      <c r="BLN395" s="7"/>
      <c r="BLO395" s="7"/>
      <c r="BLP395" s="7"/>
      <c r="BLQ395" s="7"/>
      <c r="BLR395" s="7"/>
      <c r="BLS395" s="7"/>
      <c r="BLT395" s="7"/>
      <c r="BLU395" s="7"/>
      <c r="BLV395" s="7"/>
      <c r="BLW395" s="7"/>
      <c r="BLX395" s="7"/>
      <c r="BLY395" s="7"/>
      <c r="BLZ395" s="7"/>
      <c r="BMA395" s="7"/>
      <c r="BMB395" s="7"/>
      <c r="BMC395" s="7"/>
      <c r="BMD395" s="7"/>
      <c r="BME395" s="7"/>
      <c r="BMF395" s="7"/>
      <c r="BMG395" s="7"/>
      <c r="BMH395" s="7"/>
      <c r="BMI395" s="7"/>
      <c r="BMJ395" s="7"/>
      <c r="BMK395" s="7"/>
      <c r="BML395" s="7"/>
      <c r="BMM395" s="7"/>
      <c r="BMN395" s="7"/>
      <c r="BMO395" s="7"/>
      <c r="BMP395" s="7"/>
      <c r="BMQ395" s="7"/>
      <c r="BMR395" s="7"/>
      <c r="BMS395" s="7"/>
      <c r="BMT395" s="7"/>
      <c r="BMU395" s="7"/>
      <c r="BMV395" s="7"/>
      <c r="BMW395" s="7"/>
      <c r="BMX395" s="7"/>
      <c r="BMY395" s="7"/>
      <c r="BMZ395" s="7"/>
      <c r="BNA395" s="7"/>
      <c r="BNB395" s="7"/>
      <c r="BNC395" s="7"/>
      <c r="BND395" s="7"/>
      <c r="BNE395" s="7"/>
      <c r="BNF395" s="7"/>
      <c r="BNG395" s="7"/>
      <c r="BNH395" s="7"/>
      <c r="BNI395" s="7"/>
      <c r="BNJ395" s="7"/>
      <c r="BNK395" s="7"/>
      <c r="BNL395" s="7"/>
      <c r="BNM395" s="7"/>
      <c r="BNN395" s="7"/>
      <c r="BNO395" s="7"/>
      <c r="BNP395" s="7"/>
      <c r="BNQ395" s="7"/>
      <c r="BNR395" s="7"/>
      <c r="BNS395" s="7"/>
      <c r="BNT395" s="7"/>
      <c r="BNU395" s="7"/>
      <c r="BNV395" s="7"/>
      <c r="BNW395" s="7"/>
      <c r="BNX395" s="7"/>
      <c r="BNY395" s="7"/>
      <c r="BNZ395" s="7"/>
      <c r="BOA395" s="7"/>
      <c r="BOB395" s="7"/>
      <c r="BOC395" s="7"/>
      <c r="BOD395" s="7"/>
      <c r="BOE395" s="7"/>
      <c r="BOF395" s="7"/>
      <c r="BOG395" s="7"/>
      <c r="BOH395" s="7"/>
      <c r="BOI395" s="7"/>
      <c r="BOJ395" s="7"/>
      <c r="BOK395" s="7"/>
      <c r="BOL395" s="7"/>
      <c r="BOM395" s="7"/>
      <c r="BON395" s="7"/>
      <c r="BOO395" s="7"/>
      <c r="BOP395" s="7"/>
      <c r="BOQ395" s="7"/>
      <c r="BOR395" s="7"/>
      <c r="BOS395" s="7"/>
      <c r="BOT395" s="7"/>
      <c r="BOU395" s="7"/>
      <c r="BOV395" s="7"/>
      <c r="BOW395" s="7"/>
      <c r="BOX395" s="7"/>
      <c r="BOY395" s="7"/>
      <c r="BOZ395" s="7"/>
      <c r="BPA395" s="7"/>
      <c r="BPB395" s="7"/>
      <c r="BPC395" s="7"/>
      <c r="BPD395" s="7"/>
      <c r="BPE395" s="7"/>
      <c r="BPF395" s="7"/>
      <c r="BPG395" s="7"/>
      <c r="BPH395" s="7"/>
      <c r="BPI395" s="7"/>
      <c r="BPJ395" s="7"/>
      <c r="BPK395" s="7"/>
      <c r="BPL395" s="7"/>
      <c r="BPM395" s="7"/>
      <c r="BPN395" s="7"/>
      <c r="BPO395" s="7"/>
      <c r="BPP395" s="7"/>
      <c r="BPQ395" s="7"/>
      <c r="BPR395" s="7"/>
      <c r="BPS395" s="7"/>
      <c r="BPT395" s="7"/>
      <c r="BPU395" s="7"/>
      <c r="BPV395" s="7"/>
      <c r="BPW395" s="7"/>
      <c r="BPX395" s="7"/>
      <c r="BPY395" s="7"/>
      <c r="BPZ395" s="7"/>
      <c r="BQA395" s="7"/>
      <c r="BQB395" s="7"/>
      <c r="BQC395" s="7"/>
      <c r="BQD395" s="7"/>
      <c r="BQE395" s="7"/>
      <c r="BQF395" s="7"/>
      <c r="BQG395" s="7"/>
      <c r="BQH395" s="7"/>
      <c r="BQI395" s="7"/>
      <c r="BQJ395" s="7"/>
      <c r="BQK395" s="7"/>
      <c r="BQL395" s="7"/>
      <c r="BQM395" s="7"/>
      <c r="BQN395" s="7"/>
      <c r="BQO395" s="7"/>
      <c r="BQP395" s="7"/>
      <c r="BQQ395" s="7"/>
      <c r="BQR395" s="7"/>
      <c r="BQS395" s="7"/>
      <c r="BQT395" s="7"/>
      <c r="BQU395" s="7"/>
      <c r="BQV395" s="7"/>
      <c r="BQW395" s="7"/>
      <c r="BQX395" s="7"/>
      <c r="BQY395" s="7"/>
      <c r="BQZ395" s="7"/>
      <c r="BRA395" s="7"/>
      <c r="BRB395" s="7"/>
      <c r="BRC395" s="7"/>
      <c r="BRD395" s="7"/>
      <c r="BRE395" s="7"/>
      <c r="BRF395" s="7"/>
      <c r="BRG395" s="7"/>
      <c r="BRH395" s="7"/>
      <c r="BRI395" s="7"/>
      <c r="BRJ395" s="7"/>
      <c r="BRK395" s="7"/>
      <c r="BRL395" s="7"/>
      <c r="BRM395" s="7"/>
      <c r="BRN395" s="7"/>
      <c r="BRO395" s="7"/>
      <c r="BRP395" s="7"/>
      <c r="BRQ395" s="7"/>
      <c r="BRR395" s="7"/>
      <c r="BRS395" s="7"/>
      <c r="BRT395" s="7"/>
      <c r="BRU395" s="7"/>
      <c r="BRV395" s="7"/>
      <c r="BRW395" s="7"/>
      <c r="BRX395" s="7"/>
      <c r="BRY395" s="7"/>
      <c r="BRZ395" s="7"/>
      <c r="BSA395" s="7"/>
      <c r="BSB395" s="7"/>
      <c r="BSC395" s="7"/>
      <c r="BSD395" s="7"/>
      <c r="BSE395" s="7"/>
      <c r="BSF395" s="7"/>
      <c r="BSG395" s="7"/>
      <c r="BSH395" s="7"/>
      <c r="BSI395" s="7"/>
      <c r="BSJ395" s="7"/>
      <c r="BSK395" s="7"/>
      <c r="BSL395" s="7"/>
      <c r="BSM395" s="7"/>
      <c r="BSN395" s="7"/>
      <c r="BSO395" s="7"/>
      <c r="BSP395" s="7"/>
      <c r="BSQ395" s="7"/>
      <c r="BSR395" s="7"/>
      <c r="BSS395" s="7"/>
      <c r="BST395" s="7"/>
      <c r="BSU395" s="7"/>
      <c r="BSV395" s="7"/>
      <c r="BSW395" s="7"/>
      <c r="BSX395" s="7"/>
      <c r="BSY395" s="7"/>
      <c r="BSZ395" s="7"/>
      <c r="BTA395" s="7"/>
    </row>
    <row r="396" spans="1:1873" s="118" customFormat="1" ht="13.15" customHeight="1" x14ac:dyDescent="0.2">
      <c r="A396" s="522"/>
      <c r="B396" s="234"/>
      <c r="C396" s="522"/>
      <c r="D396" s="234"/>
      <c r="E396" s="493"/>
      <c r="F396" s="523"/>
      <c r="G396" s="522"/>
      <c r="H396" s="524"/>
      <c r="I396" s="522"/>
      <c r="J396" s="524"/>
      <c r="K396" s="524"/>
      <c r="L396" s="522"/>
      <c r="M396" s="525"/>
      <c r="N396" s="389"/>
      <c r="O396" s="29"/>
      <c r="P396" s="525"/>
      <c r="Q396" s="234"/>
      <c r="R396" s="389"/>
      <c r="S396" s="234"/>
      <c r="T396" s="530"/>
      <c r="U396" s="234"/>
      <c r="V396" s="234"/>
      <c r="W396" s="389"/>
      <c r="X396" s="491"/>
      <c r="Y396" s="491"/>
      <c r="Z396" s="390"/>
      <c r="AA396" s="520"/>
      <c r="AB396" s="389"/>
      <c r="AC396" s="522"/>
      <c r="AD396" s="526"/>
      <c r="AE396" s="522"/>
      <c r="AF396" s="522"/>
      <c r="AG396" s="522"/>
      <c r="AH396" s="522"/>
      <c r="AI396" s="234"/>
      <c r="AJ396" s="234"/>
      <c r="AK396" s="522"/>
      <c r="AL396" s="522"/>
      <c r="AM396" s="234"/>
      <c r="AN396" s="522"/>
      <c r="AO396" s="522"/>
      <c r="AP396" s="522"/>
      <c r="AQ396" s="522"/>
      <c r="AR396" s="234"/>
      <c r="AS396" s="234"/>
      <c r="AT396" s="234"/>
      <c r="AU396" s="234"/>
      <c r="AV396" s="234"/>
      <c r="AW396" s="234"/>
      <c r="AX396" s="234"/>
      <c r="AY396" s="234"/>
      <c r="AZ396" s="234"/>
      <c r="BA396" s="234"/>
      <c r="BB396" s="522"/>
      <c r="BC396" s="522"/>
      <c r="BD396" s="522"/>
      <c r="BE396" s="234"/>
      <c r="BF396" s="522"/>
      <c r="BG396" s="522"/>
      <c r="BH396" s="234"/>
      <c r="BI396" s="234"/>
      <c r="BJ396" s="234"/>
      <c r="BK396" s="234"/>
      <c r="BL396" s="234"/>
      <c r="BM396" s="234"/>
      <c r="BN396" s="234"/>
      <c r="BO396" s="234"/>
      <c r="BP396" s="234"/>
      <c r="BQ396" s="234"/>
      <c r="BR396" s="234"/>
      <c r="BS396" s="491"/>
      <c r="BT396" s="234"/>
      <c r="BU396" s="234"/>
      <c r="BV396" s="234"/>
      <c r="BW396" s="234"/>
      <c r="BX396" s="234"/>
      <c r="BY396" s="234"/>
      <c r="BZ396" s="496"/>
      <c r="CA396" s="527"/>
      <c r="CB396" s="531"/>
      <c r="CC396" s="117"/>
      <c r="CD396" s="10"/>
      <c r="CE396" s="342" t="s">
        <v>1576</v>
      </c>
      <c r="CF396" s="342" t="s">
        <v>1575</v>
      </c>
      <c r="CG396" s="14"/>
    </row>
    <row r="397" spans="1:1873" s="118" customFormat="1" ht="15.6" customHeight="1" x14ac:dyDescent="0.2">
      <c r="A397" s="522" t="s">
        <v>1424</v>
      </c>
      <c r="B397" s="234" t="s">
        <v>42</v>
      </c>
      <c r="C397" s="522" t="s">
        <v>54</v>
      </c>
      <c r="D397" s="234" t="s">
        <v>619</v>
      </c>
      <c r="E397" s="493" t="s">
        <v>1503</v>
      </c>
      <c r="F397" s="523">
        <v>2</v>
      </c>
      <c r="G397" s="522">
        <v>1</v>
      </c>
      <c r="H397" s="524">
        <v>1</v>
      </c>
      <c r="I397" s="234" t="s">
        <v>954</v>
      </c>
      <c r="J397" s="522" t="s">
        <v>48</v>
      </c>
      <c r="K397" s="524" t="s">
        <v>957</v>
      </c>
      <c r="L397" s="522" t="s">
        <v>931</v>
      </c>
      <c r="M397" s="525">
        <v>6.2</v>
      </c>
      <c r="N397" s="389">
        <v>-9999</v>
      </c>
      <c r="O397" s="29"/>
      <c r="P397" s="525">
        <f>+M397</f>
        <v>6.2</v>
      </c>
      <c r="Q397" s="234">
        <v>-9999</v>
      </c>
      <c r="R397" s="389"/>
      <c r="S397" s="234"/>
      <c r="T397" s="237">
        <f>+P397/G397</f>
        <v>6.2</v>
      </c>
      <c r="U397" s="234">
        <v>-9999</v>
      </c>
      <c r="V397" s="234"/>
      <c r="W397" s="412">
        <f>+P397</f>
        <v>6.2</v>
      </c>
      <c r="X397" s="491">
        <v>-9999</v>
      </c>
      <c r="Y397" s="491"/>
      <c r="Z397" s="390" t="s">
        <v>1704</v>
      </c>
      <c r="AA397" s="520">
        <v>20833</v>
      </c>
      <c r="AB397" s="389">
        <v>0.85</v>
      </c>
      <c r="AC397" s="522">
        <v>1.2</v>
      </c>
      <c r="AD397" s="526">
        <v>125</v>
      </c>
      <c r="AE397" s="522" t="s">
        <v>168</v>
      </c>
      <c r="AF397" s="522">
        <v>6</v>
      </c>
      <c r="AG397" s="522" t="s">
        <v>776</v>
      </c>
      <c r="AH397" s="522" t="s">
        <v>623</v>
      </c>
      <c r="AI397" s="234">
        <v>-9999</v>
      </c>
      <c r="AJ397" s="234">
        <v>-9999</v>
      </c>
      <c r="AK397" s="522" t="s">
        <v>626</v>
      </c>
      <c r="AL397" s="522" t="s">
        <v>272</v>
      </c>
      <c r="AM397" s="234">
        <v>-9999</v>
      </c>
      <c r="AN397" s="522" t="s">
        <v>777</v>
      </c>
      <c r="AO397" s="234">
        <v>-9999</v>
      </c>
      <c r="AP397" s="234">
        <v>-9999</v>
      </c>
      <c r="AQ397" s="522" t="s">
        <v>777</v>
      </c>
      <c r="AR397" s="234">
        <v>0</v>
      </c>
      <c r="AS397" s="234">
        <v>-9999</v>
      </c>
      <c r="AT397" s="522">
        <v>-9999</v>
      </c>
      <c r="AU397" s="234">
        <v>0</v>
      </c>
      <c r="AV397" s="234">
        <v>-9999</v>
      </c>
      <c r="AW397" s="522">
        <v>-9999</v>
      </c>
      <c r="AX397" s="234">
        <v>0</v>
      </c>
      <c r="AY397" s="234">
        <v>-9999</v>
      </c>
      <c r="AZ397" s="522">
        <v>-9999</v>
      </c>
      <c r="BA397" s="234">
        <v>-9999</v>
      </c>
      <c r="BB397" s="522" t="s">
        <v>626</v>
      </c>
      <c r="BC397" s="522" t="s">
        <v>273</v>
      </c>
      <c r="BD397" s="522" t="s">
        <v>642</v>
      </c>
      <c r="BE397" s="234">
        <v>-9999</v>
      </c>
      <c r="BF397" s="522" t="s">
        <v>274</v>
      </c>
      <c r="BG397" s="522" t="s">
        <v>275</v>
      </c>
      <c r="BH397" s="234">
        <v>-9999</v>
      </c>
      <c r="BI397" s="234">
        <v>-9999</v>
      </c>
      <c r="BJ397" s="234">
        <v>-9999</v>
      </c>
      <c r="BK397" s="234">
        <v>-9999</v>
      </c>
      <c r="BL397" s="234">
        <v>2.9</v>
      </c>
      <c r="BM397" s="234">
        <v>-9999</v>
      </c>
      <c r="BN397" s="234">
        <v>2</v>
      </c>
      <c r="BO397" s="234">
        <v>-9999</v>
      </c>
      <c r="BP397" s="234">
        <v>-9999</v>
      </c>
      <c r="BQ397" s="234">
        <v>-9999</v>
      </c>
      <c r="BR397" s="234">
        <v>-9999</v>
      </c>
      <c r="BS397" s="491">
        <v>-9999</v>
      </c>
      <c r="BT397" s="234">
        <v>-9999</v>
      </c>
      <c r="BU397" s="234">
        <v>-9999</v>
      </c>
      <c r="BV397" s="234">
        <v>-9999</v>
      </c>
      <c r="BW397" s="234"/>
      <c r="BX397" s="234">
        <v>-9999</v>
      </c>
      <c r="BY397" s="234">
        <v>-9999</v>
      </c>
      <c r="BZ397" s="496">
        <v>-9999</v>
      </c>
      <c r="CA397" s="527">
        <v>15</v>
      </c>
      <c r="CB397" s="531"/>
      <c r="CC397" s="117">
        <v>2</v>
      </c>
      <c r="CD397" s="10">
        <v>1</v>
      </c>
      <c r="CE397" s="343">
        <v>6.2</v>
      </c>
      <c r="CF397" s="343">
        <v>6.2</v>
      </c>
      <c r="CG397" s="14">
        <v>1</v>
      </c>
      <c r="CW397" s="346" t="s">
        <v>1586</v>
      </c>
    </row>
    <row r="398" spans="1:1873" s="118" customFormat="1" ht="15.6" customHeight="1" x14ac:dyDescent="0.2">
      <c r="A398" s="522" t="s">
        <v>1424</v>
      </c>
      <c r="B398" s="234" t="s">
        <v>42</v>
      </c>
      <c r="C398" s="522" t="s">
        <v>54</v>
      </c>
      <c r="D398" s="234" t="s">
        <v>619</v>
      </c>
      <c r="E398" s="493" t="s">
        <v>1503</v>
      </c>
      <c r="F398" s="523">
        <v>2</v>
      </c>
      <c r="G398" s="522">
        <v>2</v>
      </c>
      <c r="H398" s="524">
        <v>2</v>
      </c>
      <c r="I398" s="234" t="s">
        <v>954</v>
      </c>
      <c r="J398" s="522" t="s">
        <v>48</v>
      </c>
      <c r="K398" s="524" t="s">
        <v>957</v>
      </c>
      <c r="L398" s="522" t="s">
        <v>930</v>
      </c>
      <c r="M398" s="525">
        <v>19</v>
      </c>
      <c r="N398" s="389">
        <v>-9999</v>
      </c>
      <c r="O398" s="29"/>
      <c r="P398" s="525">
        <f>+M398</f>
        <v>19</v>
      </c>
      <c r="Q398" s="234">
        <v>-9999</v>
      </c>
      <c r="R398" s="389"/>
      <c r="S398" s="234"/>
      <c r="T398" s="237">
        <f>+P398/G398</f>
        <v>9.5</v>
      </c>
      <c r="U398" s="234">
        <v>-9999</v>
      </c>
      <c r="V398" s="234"/>
      <c r="W398" s="412">
        <f>+P398-P397</f>
        <v>12.8</v>
      </c>
      <c r="X398" s="491">
        <v>-9999</v>
      </c>
      <c r="Y398" s="491"/>
      <c r="Z398" s="390" t="s">
        <v>1704</v>
      </c>
      <c r="AA398" s="520">
        <v>20833</v>
      </c>
      <c r="AB398" s="389">
        <v>0.85</v>
      </c>
      <c r="AC398" s="522">
        <v>1.2</v>
      </c>
      <c r="AD398" s="526">
        <v>125</v>
      </c>
      <c r="AE398" s="522" t="s">
        <v>168</v>
      </c>
      <c r="AF398" s="522">
        <v>6</v>
      </c>
      <c r="AG398" s="522" t="s">
        <v>776</v>
      </c>
      <c r="AH398" s="522" t="s">
        <v>623</v>
      </c>
      <c r="AI398" s="234">
        <v>-9999</v>
      </c>
      <c r="AJ398" s="234">
        <v>-9999</v>
      </c>
      <c r="AK398" s="522" t="s">
        <v>626</v>
      </c>
      <c r="AL398" s="522" t="s">
        <v>272</v>
      </c>
      <c r="AM398" s="234">
        <v>-9999</v>
      </c>
      <c r="AN398" s="522" t="s">
        <v>777</v>
      </c>
      <c r="AO398" s="234">
        <v>-9999</v>
      </c>
      <c r="AP398" s="234">
        <v>-9999</v>
      </c>
      <c r="AQ398" s="522" t="s">
        <v>777</v>
      </c>
      <c r="AR398" s="234">
        <v>0</v>
      </c>
      <c r="AS398" s="234">
        <v>-9999</v>
      </c>
      <c r="AT398" s="522">
        <v>-9999</v>
      </c>
      <c r="AU398" s="234">
        <v>0</v>
      </c>
      <c r="AV398" s="234">
        <v>-9999</v>
      </c>
      <c r="AW398" s="522">
        <v>-9999</v>
      </c>
      <c r="AX398" s="234">
        <v>0</v>
      </c>
      <c r="AY398" s="234">
        <v>-9999</v>
      </c>
      <c r="AZ398" s="522">
        <v>-9999</v>
      </c>
      <c r="BA398" s="234">
        <v>-9999</v>
      </c>
      <c r="BB398" s="522" t="s">
        <v>626</v>
      </c>
      <c r="BC398" s="522" t="s">
        <v>273</v>
      </c>
      <c r="BD398" s="522" t="s">
        <v>642</v>
      </c>
      <c r="BE398" s="234">
        <v>-9999</v>
      </c>
      <c r="BF398" s="522" t="s">
        <v>274</v>
      </c>
      <c r="BG398" s="522" t="s">
        <v>275</v>
      </c>
      <c r="BH398" s="234">
        <v>-9999</v>
      </c>
      <c r="BI398" s="234">
        <v>-9999</v>
      </c>
      <c r="BJ398" s="234">
        <v>-9999</v>
      </c>
      <c r="BK398" s="234">
        <v>-9999</v>
      </c>
      <c r="BL398" s="234">
        <v>4.9000000000000004</v>
      </c>
      <c r="BM398" s="234">
        <v>-9999</v>
      </c>
      <c r="BN398" s="234">
        <v>3.1</v>
      </c>
      <c r="BO398" s="234">
        <v>-9999</v>
      </c>
      <c r="BP398" s="234">
        <v>-9999</v>
      </c>
      <c r="BQ398" s="234">
        <v>-9999</v>
      </c>
      <c r="BR398" s="234">
        <v>-9999</v>
      </c>
      <c r="BS398" s="491">
        <v>-9999</v>
      </c>
      <c r="BT398" s="234">
        <v>-9999</v>
      </c>
      <c r="BU398" s="234">
        <v>-9999</v>
      </c>
      <c r="BV398" s="234">
        <v>-9999</v>
      </c>
      <c r="BW398" s="234"/>
      <c r="BX398" s="234">
        <v>-9999</v>
      </c>
      <c r="BY398" s="234">
        <v>-9999</v>
      </c>
      <c r="BZ398" s="496">
        <v>-9999</v>
      </c>
      <c r="CA398" s="527">
        <v>15</v>
      </c>
      <c r="CB398" s="531"/>
      <c r="CC398" s="117">
        <v>2</v>
      </c>
      <c r="CD398" s="10">
        <v>2</v>
      </c>
      <c r="CE398" s="343">
        <v>9.5</v>
      </c>
      <c r="CF398" s="343">
        <v>12.8</v>
      </c>
      <c r="CG398" s="14">
        <v>2</v>
      </c>
    </row>
    <row r="399" spans="1:1873" s="190" customFormat="1" ht="15.6" customHeight="1" x14ac:dyDescent="0.2">
      <c r="A399" s="532" t="s">
        <v>1424</v>
      </c>
      <c r="B399" s="231" t="s">
        <v>42</v>
      </c>
      <c r="C399" s="532" t="s">
        <v>54</v>
      </c>
      <c r="D399" s="231" t="s">
        <v>619</v>
      </c>
      <c r="E399" s="232" t="s">
        <v>1503</v>
      </c>
      <c r="F399" s="533">
        <v>2</v>
      </c>
      <c r="G399" s="532">
        <v>3</v>
      </c>
      <c r="H399" s="534">
        <v>3</v>
      </c>
      <c r="I399" s="231" t="s">
        <v>954</v>
      </c>
      <c r="J399" s="532" t="s">
        <v>48</v>
      </c>
      <c r="K399" s="534" t="s">
        <v>957</v>
      </c>
      <c r="L399" s="532" t="s">
        <v>929</v>
      </c>
      <c r="M399" s="535">
        <v>30.8</v>
      </c>
      <c r="N399" s="235">
        <v>-9999</v>
      </c>
      <c r="O399" s="18"/>
      <c r="P399" s="535">
        <f>+M399</f>
        <v>30.8</v>
      </c>
      <c r="Q399" s="231">
        <v>-9999</v>
      </c>
      <c r="R399" s="235"/>
      <c r="S399" s="231"/>
      <c r="T399" s="536">
        <f>+P399/G399</f>
        <v>10.266666666666667</v>
      </c>
      <c r="U399" s="231">
        <v>-9999</v>
      </c>
      <c r="V399" s="231"/>
      <c r="W399" s="517">
        <f>+P399-P398</f>
        <v>11.8</v>
      </c>
      <c r="X399" s="233">
        <v>-9999</v>
      </c>
      <c r="Y399" s="233"/>
      <c r="Z399" s="231" t="s">
        <v>1704</v>
      </c>
      <c r="AA399" s="521">
        <v>20833</v>
      </c>
      <c r="AB399" s="235">
        <v>0.82</v>
      </c>
      <c r="AC399" s="532">
        <v>1.2</v>
      </c>
      <c r="AD399" s="537">
        <v>125</v>
      </c>
      <c r="AE399" s="532" t="s">
        <v>168</v>
      </c>
      <c r="AF399" s="532">
        <v>6</v>
      </c>
      <c r="AG399" s="532" t="s">
        <v>776</v>
      </c>
      <c r="AH399" s="532" t="s">
        <v>623</v>
      </c>
      <c r="AI399" s="231">
        <v>-9999</v>
      </c>
      <c r="AJ399" s="231">
        <v>-9999</v>
      </c>
      <c r="AK399" s="532" t="s">
        <v>626</v>
      </c>
      <c r="AL399" s="532" t="s">
        <v>272</v>
      </c>
      <c r="AM399" s="231">
        <v>-9999</v>
      </c>
      <c r="AN399" s="532" t="s">
        <v>777</v>
      </c>
      <c r="AO399" s="231">
        <v>-9999</v>
      </c>
      <c r="AP399" s="231">
        <v>-9999</v>
      </c>
      <c r="AQ399" s="532" t="s">
        <v>777</v>
      </c>
      <c r="AR399" s="231">
        <v>0</v>
      </c>
      <c r="AS399" s="231">
        <v>-9999</v>
      </c>
      <c r="AT399" s="532">
        <v>-9999</v>
      </c>
      <c r="AU399" s="231">
        <v>0</v>
      </c>
      <c r="AV399" s="231">
        <v>-9999</v>
      </c>
      <c r="AW399" s="532">
        <v>-9999</v>
      </c>
      <c r="AX399" s="231">
        <v>0</v>
      </c>
      <c r="AY399" s="231">
        <v>-9999</v>
      </c>
      <c r="AZ399" s="532">
        <v>-9999</v>
      </c>
      <c r="BA399" s="231">
        <v>-9999</v>
      </c>
      <c r="BB399" s="532" t="s">
        <v>626</v>
      </c>
      <c r="BC399" s="532" t="s">
        <v>273</v>
      </c>
      <c r="BD399" s="532" t="s">
        <v>642</v>
      </c>
      <c r="BE399" s="231">
        <v>-9999</v>
      </c>
      <c r="BF399" s="532" t="s">
        <v>274</v>
      </c>
      <c r="BG399" s="532" t="s">
        <v>275</v>
      </c>
      <c r="BH399" s="231">
        <v>-9999</v>
      </c>
      <c r="BI399" s="231">
        <v>-9999</v>
      </c>
      <c r="BJ399" s="231">
        <v>-9999</v>
      </c>
      <c r="BK399" s="231">
        <v>-9999</v>
      </c>
      <c r="BL399" s="231">
        <v>6.3</v>
      </c>
      <c r="BM399" s="231">
        <v>-9999</v>
      </c>
      <c r="BN399" s="231">
        <v>3.9</v>
      </c>
      <c r="BO399" s="231">
        <v>-9999</v>
      </c>
      <c r="BP399" s="231">
        <v>-9999</v>
      </c>
      <c r="BQ399" s="231">
        <v>-9999</v>
      </c>
      <c r="BR399" s="231">
        <v>-9999</v>
      </c>
      <c r="BS399" s="233">
        <v>-9999</v>
      </c>
      <c r="BT399" s="231">
        <v>-9999</v>
      </c>
      <c r="BU399" s="231">
        <v>-9999</v>
      </c>
      <c r="BV399" s="231">
        <v>-9999</v>
      </c>
      <c r="BW399" s="231"/>
      <c r="BX399" s="231">
        <v>-9999</v>
      </c>
      <c r="BY399" s="231">
        <v>-9999</v>
      </c>
      <c r="BZ399" s="238">
        <v>-9999</v>
      </c>
      <c r="CA399" s="538">
        <v>15</v>
      </c>
      <c r="CB399" s="487"/>
      <c r="CC399" s="187">
        <v>2</v>
      </c>
      <c r="CD399" s="186">
        <v>3</v>
      </c>
      <c r="CE399" s="400">
        <v>10.266666666666667</v>
      </c>
      <c r="CF399" s="341">
        <v>11.8</v>
      </c>
      <c r="CG399" s="188">
        <v>3</v>
      </c>
      <c r="CH399" s="478" t="s">
        <v>1757</v>
      </c>
      <c r="CI399" s="7"/>
      <c r="CJ399" s="7"/>
      <c r="CK399" s="7"/>
      <c r="CL399" s="7"/>
      <c r="CM399" s="7"/>
      <c r="CN399" s="7"/>
      <c r="CO399" s="7"/>
      <c r="CP399" s="7"/>
      <c r="CQ399" s="7"/>
      <c r="CR399" s="7"/>
      <c r="CS399" s="7"/>
      <c r="CT399" s="7"/>
      <c r="CU399" s="7"/>
      <c r="CV399" s="7"/>
      <c r="CW399" s="7"/>
      <c r="CX399" s="7"/>
      <c r="CY399" s="7"/>
      <c r="CZ399" s="7"/>
      <c r="DA399" s="7"/>
      <c r="DB399" s="7"/>
      <c r="DC399" s="7"/>
      <c r="DD399" s="7"/>
      <c r="DE399" s="7"/>
      <c r="DF399" s="7"/>
      <c r="DG399" s="7"/>
      <c r="DH399" s="7"/>
      <c r="DI399" s="7"/>
      <c r="DJ399" s="7"/>
      <c r="DK399" s="7"/>
      <c r="DL399" s="7"/>
      <c r="DM399" s="7"/>
      <c r="DN399" s="7"/>
      <c r="DO399" s="7"/>
      <c r="DP399" s="7"/>
      <c r="DQ399" s="7"/>
      <c r="DR399" s="7"/>
      <c r="DS399" s="7"/>
      <c r="DT399" s="7"/>
      <c r="DU399" s="7"/>
      <c r="DV399" s="7"/>
      <c r="DW399" s="7"/>
      <c r="DX399" s="7"/>
      <c r="DY399" s="7"/>
      <c r="DZ399" s="7"/>
      <c r="EA399" s="7"/>
      <c r="EB399" s="7"/>
      <c r="EC399" s="7"/>
      <c r="ED399" s="7"/>
      <c r="EE399" s="7"/>
      <c r="EF399" s="7"/>
      <c r="EG399" s="7"/>
      <c r="EH399" s="7"/>
      <c r="EI399" s="7"/>
      <c r="EJ399" s="7"/>
      <c r="EK399" s="7"/>
      <c r="EL399" s="7"/>
      <c r="EM399" s="7"/>
      <c r="EN399" s="7"/>
      <c r="EO399" s="7"/>
      <c r="EP399" s="7"/>
      <c r="EQ399" s="7"/>
      <c r="ER399" s="7"/>
      <c r="ES399" s="7"/>
      <c r="ET399" s="7"/>
      <c r="EU399" s="7"/>
      <c r="EV399" s="7"/>
      <c r="EW399" s="7"/>
      <c r="EX399" s="7"/>
      <c r="EY399" s="7"/>
      <c r="EZ399" s="7"/>
      <c r="FA399" s="7"/>
      <c r="FB399" s="7"/>
      <c r="FC399" s="7"/>
      <c r="FD399" s="7"/>
      <c r="FE399" s="7"/>
      <c r="FF399" s="7"/>
      <c r="FG399" s="7"/>
      <c r="FH399" s="7"/>
      <c r="FI399" s="7"/>
      <c r="FJ399" s="7"/>
      <c r="FK399" s="7"/>
      <c r="FL399" s="7"/>
      <c r="FM399" s="7"/>
      <c r="FN399" s="7"/>
      <c r="FO399" s="7"/>
      <c r="FP399" s="7"/>
      <c r="FQ399" s="7"/>
      <c r="FR399" s="7"/>
      <c r="FS399" s="7"/>
      <c r="FT399" s="7"/>
      <c r="FU399" s="7"/>
      <c r="FV399" s="7"/>
      <c r="FW399" s="7"/>
      <c r="FX399" s="7"/>
      <c r="FY399" s="7"/>
      <c r="FZ399" s="7"/>
      <c r="GA399" s="7"/>
      <c r="GB399" s="7"/>
      <c r="GC399" s="7"/>
      <c r="GD399" s="7"/>
      <c r="GE399" s="7"/>
      <c r="GF399" s="7"/>
      <c r="GG399" s="7"/>
      <c r="GH399" s="7"/>
      <c r="GI399" s="7"/>
      <c r="GJ399" s="7"/>
      <c r="GK399" s="7"/>
      <c r="GL399" s="7"/>
      <c r="GM399" s="7"/>
      <c r="GN399" s="7"/>
      <c r="GO399" s="7"/>
      <c r="GP399" s="7"/>
      <c r="GQ399" s="7"/>
      <c r="GR399" s="7"/>
      <c r="GS399" s="7"/>
      <c r="GT399" s="7"/>
      <c r="GU399" s="7"/>
      <c r="GV399" s="7"/>
      <c r="GW399" s="7"/>
      <c r="GX399" s="7"/>
      <c r="GY399" s="7"/>
      <c r="GZ399" s="7"/>
      <c r="HA399" s="7"/>
      <c r="HB399" s="7"/>
      <c r="HC399" s="7"/>
      <c r="HD399" s="7"/>
      <c r="HE399" s="7"/>
      <c r="HF399" s="7"/>
      <c r="HG399" s="7"/>
      <c r="HH399" s="7"/>
      <c r="HI399" s="7"/>
      <c r="HJ399" s="7"/>
      <c r="HK399" s="7"/>
      <c r="HL399" s="7"/>
      <c r="HM399" s="7"/>
      <c r="HN399" s="7"/>
      <c r="HO399" s="7"/>
      <c r="HP399" s="7"/>
      <c r="HQ399" s="7"/>
      <c r="HR399" s="7"/>
      <c r="HS399" s="7"/>
      <c r="HT399" s="7"/>
      <c r="HU399" s="7"/>
      <c r="HV399" s="7"/>
      <c r="HW399" s="7"/>
      <c r="HX399" s="7"/>
      <c r="HY399" s="7"/>
      <c r="HZ399" s="7"/>
      <c r="IA399" s="7"/>
      <c r="IB399" s="7"/>
      <c r="IC399" s="7"/>
      <c r="ID399" s="7"/>
      <c r="IE399" s="7"/>
      <c r="IF399" s="7"/>
      <c r="IG399" s="7"/>
      <c r="IH399" s="7"/>
      <c r="II399" s="7"/>
      <c r="IJ399" s="7"/>
      <c r="IK399" s="7"/>
      <c r="IL399" s="7"/>
      <c r="IM399" s="7"/>
      <c r="IN399" s="7"/>
      <c r="IO399" s="7"/>
      <c r="IP399" s="7"/>
      <c r="IQ399" s="7"/>
      <c r="IR399" s="7"/>
      <c r="IS399" s="7"/>
      <c r="IT399" s="7"/>
      <c r="IU399" s="7"/>
      <c r="IV399" s="7"/>
      <c r="IW399" s="7"/>
      <c r="IX399" s="7"/>
      <c r="IY399" s="7"/>
      <c r="IZ399" s="7"/>
      <c r="JA399" s="7"/>
      <c r="JB399" s="7"/>
      <c r="JC399" s="7"/>
      <c r="JD399" s="7"/>
      <c r="JE399" s="7"/>
      <c r="JF399" s="7"/>
      <c r="JG399" s="7"/>
      <c r="JH399" s="7"/>
      <c r="JI399" s="7"/>
      <c r="JJ399" s="7"/>
      <c r="JK399" s="7"/>
      <c r="JL399" s="7"/>
      <c r="JM399" s="7"/>
      <c r="JN399" s="7"/>
      <c r="JO399" s="7"/>
      <c r="JP399" s="7"/>
      <c r="JQ399" s="7"/>
      <c r="JR399" s="7"/>
      <c r="JS399" s="7"/>
      <c r="JT399" s="7"/>
      <c r="JU399" s="7"/>
      <c r="JV399" s="7"/>
      <c r="JW399" s="7"/>
      <c r="JX399" s="7"/>
      <c r="JY399" s="7"/>
      <c r="JZ399" s="7"/>
      <c r="KA399" s="7"/>
      <c r="KB399" s="7"/>
      <c r="KC399" s="7"/>
      <c r="KD399" s="7"/>
      <c r="KE399" s="7"/>
      <c r="KF399" s="7"/>
      <c r="KG399" s="7"/>
      <c r="KH399" s="7"/>
      <c r="KI399" s="7"/>
      <c r="KJ399" s="7"/>
      <c r="KK399" s="7"/>
      <c r="KL399" s="7"/>
      <c r="KM399" s="7"/>
      <c r="KN399" s="7"/>
      <c r="KO399" s="7"/>
      <c r="KP399" s="7"/>
      <c r="KQ399" s="7"/>
      <c r="KR399" s="7"/>
      <c r="KS399" s="7"/>
      <c r="KT399" s="7"/>
      <c r="KU399" s="7"/>
      <c r="KV399" s="7"/>
      <c r="KW399" s="7"/>
      <c r="KX399" s="7"/>
      <c r="KY399" s="7"/>
      <c r="KZ399" s="7"/>
      <c r="LA399" s="7"/>
      <c r="LB399" s="7"/>
      <c r="LC399" s="7"/>
      <c r="LD399" s="7"/>
      <c r="LE399" s="7"/>
      <c r="LF399" s="7"/>
      <c r="LG399" s="7"/>
      <c r="LH399" s="7"/>
      <c r="LI399" s="7"/>
      <c r="LJ399" s="7"/>
      <c r="LK399" s="7"/>
      <c r="LL399" s="7"/>
      <c r="LM399" s="7"/>
      <c r="LN399" s="7"/>
      <c r="LO399" s="7"/>
      <c r="LP399" s="7"/>
      <c r="LQ399" s="7"/>
      <c r="LR399" s="7"/>
      <c r="LS399" s="7"/>
      <c r="LT399" s="7"/>
      <c r="LU399" s="7"/>
      <c r="LV399" s="7"/>
      <c r="LW399" s="7"/>
      <c r="LX399" s="7"/>
      <c r="LY399" s="7"/>
      <c r="LZ399" s="7"/>
      <c r="MA399" s="7"/>
      <c r="MB399" s="7"/>
      <c r="MC399" s="7"/>
      <c r="MD399" s="7"/>
      <c r="ME399" s="7"/>
      <c r="MF399" s="7"/>
      <c r="MG399" s="7"/>
      <c r="MH399" s="7"/>
      <c r="MI399" s="7"/>
      <c r="MJ399" s="7"/>
      <c r="MK399" s="7"/>
      <c r="ML399" s="7"/>
      <c r="MM399" s="7"/>
      <c r="MN399" s="7"/>
      <c r="MO399" s="7"/>
      <c r="MP399" s="7"/>
      <c r="MQ399" s="7"/>
      <c r="MR399" s="7"/>
      <c r="MS399" s="7"/>
      <c r="MT399" s="7"/>
      <c r="MU399" s="7"/>
      <c r="MV399" s="7"/>
      <c r="MW399" s="7"/>
      <c r="MX399" s="7"/>
      <c r="MY399" s="7"/>
      <c r="MZ399" s="7"/>
      <c r="NA399" s="7"/>
      <c r="NB399" s="7"/>
      <c r="NC399" s="7"/>
      <c r="ND399" s="7"/>
      <c r="NE399" s="7"/>
      <c r="NF399" s="7"/>
      <c r="NG399" s="7"/>
      <c r="NH399" s="7"/>
      <c r="NI399" s="7"/>
      <c r="NJ399" s="7"/>
      <c r="NK399" s="7"/>
      <c r="NL399" s="7"/>
      <c r="NM399" s="7"/>
      <c r="NN399" s="7"/>
      <c r="NO399" s="7"/>
      <c r="NP399" s="7"/>
      <c r="NQ399" s="7"/>
      <c r="NR399" s="7"/>
      <c r="NS399" s="7"/>
      <c r="NT399" s="7"/>
      <c r="NU399" s="7"/>
      <c r="NV399" s="7"/>
      <c r="NW399" s="7"/>
      <c r="NX399" s="7"/>
      <c r="NY399" s="7"/>
      <c r="NZ399" s="7"/>
      <c r="OA399" s="7"/>
      <c r="OB399" s="7"/>
      <c r="OC399" s="7"/>
      <c r="OD399" s="7"/>
      <c r="OE399" s="7"/>
      <c r="OF399" s="7"/>
      <c r="OG399" s="7"/>
      <c r="OH399" s="7"/>
      <c r="OI399" s="7"/>
      <c r="OJ399" s="7"/>
      <c r="OK399" s="7"/>
      <c r="OL399" s="7"/>
      <c r="OM399" s="7"/>
      <c r="ON399" s="7"/>
      <c r="OO399" s="7"/>
      <c r="OP399" s="7"/>
      <c r="OQ399" s="7"/>
      <c r="OR399" s="7"/>
      <c r="OS399" s="7"/>
      <c r="OT399" s="7"/>
      <c r="OU399" s="7"/>
      <c r="OV399" s="7"/>
      <c r="OW399" s="7"/>
      <c r="OX399" s="7"/>
      <c r="OY399" s="7"/>
      <c r="OZ399" s="7"/>
      <c r="PA399" s="7"/>
      <c r="PB399" s="7"/>
      <c r="PC399" s="7"/>
      <c r="PD399" s="7"/>
      <c r="PE399" s="7"/>
      <c r="PF399" s="7"/>
      <c r="PG399" s="7"/>
      <c r="PH399" s="7"/>
      <c r="PI399" s="7"/>
      <c r="PJ399" s="7"/>
      <c r="PK399" s="7"/>
      <c r="PL399" s="7"/>
      <c r="PM399" s="7"/>
      <c r="PN399" s="7"/>
      <c r="PO399" s="7"/>
      <c r="PP399" s="7"/>
      <c r="PQ399" s="7"/>
      <c r="PR399" s="7"/>
      <c r="PS399" s="7"/>
      <c r="PT399" s="7"/>
      <c r="PU399" s="7"/>
      <c r="PV399" s="7"/>
      <c r="PW399" s="7"/>
      <c r="PX399" s="7"/>
      <c r="PY399" s="7"/>
      <c r="PZ399" s="7"/>
      <c r="QA399" s="7"/>
      <c r="QB399" s="7"/>
      <c r="QC399" s="7"/>
      <c r="QD399" s="7"/>
      <c r="QE399" s="7"/>
      <c r="QF399" s="7"/>
      <c r="QG399" s="7"/>
      <c r="QH399" s="7"/>
      <c r="QI399" s="7"/>
      <c r="QJ399" s="7"/>
      <c r="QK399" s="7"/>
      <c r="QL399" s="7"/>
      <c r="QM399" s="7"/>
      <c r="QN399" s="7"/>
      <c r="QO399" s="7"/>
      <c r="QP399" s="7"/>
      <c r="QQ399" s="7"/>
      <c r="QR399" s="7"/>
      <c r="QS399" s="7"/>
      <c r="QT399" s="7"/>
      <c r="QU399" s="7"/>
      <c r="QV399" s="7"/>
      <c r="QW399" s="7"/>
      <c r="QX399" s="7"/>
      <c r="QY399" s="7"/>
      <c r="QZ399" s="7"/>
      <c r="RA399" s="7"/>
      <c r="RB399" s="7"/>
      <c r="RC399" s="7"/>
      <c r="RD399" s="7"/>
      <c r="RE399" s="7"/>
      <c r="RF399" s="7"/>
      <c r="RG399" s="7"/>
      <c r="RH399" s="7"/>
      <c r="RI399" s="7"/>
      <c r="RJ399" s="7"/>
      <c r="RK399" s="7"/>
      <c r="RL399" s="7"/>
      <c r="RM399" s="7"/>
      <c r="RN399" s="7"/>
      <c r="RO399" s="7"/>
      <c r="RP399" s="7"/>
      <c r="RQ399" s="7"/>
      <c r="RR399" s="7"/>
      <c r="RS399" s="7"/>
      <c r="RT399" s="7"/>
      <c r="RU399" s="7"/>
      <c r="RV399" s="7"/>
      <c r="RW399" s="7"/>
      <c r="RX399" s="7"/>
      <c r="RY399" s="7"/>
      <c r="RZ399" s="7"/>
      <c r="SA399" s="7"/>
      <c r="SB399" s="7"/>
      <c r="SC399" s="7"/>
      <c r="SD399" s="7"/>
      <c r="SE399" s="7"/>
      <c r="SF399" s="7"/>
      <c r="SG399" s="7"/>
      <c r="SH399" s="7"/>
      <c r="SI399" s="7"/>
      <c r="SJ399" s="7"/>
      <c r="SK399" s="7"/>
      <c r="SL399" s="7"/>
      <c r="SM399" s="7"/>
      <c r="SN399" s="7"/>
      <c r="SO399" s="7"/>
      <c r="SP399" s="7"/>
      <c r="SQ399" s="7"/>
      <c r="SR399" s="7"/>
      <c r="SS399" s="7"/>
      <c r="ST399" s="7"/>
      <c r="SU399" s="7"/>
      <c r="SV399" s="7"/>
      <c r="SW399" s="7"/>
      <c r="SX399" s="7"/>
      <c r="SY399" s="7"/>
      <c r="SZ399" s="7"/>
      <c r="TA399" s="7"/>
      <c r="TB399" s="7"/>
      <c r="TC399" s="7"/>
      <c r="TD399" s="7"/>
      <c r="TE399" s="7"/>
      <c r="TF399" s="7"/>
      <c r="TG399" s="7"/>
      <c r="TH399" s="7"/>
      <c r="TI399" s="7"/>
      <c r="TJ399" s="7"/>
      <c r="TK399" s="7"/>
      <c r="TL399" s="7"/>
      <c r="TM399" s="7"/>
      <c r="TN399" s="7"/>
      <c r="TO399" s="7"/>
      <c r="TP399" s="7"/>
      <c r="TQ399" s="7"/>
      <c r="TR399" s="7"/>
      <c r="TS399" s="7"/>
      <c r="TT399" s="7"/>
      <c r="TU399" s="7"/>
      <c r="TV399" s="7"/>
      <c r="TW399" s="7"/>
      <c r="TX399" s="7"/>
      <c r="TY399" s="7"/>
      <c r="TZ399" s="7"/>
      <c r="UA399" s="7"/>
      <c r="UB399" s="7"/>
      <c r="UC399" s="7"/>
      <c r="UD399" s="7"/>
      <c r="UE399" s="7"/>
      <c r="UF399" s="7"/>
      <c r="UG399" s="7"/>
      <c r="UH399" s="7"/>
      <c r="UI399" s="7"/>
      <c r="UJ399" s="7"/>
      <c r="UK399" s="7"/>
      <c r="UL399" s="7"/>
      <c r="UM399" s="7"/>
      <c r="UN399" s="7"/>
      <c r="UO399" s="7"/>
      <c r="UP399" s="7"/>
      <c r="UQ399" s="7"/>
      <c r="UR399" s="7"/>
      <c r="US399" s="7"/>
      <c r="UT399" s="7"/>
      <c r="UU399" s="7"/>
      <c r="UV399" s="7"/>
      <c r="UW399" s="7"/>
      <c r="UX399" s="7"/>
      <c r="UY399" s="7"/>
      <c r="UZ399" s="7"/>
      <c r="VA399" s="7"/>
      <c r="VB399" s="7"/>
      <c r="VC399" s="7"/>
      <c r="VD399" s="7"/>
      <c r="VE399" s="7"/>
      <c r="VF399" s="7"/>
      <c r="VG399" s="7"/>
      <c r="VH399" s="7"/>
      <c r="VI399" s="7"/>
      <c r="VJ399" s="7"/>
      <c r="VK399" s="7"/>
      <c r="VL399" s="7"/>
      <c r="VM399" s="7"/>
      <c r="VN399" s="7"/>
      <c r="VO399" s="7"/>
      <c r="VP399" s="7"/>
      <c r="VQ399" s="7"/>
      <c r="VR399" s="7"/>
      <c r="VS399" s="7"/>
      <c r="VT399" s="7"/>
      <c r="VU399" s="7"/>
      <c r="VV399" s="7"/>
      <c r="VW399" s="7"/>
      <c r="VX399" s="7"/>
      <c r="VY399" s="7"/>
      <c r="VZ399" s="7"/>
      <c r="WA399" s="7"/>
      <c r="WB399" s="7"/>
      <c r="WC399" s="7"/>
      <c r="WD399" s="7"/>
      <c r="WE399" s="7"/>
      <c r="WF399" s="7"/>
      <c r="WG399" s="7"/>
      <c r="WH399" s="7"/>
      <c r="WI399" s="7"/>
      <c r="WJ399" s="7"/>
      <c r="WK399" s="7"/>
      <c r="WL399" s="7"/>
      <c r="WM399" s="7"/>
      <c r="WN399" s="7"/>
      <c r="WO399" s="7"/>
      <c r="WP399" s="7"/>
      <c r="WQ399" s="7"/>
      <c r="WR399" s="7"/>
      <c r="WS399" s="7"/>
      <c r="WT399" s="7"/>
      <c r="WU399" s="7"/>
      <c r="WV399" s="7"/>
      <c r="WW399" s="7"/>
      <c r="WX399" s="7"/>
      <c r="WY399" s="7"/>
      <c r="WZ399" s="7"/>
      <c r="XA399" s="7"/>
      <c r="XB399" s="7"/>
      <c r="XC399" s="7"/>
      <c r="XD399" s="7"/>
      <c r="XE399" s="7"/>
      <c r="XF399" s="7"/>
      <c r="XG399" s="7"/>
      <c r="XH399" s="7"/>
      <c r="XI399" s="7"/>
      <c r="XJ399" s="7"/>
      <c r="XK399" s="7"/>
      <c r="XL399" s="7"/>
      <c r="XM399" s="7"/>
      <c r="XN399" s="7"/>
      <c r="XO399" s="7"/>
      <c r="XP399" s="7"/>
      <c r="XQ399" s="7"/>
      <c r="XR399" s="7"/>
      <c r="XS399" s="7"/>
      <c r="XT399" s="7"/>
      <c r="XU399" s="7"/>
      <c r="XV399" s="7"/>
      <c r="XW399" s="7"/>
      <c r="XX399" s="7"/>
      <c r="XY399" s="7"/>
      <c r="XZ399" s="7"/>
      <c r="YA399" s="7"/>
      <c r="YB399" s="7"/>
      <c r="YC399" s="7"/>
      <c r="YD399" s="7"/>
      <c r="YE399" s="7"/>
      <c r="YF399" s="7"/>
      <c r="YG399" s="7"/>
      <c r="YH399" s="7"/>
      <c r="YI399" s="7"/>
      <c r="YJ399" s="7"/>
      <c r="YK399" s="7"/>
      <c r="YL399" s="7"/>
      <c r="YM399" s="7"/>
      <c r="YN399" s="7"/>
      <c r="YO399" s="7"/>
      <c r="YP399" s="7"/>
      <c r="YQ399" s="7"/>
      <c r="YR399" s="7"/>
      <c r="YS399" s="7"/>
      <c r="YT399" s="7"/>
      <c r="YU399" s="7"/>
      <c r="YV399" s="7"/>
      <c r="YW399" s="7"/>
      <c r="YX399" s="7"/>
      <c r="YY399" s="7"/>
      <c r="YZ399" s="7"/>
      <c r="ZA399" s="7"/>
      <c r="ZB399" s="7"/>
      <c r="ZC399" s="7"/>
      <c r="ZD399" s="7"/>
      <c r="ZE399" s="7"/>
      <c r="ZF399" s="7"/>
      <c r="ZG399" s="7"/>
      <c r="ZH399" s="7"/>
      <c r="ZI399" s="7"/>
      <c r="ZJ399" s="7"/>
      <c r="ZK399" s="7"/>
      <c r="ZL399" s="7"/>
      <c r="ZM399" s="7"/>
      <c r="ZN399" s="7"/>
      <c r="ZO399" s="7"/>
      <c r="ZP399" s="7"/>
      <c r="ZQ399" s="7"/>
      <c r="ZR399" s="7"/>
      <c r="ZS399" s="7"/>
      <c r="ZT399" s="7"/>
      <c r="ZU399" s="7"/>
      <c r="ZV399" s="7"/>
      <c r="ZW399" s="7"/>
      <c r="ZX399" s="7"/>
      <c r="ZY399" s="7"/>
      <c r="ZZ399" s="7"/>
      <c r="AAA399" s="7"/>
      <c r="AAB399" s="7"/>
      <c r="AAC399" s="7"/>
      <c r="AAD399" s="7"/>
      <c r="AAE399" s="7"/>
      <c r="AAF399" s="7"/>
      <c r="AAG399" s="7"/>
      <c r="AAH399" s="7"/>
      <c r="AAI399" s="7"/>
      <c r="AAJ399" s="7"/>
      <c r="AAK399" s="7"/>
      <c r="AAL399" s="7"/>
      <c r="AAM399" s="7"/>
      <c r="AAN399" s="7"/>
      <c r="AAO399" s="7"/>
      <c r="AAP399" s="7"/>
      <c r="AAQ399" s="7"/>
      <c r="AAR399" s="7"/>
      <c r="AAS399" s="7"/>
      <c r="AAT399" s="7"/>
      <c r="AAU399" s="7"/>
      <c r="AAV399" s="7"/>
      <c r="AAW399" s="7"/>
      <c r="AAX399" s="7"/>
      <c r="AAY399" s="7"/>
      <c r="AAZ399" s="7"/>
      <c r="ABA399" s="7"/>
      <c r="ABB399" s="7"/>
      <c r="ABC399" s="7"/>
      <c r="ABD399" s="7"/>
      <c r="ABE399" s="7"/>
      <c r="ABF399" s="7"/>
      <c r="ABG399" s="7"/>
      <c r="ABH399" s="7"/>
      <c r="ABI399" s="7"/>
      <c r="ABJ399" s="7"/>
      <c r="ABK399" s="7"/>
      <c r="ABL399" s="7"/>
      <c r="ABM399" s="7"/>
      <c r="ABN399" s="7"/>
      <c r="ABO399" s="7"/>
      <c r="ABP399" s="7"/>
      <c r="ABQ399" s="7"/>
      <c r="ABR399" s="7"/>
      <c r="ABS399" s="7"/>
      <c r="ABT399" s="7"/>
      <c r="ABU399" s="7"/>
      <c r="ABV399" s="7"/>
      <c r="ABW399" s="7"/>
      <c r="ABX399" s="7"/>
      <c r="ABY399" s="7"/>
      <c r="ABZ399" s="7"/>
      <c r="ACA399" s="7"/>
      <c r="ACB399" s="7"/>
      <c r="ACC399" s="7"/>
      <c r="ACD399" s="7"/>
      <c r="ACE399" s="7"/>
      <c r="ACF399" s="7"/>
      <c r="ACG399" s="7"/>
      <c r="ACH399" s="7"/>
      <c r="ACI399" s="7"/>
      <c r="ACJ399" s="7"/>
      <c r="ACK399" s="7"/>
      <c r="ACL399" s="7"/>
      <c r="ACM399" s="7"/>
      <c r="ACN399" s="7"/>
      <c r="ACO399" s="7"/>
      <c r="ACP399" s="7"/>
      <c r="ACQ399" s="7"/>
      <c r="ACR399" s="7"/>
      <c r="ACS399" s="7"/>
      <c r="ACT399" s="7"/>
      <c r="ACU399" s="7"/>
      <c r="ACV399" s="7"/>
      <c r="ACW399" s="7"/>
      <c r="ACX399" s="7"/>
      <c r="ACY399" s="7"/>
      <c r="ACZ399" s="7"/>
      <c r="ADA399" s="7"/>
      <c r="ADB399" s="7"/>
      <c r="ADC399" s="7"/>
      <c r="ADD399" s="7"/>
      <c r="ADE399" s="7"/>
      <c r="ADF399" s="7"/>
      <c r="ADG399" s="7"/>
      <c r="ADH399" s="7"/>
      <c r="ADI399" s="7"/>
      <c r="ADJ399" s="7"/>
      <c r="ADK399" s="7"/>
      <c r="ADL399" s="7"/>
      <c r="ADM399" s="7"/>
      <c r="ADN399" s="7"/>
      <c r="ADO399" s="7"/>
      <c r="ADP399" s="7"/>
      <c r="ADQ399" s="7"/>
      <c r="ADR399" s="7"/>
      <c r="ADS399" s="7"/>
      <c r="ADT399" s="7"/>
      <c r="ADU399" s="7"/>
      <c r="ADV399" s="7"/>
      <c r="ADW399" s="7"/>
      <c r="ADX399" s="7"/>
      <c r="ADY399" s="7"/>
      <c r="ADZ399" s="7"/>
      <c r="AEA399" s="7"/>
      <c r="AEB399" s="7"/>
      <c r="AEC399" s="7"/>
      <c r="AED399" s="7"/>
      <c r="AEE399" s="7"/>
      <c r="AEF399" s="7"/>
      <c r="AEG399" s="7"/>
      <c r="AEH399" s="7"/>
      <c r="AEI399" s="7"/>
      <c r="AEJ399" s="7"/>
      <c r="AEK399" s="7"/>
      <c r="AEL399" s="7"/>
      <c r="AEM399" s="7"/>
      <c r="AEN399" s="7"/>
      <c r="AEO399" s="7"/>
      <c r="AEP399" s="7"/>
      <c r="AEQ399" s="7"/>
      <c r="AER399" s="7"/>
      <c r="AES399" s="7"/>
      <c r="AET399" s="7"/>
      <c r="AEU399" s="7"/>
      <c r="AEV399" s="7"/>
      <c r="AEW399" s="7"/>
      <c r="AEX399" s="7"/>
      <c r="AEY399" s="7"/>
      <c r="AEZ399" s="7"/>
      <c r="AFA399" s="7"/>
      <c r="AFB399" s="7"/>
      <c r="AFC399" s="7"/>
      <c r="AFD399" s="7"/>
      <c r="AFE399" s="7"/>
      <c r="AFF399" s="7"/>
      <c r="AFG399" s="7"/>
      <c r="AFH399" s="7"/>
      <c r="AFI399" s="7"/>
      <c r="AFJ399" s="7"/>
      <c r="AFK399" s="7"/>
      <c r="AFL399" s="7"/>
      <c r="AFM399" s="7"/>
      <c r="AFN399" s="7"/>
      <c r="AFO399" s="7"/>
      <c r="AFP399" s="7"/>
      <c r="AFQ399" s="7"/>
      <c r="AFR399" s="7"/>
      <c r="AFS399" s="7"/>
      <c r="AFT399" s="7"/>
      <c r="AFU399" s="7"/>
      <c r="AFV399" s="7"/>
      <c r="AFW399" s="7"/>
      <c r="AFX399" s="7"/>
      <c r="AFY399" s="7"/>
      <c r="AFZ399" s="7"/>
      <c r="AGA399" s="7"/>
      <c r="AGB399" s="7"/>
      <c r="AGC399" s="7"/>
      <c r="AGD399" s="7"/>
      <c r="AGE399" s="7"/>
      <c r="AGF399" s="7"/>
      <c r="AGG399" s="7"/>
      <c r="AGH399" s="7"/>
      <c r="AGI399" s="7"/>
      <c r="AGJ399" s="7"/>
      <c r="AGK399" s="7"/>
      <c r="AGL399" s="7"/>
      <c r="AGM399" s="7"/>
      <c r="AGN399" s="7"/>
      <c r="AGO399" s="7"/>
      <c r="AGP399" s="7"/>
      <c r="AGQ399" s="7"/>
      <c r="AGR399" s="7"/>
      <c r="AGS399" s="7"/>
      <c r="AGT399" s="7"/>
      <c r="AGU399" s="7"/>
      <c r="AGV399" s="7"/>
      <c r="AGW399" s="7"/>
      <c r="AGX399" s="7"/>
      <c r="AGY399" s="7"/>
      <c r="AGZ399" s="7"/>
      <c r="AHA399" s="7"/>
      <c r="AHB399" s="7"/>
      <c r="AHC399" s="7"/>
      <c r="AHD399" s="7"/>
      <c r="AHE399" s="7"/>
      <c r="AHF399" s="7"/>
      <c r="AHG399" s="7"/>
      <c r="AHH399" s="7"/>
      <c r="AHI399" s="7"/>
      <c r="AHJ399" s="7"/>
      <c r="AHK399" s="7"/>
      <c r="AHL399" s="7"/>
      <c r="AHM399" s="7"/>
      <c r="AHN399" s="7"/>
      <c r="AHO399" s="7"/>
      <c r="AHP399" s="7"/>
      <c r="AHQ399" s="7"/>
      <c r="AHR399" s="7"/>
      <c r="AHS399" s="7"/>
      <c r="AHT399" s="7"/>
      <c r="AHU399" s="7"/>
      <c r="AHV399" s="7"/>
      <c r="AHW399" s="7"/>
      <c r="AHX399" s="7"/>
      <c r="AHY399" s="7"/>
      <c r="AHZ399" s="7"/>
      <c r="AIA399" s="7"/>
      <c r="AIB399" s="7"/>
      <c r="AIC399" s="7"/>
      <c r="AID399" s="7"/>
      <c r="AIE399" s="7"/>
      <c r="AIF399" s="7"/>
      <c r="AIG399" s="7"/>
      <c r="AIH399" s="7"/>
      <c r="AII399" s="7"/>
      <c r="AIJ399" s="7"/>
      <c r="AIK399" s="7"/>
      <c r="AIL399" s="7"/>
      <c r="AIM399" s="7"/>
      <c r="AIN399" s="7"/>
      <c r="AIO399" s="7"/>
      <c r="AIP399" s="7"/>
      <c r="AIQ399" s="7"/>
      <c r="AIR399" s="7"/>
      <c r="AIS399" s="7"/>
      <c r="AIT399" s="7"/>
      <c r="AIU399" s="7"/>
      <c r="AIV399" s="7"/>
      <c r="AIW399" s="7"/>
      <c r="AIX399" s="7"/>
      <c r="AIY399" s="7"/>
      <c r="AIZ399" s="7"/>
      <c r="AJA399" s="7"/>
      <c r="AJB399" s="7"/>
      <c r="AJC399" s="7"/>
      <c r="AJD399" s="7"/>
      <c r="AJE399" s="7"/>
      <c r="AJF399" s="7"/>
      <c r="AJG399" s="7"/>
      <c r="AJH399" s="7"/>
      <c r="AJI399" s="7"/>
      <c r="AJJ399" s="7"/>
      <c r="AJK399" s="7"/>
      <c r="AJL399" s="7"/>
      <c r="AJM399" s="7"/>
      <c r="AJN399" s="7"/>
      <c r="AJO399" s="7"/>
      <c r="AJP399" s="7"/>
      <c r="AJQ399" s="7"/>
      <c r="AJR399" s="7"/>
      <c r="AJS399" s="7"/>
      <c r="AJT399" s="7"/>
      <c r="AJU399" s="7"/>
      <c r="AJV399" s="7"/>
      <c r="AJW399" s="7"/>
      <c r="AJX399" s="7"/>
      <c r="AJY399" s="7"/>
      <c r="AJZ399" s="7"/>
      <c r="AKA399" s="7"/>
      <c r="AKB399" s="7"/>
      <c r="AKC399" s="7"/>
      <c r="AKD399" s="7"/>
      <c r="AKE399" s="7"/>
      <c r="AKF399" s="7"/>
      <c r="AKG399" s="7"/>
      <c r="AKH399" s="7"/>
      <c r="AKI399" s="7"/>
      <c r="AKJ399" s="7"/>
      <c r="AKK399" s="7"/>
      <c r="AKL399" s="7"/>
      <c r="AKM399" s="7"/>
      <c r="AKN399" s="7"/>
      <c r="AKO399" s="7"/>
      <c r="AKP399" s="7"/>
      <c r="AKQ399" s="7"/>
      <c r="AKR399" s="7"/>
      <c r="AKS399" s="7"/>
      <c r="AKT399" s="7"/>
      <c r="AKU399" s="7"/>
      <c r="AKV399" s="7"/>
      <c r="AKW399" s="7"/>
      <c r="AKX399" s="7"/>
      <c r="AKY399" s="7"/>
      <c r="AKZ399" s="7"/>
      <c r="ALA399" s="7"/>
      <c r="ALB399" s="7"/>
      <c r="ALC399" s="7"/>
      <c r="ALD399" s="7"/>
      <c r="ALE399" s="7"/>
      <c r="ALF399" s="7"/>
      <c r="ALG399" s="7"/>
      <c r="ALH399" s="7"/>
      <c r="ALI399" s="7"/>
      <c r="ALJ399" s="7"/>
      <c r="ALK399" s="7"/>
      <c r="ALL399" s="7"/>
      <c r="ALM399" s="7"/>
      <c r="ALN399" s="7"/>
      <c r="ALO399" s="7"/>
      <c r="ALP399" s="7"/>
      <c r="ALQ399" s="7"/>
      <c r="ALR399" s="7"/>
      <c r="ALS399" s="7"/>
      <c r="ALT399" s="7"/>
      <c r="ALU399" s="7"/>
      <c r="ALV399" s="7"/>
      <c r="ALW399" s="7"/>
      <c r="ALX399" s="7"/>
      <c r="ALY399" s="7"/>
      <c r="ALZ399" s="7"/>
      <c r="AMA399" s="7"/>
      <c r="AMB399" s="7"/>
      <c r="AMC399" s="7"/>
      <c r="AMD399" s="7"/>
      <c r="AME399" s="7"/>
      <c r="AMF399" s="7"/>
      <c r="AMG399" s="7"/>
      <c r="AMH399" s="7"/>
      <c r="AMI399" s="7"/>
      <c r="AMJ399" s="7"/>
      <c r="AMK399" s="7"/>
      <c r="AML399" s="7"/>
      <c r="AMM399" s="7"/>
      <c r="AMN399" s="7"/>
      <c r="AMO399" s="7"/>
      <c r="AMP399" s="7"/>
      <c r="AMQ399" s="7"/>
      <c r="AMR399" s="7"/>
      <c r="AMS399" s="7"/>
      <c r="AMT399" s="7"/>
      <c r="AMU399" s="7"/>
      <c r="AMV399" s="7"/>
      <c r="AMW399" s="7"/>
      <c r="AMX399" s="7"/>
      <c r="AMY399" s="7"/>
      <c r="AMZ399" s="7"/>
      <c r="ANA399" s="7"/>
      <c r="ANB399" s="7"/>
      <c r="ANC399" s="7"/>
      <c r="AND399" s="7"/>
      <c r="ANE399" s="7"/>
      <c r="ANF399" s="7"/>
      <c r="ANG399" s="7"/>
      <c r="ANH399" s="7"/>
      <c r="ANI399" s="7"/>
      <c r="ANJ399" s="7"/>
      <c r="ANK399" s="7"/>
      <c r="ANL399" s="7"/>
      <c r="ANM399" s="7"/>
      <c r="ANN399" s="7"/>
      <c r="ANO399" s="7"/>
      <c r="ANP399" s="7"/>
      <c r="ANQ399" s="7"/>
      <c r="ANR399" s="7"/>
      <c r="ANS399" s="7"/>
      <c r="ANT399" s="7"/>
      <c r="ANU399" s="7"/>
      <c r="ANV399" s="7"/>
      <c r="ANW399" s="7"/>
      <c r="ANX399" s="7"/>
      <c r="ANY399" s="7"/>
      <c r="ANZ399" s="7"/>
      <c r="AOA399" s="7"/>
      <c r="AOB399" s="7"/>
      <c r="AOC399" s="7"/>
      <c r="AOD399" s="7"/>
      <c r="AOE399" s="7"/>
      <c r="AOF399" s="7"/>
      <c r="AOG399" s="7"/>
      <c r="AOH399" s="7"/>
      <c r="AOI399" s="7"/>
      <c r="AOJ399" s="7"/>
      <c r="AOK399" s="7"/>
      <c r="AOL399" s="7"/>
      <c r="AOM399" s="7"/>
      <c r="AON399" s="7"/>
      <c r="AOO399" s="7"/>
      <c r="AOP399" s="7"/>
      <c r="AOQ399" s="7"/>
      <c r="AOR399" s="7"/>
      <c r="AOS399" s="7"/>
      <c r="AOT399" s="7"/>
      <c r="AOU399" s="7"/>
      <c r="AOV399" s="7"/>
      <c r="AOW399" s="7"/>
      <c r="AOX399" s="7"/>
      <c r="AOY399" s="7"/>
      <c r="AOZ399" s="7"/>
      <c r="APA399" s="7"/>
      <c r="APB399" s="7"/>
      <c r="APC399" s="7"/>
      <c r="APD399" s="7"/>
      <c r="APE399" s="7"/>
      <c r="APF399" s="7"/>
      <c r="APG399" s="7"/>
      <c r="APH399" s="7"/>
      <c r="API399" s="7"/>
      <c r="APJ399" s="7"/>
      <c r="APK399" s="7"/>
      <c r="APL399" s="7"/>
      <c r="APM399" s="7"/>
      <c r="APN399" s="7"/>
      <c r="APO399" s="7"/>
      <c r="APP399" s="7"/>
      <c r="APQ399" s="7"/>
      <c r="APR399" s="7"/>
      <c r="APS399" s="7"/>
      <c r="APT399" s="7"/>
      <c r="APU399" s="7"/>
      <c r="APV399" s="7"/>
      <c r="APW399" s="7"/>
      <c r="APX399" s="7"/>
      <c r="APY399" s="7"/>
      <c r="APZ399" s="7"/>
      <c r="AQA399" s="7"/>
      <c r="AQB399" s="7"/>
      <c r="AQC399" s="7"/>
      <c r="AQD399" s="7"/>
      <c r="AQE399" s="7"/>
      <c r="AQF399" s="7"/>
      <c r="AQG399" s="7"/>
      <c r="AQH399" s="7"/>
      <c r="AQI399" s="7"/>
      <c r="AQJ399" s="7"/>
      <c r="AQK399" s="7"/>
      <c r="AQL399" s="7"/>
      <c r="AQM399" s="7"/>
      <c r="AQN399" s="7"/>
      <c r="AQO399" s="7"/>
      <c r="AQP399" s="7"/>
      <c r="AQQ399" s="7"/>
      <c r="AQR399" s="7"/>
      <c r="AQS399" s="7"/>
      <c r="AQT399" s="7"/>
      <c r="AQU399" s="7"/>
      <c r="AQV399" s="7"/>
      <c r="AQW399" s="7"/>
      <c r="AQX399" s="7"/>
      <c r="AQY399" s="7"/>
      <c r="AQZ399" s="7"/>
      <c r="ARA399" s="7"/>
      <c r="ARB399" s="7"/>
      <c r="ARC399" s="7"/>
      <c r="ARD399" s="7"/>
      <c r="ARE399" s="7"/>
      <c r="ARF399" s="7"/>
      <c r="ARG399" s="7"/>
      <c r="ARH399" s="7"/>
      <c r="ARI399" s="7"/>
      <c r="ARJ399" s="7"/>
      <c r="ARK399" s="7"/>
      <c r="ARL399" s="7"/>
      <c r="ARM399" s="7"/>
      <c r="ARN399" s="7"/>
      <c r="ARO399" s="7"/>
      <c r="ARP399" s="7"/>
      <c r="ARQ399" s="7"/>
      <c r="ARR399" s="7"/>
      <c r="ARS399" s="7"/>
      <c r="ART399" s="7"/>
      <c r="ARU399" s="7"/>
      <c r="ARV399" s="7"/>
      <c r="ARW399" s="7"/>
      <c r="ARX399" s="7"/>
      <c r="ARY399" s="7"/>
      <c r="ARZ399" s="7"/>
      <c r="ASA399" s="7"/>
      <c r="ASB399" s="7"/>
      <c r="ASC399" s="7"/>
      <c r="ASD399" s="7"/>
      <c r="ASE399" s="7"/>
      <c r="ASF399" s="7"/>
      <c r="ASG399" s="7"/>
      <c r="ASH399" s="7"/>
      <c r="ASI399" s="7"/>
      <c r="ASJ399" s="7"/>
      <c r="ASK399" s="7"/>
      <c r="ASL399" s="7"/>
      <c r="ASM399" s="7"/>
      <c r="ASN399" s="7"/>
      <c r="ASO399" s="7"/>
      <c r="ASP399" s="7"/>
      <c r="ASQ399" s="7"/>
      <c r="ASR399" s="7"/>
      <c r="ASS399" s="7"/>
      <c r="AST399" s="7"/>
      <c r="ASU399" s="7"/>
      <c r="ASV399" s="7"/>
      <c r="ASW399" s="7"/>
      <c r="ASX399" s="7"/>
      <c r="ASY399" s="7"/>
      <c r="ASZ399" s="7"/>
      <c r="ATA399" s="7"/>
      <c r="ATB399" s="7"/>
      <c r="ATC399" s="7"/>
      <c r="ATD399" s="7"/>
      <c r="ATE399" s="7"/>
      <c r="ATF399" s="7"/>
      <c r="ATG399" s="7"/>
      <c r="ATH399" s="7"/>
      <c r="ATI399" s="7"/>
      <c r="ATJ399" s="7"/>
      <c r="ATK399" s="7"/>
      <c r="ATL399" s="7"/>
      <c r="ATM399" s="7"/>
      <c r="ATN399" s="7"/>
      <c r="ATO399" s="7"/>
      <c r="ATP399" s="7"/>
      <c r="ATQ399" s="7"/>
      <c r="ATR399" s="7"/>
      <c r="ATS399" s="7"/>
      <c r="ATT399" s="7"/>
      <c r="ATU399" s="7"/>
      <c r="ATV399" s="7"/>
      <c r="ATW399" s="7"/>
      <c r="ATX399" s="7"/>
      <c r="ATY399" s="7"/>
      <c r="ATZ399" s="7"/>
      <c r="AUA399" s="7"/>
      <c r="AUB399" s="7"/>
      <c r="AUC399" s="7"/>
      <c r="AUD399" s="7"/>
      <c r="AUE399" s="7"/>
      <c r="AUF399" s="7"/>
      <c r="AUG399" s="7"/>
      <c r="AUH399" s="7"/>
      <c r="AUI399" s="7"/>
      <c r="AUJ399" s="7"/>
      <c r="AUK399" s="7"/>
      <c r="AUL399" s="7"/>
      <c r="AUM399" s="7"/>
      <c r="AUN399" s="7"/>
      <c r="AUO399" s="7"/>
      <c r="AUP399" s="7"/>
      <c r="AUQ399" s="7"/>
      <c r="AUR399" s="7"/>
      <c r="AUS399" s="7"/>
      <c r="AUT399" s="7"/>
      <c r="AUU399" s="7"/>
      <c r="AUV399" s="7"/>
      <c r="AUW399" s="7"/>
      <c r="AUX399" s="7"/>
      <c r="AUY399" s="7"/>
      <c r="AUZ399" s="7"/>
      <c r="AVA399" s="7"/>
      <c r="AVB399" s="7"/>
      <c r="AVC399" s="7"/>
      <c r="AVD399" s="7"/>
      <c r="AVE399" s="7"/>
      <c r="AVF399" s="7"/>
      <c r="AVG399" s="7"/>
      <c r="AVH399" s="7"/>
      <c r="AVI399" s="7"/>
      <c r="AVJ399" s="7"/>
      <c r="AVK399" s="7"/>
      <c r="AVL399" s="7"/>
      <c r="AVM399" s="7"/>
      <c r="AVN399" s="7"/>
      <c r="AVO399" s="7"/>
      <c r="AVP399" s="7"/>
      <c r="AVQ399" s="7"/>
      <c r="AVR399" s="7"/>
      <c r="AVS399" s="7"/>
      <c r="AVT399" s="7"/>
      <c r="AVU399" s="7"/>
      <c r="AVV399" s="7"/>
      <c r="AVW399" s="7"/>
      <c r="AVX399" s="7"/>
      <c r="AVY399" s="7"/>
      <c r="AVZ399" s="7"/>
      <c r="AWA399" s="7"/>
      <c r="AWB399" s="7"/>
      <c r="AWC399" s="7"/>
      <c r="AWD399" s="7"/>
      <c r="AWE399" s="7"/>
      <c r="AWF399" s="7"/>
      <c r="AWG399" s="7"/>
      <c r="AWH399" s="7"/>
      <c r="AWI399" s="7"/>
      <c r="AWJ399" s="7"/>
      <c r="AWK399" s="7"/>
      <c r="AWL399" s="7"/>
      <c r="AWM399" s="7"/>
      <c r="AWN399" s="7"/>
      <c r="AWO399" s="7"/>
      <c r="AWP399" s="7"/>
      <c r="AWQ399" s="7"/>
      <c r="AWR399" s="7"/>
      <c r="AWS399" s="7"/>
      <c r="AWT399" s="7"/>
      <c r="AWU399" s="7"/>
      <c r="AWV399" s="7"/>
      <c r="AWW399" s="7"/>
      <c r="AWX399" s="7"/>
      <c r="AWY399" s="7"/>
      <c r="AWZ399" s="7"/>
      <c r="AXA399" s="7"/>
      <c r="AXB399" s="7"/>
      <c r="AXC399" s="7"/>
      <c r="AXD399" s="7"/>
      <c r="AXE399" s="7"/>
      <c r="AXF399" s="7"/>
      <c r="AXG399" s="7"/>
      <c r="AXH399" s="7"/>
      <c r="AXI399" s="7"/>
      <c r="AXJ399" s="7"/>
      <c r="AXK399" s="7"/>
      <c r="AXL399" s="7"/>
      <c r="AXM399" s="7"/>
      <c r="AXN399" s="7"/>
      <c r="AXO399" s="7"/>
      <c r="AXP399" s="7"/>
      <c r="AXQ399" s="7"/>
      <c r="AXR399" s="7"/>
      <c r="AXS399" s="7"/>
      <c r="AXT399" s="7"/>
      <c r="AXU399" s="7"/>
      <c r="AXV399" s="7"/>
      <c r="AXW399" s="7"/>
      <c r="AXX399" s="7"/>
      <c r="AXY399" s="7"/>
      <c r="AXZ399" s="7"/>
      <c r="AYA399" s="7"/>
      <c r="AYB399" s="7"/>
      <c r="AYC399" s="7"/>
      <c r="AYD399" s="7"/>
      <c r="AYE399" s="7"/>
      <c r="AYF399" s="7"/>
      <c r="AYG399" s="7"/>
      <c r="AYH399" s="7"/>
      <c r="AYI399" s="7"/>
      <c r="AYJ399" s="7"/>
      <c r="AYK399" s="7"/>
      <c r="AYL399" s="7"/>
      <c r="AYM399" s="7"/>
      <c r="AYN399" s="7"/>
      <c r="AYO399" s="7"/>
      <c r="AYP399" s="7"/>
      <c r="AYQ399" s="7"/>
      <c r="AYR399" s="7"/>
      <c r="AYS399" s="7"/>
      <c r="AYT399" s="7"/>
      <c r="AYU399" s="7"/>
      <c r="AYV399" s="7"/>
      <c r="AYW399" s="7"/>
      <c r="AYX399" s="7"/>
      <c r="AYY399" s="7"/>
      <c r="AYZ399" s="7"/>
      <c r="AZA399" s="7"/>
      <c r="AZB399" s="7"/>
      <c r="AZC399" s="7"/>
      <c r="AZD399" s="7"/>
      <c r="AZE399" s="7"/>
      <c r="AZF399" s="7"/>
      <c r="AZG399" s="7"/>
      <c r="AZH399" s="7"/>
      <c r="AZI399" s="7"/>
      <c r="AZJ399" s="7"/>
      <c r="AZK399" s="7"/>
      <c r="AZL399" s="7"/>
      <c r="AZM399" s="7"/>
      <c r="AZN399" s="7"/>
      <c r="AZO399" s="7"/>
      <c r="AZP399" s="7"/>
      <c r="AZQ399" s="7"/>
      <c r="AZR399" s="7"/>
      <c r="AZS399" s="7"/>
      <c r="AZT399" s="7"/>
      <c r="AZU399" s="7"/>
      <c r="AZV399" s="7"/>
      <c r="AZW399" s="7"/>
      <c r="AZX399" s="7"/>
      <c r="AZY399" s="7"/>
      <c r="AZZ399" s="7"/>
      <c r="BAA399" s="7"/>
      <c r="BAB399" s="7"/>
      <c r="BAC399" s="7"/>
      <c r="BAD399" s="7"/>
      <c r="BAE399" s="7"/>
      <c r="BAF399" s="7"/>
      <c r="BAG399" s="7"/>
      <c r="BAH399" s="7"/>
      <c r="BAI399" s="7"/>
      <c r="BAJ399" s="7"/>
      <c r="BAK399" s="7"/>
      <c r="BAL399" s="7"/>
      <c r="BAM399" s="7"/>
      <c r="BAN399" s="7"/>
      <c r="BAO399" s="7"/>
      <c r="BAP399" s="7"/>
      <c r="BAQ399" s="7"/>
      <c r="BAR399" s="7"/>
      <c r="BAS399" s="7"/>
      <c r="BAT399" s="7"/>
      <c r="BAU399" s="7"/>
      <c r="BAV399" s="7"/>
      <c r="BAW399" s="7"/>
      <c r="BAX399" s="7"/>
      <c r="BAY399" s="7"/>
      <c r="BAZ399" s="7"/>
      <c r="BBA399" s="7"/>
      <c r="BBB399" s="7"/>
      <c r="BBC399" s="7"/>
      <c r="BBD399" s="7"/>
      <c r="BBE399" s="7"/>
      <c r="BBF399" s="7"/>
      <c r="BBG399" s="7"/>
      <c r="BBH399" s="7"/>
      <c r="BBI399" s="7"/>
      <c r="BBJ399" s="7"/>
      <c r="BBK399" s="7"/>
      <c r="BBL399" s="7"/>
      <c r="BBM399" s="7"/>
      <c r="BBN399" s="7"/>
      <c r="BBO399" s="7"/>
      <c r="BBP399" s="7"/>
      <c r="BBQ399" s="7"/>
      <c r="BBR399" s="7"/>
      <c r="BBS399" s="7"/>
      <c r="BBT399" s="7"/>
      <c r="BBU399" s="7"/>
      <c r="BBV399" s="7"/>
      <c r="BBW399" s="7"/>
      <c r="BBX399" s="7"/>
      <c r="BBY399" s="7"/>
      <c r="BBZ399" s="7"/>
      <c r="BCA399" s="7"/>
      <c r="BCB399" s="7"/>
      <c r="BCC399" s="7"/>
      <c r="BCD399" s="7"/>
      <c r="BCE399" s="7"/>
      <c r="BCF399" s="7"/>
      <c r="BCG399" s="7"/>
      <c r="BCH399" s="7"/>
      <c r="BCI399" s="7"/>
      <c r="BCJ399" s="7"/>
      <c r="BCK399" s="7"/>
      <c r="BCL399" s="7"/>
      <c r="BCM399" s="7"/>
      <c r="BCN399" s="7"/>
      <c r="BCO399" s="7"/>
      <c r="BCP399" s="7"/>
      <c r="BCQ399" s="7"/>
      <c r="BCR399" s="7"/>
      <c r="BCS399" s="7"/>
      <c r="BCT399" s="7"/>
      <c r="BCU399" s="7"/>
      <c r="BCV399" s="7"/>
      <c r="BCW399" s="7"/>
      <c r="BCX399" s="7"/>
      <c r="BCY399" s="7"/>
      <c r="BCZ399" s="7"/>
      <c r="BDA399" s="7"/>
      <c r="BDB399" s="7"/>
      <c r="BDC399" s="7"/>
      <c r="BDD399" s="7"/>
      <c r="BDE399" s="7"/>
      <c r="BDF399" s="7"/>
      <c r="BDG399" s="7"/>
      <c r="BDH399" s="7"/>
      <c r="BDI399" s="7"/>
      <c r="BDJ399" s="7"/>
      <c r="BDK399" s="7"/>
      <c r="BDL399" s="7"/>
      <c r="BDM399" s="7"/>
      <c r="BDN399" s="7"/>
      <c r="BDO399" s="7"/>
      <c r="BDP399" s="7"/>
      <c r="BDQ399" s="7"/>
      <c r="BDR399" s="7"/>
      <c r="BDS399" s="7"/>
      <c r="BDT399" s="7"/>
      <c r="BDU399" s="7"/>
      <c r="BDV399" s="7"/>
      <c r="BDW399" s="7"/>
      <c r="BDX399" s="7"/>
      <c r="BDY399" s="7"/>
      <c r="BDZ399" s="7"/>
      <c r="BEA399" s="7"/>
      <c r="BEB399" s="7"/>
      <c r="BEC399" s="7"/>
      <c r="BED399" s="7"/>
      <c r="BEE399" s="7"/>
      <c r="BEF399" s="7"/>
      <c r="BEG399" s="7"/>
      <c r="BEH399" s="7"/>
      <c r="BEI399" s="7"/>
      <c r="BEJ399" s="7"/>
      <c r="BEK399" s="7"/>
      <c r="BEL399" s="7"/>
      <c r="BEM399" s="7"/>
      <c r="BEN399" s="7"/>
      <c r="BEO399" s="7"/>
      <c r="BEP399" s="7"/>
      <c r="BEQ399" s="7"/>
      <c r="BER399" s="7"/>
      <c r="BES399" s="7"/>
      <c r="BET399" s="7"/>
      <c r="BEU399" s="7"/>
      <c r="BEV399" s="7"/>
      <c r="BEW399" s="7"/>
      <c r="BEX399" s="7"/>
      <c r="BEY399" s="7"/>
      <c r="BEZ399" s="7"/>
      <c r="BFA399" s="7"/>
      <c r="BFB399" s="7"/>
      <c r="BFC399" s="7"/>
      <c r="BFD399" s="7"/>
      <c r="BFE399" s="7"/>
      <c r="BFF399" s="7"/>
      <c r="BFG399" s="7"/>
      <c r="BFH399" s="7"/>
      <c r="BFI399" s="7"/>
      <c r="BFJ399" s="7"/>
      <c r="BFK399" s="7"/>
      <c r="BFL399" s="7"/>
      <c r="BFM399" s="7"/>
      <c r="BFN399" s="7"/>
      <c r="BFO399" s="7"/>
      <c r="BFP399" s="7"/>
      <c r="BFQ399" s="7"/>
      <c r="BFR399" s="7"/>
      <c r="BFS399" s="7"/>
      <c r="BFT399" s="7"/>
      <c r="BFU399" s="7"/>
      <c r="BFV399" s="7"/>
      <c r="BFW399" s="7"/>
      <c r="BFX399" s="7"/>
      <c r="BFY399" s="7"/>
      <c r="BFZ399" s="7"/>
      <c r="BGA399" s="7"/>
      <c r="BGB399" s="7"/>
      <c r="BGC399" s="7"/>
      <c r="BGD399" s="7"/>
      <c r="BGE399" s="7"/>
      <c r="BGF399" s="7"/>
      <c r="BGG399" s="7"/>
      <c r="BGH399" s="7"/>
      <c r="BGI399" s="7"/>
      <c r="BGJ399" s="7"/>
      <c r="BGK399" s="7"/>
      <c r="BGL399" s="7"/>
      <c r="BGM399" s="7"/>
      <c r="BGN399" s="7"/>
      <c r="BGO399" s="7"/>
      <c r="BGP399" s="7"/>
      <c r="BGQ399" s="7"/>
      <c r="BGR399" s="7"/>
      <c r="BGS399" s="7"/>
      <c r="BGT399" s="7"/>
      <c r="BGU399" s="7"/>
      <c r="BGV399" s="7"/>
      <c r="BGW399" s="7"/>
      <c r="BGX399" s="7"/>
      <c r="BGY399" s="7"/>
      <c r="BGZ399" s="7"/>
      <c r="BHA399" s="7"/>
      <c r="BHB399" s="7"/>
      <c r="BHC399" s="7"/>
      <c r="BHD399" s="7"/>
      <c r="BHE399" s="7"/>
      <c r="BHF399" s="7"/>
      <c r="BHG399" s="7"/>
      <c r="BHH399" s="7"/>
      <c r="BHI399" s="7"/>
      <c r="BHJ399" s="7"/>
      <c r="BHK399" s="7"/>
      <c r="BHL399" s="7"/>
      <c r="BHM399" s="7"/>
      <c r="BHN399" s="7"/>
      <c r="BHO399" s="7"/>
      <c r="BHP399" s="7"/>
      <c r="BHQ399" s="7"/>
      <c r="BHR399" s="7"/>
      <c r="BHS399" s="7"/>
      <c r="BHT399" s="7"/>
      <c r="BHU399" s="7"/>
      <c r="BHV399" s="7"/>
      <c r="BHW399" s="7"/>
      <c r="BHX399" s="7"/>
      <c r="BHY399" s="7"/>
      <c r="BHZ399" s="7"/>
      <c r="BIA399" s="7"/>
      <c r="BIB399" s="7"/>
      <c r="BIC399" s="7"/>
      <c r="BID399" s="7"/>
      <c r="BIE399" s="7"/>
      <c r="BIF399" s="7"/>
      <c r="BIG399" s="7"/>
      <c r="BIH399" s="7"/>
      <c r="BII399" s="7"/>
      <c r="BIJ399" s="7"/>
      <c r="BIK399" s="7"/>
      <c r="BIL399" s="7"/>
      <c r="BIM399" s="7"/>
      <c r="BIN399" s="7"/>
      <c r="BIO399" s="7"/>
      <c r="BIP399" s="7"/>
      <c r="BIQ399" s="7"/>
      <c r="BIR399" s="7"/>
      <c r="BIS399" s="7"/>
      <c r="BIT399" s="7"/>
      <c r="BIU399" s="7"/>
      <c r="BIV399" s="7"/>
      <c r="BIW399" s="7"/>
      <c r="BIX399" s="7"/>
      <c r="BIY399" s="7"/>
      <c r="BIZ399" s="7"/>
      <c r="BJA399" s="7"/>
      <c r="BJB399" s="7"/>
      <c r="BJC399" s="7"/>
      <c r="BJD399" s="7"/>
      <c r="BJE399" s="7"/>
      <c r="BJF399" s="7"/>
      <c r="BJG399" s="7"/>
      <c r="BJH399" s="7"/>
      <c r="BJI399" s="7"/>
      <c r="BJJ399" s="7"/>
      <c r="BJK399" s="7"/>
      <c r="BJL399" s="7"/>
      <c r="BJM399" s="7"/>
      <c r="BJN399" s="7"/>
      <c r="BJO399" s="7"/>
      <c r="BJP399" s="7"/>
      <c r="BJQ399" s="7"/>
      <c r="BJR399" s="7"/>
      <c r="BJS399" s="7"/>
      <c r="BJT399" s="7"/>
      <c r="BJU399" s="7"/>
      <c r="BJV399" s="7"/>
      <c r="BJW399" s="7"/>
      <c r="BJX399" s="7"/>
      <c r="BJY399" s="7"/>
      <c r="BJZ399" s="7"/>
      <c r="BKA399" s="7"/>
      <c r="BKB399" s="7"/>
      <c r="BKC399" s="7"/>
      <c r="BKD399" s="7"/>
      <c r="BKE399" s="7"/>
      <c r="BKF399" s="7"/>
      <c r="BKG399" s="7"/>
      <c r="BKH399" s="7"/>
      <c r="BKI399" s="7"/>
      <c r="BKJ399" s="7"/>
      <c r="BKK399" s="7"/>
      <c r="BKL399" s="7"/>
      <c r="BKM399" s="7"/>
      <c r="BKN399" s="7"/>
      <c r="BKO399" s="7"/>
      <c r="BKP399" s="7"/>
      <c r="BKQ399" s="7"/>
      <c r="BKR399" s="7"/>
      <c r="BKS399" s="7"/>
      <c r="BKT399" s="7"/>
      <c r="BKU399" s="7"/>
      <c r="BKV399" s="7"/>
      <c r="BKW399" s="7"/>
      <c r="BKX399" s="7"/>
      <c r="BKY399" s="7"/>
      <c r="BKZ399" s="7"/>
      <c r="BLA399" s="7"/>
      <c r="BLB399" s="7"/>
      <c r="BLC399" s="7"/>
      <c r="BLD399" s="7"/>
      <c r="BLE399" s="7"/>
      <c r="BLF399" s="7"/>
      <c r="BLG399" s="7"/>
      <c r="BLH399" s="7"/>
      <c r="BLI399" s="7"/>
      <c r="BLJ399" s="7"/>
      <c r="BLK399" s="7"/>
      <c r="BLL399" s="7"/>
      <c r="BLM399" s="7"/>
      <c r="BLN399" s="7"/>
      <c r="BLO399" s="7"/>
      <c r="BLP399" s="7"/>
      <c r="BLQ399" s="7"/>
      <c r="BLR399" s="7"/>
      <c r="BLS399" s="7"/>
      <c r="BLT399" s="7"/>
      <c r="BLU399" s="7"/>
      <c r="BLV399" s="7"/>
      <c r="BLW399" s="7"/>
      <c r="BLX399" s="7"/>
      <c r="BLY399" s="7"/>
      <c r="BLZ399" s="7"/>
      <c r="BMA399" s="7"/>
      <c r="BMB399" s="7"/>
      <c r="BMC399" s="7"/>
      <c r="BMD399" s="7"/>
      <c r="BME399" s="7"/>
      <c r="BMF399" s="7"/>
      <c r="BMG399" s="7"/>
      <c r="BMH399" s="7"/>
      <c r="BMI399" s="7"/>
      <c r="BMJ399" s="7"/>
      <c r="BMK399" s="7"/>
      <c r="BML399" s="7"/>
      <c r="BMM399" s="7"/>
      <c r="BMN399" s="7"/>
      <c r="BMO399" s="7"/>
      <c r="BMP399" s="7"/>
      <c r="BMQ399" s="7"/>
      <c r="BMR399" s="7"/>
      <c r="BMS399" s="7"/>
      <c r="BMT399" s="7"/>
      <c r="BMU399" s="7"/>
      <c r="BMV399" s="7"/>
      <c r="BMW399" s="7"/>
      <c r="BMX399" s="7"/>
      <c r="BMY399" s="7"/>
      <c r="BMZ399" s="7"/>
      <c r="BNA399" s="7"/>
      <c r="BNB399" s="7"/>
      <c r="BNC399" s="7"/>
      <c r="BND399" s="7"/>
      <c r="BNE399" s="7"/>
      <c r="BNF399" s="7"/>
      <c r="BNG399" s="7"/>
      <c r="BNH399" s="7"/>
      <c r="BNI399" s="7"/>
      <c r="BNJ399" s="7"/>
      <c r="BNK399" s="7"/>
      <c r="BNL399" s="7"/>
      <c r="BNM399" s="7"/>
      <c r="BNN399" s="7"/>
      <c r="BNO399" s="7"/>
      <c r="BNP399" s="7"/>
      <c r="BNQ399" s="7"/>
      <c r="BNR399" s="7"/>
      <c r="BNS399" s="7"/>
      <c r="BNT399" s="7"/>
      <c r="BNU399" s="7"/>
      <c r="BNV399" s="7"/>
      <c r="BNW399" s="7"/>
      <c r="BNX399" s="7"/>
      <c r="BNY399" s="7"/>
      <c r="BNZ399" s="7"/>
      <c r="BOA399" s="7"/>
      <c r="BOB399" s="7"/>
      <c r="BOC399" s="7"/>
      <c r="BOD399" s="7"/>
      <c r="BOE399" s="7"/>
      <c r="BOF399" s="7"/>
      <c r="BOG399" s="7"/>
      <c r="BOH399" s="7"/>
      <c r="BOI399" s="7"/>
      <c r="BOJ399" s="7"/>
      <c r="BOK399" s="7"/>
      <c r="BOL399" s="7"/>
      <c r="BOM399" s="7"/>
      <c r="BON399" s="7"/>
      <c r="BOO399" s="7"/>
      <c r="BOP399" s="7"/>
      <c r="BOQ399" s="7"/>
      <c r="BOR399" s="7"/>
      <c r="BOS399" s="7"/>
      <c r="BOT399" s="7"/>
      <c r="BOU399" s="7"/>
      <c r="BOV399" s="7"/>
      <c r="BOW399" s="7"/>
      <c r="BOX399" s="7"/>
      <c r="BOY399" s="7"/>
      <c r="BOZ399" s="7"/>
      <c r="BPA399" s="7"/>
      <c r="BPB399" s="7"/>
      <c r="BPC399" s="7"/>
      <c r="BPD399" s="7"/>
      <c r="BPE399" s="7"/>
      <c r="BPF399" s="7"/>
      <c r="BPG399" s="7"/>
      <c r="BPH399" s="7"/>
      <c r="BPI399" s="7"/>
      <c r="BPJ399" s="7"/>
      <c r="BPK399" s="7"/>
      <c r="BPL399" s="7"/>
      <c r="BPM399" s="7"/>
      <c r="BPN399" s="7"/>
      <c r="BPO399" s="7"/>
      <c r="BPP399" s="7"/>
      <c r="BPQ399" s="7"/>
      <c r="BPR399" s="7"/>
      <c r="BPS399" s="7"/>
      <c r="BPT399" s="7"/>
      <c r="BPU399" s="7"/>
      <c r="BPV399" s="7"/>
      <c r="BPW399" s="7"/>
      <c r="BPX399" s="7"/>
      <c r="BPY399" s="7"/>
      <c r="BPZ399" s="7"/>
      <c r="BQA399" s="7"/>
      <c r="BQB399" s="7"/>
      <c r="BQC399" s="7"/>
      <c r="BQD399" s="7"/>
      <c r="BQE399" s="7"/>
      <c r="BQF399" s="7"/>
      <c r="BQG399" s="7"/>
      <c r="BQH399" s="7"/>
      <c r="BQI399" s="7"/>
      <c r="BQJ399" s="7"/>
      <c r="BQK399" s="7"/>
      <c r="BQL399" s="7"/>
      <c r="BQM399" s="7"/>
      <c r="BQN399" s="7"/>
      <c r="BQO399" s="7"/>
      <c r="BQP399" s="7"/>
      <c r="BQQ399" s="7"/>
      <c r="BQR399" s="7"/>
      <c r="BQS399" s="7"/>
      <c r="BQT399" s="7"/>
      <c r="BQU399" s="7"/>
      <c r="BQV399" s="7"/>
      <c r="BQW399" s="7"/>
      <c r="BQX399" s="7"/>
      <c r="BQY399" s="7"/>
      <c r="BQZ399" s="7"/>
      <c r="BRA399" s="7"/>
      <c r="BRB399" s="7"/>
      <c r="BRC399" s="7"/>
      <c r="BRD399" s="7"/>
      <c r="BRE399" s="7"/>
      <c r="BRF399" s="7"/>
      <c r="BRG399" s="7"/>
      <c r="BRH399" s="7"/>
      <c r="BRI399" s="7"/>
      <c r="BRJ399" s="7"/>
      <c r="BRK399" s="7"/>
      <c r="BRL399" s="7"/>
      <c r="BRM399" s="7"/>
      <c r="BRN399" s="7"/>
      <c r="BRO399" s="7"/>
      <c r="BRP399" s="7"/>
      <c r="BRQ399" s="7"/>
      <c r="BRR399" s="7"/>
      <c r="BRS399" s="7"/>
      <c r="BRT399" s="7"/>
      <c r="BRU399" s="7"/>
      <c r="BRV399" s="7"/>
      <c r="BRW399" s="7"/>
      <c r="BRX399" s="7"/>
      <c r="BRY399" s="7"/>
      <c r="BRZ399" s="7"/>
      <c r="BSA399" s="7"/>
      <c r="BSB399" s="7"/>
      <c r="BSC399" s="7"/>
      <c r="BSD399" s="7"/>
      <c r="BSE399" s="7"/>
      <c r="BSF399" s="7"/>
      <c r="BSG399" s="7"/>
      <c r="BSH399" s="7"/>
      <c r="BSI399" s="7"/>
      <c r="BSJ399" s="7"/>
      <c r="BSK399" s="7"/>
      <c r="BSL399" s="7"/>
      <c r="BSM399" s="7"/>
      <c r="BSN399" s="7"/>
      <c r="BSO399" s="7"/>
      <c r="BSP399" s="7"/>
      <c r="BSQ399" s="7"/>
      <c r="BSR399" s="7"/>
      <c r="BSS399" s="7"/>
      <c r="BST399" s="7"/>
      <c r="BSU399" s="7"/>
      <c r="BSV399" s="7"/>
      <c r="BSW399" s="7"/>
      <c r="BSX399" s="7"/>
      <c r="BSY399" s="7"/>
      <c r="BSZ399" s="7"/>
      <c r="BTA399" s="7"/>
    </row>
    <row r="400" spans="1:1873" s="118" customFormat="1" ht="15.6" customHeight="1" x14ac:dyDescent="0.2">
      <c r="A400" s="522" t="s">
        <v>1424</v>
      </c>
      <c r="B400" s="234" t="s">
        <v>42</v>
      </c>
      <c r="C400" s="522" t="s">
        <v>54</v>
      </c>
      <c r="D400" s="234" t="s">
        <v>619</v>
      </c>
      <c r="E400" s="493" t="s">
        <v>1503</v>
      </c>
      <c r="F400" s="523">
        <v>2</v>
      </c>
      <c r="G400" s="522">
        <v>4</v>
      </c>
      <c r="H400" s="524">
        <v>4</v>
      </c>
      <c r="I400" s="234" t="s">
        <v>954</v>
      </c>
      <c r="J400" s="522" t="s">
        <v>48</v>
      </c>
      <c r="K400" s="524" t="s">
        <v>957</v>
      </c>
      <c r="L400" s="522" t="s">
        <v>269</v>
      </c>
      <c r="M400" s="525">
        <v>35.299999999999997</v>
      </c>
      <c r="N400" s="389">
        <v>-9999</v>
      </c>
      <c r="O400" s="29"/>
      <c r="P400" s="525">
        <f>+M400</f>
        <v>35.299999999999997</v>
      </c>
      <c r="Q400" s="234">
        <v>-9999</v>
      </c>
      <c r="R400" s="389"/>
      <c r="S400" s="234"/>
      <c r="T400" s="237">
        <f>+P400/G400</f>
        <v>8.8249999999999993</v>
      </c>
      <c r="U400" s="234">
        <v>-9999</v>
      </c>
      <c r="V400" s="234"/>
      <c r="W400" s="412">
        <f>+P400-P399</f>
        <v>4.4999999999999964</v>
      </c>
      <c r="X400" s="491">
        <v>-9999</v>
      </c>
      <c r="Y400" s="491"/>
      <c r="Z400" s="390" t="s">
        <v>1704</v>
      </c>
      <c r="AA400" s="520">
        <v>20833</v>
      </c>
      <c r="AB400" s="389">
        <v>0.79</v>
      </c>
      <c r="AC400" s="522">
        <v>1.2</v>
      </c>
      <c r="AD400" s="526">
        <v>125</v>
      </c>
      <c r="AE400" s="522" t="s">
        <v>168</v>
      </c>
      <c r="AF400" s="522">
        <v>6</v>
      </c>
      <c r="AG400" s="522" t="s">
        <v>776</v>
      </c>
      <c r="AH400" s="522" t="s">
        <v>623</v>
      </c>
      <c r="AI400" s="234">
        <v>-9999</v>
      </c>
      <c r="AJ400" s="234">
        <v>-9999</v>
      </c>
      <c r="AK400" s="522" t="s">
        <v>626</v>
      </c>
      <c r="AL400" s="522" t="s">
        <v>272</v>
      </c>
      <c r="AM400" s="234">
        <v>-9999</v>
      </c>
      <c r="AN400" s="522" t="s">
        <v>777</v>
      </c>
      <c r="AO400" s="234">
        <v>-9999</v>
      </c>
      <c r="AP400" s="234">
        <v>-9999</v>
      </c>
      <c r="AQ400" s="522" t="s">
        <v>777</v>
      </c>
      <c r="AR400" s="234">
        <v>0</v>
      </c>
      <c r="AS400" s="234">
        <v>-9999</v>
      </c>
      <c r="AT400" s="522">
        <v>-9999</v>
      </c>
      <c r="AU400" s="234">
        <v>0</v>
      </c>
      <c r="AV400" s="234">
        <v>-9999</v>
      </c>
      <c r="AW400" s="522">
        <v>-9999</v>
      </c>
      <c r="AX400" s="234">
        <v>0</v>
      </c>
      <c r="AY400" s="234">
        <v>-9999</v>
      </c>
      <c r="AZ400" s="522">
        <v>-9999</v>
      </c>
      <c r="BA400" s="234">
        <v>-9999</v>
      </c>
      <c r="BB400" s="522" t="s">
        <v>626</v>
      </c>
      <c r="BC400" s="522" t="s">
        <v>273</v>
      </c>
      <c r="BD400" s="522" t="s">
        <v>642</v>
      </c>
      <c r="BE400" s="234">
        <v>-9999</v>
      </c>
      <c r="BF400" s="522" t="s">
        <v>274</v>
      </c>
      <c r="BG400" s="522" t="s">
        <v>275</v>
      </c>
      <c r="BH400" s="234">
        <v>-9999</v>
      </c>
      <c r="BI400" s="234">
        <v>-9999</v>
      </c>
      <c r="BJ400" s="234">
        <v>-9999</v>
      </c>
      <c r="BK400" s="234">
        <v>-9999</v>
      </c>
      <c r="BL400" s="234">
        <v>6.9</v>
      </c>
      <c r="BM400" s="234">
        <v>-9999</v>
      </c>
      <c r="BN400" s="234">
        <v>4.2</v>
      </c>
      <c r="BO400" s="234">
        <v>-9999</v>
      </c>
      <c r="BP400" s="234">
        <v>-9999</v>
      </c>
      <c r="BQ400" s="234">
        <v>-9999</v>
      </c>
      <c r="BR400" s="234">
        <v>-9999</v>
      </c>
      <c r="BS400" s="491">
        <v>-9999</v>
      </c>
      <c r="BT400" s="234">
        <v>-9999</v>
      </c>
      <c r="BU400" s="234">
        <v>-9999</v>
      </c>
      <c r="BV400" s="234">
        <v>-9999</v>
      </c>
      <c r="BW400" s="234"/>
      <c r="BX400" s="234">
        <v>-9999</v>
      </c>
      <c r="BY400" s="234">
        <v>-9999</v>
      </c>
      <c r="BZ400" s="496">
        <v>-9999</v>
      </c>
      <c r="CA400" s="527">
        <v>15</v>
      </c>
      <c r="CB400" s="531"/>
      <c r="CC400" s="117">
        <v>2</v>
      </c>
      <c r="CD400" s="10">
        <v>4</v>
      </c>
      <c r="CE400" s="343">
        <v>8.8249999999999993</v>
      </c>
      <c r="CF400" s="343">
        <v>4.4999999999999964</v>
      </c>
      <c r="CG400" s="14">
        <v>4</v>
      </c>
    </row>
    <row r="401" spans="1:1873" s="118" customFormat="1" ht="15.6" customHeight="1" x14ac:dyDescent="0.2">
      <c r="A401" s="522"/>
      <c r="B401" s="234"/>
      <c r="C401" s="522"/>
      <c r="D401" s="234"/>
      <c r="E401" s="493"/>
      <c r="F401" s="523"/>
      <c r="G401" s="522"/>
      <c r="H401" s="524"/>
      <c r="I401" s="234"/>
      <c r="J401" s="522"/>
      <c r="K401" s="524"/>
      <c r="L401" s="522"/>
      <c r="M401" s="525"/>
      <c r="N401" s="389"/>
      <c r="O401" s="29"/>
      <c r="P401" s="525"/>
      <c r="Q401" s="234"/>
      <c r="R401" s="389"/>
      <c r="S401" s="234"/>
      <c r="T401" s="530"/>
      <c r="U401" s="234"/>
      <c r="V401" s="234"/>
      <c r="W401" s="389"/>
      <c r="X401" s="491"/>
      <c r="Y401" s="491"/>
      <c r="Z401" s="390"/>
      <c r="AA401" s="520"/>
      <c r="AB401" s="389"/>
      <c r="AC401" s="522"/>
      <c r="AD401" s="526"/>
      <c r="AE401" s="522"/>
      <c r="AF401" s="522"/>
      <c r="AG401" s="522"/>
      <c r="AH401" s="522"/>
      <c r="AI401" s="234"/>
      <c r="AJ401" s="234"/>
      <c r="AK401" s="522"/>
      <c r="AL401" s="522"/>
      <c r="AM401" s="234"/>
      <c r="AN401" s="522"/>
      <c r="AO401" s="234"/>
      <c r="AP401" s="234"/>
      <c r="AQ401" s="522"/>
      <c r="AR401" s="234"/>
      <c r="AS401" s="234"/>
      <c r="AT401" s="522"/>
      <c r="AU401" s="234"/>
      <c r="AV401" s="234"/>
      <c r="AW401" s="522"/>
      <c r="AX401" s="234"/>
      <c r="AY401" s="234"/>
      <c r="AZ401" s="522"/>
      <c r="BA401" s="234"/>
      <c r="BB401" s="522"/>
      <c r="BC401" s="522"/>
      <c r="BD401" s="522"/>
      <c r="BE401" s="234"/>
      <c r="BF401" s="522"/>
      <c r="BG401" s="522"/>
      <c r="BH401" s="234"/>
      <c r="BI401" s="234"/>
      <c r="BJ401" s="234"/>
      <c r="BK401" s="234"/>
      <c r="BL401" s="234"/>
      <c r="BM401" s="234"/>
      <c r="BN401" s="234"/>
      <c r="BO401" s="234"/>
      <c r="BP401" s="234"/>
      <c r="BQ401" s="234"/>
      <c r="BR401" s="234"/>
      <c r="BS401" s="491"/>
      <c r="BT401" s="234"/>
      <c r="BU401" s="234"/>
      <c r="BV401" s="234"/>
      <c r="BW401" s="234"/>
      <c r="BX401" s="234"/>
      <c r="BY401" s="234"/>
      <c r="BZ401" s="496"/>
      <c r="CA401" s="527"/>
      <c r="CB401" s="531"/>
      <c r="CC401" s="117"/>
      <c r="CD401" s="10"/>
      <c r="CE401" s="342" t="s">
        <v>1576</v>
      </c>
      <c r="CF401" s="342" t="s">
        <v>1575</v>
      </c>
      <c r="CG401" s="14"/>
    </row>
    <row r="402" spans="1:1873" s="118" customFormat="1" ht="14.45" customHeight="1" x14ac:dyDescent="0.2">
      <c r="A402" s="522" t="s">
        <v>1424</v>
      </c>
      <c r="B402" s="234" t="s">
        <v>42</v>
      </c>
      <c r="C402" s="522" t="s">
        <v>56</v>
      </c>
      <c r="D402" s="234" t="s">
        <v>619</v>
      </c>
      <c r="E402" s="493" t="s">
        <v>1503</v>
      </c>
      <c r="F402" s="523">
        <v>2</v>
      </c>
      <c r="G402" s="522">
        <v>1</v>
      </c>
      <c r="H402" s="524">
        <v>1</v>
      </c>
      <c r="I402" s="234" t="s">
        <v>954</v>
      </c>
      <c r="J402" s="522" t="s">
        <v>48</v>
      </c>
      <c r="K402" s="524" t="s">
        <v>957</v>
      </c>
      <c r="L402" s="522" t="s">
        <v>931</v>
      </c>
      <c r="M402" s="525">
        <v>6.8</v>
      </c>
      <c r="N402" s="389">
        <v>-9999</v>
      </c>
      <c r="O402" s="29"/>
      <c r="P402" s="525">
        <f>+M402</f>
        <v>6.8</v>
      </c>
      <c r="Q402" s="234">
        <v>-9999</v>
      </c>
      <c r="R402" s="389"/>
      <c r="S402" s="234"/>
      <c r="T402" s="237">
        <f>+P402/G402</f>
        <v>6.8</v>
      </c>
      <c r="U402" s="234">
        <v>-9999</v>
      </c>
      <c r="V402" s="234"/>
      <c r="W402" s="412">
        <f>+P402</f>
        <v>6.8</v>
      </c>
      <c r="X402" s="491">
        <v>-9999</v>
      </c>
      <c r="Y402" s="491"/>
      <c r="Z402" s="390" t="s">
        <v>1704</v>
      </c>
      <c r="AA402" s="520">
        <v>20833</v>
      </c>
      <c r="AB402" s="389">
        <v>0.82</v>
      </c>
      <c r="AC402" s="522">
        <v>1.2</v>
      </c>
      <c r="AD402" s="526">
        <v>125</v>
      </c>
      <c r="AE402" s="522" t="s">
        <v>168</v>
      </c>
      <c r="AF402" s="522">
        <v>6</v>
      </c>
      <c r="AG402" s="522" t="s">
        <v>776</v>
      </c>
      <c r="AH402" s="522" t="s">
        <v>623</v>
      </c>
      <c r="AI402" s="234">
        <v>-9999</v>
      </c>
      <c r="AJ402" s="234">
        <v>-9999</v>
      </c>
      <c r="AK402" s="522" t="s">
        <v>626</v>
      </c>
      <c r="AL402" s="522" t="s">
        <v>272</v>
      </c>
      <c r="AM402" s="234">
        <v>-9999</v>
      </c>
      <c r="AN402" s="522" t="s">
        <v>779</v>
      </c>
      <c r="AO402" s="522" t="s">
        <v>51</v>
      </c>
      <c r="AP402" s="522" t="s">
        <v>52</v>
      </c>
      <c r="AQ402" s="522" t="s">
        <v>777</v>
      </c>
      <c r="AR402" s="234">
        <v>0</v>
      </c>
      <c r="AS402" s="234">
        <v>-9999</v>
      </c>
      <c r="AT402" s="522">
        <v>-9999</v>
      </c>
      <c r="AU402" s="234">
        <v>0</v>
      </c>
      <c r="AV402" s="234">
        <v>-9999</v>
      </c>
      <c r="AW402" s="522">
        <v>-9999</v>
      </c>
      <c r="AX402" s="234">
        <v>0</v>
      </c>
      <c r="AY402" s="234">
        <v>-9999</v>
      </c>
      <c r="AZ402" s="522">
        <v>-9999</v>
      </c>
      <c r="BA402" s="234">
        <v>-9999</v>
      </c>
      <c r="BB402" s="522" t="s">
        <v>626</v>
      </c>
      <c r="BC402" s="522" t="s">
        <v>273</v>
      </c>
      <c r="BD402" s="522" t="s">
        <v>642</v>
      </c>
      <c r="BE402" s="234">
        <v>-9999</v>
      </c>
      <c r="BF402" s="522" t="s">
        <v>274</v>
      </c>
      <c r="BG402" s="522" t="s">
        <v>275</v>
      </c>
      <c r="BH402" s="234">
        <v>-9999</v>
      </c>
      <c r="BI402" s="234">
        <v>-9999</v>
      </c>
      <c r="BJ402" s="234">
        <v>-9999</v>
      </c>
      <c r="BK402" s="234">
        <v>-9999</v>
      </c>
      <c r="BL402" s="234">
        <v>3</v>
      </c>
      <c r="BM402" s="234">
        <v>-9999</v>
      </c>
      <c r="BN402" s="234">
        <v>2.2000000000000002</v>
      </c>
      <c r="BO402" s="234">
        <v>-9999</v>
      </c>
      <c r="BP402" s="234">
        <v>-9999</v>
      </c>
      <c r="BQ402" s="234">
        <v>-9999</v>
      </c>
      <c r="BR402" s="234">
        <v>-9999</v>
      </c>
      <c r="BS402" s="491">
        <v>-9999</v>
      </c>
      <c r="BT402" s="234">
        <v>-9999</v>
      </c>
      <c r="BU402" s="234">
        <v>-9999</v>
      </c>
      <c r="BV402" s="234">
        <v>-9999</v>
      </c>
      <c r="BW402" s="234"/>
      <c r="BX402" s="234">
        <v>-9999</v>
      </c>
      <c r="BY402" s="234">
        <v>-9999</v>
      </c>
      <c r="BZ402" s="496">
        <v>-9999</v>
      </c>
      <c r="CA402" s="527">
        <v>15</v>
      </c>
      <c r="CB402" s="531"/>
      <c r="CC402" s="117">
        <v>2</v>
      </c>
      <c r="CD402" s="10">
        <v>1</v>
      </c>
      <c r="CE402" s="343">
        <v>6.8</v>
      </c>
      <c r="CF402" s="343">
        <v>6.8</v>
      </c>
      <c r="CG402" s="14">
        <v>1</v>
      </c>
    </row>
    <row r="403" spans="1:1873" s="118" customFormat="1" ht="14.45" customHeight="1" x14ac:dyDescent="0.2">
      <c r="A403" s="522" t="s">
        <v>1424</v>
      </c>
      <c r="B403" s="234" t="s">
        <v>42</v>
      </c>
      <c r="C403" s="522" t="s">
        <v>56</v>
      </c>
      <c r="D403" s="234" t="s">
        <v>619</v>
      </c>
      <c r="E403" s="493" t="s">
        <v>1503</v>
      </c>
      <c r="F403" s="523">
        <v>2</v>
      </c>
      <c r="G403" s="522">
        <v>2</v>
      </c>
      <c r="H403" s="524">
        <v>2</v>
      </c>
      <c r="I403" s="234" t="s">
        <v>954</v>
      </c>
      <c r="J403" s="522" t="s">
        <v>48</v>
      </c>
      <c r="K403" s="524" t="s">
        <v>957</v>
      </c>
      <c r="L403" s="522" t="s">
        <v>930</v>
      </c>
      <c r="M403" s="525">
        <v>18.5</v>
      </c>
      <c r="N403" s="389">
        <v>-9999</v>
      </c>
      <c r="O403" s="29"/>
      <c r="P403" s="525">
        <f>+M403</f>
        <v>18.5</v>
      </c>
      <c r="Q403" s="234">
        <v>-9999</v>
      </c>
      <c r="R403" s="389"/>
      <c r="S403" s="234"/>
      <c r="T403" s="237">
        <f>+P403/G403</f>
        <v>9.25</v>
      </c>
      <c r="U403" s="234">
        <v>-9999</v>
      </c>
      <c r="V403" s="234"/>
      <c r="W403" s="412">
        <f>+P403-P402</f>
        <v>11.7</v>
      </c>
      <c r="X403" s="491">
        <v>-9999</v>
      </c>
      <c r="Y403" s="491"/>
      <c r="Z403" s="390" t="s">
        <v>1704</v>
      </c>
      <c r="AA403" s="520">
        <v>20833</v>
      </c>
      <c r="AB403" s="389">
        <v>0.82</v>
      </c>
      <c r="AC403" s="522">
        <v>1.2</v>
      </c>
      <c r="AD403" s="526">
        <v>125</v>
      </c>
      <c r="AE403" s="522" t="s">
        <v>168</v>
      </c>
      <c r="AF403" s="522">
        <v>6</v>
      </c>
      <c r="AG403" s="522" t="s">
        <v>776</v>
      </c>
      <c r="AH403" s="522" t="s">
        <v>623</v>
      </c>
      <c r="AI403" s="234">
        <v>-9999</v>
      </c>
      <c r="AJ403" s="234">
        <v>-9999</v>
      </c>
      <c r="AK403" s="522" t="s">
        <v>626</v>
      </c>
      <c r="AL403" s="522" t="s">
        <v>272</v>
      </c>
      <c r="AM403" s="234">
        <v>-9999</v>
      </c>
      <c r="AN403" s="522" t="s">
        <v>779</v>
      </c>
      <c r="AO403" s="522" t="s">
        <v>51</v>
      </c>
      <c r="AP403" s="522" t="s">
        <v>52</v>
      </c>
      <c r="AQ403" s="522" t="s">
        <v>777</v>
      </c>
      <c r="AR403" s="234">
        <v>0</v>
      </c>
      <c r="AS403" s="234">
        <v>-9999</v>
      </c>
      <c r="AT403" s="522">
        <v>-9999</v>
      </c>
      <c r="AU403" s="234">
        <v>0</v>
      </c>
      <c r="AV403" s="234">
        <v>-9999</v>
      </c>
      <c r="AW403" s="522">
        <v>-9999</v>
      </c>
      <c r="AX403" s="234">
        <v>0</v>
      </c>
      <c r="AY403" s="234">
        <v>-9999</v>
      </c>
      <c r="AZ403" s="522">
        <v>-9999</v>
      </c>
      <c r="BA403" s="234">
        <v>-9999</v>
      </c>
      <c r="BB403" s="522" t="s">
        <v>626</v>
      </c>
      <c r="BC403" s="522" t="s">
        <v>273</v>
      </c>
      <c r="BD403" s="522" t="s">
        <v>642</v>
      </c>
      <c r="BE403" s="234">
        <v>-9999</v>
      </c>
      <c r="BF403" s="522" t="s">
        <v>274</v>
      </c>
      <c r="BG403" s="522" t="s">
        <v>275</v>
      </c>
      <c r="BH403" s="234">
        <v>-9999</v>
      </c>
      <c r="BI403" s="234">
        <v>-9999</v>
      </c>
      <c r="BJ403" s="234">
        <v>-9999</v>
      </c>
      <c r="BK403" s="234">
        <v>-9999</v>
      </c>
      <c r="BL403" s="234">
        <v>4.8</v>
      </c>
      <c r="BM403" s="234">
        <v>-9999</v>
      </c>
      <c r="BN403" s="234">
        <v>3</v>
      </c>
      <c r="BO403" s="234">
        <v>-9999</v>
      </c>
      <c r="BP403" s="234">
        <v>-9999</v>
      </c>
      <c r="BQ403" s="234">
        <v>-9999</v>
      </c>
      <c r="BR403" s="234">
        <v>-9999</v>
      </c>
      <c r="BS403" s="491">
        <v>-9999</v>
      </c>
      <c r="BT403" s="234">
        <v>-9999</v>
      </c>
      <c r="BU403" s="234">
        <v>-9999</v>
      </c>
      <c r="BV403" s="234">
        <v>-9999</v>
      </c>
      <c r="BW403" s="234"/>
      <c r="BX403" s="234">
        <v>-9999</v>
      </c>
      <c r="BY403" s="234">
        <v>-9999</v>
      </c>
      <c r="BZ403" s="496">
        <v>-9999</v>
      </c>
      <c r="CA403" s="527">
        <v>15</v>
      </c>
      <c r="CB403" s="531"/>
      <c r="CC403" s="117">
        <v>2</v>
      </c>
      <c r="CD403" s="10">
        <v>2</v>
      </c>
      <c r="CE403" s="343">
        <v>9.25</v>
      </c>
      <c r="CF403" s="343">
        <v>11.7</v>
      </c>
      <c r="CG403" s="14">
        <v>2</v>
      </c>
    </row>
    <row r="404" spans="1:1873" s="190" customFormat="1" ht="14.45" customHeight="1" x14ac:dyDescent="0.2">
      <c r="A404" s="532" t="s">
        <v>1424</v>
      </c>
      <c r="B404" s="231" t="s">
        <v>42</v>
      </c>
      <c r="C404" s="532" t="s">
        <v>56</v>
      </c>
      <c r="D404" s="231" t="s">
        <v>619</v>
      </c>
      <c r="E404" s="232" t="s">
        <v>1503</v>
      </c>
      <c r="F404" s="533">
        <v>2</v>
      </c>
      <c r="G404" s="532">
        <v>3</v>
      </c>
      <c r="H404" s="534">
        <v>3</v>
      </c>
      <c r="I404" s="231" t="s">
        <v>954</v>
      </c>
      <c r="J404" s="532" t="s">
        <v>48</v>
      </c>
      <c r="K404" s="534" t="s">
        <v>957</v>
      </c>
      <c r="L404" s="532" t="s">
        <v>929</v>
      </c>
      <c r="M404" s="535">
        <v>29.9</v>
      </c>
      <c r="N404" s="235">
        <v>-9999</v>
      </c>
      <c r="O404" s="18"/>
      <c r="P404" s="535">
        <f>+M404</f>
        <v>29.9</v>
      </c>
      <c r="Q404" s="231">
        <v>-9999</v>
      </c>
      <c r="R404" s="235"/>
      <c r="S404" s="231"/>
      <c r="T404" s="536">
        <f>+P404/G404</f>
        <v>9.9666666666666668</v>
      </c>
      <c r="U404" s="231">
        <v>-9999</v>
      </c>
      <c r="V404" s="231"/>
      <c r="W404" s="517">
        <f>+P404-P403</f>
        <v>11.399999999999999</v>
      </c>
      <c r="X404" s="233">
        <v>-9999</v>
      </c>
      <c r="Y404" s="233"/>
      <c r="Z404" s="231" t="s">
        <v>1704</v>
      </c>
      <c r="AA404" s="521">
        <v>20833</v>
      </c>
      <c r="AB404" s="235">
        <v>0.79</v>
      </c>
      <c r="AC404" s="532">
        <v>1.2</v>
      </c>
      <c r="AD404" s="537">
        <v>125</v>
      </c>
      <c r="AE404" s="532" t="s">
        <v>168</v>
      </c>
      <c r="AF404" s="532">
        <v>6</v>
      </c>
      <c r="AG404" s="532" t="s">
        <v>776</v>
      </c>
      <c r="AH404" s="532" t="s">
        <v>623</v>
      </c>
      <c r="AI404" s="231">
        <v>-9999</v>
      </c>
      <c r="AJ404" s="231">
        <v>-9999</v>
      </c>
      <c r="AK404" s="532" t="s">
        <v>626</v>
      </c>
      <c r="AL404" s="532" t="s">
        <v>272</v>
      </c>
      <c r="AM404" s="231">
        <v>-9999</v>
      </c>
      <c r="AN404" s="532" t="s">
        <v>779</v>
      </c>
      <c r="AO404" s="532" t="s">
        <v>51</v>
      </c>
      <c r="AP404" s="532" t="s">
        <v>52</v>
      </c>
      <c r="AQ404" s="532" t="s">
        <v>777</v>
      </c>
      <c r="AR404" s="231">
        <v>0</v>
      </c>
      <c r="AS404" s="231">
        <v>-9999</v>
      </c>
      <c r="AT404" s="532">
        <v>-9999</v>
      </c>
      <c r="AU404" s="231">
        <v>0</v>
      </c>
      <c r="AV404" s="231">
        <v>-9999</v>
      </c>
      <c r="AW404" s="532">
        <v>-9999</v>
      </c>
      <c r="AX404" s="231">
        <v>0</v>
      </c>
      <c r="AY404" s="231">
        <v>-9999</v>
      </c>
      <c r="AZ404" s="532">
        <v>-9999</v>
      </c>
      <c r="BA404" s="231">
        <v>-9999</v>
      </c>
      <c r="BB404" s="532" t="s">
        <v>626</v>
      </c>
      <c r="BC404" s="532" t="s">
        <v>273</v>
      </c>
      <c r="BD404" s="532" t="s">
        <v>642</v>
      </c>
      <c r="BE404" s="231">
        <v>-9999</v>
      </c>
      <c r="BF404" s="532" t="s">
        <v>274</v>
      </c>
      <c r="BG404" s="532" t="s">
        <v>275</v>
      </c>
      <c r="BH404" s="231">
        <v>-9999</v>
      </c>
      <c r="BI404" s="231">
        <v>-9999</v>
      </c>
      <c r="BJ404" s="231">
        <v>-9999</v>
      </c>
      <c r="BK404" s="231">
        <v>-9999</v>
      </c>
      <c r="BL404" s="231">
        <v>6.2</v>
      </c>
      <c r="BM404" s="231">
        <v>-9999</v>
      </c>
      <c r="BN404" s="231">
        <v>3.9</v>
      </c>
      <c r="BO404" s="231">
        <v>-9999</v>
      </c>
      <c r="BP404" s="231">
        <v>-9999</v>
      </c>
      <c r="BQ404" s="231">
        <v>-9999</v>
      </c>
      <c r="BR404" s="231">
        <v>-9999</v>
      </c>
      <c r="BS404" s="233">
        <v>-9999</v>
      </c>
      <c r="BT404" s="231">
        <v>-9999</v>
      </c>
      <c r="BU404" s="231">
        <v>-9999</v>
      </c>
      <c r="BV404" s="231">
        <v>-9999</v>
      </c>
      <c r="BW404" s="231"/>
      <c r="BX404" s="231">
        <v>-9999</v>
      </c>
      <c r="BY404" s="231">
        <v>-9999</v>
      </c>
      <c r="BZ404" s="238">
        <v>-9999</v>
      </c>
      <c r="CA404" s="538">
        <v>15</v>
      </c>
      <c r="CB404" s="487"/>
      <c r="CC404" s="187">
        <v>2</v>
      </c>
      <c r="CD404" s="186">
        <v>3</v>
      </c>
      <c r="CE404" s="400">
        <v>9.9666666666666668</v>
      </c>
      <c r="CF404" s="341">
        <v>11.399999999999999</v>
      </c>
      <c r="CG404" s="188">
        <v>3</v>
      </c>
      <c r="CH404" s="478" t="s">
        <v>1757</v>
      </c>
      <c r="CI404" s="7"/>
      <c r="CJ404" s="7"/>
      <c r="CK404" s="7"/>
      <c r="CL404" s="7"/>
      <c r="CM404" s="7"/>
      <c r="CN404" s="7"/>
      <c r="CO404" s="7"/>
      <c r="CP404" s="7"/>
      <c r="CQ404" s="7"/>
      <c r="CR404" s="7"/>
      <c r="CS404" s="7"/>
      <c r="CT404" s="7"/>
      <c r="CU404" s="7"/>
      <c r="CV404" s="7"/>
      <c r="CW404" s="7"/>
      <c r="CX404" s="7"/>
      <c r="CY404" s="7"/>
      <c r="CZ404" s="7"/>
      <c r="DA404" s="7"/>
      <c r="DB404" s="7"/>
      <c r="DC404" s="7"/>
      <c r="DD404" s="7"/>
      <c r="DE404" s="7"/>
      <c r="DF404" s="7"/>
      <c r="DG404" s="7"/>
      <c r="DH404" s="7"/>
      <c r="DI404" s="7"/>
      <c r="DJ404" s="7"/>
      <c r="DK404" s="7"/>
      <c r="DL404" s="7"/>
      <c r="DM404" s="7"/>
      <c r="DN404" s="7"/>
      <c r="DO404" s="7"/>
      <c r="DP404" s="7"/>
      <c r="DQ404" s="7"/>
      <c r="DR404" s="7"/>
      <c r="DS404" s="7"/>
      <c r="DT404" s="7"/>
      <c r="DU404" s="7"/>
      <c r="DV404" s="7"/>
      <c r="DW404" s="7"/>
      <c r="DX404" s="7"/>
      <c r="DY404" s="7"/>
      <c r="DZ404" s="7"/>
      <c r="EA404" s="7"/>
      <c r="EB404" s="7"/>
      <c r="EC404" s="7"/>
      <c r="ED404" s="7"/>
      <c r="EE404" s="7"/>
      <c r="EF404" s="7"/>
      <c r="EG404" s="7"/>
      <c r="EH404" s="7"/>
      <c r="EI404" s="7"/>
      <c r="EJ404" s="7"/>
      <c r="EK404" s="7"/>
      <c r="EL404" s="7"/>
      <c r="EM404" s="7"/>
      <c r="EN404" s="7"/>
      <c r="EO404" s="7"/>
      <c r="EP404" s="7"/>
      <c r="EQ404" s="7"/>
      <c r="ER404" s="7"/>
      <c r="ES404" s="7"/>
      <c r="ET404" s="7"/>
      <c r="EU404" s="7"/>
      <c r="EV404" s="7"/>
      <c r="EW404" s="7"/>
      <c r="EX404" s="7"/>
      <c r="EY404" s="7"/>
      <c r="EZ404" s="7"/>
      <c r="FA404" s="7"/>
      <c r="FB404" s="7"/>
      <c r="FC404" s="7"/>
      <c r="FD404" s="7"/>
      <c r="FE404" s="7"/>
      <c r="FF404" s="7"/>
      <c r="FG404" s="7"/>
      <c r="FH404" s="7"/>
      <c r="FI404" s="7"/>
      <c r="FJ404" s="7"/>
      <c r="FK404" s="7"/>
      <c r="FL404" s="7"/>
      <c r="FM404" s="7"/>
      <c r="FN404" s="7"/>
      <c r="FO404" s="7"/>
      <c r="FP404" s="7"/>
      <c r="FQ404" s="7"/>
      <c r="FR404" s="7"/>
      <c r="FS404" s="7"/>
      <c r="FT404" s="7"/>
      <c r="FU404" s="7"/>
      <c r="FV404" s="7"/>
      <c r="FW404" s="7"/>
      <c r="FX404" s="7"/>
      <c r="FY404" s="7"/>
      <c r="FZ404" s="7"/>
      <c r="GA404" s="7"/>
      <c r="GB404" s="7"/>
      <c r="GC404" s="7"/>
      <c r="GD404" s="7"/>
      <c r="GE404" s="7"/>
      <c r="GF404" s="7"/>
      <c r="GG404" s="7"/>
      <c r="GH404" s="7"/>
      <c r="GI404" s="7"/>
      <c r="GJ404" s="7"/>
      <c r="GK404" s="7"/>
      <c r="GL404" s="7"/>
      <c r="GM404" s="7"/>
      <c r="GN404" s="7"/>
      <c r="GO404" s="7"/>
      <c r="GP404" s="7"/>
      <c r="GQ404" s="7"/>
      <c r="GR404" s="7"/>
      <c r="GS404" s="7"/>
      <c r="GT404" s="7"/>
      <c r="GU404" s="7"/>
      <c r="GV404" s="7"/>
      <c r="GW404" s="7"/>
      <c r="GX404" s="7"/>
      <c r="GY404" s="7"/>
      <c r="GZ404" s="7"/>
      <c r="HA404" s="7"/>
      <c r="HB404" s="7"/>
      <c r="HC404" s="7"/>
      <c r="HD404" s="7"/>
      <c r="HE404" s="7"/>
      <c r="HF404" s="7"/>
      <c r="HG404" s="7"/>
      <c r="HH404" s="7"/>
      <c r="HI404" s="7"/>
      <c r="HJ404" s="7"/>
      <c r="HK404" s="7"/>
      <c r="HL404" s="7"/>
      <c r="HM404" s="7"/>
      <c r="HN404" s="7"/>
      <c r="HO404" s="7"/>
      <c r="HP404" s="7"/>
      <c r="HQ404" s="7"/>
      <c r="HR404" s="7"/>
      <c r="HS404" s="7"/>
      <c r="HT404" s="7"/>
      <c r="HU404" s="7"/>
      <c r="HV404" s="7"/>
      <c r="HW404" s="7"/>
      <c r="HX404" s="7"/>
      <c r="HY404" s="7"/>
      <c r="HZ404" s="7"/>
      <c r="IA404" s="7"/>
      <c r="IB404" s="7"/>
      <c r="IC404" s="7"/>
      <c r="ID404" s="7"/>
      <c r="IE404" s="7"/>
      <c r="IF404" s="7"/>
      <c r="IG404" s="7"/>
      <c r="IH404" s="7"/>
      <c r="II404" s="7"/>
      <c r="IJ404" s="7"/>
      <c r="IK404" s="7"/>
      <c r="IL404" s="7"/>
      <c r="IM404" s="7"/>
      <c r="IN404" s="7"/>
      <c r="IO404" s="7"/>
      <c r="IP404" s="7"/>
      <c r="IQ404" s="7"/>
      <c r="IR404" s="7"/>
      <c r="IS404" s="7"/>
      <c r="IT404" s="7"/>
      <c r="IU404" s="7"/>
      <c r="IV404" s="7"/>
      <c r="IW404" s="7"/>
      <c r="IX404" s="7"/>
      <c r="IY404" s="7"/>
      <c r="IZ404" s="7"/>
      <c r="JA404" s="7"/>
      <c r="JB404" s="7"/>
      <c r="JC404" s="7"/>
      <c r="JD404" s="7"/>
      <c r="JE404" s="7"/>
      <c r="JF404" s="7"/>
      <c r="JG404" s="7"/>
      <c r="JH404" s="7"/>
      <c r="JI404" s="7"/>
      <c r="JJ404" s="7"/>
      <c r="JK404" s="7"/>
      <c r="JL404" s="7"/>
      <c r="JM404" s="7"/>
      <c r="JN404" s="7"/>
      <c r="JO404" s="7"/>
      <c r="JP404" s="7"/>
      <c r="JQ404" s="7"/>
      <c r="JR404" s="7"/>
      <c r="JS404" s="7"/>
      <c r="JT404" s="7"/>
      <c r="JU404" s="7"/>
      <c r="JV404" s="7"/>
      <c r="JW404" s="7"/>
      <c r="JX404" s="7"/>
      <c r="JY404" s="7"/>
      <c r="JZ404" s="7"/>
      <c r="KA404" s="7"/>
      <c r="KB404" s="7"/>
      <c r="KC404" s="7"/>
      <c r="KD404" s="7"/>
      <c r="KE404" s="7"/>
      <c r="KF404" s="7"/>
      <c r="KG404" s="7"/>
      <c r="KH404" s="7"/>
      <c r="KI404" s="7"/>
      <c r="KJ404" s="7"/>
      <c r="KK404" s="7"/>
      <c r="KL404" s="7"/>
      <c r="KM404" s="7"/>
      <c r="KN404" s="7"/>
      <c r="KO404" s="7"/>
      <c r="KP404" s="7"/>
      <c r="KQ404" s="7"/>
      <c r="KR404" s="7"/>
      <c r="KS404" s="7"/>
      <c r="KT404" s="7"/>
      <c r="KU404" s="7"/>
      <c r="KV404" s="7"/>
      <c r="KW404" s="7"/>
      <c r="KX404" s="7"/>
      <c r="KY404" s="7"/>
      <c r="KZ404" s="7"/>
      <c r="LA404" s="7"/>
      <c r="LB404" s="7"/>
      <c r="LC404" s="7"/>
      <c r="LD404" s="7"/>
      <c r="LE404" s="7"/>
      <c r="LF404" s="7"/>
      <c r="LG404" s="7"/>
      <c r="LH404" s="7"/>
      <c r="LI404" s="7"/>
      <c r="LJ404" s="7"/>
      <c r="LK404" s="7"/>
      <c r="LL404" s="7"/>
      <c r="LM404" s="7"/>
      <c r="LN404" s="7"/>
      <c r="LO404" s="7"/>
      <c r="LP404" s="7"/>
      <c r="LQ404" s="7"/>
      <c r="LR404" s="7"/>
      <c r="LS404" s="7"/>
      <c r="LT404" s="7"/>
      <c r="LU404" s="7"/>
      <c r="LV404" s="7"/>
      <c r="LW404" s="7"/>
      <c r="LX404" s="7"/>
      <c r="LY404" s="7"/>
      <c r="LZ404" s="7"/>
      <c r="MA404" s="7"/>
      <c r="MB404" s="7"/>
      <c r="MC404" s="7"/>
      <c r="MD404" s="7"/>
      <c r="ME404" s="7"/>
      <c r="MF404" s="7"/>
      <c r="MG404" s="7"/>
      <c r="MH404" s="7"/>
      <c r="MI404" s="7"/>
      <c r="MJ404" s="7"/>
      <c r="MK404" s="7"/>
      <c r="ML404" s="7"/>
      <c r="MM404" s="7"/>
      <c r="MN404" s="7"/>
      <c r="MO404" s="7"/>
      <c r="MP404" s="7"/>
      <c r="MQ404" s="7"/>
      <c r="MR404" s="7"/>
      <c r="MS404" s="7"/>
      <c r="MT404" s="7"/>
      <c r="MU404" s="7"/>
      <c r="MV404" s="7"/>
      <c r="MW404" s="7"/>
      <c r="MX404" s="7"/>
      <c r="MY404" s="7"/>
      <c r="MZ404" s="7"/>
      <c r="NA404" s="7"/>
      <c r="NB404" s="7"/>
      <c r="NC404" s="7"/>
      <c r="ND404" s="7"/>
      <c r="NE404" s="7"/>
      <c r="NF404" s="7"/>
      <c r="NG404" s="7"/>
      <c r="NH404" s="7"/>
      <c r="NI404" s="7"/>
      <c r="NJ404" s="7"/>
      <c r="NK404" s="7"/>
      <c r="NL404" s="7"/>
      <c r="NM404" s="7"/>
      <c r="NN404" s="7"/>
      <c r="NO404" s="7"/>
      <c r="NP404" s="7"/>
      <c r="NQ404" s="7"/>
      <c r="NR404" s="7"/>
      <c r="NS404" s="7"/>
      <c r="NT404" s="7"/>
      <c r="NU404" s="7"/>
      <c r="NV404" s="7"/>
      <c r="NW404" s="7"/>
      <c r="NX404" s="7"/>
      <c r="NY404" s="7"/>
      <c r="NZ404" s="7"/>
      <c r="OA404" s="7"/>
      <c r="OB404" s="7"/>
      <c r="OC404" s="7"/>
      <c r="OD404" s="7"/>
      <c r="OE404" s="7"/>
      <c r="OF404" s="7"/>
      <c r="OG404" s="7"/>
      <c r="OH404" s="7"/>
      <c r="OI404" s="7"/>
      <c r="OJ404" s="7"/>
      <c r="OK404" s="7"/>
      <c r="OL404" s="7"/>
      <c r="OM404" s="7"/>
      <c r="ON404" s="7"/>
      <c r="OO404" s="7"/>
      <c r="OP404" s="7"/>
      <c r="OQ404" s="7"/>
      <c r="OR404" s="7"/>
      <c r="OS404" s="7"/>
      <c r="OT404" s="7"/>
      <c r="OU404" s="7"/>
      <c r="OV404" s="7"/>
      <c r="OW404" s="7"/>
      <c r="OX404" s="7"/>
      <c r="OY404" s="7"/>
      <c r="OZ404" s="7"/>
      <c r="PA404" s="7"/>
      <c r="PB404" s="7"/>
      <c r="PC404" s="7"/>
      <c r="PD404" s="7"/>
      <c r="PE404" s="7"/>
      <c r="PF404" s="7"/>
      <c r="PG404" s="7"/>
      <c r="PH404" s="7"/>
      <c r="PI404" s="7"/>
      <c r="PJ404" s="7"/>
      <c r="PK404" s="7"/>
      <c r="PL404" s="7"/>
      <c r="PM404" s="7"/>
      <c r="PN404" s="7"/>
      <c r="PO404" s="7"/>
      <c r="PP404" s="7"/>
      <c r="PQ404" s="7"/>
      <c r="PR404" s="7"/>
      <c r="PS404" s="7"/>
      <c r="PT404" s="7"/>
      <c r="PU404" s="7"/>
      <c r="PV404" s="7"/>
      <c r="PW404" s="7"/>
      <c r="PX404" s="7"/>
      <c r="PY404" s="7"/>
      <c r="PZ404" s="7"/>
      <c r="QA404" s="7"/>
      <c r="QB404" s="7"/>
      <c r="QC404" s="7"/>
      <c r="QD404" s="7"/>
      <c r="QE404" s="7"/>
      <c r="QF404" s="7"/>
      <c r="QG404" s="7"/>
      <c r="QH404" s="7"/>
      <c r="QI404" s="7"/>
      <c r="QJ404" s="7"/>
      <c r="QK404" s="7"/>
      <c r="QL404" s="7"/>
      <c r="QM404" s="7"/>
      <c r="QN404" s="7"/>
      <c r="QO404" s="7"/>
      <c r="QP404" s="7"/>
      <c r="QQ404" s="7"/>
      <c r="QR404" s="7"/>
      <c r="QS404" s="7"/>
      <c r="QT404" s="7"/>
      <c r="QU404" s="7"/>
      <c r="QV404" s="7"/>
      <c r="QW404" s="7"/>
      <c r="QX404" s="7"/>
      <c r="QY404" s="7"/>
      <c r="QZ404" s="7"/>
      <c r="RA404" s="7"/>
      <c r="RB404" s="7"/>
      <c r="RC404" s="7"/>
      <c r="RD404" s="7"/>
      <c r="RE404" s="7"/>
      <c r="RF404" s="7"/>
      <c r="RG404" s="7"/>
      <c r="RH404" s="7"/>
      <c r="RI404" s="7"/>
      <c r="RJ404" s="7"/>
      <c r="RK404" s="7"/>
      <c r="RL404" s="7"/>
      <c r="RM404" s="7"/>
      <c r="RN404" s="7"/>
      <c r="RO404" s="7"/>
      <c r="RP404" s="7"/>
      <c r="RQ404" s="7"/>
      <c r="RR404" s="7"/>
      <c r="RS404" s="7"/>
      <c r="RT404" s="7"/>
      <c r="RU404" s="7"/>
      <c r="RV404" s="7"/>
      <c r="RW404" s="7"/>
      <c r="RX404" s="7"/>
      <c r="RY404" s="7"/>
      <c r="RZ404" s="7"/>
      <c r="SA404" s="7"/>
      <c r="SB404" s="7"/>
      <c r="SC404" s="7"/>
      <c r="SD404" s="7"/>
      <c r="SE404" s="7"/>
      <c r="SF404" s="7"/>
      <c r="SG404" s="7"/>
      <c r="SH404" s="7"/>
      <c r="SI404" s="7"/>
      <c r="SJ404" s="7"/>
      <c r="SK404" s="7"/>
      <c r="SL404" s="7"/>
      <c r="SM404" s="7"/>
      <c r="SN404" s="7"/>
      <c r="SO404" s="7"/>
      <c r="SP404" s="7"/>
      <c r="SQ404" s="7"/>
      <c r="SR404" s="7"/>
      <c r="SS404" s="7"/>
      <c r="ST404" s="7"/>
      <c r="SU404" s="7"/>
      <c r="SV404" s="7"/>
      <c r="SW404" s="7"/>
      <c r="SX404" s="7"/>
      <c r="SY404" s="7"/>
      <c r="SZ404" s="7"/>
      <c r="TA404" s="7"/>
      <c r="TB404" s="7"/>
      <c r="TC404" s="7"/>
      <c r="TD404" s="7"/>
      <c r="TE404" s="7"/>
      <c r="TF404" s="7"/>
      <c r="TG404" s="7"/>
      <c r="TH404" s="7"/>
      <c r="TI404" s="7"/>
      <c r="TJ404" s="7"/>
      <c r="TK404" s="7"/>
      <c r="TL404" s="7"/>
      <c r="TM404" s="7"/>
      <c r="TN404" s="7"/>
      <c r="TO404" s="7"/>
      <c r="TP404" s="7"/>
      <c r="TQ404" s="7"/>
      <c r="TR404" s="7"/>
      <c r="TS404" s="7"/>
      <c r="TT404" s="7"/>
      <c r="TU404" s="7"/>
      <c r="TV404" s="7"/>
      <c r="TW404" s="7"/>
      <c r="TX404" s="7"/>
      <c r="TY404" s="7"/>
      <c r="TZ404" s="7"/>
      <c r="UA404" s="7"/>
      <c r="UB404" s="7"/>
      <c r="UC404" s="7"/>
      <c r="UD404" s="7"/>
      <c r="UE404" s="7"/>
      <c r="UF404" s="7"/>
      <c r="UG404" s="7"/>
      <c r="UH404" s="7"/>
      <c r="UI404" s="7"/>
      <c r="UJ404" s="7"/>
      <c r="UK404" s="7"/>
      <c r="UL404" s="7"/>
      <c r="UM404" s="7"/>
      <c r="UN404" s="7"/>
      <c r="UO404" s="7"/>
      <c r="UP404" s="7"/>
      <c r="UQ404" s="7"/>
      <c r="UR404" s="7"/>
      <c r="US404" s="7"/>
      <c r="UT404" s="7"/>
      <c r="UU404" s="7"/>
      <c r="UV404" s="7"/>
      <c r="UW404" s="7"/>
      <c r="UX404" s="7"/>
      <c r="UY404" s="7"/>
      <c r="UZ404" s="7"/>
      <c r="VA404" s="7"/>
      <c r="VB404" s="7"/>
      <c r="VC404" s="7"/>
      <c r="VD404" s="7"/>
      <c r="VE404" s="7"/>
      <c r="VF404" s="7"/>
      <c r="VG404" s="7"/>
      <c r="VH404" s="7"/>
      <c r="VI404" s="7"/>
      <c r="VJ404" s="7"/>
      <c r="VK404" s="7"/>
      <c r="VL404" s="7"/>
      <c r="VM404" s="7"/>
      <c r="VN404" s="7"/>
      <c r="VO404" s="7"/>
      <c r="VP404" s="7"/>
      <c r="VQ404" s="7"/>
      <c r="VR404" s="7"/>
      <c r="VS404" s="7"/>
      <c r="VT404" s="7"/>
      <c r="VU404" s="7"/>
      <c r="VV404" s="7"/>
      <c r="VW404" s="7"/>
      <c r="VX404" s="7"/>
      <c r="VY404" s="7"/>
      <c r="VZ404" s="7"/>
      <c r="WA404" s="7"/>
      <c r="WB404" s="7"/>
      <c r="WC404" s="7"/>
      <c r="WD404" s="7"/>
      <c r="WE404" s="7"/>
      <c r="WF404" s="7"/>
      <c r="WG404" s="7"/>
      <c r="WH404" s="7"/>
      <c r="WI404" s="7"/>
      <c r="WJ404" s="7"/>
      <c r="WK404" s="7"/>
      <c r="WL404" s="7"/>
      <c r="WM404" s="7"/>
      <c r="WN404" s="7"/>
      <c r="WO404" s="7"/>
      <c r="WP404" s="7"/>
      <c r="WQ404" s="7"/>
      <c r="WR404" s="7"/>
      <c r="WS404" s="7"/>
      <c r="WT404" s="7"/>
      <c r="WU404" s="7"/>
      <c r="WV404" s="7"/>
      <c r="WW404" s="7"/>
      <c r="WX404" s="7"/>
      <c r="WY404" s="7"/>
      <c r="WZ404" s="7"/>
      <c r="XA404" s="7"/>
      <c r="XB404" s="7"/>
      <c r="XC404" s="7"/>
      <c r="XD404" s="7"/>
      <c r="XE404" s="7"/>
      <c r="XF404" s="7"/>
      <c r="XG404" s="7"/>
      <c r="XH404" s="7"/>
      <c r="XI404" s="7"/>
      <c r="XJ404" s="7"/>
      <c r="XK404" s="7"/>
      <c r="XL404" s="7"/>
      <c r="XM404" s="7"/>
      <c r="XN404" s="7"/>
      <c r="XO404" s="7"/>
      <c r="XP404" s="7"/>
      <c r="XQ404" s="7"/>
      <c r="XR404" s="7"/>
      <c r="XS404" s="7"/>
      <c r="XT404" s="7"/>
      <c r="XU404" s="7"/>
      <c r="XV404" s="7"/>
      <c r="XW404" s="7"/>
      <c r="XX404" s="7"/>
      <c r="XY404" s="7"/>
      <c r="XZ404" s="7"/>
      <c r="YA404" s="7"/>
      <c r="YB404" s="7"/>
      <c r="YC404" s="7"/>
      <c r="YD404" s="7"/>
      <c r="YE404" s="7"/>
      <c r="YF404" s="7"/>
      <c r="YG404" s="7"/>
      <c r="YH404" s="7"/>
      <c r="YI404" s="7"/>
      <c r="YJ404" s="7"/>
      <c r="YK404" s="7"/>
      <c r="YL404" s="7"/>
      <c r="YM404" s="7"/>
      <c r="YN404" s="7"/>
      <c r="YO404" s="7"/>
      <c r="YP404" s="7"/>
      <c r="YQ404" s="7"/>
      <c r="YR404" s="7"/>
      <c r="YS404" s="7"/>
      <c r="YT404" s="7"/>
      <c r="YU404" s="7"/>
      <c r="YV404" s="7"/>
      <c r="YW404" s="7"/>
      <c r="YX404" s="7"/>
      <c r="YY404" s="7"/>
      <c r="YZ404" s="7"/>
      <c r="ZA404" s="7"/>
      <c r="ZB404" s="7"/>
      <c r="ZC404" s="7"/>
      <c r="ZD404" s="7"/>
      <c r="ZE404" s="7"/>
      <c r="ZF404" s="7"/>
      <c r="ZG404" s="7"/>
      <c r="ZH404" s="7"/>
      <c r="ZI404" s="7"/>
      <c r="ZJ404" s="7"/>
      <c r="ZK404" s="7"/>
      <c r="ZL404" s="7"/>
      <c r="ZM404" s="7"/>
      <c r="ZN404" s="7"/>
      <c r="ZO404" s="7"/>
      <c r="ZP404" s="7"/>
      <c r="ZQ404" s="7"/>
      <c r="ZR404" s="7"/>
      <c r="ZS404" s="7"/>
      <c r="ZT404" s="7"/>
      <c r="ZU404" s="7"/>
      <c r="ZV404" s="7"/>
      <c r="ZW404" s="7"/>
      <c r="ZX404" s="7"/>
      <c r="ZY404" s="7"/>
      <c r="ZZ404" s="7"/>
      <c r="AAA404" s="7"/>
      <c r="AAB404" s="7"/>
      <c r="AAC404" s="7"/>
      <c r="AAD404" s="7"/>
      <c r="AAE404" s="7"/>
      <c r="AAF404" s="7"/>
      <c r="AAG404" s="7"/>
      <c r="AAH404" s="7"/>
      <c r="AAI404" s="7"/>
      <c r="AAJ404" s="7"/>
      <c r="AAK404" s="7"/>
      <c r="AAL404" s="7"/>
      <c r="AAM404" s="7"/>
      <c r="AAN404" s="7"/>
      <c r="AAO404" s="7"/>
      <c r="AAP404" s="7"/>
      <c r="AAQ404" s="7"/>
      <c r="AAR404" s="7"/>
      <c r="AAS404" s="7"/>
      <c r="AAT404" s="7"/>
      <c r="AAU404" s="7"/>
      <c r="AAV404" s="7"/>
      <c r="AAW404" s="7"/>
      <c r="AAX404" s="7"/>
      <c r="AAY404" s="7"/>
      <c r="AAZ404" s="7"/>
      <c r="ABA404" s="7"/>
      <c r="ABB404" s="7"/>
      <c r="ABC404" s="7"/>
      <c r="ABD404" s="7"/>
      <c r="ABE404" s="7"/>
      <c r="ABF404" s="7"/>
      <c r="ABG404" s="7"/>
      <c r="ABH404" s="7"/>
      <c r="ABI404" s="7"/>
      <c r="ABJ404" s="7"/>
      <c r="ABK404" s="7"/>
      <c r="ABL404" s="7"/>
      <c r="ABM404" s="7"/>
      <c r="ABN404" s="7"/>
      <c r="ABO404" s="7"/>
      <c r="ABP404" s="7"/>
      <c r="ABQ404" s="7"/>
      <c r="ABR404" s="7"/>
      <c r="ABS404" s="7"/>
      <c r="ABT404" s="7"/>
      <c r="ABU404" s="7"/>
      <c r="ABV404" s="7"/>
      <c r="ABW404" s="7"/>
      <c r="ABX404" s="7"/>
      <c r="ABY404" s="7"/>
      <c r="ABZ404" s="7"/>
      <c r="ACA404" s="7"/>
      <c r="ACB404" s="7"/>
      <c r="ACC404" s="7"/>
      <c r="ACD404" s="7"/>
      <c r="ACE404" s="7"/>
      <c r="ACF404" s="7"/>
      <c r="ACG404" s="7"/>
      <c r="ACH404" s="7"/>
      <c r="ACI404" s="7"/>
      <c r="ACJ404" s="7"/>
      <c r="ACK404" s="7"/>
      <c r="ACL404" s="7"/>
      <c r="ACM404" s="7"/>
      <c r="ACN404" s="7"/>
      <c r="ACO404" s="7"/>
      <c r="ACP404" s="7"/>
      <c r="ACQ404" s="7"/>
      <c r="ACR404" s="7"/>
      <c r="ACS404" s="7"/>
      <c r="ACT404" s="7"/>
      <c r="ACU404" s="7"/>
      <c r="ACV404" s="7"/>
      <c r="ACW404" s="7"/>
      <c r="ACX404" s="7"/>
      <c r="ACY404" s="7"/>
      <c r="ACZ404" s="7"/>
      <c r="ADA404" s="7"/>
      <c r="ADB404" s="7"/>
      <c r="ADC404" s="7"/>
      <c r="ADD404" s="7"/>
      <c r="ADE404" s="7"/>
      <c r="ADF404" s="7"/>
      <c r="ADG404" s="7"/>
      <c r="ADH404" s="7"/>
      <c r="ADI404" s="7"/>
      <c r="ADJ404" s="7"/>
      <c r="ADK404" s="7"/>
      <c r="ADL404" s="7"/>
      <c r="ADM404" s="7"/>
      <c r="ADN404" s="7"/>
      <c r="ADO404" s="7"/>
      <c r="ADP404" s="7"/>
      <c r="ADQ404" s="7"/>
      <c r="ADR404" s="7"/>
      <c r="ADS404" s="7"/>
      <c r="ADT404" s="7"/>
      <c r="ADU404" s="7"/>
      <c r="ADV404" s="7"/>
      <c r="ADW404" s="7"/>
      <c r="ADX404" s="7"/>
      <c r="ADY404" s="7"/>
      <c r="ADZ404" s="7"/>
      <c r="AEA404" s="7"/>
      <c r="AEB404" s="7"/>
      <c r="AEC404" s="7"/>
      <c r="AED404" s="7"/>
      <c r="AEE404" s="7"/>
      <c r="AEF404" s="7"/>
      <c r="AEG404" s="7"/>
      <c r="AEH404" s="7"/>
      <c r="AEI404" s="7"/>
      <c r="AEJ404" s="7"/>
      <c r="AEK404" s="7"/>
      <c r="AEL404" s="7"/>
      <c r="AEM404" s="7"/>
      <c r="AEN404" s="7"/>
      <c r="AEO404" s="7"/>
      <c r="AEP404" s="7"/>
      <c r="AEQ404" s="7"/>
      <c r="AER404" s="7"/>
      <c r="AES404" s="7"/>
      <c r="AET404" s="7"/>
      <c r="AEU404" s="7"/>
      <c r="AEV404" s="7"/>
      <c r="AEW404" s="7"/>
      <c r="AEX404" s="7"/>
      <c r="AEY404" s="7"/>
      <c r="AEZ404" s="7"/>
      <c r="AFA404" s="7"/>
      <c r="AFB404" s="7"/>
      <c r="AFC404" s="7"/>
      <c r="AFD404" s="7"/>
      <c r="AFE404" s="7"/>
      <c r="AFF404" s="7"/>
      <c r="AFG404" s="7"/>
      <c r="AFH404" s="7"/>
      <c r="AFI404" s="7"/>
      <c r="AFJ404" s="7"/>
      <c r="AFK404" s="7"/>
      <c r="AFL404" s="7"/>
      <c r="AFM404" s="7"/>
      <c r="AFN404" s="7"/>
      <c r="AFO404" s="7"/>
      <c r="AFP404" s="7"/>
      <c r="AFQ404" s="7"/>
      <c r="AFR404" s="7"/>
      <c r="AFS404" s="7"/>
      <c r="AFT404" s="7"/>
      <c r="AFU404" s="7"/>
      <c r="AFV404" s="7"/>
      <c r="AFW404" s="7"/>
      <c r="AFX404" s="7"/>
      <c r="AFY404" s="7"/>
      <c r="AFZ404" s="7"/>
      <c r="AGA404" s="7"/>
      <c r="AGB404" s="7"/>
      <c r="AGC404" s="7"/>
      <c r="AGD404" s="7"/>
      <c r="AGE404" s="7"/>
      <c r="AGF404" s="7"/>
      <c r="AGG404" s="7"/>
      <c r="AGH404" s="7"/>
      <c r="AGI404" s="7"/>
      <c r="AGJ404" s="7"/>
      <c r="AGK404" s="7"/>
      <c r="AGL404" s="7"/>
      <c r="AGM404" s="7"/>
      <c r="AGN404" s="7"/>
      <c r="AGO404" s="7"/>
      <c r="AGP404" s="7"/>
      <c r="AGQ404" s="7"/>
      <c r="AGR404" s="7"/>
      <c r="AGS404" s="7"/>
      <c r="AGT404" s="7"/>
      <c r="AGU404" s="7"/>
      <c r="AGV404" s="7"/>
      <c r="AGW404" s="7"/>
      <c r="AGX404" s="7"/>
      <c r="AGY404" s="7"/>
      <c r="AGZ404" s="7"/>
      <c r="AHA404" s="7"/>
      <c r="AHB404" s="7"/>
      <c r="AHC404" s="7"/>
      <c r="AHD404" s="7"/>
      <c r="AHE404" s="7"/>
      <c r="AHF404" s="7"/>
      <c r="AHG404" s="7"/>
      <c r="AHH404" s="7"/>
      <c r="AHI404" s="7"/>
      <c r="AHJ404" s="7"/>
      <c r="AHK404" s="7"/>
      <c r="AHL404" s="7"/>
      <c r="AHM404" s="7"/>
      <c r="AHN404" s="7"/>
      <c r="AHO404" s="7"/>
      <c r="AHP404" s="7"/>
      <c r="AHQ404" s="7"/>
      <c r="AHR404" s="7"/>
      <c r="AHS404" s="7"/>
      <c r="AHT404" s="7"/>
      <c r="AHU404" s="7"/>
      <c r="AHV404" s="7"/>
      <c r="AHW404" s="7"/>
      <c r="AHX404" s="7"/>
      <c r="AHY404" s="7"/>
      <c r="AHZ404" s="7"/>
      <c r="AIA404" s="7"/>
      <c r="AIB404" s="7"/>
      <c r="AIC404" s="7"/>
      <c r="AID404" s="7"/>
      <c r="AIE404" s="7"/>
      <c r="AIF404" s="7"/>
      <c r="AIG404" s="7"/>
      <c r="AIH404" s="7"/>
      <c r="AII404" s="7"/>
      <c r="AIJ404" s="7"/>
      <c r="AIK404" s="7"/>
      <c r="AIL404" s="7"/>
      <c r="AIM404" s="7"/>
      <c r="AIN404" s="7"/>
      <c r="AIO404" s="7"/>
      <c r="AIP404" s="7"/>
      <c r="AIQ404" s="7"/>
      <c r="AIR404" s="7"/>
      <c r="AIS404" s="7"/>
      <c r="AIT404" s="7"/>
      <c r="AIU404" s="7"/>
      <c r="AIV404" s="7"/>
      <c r="AIW404" s="7"/>
      <c r="AIX404" s="7"/>
      <c r="AIY404" s="7"/>
      <c r="AIZ404" s="7"/>
      <c r="AJA404" s="7"/>
      <c r="AJB404" s="7"/>
      <c r="AJC404" s="7"/>
      <c r="AJD404" s="7"/>
      <c r="AJE404" s="7"/>
      <c r="AJF404" s="7"/>
      <c r="AJG404" s="7"/>
      <c r="AJH404" s="7"/>
      <c r="AJI404" s="7"/>
      <c r="AJJ404" s="7"/>
      <c r="AJK404" s="7"/>
      <c r="AJL404" s="7"/>
      <c r="AJM404" s="7"/>
      <c r="AJN404" s="7"/>
      <c r="AJO404" s="7"/>
      <c r="AJP404" s="7"/>
      <c r="AJQ404" s="7"/>
      <c r="AJR404" s="7"/>
      <c r="AJS404" s="7"/>
      <c r="AJT404" s="7"/>
      <c r="AJU404" s="7"/>
      <c r="AJV404" s="7"/>
      <c r="AJW404" s="7"/>
      <c r="AJX404" s="7"/>
      <c r="AJY404" s="7"/>
      <c r="AJZ404" s="7"/>
      <c r="AKA404" s="7"/>
      <c r="AKB404" s="7"/>
      <c r="AKC404" s="7"/>
      <c r="AKD404" s="7"/>
      <c r="AKE404" s="7"/>
      <c r="AKF404" s="7"/>
      <c r="AKG404" s="7"/>
      <c r="AKH404" s="7"/>
      <c r="AKI404" s="7"/>
      <c r="AKJ404" s="7"/>
      <c r="AKK404" s="7"/>
      <c r="AKL404" s="7"/>
      <c r="AKM404" s="7"/>
      <c r="AKN404" s="7"/>
      <c r="AKO404" s="7"/>
      <c r="AKP404" s="7"/>
      <c r="AKQ404" s="7"/>
      <c r="AKR404" s="7"/>
      <c r="AKS404" s="7"/>
      <c r="AKT404" s="7"/>
      <c r="AKU404" s="7"/>
      <c r="AKV404" s="7"/>
      <c r="AKW404" s="7"/>
      <c r="AKX404" s="7"/>
      <c r="AKY404" s="7"/>
      <c r="AKZ404" s="7"/>
      <c r="ALA404" s="7"/>
      <c r="ALB404" s="7"/>
      <c r="ALC404" s="7"/>
      <c r="ALD404" s="7"/>
      <c r="ALE404" s="7"/>
      <c r="ALF404" s="7"/>
      <c r="ALG404" s="7"/>
      <c r="ALH404" s="7"/>
      <c r="ALI404" s="7"/>
      <c r="ALJ404" s="7"/>
      <c r="ALK404" s="7"/>
      <c r="ALL404" s="7"/>
      <c r="ALM404" s="7"/>
      <c r="ALN404" s="7"/>
      <c r="ALO404" s="7"/>
      <c r="ALP404" s="7"/>
      <c r="ALQ404" s="7"/>
      <c r="ALR404" s="7"/>
      <c r="ALS404" s="7"/>
      <c r="ALT404" s="7"/>
      <c r="ALU404" s="7"/>
      <c r="ALV404" s="7"/>
      <c r="ALW404" s="7"/>
      <c r="ALX404" s="7"/>
      <c r="ALY404" s="7"/>
      <c r="ALZ404" s="7"/>
      <c r="AMA404" s="7"/>
      <c r="AMB404" s="7"/>
      <c r="AMC404" s="7"/>
      <c r="AMD404" s="7"/>
      <c r="AME404" s="7"/>
      <c r="AMF404" s="7"/>
      <c r="AMG404" s="7"/>
      <c r="AMH404" s="7"/>
      <c r="AMI404" s="7"/>
      <c r="AMJ404" s="7"/>
      <c r="AMK404" s="7"/>
      <c r="AML404" s="7"/>
      <c r="AMM404" s="7"/>
      <c r="AMN404" s="7"/>
      <c r="AMO404" s="7"/>
      <c r="AMP404" s="7"/>
      <c r="AMQ404" s="7"/>
      <c r="AMR404" s="7"/>
      <c r="AMS404" s="7"/>
      <c r="AMT404" s="7"/>
      <c r="AMU404" s="7"/>
      <c r="AMV404" s="7"/>
      <c r="AMW404" s="7"/>
      <c r="AMX404" s="7"/>
      <c r="AMY404" s="7"/>
      <c r="AMZ404" s="7"/>
      <c r="ANA404" s="7"/>
      <c r="ANB404" s="7"/>
      <c r="ANC404" s="7"/>
      <c r="AND404" s="7"/>
      <c r="ANE404" s="7"/>
      <c r="ANF404" s="7"/>
      <c r="ANG404" s="7"/>
      <c r="ANH404" s="7"/>
      <c r="ANI404" s="7"/>
      <c r="ANJ404" s="7"/>
      <c r="ANK404" s="7"/>
      <c r="ANL404" s="7"/>
      <c r="ANM404" s="7"/>
      <c r="ANN404" s="7"/>
      <c r="ANO404" s="7"/>
      <c r="ANP404" s="7"/>
      <c r="ANQ404" s="7"/>
      <c r="ANR404" s="7"/>
      <c r="ANS404" s="7"/>
      <c r="ANT404" s="7"/>
      <c r="ANU404" s="7"/>
      <c r="ANV404" s="7"/>
      <c r="ANW404" s="7"/>
      <c r="ANX404" s="7"/>
      <c r="ANY404" s="7"/>
      <c r="ANZ404" s="7"/>
      <c r="AOA404" s="7"/>
      <c r="AOB404" s="7"/>
      <c r="AOC404" s="7"/>
      <c r="AOD404" s="7"/>
      <c r="AOE404" s="7"/>
      <c r="AOF404" s="7"/>
      <c r="AOG404" s="7"/>
      <c r="AOH404" s="7"/>
      <c r="AOI404" s="7"/>
      <c r="AOJ404" s="7"/>
      <c r="AOK404" s="7"/>
      <c r="AOL404" s="7"/>
      <c r="AOM404" s="7"/>
      <c r="AON404" s="7"/>
      <c r="AOO404" s="7"/>
      <c r="AOP404" s="7"/>
      <c r="AOQ404" s="7"/>
      <c r="AOR404" s="7"/>
      <c r="AOS404" s="7"/>
      <c r="AOT404" s="7"/>
      <c r="AOU404" s="7"/>
      <c r="AOV404" s="7"/>
      <c r="AOW404" s="7"/>
      <c r="AOX404" s="7"/>
      <c r="AOY404" s="7"/>
      <c r="AOZ404" s="7"/>
      <c r="APA404" s="7"/>
      <c r="APB404" s="7"/>
      <c r="APC404" s="7"/>
      <c r="APD404" s="7"/>
      <c r="APE404" s="7"/>
      <c r="APF404" s="7"/>
      <c r="APG404" s="7"/>
      <c r="APH404" s="7"/>
      <c r="API404" s="7"/>
      <c r="APJ404" s="7"/>
      <c r="APK404" s="7"/>
      <c r="APL404" s="7"/>
      <c r="APM404" s="7"/>
      <c r="APN404" s="7"/>
      <c r="APO404" s="7"/>
      <c r="APP404" s="7"/>
      <c r="APQ404" s="7"/>
      <c r="APR404" s="7"/>
      <c r="APS404" s="7"/>
      <c r="APT404" s="7"/>
      <c r="APU404" s="7"/>
      <c r="APV404" s="7"/>
      <c r="APW404" s="7"/>
      <c r="APX404" s="7"/>
      <c r="APY404" s="7"/>
      <c r="APZ404" s="7"/>
      <c r="AQA404" s="7"/>
      <c r="AQB404" s="7"/>
      <c r="AQC404" s="7"/>
      <c r="AQD404" s="7"/>
      <c r="AQE404" s="7"/>
      <c r="AQF404" s="7"/>
      <c r="AQG404" s="7"/>
      <c r="AQH404" s="7"/>
      <c r="AQI404" s="7"/>
      <c r="AQJ404" s="7"/>
      <c r="AQK404" s="7"/>
      <c r="AQL404" s="7"/>
      <c r="AQM404" s="7"/>
      <c r="AQN404" s="7"/>
      <c r="AQO404" s="7"/>
      <c r="AQP404" s="7"/>
      <c r="AQQ404" s="7"/>
      <c r="AQR404" s="7"/>
      <c r="AQS404" s="7"/>
      <c r="AQT404" s="7"/>
      <c r="AQU404" s="7"/>
      <c r="AQV404" s="7"/>
      <c r="AQW404" s="7"/>
      <c r="AQX404" s="7"/>
      <c r="AQY404" s="7"/>
      <c r="AQZ404" s="7"/>
      <c r="ARA404" s="7"/>
      <c r="ARB404" s="7"/>
      <c r="ARC404" s="7"/>
      <c r="ARD404" s="7"/>
      <c r="ARE404" s="7"/>
      <c r="ARF404" s="7"/>
      <c r="ARG404" s="7"/>
      <c r="ARH404" s="7"/>
      <c r="ARI404" s="7"/>
      <c r="ARJ404" s="7"/>
      <c r="ARK404" s="7"/>
      <c r="ARL404" s="7"/>
      <c r="ARM404" s="7"/>
      <c r="ARN404" s="7"/>
      <c r="ARO404" s="7"/>
      <c r="ARP404" s="7"/>
      <c r="ARQ404" s="7"/>
      <c r="ARR404" s="7"/>
      <c r="ARS404" s="7"/>
      <c r="ART404" s="7"/>
      <c r="ARU404" s="7"/>
      <c r="ARV404" s="7"/>
      <c r="ARW404" s="7"/>
      <c r="ARX404" s="7"/>
      <c r="ARY404" s="7"/>
      <c r="ARZ404" s="7"/>
      <c r="ASA404" s="7"/>
      <c r="ASB404" s="7"/>
      <c r="ASC404" s="7"/>
      <c r="ASD404" s="7"/>
      <c r="ASE404" s="7"/>
      <c r="ASF404" s="7"/>
      <c r="ASG404" s="7"/>
      <c r="ASH404" s="7"/>
      <c r="ASI404" s="7"/>
      <c r="ASJ404" s="7"/>
      <c r="ASK404" s="7"/>
      <c r="ASL404" s="7"/>
      <c r="ASM404" s="7"/>
      <c r="ASN404" s="7"/>
      <c r="ASO404" s="7"/>
      <c r="ASP404" s="7"/>
      <c r="ASQ404" s="7"/>
      <c r="ASR404" s="7"/>
      <c r="ASS404" s="7"/>
      <c r="AST404" s="7"/>
      <c r="ASU404" s="7"/>
      <c r="ASV404" s="7"/>
      <c r="ASW404" s="7"/>
      <c r="ASX404" s="7"/>
      <c r="ASY404" s="7"/>
      <c r="ASZ404" s="7"/>
      <c r="ATA404" s="7"/>
      <c r="ATB404" s="7"/>
      <c r="ATC404" s="7"/>
      <c r="ATD404" s="7"/>
      <c r="ATE404" s="7"/>
      <c r="ATF404" s="7"/>
      <c r="ATG404" s="7"/>
      <c r="ATH404" s="7"/>
      <c r="ATI404" s="7"/>
      <c r="ATJ404" s="7"/>
      <c r="ATK404" s="7"/>
      <c r="ATL404" s="7"/>
      <c r="ATM404" s="7"/>
      <c r="ATN404" s="7"/>
      <c r="ATO404" s="7"/>
      <c r="ATP404" s="7"/>
      <c r="ATQ404" s="7"/>
      <c r="ATR404" s="7"/>
      <c r="ATS404" s="7"/>
      <c r="ATT404" s="7"/>
      <c r="ATU404" s="7"/>
      <c r="ATV404" s="7"/>
      <c r="ATW404" s="7"/>
      <c r="ATX404" s="7"/>
      <c r="ATY404" s="7"/>
      <c r="ATZ404" s="7"/>
      <c r="AUA404" s="7"/>
      <c r="AUB404" s="7"/>
      <c r="AUC404" s="7"/>
      <c r="AUD404" s="7"/>
      <c r="AUE404" s="7"/>
      <c r="AUF404" s="7"/>
      <c r="AUG404" s="7"/>
      <c r="AUH404" s="7"/>
      <c r="AUI404" s="7"/>
      <c r="AUJ404" s="7"/>
      <c r="AUK404" s="7"/>
      <c r="AUL404" s="7"/>
      <c r="AUM404" s="7"/>
      <c r="AUN404" s="7"/>
      <c r="AUO404" s="7"/>
      <c r="AUP404" s="7"/>
      <c r="AUQ404" s="7"/>
      <c r="AUR404" s="7"/>
      <c r="AUS404" s="7"/>
      <c r="AUT404" s="7"/>
      <c r="AUU404" s="7"/>
      <c r="AUV404" s="7"/>
      <c r="AUW404" s="7"/>
      <c r="AUX404" s="7"/>
      <c r="AUY404" s="7"/>
      <c r="AUZ404" s="7"/>
      <c r="AVA404" s="7"/>
      <c r="AVB404" s="7"/>
      <c r="AVC404" s="7"/>
      <c r="AVD404" s="7"/>
      <c r="AVE404" s="7"/>
      <c r="AVF404" s="7"/>
      <c r="AVG404" s="7"/>
      <c r="AVH404" s="7"/>
      <c r="AVI404" s="7"/>
      <c r="AVJ404" s="7"/>
      <c r="AVK404" s="7"/>
      <c r="AVL404" s="7"/>
      <c r="AVM404" s="7"/>
      <c r="AVN404" s="7"/>
      <c r="AVO404" s="7"/>
      <c r="AVP404" s="7"/>
      <c r="AVQ404" s="7"/>
      <c r="AVR404" s="7"/>
      <c r="AVS404" s="7"/>
      <c r="AVT404" s="7"/>
      <c r="AVU404" s="7"/>
      <c r="AVV404" s="7"/>
      <c r="AVW404" s="7"/>
      <c r="AVX404" s="7"/>
      <c r="AVY404" s="7"/>
      <c r="AVZ404" s="7"/>
      <c r="AWA404" s="7"/>
      <c r="AWB404" s="7"/>
      <c r="AWC404" s="7"/>
      <c r="AWD404" s="7"/>
      <c r="AWE404" s="7"/>
      <c r="AWF404" s="7"/>
      <c r="AWG404" s="7"/>
      <c r="AWH404" s="7"/>
      <c r="AWI404" s="7"/>
      <c r="AWJ404" s="7"/>
      <c r="AWK404" s="7"/>
      <c r="AWL404" s="7"/>
      <c r="AWM404" s="7"/>
      <c r="AWN404" s="7"/>
      <c r="AWO404" s="7"/>
      <c r="AWP404" s="7"/>
      <c r="AWQ404" s="7"/>
      <c r="AWR404" s="7"/>
      <c r="AWS404" s="7"/>
      <c r="AWT404" s="7"/>
      <c r="AWU404" s="7"/>
      <c r="AWV404" s="7"/>
      <c r="AWW404" s="7"/>
      <c r="AWX404" s="7"/>
      <c r="AWY404" s="7"/>
      <c r="AWZ404" s="7"/>
      <c r="AXA404" s="7"/>
      <c r="AXB404" s="7"/>
      <c r="AXC404" s="7"/>
      <c r="AXD404" s="7"/>
      <c r="AXE404" s="7"/>
      <c r="AXF404" s="7"/>
      <c r="AXG404" s="7"/>
      <c r="AXH404" s="7"/>
      <c r="AXI404" s="7"/>
      <c r="AXJ404" s="7"/>
      <c r="AXK404" s="7"/>
      <c r="AXL404" s="7"/>
      <c r="AXM404" s="7"/>
      <c r="AXN404" s="7"/>
      <c r="AXO404" s="7"/>
      <c r="AXP404" s="7"/>
      <c r="AXQ404" s="7"/>
      <c r="AXR404" s="7"/>
      <c r="AXS404" s="7"/>
      <c r="AXT404" s="7"/>
      <c r="AXU404" s="7"/>
      <c r="AXV404" s="7"/>
      <c r="AXW404" s="7"/>
      <c r="AXX404" s="7"/>
      <c r="AXY404" s="7"/>
      <c r="AXZ404" s="7"/>
      <c r="AYA404" s="7"/>
      <c r="AYB404" s="7"/>
      <c r="AYC404" s="7"/>
      <c r="AYD404" s="7"/>
      <c r="AYE404" s="7"/>
      <c r="AYF404" s="7"/>
      <c r="AYG404" s="7"/>
      <c r="AYH404" s="7"/>
      <c r="AYI404" s="7"/>
      <c r="AYJ404" s="7"/>
      <c r="AYK404" s="7"/>
      <c r="AYL404" s="7"/>
      <c r="AYM404" s="7"/>
      <c r="AYN404" s="7"/>
      <c r="AYO404" s="7"/>
      <c r="AYP404" s="7"/>
      <c r="AYQ404" s="7"/>
      <c r="AYR404" s="7"/>
      <c r="AYS404" s="7"/>
      <c r="AYT404" s="7"/>
      <c r="AYU404" s="7"/>
      <c r="AYV404" s="7"/>
      <c r="AYW404" s="7"/>
      <c r="AYX404" s="7"/>
      <c r="AYY404" s="7"/>
      <c r="AYZ404" s="7"/>
      <c r="AZA404" s="7"/>
      <c r="AZB404" s="7"/>
      <c r="AZC404" s="7"/>
      <c r="AZD404" s="7"/>
      <c r="AZE404" s="7"/>
      <c r="AZF404" s="7"/>
      <c r="AZG404" s="7"/>
      <c r="AZH404" s="7"/>
      <c r="AZI404" s="7"/>
      <c r="AZJ404" s="7"/>
      <c r="AZK404" s="7"/>
      <c r="AZL404" s="7"/>
      <c r="AZM404" s="7"/>
      <c r="AZN404" s="7"/>
      <c r="AZO404" s="7"/>
      <c r="AZP404" s="7"/>
      <c r="AZQ404" s="7"/>
      <c r="AZR404" s="7"/>
      <c r="AZS404" s="7"/>
      <c r="AZT404" s="7"/>
      <c r="AZU404" s="7"/>
      <c r="AZV404" s="7"/>
      <c r="AZW404" s="7"/>
      <c r="AZX404" s="7"/>
      <c r="AZY404" s="7"/>
      <c r="AZZ404" s="7"/>
      <c r="BAA404" s="7"/>
      <c r="BAB404" s="7"/>
      <c r="BAC404" s="7"/>
      <c r="BAD404" s="7"/>
      <c r="BAE404" s="7"/>
      <c r="BAF404" s="7"/>
      <c r="BAG404" s="7"/>
      <c r="BAH404" s="7"/>
      <c r="BAI404" s="7"/>
      <c r="BAJ404" s="7"/>
      <c r="BAK404" s="7"/>
      <c r="BAL404" s="7"/>
      <c r="BAM404" s="7"/>
      <c r="BAN404" s="7"/>
      <c r="BAO404" s="7"/>
      <c r="BAP404" s="7"/>
      <c r="BAQ404" s="7"/>
      <c r="BAR404" s="7"/>
      <c r="BAS404" s="7"/>
      <c r="BAT404" s="7"/>
      <c r="BAU404" s="7"/>
      <c r="BAV404" s="7"/>
      <c r="BAW404" s="7"/>
      <c r="BAX404" s="7"/>
      <c r="BAY404" s="7"/>
      <c r="BAZ404" s="7"/>
      <c r="BBA404" s="7"/>
      <c r="BBB404" s="7"/>
      <c r="BBC404" s="7"/>
      <c r="BBD404" s="7"/>
      <c r="BBE404" s="7"/>
      <c r="BBF404" s="7"/>
      <c r="BBG404" s="7"/>
      <c r="BBH404" s="7"/>
      <c r="BBI404" s="7"/>
      <c r="BBJ404" s="7"/>
      <c r="BBK404" s="7"/>
      <c r="BBL404" s="7"/>
      <c r="BBM404" s="7"/>
      <c r="BBN404" s="7"/>
      <c r="BBO404" s="7"/>
      <c r="BBP404" s="7"/>
      <c r="BBQ404" s="7"/>
      <c r="BBR404" s="7"/>
      <c r="BBS404" s="7"/>
      <c r="BBT404" s="7"/>
      <c r="BBU404" s="7"/>
      <c r="BBV404" s="7"/>
      <c r="BBW404" s="7"/>
      <c r="BBX404" s="7"/>
      <c r="BBY404" s="7"/>
      <c r="BBZ404" s="7"/>
      <c r="BCA404" s="7"/>
      <c r="BCB404" s="7"/>
      <c r="BCC404" s="7"/>
      <c r="BCD404" s="7"/>
      <c r="BCE404" s="7"/>
      <c r="BCF404" s="7"/>
      <c r="BCG404" s="7"/>
      <c r="BCH404" s="7"/>
      <c r="BCI404" s="7"/>
      <c r="BCJ404" s="7"/>
      <c r="BCK404" s="7"/>
      <c r="BCL404" s="7"/>
      <c r="BCM404" s="7"/>
      <c r="BCN404" s="7"/>
      <c r="BCO404" s="7"/>
      <c r="BCP404" s="7"/>
      <c r="BCQ404" s="7"/>
      <c r="BCR404" s="7"/>
      <c r="BCS404" s="7"/>
      <c r="BCT404" s="7"/>
      <c r="BCU404" s="7"/>
      <c r="BCV404" s="7"/>
      <c r="BCW404" s="7"/>
      <c r="BCX404" s="7"/>
      <c r="BCY404" s="7"/>
      <c r="BCZ404" s="7"/>
      <c r="BDA404" s="7"/>
      <c r="BDB404" s="7"/>
      <c r="BDC404" s="7"/>
      <c r="BDD404" s="7"/>
      <c r="BDE404" s="7"/>
      <c r="BDF404" s="7"/>
      <c r="BDG404" s="7"/>
      <c r="BDH404" s="7"/>
      <c r="BDI404" s="7"/>
      <c r="BDJ404" s="7"/>
      <c r="BDK404" s="7"/>
      <c r="BDL404" s="7"/>
      <c r="BDM404" s="7"/>
      <c r="BDN404" s="7"/>
      <c r="BDO404" s="7"/>
      <c r="BDP404" s="7"/>
      <c r="BDQ404" s="7"/>
      <c r="BDR404" s="7"/>
      <c r="BDS404" s="7"/>
      <c r="BDT404" s="7"/>
      <c r="BDU404" s="7"/>
      <c r="BDV404" s="7"/>
      <c r="BDW404" s="7"/>
      <c r="BDX404" s="7"/>
      <c r="BDY404" s="7"/>
      <c r="BDZ404" s="7"/>
      <c r="BEA404" s="7"/>
      <c r="BEB404" s="7"/>
      <c r="BEC404" s="7"/>
      <c r="BED404" s="7"/>
      <c r="BEE404" s="7"/>
      <c r="BEF404" s="7"/>
      <c r="BEG404" s="7"/>
      <c r="BEH404" s="7"/>
      <c r="BEI404" s="7"/>
      <c r="BEJ404" s="7"/>
      <c r="BEK404" s="7"/>
      <c r="BEL404" s="7"/>
      <c r="BEM404" s="7"/>
      <c r="BEN404" s="7"/>
      <c r="BEO404" s="7"/>
      <c r="BEP404" s="7"/>
      <c r="BEQ404" s="7"/>
      <c r="BER404" s="7"/>
      <c r="BES404" s="7"/>
      <c r="BET404" s="7"/>
      <c r="BEU404" s="7"/>
      <c r="BEV404" s="7"/>
      <c r="BEW404" s="7"/>
      <c r="BEX404" s="7"/>
      <c r="BEY404" s="7"/>
      <c r="BEZ404" s="7"/>
      <c r="BFA404" s="7"/>
      <c r="BFB404" s="7"/>
      <c r="BFC404" s="7"/>
      <c r="BFD404" s="7"/>
      <c r="BFE404" s="7"/>
      <c r="BFF404" s="7"/>
      <c r="BFG404" s="7"/>
      <c r="BFH404" s="7"/>
      <c r="BFI404" s="7"/>
      <c r="BFJ404" s="7"/>
      <c r="BFK404" s="7"/>
      <c r="BFL404" s="7"/>
      <c r="BFM404" s="7"/>
      <c r="BFN404" s="7"/>
      <c r="BFO404" s="7"/>
      <c r="BFP404" s="7"/>
      <c r="BFQ404" s="7"/>
      <c r="BFR404" s="7"/>
      <c r="BFS404" s="7"/>
      <c r="BFT404" s="7"/>
      <c r="BFU404" s="7"/>
      <c r="BFV404" s="7"/>
      <c r="BFW404" s="7"/>
      <c r="BFX404" s="7"/>
      <c r="BFY404" s="7"/>
      <c r="BFZ404" s="7"/>
      <c r="BGA404" s="7"/>
      <c r="BGB404" s="7"/>
      <c r="BGC404" s="7"/>
      <c r="BGD404" s="7"/>
      <c r="BGE404" s="7"/>
      <c r="BGF404" s="7"/>
      <c r="BGG404" s="7"/>
      <c r="BGH404" s="7"/>
      <c r="BGI404" s="7"/>
      <c r="BGJ404" s="7"/>
      <c r="BGK404" s="7"/>
      <c r="BGL404" s="7"/>
      <c r="BGM404" s="7"/>
      <c r="BGN404" s="7"/>
      <c r="BGO404" s="7"/>
      <c r="BGP404" s="7"/>
      <c r="BGQ404" s="7"/>
      <c r="BGR404" s="7"/>
      <c r="BGS404" s="7"/>
      <c r="BGT404" s="7"/>
      <c r="BGU404" s="7"/>
      <c r="BGV404" s="7"/>
      <c r="BGW404" s="7"/>
      <c r="BGX404" s="7"/>
      <c r="BGY404" s="7"/>
      <c r="BGZ404" s="7"/>
      <c r="BHA404" s="7"/>
      <c r="BHB404" s="7"/>
      <c r="BHC404" s="7"/>
      <c r="BHD404" s="7"/>
      <c r="BHE404" s="7"/>
      <c r="BHF404" s="7"/>
      <c r="BHG404" s="7"/>
      <c r="BHH404" s="7"/>
      <c r="BHI404" s="7"/>
      <c r="BHJ404" s="7"/>
      <c r="BHK404" s="7"/>
      <c r="BHL404" s="7"/>
      <c r="BHM404" s="7"/>
      <c r="BHN404" s="7"/>
      <c r="BHO404" s="7"/>
      <c r="BHP404" s="7"/>
      <c r="BHQ404" s="7"/>
      <c r="BHR404" s="7"/>
      <c r="BHS404" s="7"/>
      <c r="BHT404" s="7"/>
      <c r="BHU404" s="7"/>
      <c r="BHV404" s="7"/>
      <c r="BHW404" s="7"/>
      <c r="BHX404" s="7"/>
      <c r="BHY404" s="7"/>
      <c r="BHZ404" s="7"/>
      <c r="BIA404" s="7"/>
      <c r="BIB404" s="7"/>
      <c r="BIC404" s="7"/>
      <c r="BID404" s="7"/>
      <c r="BIE404" s="7"/>
      <c r="BIF404" s="7"/>
      <c r="BIG404" s="7"/>
      <c r="BIH404" s="7"/>
      <c r="BII404" s="7"/>
      <c r="BIJ404" s="7"/>
      <c r="BIK404" s="7"/>
      <c r="BIL404" s="7"/>
      <c r="BIM404" s="7"/>
      <c r="BIN404" s="7"/>
      <c r="BIO404" s="7"/>
      <c r="BIP404" s="7"/>
      <c r="BIQ404" s="7"/>
      <c r="BIR404" s="7"/>
      <c r="BIS404" s="7"/>
      <c r="BIT404" s="7"/>
      <c r="BIU404" s="7"/>
      <c r="BIV404" s="7"/>
      <c r="BIW404" s="7"/>
      <c r="BIX404" s="7"/>
      <c r="BIY404" s="7"/>
      <c r="BIZ404" s="7"/>
      <c r="BJA404" s="7"/>
      <c r="BJB404" s="7"/>
      <c r="BJC404" s="7"/>
      <c r="BJD404" s="7"/>
      <c r="BJE404" s="7"/>
      <c r="BJF404" s="7"/>
      <c r="BJG404" s="7"/>
      <c r="BJH404" s="7"/>
      <c r="BJI404" s="7"/>
      <c r="BJJ404" s="7"/>
      <c r="BJK404" s="7"/>
      <c r="BJL404" s="7"/>
      <c r="BJM404" s="7"/>
      <c r="BJN404" s="7"/>
      <c r="BJO404" s="7"/>
      <c r="BJP404" s="7"/>
      <c r="BJQ404" s="7"/>
      <c r="BJR404" s="7"/>
      <c r="BJS404" s="7"/>
      <c r="BJT404" s="7"/>
      <c r="BJU404" s="7"/>
      <c r="BJV404" s="7"/>
      <c r="BJW404" s="7"/>
      <c r="BJX404" s="7"/>
      <c r="BJY404" s="7"/>
      <c r="BJZ404" s="7"/>
      <c r="BKA404" s="7"/>
      <c r="BKB404" s="7"/>
      <c r="BKC404" s="7"/>
      <c r="BKD404" s="7"/>
      <c r="BKE404" s="7"/>
      <c r="BKF404" s="7"/>
      <c r="BKG404" s="7"/>
      <c r="BKH404" s="7"/>
      <c r="BKI404" s="7"/>
      <c r="BKJ404" s="7"/>
      <c r="BKK404" s="7"/>
      <c r="BKL404" s="7"/>
      <c r="BKM404" s="7"/>
      <c r="BKN404" s="7"/>
      <c r="BKO404" s="7"/>
      <c r="BKP404" s="7"/>
      <c r="BKQ404" s="7"/>
      <c r="BKR404" s="7"/>
      <c r="BKS404" s="7"/>
      <c r="BKT404" s="7"/>
      <c r="BKU404" s="7"/>
      <c r="BKV404" s="7"/>
      <c r="BKW404" s="7"/>
      <c r="BKX404" s="7"/>
      <c r="BKY404" s="7"/>
      <c r="BKZ404" s="7"/>
      <c r="BLA404" s="7"/>
      <c r="BLB404" s="7"/>
      <c r="BLC404" s="7"/>
      <c r="BLD404" s="7"/>
      <c r="BLE404" s="7"/>
      <c r="BLF404" s="7"/>
      <c r="BLG404" s="7"/>
      <c r="BLH404" s="7"/>
      <c r="BLI404" s="7"/>
      <c r="BLJ404" s="7"/>
      <c r="BLK404" s="7"/>
      <c r="BLL404" s="7"/>
      <c r="BLM404" s="7"/>
      <c r="BLN404" s="7"/>
      <c r="BLO404" s="7"/>
      <c r="BLP404" s="7"/>
      <c r="BLQ404" s="7"/>
      <c r="BLR404" s="7"/>
      <c r="BLS404" s="7"/>
      <c r="BLT404" s="7"/>
      <c r="BLU404" s="7"/>
      <c r="BLV404" s="7"/>
      <c r="BLW404" s="7"/>
      <c r="BLX404" s="7"/>
      <c r="BLY404" s="7"/>
      <c r="BLZ404" s="7"/>
      <c r="BMA404" s="7"/>
      <c r="BMB404" s="7"/>
      <c r="BMC404" s="7"/>
      <c r="BMD404" s="7"/>
      <c r="BME404" s="7"/>
      <c r="BMF404" s="7"/>
      <c r="BMG404" s="7"/>
      <c r="BMH404" s="7"/>
      <c r="BMI404" s="7"/>
      <c r="BMJ404" s="7"/>
      <c r="BMK404" s="7"/>
      <c r="BML404" s="7"/>
      <c r="BMM404" s="7"/>
      <c r="BMN404" s="7"/>
      <c r="BMO404" s="7"/>
      <c r="BMP404" s="7"/>
      <c r="BMQ404" s="7"/>
      <c r="BMR404" s="7"/>
      <c r="BMS404" s="7"/>
      <c r="BMT404" s="7"/>
      <c r="BMU404" s="7"/>
      <c r="BMV404" s="7"/>
      <c r="BMW404" s="7"/>
      <c r="BMX404" s="7"/>
      <c r="BMY404" s="7"/>
      <c r="BMZ404" s="7"/>
      <c r="BNA404" s="7"/>
      <c r="BNB404" s="7"/>
      <c r="BNC404" s="7"/>
      <c r="BND404" s="7"/>
      <c r="BNE404" s="7"/>
      <c r="BNF404" s="7"/>
      <c r="BNG404" s="7"/>
      <c r="BNH404" s="7"/>
      <c r="BNI404" s="7"/>
      <c r="BNJ404" s="7"/>
      <c r="BNK404" s="7"/>
      <c r="BNL404" s="7"/>
      <c r="BNM404" s="7"/>
      <c r="BNN404" s="7"/>
      <c r="BNO404" s="7"/>
      <c r="BNP404" s="7"/>
      <c r="BNQ404" s="7"/>
      <c r="BNR404" s="7"/>
      <c r="BNS404" s="7"/>
      <c r="BNT404" s="7"/>
      <c r="BNU404" s="7"/>
      <c r="BNV404" s="7"/>
      <c r="BNW404" s="7"/>
      <c r="BNX404" s="7"/>
      <c r="BNY404" s="7"/>
      <c r="BNZ404" s="7"/>
      <c r="BOA404" s="7"/>
      <c r="BOB404" s="7"/>
      <c r="BOC404" s="7"/>
      <c r="BOD404" s="7"/>
      <c r="BOE404" s="7"/>
      <c r="BOF404" s="7"/>
      <c r="BOG404" s="7"/>
      <c r="BOH404" s="7"/>
      <c r="BOI404" s="7"/>
      <c r="BOJ404" s="7"/>
      <c r="BOK404" s="7"/>
      <c r="BOL404" s="7"/>
      <c r="BOM404" s="7"/>
      <c r="BON404" s="7"/>
      <c r="BOO404" s="7"/>
      <c r="BOP404" s="7"/>
      <c r="BOQ404" s="7"/>
      <c r="BOR404" s="7"/>
      <c r="BOS404" s="7"/>
      <c r="BOT404" s="7"/>
      <c r="BOU404" s="7"/>
      <c r="BOV404" s="7"/>
      <c r="BOW404" s="7"/>
      <c r="BOX404" s="7"/>
      <c r="BOY404" s="7"/>
      <c r="BOZ404" s="7"/>
      <c r="BPA404" s="7"/>
      <c r="BPB404" s="7"/>
      <c r="BPC404" s="7"/>
      <c r="BPD404" s="7"/>
      <c r="BPE404" s="7"/>
      <c r="BPF404" s="7"/>
      <c r="BPG404" s="7"/>
      <c r="BPH404" s="7"/>
      <c r="BPI404" s="7"/>
      <c r="BPJ404" s="7"/>
      <c r="BPK404" s="7"/>
      <c r="BPL404" s="7"/>
      <c r="BPM404" s="7"/>
      <c r="BPN404" s="7"/>
      <c r="BPO404" s="7"/>
      <c r="BPP404" s="7"/>
      <c r="BPQ404" s="7"/>
      <c r="BPR404" s="7"/>
      <c r="BPS404" s="7"/>
      <c r="BPT404" s="7"/>
      <c r="BPU404" s="7"/>
      <c r="BPV404" s="7"/>
      <c r="BPW404" s="7"/>
      <c r="BPX404" s="7"/>
      <c r="BPY404" s="7"/>
      <c r="BPZ404" s="7"/>
      <c r="BQA404" s="7"/>
      <c r="BQB404" s="7"/>
      <c r="BQC404" s="7"/>
      <c r="BQD404" s="7"/>
      <c r="BQE404" s="7"/>
      <c r="BQF404" s="7"/>
      <c r="BQG404" s="7"/>
      <c r="BQH404" s="7"/>
      <c r="BQI404" s="7"/>
      <c r="BQJ404" s="7"/>
      <c r="BQK404" s="7"/>
      <c r="BQL404" s="7"/>
      <c r="BQM404" s="7"/>
      <c r="BQN404" s="7"/>
      <c r="BQO404" s="7"/>
      <c r="BQP404" s="7"/>
      <c r="BQQ404" s="7"/>
      <c r="BQR404" s="7"/>
      <c r="BQS404" s="7"/>
      <c r="BQT404" s="7"/>
      <c r="BQU404" s="7"/>
      <c r="BQV404" s="7"/>
      <c r="BQW404" s="7"/>
      <c r="BQX404" s="7"/>
      <c r="BQY404" s="7"/>
      <c r="BQZ404" s="7"/>
      <c r="BRA404" s="7"/>
      <c r="BRB404" s="7"/>
      <c r="BRC404" s="7"/>
      <c r="BRD404" s="7"/>
      <c r="BRE404" s="7"/>
      <c r="BRF404" s="7"/>
      <c r="BRG404" s="7"/>
      <c r="BRH404" s="7"/>
      <c r="BRI404" s="7"/>
      <c r="BRJ404" s="7"/>
      <c r="BRK404" s="7"/>
      <c r="BRL404" s="7"/>
      <c r="BRM404" s="7"/>
      <c r="BRN404" s="7"/>
      <c r="BRO404" s="7"/>
      <c r="BRP404" s="7"/>
      <c r="BRQ404" s="7"/>
      <c r="BRR404" s="7"/>
      <c r="BRS404" s="7"/>
      <c r="BRT404" s="7"/>
      <c r="BRU404" s="7"/>
      <c r="BRV404" s="7"/>
      <c r="BRW404" s="7"/>
      <c r="BRX404" s="7"/>
      <c r="BRY404" s="7"/>
      <c r="BRZ404" s="7"/>
      <c r="BSA404" s="7"/>
      <c r="BSB404" s="7"/>
      <c r="BSC404" s="7"/>
      <c r="BSD404" s="7"/>
      <c r="BSE404" s="7"/>
      <c r="BSF404" s="7"/>
      <c r="BSG404" s="7"/>
      <c r="BSH404" s="7"/>
      <c r="BSI404" s="7"/>
      <c r="BSJ404" s="7"/>
      <c r="BSK404" s="7"/>
      <c r="BSL404" s="7"/>
      <c r="BSM404" s="7"/>
      <c r="BSN404" s="7"/>
      <c r="BSO404" s="7"/>
      <c r="BSP404" s="7"/>
      <c r="BSQ404" s="7"/>
      <c r="BSR404" s="7"/>
      <c r="BSS404" s="7"/>
      <c r="BST404" s="7"/>
      <c r="BSU404" s="7"/>
      <c r="BSV404" s="7"/>
      <c r="BSW404" s="7"/>
      <c r="BSX404" s="7"/>
      <c r="BSY404" s="7"/>
      <c r="BSZ404" s="7"/>
      <c r="BTA404" s="7"/>
    </row>
    <row r="405" spans="1:1873" s="118" customFormat="1" ht="13.9" customHeight="1" x14ac:dyDescent="0.2">
      <c r="A405" s="522" t="s">
        <v>1424</v>
      </c>
      <c r="B405" s="234" t="s">
        <v>42</v>
      </c>
      <c r="C405" s="522" t="s">
        <v>56</v>
      </c>
      <c r="D405" s="234" t="s">
        <v>619</v>
      </c>
      <c r="E405" s="493" t="s">
        <v>1503</v>
      </c>
      <c r="F405" s="523">
        <v>2</v>
      </c>
      <c r="G405" s="522">
        <v>4</v>
      </c>
      <c r="H405" s="524">
        <v>4</v>
      </c>
      <c r="I405" s="234" t="s">
        <v>954</v>
      </c>
      <c r="J405" s="522" t="s">
        <v>48</v>
      </c>
      <c r="K405" s="524" t="s">
        <v>957</v>
      </c>
      <c r="L405" s="522" t="s">
        <v>269</v>
      </c>
      <c r="M405" s="525">
        <v>36.9</v>
      </c>
      <c r="N405" s="389">
        <v>-9999</v>
      </c>
      <c r="O405" s="29"/>
      <c r="P405" s="525">
        <f>+M405</f>
        <v>36.9</v>
      </c>
      <c r="Q405" s="234">
        <v>-9999</v>
      </c>
      <c r="R405" s="389"/>
      <c r="S405" s="234"/>
      <c r="T405" s="237">
        <f>+P405/G405</f>
        <v>9.2249999999999996</v>
      </c>
      <c r="U405" s="234">
        <v>-9999</v>
      </c>
      <c r="V405" s="234"/>
      <c r="W405" s="412">
        <f>+P405-P404</f>
        <v>7</v>
      </c>
      <c r="X405" s="491">
        <v>-9999</v>
      </c>
      <c r="Y405" s="491"/>
      <c r="Z405" s="390" t="s">
        <v>1704</v>
      </c>
      <c r="AA405" s="520">
        <v>20833</v>
      </c>
      <c r="AB405" s="389">
        <v>0.75</v>
      </c>
      <c r="AC405" s="522">
        <v>1.2</v>
      </c>
      <c r="AD405" s="526">
        <v>125</v>
      </c>
      <c r="AE405" s="522" t="s">
        <v>168</v>
      </c>
      <c r="AF405" s="522">
        <v>6</v>
      </c>
      <c r="AG405" s="522" t="s">
        <v>776</v>
      </c>
      <c r="AH405" s="522" t="s">
        <v>623</v>
      </c>
      <c r="AI405" s="234">
        <v>-9999</v>
      </c>
      <c r="AJ405" s="234">
        <v>-9999</v>
      </c>
      <c r="AK405" s="522" t="s">
        <v>626</v>
      </c>
      <c r="AL405" s="522" t="s">
        <v>272</v>
      </c>
      <c r="AM405" s="234">
        <v>-9999</v>
      </c>
      <c r="AN405" s="522" t="s">
        <v>779</v>
      </c>
      <c r="AO405" s="522" t="s">
        <v>51</v>
      </c>
      <c r="AP405" s="522" t="s">
        <v>52</v>
      </c>
      <c r="AQ405" s="522" t="s">
        <v>777</v>
      </c>
      <c r="AR405" s="234">
        <v>0</v>
      </c>
      <c r="AS405" s="234">
        <v>-9999</v>
      </c>
      <c r="AT405" s="522">
        <v>-9999</v>
      </c>
      <c r="AU405" s="234">
        <v>0</v>
      </c>
      <c r="AV405" s="234">
        <v>-9999</v>
      </c>
      <c r="AW405" s="522">
        <v>-9999</v>
      </c>
      <c r="AX405" s="234">
        <v>0</v>
      </c>
      <c r="AY405" s="234">
        <v>-9999</v>
      </c>
      <c r="AZ405" s="522">
        <v>-9999</v>
      </c>
      <c r="BA405" s="234">
        <v>-9999</v>
      </c>
      <c r="BB405" s="522" t="s">
        <v>626</v>
      </c>
      <c r="BC405" s="522" t="s">
        <v>273</v>
      </c>
      <c r="BD405" s="522" t="s">
        <v>642</v>
      </c>
      <c r="BE405" s="234">
        <v>-9999</v>
      </c>
      <c r="BF405" s="522" t="s">
        <v>274</v>
      </c>
      <c r="BG405" s="522" t="s">
        <v>275</v>
      </c>
      <c r="BH405" s="234">
        <v>-9999</v>
      </c>
      <c r="BI405" s="234">
        <v>-9999</v>
      </c>
      <c r="BJ405" s="234">
        <v>-9999</v>
      </c>
      <c r="BK405" s="234">
        <v>-9999</v>
      </c>
      <c r="BL405" s="234">
        <v>7</v>
      </c>
      <c r="BM405" s="234">
        <v>-9999</v>
      </c>
      <c r="BN405" s="234">
        <v>4.3</v>
      </c>
      <c r="BO405" s="234">
        <v>-9999</v>
      </c>
      <c r="BP405" s="234">
        <v>-9999</v>
      </c>
      <c r="BQ405" s="234">
        <v>-9999</v>
      </c>
      <c r="BR405" s="234">
        <v>-9999</v>
      </c>
      <c r="BS405" s="491">
        <v>-9999</v>
      </c>
      <c r="BT405" s="234">
        <v>-9999</v>
      </c>
      <c r="BU405" s="234">
        <v>-9999</v>
      </c>
      <c r="BV405" s="234">
        <v>-9999</v>
      </c>
      <c r="BW405" s="234"/>
      <c r="BX405" s="234">
        <v>-9999</v>
      </c>
      <c r="BY405" s="234">
        <v>-9999</v>
      </c>
      <c r="BZ405" s="496">
        <v>-9999</v>
      </c>
      <c r="CA405" s="527">
        <v>15</v>
      </c>
      <c r="CB405" s="531"/>
      <c r="CC405" s="117">
        <v>2</v>
      </c>
      <c r="CD405" s="10">
        <v>4</v>
      </c>
      <c r="CE405" s="343">
        <v>9.2249999999999996</v>
      </c>
      <c r="CF405" s="343">
        <v>7</v>
      </c>
      <c r="CG405" s="14">
        <v>4</v>
      </c>
    </row>
    <row r="406" spans="1:1873" s="118" customFormat="1" ht="14.45" customHeight="1" x14ac:dyDescent="0.2">
      <c r="A406" s="522"/>
      <c r="B406" s="234"/>
      <c r="C406" s="522"/>
      <c r="D406" s="234"/>
      <c r="E406" s="493"/>
      <c r="F406" s="523"/>
      <c r="G406" s="522"/>
      <c r="H406" s="524"/>
      <c r="I406" s="234"/>
      <c r="J406" s="522"/>
      <c r="K406" s="524"/>
      <c r="L406" s="522"/>
      <c r="M406" s="525"/>
      <c r="N406" s="389"/>
      <c r="O406" s="29"/>
      <c r="P406" s="525"/>
      <c r="Q406" s="234"/>
      <c r="R406" s="389"/>
      <c r="S406" s="234"/>
      <c r="T406" s="530"/>
      <c r="U406" s="234"/>
      <c r="V406" s="234"/>
      <c r="W406" s="389"/>
      <c r="X406" s="491"/>
      <c r="Y406" s="491"/>
      <c r="Z406" s="390"/>
      <c r="AA406" s="520"/>
      <c r="AB406" s="389"/>
      <c r="AC406" s="522"/>
      <c r="AD406" s="526"/>
      <c r="AE406" s="522"/>
      <c r="AF406" s="522"/>
      <c r="AG406" s="522"/>
      <c r="AH406" s="522"/>
      <c r="AI406" s="234"/>
      <c r="AJ406" s="234"/>
      <c r="AK406" s="522"/>
      <c r="AL406" s="522"/>
      <c r="AM406" s="234"/>
      <c r="AN406" s="522"/>
      <c r="AO406" s="522"/>
      <c r="AP406" s="522"/>
      <c r="AQ406" s="522"/>
      <c r="AR406" s="234"/>
      <c r="AS406" s="234"/>
      <c r="AT406" s="522"/>
      <c r="AU406" s="234"/>
      <c r="AV406" s="234"/>
      <c r="AW406" s="522"/>
      <c r="AX406" s="234"/>
      <c r="AY406" s="234"/>
      <c r="AZ406" s="522"/>
      <c r="BA406" s="234"/>
      <c r="BB406" s="522"/>
      <c r="BC406" s="522"/>
      <c r="BD406" s="522"/>
      <c r="BE406" s="234"/>
      <c r="BF406" s="522"/>
      <c r="BG406" s="522"/>
      <c r="BH406" s="234"/>
      <c r="BI406" s="234"/>
      <c r="BJ406" s="234"/>
      <c r="BK406" s="234"/>
      <c r="BL406" s="234"/>
      <c r="BM406" s="234"/>
      <c r="BN406" s="234"/>
      <c r="BO406" s="234"/>
      <c r="BP406" s="234"/>
      <c r="BQ406" s="234"/>
      <c r="BR406" s="234"/>
      <c r="BS406" s="491"/>
      <c r="BT406" s="234"/>
      <c r="BU406" s="234"/>
      <c r="BV406" s="234"/>
      <c r="BW406" s="234"/>
      <c r="BX406" s="234"/>
      <c r="BY406" s="234"/>
      <c r="BZ406" s="496"/>
      <c r="CA406" s="527"/>
      <c r="CB406" s="531"/>
      <c r="CC406" s="117"/>
      <c r="CD406" s="10"/>
      <c r="CE406" s="342" t="s">
        <v>1576</v>
      </c>
      <c r="CF406" s="342" t="s">
        <v>1575</v>
      </c>
      <c r="CG406" s="14"/>
    </row>
    <row r="407" spans="1:1873" s="118" customFormat="1" ht="13.9" customHeight="1" x14ac:dyDescent="0.2">
      <c r="A407" s="522" t="s">
        <v>1424</v>
      </c>
      <c r="B407" s="234" t="s">
        <v>42</v>
      </c>
      <c r="C407" s="522" t="s">
        <v>55</v>
      </c>
      <c r="D407" s="234" t="s">
        <v>619</v>
      </c>
      <c r="E407" s="493" t="s">
        <v>1503</v>
      </c>
      <c r="F407" s="523">
        <v>2</v>
      </c>
      <c r="G407" s="522">
        <v>1</v>
      </c>
      <c r="H407" s="524">
        <v>1</v>
      </c>
      <c r="I407" s="234" t="s">
        <v>954</v>
      </c>
      <c r="J407" s="522" t="s">
        <v>48</v>
      </c>
      <c r="K407" s="524" t="s">
        <v>957</v>
      </c>
      <c r="L407" s="522" t="s">
        <v>931</v>
      </c>
      <c r="M407" s="525">
        <v>4.8</v>
      </c>
      <c r="N407" s="389">
        <v>-9999</v>
      </c>
      <c r="O407" s="29"/>
      <c r="P407" s="525">
        <f>+M407</f>
        <v>4.8</v>
      </c>
      <c r="Q407" s="234">
        <v>-9999</v>
      </c>
      <c r="R407" s="389"/>
      <c r="S407" s="234"/>
      <c r="T407" s="237">
        <f>+P407/G407</f>
        <v>4.8</v>
      </c>
      <c r="U407" s="234">
        <v>-9999</v>
      </c>
      <c r="V407" s="234"/>
      <c r="W407" s="412">
        <f>+P407</f>
        <v>4.8</v>
      </c>
      <c r="X407" s="491">
        <v>-9999</v>
      </c>
      <c r="Y407" s="491"/>
      <c r="Z407" s="390" t="s">
        <v>1704</v>
      </c>
      <c r="AA407" s="520">
        <v>20833</v>
      </c>
      <c r="AB407" s="389">
        <v>0.62</v>
      </c>
      <c r="AC407" s="522">
        <v>1.2</v>
      </c>
      <c r="AD407" s="526">
        <v>125</v>
      </c>
      <c r="AE407" s="522" t="s">
        <v>168</v>
      </c>
      <c r="AF407" s="522">
        <v>6</v>
      </c>
      <c r="AG407" s="522" t="s">
        <v>776</v>
      </c>
      <c r="AH407" s="522" t="s">
        <v>623</v>
      </c>
      <c r="AI407" s="234">
        <v>-9999</v>
      </c>
      <c r="AJ407" s="234">
        <v>-9999</v>
      </c>
      <c r="AK407" s="522" t="s">
        <v>626</v>
      </c>
      <c r="AL407" s="522" t="s">
        <v>272</v>
      </c>
      <c r="AM407" s="234">
        <v>-9999</v>
      </c>
      <c r="AN407" s="522" t="s">
        <v>777</v>
      </c>
      <c r="AO407" s="234">
        <v>-9999</v>
      </c>
      <c r="AP407" s="234">
        <v>-9999</v>
      </c>
      <c r="AQ407" s="522" t="s">
        <v>779</v>
      </c>
      <c r="AR407" s="234" t="s">
        <v>52</v>
      </c>
      <c r="AS407" s="234">
        <v>-9999</v>
      </c>
      <c r="AT407" s="234" t="s">
        <v>749</v>
      </c>
      <c r="AU407" s="234" t="s">
        <v>52</v>
      </c>
      <c r="AV407" s="234">
        <v>-9999</v>
      </c>
      <c r="AW407" s="234" t="s">
        <v>749</v>
      </c>
      <c r="AX407" s="234" t="s">
        <v>52</v>
      </c>
      <c r="AY407" s="234">
        <v>-9999</v>
      </c>
      <c r="AZ407" s="234" t="s">
        <v>749</v>
      </c>
      <c r="BA407" s="234">
        <v>-9999</v>
      </c>
      <c r="BB407" s="522" t="s">
        <v>626</v>
      </c>
      <c r="BC407" s="522" t="s">
        <v>273</v>
      </c>
      <c r="BD407" s="522" t="s">
        <v>642</v>
      </c>
      <c r="BE407" s="234">
        <v>-9999</v>
      </c>
      <c r="BF407" s="522" t="s">
        <v>274</v>
      </c>
      <c r="BG407" s="522" t="s">
        <v>275</v>
      </c>
      <c r="BH407" s="234">
        <v>-9999</v>
      </c>
      <c r="BI407" s="234">
        <v>-9999</v>
      </c>
      <c r="BJ407" s="234">
        <v>-9999</v>
      </c>
      <c r="BK407" s="234">
        <v>-9999</v>
      </c>
      <c r="BL407" s="234">
        <v>2.9</v>
      </c>
      <c r="BM407" s="234">
        <v>-9999</v>
      </c>
      <c r="BN407" s="234">
        <v>2.1</v>
      </c>
      <c r="BO407" s="234">
        <v>-9999</v>
      </c>
      <c r="BP407" s="234">
        <v>-9999</v>
      </c>
      <c r="BQ407" s="234">
        <v>-9999</v>
      </c>
      <c r="BR407" s="234">
        <v>-9999</v>
      </c>
      <c r="BS407" s="491">
        <v>-9999</v>
      </c>
      <c r="BT407" s="234">
        <v>-9999</v>
      </c>
      <c r="BU407" s="234">
        <v>-9999</v>
      </c>
      <c r="BV407" s="234">
        <v>-9999</v>
      </c>
      <c r="BW407" s="234"/>
      <c r="BX407" s="234">
        <v>-9999</v>
      </c>
      <c r="BY407" s="234">
        <v>-9999</v>
      </c>
      <c r="BZ407" s="496">
        <v>-9999</v>
      </c>
      <c r="CA407" s="527">
        <v>15</v>
      </c>
      <c r="CB407" s="531"/>
      <c r="CC407" s="117">
        <v>2</v>
      </c>
      <c r="CD407" s="10">
        <v>1</v>
      </c>
      <c r="CE407" s="343">
        <v>4.8</v>
      </c>
      <c r="CF407" s="343">
        <v>4.8</v>
      </c>
      <c r="CG407" s="14">
        <v>1</v>
      </c>
    </row>
    <row r="408" spans="1:1873" s="118" customFormat="1" ht="13.9" customHeight="1" x14ac:dyDescent="0.2">
      <c r="A408" s="522" t="s">
        <v>1424</v>
      </c>
      <c r="B408" s="234" t="s">
        <v>42</v>
      </c>
      <c r="C408" s="522" t="s">
        <v>55</v>
      </c>
      <c r="D408" s="234" t="s">
        <v>619</v>
      </c>
      <c r="E408" s="493" t="s">
        <v>1503</v>
      </c>
      <c r="F408" s="523">
        <v>2</v>
      </c>
      <c r="G408" s="522">
        <v>2</v>
      </c>
      <c r="H408" s="524">
        <v>2</v>
      </c>
      <c r="I408" s="234" t="s">
        <v>954</v>
      </c>
      <c r="J408" s="522" t="s">
        <v>48</v>
      </c>
      <c r="K408" s="524" t="s">
        <v>957</v>
      </c>
      <c r="L408" s="522" t="s">
        <v>930</v>
      </c>
      <c r="M408" s="525">
        <v>19</v>
      </c>
      <c r="N408" s="389">
        <v>-9999</v>
      </c>
      <c r="O408" s="29"/>
      <c r="P408" s="525">
        <f>+M408</f>
        <v>19</v>
      </c>
      <c r="Q408" s="234">
        <v>-9999</v>
      </c>
      <c r="R408" s="389"/>
      <c r="S408" s="234"/>
      <c r="T408" s="237">
        <f>+P408/G408</f>
        <v>9.5</v>
      </c>
      <c r="U408" s="234">
        <v>-9999</v>
      </c>
      <c r="V408" s="234"/>
      <c r="W408" s="412">
        <f>+P408-P407</f>
        <v>14.2</v>
      </c>
      <c r="X408" s="491">
        <v>-9999</v>
      </c>
      <c r="Y408" s="491"/>
      <c r="Z408" s="390" t="s">
        <v>1704</v>
      </c>
      <c r="AA408" s="520">
        <v>20833</v>
      </c>
      <c r="AB408" s="389">
        <v>0.54</v>
      </c>
      <c r="AC408" s="522">
        <v>1.2</v>
      </c>
      <c r="AD408" s="526">
        <v>125</v>
      </c>
      <c r="AE408" s="522" t="s">
        <v>168</v>
      </c>
      <c r="AF408" s="522">
        <v>6</v>
      </c>
      <c r="AG408" s="522" t="s">
        <v>776</v>
      </c>
      <c r="AH408" s="522" t="s">
        <v>623</v>
      </c>
      <c r="AI408" s="234">
        <v>-9999</v>
      </c>
      <c r="AJ408" s="234">
        <v>-9999</v>
      </c>
      <c r="AK408" s="522" t="s">
        <v>626</v>
      </c>
      <c r="AL408" s="522" t="s">
        <v>272</v>
      </c>
      <c r="AM408" s="234">
        <v>-9999</v>
      </c>
      <c r="AN408" s="522" t="s">
        <v>777</v>
      </c>
      <c r="AO408" s="234">
        <v>-9999</v>
      </c>
      <c r="AP408" s="234">
        <v>-9999</v>
      </c>
      <c r="AQ408" s="522" t="s">
        <v>779</v>
      </c>
      <c r="AR408" s="234" t="s">
        <v>52</v>
      </c>
      <c r="AS408" s="234">
        <v>-9999</v>
      </c>
      <c r="AT408" s="234" t="s">
        <v>749</v>
      </c>
      <c r="AU408" s="234" t="s">
        <v>52</v>
      </c>
      <c r="AV408" s="234">
        <v>-9999</v>
      </c>
      <c r="AW408" s="234" t="s">
        <v>749</v>
      </c>
      <c r="AX408" s="234" t="s">
        <v>52</v>
      </c>
      <c r="AY408" s="234">
        <v>-9999</v>
      </c>
      <c r="AZ408" s="234" t="s">
        <v>749</v>
      </c>
      <c r="BA408" s="234">
        <v>-9999</v>
      </c>
      <c r="BB408" s="522" t="s">
        <v>626</v>
      </c>
      <c r="BC408" s="522" t="s">
        <v>273</v>
      </c>
      <c r="BD408" s="522" t="s">
        <v>642</v>
      </c>
      <c r="BE408" s="234">
        <v>-9999</v>
      </c>
      <c r="BF408" s="522" t="s">
        <v>274</v>
      </c>
      <c r="BG408" s="522" t="s">
        <v>275</v>
      </c>
      <c r="BH408" s="234">
        <v>-9999</v>
      </c>
      <c r="BI408" s="234">
        <v>-9999</v>
      </c>
      <c r="BJ408" s="234">
        <v>-9999</v>
      </c>
      <c r="BK408" s="234">
        <v>-9999</v>
      </c>
      <c r="BL408" s="234">
        <v>5.6</v>
      </c>
      <c r="BM408" s="234">
        <v>-9999</v>
      </c>
      <c r="BN408" s="234">
        <v>3.8</v>
      </c>
      <c r="BO408" s="234">
        <v>-9999</v>
      </c>
      <c r="BP408" s="234">
        <v>-9999</v>
      </c>
      <c r="BQ408" s="234">
        <v>-9999</v>
      </c>
      <c r="BR408" s="234">
        <v>-9999</v>
      </c>
      <c r="BS408" s="491">
        <v>-9999</v>
      </c>
      <c r="BT408" s="234">
        <v>-9999</v>
      </c>
      <c r="BU408" s="234">
        <v>-9999</v>
      </c>
      <c r="BV408" s="234">
        <v>-9999</v>
      </c>
      <c r="BW408" s="234"/>
      <c r="BX408" s="234">
        <v>-9999</v>
      </c>
      <c r="BY408" s="234">
        <v>-9999</v>
      </c>
      <c r="BZ408" s="496">
        <v>-9999</v>
      </c>
      <c r="CA408" s="527">
        <v>15</v>
      </c>
      <c r="CB408" s="531"/>
      <c r="CC408" s="117">
        <v>2</v>
      </c>
      <c r="CD408" s="10">
        <v>2</v>
      </c>
      <c r="CE408" s="343">
        <v>9.5</v>
      </c>
      <c r="CF408" s="343">
        <v>14.2</v>
      </c>
      <c r="CG408" s="14">
        <v>2</v>
      </c>
    </row>
    <row r="409" spans="1:1873" s="190" customFormat="1" ht="13.9" customHeight="1" x14ac:dyDescent="0.2">
      <c r="A409" s="532" t="s">
        <v>1424</v>
      </c>
      <c r="B409" s="231" t="s">
        <v>42</v>
      </c>
      <c r="C409" s="532" t="s">
        <v>55</v>
      </c>
      <c r="D409" s="231" t="s">
        <v>619</v>
      </c>
      <c r="E409" s="232" t="s">
        <v>1503</v>
      </c>
      <c r="F409" s="533">
        <v>2</v>
      </c>
      <c r="G409" s="532">
        <v>3</v>
      </c>
      <c r="H409" s="534">
        <v>3</v>
      </c>
      <c r="I409" s="231" t="s">
        <v>954</v>
      </c>
      <c r="J409" s="532" t="s">
        <v>48</v>
      </c>
      <c r="K409" s="534" t="s">
        <v>957</v>
      </c>
      <c r="L409" s="532" t="s">
        <v>929</v>
      </c>
      <c r="M409" s="535">
        <v>38.799999999999997</v>
      </c>
      <c r="N409" s="235">
        <v>-9999</v>
      </c>
      <c r="O409" s="18"/>
      <c r="P409" s="535">
        <f>+M409</f>
        <v>38.799999999999997</v>
      </c>
      <c r="Q409" s="231">
        <v>-9999</v>
      </c>
      <c r="R409" s="235"/>
      <c r="S409" s="231"/>
      <c r="T409" s="536">
        <f>+P409/G409</f>
        <v>12.933333333333332</v>
      </c>
      <c r="U409" s="231">
        <v>-9999</v>
      </c>
      <c r="V409" s="231"/>
      <c r="W409" s="517">
        <f>+P409-P408</f>
        <v>19.799999999999997</v>
      </c>
      <c r="X409" s="233">
        <v>-9999</v>
      </c>
      <c r="Y409" s="233"/>
      <c r="Z409" s="231" t="s">
        <v>1704</v>
      </c>
      <c r="AA409" s="521">
        <v>20833</v>
      </c>
      <c r="AB409" s="235">
        <v>0.51</v>
      </c>
      <c r="AC409" s="532">
        <v>1.2</v>
      </c>
      <c r="AD409" s="537">
        <v>125</v>
      </c>
      <c r="AE409" s="532" t="s">
        <v>168</v>
      </c>
      <c r="AF409" s="532">
        <v>6</v>
      </c>
      <c r="AG409" s="532" t="s">
        <v>776</v>
      </c>
      <c r="AH409" s="532" t="s">
        <v>623</v>
      </c>
      <c r="AI409" s="231">
        <v>-9999</v>
      </c>
      <c r="AJ409" s="231">
        <v>-9999</v>
      </c>
      <c r="AK409" s="532" t="s">
        <v>626</v>
      </c>
      <c r="AL409" s="532" t="s">
        <v>272</v>
      </c>
      <c r="AM409" s="231">
        <v>-9999</v>
      </c>
      <c r="AN409" s="532" t="s">
        <v>777</v>
      </c>
      <c r="AO409" s="231">
        <v>-9999</v>
      </c>
      <c r="AP409" s="231">
        <v>-9999</v>
      </c>
      <c r="AQ409" s="532" t="s">
        <v>779</v>
      </c>
      <c r="AR409" s="231" t="s">
        <v>52</v>
      </c>
      <c r="AS409" s="231">
        <v>-9999</v>
      </c>
      <c r="AT409" s="231" t="s">
        <v>749</v>
      </c>
      <c r="AU409" s="231" t="s">
        <v>52</v>
      </c>
      <c r="AV409" s="231">
        <v>-9999</v>
      </c>
      <c r="AW409" s="231" t="s">
        <v>749</v>
      </c>
      <c r="AX409" s="231" t="s">
        <v>52</v>
      </c>
      <c r="AY409" s="231">
        <v>-9999</v>
      </c>
      <c r="AZ409" s="231" t="s">
        <v>749</v>
      </c>
      <c r="BA409" s="231">
        <v>-9999</v>
      </c>
      <c r="BB409" s="532" t="s">
        <v>626</v>
      </c>
      <c r="BC409" s="532" t="s">
        <v>273</v>
      </c>
      <c r="BD409" s="532" t="s">
        <v>642</v>
      </c>
      <c r="BE409" s="231">
        <v>-9999</v>
      </c>
      <c r="BF409" s="532" t="s">
        <v>274</v>
      </c>
      <c r="BG409" s="532" t="s">
        <v>275</v>
      </c>
      <c r="BH409" s="231">
        <v>-9999</v>
      </c>
      <c r="BI409" s="231">
        <v>-9999</v>
      </c>
      <c r="BJ409" s="231">
        <v>-9999</v>
      </c>
      <c r="BK409" s="231">
        <v>-9999</v>
      </c>
      <c r="BL409" s="231">
        <v>7.5</v>
      </c>
      <c r="BM409" s="231">
        <v>-9999</v>
      </c>
      <c r="BN409" s="231">
        <v>5.2</v>
      </c>
      <c r="BO409" s="231">
        <v>-9999</v>
      </c>
      <c r="BP409" s="231">
        <v>-9999</v>
      </c>
      <c r="BQ409" s="231">
        <v>-9999</v>
      </c>
      <c r="BR409" s="231">
        <v>-9999</v>
      </c>
      <c r="BS409" s="233">
        <v>-9999</v>
      </c>
      <c r="BT409" s="231">
        <v>-9999</v>
      </c>
      <c r="BU409" s="231">
        <v>-9999</v>
      </c>
      <c r="BV409" s="231">
        <v>-9999</v>
      </c>
      <c r="BW409" s="231"/>
      <c r="BX409" s="231">
        <v>-9999</v>
      </c>
      <c r="BY409" s="231">
        <v>-9999</v>
      </c>
      <c r="BZ409" s="238">
        <v>-9999</v>
      </c>
      <c r="CA409" s="538">
        <v>15</v>
      </c>
      <c r="CB409" s="487"/>
      <c r="CC409" s="187">
        <v>2</v>
      </c>
      <c r="CD409" s="186">
        <v>3</v>
      </c>
      <c r="CE409" s="400">
        <v>12.933333333333332</v>
      </c>
      <c r="CF409" s="341">
        <v>19.799999999999997</v>
      </c>
      <c r="CG409" s="188">
        <v>3</v>
      </c>
      <c r="CH409" s="478" t="s">
        <v>1757</v>
      </c>
      <c r="CI409" s="7"/>
      <c r="CJ409" s="7"/>
      <c r="CK409" s="7"/>
      <c r="CL409" s="7"/>
      <c r="CM409" s="7"/>
      <c r="CN409" s="7"/>
      <c r="CO409" s="7"/>
      <c r="CP409" s="7"/>
      <c r="CQ409" s="7"/>
      <c r="CR409" s="7"/>
      <c r="CS409" s="7"/>
      <c r="CT409" s="7"/>
      <c r="CU409" s="7"/>
      <c r="CV409" s="7"/>
      <c r="CW409" s="7"/>
      <c r="CX409" s="7"/>
      <c r="CY409" s="7"/>
      <c r="CZ409" s="7"/>
      <c r="DA409" s="7"/>
      <c r="DB409" s="7"/>
      <c r="DC409" s="7"/>
      <c r="DD409" s="7"/>
      <c r="DE409" s="7"/>
      <c r="DF409" s="7"/>
      <c r="DG409" s="7"/>
      <c r="DH409" s="7"/>
      <c r="DI409" s="7"/>
      <c r="DJ409" s="7"/>
      <c r="DK409" s="7"/>
      <c r="DL409" s="7"/>
      <c r="DM409" s="7"/>
      <c r="DN409" s="7"/>
      <c r="DO409" s="7"/>
      <c r="DP409" s="7"/>
      <c r="DQ409" s="7"/>
      <c r="DR409" s="7"/>
      <c r="DS409" s="7"/>
      <c r="DT409" s="7"/>
      <c r="DU409" s="7"/>
      <c r="DV409" s="7"/>
      <c r="DW409" s="7"/>
      <c r="DX409" s="7"/>
      <c r="DY409" s="7"/>
      <c r="DZ409" s="7"/>
      <c r="EA409" s="7"/>
      <c r="EB409" s="7"/>
      <c r="EC409" s="7"/>
      <c r="ED409" s="7"/>
      <c r="EE409" s="7"/>
      <c r="EF409" s="7"/>
      <c r="EG409" s="7"/>
      <c r="EH409" s="7"/>
      <c r="EI409" s="7"/>
      <c r="EJ409" s="7"/>
      <c r="EK409" s="7"/>
      <c r="EL409" s="7"/>
      <c r="EM409" s="7"/>
      <c r="EN409" s="7"/>
      <c r="EO409" s="7"/>
      <c r="EP409" s="7"/>
      <c r="EQ409" s="7"/>
      <c r="ER409" s="7"/>
      <c r="ES409" s="7"/>
      <c r="ET409" s="7"/>
      <c r="EU409" s="7"/>
      <c r="EV409" s="7"/>
      <c r="EW409" s="7"/>
      <c r="EX409" s="7"/>
      <c r="EY409" s="7"/>
      <c r="EZ409" s="7"/>
      <c r="FA409" s="7"/>
      <c r="FB409" s="7"/>
      <c r="FC409" s="7"/>
      <c r="FD409" s="7"/>
      <c r="FE409" s="7"/>
      <c r="FF409" s="7"/>
      <c r="FG409" s="7"/>
      <c r="FH409" s="7"/>
      <c r="FI409" s="7"/>
      <c r="FJ409" s="7"/>
      <c r="FK409" s="7"/>
      <c r="FL409" s="7"/>
      <c r="FM409" s="7"/>
      <c r="FN409" s="7"/>
      <c r="FO409" s="7"/>
      <c r="FP409" s="7"/>
      <c r="FQ409" s="7"/>
      <c r="FR409" s="7"/>
      <c r="FS409" s="7"/>
      <c r="FT409" s="7"/>
      <c r="FU409" s="7"/>
      <c r="FV409" s="7"/>
      <c r="FW409" s="7"/>
      <c r="FX409" s="7"/>
      <c r="FY409" s="7"/>
      <c r="FZ409" s="7"/>
      <c r="GA409" s="7"/>
      <c r="GB409" s="7"/>
      <c r="GC409" s="7"/>
      <c r="GD409" s="7"/>
      <c r="GE409" s="7"/>
      <c r="GF409" s="7"/>
      <c r="GG409" s="7"/>
      <c r="GH409" s="7"/>
      <c r="GI409" s="7"/>
      <c r="GJ409" s="7"/>
      <c r="GK409" s="7"/>
      <c r="GL409" s="7"/>
      <c r="GM409" s="7"/>
      <c r="GN409" s="7"/>
      <c r="GO409" s="7"/>
      <c r="GP409" s="7"/>
      <c r="GQ409" s="7"/>
      <c r="GR409" s="7"/>
      <c r="GS409" s="7"/>
      <c r="GT409" s="7"/>
      <c r="GU409" s="7"/>
      <c r="GV409" s="7"/>
      <c r="GW409" s="7"/>
      <c r="GX409" s="7"/>
      <c r="GY409" s="7"/>
      <c r="GZ409" s="7"/>
      <c r="HA409" s="7"/>
      <c r="HB409" s="7"/>
      <c r="HC409" s="7"/>
      <c r="HD409" s="7"/>
      <c r="HE409" s="7"/>
      <c r="HF409" s="7"/>
      <c r="HG409" s="7"/>
      <c r="HH409" s="7"/>
      <c r="HI409" s="7"/>
      <c r="HJ409" s="7"/>
      <c r="HK409" s="7"/>
      <c r="HL409" s="7"/>
      <c r="HM409" s="7"/>
      <c r="HN409" s="7"/>
      <c r="HO409" s="7"/>
      <c r="HP409" s="7"/>
      <c r="HQ409" s="7"/>
      <c r="HR409" s="7"/>
      <c r="HS409" s="7"/>
      <c r="HT409" s="7"/>
      <c r="HU409" s="7"/>
      <c r="HV409" s="7"/>
      <c r="HW409" s="7"/>
      <c r="HX409" s="7"/>
      <c r="HY409" s="7"/>
      <c r="HZ409" s="7"/>
      <c r="IA409" s="7"/>
      <c r="IB409" s="7"/>
      <c r="IC409" s="7"/>
      <c r="ID409" s="7"/>
      <c r="IE409" s="7"/>
      <c r="IF409" s="7"/>
      <c r="IG409" s="7"/>
      <c r="IH409" s="7"/>
      <c r="II409" s="7"/>
      <c r="IJ409" s="7"/>
      <c r="IK409" s="7"/>
      <c r="IL409" s="7"/>
      <c r="IM409" s="7"/>
      <c r="IN409" s="7"/>
      <c r="IO409" s="7"/>
      <c r="IP409" s="7"/>
      <c r="IQ409" s="7"/>
      <c r="IR409" s="7"/>
      <c r="IS409" s="7"/>
      <c r="IT409" s="7"/>
      <c r="IU409" s="7"/>
      <c r="IV409" s="7"/>
      <c r="IW409" s="7"/>
      <c r="IX409" s="7"/>
      <c r="IY409" s="7"/>
      <c r="IZ409" s="7"/>
      <c r="JA409" s="7"/>
      <c r="JB409" s="7"/>
      <c r="JC409" s="7"/>
      <c r="JD409" s="7"/>
      <c r="JE409" s="7"/>
      <c r="JF409" s="7"/>
      <c r="JG409" s="7"/>
      <c r="JH409" s="7"/>
      <c r="JI409" s="7"/>
      <c r="JJ409" s="7"/>
      <c r="JK409" s="7"/>
      <c r="JL409" s="7"/>
      <c r="JM409" s="7"/>
      <c r="JN409" s="7"/>
      <c r="JO409" s="7"/>
      <c r="JP409" s="7"/>
      <c r="JQ409" s="7"/>
      <c r="JR409" s="7"/>
      <c r="JS409" s="7"/>
      <c r="JT409" s="7"/>
      <c r="JU409" s="7"/>
      <c r="JV409" s="7"/>
      <c r="JW409" s="7"/>
      <c r="JX409" s="7"/>
      <c r="JY409" s="7"/>
      <c r="JZ409" s="7"/>
      <c r="KA409" s="7"/>
      <c r="KB409" s="7"/>
      <c r="KC409" s="7"/>
      <c r="KD409" s="7"/>
      <c r="KE409" s="7"/>
      <c r="KF409" s="7"/>
      <c r="KG409" s="7"/>
      <c r="KH409" s="7"/>
      <c r="KI409" s="7"/>
      <c r="KJ409" s="7"/>
      <c r="KK409" s="7"/>
      <c r="KL409" s="7"/>
      <c r="KM409" s="7"/>
      <c r="KN409" s="7"/>
      <c r="KO409" s="7"/>
      <c r="KP409" s="7"/>
      <c r="KQ409" s="7"/>
      <c r="KR409" s="7"/>
      <c r="KS409" s="7"/>
      <c r="KT409" s="7"/>
      <c r="KU409" s="7"/>
      <c r="KV409" s="7"/>
      <c r="KW409" s="7"/>
      <c r="KX409" s="7"/>
      <c r="KY409" s="7"/>
      <c r="KZ409" s="7"/>
      <c r="LA409" s="7"/>
      <c r="LB409" s="7"/>
      <c r="LC409" s="7"/>
      <c r="LD409" s="7"/>
      <c r="LE409" s="7"/>
      <c r="LF409" s="7"/>
      <c r="LG409" s="7"/>
      <c r="LH409" s="7"/>
      <c r="LI409" s="7"/>
      <c r="LJ409" s="7"/>
      <c r="LK409" s="7"/>
      <c r="LL409" s="7"/>
      <c r="LM409" s="7"/>
      <c r="LN409" s="7"/>
      <c r="LO409" s="7"/>
      <c r="LP409" s="7"/>
      <c r="LQ409" s="7"/>
      <c r="LR409" s="7"/>
      <c r="LS409" s="7"/>
      <c r="LT409" s="7"/>
      <c r="LU409" s="7"/>
      <c r="LV409" s="7"/>
      <c r="LW409" s="7"/>
      <c r="LX409" s="7"/>
      <c r="LY409" s="7"/>
      <c r="LZ409" s="7"/>
      <c r="MA409" s="7"/>
      <c r="MB409" s="7"/>
      <c r="MC409" s="7"/>
      <c r="MD409" s="7"/>
      <c r="ME409" s="7"/>
      <c r="MF409" s="7"/>
      <c r="MG409" s="7"/>
      <c r="MH409" s="7"/>
      <c r="MI409" s="7"/>
      <c r="MJ409" s="7"/>
      <c r="MK409" s="7"/>
      <c r="ML409" s="7"/>
      <c r="MM409" s="7"/>
      <c r="MN409" s="7"/>
      <c r="MO409" s="7"/>
      <c r="MP409" s="7"/>
      <c r="MQ409" s="7"/>
      <c r="MR409" s="7"/>
      <c r="MS409" s="7"/>
      <c r="MT409" s="7"/>
      <c r="MU409" s="7"/>
      <c r="MV409" s="7"/>
      <c r="MW409" s="7"/>
      <c r="MX409" s="7"/>
      <c r="MY409" s="7"/>
      <c r="MZ409" s="7"/>
      <c r="NA409" s="7"/>
      <c r="NB409" s="7"/>
      <c r="NC409" s="7"/>
      <c r="ND409" s="7"/>
      <c r="NE409" s="7"/>
      <c r="NF409" s="7"/>
      <c r="NG409" s="7"/>
      <c r="NH409" s="7"/>
      <c r="NI409" s="7"/>
      <c r="NJ409" s="7"/>
      <c r="NK409" s="7"/>
      <c r="NL409" s="7"/>
      <c r="NM409" s="7"/>
      <c r="NN409" s="7"/>
      <c r="NO409" s="7"/>
      <c r="NP409" s="7"/>
      <c r="NQ409" s="7"/>
      <c r="NR409" s="7"/>
      <c r="NS409" s="7"/>
      <c r="NT409" s="7"/>
      <c r="NU409" s="7"/>
      <c r="NV409" s="7"/>
      <c r="NW409" s="7"/>
      <c r="NX409" s="7"/>
      <c r="NY409" s="7"/>
      <c r="NZ409" s="7"/>
      <c r="OA409" s="7"/>
      <c r="OB409" s="7"/>
      <c r="OC409" s="7"/>
      <c r="OD409" s="7"/>
      <c r="OE409" s="7"/>
      <c r="OF409" s="7"/>
      <c r="OG409" s="7"/>
      <c r="OH409" s="7"/>
      <c r="OI409" s="7"/>
      <c r="OJ409" s="7"/>
      <c r="OK409" s="7"/>
      <c r="OL409" s="7"/>
      <c r="OM409" s="7"/>
      <c r="ON409" s="7"/>
      <c r="OO409" s="7"/>
      <c r="OP409" s="7"/>
      <c r="OQ409" s="7"/>
      <c r="OR409" s="7"/>
      <c r="OS409" s="7"/>
      <c r="OT409" s="7"/>
      <c r="OU409" s="7"/>
      <c r="OV409" s="7"/>
      <c r="OW409" s="7"/>
      <c r="OX409" s="7"/>
      <c r="OY409" s="7"/>
      <c r="OZ409" s="7"/>
      <c r="PA409" s="7"/>
      <c r="PB409" s="7"/>
      <c r="PC409" s="7"/>
      <c r="PD409" s="7"/>
      <c r="PE409" s="7"/>
      <c r="PF409" s="7"/>
      <c r="PG409" s="7"/>
      <c r="PH409" s="7"/>
      <c r="PI409" s="7"/>
      <c r="PJ409" s="7"/>
      <c r="PK409" s="7"/>
      <c r="PL409" s="7"/>
      <c r="PM409" s="7"/>
      <c r="PN409" s="7"/>
      <c r="PO409" s="7"/>
      <c r="PP409" s="7"/>
      <c r="PQ409" s="7"/>
      <c r="PR409" s="7"/>
      <c r="PS409" s="7"/>
      <c r="PT409" s="7"/>
      <c r="PU409" s="7"/>
      <c r="PV409" s="7"/>
      <c r="PW409" s="7"/>
      <c r="PX409" s="7"/>
      <c r="PY409" s="7"/>
      <c r="PZ409" s="7"/>
      <c r="QA409" s="7"/>
      <c r="QB409" s="7"/>
      <c r="QC409" s="7"/>
      <c r="QD409" s="7"/>
      <c r="QE409" s="7"/>
      <c r="QF409" s="7"/>
      <c r="QG409" s="7"/>
      <c r="QH409" s="7"/>
      <c r="QI409" s="7"/>
      <c r="QJ409" s="7"/>
      <c r="QK409" s="7"/>
      <c r="QL409" s="7"/>
      <c r="QM409" s="7"/>
      <c r="QN409" s="7"/>
      <c r="QO409" s="7"/>
      <c r="QP409" s="7"/>
      <c r="QQ409" s="7"/>
      <c r="QR409" s="7"/>
      <c r="QS409" s="7"/>
      <c r="QT409" s="7"/>
      <c r="QU409" s="7"/>
      <c r="QV409" s="7"/>
      <c r="QW409" s="7"/>
      <c r="QX409" s="7"/>
      <c r="QY409" s="7"/>
      <c r="QZ409" s="7"/>
      <c r="RA409" s="7"/>
      <c r="RB409" s="7"/>
      <c r="RC409" s="7"/>
      <c r="RD409" s="7"/>
      <c r="RE409" s="7"/>
      <c r="RF409" s="7"/>
      <c r="RG409" s="7"/>
      <c r="RH409" s="7"/>
      <c r="RI409" s="7"/>
      <c r="RJ409" s="7"/>
      <c r="RK409" s="7"/>
      <c r="RL409" s="7"/>
      <c r="RM409" s="7"/>
      <c r="RN409" s="7"/>
      <c r="RO409" s="7"/>
      <c r="RP409" s="7"/>
      <c r="RQ409" s="7"/>
      <c r="RR409" s="7"/>
      <c r="RS409" s="7"/>
      <c r="RT409" s="7"/>
      <c r="RU409" s="7"/>
      <c r="RV409" s="7"/>
      <c r="RW409" s="7"/>
      <c r="RX409" s="7"/>
      <c r="RY409" s="7"/>
      <c r="RZ409" s="7"/>
      <c r="SA409" s="7"/>
      <c r="SB409" s="7"/>
      <c r="SC409" s="7"/>
      <c r="SD409" s="7"/>
      <c r="SE409" s="7"/>
      <c r="SF409" s="7"/>
      <c r="SG409" s="7"/>
      <c r="SH409" s="7"/>
      <c r="SI409" s="7"/>
      <c r="SJ409" s="7"/>
      <c r="SK409" s="7"/>
      <c r="SL409" s="7"/>
      <c r="SM409" s="7"/>
      <c r="SN409" s="7"/>
      <c r="SO409" s="7"/>
      <c r="SP409" s="7"/>
      <c r="SQ409" s="7"/>
      <c r="SR409" s="7"/>
      <c r="SS409" s="7"/>
      <c r="ST409" s="7"/>
      <c r="SU409" s="7"/>
      <c r="SV409" s="7"/>
      <c r="SW409" s="7"/>
      <c r="SX409" s="7"/>
      <c r="SY409" s="7"/>
      <c r="SZ409" s="7"/>
      <c r="TA409" s="7"/>
      <c r="TB409" s="7"/>
      <c r="TC409" s="7"/>
      <c r="TD409" s="7"/>
      <c r="TE409" s="7"/>
      <c r="TF409" s="7"/>
      <c r="TG409" s="7"/>
      <c r="TH409" s="7"/>
      <c r="TI409" s="7"/>
      <c r="TJ409" s="7"/>
      <c r="TK409" s="7"/>
      <c r="TL409" s="7"/>
      <c r="TM409" s="7"/>
      <c r="TN409" s="7"/>
      <c r="TO409" s="7"/>
      <c r="TP409" s="7"/>
      <c r="TQ409" s="7"/>
      <c r="TR409" s="7"/>
      <c r="TS409" s="7"/>
      <c r="TT409" s="7"/>
      <c r="TU409" s="7"/>
      <c r="TV409" s="7"/>
      <c r="TW409" s="7"/>
      <c r="TX409" s="7"/>
      <c r="TY409" s="7"/>
      <c r="TZ409" s="7"/>
      <c r="UA409" s="7"/>
      <c r="UB409" s="7"/>
      <c r="UC409" s="7"/>
      <c r="UD409" s="7"/>
      <c r="UE409" s="7"/>
      <c r="UF409" s="7"/>
      <c r="UG409" s="7"/>
      <c r="UH409" s="7"/>
      <c r="UI409" s="7"/>
      <c r="UJ409" s="7"/>
      <c r="UK409" s="7"/>
      <c r="UL409" s="7"/>
      <c r="UM409" s="7"/>
      <c r="UN409" s="7"/>
      <c r="UO409" s="7"/>
      <c r="UP409" s="7"/>
      <c r="UQ409" s="7"/>
      <c r="UR409" s="7"/>
      <c r="US409" s="7"/>
      <c r="UT409" s="7"/>
      <c r="UU409" s="7"/>
      <c r="UV409" s="7"/>
      <c r="UW409" s="7"/>
      <c r="UX409" s="7"/>
      <c r="UY409" s="7"/>
      <c r="UZ409" s="7"/>
      <c r="VA409" s="7"/>
      <c r="VB409" s="7"/>
      <c r="VC409" s="7"/>
      <c r="VD409" s="7"/>
      <c r="VE409" s="7"/>
      <c r="VF409" s="7"/>
      <c r="VG409" s="7"/>
      <c r="VH409" s="7"/>
      <c r="VI409" s="7"/>
      <c r="VJ409" s="7"/>
      <c r="VK409" s="7"/>
      <c r="VL409" s="7"/>
      <c r="VM409" s="7"/>
      <c r="VN409" s="7"/>
      <c r="VO409" s="7"/>
      <c r="VP409" s="7"/>
      <c r="VQ409" s="7"/>
      <c r="VR409" s="7"/>
      <c r="VS409" s="7"/>
      <c r="VT409" s="7"/>
      <c r="VU409" s="7"/>
      <c r="VV409" s="7"/>
      <c r="VW409" s="7"/>
      <c r="VX409" s="7"/>
      <c r="VY409" s="7"/>
      <c r="VZ409" s="7"/>
      <c r="WA409" s="7"/>
      <c r="WB409" s="7"/>
      <c r="WC409" s="7"/>
      <c r="WD409" s="7"/>
      <c r="WE409" s="7"/>
      <c r="WF409" s="7"/>
      <c r="WG409" s="7"/>
      <c r="WH409" s="7"/>
      <c r="WI409" s="7"/>
      <c r="WJ409" s="7"/>
      <c r="WK409" s="7"/>
      <c r="WL409" s="7"/>
      <c r="WM409" s="7"/>
      <c r="WN409" s="7"/>
      <c r="WO409" s="7"/>
      <c r="WP409" s="7"/>
      <c r="WQ409" s="7"/>
      <c r="WR409" s="7"/>
      <c r="WS409" s="7"/>
      <c r="WT409" s="7"/>
      <c r="WU409" s="7"/>
      <c r="WV409" s="7"/>
      <c r="WW409" s="7"/>
      <c r="WX409" s="7"/>
      <c r="WY409" s="7"/>
      <c r="WZ409" s="7"/>
      <c r="XA409" s="7"/>
      <c r="XB409" s="7"/>
      <c r="XC409" s="7"/>
      <c r="XD409" s="7"/>
      <c r="XE409" s="7"/>
      <c r="XF409" s="7"/>
      <c r="XG409" s="7"/>
      <c r="XH409" s="7"/>
      <c r="XI409" s="7"/>
      <c r="XJ409" s="7"/>
      <c r="XK409" s="7"/>
      <c r="XL409" s="7"/>
      <c r="XM409" s="7"/>
      <c r="XN409" s="7"/>
      <c r="XO409" s="7"/>
      <c r="XP409" s="7"/>
      <c r="XQ409" s="7"/>
      <c r="XR409" s="7"/>
      <c r="XS409" s="7"/>
      <c r="XT409" s="7"/>
      <c r="XU409" s="7"/>
      <c r="XV409" s="7"/>
      <c r="XW409" s="7"/>
      <c r="XX409" s="7"/>
      <c r="XY409" s="7"/>
      <c r="XZ409" s="7"/>
      <c r="YA409" s="7"/>
      <c r="YB409" s="7"/>
      <c r="YC409" s="7"/>
      <c r="YD409" s="7"/>
      <c r="YE409" s="7"/>
      <c r="YF409" s="7"/>
      <c r="YG409" s="7"/>
      <c r="YH409" s="7"/>
      <c r="YI409" s="7"/>
      <c r="YJ409" s="7"/>
      <c r="YK409" s="7"/>
      <c r="YL409" s="7"/>
      <c r="YM409" s="7"/>
      <c r="YN409" s="7"/>
      <c r="YO409" s="7"/>
      <c r="YP409" s="7"/>
      <c r="YQ409" s="7"/>
      <c r="YR409" s="7"/>
      <c r="YS409" s="7"/>
      <c r="YT409" s="7"/>
      <c r="YU409" s="7"/>
      <c r="YV409" s="7"/>
      <c r="YW409" s="7"/>
      <c r="YX409" s="7"/>
      <c r="YY409" s="7"/>
      <c r="YZ409" s="7"/>
      <c r="ZA409" s="7"/>
      <c r="ZB409" s="7"/>
      <c r="ZC409" s="7"/>
      <c r="ZD409" s="7"/>
      <c r="ZE409" s="7"/>
      <c r="ZF409" s="7"/>
      <c r="ZG409" s="7"/>
      <c r="ZH409" s="7"/>
      <c r="ZI409" s="7"/>
      <c r="ZJ409" s="7"/>
      <c r="ZK409" s="7"/>
      <c r="ZL409" s="7"/>
      <c r="ZM409" s="7"/>
      <c r="ZN409" s="7"/>
      <c r="ZO409" s="7"/>
      <c r="ZP409" s="7"/>
      <c r="ZQ409" s="7"/>
      <c r="ZR409" s="7"/>
      <c r="ZS409" s="7"/>
      <c r="ZT409" s="7"/>
      <c r="ZU409" s="7"/>
      <c r="ZV409" s="7"/>
      <c r="ZW409" s="7"/>
      <c r="ZX409" s="7"/>
      <c r="ZY409" s="7"/>
      <c r="ZZ409" s="7"/>
      <c r="AAA409" s="7"/>
      <c r="AAB409" s="7"/>
      <c r="AAC409" s="7"/>
      <c r="AAD409" s="7"/>
      <c r="AAE409" s="7"/>
      <c r="AAF409" s="7"/>
      <c r="AAG409" s="7"/>
      <c r="AAH409" s="7"/>
      <c r="AAI409" s="7"/>
      <c r="AAJ409" s="7"/>
      <c r="AAK409" s="7"/>
      <c r="AAL409" s="7"/>
      <c r="AAM409" s="7"/>
      <c r="AAN409" s="7"/>
      <c r="AAO409" s="7"/>
      <c r="AAP409" s="7"/>
      <c r="AAQ409" s="7"/>
      <c r="AAR409" s="7"/>
      <c r="AAS409" s="7"/>
      <c r="AAT409" s="7"/>
      <c r="AAU409" s="7"/>
      <c r="AAV409" s="7"/>
      <c r="AAW409" s="7"/>
      <c r="AAX409" s="7"/>
      <c r="AAY409" s="7"/>
      <c r="AAZ409" s="7"/>
      <c r="ABA409" s="7"/>
      <c r="ABB409" s="7"/>
      <c r="ABC409" s="7"/>
      <c r="ABD409" s="7"/>
      <c r="ABE409" s="7"/>
      <c r="ABF409" s="7"/>
      <c r="ABG409" s="7"/>
      <c r="ABH409" s="7"/>
      <c r="ABI409" s="7"/>
      <c r="ABJ409" s="7"/>
      <c r="ABK409" s="7"/>
      <c r="ABL409" s="7"/>
      <c r="ABM409" s="7"/>
      <c r="ABN409" s="7"/>
      <c r="ABO409" s="7"/>
      <c r="ABP409" s="7"/>
      <c r="ABQ409" s="7"/>
      <c r="ABR409" s="7"/>
      <c r="ABS409" s="7"/>
      <c r="ABT409" s="7"/>
      <c r="ABU409" s="7"/>
      <c r="ABV409" s="7"/>
      <c r="ABW409" s="7"/>
      <c r="ABX409" s="7"/>
      <c r="ABY409" s="7"/>
      <c r="ABZ409" s="7"/>
      <c r="ACA409" s="7"/>
      <c r="ACB409" s="7"/>
      <c r="ACC409" s="7"/>
      <c r="ACD409" s="7"/>
      <c r="ACE409" s="7"/>
      <c r="ACF409" s="7"/>
      <c r="ACG409" s="7"/>
      <c r="ACH409" s="7"/>
      <c r="ACI409" s="7"/>
      <c r="ACJ409" s="7"/>
      <c r="ACK409" s="7"/>
      <c r="ACL409" s="7"/>
      <c r="ACM409" s="7"/>
      <c r="ACN409" s="7"/>
      <c r="ACO409" s="7"/>
      <c r="ACP409" s="7"/>
      <c r="ACQ409" s="7"/>
      <c r="ACR409" s="7"/>
      <c r="ACS409" s="7"/>
      <c r="ACT409" s="7"/>
      <c r="ACU409" s="7"/>
      <c r="ACV409" s="7"/>
      <c r="ACW409" s="7"/>
      <c r="ACX409" s="7"/>
      <c r="ACY409" s="7"/>
      <c r="ACZ409" s="7"/>
      <c r="ADA409" s="7"/>
      <c r="ADB409" s="7"/>
      <c r="ADC409" s="7"/>
      <c r="ADD409" s="7"/>
      <c r="ADE409" s="7"/>
      <c r="ADF409" s="7"/>
      <c r="ADG409" s="7"/>
      <c r="ADH409" s="7"/>
      <c r="ADI409" s="7"/>
      <c r="ADJ409" s="7"/>
      <c r="ADK409" s="7"/>
      <c r="ADL409" s="7"/>
      <c r="ADM409" s="7"/>
      <c r="ADN409" s="7"/>
      <c r="ADO409" s="7"/>
      <c r="ADP409" s="7"/>
      <c r="ADQ409" s="7"/>
      <c r="ADR409" s="7"/>
      <c r="ADS409" s="7"/>
      <c r="ADT409" s="7"/>
      <c r="ADU409" s="7"/>
      <c r="ADV409" s="7"/>
      <c r="ADW409" s="7"/>
      <c r="ADX409" s="7"/>
      <c r="ADY409" s="7"/>
      <c r="ADZ409" s="7"/>
      <c r="AEA409" s="7"/>
      <c r="AEB409" s="7"/>
      <c r="AEC409" s="7"/>
      <c r="AED409" s="7"/>
      <c r="AEE409" s="7"/>
      <c r="AEF409" s="7"/>
      <c r="AEG409" s="7"/>
      <c r="AEH409" s="7"/>
      <c r="AEI409" s="7"/>
      <c r="AEJ409" s="7"/>
      <c r="AEK409" s="7"/>
      <c r="AEL409" s="7"/>
      <c r="AEM409" s="7"/>
      <c r="AEN409" s="7"/>
      <c r="AEO409" s="7"/>
      <c r="AEP409" s="7"/>
      <c r="AEQ409" s="7"/>
      <c r="AER409" s="7"/>
      <c r="AES409" s="7"/>
      <c r="AET409" s="7"/>
      <c r="AEU409" s="7"/>
      <c r="AEV409" s="7"/>
      <c r="AEW409" s="7"/>
      <c r="AEX409" s="7"/>
      <c r="AEY409" s="7"/>
      <c r="AEZ409" s="7"/>
      <c r="AFA409" s="7"/>
      <c r="AFB409" s="7"/>
      <c r="AFC409" s="7"/>
      <c r="AFD409" s="7"/>
      <c r="AFE409" s="7"/>
      <c r="AFF409" s="7"/>
      <c r="AFG409" s="7"/>
      <c r="AFH409" s="7"/>
      <c r="AFI409" s="7"/>
      <c r="AFJ409" s="7"/>
      <c r="AFK409" s="7"/>
      <c r="AFL409" s="7"/>
      <c r="AFM409" s="7"/>
      <c r="AFN409" s="7"/>
      <c r="AFO409" s="7"/>
      <c r="AFP409" s="7"/>
      <c r="AFQ409" s="7"/>
      <c r="AFR409" s="7"/>
      <c r="AFS409" s="7"/>
      <c r="AFT409" s="7"/>
      <c r="AFU409" s="7"/>
      <c r="AFV409" s="7"/>
      <c r="AFW409" s="7"/>
      <c r="AFX409" s="7"/>
      <c r="AFY409" s="7"/>
      <c r="AFZ409" s="7"/>
      <c r="AGA409" s="7"/>
      <c r="AGB409" s="7"/>
      <c r="AGC409" s="7"/>
      <c r="AGD409" s="7"/>
      <c r="AGE409" s="7"/>
      <c r="AGF409" s="7"/>
      <c r="AGG409" s="7"/>
      <c r="AGH409" s="7"/>
      <c r="AGI409" s="7"/>
      <c r="AGJ409" s="7"/>
      <c r="AGK409" s="7"/>
      <c r="AGL409" s="7"/>
      <c r="AGM409" s="7"/>
      <c r="AGN409" s="7"/>
      <c r="AGO409" s="7"/>
      <c r="AGP409" s="7"/>
      <c r="AGQ409" s="7"/>
      <c r="AGR409" s="7"/>
      <c r="AGS409" s="7"/>
      <c r="AGT409" s="7"/>
      <c r="AGU409" s="7"/>
      <c r="AGV409" s="7"/>
      <c r="AGW409" s="7"/>
      <c r="AGX409" s="7"/>
      <c r="AGY409" s="7"/>
      <c r="AGZ409" s="7"/>
      <c r="AHA409" s="7"/>
      <c r="AHB409" s="7"/>
      <c r="AHC409" s="7"/>
      <c r="AHD409" s="7"/>
      <c r="AHE409" s="7"/>
      <c r="AHF409" s="7"/>
      <c r="AHG409" s="7"/>
      <c r="AHH409" s="7"/>
      <c r="AHI409" s="7"/>
      <c r="AHJ409" s="7"/>
      <c r="AHK409" s="7"/>
      <c r="AHL409" s="7"/>
      <c r="AHM409" s="7"/>
      <c r="AHN409" s="7"/>
      <c r="AHO409" s="7"/>
      <c r="AHP409" s="7"/>
      <c r="AHQ409" s="7"/>
      <c r="AHR409" s="7"/>
      <c r="AHS409" s="7"/>
      <c r="AHT409" s="7"/>
      <c r="AHU409" s="7"/>
      <c r="AHV409" s="7"/>
      <c r="AHW409" s="7"/>
      <c r="AHX409" s="7"/>
      <c r="AHY409" s="7"/>
      <c r="AHZ409" s="7"/>
      <c r="AIA409" s="7"/>
      <c r="AIB409" s="7"/>
      <c r="AIC409" s="7"/>
      <c r="AID409" s="7"/>
      <c r="AIE409" s="7"/>
      <c r="AIF409" s="7"/>
      <c r="AIG409" s="7"/>
      <c r="AIH409" s="7"/>
      <c r="AII409" s="7"/>
      <c r="AIJ409" s="7"/>
      <c r="AIK409" s="7"/>
      <c r="AIL409" s="7"/>
      <c r="AIM409" s="7"/>
      <c r="AIN409" s="7"/>
      <c r="AIO409" s="7"/>
      <c r="AIP409" s="7"/>
      <c r="AIQ409" s="7"/>
      <c r="AIR409" s="7"/>
      <c r="AIS409" s="7"/>
      <c r="AIT409" s="7"/>
      <c r="AIU409" s="7"/>
      <c r="AIV409" s="7"/>
      <c r="AIW409" s="7"/>
      <c r="AIX409" s="7"/>
      <c r="AIY409" s="7"/>
      <c r="AIZ409" s="7"/>
      <c r="AJA409" s="7"/>
      <c r="AJB409" s="7"/>
      <c r="AJC409" s="7"/>
      <c r="AJD409" s="7"/>
      <c r="AJE409" s="7"/>
      <c r="AJF409" s="7"/>
      <c r="AJG409" s="7"/>
      <c r="AJH409" s="7"/>
      <c r="AJI409" s="7"/>
      <c r="AJJ409" s="7"/>
      <c r="AJK409" s="7"/>
      <c r="AJL409" s="7"/>
      <c r="AJM409" s="7"/>
      <c r="AJN409" s="7"/>
      <c r="AJO409" s="7"/>
      <c r="AJP409" s="7"/>
      <c r="AJQ409" s="7"/>
      <c r="AJR409" s="7"/>
      <c r="AJS409" s="7"/>
      <c r="AJT409" s="7"/>
      <c r="AJU409" s="7"/>
      <c r="AJV409" s="7"/>
      <c r="AJW409" s="7"/>
      <c r="AJX409" s="7"/>
      <c r="AJY409" s="7"/>
      <c r="AJZ409" s="7"/>
      <c r="AKA409" s="7"/>
      <c r="AKB409" s="7"/>
      <c r="AKC409" s="7"/>
      <c r="AKD409" s="7"/>
      <c r="AKE409" s="7"/>
      <c r="AKF409" s="7"/>
      <c r="AKG409" s="7"/>
      <c r="AKH409" s="7"/>
      <c r="AKI409" s="7"/>
      <c r="AKJ409" s="7"/>
      <c r="AKK409" s="7"/>
      <c r="AKL409" s="7"/>
      <c r="AKM409" s="7"/>
      <c r="AKN409" s="7"/>
      <c r="AKO409" s="7"/>
      <c r="AKP409" s="7"/>
      <c r="AKQ409" s="7"/>
      <c r="AKR409" s="7"/>
      <c r="AKS409" s="7"/>
      <c r="AKT409" s="7"/>
      <c r="AKU409" s="7"/>
      <c r="AKV409" s="7"/>
      <c r="AKW409" s="7"/>
      <c r="AKX409" s="7"/>
      <c r="AKY409" s="7"/>
      <c r="AKZ409" s="7"/>
      <c r="ALA409" s="7"/>
      <c r="ALB409" s="7"/>
      <c r="ALC409" s="7"/>
      <c r="ALD409" s="7"/>
      <c r="ALE409" s="7"/>
      <c r="ALF409" s="7"/>
      <c r="ALG409" s="7"/>
      <c r="ALH409" s="7"/>
      <c r="ALI409" s="7"/>
      <c r="ALJ409" s="7"/>
      <c r="ALK409" s="7"/>
      <c r="ALL409" s="7"/>
      <c r="ALM409" s="7"/>
      <c r="ALN409" s="7"/>
      <c r="ALO409" s="7"/>
      <c r="ALP409" s="7"/>
      <c r="ALQ409" s="7"/>
      <c r="ALR409" s="7"/>
      <c r="ALS409" s="7"/>
      <c r="ALT409" s="7"/>
      <c r="ALU409" s="7"/>
      <c r="ALV409" s="7"/>
      <c r="ALW409" s="7"/>
      <c r="ALX409" s="7"/>
      <c r="ALY409" s="7"/>
      <c r="ALZ409" s="7"/>
      <c r="AMA409" s="7"/>
      <c r="AMB409" s="7"/>
      <c r="AMC409" s="7"/>
      <c r="AMD409" s="7"/>
      <c r="AME409" s="7"/>
      <c r="AMF409" s="7"/>
      <c r="AMG409" s="7"/>
      <c r="AMH409" s="7"/>
      <c r="AMI409" s="7"/>
      <c r="AMJ409" s="7"/>
      <c r="AMK409" s="7"/>
      <c r="AML409" s="7"/>
      <c r="AMM409" s="7"/>
      <c r="AMN409" s="7"/>
      <c r="AMO409" s="7"/>
      <c r="AMP409" s="7"/>
      <c r="AMQ409" s="7"/>
      <c r="AMR409" s="7"/>
      <c r="AMS409" s="7"/>
      <c r="AMT409" s="7"/>
      <c r="AMU409" s="7"/>
      <c r="AMV409" s="7"/>
      <c r="AMW409" s="7"/>
      <c r="AMX409" s="7"/>
      <c r="AMY409" s="7"/>
      <c r="AMZ409" s="7"/>
      <c r="ANA409" s="7"/>
      <c r="ANB409" s="7"/>
      <c r="ANC409" s="7"/>
      <c r="AND409" s="7"/>
      <c r="ANE409" s="7"/>
      <c r="ANF409" s="7"/>
      <c r="ANG409" s="7"/>
      <c r="ANH409" s="7"/>
      <c r="ANI409" s="7"/>
      <c r="ANJ409" s="7"/>
      <c r="ANK409" s="7"/>
      <c r="ANL409" s="7"/>
      <c r="ANM409" s="7"/>
      <c r="ANN409" s="7"/>
      <c r="ANO409" s="7"/>
      <c r="ANP409" s="7"/>
      <c r="ANQ409" s="7"/>
      <c r="ANR409" s="7"/>
      <c r="ANS409" s="7"/>
      <c r="ANT409" s="7"/>
      <c r="ANU409" s="7"/>
      <c r="ANV409" s="7"/>
      <c r="ANW409" s="7"/>
      <c r="ANX409" s="7"/>
      <c r="ANY409" s="7"/>
      <c r="ANZ409" s="7"/>
      <c r="AOA409" s="7"/>
      <c r="AOB409" s="7"/>
      <c r="AOC409" s="7"/>
      <c r="AOD409" s="7"/>
      <c r="AOE409" s="7"/>
      <c r="AOF409" s="7"/>
      <c r="AOG409" s="7"/>
      <c r="AOH409" s="7"/>
      <c r="AOI409" s="7"/>
      <c r="AOJ409" s="7"/>
      <c r="AOK409" s="7"/>
      <c r="AOL409" s="7"/>
      <c r="AOM409" s="7"/>
      <c r="AON409" s="7"/>
      <c r="AOO409" s="7"/>
      <c r="AOP409" s="7"/>
      <c r="AOQ409" s="7"/>
      <c r="AOR409" s="7"/>
      <c r="AOS409" s="7"/>
      <c r="AOT409" s="7"/>
      <c r="AOU409" s="7"/>
      <c r="AOV409" s="7"/>
      <c r="AOW409" s="7"/>
      <c r="AOX409" s="7"/>
      <c r="AOY409" s="7"/>
      <c r="AOZ409" s="7"/>
      <c r="APA409" s="7"/>
      <c r="APB409" s="7"/>
      <c r="APC409" s="7"/>
      <c r="APD409" s="7"/>
      <c r="APE409" s="7"/>
      <c r="APF409" s="7"/>
      <c r="APG409" s="7"/>
      <c r="APH409" s="7"/>
      <c r="API409" s="7"/>
      <c r="APJ409" s="7"/>
      <c r="APK409" s="7"/>
      <c r="APL409" s="7"/>
      <c r="APM409" s="7"/>
      <c r="APN409" s="7"/>
      <c r="APO409" s="7"/>
      <c r="APP409" s="7"/>
      <c r="APQ409" s="7"/>
      <c r="APR409" s="7"/>
      <c r="APS409" s="7"/>
      <c r="APT409" s="7"/>
      <c r="APU409" s="7"/>
      <c r="APV409" s="7"/>
      <c r="APW409" s="7"/>
      <c r="APX409" s="7"/>
      <c r="APY409" s="7"/>
      <c r="APZ409" s="7"/>
      <c r="AQA409" s="7"/>
      <c r="AQB409" s="7"/>
      <c r="AQC409" s="7"/>
      <c r="AQD409" s="7"/>
      <c r="AQE409" s="7"/>
      <c r="AQF409" s="7"/>
      <c r="AQG409" s="7"/>
      <c r="AQH409" s="7"/>
      <c r="AQI409" s="7"/>
      <c r="AQJ409" s="7"/>
      <c r="AQK409" s="7"/>
      <c r="AQL409" s="7"/>
      <c r="AQM409" s="7"/>
      <c r="AQN409" s="7"/>
      <c r="AQO409" s="7"/>
      <c r="AQP409" s="7"/>
      <c r="AQQ409" s="7"/>
      <c r="AQR409" s="7"/>
      <c r="AQS409" s="7"/>
      <c r="AQT409" s="7"/>
      <c r="AQU409" s="7"/>
      <c r="AQV409" s="7"/>
      <c r="AQW409" s="7"/>
      <c r="AQX409" s="7"/>
      <c r="AQY409" s="7"/>
      <c r="AQZ409" s="7"/>
      <c r="ARA409" s="7"/>
      <c r="ARB409" s="7"/>
      <c r="ARC409" s="7"/>
      <c r="ARD409" s="7"/>
      <c r="ARE409" s="7"/>
      <c r="ARF409" s="7"/>
      <c r="ARG409" s="7"/>
      <c r="ARH409" s="7"/>
      <c r="ARI409" s="7"/>
      <c r="ARJ409" s="7"/>
      <c r="ARK409" s="7"/>
      <c r="ARL409" s="7"/>
      <c r="ARM409" s="7"/>
      <c r="ARN409" s="7"/>
      <c r="ARO409" s="7"/>
      <c r="ARP409" s="7"/>
      <c r="ARQ409" s="7"/>
      <c r="ARR409" s="7"/>
      <c r="ARS409" s="7"/>
      <c r="ART409" s="7"/>
      <c r="ARU409" s="7"/>
      <c r="ARV409" s="7"/>
      <c r="ARW409" s="7"/>
      <c r="ARX409" s="7"/>
      <c r="ARY409" s="7"/>
      <c r="ARZ409" s="7"/>
      <c r="ASA409" s="7"/>
      <c r="ASB409" s="7"/>
      <c r="ASC409" s="7"/>
      <c r="ASD409" s="7"/>
      <c r="ASE409" s="7"/>
      <c r="ASF409" s="7"/>
      <c r="ASG409" s="7"/>
      <c r="ASH409" s="7"/>
      <c r="ASI409" s="7"/>
      <c r="ASJ409" s="7"/>
      <c r="ASK409" s="7"/>
      <c r="ASL409" s="7"/>
      <c r="ASM409" s="7"/>
      <c r="ASN409" s="7"/>
      <c r="ASO409" s="7"/>
      <c r="ASP409" s="7"/>
      <c r="ASQ409" s="7"/>
      <c r="ASR409" s="7"/>
      <c r="ASS409" s="7"/>
      <c r="AST409" s="7"/>
      <c r="ASU409" s="7"/>
      <c r="ASV409" s="7"/>
      <c r="ASW409" s="7"/>
      <c r="ASX409" s="7"/>
      <c r="ASY409" s="7"/>
      <c r="ASZ409" s="7"/>
      <c r="ATA409" s="7"/>
      <c r="ATB409" s="7"/>
      <c r="ATC409" s="7"/>
      <c r="ATD409" s="7"/>
      <c r="ATE409" s="7"/>
      <c r="ATF409" s="7"/>
      <c r="ATG409" s="7"/>
      <c r="ATH409" s="7"/>
      <c r="ATI409" s="7"/>
      <c r="ATJ409" s="7"/>
      <c r="ATK409" s="7"/>
      <c r="ATL409" s="7"/>
      <c r="ATM409" s="7"/>
      <c r="ATN409" s="7"/>
      <c r="ATO409" s="7"/>
      <c r="ATP409" s="7"/>
      <c r="ATQ409" s="7"/>
      <c r="ATR409" s="7"/>
      <c r="ATS409" s="7"/>
      <c r="ATT409" s="7"/>
      <c r="ATU409" s="7"/>
      <c r="ATV409" s="7"/>
      <c r="ATW409" s="7"/>
      <c r="ATX409" s="7"/>
      <c r="ATY409" s="7"/>
      <c r="ATZ409" s="7"/>
      <c r="AUA409" s="7"/>
      <c r="AUB409" s="7"/>
      <c r="AUC409" s="7"/>
      <c r="AUD409" s="7"/>
      <c r="AUE409" s="7"/>
      <c r="AUF409" s="7"/>
      <c r="AUG409" s="7"/>
      <c r="AUH409" s="7"/>
      <c r="AUI409" s="7"/>
      <c r="AUJ409" s="7"/>
      <c r="AUK409" s="7"/>
      <c r="AUL409" s="7"/>
      <c r="AUM409" s="7"/>
      <c r="AUN409" s="7"/>
      <c r="AUO409" s="7"/>
      <c r="AUP409" s="7"/>
      <c r="AUQ409" s="7"/>
      <c r="AUR409" s="7"/>
      <c r="AUS409" s="7"/>
      <c r="AUT409" s="7"/>
      <c r="AUU409" s="7"/>
      <c r="AUV409" s="7"/>
      <c r="AUW409" s="7"/>
      <c r="AUX409" s="7"/>
      <c r="AUY409" s="7"/>
      <c r="AUZ409" s="7"/>
      <c r="AVA409" s="7"/>
      <c r="AVB409" s="7"/>
      <c r="AVC409" s="7"/>
      <c r="AVD409" s="7"/>
      <c r="AVE409" s="7"/>
      <c r="AVF409" s="7"/>
      <c r="AVG409" s="7"/>
      <c r="AVH409" s="7"/>
      <c r="AVI409" s="7"/>
      <c r="AVJ409" s="7"/>
      <c r="AVK409" s="7"/>
      <c r="AVL409" s="7"/>
      <c r="AVM409" s="7"/>
      <c r="AVN409" s="7"/>
      <c r="AVO409" s="7"/>
      <c r="AVP409" s="7"/>
      <c r="AVQ409" s="7"/>
      <c r="AVR409" s="7"/>
      <c r="AVS409" s="7"/>
      <c r="AVT409" s="7"/>
      <c r="AVU409" s="7"/>
      <c r="AVV409" s="7"/>
      <c r="AVW409" s="7"/>
      <c r="AVX409" s="7"/>
      <c r="AVY409" s="7"/>
      <c r="AVZ409" s="7"/>
      <c r="AWA409" s="7"/>
      <c r="AWB409" s="7"/>
      <c r="AWC409" s="7"/>
      <c r="AWD409" s="7"/>
      <c r="AWE409" s="7"/>
      <c r="AWF409" s="7"/>
      <c r="AWG409" s="7"/>
      <c r="AWH409" s="7"/>
      <c r="AWI409" s="7"/>
      <c r="AWJ409" s="7"/>
      <c r="AWK409" s="7"/>
      <c r="AWL409" s="7"/>
      <c r="AWM409" s="7"/>
      <c r="AWN409" s="7"/>
      <c r="AWO409" s="7"/>
      <c r="AWP409" s="7"/>
      <c r="AWQ409" s="7"/>
      <c r="AWR409" s="7"/>
      <c r="AWS409" s="7"/>
      <c r="AWT409" s="7"/>
      <c r="AWU409" s="7"/>
      <c r="AWV409" s="7"/>
      <c r="AWW409" s="7"/>
      <c r="AWX409" s="7"/>
      <c r="AWY409" s="7"/>
      <c r="AWZ409" s="7"/>
      <c r="AXA409" s="7"/>
      <c r="AXB409" s="7"/>
      <c r="AXC409" s="7"/>
      <c r="AXD409" s="7"/>
      <c r="AXE409" s="7"/>
      <c r="AXF409" s="7"/>
      <c r="AXG409" s="7"/>
      <c r="AXH409" s="7"/>
      <c r="AXI409" s="7"/>
      <c r="AXJ409" s="7"/>
      <c r="AXK409" s="7"/>
      <c r="AXL409" s="7"/>
      <c r="AXM409" s="7"/>
      <c r="AXN409" s="7"/>
      <c r="AXO409" s="7"/>
      <c r="AXP409" s="7"/>
      <c r="AXQ409" s="7"/>
      <c r="AXR409" s="7"/>
      <c r="AXS409" s="7"/>
      <c r="AXT409" s="7"/>
      <c r="AXU409" s="7"/>
      <c r="AXV409" s="7"/>
      <c r="AXW409" s="7"/>
      <c r="AXX409" s="7"/>
      <c r="AXY409" s="7"/>
      <c r="AXZ409" s="7"/>
      <c r="AYA409" s="7"/>
      <c r="AYB409" s="7"/>
      <c r="AYC409" s="7"/>
      <c r="AYD409" s="7"/>
      <c r="AYE409" s="7"/>
      <c r="AYF409" s="7"/>
      <c r="AYG409" s="7"/>
      <c r="AYH409" s="7"/>
      <c r="AYI409" s="7"/>
      <c r="AYJ409" s="7"/>
      <c r="AYK409" s="7"/>
      <c r="AYL409" s="7"/>
      <c r="AYM409" s="7"/>
      <c r="AYN409" s="7"/>
      <c r="AYO409" s="7"/>
      <c r="AYP409" s="7"/>
      <c r="AYQ409" s="7"/>
      <c r="AYR409" s="7"/>
      <c r="AYS409" s="7"/>
      <c r="AYT409" s="7"/>
      <c r="AYU409" s="7"/>
      <c r="AYV409" s="7"/>
      <c r="AYW409" s="7"/>
      <c r="AYX409" s="7"/>
      <c r="AYY409" s="7"/>
      <c r="AYZ409" s="7"/>
      <c r="AZA409" s="7"/>
      <c r="AZB409" s="7"/>
      <c r="AZC409" s="7"/>
      <c r="AZD409" s="7"/>
      <c r="AZE409" s="7"/>
      <c r="AZF409" s="7"/>
      <c r="AZG409" s="7"/>
      <c r="AZH409" s="7"/>
      <c r="AZI409" s="7"/>
      <c r="AZJ409" s="7"/>
      <c r="AZK409" s="7"/>
      <c r="AZL409" s="7"/>
      <c r="AZM409" s="7"/>
      <c r="AZN409" s="7"/>
      <c r="AZO409" s="7"/>
      <c r="AZP409" s="7"/>
      <c r="AZQ409" s="7"/>
      <c r="AZR409" s="7"/>
      <c r="AZS409" s="7"/>
      <c r="AZT409" s="7"/>
      <c r="AZU409" s="7"/>
      <c r="AZV409" s="7"/>
      <c r="AZW409" s="7"/>
      <c r="AZX409" s="7"/>
      <c r="AZY409" s="7"/>
      <c r="AZZ409" s="7"/>
      <c r="BAA409" s="7"/>
      <c r="BAB409" s="7"/>
      <c r="BAC409" s="7"/>
      <c r="BAD409" s="7"/>
      <c r="BAE409" s="7"/>
      <c r="BAF409" s="7"/>
      <c r="BAG409" s="7"/>
      <c r="BAH409" s="7"/>
      <c r="BAI409" s="7"/>
      <c r="BAJ409" s="7"/>
      <c r="BAK409" s="7"/>
      <c r="BAL409" s="7"/>
      <c r="BAM409" s="7"/>
      <c r="BAN409" s="7"/>
      <c r="BAO409" s="7"/>
      <c r="BAP409" s="7"/>
      <c r="BAQ409" s="7"/>
      <c r="BAR409" s="7"/>
      <c r="BAS409" s="7"/>
      <c r="BAT409" s="7"/>
      <c r="BAU409" s="7"/>
      <c r="BAV409" s="7"/>
      <c r="BAW409" s="7"/>
      <c r="BAX409" s="7"/>
      <c r="BAY409" s="7"/>
      <c r="BAZ409" s="7"/>
      <c r="BBA409" s="7"/>
      <c r="BBB409" s="7"/>
      <c r="BBC409" s="7"/>
      <c r="BBD409" s="7"/>
      <c r="BBE409" s="7"/>
      <c r="BBF409" s="7"/>
      <c r="BBG409" s="7"/>
      <c r="BBH409" s="7"/>
      <c r="BBI409" s="7"/>
      <c r="BBJ409" s="7"/>
      <c r="BBK409" s="7"/>
      <c r="BBL409" s="7"/>
      <c r="BBM409" s="7"/>
      <c r="BBN409" s="7"/>
      <c r="BBO409" s="7"/>
      <c r="BBP409" s="7"/>
      <c r="BBQ409" s="7"/>
      <c r="BBR409" s="7"/>
      <c r="BBS409" s="7"/>
      <c r="BBT409" s="7"/>
      <c r="BBU409" s="7"/>
      <c r="BBV409" s="7"/>
      <c r="BBW409" s="7"/>
      <c r="BBX409" s="7"/>
      <c r="BBY409" s="7"/>
      <c r="BBZ409" s="7"/>
      <c r="BCA409" s="7"/>
      <c r="BCB409" s="7"/>
      <c r="BCC409" s="7"/>
      <c r="BCD409" s="7"/>
      <c r="BCE409" s="7"/>
      <c r="BCF409" s="7"/>
      <c r="BCG409" s="7"/>
      <c r="BCH409" s="7"/>
      <c r="BCI409" s="7"/>
      <c r="BCJ409" s="7"/>
      <c r="BCK409" s="7"/>
      <c r="BCL409" s="7"/>
      <c r="BCM409" s="7"/>
      <c r="BCN409" s="7"/>
      <c r="BCO409" s="7"/>
      <c r="BCP409" s="7"/>
      <c r="BCQ409" s="7"/>
      <c r="BCR409" s="7"/>
      <c r="BCS409" s="7"/>
      <c r="BCT409" s="7"/>
      <c r="BCU409" s="7"/>
      <c r="BCV409" s="7"/>
      <c r="BCW409" s="7"/>
      <c r="BCX409" s="7"/>
      <c r="BCY409" s="7"/>
      <c r="BCZ409" s="7"/>
      <c r="BDA409" s="7"/>
      <c r="BDB409" s="7"/>
      <c r="BDC409" s="7"/>
      <c r="BDD409" s="7"/>
      <c r="BDE409" s="7"/>
      <c r="BDF409" s="7"/>
      <c r="BDG409" s="7"/>
      <c r="BDH409" s="7"/>
      <c r="BDI409" s="7"/>
      <c r="BDJ409" s="7"/>
      <c r="BDK409" s="7"/>
      <c r="BDL409" s="7"/>
      <c r="BDM409" s="7"/>
      <c r="BDN409" s="7"/>
      <c r="BDO409" s="7"/>
      <c r="BDP409" s="7"/>
      <c r="BDQ409" s="7"/>
      <c r="BDR409" s="7"/>
      <c r="BDS409" s="7"/>
      <c r="BDT409" s="7"/>
      <c r="BDU409" s="7"/>
      <c r="BDV409" s="7"/>
      <c r="BDW409" s="7"/>
      <c r="BDX409" s="7"/>
      <c r="BDY409" s="7"/>
      <c r="BDZ409" s="7"/>
      <c r="BEA409" s="7"/>
      <c r="BEB409" s="7"/>
      <c r="BEC409" s="7"/>
      <c r="BED409" s="7"/>
      <c r="BEE409" s="7"/>
      <c r="BEF409" s="7"/>
      <c r="BEG409" s="7"/>
      <c r="BEH409" s="7"/>
      <c r="BEI409" s="7"/>
      <c r="BEJ409" s="7"/>
      <c r="BEK409" s="7"/>
      <c r="BEL409" s="7"/>
      <c r="BEM409" s="7"/>
      <c r="BEN409" s="7"/>
      <c r="BEO409" s="7"/>
      <c r="BEP409" s="7"/>
      <c r="BEQ409" s="7"/>
      <c r="BER409" s="7"/>
      <c r="BES409" s="7"/>
      <c r="BET409" s="7"/>
      <c r="BEU409" s="7"/>
      <c r="BEV409" s="7"/>
      <c r="BEW409" s="7"/>
      <c r="BEX409" s="7"/>
      <c r="BEY409" s="7"/>
      <c r="BEZ409" s="7"/>
      <c r="BFA409" s="7"/>
      <c r="BFB409" s="7"/>
      <c r="BFC409" s="7"/>
      <c r="BFD409" s="7"/>
      <c r="BFE409" s="7"/>
      <c r="BFF409" s="7"/>
      <c r="BFG409" s="7"/>
      <c r="BFH409" s="7"/>
      <c r="BFI409" s="7"/>
      <c r="BFJ409" s="7"/>
      <c r="BFK409" s="7"/>
      <c r="BFL409" s="7"/>
      <c r="BFM409" s="7"/>
      <c r="BFN409" s="7"/>
      <c r="BFO409" s="7"/>
      <c r="BFP409" s="7"/>
      <c r="BFQ409" s="7"/>
      <c r="BFR409" s="7"/>
      <c r="BFS409" s="7"/>
      <c r="BFT409" s="7"/>
      <c r="BFU409" s="7"/>
      <c r="BFV409" s="7"/>
      <c r="BFW409" s="7"/>
      <c r="BFX409" s="7"/>
      <c r="BFY409" s="7"/>
      <c r="BFZ409" s="7"/>
      <c r="BGA409" s="7"/>
      <c r="BGB409" s="7"/>
      <c r="BGC409" s="7"/>
      <c r="BGD409" s="7"/>
      <c r="BGE409" s="7"/>
      <c r="BGF409" s="7"/>
      <c r="BGG409" s="7"/>
      <c r="BGH409" s="7"/>
      <c r="BGI409" s="7"/>
      <c r="BGJ409" s="7"/>
      <c r="BGK409" s="7"/>
      <c r="BGL409" s="7"/>
      <c r="BGM409" s="7"/>
      <c r="BGN409" s="7"/>
      <c r="BGO409" s="7"/>
      <c r="BGP409" s="7"/>
      <c r="BGQ409" s="7"/>
      <c r="BGR409" s="7"/>
      <c r="BGS409" s="7"/>
      <c r="BGT409" s="7"/>
      <c r="BGU409" s="7"/>
      <c r="BGV409" s="7"/>
      <c r="BGW409" s="7"/>
      <c r="BGX409" s="7"/>
      <c r="BGY409" s="7"/>
      <c r="BGZ409" s="7"/>
      <c r="BHA409" s="7"/>
      <c r="BHB409" s="7"/>
      <c r="BHC409" s="7"/>
      <c r="BHD409" s="7"/>
      <c r="BHE409" s="7"/>
      <c r="BHF409" s="7"/>
      <c r="BHG409" s="7"/>
      <c r="BHH409" s="7"/>
      <c r="BHI409" s="7"/>
      <c r="BHJ409" s="7"/>
      <c r="BHK409" s="7"/>
      <c r="BHL409" s="7"/>
      <c r="BHM409" s="7"/>
      <c r="BHN409" s="7"/>
      <c r="BHO409" s="7"/>
      <c r="BHP409" s="7"/>
      <c r="BHQ409" s="7"/>
      <c r="BHR409" s="7"/>
      <c r="BHS409" s="7"/>
      <c r="BHT409" s="7"/>
      <c r="BHU409" s="7"/>
      <c r="BHV409" s="7"/>
      <c r="BHW409" s="7"/>
      <c r="BHX409" s="7"/>
      <c r="BHY409" s="7"/>
      <c r="BHZ409" s="7"/>
      <c r="BIA409" s="7"/>
      <c r="BIB409" s="7"/>
      <c r="BIC409" s="7"/>
      <c r="BID409" s="7"/>
      <c r="BIE409" s="7"/>
      <c r="BIF409" s="7"/>
      <c r="BIG409" s="7"/>
      <c r="BIH409" s="7"/>
      <c r="BII409" s="7"/>
      <c r="BIJ409" s="7"/>
      <c r="BIK409" s="7"/>
      <c r="BIL409" s="7"/>
      <c r="BIM409" s="7"/>
      <c r="BIN409" s="7"/>
      <c r="BIO409" s="7"/>
      <c r="BIP409" s="7"/>
      <c r="BIQ409" s="7"/>
      <c r="BIR409" s="7"/>
      <c r="BIS409" s="7"/>
      <c r="BIT409" s="7"/>
      <c r="BIU409" s="7"/>
      <c r="BIV409" s="7"/>
      <c r="BIW409" s="7"/>
      <c r="BIX409" s="7"/>
      <c r="BIY409" s="7"/>
      <c r="BIZ409" s="7"/>
      <c r="BJA409" s="7"/>
      <c r="BJB409" s="7"/>
      <c r="BJC409" s="7"/>
      <c r="BJD409" s="7"/>
      <c r="BJE409" s="7"/>
      <c r="BJF409" s="7"/>
      <c r="BJG409" s="7"/>
      <c r="BJH409" s="7"/>
      <c r="BJI409" s="7"/>
      <c r="BJJ409" s="7"/>
      <c r="BJK409" s="7"/>
      <c r="BJL409" s="7"/>
      <c r="BJM409" s="7"/>
      <c r="BJN409" s="7"/>
      <c r="BJO409" s="7"/>
      <c r="BJP409" s="7"/>
      <c r="BJQ409" s="7"/>
      <c r="BJR409" s="7"/>
      <c r="BJS409" s="7"/>
      <c r="BJT409" s="7"/>
      <c r="BJU409" s="7"/>
      <c r="BJV409" s="7"/>
      <c r="BJW409" s="7"/>
      <c r="BJX409" s="7"/>
      <c r="BJY409" s="7"/>
      <c r="BJZ409" s="7"/>
      <c r="BKA409" s="7"/>
      <c r="BKB409" s="7"/>
      <c r="BKC409" s="7"/>
      <c r="BKD409" s="7"/>
      <c r="BKE409" s="7"/>
      <c r="BKF409" s="7"/>
      <c r="BKG409" s="7"/>
      <c r="BKH409" s="7"/>
      <c r="BKI409" s="7"/>
      <c r="BKJ409" s="7"/>
      <c r="BKK409" s="7"/>
      <c r="BKL409" s="7"/>
      <c r="BKM409" s="7"/>
      <c r="BKN409" s="7"/>
      <c r="BKO409" s="7"/>
      <c r="BKP409" s="7"/>
      <c r="BKQ409" s="7"/>
      <c r="BKR409" s="7"/>
      <c r="BKS409" s="7"/>
      <c r="BKT409" s="7"/>
      <c r="BKU409" s="7"/>
      <c r="BKV409" s="7"/>
      <c r="BKW409" s="7"/>
      <c r="BKX409" s="7"/>
      <c r="BKY409" s="7"/>
      <c r="BKZ409" s="7"/>
      <c r="BLA409" s="7"/>
      <c r="BLB409" s="7"/>
      <c r="BLC409" s="7"/>
      <c r="BLD409" s="7"/>
      <c r="BLE409" s="7"/>
      <c r="BLF409" s="7"/>
      <c r="BLG409" s="7"/>
      <c r="BLH409" s="7"/>
      <c r="BLI409" s="7"/>
      <c r="BLJ409" s="7"/>
      <c r="BLK409" s="7"/>
      <c r="BLL409" s="7"/>
      <c r="BLM409" s="7"/>
      <c r="BLN409" s="7"/>
      <c r="BLO409" s="7"/>
      <c r="BLP409" s="7"/>
      <c r="BLQ409" s="7"/>
      <c r="BLR409" s="7"/>
      <c r="BLS409" s="7"/>
      <c r="BLT409" s="7"/>
      <c r="BLU409" s="7"/>
      <c r="BLV409" s="7"/>
      <c r="BLW409" s="7"/>
      <c r="BLX409" s="7"/>
      <c r="BLY409" s="7"/>
      <c r="BLZ409" s="7"/>
      <c r="BMA409" s="7"/>
      <c r="BMB409" s="7"/>
      <c r="BMC409" s="7"/>
      <c r="BMD409" s="7"/>
      <c r="BME409" s="7"/>
      <c r="BMF409" s="7"/>
      <c r="BMG409" s="7"/>
      <c r="BMH409" s="7"/>
      <c r="BMI409" s="7"/>
      <c r="BMJ409" s="7"/>
      <c r="BMK409" s="7"/>
      <c r="BML409" s="7"/>
      <c r="BMM409" s="7"/>
      <c r="BMN409" s="7"/>
      <c r="BMO409" s="7"/>
      <c r="BMP409" s="7"/>
      <c r="BMQ409" s="7"/>
      <c r="BMR409" s="7"/>
      <c r="BMS409" s="7"/>
      <c r="BMT409" s="7"/>
      <c r="BMU409" s="7"/>
      <c r="BMV409" s="7"/>
      <c r="BMW409" s="7"/>
      <c r="BMX409" s="7"/>
      <c r="BMY409" s="7"/>
      <c r="BMZ409" s="7"/>
      <c r="BNA409" s="7"/>
      <c r="BNB409" s="7"/>
      <c r="BNC409" s="7"/>
      <c r="BND409" s="7"/>
      <c r="BNE409" s="7"/>
      <c r="BNF409" s="7"/>
      <c r="BNG409" s="7"/>
      <c r="BNH409" s="7"/>
      <c r="BNI409" s="7"/>
      <c r="BNJ409" s="7"/>
      <c r="BNK409" s="7"/>
      <c r="BNL409" s="7"/>
      <c r="BNM409" s="7"/>
      <c r="BNN409" s="7"/>
      <c r="BNO409" s="7"/>
      <c r="BNP409" s="7"/>
      <c r="BNQ409" s="7"/>
      <c r="BNR409" s="7"/>
      <c r="BNS409" s="7"/>
      <c r="BNT409" s="7"/>
      <c r="BNU409" s="7"/>
      <c r="BNV409" s="7"/>
      <c r="BNW409" s="7"/>
      <c r="BNX409" s="7"/>
      <c r="BNY409" s="7"/>
      <c r="BNZ409" s="7"/>
      <c r="BOA409" s="7"/>
      <c r="BOB409" s="7"/>
      <c r="BOC409" s="7"/>
      <c r="BOD409" s="7"/>
      <c r="BOE409" s="7"/>
      <c r="BOF409" s="7"/>
      <c r="BOG409" s="7"/>
      <c r="BOH409" s="7"/>
      <c r="BOI409" s="7"/>
      <c r="BOJ409" s="7"/>
      <c r="BOK409" s="7"/>
      <c r="BOL409" s="7"/>
      <c r="BOM409" s="7"/>
      <c r="BON409" s="7"/>
      <c r="BOO409" s="7"/>
      <c r="BOP409" s="7"/>
      <c r="BOQ409" s="7"/>
      <c r="BOR409" s="7"/>
      <c r="BOS409" s="7"/>
      <c r="BOT409" s="7"/>
      <c r="BOU409" s="7"/>
      <c r="BOV409" s="7"/>
      <c r="BOW409" s="7"/>
      <c r="BOX409" s="7"/>
      <c r="BOY409" s="7"/>
      <c r="BOZ409" s="7"/>
      <c r="BPA409" s="7"/>
      <c r="BPB409" s="7"/>
      <c r="BPC409" s="7"/>
      <c r="BPD409" s="7"/>
      <c r="BPE409" s="7"/>
      <c r="BPF409" s="7"/>
      <c r="BPG409" s="7"/>
      <c r="BPH409" s="7"/>
      <c r="BPI409" s="7"/>
      <c r="BPJ409" s="7"/>
      <c r="BPK409" s="7"/>
      <c r="BPL409" s="7"/>
      <c r="BPM409" s="7"/>
      <c r="BPN409" s="7"/>
      <c r="BPO409" s="7"/>
      <c r="BPP409" s="7"/>
      <c r="BPQ409" s="7"/>
      <c r="BPR409" s="7"/>
      <c r="BPS409" s="7"/>
      <c r="BPT409" s="7"/>
      <c r="BPU409" s="7"/>
      <c r="BPV409" s="7"/>
      <c r="BPW409" s="7"/>
      <c r="BPX409" s="7"/>
      <c r="BPY409" s="7"/>
      <c r="BPZ409" s="7"/>
      <c r="BQA409" s="7"/>
      <c r="BQB409" s="7"/>
      <c r="BQC409" s="7"/>
      <c r="BQD409" s="7"/>
      <c r="BQE409" s="7"/>
      <c r="BQF409" s="7"/>
      <c r="BQG409" s="7"/>
      <c r="BQH409" s="7"/>
      <c r="BQI409" s="7"/>
      <c r="BQJ409" s="7"/>
      <c r="BQK409" s="7"/>
      <c r="BQL409" s="7"/>
      <c r="BQM409" s="7"/>
      <c r="BQN409" s="7"/>
      <c r="BQO409" s="7"/>
      <c r="BQP409" s="7"/>
      <c r="BQQ409" s="7"/>
      <c r="BQR409" s="7"/>
      <c r="BQS409" s="7"/>
      <c r="BQT409" s="7"/>
      <c r="BQU409" s="7"/>
      <c r="BQV409" s="7"/>
      <c r="BQW409" s="7"/>
      <c r="BQX409" s="7"/>
      <c r="BQY409" s="7"/>
      <c r="BQZ409" s="7"/>
      <c r="BRA409" s="7"/>
      <c r="BRB409" s="7"/>
      <c r="BRC409" s="7"/>
      <c r="BRD409" s="7"/>
      <c r="BRE409" s="7"/>
      <c r="BRF409" s="7"/>
      <c r="BRG409" s="7"/>
      <c r="BRH409" s="7"/>
      <c r="BRI409" s="7"/>
      <c r="BRJ409" s="7"/>
      <c r="BRK409" s="7"/>
      <c r="BRL409" s="7"/>
      <c r="BRM409" s="7"/>
      <c r="BRN409" s="7"/>
      <c r="BRO409" s="7"/>
      <c r="BRP409" s="7"/>
      <c r="BRQ409" s="7"/>
      <c r="BRR409" s="7"/>
      <c r="BRS409" s="7"/>
      <c r="BRT409" s="7"/>
      <c r="BRU409" s="7"/>
      <c r="BRV409" s="7"/>
      <c r="BRW409" s="7"/>
      <c r="BRX409" s="7"/>
      <c r="BRY409" s="7"/>
      <c r="BRZ409" s="7"/>
      <c r="BSA409" s="7"/>
      <c r="BSB409" s="7"/>
      <c r="BSC409" s="7"/>
      <c r="BSD409" s="7"/>
      <c r="BSE409" s="7"/>
      <c r="BSF409" s="7"/>
      <c r="BSG409" s="7"/>
      <c r="BSH409" s="7"/>
      <c r="BSI409" s="7"/>
      <c r="BSJ409" s="7"/>
      <c r="BSK409" s="7"/>
      <c r="BSL409" s="7"/>
      <c r="BSM409" s="7"/>
      <c r="BSN409" s="7"/>
      <c r="BSO409" s="7"/>
      <c r="BSP409" s="7"/>
      <c r="BSQ409" s="7"/>
      <c r="BSR409" s="7"/>
      <c r="BSS409" s="7"/>
      <c r="BST409" s="7"/>
      <c r="BSU409" s="7"/>
      <c r="BSV409" s="7"/>
      <c r="BSW409" s="7"/>
      <c r="BSX409" s="7"/>
      <c r="BSY409" s="7"/>
      <c r="BSZ409" s="7"/>
      <c r="BTA409" s="7"/>
    </row>
    <row r="410" spans="1:1873" s="118" customFormat="1" ht="13.9" customHeight="1" x14ac:dyDescent="0.2">
      <c r="A410" s="522" t="s">
        <v>1424</v>
      </c>
      <c r="B410" s="234" t="s">
        <v>42</v>
      </c>
      <c r="C410" s="522" t="s">
        <v>55</v>
      </c>
      <c r="D410" s="234" t="s">
        <v>619</v>
      </c>
      <c r="E410" s="493" t="s">
        <v>1503</v>
      </c>
      <c r="F410" s="523">
        <v>2</v>
      </c>
      <c r="G410" s="522">
        <v>4</v>
      </c>
      <c r="H410" s="524">
        <v>4</v>
      </c>
      <c r="I410" s="234" t="s">
        <v>954</v>
      </c>
      <c r="J410" s="522" t="s">
        <v>48</v>
      </c>
      <c r="K410" s="524" t="s">
        <v>957</v>
      </c>
      <c r="L410" s="522" t="s">
        <v>269</v>
      </c>
      <c r="M410" s="525">
        <v>41.4</v>
      </c>
      <c r="N410" s="389">
        <v>-9999</v>
      </c>
      <c r="O410" s="29"/>
      <c r="P410" s="525">
        <f>+M410</f>
        <v>41.4</v>
      </c>
      <c r="Q410" s="234">
        <v>-9999</v>
      </c>
      <c r="R410" s="389"/>
      <c r="S410" s="234"/>
      <c r="T410" s="237">
        <f>+P410/G410</f>
        <v>10.35</v>
      </c>
      <c r="U410" s="234">
        <v>-9999</v>
      </c>
      <c r="V410" s="234"/>
      <c r="W410" s="412">
        <f>+P410-P409</f>
        <v>2.6000000000000014</v>
      </c>
      <c r="X410" s="491">
        <v>-9999</v>
      </c>
      <c r="Y410" s="491"/>
      <c r="Z410" s="390" t="s">
        <v>1704</v>
      </c>
      <c r="AA410" s="520">
        <v>20833</v>
      </c>
      <c r="AB410" s="389">
        <v>0.45</v>
      </c>
      <c r="AC410" s="522">
        <v>1.2</v>
      </c>
      <c r="AD410" s="526">
        <v>125</v>
      </c>
      <c r="AE410" s="522" t="s">
        <v>168</v>
      </c>
      <c r="AF410" s="522">
        <v>6</v>
      </c>
      <c r="AG410" s="522" t="s">
        <v>776</v>
      </c>
      <c r="AH410" s="522" t="s">
        <v>623</v>
      </c>
      <c r="AI410" s="234">
        <v>-9999</v>
      </c>
      <c r="AJ410" s="234">
        <v>-9999</v>
      </c>
      <c r="AK410" s="522" t="s">
        <v>626</v>
      </c>
      <c r="AL410" s="522" t="s">
        <v>272</v>
      </c>
      <c r="AM410" s="234">
        <v>-9999</v>
      </c>
      <c r="AN410" s="522" t="s">
        <v>777</v>
      </c>
      <c r="AO410" s="234">
        <v>-9999</v>
      </c>
      <c r="AP410" s="234">
        <v>-9999</v>
      </c>
      <c r="AQ410" s="522" t="s">
        <v>779</v>
      </c>
      <c r="AR410" s="234" t="s">
        <v>52</v>
      </c>
      <c r="AS410" s="234">
        <v>-9999</v>
      </c>
      <c r="AT410" s="234" t="s">
        <v>749</v>
      </c>
      <c r="AU410" s="234" t="s">
        <v>52</v>
      </c>
      <c r="AV410" s="234">
        <v>-9999</v>
      </c>
      <c r="AW410" s="234" t="s">
        <v>749</v>
      </c>
      <c r="AX410" s="234" t="s">
        <v>52</v>
      </c>
      <c r="AY410" s="234">
        <v>-9999</v>
      </c>
      <c r="AZ410" s="234" t="s">
        <v>749</v>
      </c>
      <c r="BA410" s="234">
        <v>-9999</v>
      </c>
      <c r="BB410" s="522" t="s">
        <v>626</v>
      </c>
      <c r="BC410" s="522" t="s">
        <v>273</v>
      </c>
      <c r="BD410" s="522" t="s">
        <v>642</v>
      </c>
      <c r="BE410" s="234">
        <v>-9999</v>
      </c>
      <c r="BF410" s="522" t="s">
        <v>274</v>
      </c>
      <c r="BG410" s="522" t="s">
        <v>275</v>
      </c>
      <c r="BH410" s="234">
        <v>-9999</v>
      </c>
      <c r="BI410" s="234">
        <v>-9999</v>
      </c>
      <c r="BJ410" s="234">
        <v>-9999</v>
      </c>
      <c r="BK410" s="234">
        <v>-9999</v>
      </c>
      <c r="BL410" s="234">
        <v>8.5</v>
      </c>
      <c r="BM410" s="234">
        <v>-9999</v>
      </c>
      <c r="BN410" s="234">
        <v>6</v>
      </c>
      <c r="BO410" s="234">
        <v>-9999</v>
      </c>
      <c r="BP410" s="234">
        <v>-9999</v>
      </c>
      <c r="BQ410" s="234">
        <v>-9999</v>
      </c>
      <c r="BR410" s="234">
        <v>-9999</v>
      </c>
      <c r="BS410" s="491">
        <v>-9999</v>
      </c>
      <c r="BT410" s="234">
        <v>-9999</v>
      </c>
      <c r="BU410" s="234">
        <v>-9999</v>
      </c>
      <c r="BV410" s="234">
        <v>-9999</v>
      </c>
      <c r="BW410" s="234"/>
      <c r="BX410" s="234">
        <v>-9999</v>
      </c>
      <c r="BY410" s="234">
        <v>-9999</v>
      </c>
      <c r="BZ410" s="496">
        <v>-9999</v>
      </c>
      <c r="CA410" s="527">
        <v>15</v>
      </c>
      <c r="CB410" s="531"/>
      <c r="CC410" s="117">
        <v>2</v>
      </c>
      <c r="CD410" s="10">
        <v>4</v>
      </c>
      <c r="CE410" s="343">
        <v>10.35</v>
      </c>
      <c r="CF410" s="343">
        <v>2.6000000000000014</v>
      </c>
      <c r="CG410" s="14">
        <v>4</v>
      </c>
    </row>
    <row r="411" spans="1:1873" s="118" customFormat="1" ht="13.9" customHeight="1" x14ac:dyDescent="0.2">
      <c r="A411" s="522"/>
      <c r="B411" s="234"/>
      <c r="C411" s="522"/>
      <c r="D411" s="234"/>
      <c r="E411" s="493"/>
      <c r="F411" s="523"/>
      <c r="G411" s="522"/>
      <c r="H411" s="524"/>
      <c r="I411" s="234"/>
      <c r="J411" s="522"/>
      <c r="K411" s="524"/>
      <c r="L411" s="522"/>
      <c r="M411" s="525"/>
      <c r="N411" s="389"/>
      <c r="O411" s="29"/>
      <c r="P411" s="525"/>
      <c r="Q411" s="234"/>
      <c r="R411" s="389"/>
      <c r="S411" s="234"/>
      <c r="T411" s="530"/>
      <c r="U411" s="234"/>
      <c r="V411" s="234"/>
      <c r="W411" s="389"/>
      <c r="X411" s="491"/>
      <c r="Y411" s="491"/>
      <c r="Z411" s="390"/>
      <c r="AA411" s="520"/>
      <c r="AB411" s="389"/>
      <c r="AC411" s="522"/>
      <c r="AD411" s="526"/>
      <c r="AE411" s="522"/>
      <c r="AF411" s="522"/>
      <c r="AG411" s="522"/>
      <c r="AH411" s="522"/>
      <c r="AI411" s="234"/>
      <c r="AJ411" s="234"/>
      <c r="AK411" s="522"/>
      <c r="AL411" s="522"/>
      <c r="AM411" s="234"/>
      <c r="AN411" s="522"/>
      <c r="AO411" s="234"/>
      <c r="AP411" s="234"/>
      <c r="AQ411" s="522"/>
      <c r="AR411" s="234"/>
      <c r="AS411" s="234"/>
      <c r="AT411" s="234"/>
      <c r="AU411" s="234"/>
      <c r="AV411" s="234"/>
      <c r="AW411" s="234"/>
      <c r="AX411" s="234"/>
      <c r="AY411" s="234"/>
      <c r="AZ411" s="234"/>
      <c r="BA411" s="234"/>
      <c r="BB411" s="522"/>
      <c r="BC411" s="522"/>
      <c r="BD411" s="522"/>
      <c r="BE411" s="234"/>
      <c r="BF411" s="522"/>
      <c r="BG411" s="522"/>
      <c r="BH411" s="234"/>
      <c r="BI411" s="234"/>
      <c r="BJ411" s="234"/>
      <c r="BK411" s="234"/>
      <c r="BL411" s="234"/>
      <c r="BM411" s="234"/>
      <c r="BN411" s="234"/>
      <c r="BO411" s="234"/>
      <c r="BP411" s="234"/>
      <c r="BQ411" s="234"/>
      <c r="BR411" s="234"/>
      <c r="BS411" s="491"/>
      <c r="BT411" s="234"/>
      <c r="BU411" s="234"/>
      <c r="BV411" s="234"/>
      <c r="BW411" s="234"/>
      <c r="BX411" s="234"/>
      <c r="BY411" s="234"/>
      <c r="BZ411" s="496"/>
      <c r="CA411" s="527"/>
      <c r="CB411" s="531"/>
      <c r="CC411" s="117"/>
      <c r="CD411" s="10"/>
      <c r="CE411" s="342" t="s">
        <v>1576</v>
      </c>
      <c r="CF411" s="342" t="s">
        <v>1575</v>
      </c>
      <c r="CG411" s="14"/>
    </row>
    <row r="412" spans="1:1873" s="118" customFormat="1" ht="15" customHeight="1" x14ac:dyDescent="0.2">
      <c r="A412" s="522" t="s">
        <v>1424</v>
      </c>
      <c r="B412" s="234" t="s">
        <v>42</v>
      </c>
      <c r="C412" s="522" t="s">
        <v>57</v>
      </c>
      <c r="D412" s="234" t="s">
        <v>619</v>
      </c>
      <c r="E412" s="493" t="s">
        <v>1503</v>
      </c>
      <c r="F412" s="523">
        <v>2</v>
      </c>
      <c r="G412" s="522">
        <v>1</v>
      </c>
      <c r="H412" s="524">
        <v>1</v>
      </c>
      <c r="I412" s="234" t="s">
        <v>954</v>
      </c>
      <c r="J412" s="522" t="s">
        <v>48</v>
      </c>
      <c r="K412" s="524" t="s">
        <v>957</v>
      </c>
      <c r="L412" s="522" t="s">
        <v>931</v>
      </c>
      <c r="M412" s="525">
        <v>5</v>
      </c>
      <c r="N412" s="389">
        <v>-9999</v>
      </c>
      <c r="O412" s="29"/>
      <c r="P412" s="525">
        <f>+M412</f>
        <v>5</v>
      </c>
      <c r="Q412" s="234">
        <v>-9999</v>
      </c>
      <c r="R412" s="389"/>
      <c r="S412" s="234"/>
      <c r="T412" s="237">
        <f>+P412/G412</f>
        <v>5</v>
      </c>
      <c r="U412" s="234">
        <v>-9999</v>
      </c>
      <c r="V412" s="234"/>
      <c r="W412" s="412">
        <f>+P412</f>
        <v>5</v>
      </c>
      <c r="X412" s="491">
        <v>-9999</v>
      </c>
      <c r="Y412" s="491"/>
      <c r="Z412" s="390" t="s">
        <v>1704</v>
      </c>
      <c r="AA412" s="520">
        <v>20833</v>
      </c>
      <c r="AB412" s="389">
        <v>0.64</v>
      </c>
      <c r="AC412" s="522">
        <v>1.2</v>
      </c>
      <c r="AD412" s="526">
        <v>125</v>
      </c>
      <c r="AE412" s="522" t="s">
        <v>168</v>
      </c>
      <c r="AF412" s="522">
        <v>6</v>
      </c>
      <c r="AG412" s="522" t="s">
        <v>776</v>
      </c>
      <c r="AH412" s="522" t="s">
        <v>623</v>
      </c>
      <c r="AI412" s="234">
        <v>-9999</v>
      </c>
      <c r="AJ412" s="234">
        <v>-9999</v>
      </c>
      <c r="AK412" s="522" t="s">
        <v>626</v>
      </c>
      <c r="AL412" s="522" t="s">
        <v>272</v>
      </c>
      <c r="AM412" s="234">
        <v>-9999</v>
      </c>
      <c r="AN412" s="522" t="s">
        <v>779</v>
      </c>
      <c r="AO412" s="522" t="s">
        <v>51</v>
      </c>
      <c r="AP412" s="522" t="s">
        <v>52</v>
      </c>
      <c r="AQ412" s="522" t="s">
        <v>779</v>
      </c>
      <c r="AR412" s="234" t="s">
        <v>52</v>
      </c>
      <c r="AS412" s="234">
        <v>-9999</v>
      </c>
      <c r="AT412" s="234" t="s">
        <v>749</v>
      </c>
      <c r="AU412" s="234" t="s">
        <v>52</v>
      </c>
      <c r="AV412" s="234">
        <v>-9999</v>
      </c>
      <c r="AW412" s="234" t="s">
        <v>749</v>
      </c>
      <c r="AX412" s="234" t="s">
        <v>52</v>
      </c>
      <c r="AY412" s="234">
        <v>-9999</v>
      </c>
      <c r="AZ412" s="234" t="s">
        <v>749</v>
      </c>
      <c r="BA412" s="234">
        <v>-9999</v>
      </c>
      <c r="BB412" s="522" t="s">
        <v>626</v>
      </c>
      <c r="BC412" s="522" t="s">
        <v>273</v>
      </c>
      <c r="BD412" s="522" t="s">
        <v>642</v>
      </c>
      <c r="BE412" s="234">
        <v>-9999</v>
      </c>
      <c r="BF412" s="522" t="s">
        <v>274</v>
      </c>
      <c r="BG412" s="522" t="s">
        <v>275</v>
      </c>
      <c r="BH412" s="234">
        <v>-9999</v>
      </c>
      <c r="BI412" s="234">
        <v>-9999</v>
      </c>
      <c r="BJ412" s="234">
        <v>-9999</v>
      </c>
      <c r="BK412" s="234">
        <v>-9999</v>
      </c>
      <c r="BL412" s="234">
        <v>3</v>
      </c>
      <c r="BM412" s="234">
        <v>-9999</v>
      </c>
      <c r="BN412" s="234">
        <v>2.2000000000000002</v>
      </c>
      <c r="BO412" s="234">
        <v>-9999</v>
      </c>
      <c r="BP412" s="234">
        <v>-9999</v>
      </c>
      <c r="BQ412" s="234">
        <v>-9999</v>
      </c>
      <c r="BR412" s="234">
        <v>-9999</v>
      </c>
      <c r="BS412" s="491">
        <v>-9999</v>
      </c>
      <c r="BT412" s="234">
        <v>-9999</v>
      </c>
      <c r="BU412" s="234">
        <v>-9999</v>
      </c>
      <c r="BV412" s="234">
        <v>-9999</v>
      </c>
      <c r="BW412" s="234"/>
      <c r="BX412" s="234">
        <v>-9999</v>
      </c>
      <c r="BY412" s="234">
        <v>-9999</v>
      </c>
      <c r="BZ412" s="496">
        <v>-9999</v>
      </c>
      <c r="CA412" s="527">
        <v>15</v>
      </c>
      <c r="CB412" s="531"/>
      <c r="CC412" s="117">
        <v>2</v>
      </c>
      <c r="CD412" s="10">
        <v>1</v>
      </c>
      <c r="CE412" s="343">
        <v>5</v>
      </c>
      <c r="CF412" s="343">
        <v>5</v>
      </c>
      <c r="CG412" s="14">
        <v>1</v>
      </c>
    </row>
    <row r="413" spans="1:1873" s="118" customFormat="1" ht="15" customHeight="1" x14ac:dyDescent="0.2">
      <c r="A413" s="522" t="s">
        <v>1424</v>
      </c>
      <c r="B413" s="234" t="s">
        <v>42</v>
      </c>
      <c r="C413" s="522" t="s">
        <v>57</v>
      </c>
      <c r="D413" s="234" t="s">
        <v>619</v>
      </c>
      <c r="E413" s="493" t="s">
        <v>1503</v>
      </c>
      <c r="F413" s="523">
        <v>2</v>
      </c>
      <c r="G413" s="522">
        <v>2</v>
      </c>
      <c r="H413" s="524">
        <v>2</v>
      </c>
      <c r="I413" s="234" t="s">
        <v>954</v>
      </c>
      <c r="J413" s="522" t="s">
        <v>48</v>
      </c>
      <c r="K413" s="524" t="s">
        <v>957</v>
      </c>
      <c r="L413" s="522" t="s">
        <v>930</v>
      </c>
      <c r="M413" s="525">
        <v>21.6</v>
      </c>
      <c r="N413" s="389">
        <v>-9999</v>
      </c>
      <c r="O413" s="29"/>
      <c r="P413" s="525">
        <f>+M413</f>
        <v>21.6</v>
      </c>
      <c r="Q413" s="234">
        <v>-9999</v>
      </c>
      <c r="R413" s="389"/>
      <c r="S413" s="234"/>
      <c r="T413" s="237">
        <f>+P413/G413</f>
        <v>10.8</v>
      </c>
      <c r="U413" s="234">
        <v>-9999</v>
      </c>
      <c r="V413" s="234"/>
      <c r="W413" s="412">
        <f>+P413-P412</f>
        <v>16.600000000000001</v>
      </c>
      <c r="X413" s="491">
        <v>-9999</v>
      </c>
      <c r="Y413" s="491"/>
      <c r="Z413" s="390" t="s">
        <v>1704</v>
      </c>
      <c r="AA413" s="520">
        <v>20833</v>
      </c>
      <c r="AB413" s="389">
        <v>0.59</v>
      </c>
      <c r="AC413" s="522">
        <v>1.2</v>
      </c>
      <c r="AD413" s="526">
        <v>125</v>
      </c>
      <c r="AE413" s="522" t="s">
        <v>168</v>
      </c>
      <c r="AF413" s="522">
        <v>6</v>
      </c>
      <c r="AG413" s="522" t="s">
        <v>776</v>
      </c>
      <c r="AH413" s="522" t="s">
        <v>623</v>
      </c>
      <c r="AI413" s="234">
        <v>-9999</v>
      </c>
      <c r="AJ413" s="234">
        <v>-9999</v>
      </c>
      <c r="AK413" s="522" t="s">
        <v>626</v>
      </c>
      <c r="AL413" s="522" t="s">
        <v>272</v>
      </c>
      <c r="AM413" s="234">
        <v>-9999</v>
      </c>
      <c r="AN413" s="522" t="s">
        <v>779</v>
      </c>
      <c r="AO413" s="522" t="s">
        <v>51</v>
      </c>
      <c r="AP413" s="522" t="s">
        <v>52</v>
      </c>
      <c r="AQ413" s="522" t="s">
        <v>779</v>
      </c>
      <c r="AR413" s="234" t="s">
        <v>52</v>
      </c>
      <c r="AS413" s="234">
        <v>-9999</v>
      </c>
      <c r="AT413" s="234" t="s">
        <v>749</v>
      </c>
      <c r="AU413" s="234" t="s">
        <v>52</v>
      </c>
      <c r="AV413" s="234">
        <v>-9999</v>
      </c>
      <c r="AW413" s="234" t="s">
        <v>749</v>
      </c>
      <c r="AX413" s="234" t="s">
        <v>52</v>
      </c>
      <c r="AY413" s="234">
        <v>-9999</v>
      </c>
      <c r="AZ413" s="234" t="s">
        <v>749</v>
      </c>
      <c r="BA413" s="234">
        <v>-9999</v>
      </c>
      <c r="BB413" s="522" t="s">
        <v>626</v>
      </c>
      <c r="BC413" s="522" t="s">
        <v>273</v>
      </c>
      <c r="BD413" s="522" t="s">
        <v>642</v>
      </c>
      <c r="BE413" s="234">
        <v>-9999</v>
      </c>
      <c r="BF413" s="522" t="s">
        <v>274</v>
      </c>
      <c r="BG413" s="522" t="s">
        <v>275</v>
      </c>
      <c r="BH413" s="234">
        <v>-9999</v>
      </c>
      <c r="BI413" s="234">
        <v>-9999</v>
      </c>
      <c r="BJ413" s="234">
        <v>-9999</v>
      </c>
      <c r="BK413" s="234">
        <v>-9999</v>
      </c>
      <c r="BL413" s="234">
        <v>5.7</v>
      </c>
      <c r="BM413" s="234">
        <v>-9999</v>
      </c>
      <c r="BN413" s="234">
        <v>3.9</v>
      </c>
      <c r="BO413" s="234">
        <v>-9999</v>
      </c>
      <c r="BP413" s="234">
        <v>-9999</v>
      </c>
      <c r="BQ413" s="234">
        <v>-9999</v>
      </c>
      <c r="BR413" s="234">
        <v>-9999</v>
      </c>
      <c r="BS413" s="491">
        <v>-9999</v>
      </c>
      <c r="BT413" s="234">
        <v>-9999</v>
      </c>
      <c r="BU413" s="234">
        <v>-9999</v>
      </c>
      <c r="BV413" s="234">
        <v>-9999</v>
      </c>
      <c r="BW413" s="234"/>
      <c r="BX413" s="234">
        <v>-9999</v>
      </c>
      <c r="BY413" s="234">
        <v>-9999</v>
      </c>
      <c r="BZ413" s="496">
        <v>-9999</v>
      </c>
      <c r="CA413" s="527">
        <v>15</v>
      </c>
      <c r="CB413" s="531"/>
      <c r="CC413" s="117">
        <v>2</v>
      </c>
      <c r="CD413" s="10">
        <v>2</v>
      </c>
      <c r="CE413" s="343">
        <v>10.8</v>
      </c>
      <c r="CF413" s="343">
        <v>16.600000000000001</v>
      </c>
      <c r="CG413" s="14">
        <v>2</v>
      </c>
    </row>
    <row r="414" spans="1:1873" s="190" customFormat="1" ht="15" customHeight="1" x14ac:dyDescent="0.2">
      <c r="A414" s="532" t="s">
        <v>1424</v>
      </c>
      <c r="B414" s="231" t="s">
        <v>42</v>
      </c>
      <c r="C414" s="532" t="s">
        <v>57</v>
      </c>
      <c r="D414" s="231" t="s">
        <v>619</v>
      </c>
      <c r="E414" s="232" t="s">
        <v>1503</v>
      </c>
      <c r="F414" s="533">
        <v>2</v>
      </c>
      <c r="G414" s="532">
        <v>3</v>
      </c>
      <c r="H414" s="534">
        <v>3</v>
      </c>
      <c r="I414" s="231" t="s">
        <v>954</v>
      </c>
      <c r="J414" s="532" t="s">
        <v>48</v>
      </c>
      <c r="K414" s="534" t="s">
        <v>957</v>
      </c>
      <c r="L414" s="532" t="s">
        <v>929</v>
      </c>
      <c r="M414" s="535">
        <v>34.200000000000003</v>
      </c>
      <c r="N414" s="235">
        <v>-9999</v>
      </c>
      <c r="O414" s="18"/>
      <c r="P414" s="535">
        <f>+M414</f>
        <v>34.200000000000003</v>
      </c>
      <c r="Q414" s="231">
        <v>-9999</v>
      </c>
      <c r="R414" s="235"/>
      <c r="S414" s="231"/>
      <c r="T414" s="536">
        <f>+P414/G414</f>
        <v>11.4</v>
      </c>
      <c r="U414" s="231">
        <v>-9999</v>
      </c>
      <c r="V414" s="231"/>
      <c r="W414" s="517">
        <f>+P414-P413</f>
        <v>12.600000000000001</v>
      </c>
      <c r="X414" s="233">
        <v>-9999</v>
      </c>
      <c r="Y414" s="233"/>
      <c r="Z414" s="231" t="s">
        <v>1704</v>
      </c>
      <c r="AA414" s="521">
        <v>20833</v>
      </c>
      <c r="AB414" s="235">
        <v>0.46</v>
      </c>
      <c r="AC414" s="532">
        <v>1.2</v>
      </c>
      <c r="AD414" s="537">
        <v>125</v>
      </c>
      <c r="AE414" s="532" t="s">
        <v>168</v>
      </c>
      <c r="AF414" s="532">
        <v>6</v>
      </c>
      <c r="AG414" s="532" t="s">
        <v>776</v>
      </c>
      <c r="AH414" s="532" t="s">
        <v>623</v>
      </c>
      <c r="AI414" s="231">
        <v>-9999</v>
      </c>
      <c r="AJ414" s="231">
        <v>-9999</v>
      </c>
      <c r="AK414" s="532" t="s">
        <v>626</v>
      </c>
      <c r="AL414" s="532" t="s">
        <v>272</v>
      </c>
      <c r="AM414" s="231">
        <v>-9999</v>
      </c>
      <c r="AN414" s="532" t="s">
        <v>779</v>
      </c>
      <c r="AO414" s="532" t="s">
        <v>51</v>
      </c>
      <c r="AP414" s="532" t="s">
        <v>52</v>
      </c>
      <c r="AQ414" s="532" t="s">
        <v>779</v>
      </c>
      <c r="AR414" s="231" t="s">
        <v>52</v>
      </c>
      <c r="AS414" s="231">
        <v>-9999</v>
      </c>
      <c r="AT414" s="231" t="s">
        <v>749</v>
      </c>
      <c r="AU414" s="231" t="s">
        <v>52</v>
      </c>
      <c r="AV414" s="231">
        <v>-9999</v>
      </c>
      <c r="AW414" s="231" t="s">
        <v>749</v>
      </c>
      <c r="AX414" s="231" t="s">
        <v>52</v>
      </c>
      <c r="AY414" s="231">
        <v>-9999</v>
      </c>
      <c r="AZ414" s="231" t="s">
        <v>749</v>
      </c>
      <c r="BA414" s="231">
        <v>-9999</v>
      </c>
      <c r="BB414" s="532" t="s">
        <v>626</v>
      </c>
      <c r="BC414" s="532" t="s">
        <v>273</v>
      </c>
      <c r="BD414" s="532" t="s">
        <v>642</v>
      </c>
      <c r="BE414" s="231">
        <v>-9999</v>
      </c>
      <c r="BF414" s="532" t="s">
        <v>274</v>
      </c>
      <c r="BG414" s="532" t="s">
        <v>275</v>
      </c>
      <c r="BH414" s="231">
        <v>-9999</v>
      </c>
      <c r="BI414" s="231">
        <v>-9999</v>
      </c>
      <c r="BJ414" s="231">
        <v>-9999</v>
      </c>
      <c r="BK414" s="231">
        <v>-9999</v>
      </c>
      <c r="BL414" s="231">
        <v>7.4</v>
      </c>
      <c r="BM414" s="231">
        <v>-9999</v>
      </c>
      <c r="BN414" s="231">
        <v>5.0999999999999996</v>
      </c>
      <c r="BO414" s="231">
        <v>-9999</v>
      </c>
      <c r="BP414" s="231">
        <v>-9999</v>
      </c>
      <c r="BQ414" s="231">
        <v>-9999</v>
      </c>
      <c r="BR414" s="231">
        <v>-9999</v>
      </c>
      <c r="BS414" s="233">
        <v>-9999</v>
      </c>
      <c r="BT414" s="231">
        <v>-9999</v>
      </c>
      <c r="BU414" s="231">
        <v>-9999</v>
      </c>
      <c r="BV414" s="231">
        <v>-9999</v>
      </c>
      <c r="BW414" s="231"/>
      <c r="BX414" s="231">
        <v>-9999</v>
      </c>
      <c r="BY414" s="231">
        <v>-9999</v>
      </c>
      <c r="BZ414" s="238">
        <v>-9999</v>
      </c>
      <c r="CA414" s="538">
        <v>15</v>
      </c>
      <c r="CB414" s="487"/>
      <c r="CC414" s="187">
        <v>2</v>
      </c>
      <c r="CD414" s="186">
        <v>3</v>
      </c>
      <c r="CE414" s="400">
        <v>11.4</v>
      </c>
      <c r="CF414" s="341">
        <v>12.600000000000001</v>
      </c>
      <c r="CG414" s="188">
        <v>3</v>
      </c>
      <c r="CH414" s="478" t="s">
        <v>1757</v>
      </c>
      <c r="CI414" s="7"/>
      <c r="CJ414" s="7"/>
      <c r="CK414" s="7"/>
      <c r="CL414" s="7"/>
      <c r="CM414" s="7"/>
      <c r="CN414" s="7"/>
      <c r="CO414" s="7"/>
      <c r="CP414" s="7"/>
      <c r="CQ414" s="7"/>
      <c r="CR414" s="7"/>
      <c r="CS414" s="7"/>
      <c r="CT414" s="7"/>
      <c r="CU414" s="7"/>
      <c r="CV414" s="7"/>
      <c r="CW414" s="7"/>
      <c r="CX414" s="7"/>
      <c r="CY414" s="7"/>
      <c r="CZ414" s="7"/>
      <c r="DA414" s="7"/>
      <c r="DB414" s="7"/>
      <c r="DC414" s="7"/>
      <c r="DD414" s="7"/>
      <c r="DE414" s="7"/>
      <c r="DF414" s="7"/>
      <c r="DG414" s="7"/>
      <c r="DH414" s="7"/>
      <c r="DI414" s="7"/>
      <c r="DJ414" s="7"/>
      <c r="DK414" s="7"/>
      <c r="DL414" s="7"/>
      <c r="DM414" s="7"/>
      <c r="DN414" s="7"/>
      <c r="DO414" s="7"/>
      <c r="DP414" s="7"/>
      <c r="DQ414" s="7"/>
      <c r="DR414" s="7"/>
      <c r="DS414" s="7"/>
      <c r="DT414" s="7"/>
      <c r="DU414" s="7"/>
      <c r="DV414" s="7"/>
      <c r="DW414" s="7"/>
      <c r="DX414" s="7"/>
      <c r="DY414" s="7"/>
      <c r="DZ414" s="7"/>
      <c r="EA414" s="7"/>
      <c r="EB414" s="7"/>
      <c r="EC414" s="7"/>
      <c r="ED414" s="7"/>
      <c r="EE414" s="7"/>
      <c r="EF414" s="7"/>
      <c r="EG414" s="7"/>
      <c r="EH414" s="7"/>
      <c r="EI414" s="7"/>
      <c r="EJ414" s="7"/>
      <c r="EK414" s="7"/>
      <c r="EL414" s="7"/>
      <c r="EM414" s="7"/>
      <c r="EN414" s="7"/>
      <c r="EO414" s="7"/>
      <c r="EP414" s="7"/>
      <c r="EQ414" s="7"/>
      <c r="ER414" s="7"/>
      <c r="ES414" s="7"/>
      <c r="ET414" s="7"/>
      <c r="EU414" s="7"/>
      <c r="EV414" s="7"/>
      <c r="EW414" s="7"/>
      <c r="EX414" s="7"/>
      <c r="EY414" s="7"/>
      <c r="EZ414" s="7"/>
      <c r="FA414" s="7"/>
      <c r="FB414" s="7"/>
      <c r="FC414" s="7"/>
      <c r="FD414" s="7"/>
      <c r="FE414" s="7"/>
      <c r="FF414" s="7"/>
      <c r="FG414" s="7"/>
      <c r="FH414" s="7"/>
      <c r="FI414" s="7"/>
      <c r="FJ414" s="7"/>
      <c r="FK414" s="7"/>
      <c r="FL414" s="7"/>
      <c r="FM414" s="7"/>
      <c r="FN414" s="7"/>
      <c r="FO414" s="7"/>
      <c r="FP414" s="7"/>
      <c r="FQ414" s="7"/>
      <c r="FR414" s="7"/>
      <c r="FS414" s="7"/>
      <c r="FT414" s="7"/>
      <c r="FU414" s="7"/>
      <c r="FV414" s="7"/>
      <c r="FW414" s="7"/>
      <c r="FX414" s="7"/>
      <c r="FY414" s="7"/>
      <c r="FZ414" s="7"/>
      <c r="GA414" s="7"/>
      <c r="GB414" s="7"/>
      <c r="GC414" s="7"/>
      <c r="GD414" s="7"/>
      <c r="GE414" s="7"/>
      <c r="GF414" s="7"/>
      <c r="GG414" s="7"/>
      <c r="GH414" s="7"/>
      <c r="GI414" s="7"/>
      <c r="GJ414" s="7"/>
      <c r="GK414" s="7"/>
      <c r="GL414" s="7"/>
      <c r="GM414" s="7"/>
      <c r="GN414" s="7"/>
      <c r="GO414" s="7"/>
      <c r="GP414" s="7"/>
      <c r="GQ414" s="7"/>
      <c r="GR414" s="7"/>
      <c r="GS414" s="7"/>
      <c r="GT414" s="7"/>
      <c r="GU414" s="7"/>
      <c r="GV414" s="7"/>
      <c r="GW414" s="7"/>
      <c r="GX414" s="7"/>
      <c r="GY414" s="7"/>
      <c r="GZ414" s="7"/>
      <c r="HA414" s="7"/>
      <c r="HB414" s="7"/>
      <c r="HC414" s="7"/>
      <c r="HD414" s="7"/>
      <c r="HE414" s="7"/>
      <c r="HF414" s="7"/>
      <c r="HG414" s="7"/>
      <c r="HH414" s="7"/>
      <c r="HI414" s="7"/>
      <c r="HJ414" s="7"/>
      <c r="HK414" s="7"/>
      <c r="HL414" s="7"/>
      <c r="HM414" s="7"/>
      <c r="HN414" s="7"/>
      <c r="HO414" s="7"/>
      <c r="HP414" s="7"/>
      <c r="HQ414" s="7"/>
      <c r="HR414" s="7"/>
      <c r="HS414" s="7"/>
      <c r="HT414" s="7"/>
      <c r="HU414" s="7"/>
      <c r="HV414" s="7"/>
      <c r="HW414" s="7"/>
      <c r="HX414" s="7"/>
      <c r="HY414" s="7"/>
      <c r="HZ414" s="7"/>
      <c r="IA414" s="7"/>
      <c r="IB414" s="7"/>
      <c r="IC414" s="7"/>
      <c r="ID414" s="7"/>
      <c r="IE414" s="7"/>
      <c r="IF414" s="7"/>
      <c r="IG414" s="7"/>
      <c r="IH414" s="7"/>
      <c r="II414" s="7"/>
      <c r="IJ414" s="7"/>
      <c r="IK414" s="7"/>
      <c r="IL414" s="7"/>
      <c r="IM414" s="7"/>
      <c r="IN414" s="7"/>
      <c r="IO414" s="7"/>
      <c r="IP414" s="7"/>
      <c r="IQ414" s="7"/>
      <c r="IR414" s="7"/>
      <c r="IS414" s="7"/>
      <c r="IT414" s="7"/>
      <c r="IU414" s="7"/>
      <c r="IV414" s="7"/>
      <c r="IW414" s="7"/>
      <c r="IX414" s="7"/>
      <c r="IY414" s="7"/>
      <c r="IZ414" s="7"/>
      <c r="JA414" s="7"/>
      <c r="JB414" s="7"/>
      <c r="JC414" s="7"/>
      <c r="JD414" s="7"/>
      <c r="JE414" s="7"/>
      <c r="JF414" s="7"/>
      <c r="JG414" s="7"/>
      <c r="JH414" s="7"/>
      <c r="JI414" s="7"/>
      <c r="JJ414" s="7"/>
      <c r="JK414" s="7"/>
      <c r="JL414" s="7"/>
      <c r="JM414" s="7"/>
      <c r="JN414" s="7"/>
      <c r="JO414" s="7"/>
      <c r="JP414" s="7"/>
      <c r="JQ414" s="7"/>
      <c r="JR414" s="7"/>
      <c r="JS414" s="7"/>
      <c r="JT414" s="7"/>
      <c r="JU414" s="7"/>
      <c r="JV414" s="7"/>
      <c r="JW414" s="7"/>
      <c r="JX414" s="7"/>
      <c r="JY414" s="7"/>
      <c r="JZ414" s="7"/>
      <c r="KA414" s="7"/>
      <c r="KB414" s="7"/>
      <c r="KC414" s="7"/>
      <c r="KD414" s="7"/>
      <c r="KE414" s="7"/>
      <c r="KF414" s="7"/>
      <c r="KG414" s="7"/>
      <c r="KH414" s="7"/>
      <c r="KI414" s="7"/>
      <c r="KJ414" s="7"/>
      <c r="KK414" s="7"/>
      <c r="KL414" s="7"/>
      <c r="KM414" s="7"/>
      <c r="KN414" s="7"/>
      <c r="KO414" s="7"/>
      <c r="KP414" s="7"/>
      <c r="KQ414" s="7"/>
      <c r="KR414" s="7"/>
      <c r="KS414" s="7"/>
      <c r="KT414" s="7"/>
      <c r="KU414" s="7"/>
      <c r="KV414" s="7"/>
      <c r="KW414" s="7"/>
      <c r="KX414" s="7"/>
      <c r="KY414" s="7"/>
      <c r="KZ414" s="7"/>
      <c r="LA414" s="7"/>
      <c r="LB414" s="7"/>
      <c r="LC414" s="7"/>
      <c r="LD414" s="7"/>
      <c r="LE414" s="7"/>
      <c r="LF414" s="7"/>
      <c r="LG414" s="7"/>
      <c r="LH414" s="7"/>
      <c r="LI414" s="7"/>
      <c r="LJ414" s="7"/>
      <c r="LK414" s="7"/>
      <c r="LL414" s="7"/>
      <c r="LM414" s="7"/>
      <c r="LN414" s="7"/>
      <c r="LO414" s="7"/>
      <c r="LP414" s="7"/>
      <c r="LQ414" s="7"/>
      <c r="LR414" s="7"/>
      <c r="LS414" s="7"/>
      <c r="LT414" s="7"/>
      <c r="LU414" s="7"/>
      <c r="LV414" s="7"/>
      <c r="LW414" s="7"/>
      <c r="LX414" s="7"/>
      <c r="LY414" s="7"/>
      <c r="LZ414" s="7"/>
      <c r="MA414" s="7"/>
      <c r="MB414" s="7"/>
      <c r="MC414" s="7"/>
      <c r="MD414" s="7"/>
      <c r="ME414" s="7"/>
      <c r="MF414" s="7"/>
      <c r="MG414" s="7"/>
      <c r="MH414" s="7"/>
      <c r="MI414" s="7"/>
      <c r="MJ414" s="7"/>
      <c r="MK414" s="7"/>
      <c r="ML414" s="7"/>
      <c r="MM414" s="7"/>
      <c r="MN414" s="7"/>
      <c r="MO414" s="7"/>
      <c r="MP414" s="7"/>
      <c r="MQ414" s="7"/>
      <c r="MR414" s="7"/>
      <c r="MS414" s="7"/>
      <c r="MT414" s="7"/>
      <c r="MU414" s="7"/>
      <c r="MV414" s="7"/>
      <c r="MW414" s="7"/>
      <c r="MX414" s="7"/>
      <c r="MY414" s="7"/>
      <c r="MZ414" s="7"/>
      <c r="NA414" s="7"/>
      <c r="NB414" s="7"/>
      <c r="NC414" s="7"/>
      <c r="ND414" s="7"/>
      <c r="NE414" s="7"/>
      <c r="NF414" s="7"/>
      <c r="NG414" s="7"/>
      <c r="NH414" s="7"/>
      <c r="NI414" s="7"/>
      <c r="NJ414" s="7"/>
      <c r="NK414" s="7"/>
      <c r="NL414" s="7"/>
      <c r="NM414" s="7"/>
      <c r="NN414" s="7"/>
      <c r="NO414" s="7"/>
      <c r="NP414" s="7"/>
      <c r="NQ414" s="7"/>
      <c r="NR414" s="7"/>
      <c r="NS414" s="7"/>
      <c r="NT414" s="7"/>
      <c r="NU414" s="7"/>
      <c r="NV414" s="7"/>
      <c r="NW414" s="7"/>
      <c r="NX414" s="7"/>
      <c r="NY414" s="7"/>
      <c r="NZ414" s="7"/>
      <c r="OA414" s="7"/>
      <c r="OB414" s="7"/>
      <c r="OC414" s="7"/>
      <c r="OD414" s="7"/>
      <c r="OE414" s="7"/>
      <c r="OF414" s="7"/>
      <c r="OG414" s="7"/>
      <c r="OH414" s="7"/>
      <c r="OI414" s="7"/>
      <c r="OJ414" s="7"/>
      <c r="OK414" s="7"/>
      <c r="OL414" s="7"/>
      <c r="OM414" s="7"/>
      <c r="ON414" s="7"/>
      <c r="OO414" s="7"/>
      <c r="OP414" s="7"/>
      <c r="OQ414" s="7"/>
      <c r="OR414" s="7"/>
      <c r="OS414" s="7"/>
      <c r="OT414" s="7"/>
      <c r="OU414" s="7"/>
      <c r="OV414" s="7"/>
      <c r="OW414" s="7"/>
      <c r="OX414" s="7"/>
      <c r="OY414" s="7"/>
      <c r="OZ414" s="7"/>
      <c r="PA414" s="7"/>
      <c r="PB414" s="7"/>
      <c r="PC414" s="7"/>
      <c r="PD414" s="7"/>
      <c r="PE414" s="7"/>
      <c r="PF414" s="7"/>
      <c r="PG414" s="7"/>
      <c r="PH414" s="7"/>
      <c r="PI414" s="7"/>
      <c r="PJ414" s="7"/>
      <c r="PK414" s="7"/>
      <c r="PL414" s="7"/>
      <c r="PM414" s="7"/>
      <c r="PN414" s="7"/>
      <c r="PO414" s="7"/>
      <c r="PP414" s="7"/>
      <c r="PQ414" s="7"/>
      <c r="PR414" s="7"/>
      <c r="PS414" s="7"/>
      <c r="PT414" s="7"/>
      <c r="PU414" s="7"/>
      <c r="PV414" s="7"/>
      <c r="PW414" s="7"/>
      <c r="PX414" s="7"/>
      <c r="PY414" s="7"/>
      <c r="PZ414" s="7"/>
      <c r="QA414" s="7"/>
      <c r="QB414" s="7"/>
      <c r="QC414" s="7"/>
      <c r="QD414" s="7"/>
      <c r="QE414" s="7"/>
      <c r="QF414" s="7"/>
      <c r="QG414" s="7"/>
      <c r="QH414" s="7"/>
      <c r="QI414" s="7"/>
      <c r="QJ414" s="7"/>
      <c r="QK414" s="7"/>
      <c r="QL414" s="7"/>
      <c r="QM414" s="7"/>
      <c r="QN414" s="7"/>
      <c r="QO414" s="7"/>
      <c r="QP414" s="7"/>
      <c r="QQ414" s="7"/>
      <c r="QR414" s="7"/>
      <c r="QS414" s="7"/>
      <c r="QT414" s="7"/>
      <c r="QU414" s="7"/>
      <c r="QV414" s="7"/>
      <c r="QW414" s="7"/>
      <c r="QX414" s="7"/>
      <c r="QY414" s="7"/>
      <c r="QZ414" s="7"/>
      <c r="RA414" s="7"/>
      <c r="RB414" s="7"/>
      <c r="RC414" s="7"/>
      <c r="RD414" s="7"/>
      <c r="RE414" s="7"/>
      <c r="RF414" s="7"/>
      <c r="RG414" s="7"/>
      <c r="RH414" s="7"/>
      <c r="RI414" s="7"/>
      <c r="RJ414" s="7"/>
      <c r="RK414" s="7"/>
      <c r="RL414" s="7"/>
      <c r="RM414" s="7"/>
      <c r="RN414" s="7"/>
      <c r="RO414" s="7"/>
      <c r="RP414" s="7"/>
      <c r="RQ414" s="7"/>
      <c r="RR414" s="7"/>
      <c r="RS414" s="7"/>
      <c r="RT414" s="7"/>
      <c r="RU414" s="7"/>
      <c r="RV414" s="7"/>
      <c r="RW414" s="7"/>
      <c r="RX414" s="7"/>
      <c r="RY414" s="7"/>
      <c r="RZ414" s="7"/>
      <c r="SA414" s="7"/>
      <c r="SB414" s="7"/>
      <c r="SC414" s="7"/>
      <c r="SD414" s="7"/>
      <c r="SE414" s="7"/>
      <c r="SF414" s="7"/>
      <c r="SG414" s="7"/>
      <c r="SH414" s="7"/>
      <c r="SI414" s="7"/>
      <c r="SJ414" s="7"/>
      <c r="SK414" s="7"/>
      <c r="SL414" s="7"/>
      <c r="SM414" s="7"/>
      <c r="SN414" s="7"/>
      <c r="SO414" s="7"/>
      <c r="SP414" s="7"/>
      <c r="SQ414" s="7"/>
      <c r="SR414" s="7"/>
      <c r="SS414" s="7"/>
      <c r="ST414" s="7"/>
      <c r="SU414" s="7"/>
      <c r="SV414" s="7"/>
      <c r="SW414" s="7"/>
      <c r="SX414" s="7"/>
      <c r="SY414" s="7"/>
      <c r="SZ414" s="7"/>
      <c r="TA414" s="7"/>
      <c r="TB414" s="7"/>
      <c r="TC414" s="7"/>
      <c r="TD414" s="7"/>
      <c r="TE414" s="7"/>
      <c r="TF414" s="7"/>
      <c r="TG414" s="7"/>
      <c r="TH414" s="7"/>
      <c r="TI414" s="7"/>
      <c r="TJ414" s="7"/>
      <c r="TK414" s="7"/>
      <c r="TL414" s="7"/>
      <c r="TM414" s="7"/>
      <c r="TN414" s="7"/>
      <c r="TO414" s="7"/>
      <c r="TP414" s="7"/>
      <c r="TQ414" s="7"/>
      <c r="TR414" s="7"/>
      <c r="TS414" s="7"/>
      <c r="TT414" s="7"/>
      <c r="TU414" s="7"/>
      <c r="TV414" s="7"/>
      <c r="TW414" s="7"/>
      <c r="TX414" s="7"/>
      <c r="TY414" s="7"/>
      <c r="TZ414" s="7"/>
      <c r="UA414" s="7"/>
      <c r="UB414" s="7"/>
      <c r="UC414" s="7"/>
      <c r="UD414" s="7"/>
      <c r="UE414" s="7"/>
      <c r="UF414" s="7"/>
      <c r="UG414" s="7"/>
      <c r="UH414" s="7"/>
      <c r="UI414" s="7"/>
      <c r="UJ414" s="7"/>
      <c r="UK414" s="7"/>
      <c r="UL414" s="7"/>
      <c r="UM414" s="7"/>
      <c r="UN414" s="7"/>
      <c r="UO414" s="7"/>
      <c r="UP414" s="7"/>
      <c r="UQ414" s="7"/>
      <c r="UR414" s="7"/>
      <c r="US414" s="7"/>
      <c r="UT414" s="7"/>
      <c r="UU414" s="7"/>
      <c r="UV414" s="7"/>
      <c r="UW414" s="7"/>
      <c r="UX414" s="7"/>
      <c r="UY414" s="7"/>
      <c r="UZ414" s="7"/>
      <c r="VA414" s="7"/>
      <c r="VB414" s="7"/>
      <c r="VC414" s="7"/>
      <c r="VD414" s="7"/>
      <c r="VE414" s="7"/>
      <c r="VF414" s="7"/>
      <c r="VG414" s="7"/>
      <c r="VH414" s="7"/>
      <c r="VI414" s="7"/>
      <c r="VJ414" s="7"/>
      <c r="VK414" s="7"/>
      <c r="VL414" s="7"/>
      <c r="VM414" s="7"/>
      <c r="VN414" s="7"/>
      <c r="VO414" s="7"/>
      <c r="VP414" s="7"/>
      <c r="VQ414" s="7"/>
      <c r="VR414" s="7"/>
      <c r="VS414" s="7"/>
      <c r="VT414" s="7"/>
      <c r="VU414" s="7"/>
      <c r="VV414" s="7"/>
      <c r="VW414" s="7"/>
      <c r="VX414" s="7"/>
      <c r="VY414" s="7"/>
      <c r="VZ414" s="7"/>
      <c r="WA414" s="7"/>
      <c r="WB414" s="7"/>
      <c r="WC414" s="7"/>
      <c r="WD414" s="7"/>
      <c r="WE414" s="7"/>
      <c r="WF414" s="7"/>
      <c r="WG414" s="7"/>
      <c r="WH414" s="7"/>
      <c r="WI414" s="7"/>
      <c r="WJ414" s="7"/>
      <c r="WK414" s="7"/>
      <c r="WL414" s="7"/>
      <c r="WM414" s="7"/>
      <c r="WN414" s="7"/>
      <c r="WO414" s="7"/>
      <c r="WP414" s="7"/>
      <c r="WQ414" s="7"/>
      <c r="WR414" s="7"/>
      <c r="WS414" s="7"/>
      <c r="WT414" s="7"/>
      <c r="WU414" s="7"/>
      <c r="WV414" s="7"/>
      <c r="WW414" s="7"/>
      <c r="WX414" s="7"/>
      <c r="WY414" s="7"/>
      <c r="WZ414" s="7"/>
      <c r="XA414" s="7"/>
      <c r="XB414" s="7"/>
      <c r="XC414" s="7"/>
      <c r="XD414" s="7"/>
      <c r="XE414" s="7"/>
      <c r="XF414" s="7"/>
      <c r="XG414" s="7"/>
      <c r="XH414" s="7"/>
      <c r="XI414" s="7"/>
      <c r="XJ414" s="7"/>
      <c r="XK414" s="7"/>
      <c r="XL414" s="7"/>
      <c r="XM414" s="7"/>
      <c r="XN414" s="7"/>
      <c r="XO414" s="7"/>
      <c r="XP414" s="7"/>
      <c r="XQ414" s="7"/>
      <c r="XR414" s="7"/>
      <c r="XS414" s="7"/>
      <c r="XT414" s="7"/>
      <c r="XU414" s="7"/>
      <c r="XV414" s="7"/>
      <c r="XW414" s="7"/>
      <c r="XX414" s="7"/>
      <c r="XY414" s="7"/>
      <c r="XZ414" s="7"/>
      <c r="YA414" s="7"/>
      <c r="YB414" s="7"/>
      <c r="YC414" s="7"/>
      <c r="YD414" s="7"/>
      <c r="YE414" s="7"/>
      <c r="YF414" s="7"/>
      <c r="YG414" s="7"/>
      <c r="YH414" s="7"/>
      <c r="YI414" s="7"/>
      <c r="YJ414" s="7"/>
      <c r="YK414" s="7"/>
      <c r="YL414" s="7"/>
      <c r="YM414" s="7"/>
      <c r="YN414" s="7"/>
      <c r="YO414" s="7"/>
      <c r="YP414" s="7"/>
      <c r="YQ414" s="7"/>
      <c r="YR414" s="7"/>
      <c r="YS414" s="7"/>
      <c r="YT414" s="7"/>
      <c r="YU414" s="7"/>
      <c r="YV414" s="7"/>
      <c r="YW414" s="7"/>
      <c r="YX414" s="7"/>
      <c r="YY414" s="7"/>
      <c r="YZ414" s="7"/>
      <c r="ZA414" s="7"/>
      <c r="ZB414" s="7"/>
      <c r="ZC414" s="7"/>
      <c r="ZD414" s="7"/>
      <c r="ZE414" s="7"/>
      <c r="ZF414" s="7"/>
      <c r="ZG414" s="7"/>
      <c r="ZH414" s="7"/>
      <c r="ZI414" s="7"/>
      <c r="ZJ414" s="7"/>
      <c r="ZK414" s="7"/>
      <c r="ZL414" s="7"/>
      <c r="ZM414" s="7"/>
      <c r="ZN414" s="7"/>
      <c r="ZO414" s="7"/>
      <c r="ZP414" s="7"/>
      <c r="ZQ414" s="7"/>
      <c r="ZR414" s="7"/>
      <c r="ZS414" s="7"/>
      <c r="ZT414" s="7"/>
      <c r="ZU414" s="7"/>
      <c r="ZV414" s="7"/>
      <c r="ZW414" s="7"/>
      <c r="ZX414" s="7"/>
      <c r="ZY414" s="7"/>
      <c r="ZZ414" s="7"/>
      <c r="AAA414" s="7"/>
      <c r="AAB414" s="7"/>
      <c r="AAC414" s="7"/>
      <c r="AAD414" s="7"/>
      <c r="AAE414" s="7"/>
      <c r="AAF414" s="7"/>
      <c r="AAG414" s="7"/>
      <c r="AAH414" s="7"/>
      <c r="AAI414" s="7"/>
      <c r="AAJ414" s="7"/>
      <c r="AAK414" s="7"/>
      <c r="AAL414" s="7"/>
      <c r="AAM414" s="7"/>
      <c r="AAN414" s="7"/>
      <c r="AAO414" s="7"/>
      <c r="AAP414" s="7"/>
      <c r="AAQ414" s="7"/>
      <c r="AAR414" s="7"/>
      <c r="AAS414" s="7"/>
      <c r="AAT414" s="7"/>
      <c r="AAU414" s="7"/>
      <c r="AAV414" s="7"/>
      <c r="AAW414" s="7"/>
      <c r="AAX414" s="7"/>
      <c r="AAY414" s="7"/>
      <c r="AAZ414" s="7"/>
      <c r="ABA414" s="7"/>
      <c r="ABB414" s="7"/>
      <c r="ABC414" s="7"/>
      <c r="ABD414" s="7"/>
      <c r="ABE414" s="7"/>
      <c r="ABF414" s="7"/>
      <c r="ABG414" s="7"/>
      <c r="ABH414" s="7"/>
      <c r="ABI414" s="7"/>
      <c r="ABJ414" s="7"/>
      <c r="ABK414" s="7"/>
      <c r="ABL414" s="7"/>
      <c r="ABM414" s="7"/>
      <c r="ABN414" s="7"/>
      <c r="ABO414" s="7"/>
      <c r="ABP414" s="7"/>
      <c r="ABQ414" s="7"/>
      <c r="ABR414" s="7"/>
      <c r="ABS414" s="7"/>
      <c r="ABT414" s="7"/>
      <c r="ABU414" s="7"/>
      <c r="ABV414" s="7"/>
      <c r="ABW414" s="7"/>
      <c r="ABX414" s="7"/>
      <c r="ABY414" s="7"/>
      <c r="ABZ414" s="7"/>
      <c r="ACA414" s="7"/>
      <c r="ACB414" s="7"/>
      <c r="ACC414" s="7"/>
      <c r="ACD414" s="7"/>
      <c r="ACE414" s="7"/>
      <c r="ACF414" s="7"/>
      <c r="ACG414" s="7"/>
      <c r="ACH414" s="7"/>
      <c r="ACI414" s="7"/>
      <c r="ACJ414" s="7"/>
      <c r="ACK414" s="7"/>
      <c r="ACL414" s="7"/>
      <c r="ACM414" s="7"/>
      <c r="ACN414" s="7"/>
      <c r="ACO414" s="7"/>
      <c r="ACP414" s="7"/>
      <c r="ACQ414" s="7"/>
      <c r="ACR414" s="7"/>
      <c r="ACS414" s="7"/>
      <c r="ACT414" s="7"/>
      <c r="ACU414" s="7"/>
      <c r="ACV414" s="7"/>
      <c r="ACW414" s="7"/>
      <c r="ACX414" s="7"/>
      <c r="ACY414" s="7"/>
      <c r="ACZ414" s="7"/>
      <c r="ADA414" s="7"/>
      <c r="ADB414" s="7"/>
      <c r="ADC414" s="7"/>
      <c r="ADD414" s="7"/>
      <c r="ADE414" s="7"/>
      <c r="ADF414" s="7"/>
      <c r="ADG414" s="7"/>
      <c r="ADH414" s="7"/>
      <c r="ADI414" s="7"/>
      <c r="ADJ414" s="7"/>
      <c r="ADK414" s="7"/>
      <c r="ADL414" s="7"/>
      <c r="ADM414" s="7"/>
      <c r="ADN414" s="7"/>
      <c r="ADO414" s="7"/>
      <c r="ADP414" s="7"/>
      <c r="ADQ414" s="7"/>
      <c r="ADR414" s="7"/>
      <c r="ADS414" s="7"/>
      <c r="ADT414" s="7"/>
      <c r="ADU414" s="7"/>
      <c r="ADV414" s="7"/>
      <c r="ADW414" s="7"/>
      <c r="ADX414" s="7"/>
      <c r="ADY414" s="7"/>
      <c r="ADZ414" s="7"/>
      <c r="AEA414" s="7"/>
      <c r="AEB414" s="7"/>
      <c r="AEC414" s="7"/>
      <c r="AED414" s="7"/>
      <c r="AEE414" s="7"/>
      <c r="AEF414" s="7"/>
      <c r="AEG414" s="7"/>
      <c r="AEH414" s="7"/>
      <c r="AEI414" s="7"/>
      <c r="AEJ414" s="7"/>
      <c r="AEK414" s="7"/>
      <c r="AEL414" s="7"/>
      <c r="AEM414" s="7"/>
      <c r="AEN414" s="7"/>
      <c r="AEO414" s="7"/>
      <c r="AEP414" s="7"/>
      <c r="AEQ414" s="7"/>
      <c r="AER414" s="7"/>
      <c r="AES414" s="7"/>
      <c r="AET414" s="7"/>
      <c r="AEU414" s="7"/>
      <c r="AEV414" s="7"/>
      <c r="AEW414" s="7"/>
      <c r="AEX414" s="7"/>
      <c r="AEY414" s="7"/>
      <c r="AEZ414" s="7"/>
      <c r="AFA414" s="7"/>
      <c r="AFB414" s="7"/>
      <c r="AFC414" s="7"/>
      <c r="AFD414" s="7"/>
      <c r="AFE414" s="7"/>
      <c r="AFF414" s="7"/>
      <c r="AFG414" s="7"/>
      <c r="AFH414" s="7"/>
      <c r="AFI414" s="7"/>
      <c r="AFJ414" s="7"/>
      <c r="AFK414" s="7"/>
      <c r="AFL414" s="7"/>
      <c r="AFM414" s="7"/>
      <c r="AFN414" s="7"/>
      <c r="AFO414" s="7"/>
      <c r="AFP414" s="7"/>
      <c r="AFQ414" s="7"/>
      <c r="AFR414" s="7"/>
      <c r="AFS414" s="7"/>
      <c r="AFT414" s="7"/>
      <c r="AFU414" s="7"/>
      <c r="AFV414" s="7"/>
      <c r="AFW414" s="7"/>
      <c r="AFX414" s="7"/>
      <c r="AFY414" s="7"/>
      <c r="AFZ414" s="7"/>
      <c r="AGA414" s="7"/>
      <c r="AGB414" s="7"/>
      <c r="AGC414" s="7"/>
      <c r="AGD414" s="7"/>
      <c r="AGE414" s="7"/>
      <c r="AGF414" s="7"/>
      <c r="AGG414" s="7"/>
      <c r="AGH414" s="7"/>
      <c r="AGI414" s="7"/>
      <c r="AGJ414" s="7"/>
      <c r="AGK414" s="7"/>
      <c r="AGL414" s="7"/>
      <c r="AGM414" s="7"/>
      <c r="AGN414" s="7"/>
      <c r="AGO414" s="7"/>
      <c r="AGP414" s="7"/>
      <c r="AGQ414" s="7"/>
      <c r="AGR414" s="7"/>
      <c r="AGS414" s="7"/>
      <c r="AGT414" s="7"/>
      <c r="AGU414" s="7"/>
      <c r="AGV414" s="7"/>
      <c r="AGW414" s="7"/>
      <c r="AGX414" s="7"/>
      <c r="AGY414" s="7"/>
      <c r="AGZ414" s="7"/>
      <c r="AHA414" s="7"/>
      <c r="AHB414" s="7"/>
      <c r="AHC414" s="7"/>
      <c r="AHD414" s="7"/>
      <c r="AHE414" s="7"/>
      <c r="AHF414" s="7"/>
      <c r="AHG414" s="7"/>
      <c r="AHH414" s="7"/>
      <c r="AHI414" s="7"/>
      <c r="AHJ414" s="7"/>
      <c r="AHK414" s="7"/>
      <c r="AHL414" s="7"/>
      <c r="AHM414" s="7"/>
      <c r="AHN414" s="7"/>
      <c r="AHO414" s="7"/>
      <c r="AHP414" s="7"/>
      <c r="AHQ414" s="7"/>
      <c r="AHR414" s="7"/>
      <c r="AHS414" s="7"/>
      <c r="AHT414" s="7"/>
      <c r="AHU414" s="7"/>
      <c r="AHV414" s="7"/>
      <c r="AHW414" s="7"/>
      <c r="AHX414" s="7"/>
      <c r="AHY414" s="7"/>
      <c r="AHZ414" s="7"/>
      <c r="AIA414" s="7"/>
      <c r="AIB414" s="7"/>
      <c r="AIC414" s="7"/>
      <c r="AID414" s="7"/>
      <c r="AIE414" s="7"/>
      <c r="AIF414" s="7"/>
      <c r="AIG414" s="7"/>
      <c r="AIH414" s="7"/>
      <c r="AII414" s="7"/>
      <c r="AIJ414" s="7"/>
      <c r="AIK414" s="7"/>
      <c r="AIL414" s="7"/>
      <c r="AIM414" s="7"/>
      <c r="AIN414" s="7"/>
      <c r="AIO414" s="7"/>
      <c r="AIP414" s="7"/>
      <c r="AIQ414" s="7"/>
      <c r="AIR414" s="7"/>
      <c r="AIS414" s="7"/>
      <c r="AIT414" s="7"/>
      <c r="AIU414" s="7"/>
      <c r="AIV414" s="7"/>
      <c r="AIW414" s="7"/>
      <c r="AIX414" s="7"/>
      <c r="AIY414" s="7"/>
      <c r="AIZ414" s="7"/>
      <c r="AJA414" s="7"/>
      <c r="AJB414" s="7"/>
      <c r="AJC414" s="7"/>
      <c r="AJD414" s="7"/>
      <c r="AJE414" s="7"/>
      <c r="AJF414" s="7"/>
      <c r="AJG414" s="7"/>
      <c r="AJH414" s="7"/>
      <c r="AJI414" s="7"/>
      <c r="AJJ414" s="7"/>
      <c r="AJK414" s="7"/>
      <c r="AJL414" s="7"/>
      <c r="AJM414" s="7"/>
      <c r="AJN414" s="7"/>
      <c r="AJO414" s="7"/>
      <c r="AJP414" s="7"/>
      <c r="AJQ414" s="7"/>
      <c r="AJR414" s="7"/>
      <c r="AJS414" s="7"/>
      <c r="AJT414" s="7"/>
      <c r="AJU414" s="7"/>
      <c r="AJV414" s="7"/>
      <c r="AJW414" s="7"/>
      <c r="AJX414" s="7"/>
      <c r="AJY414" s="7"/>
      <c r="AJZ414" s="7"/>
      <c r="AKA414" s="7"/>
      <c r="AKB414" s="7"/>
      <c r="AKC414" s="7"/>
      <c r="AKD414" s="7"/>
      <c r="AKE414" s="7"/>
      <c r="AKF414" s="7"/>
      <c r="AKG414" s="7"/>
      <c r="AKH414" s="7"/>
      <c r="AKI414" s="7"/>
      <c r="AKJ414" s="7"/>
      <c r="AKK414" s="7"/>
      <c r="AKL414" s="7"/>
      <c r="AKM414" s="7"/>
      <c r="AKN414" s="7"/>
      <c r="AKO414" s="7"/>
      <c r="AKP414" s="7"/>
      <c r="AKQ414" s="7"/>
      <c r="AKR414" s="7"/>
      <c r="AKS414" s="7"/>
      <c r="AKT414" s="7"/>
      <c r="AKU414" s="7"/>
      <c r="AKV414" s="7"/>
      <c r="AKW414" s="7"/>
      <c r="AKX414" s="7"/>
      <c r="AKY414" s="7"/>
      <c r="AKZ414" s="7"/>
      <c r="ALA414" s="7"/>
      <c r="ALB414" s="7"/>
      <c r="ALC414" s="7"/>
      <c r="ALD414" s="7"/>
      <c r="ALE414" s="7"/>
      <c r="ALF414" s="7"/>
      <c r="ALG414" s="7"/>
      <c r="ALH414" s="7"/>
      <c r="ALI414" s="7"/>
      <c r="ALJ414" s="7"/>
      <c r="ALK414" s="7"/>
      <c r="ALL414" s="7"/>
      <c r="ALM414" s="7"/>
      <c r="ALN414" s="7"/>
      <c r="ALO414" s="7"/>
      <c r="ALP414" s="7"/>
      <c r="ALQ414" s="7"/>
      <c r="ALR414" s="7"/>
      <c r="ALS414" s="7"/>
      <c r="ALT414" s="7"/>
      <c r="ALU414" s="7"/>
      <c r="ALV414" s="7"/>
      <c r="ALW414" s="7"/>
      <c r="ALX414" s="7"/>
      <c r="ALY414" s="7"/>
      <c r="ALZ414" s="7"/>
      <c r="AMA414" s="7"/>
      <c r="AMB414" s="7"/>
      <c r="AMC414" s="7"/>
      <c r="AMD414" s="7"/>
      <c r="AME414" s="7"/>
      <c r="AMF414" s="7"/>
      <c r="AMG414" s="7"/>
      <c r="AMH414" s="7"/>
      <c r="AMI414" s="7"/>
      <c r="AMJ414" s="7"/>
      <c r="AMK414" s="7"/>
      <c r="AML414" s="7"/>
      <c r="AMM414" s="7"/>
      <c r="AMN414" s="7"/>
      <c r="AMO414" s="7"/>
      <c r="AMP414" s="7"/>
      <c r="AMQ414" s="7"/>
      <c r="AMR414" s="7"/>
      <c r="AMS414" s="7"/>
      <c r="AMT414" s="7"/>
      <c r="AMU414" s="7"/>
      <c r="AMV414" s="7"/>
      <c r="AMW414" s="7"/>
      <c r="AMX414" s="7"/>
      <c r="AMY414" s="7"/>
      <c r="AMZ414" s="7"/>
      <c r="ANA414" s="7"/>
      <c r="ANB414" s="7"/>
      <c r="ANC414" s="7"/>
      <c r="AND414" s="7"/>
      <c r="ANE414" s="7"/>
      <c r="ANF414" s="7"/>
      <c r="ANG414" s="7"/>
      <c r="ANH414" s="7"/>
      <c r="ANI414" s="7"/>
      <c r="ANJ414" s="7"/>
      <c r="ANK414" s="7"/>
      <c r="ANL414" s="7"/>
      <c r="ANM414" s="7"/>
      <c r="ANN414" s="7"/>
      <c r="ANO414" s="7"/>
      <c r="ANP414" s="7"/>
      <c r="ANQ414" s="7"/>
      <c r="ANR414" s="7"/>
      <c r="ANS414" s="7"/>
      <c r="ANT414" s="7"/>
      <c r="ANU414" s="7"/>
      <c r="ANV414" s="7"/>
      <c r="ANW414" s="7"/>
      <c r="ANX414" s="7"/>
      <c r="ANY414" s="7"/>
      <c r="ANZ414" s="7"/>
      <c r="AOA414" s="7"/>
      <c r="AOB414" s="7"/>
      <c r="AOC414" s="7"/>
      <c r="AOD414" s="7"/>
      <c r="AOE414" s="7"/>
      <c r="AOF414" s="7"/>
      <c r="AOG414" s="7"/>
      <c r="AOH414" s="7"/>
      <c r="AOI414" s="7"/>
      <c r="AOJ414" s="7"/>
      <c r="AOK414" s="7"/>
      <c r="AOL414" s="7"/>
      <c r="AOM414" s="7"/>
      <c r="AON414" s="7"/>
      <c r="AOO414" s="7"/>
      <c r="AOP414" s="7"/>
      <c r="AOQ414" s="7"/>
      <c r="AOR414" s="7"/>
      <c r="AOS414" s="7"/>
      <c r="AOT414" s="7"/>
      <c r="AOU414" s="7"/>
      <c r="AOV414" s="7"/>
      <c r="AOW414" s="7"/>
      <c r="AOX414" s="7"/>
      <c r="AOY414" s="7"/>
      <c r="AOZ414" s="7"/>
      <c r="APA414" s="7"/>
      <c r="APB414" s="7"/>
      <c r="APC414" s="7"/>
      <c r="APD414" s="7"/>
      <c r="APE414" s="7"/>
      <c r="APF414" s="7"/>
      <c r="APG414" s="7"/>
      <c r="APH414" s="7"/>
      <c r="API414" s="7"/>
      <c r="APJ414" s="7"/>
      <c r="APK414" s="7"/>
      <c r="APL414" s="7"/>
      <c r="APM414" s="7"/>
      <c r="APN414" s="7"/>
      <c r="APO414" s="7"/>
      <c r="APP414" s="7"/>
      <c r="APQ414" s="7"/>
      <c r="APR414" s="7"/>
      <c r="APS414" s="7"/>
      <c r="APT414" s="7"/>
      <c r="APU414" s="7"/>
      <c r="APV414" s="7"/>
      <c r="APW414" s="7"/>
      <c r="APX414" s="7"/>
      <c r="APY414" s="7"/>
      <c r="APZ414" s="7"/>
      <c r="AQA414" s="7"/>
      <c r="AQB414" s="7"/>
      <c r="AQC414" s="7"/>
      <c r="AQD414" s="7"/>
      <c r="AQE414" s="7"/>
      <c r="AQF414" s="7"/>
      <c r="AQG414" s="7"/>
      <c r="AQH414" s="7"/>
      <c r="AQI414" s="7"/>
      <c r="AQJ414" s="7"/>
      <c r="AQK414" s="7"/>
      <c r="AQL414" s="7"/>
      <c r="AQM414" s="7"/>
      <c r="AQN414" s="7"/>
      <c r="AQO414" s="7"/>
      <c r="AQP414" s="7"/>
      <c r="AQQ414" s="7"/>
      <c r="AQR414" s="7"/>
      <c r="AQS414" s="7"/>
      <c r="AQT414" s="7"/>
      <c r="AQU414" s="7"/>
      <c r="AQV414" s="7"/>
      <c r="AQW414" s="7"/>
      <c r="AQX414" s="7"/>
      <c r="AQY414" s="7"/>
      <c r="AQZ414" s="7"/>
      <c r="ARA414" s="7"/>
      <c r="ARB414" s="7"/>
      <c r="ARC414" s="7"/>
      <c r="ARD414" s="7"/>
      <c r="ARE414" s="7"/>
      <c r="ARF414" s="7"/>
      <c r="ARG414" s="7"/>
      <c r="ARH414" s="7"/>
      <c r="ARI414" s="7"/>
      <c r="ARJ414" s="7"/>
      <c r="ARK414" s="7"/>
      <c r="ARL414" s="7"/>
      <c r="ARM414" s="7"/>
      <c r="ARN414" s="7"/>
      <c r="ARO414" s="7"/>
      <c r="ARP414" s="7"/>
      <c r="ARQ414" s="7"/>
      <c r="ARR414" s="7"/>
      <c r="ARS414" s="7"/>
      <c r="ART414" s="7"/>
      <c r="ARU414" s="7"/>
      <c r="ARV414" s="7"/>
      <c r="ARW414" s="7"/>
      <c r="ARX414" s="7"/>
      <c r="ARY414" s="7"/>
      <c r="ARZ414" s="7"/>
      <c r="ASA414" s="7"/>
      <c r="ASB414" s="7"/>
      <c r="ASC414" s="7"/>
      <c r="ASD414" s="7"/>
      <c r="ASE414" s="7"/>
      <c r="ASF414" s="7"/>
      <c r="ASG414" s="7"/>
      <c r="ASH414" s="7"/>
      <c r="ASI414" s="7"/>
      <c r="ASJ414" s="7"/>
      <c r="ASK414" s="7"/>
      <c r="ASL414" s="7"/>
      <c r="ASM414" s="7"/>
      <c r="ASN414" s="7"/>
      <c r="ASO414" s="7"/>
      <c r="ASP414" s="7"/>
      <c r="ASQ414" s="7"/>
      <c r="ASR414" s="7"/>
      <c r="ASS414" s="7"/>
      <c r="AST414" s="7"/>
      <c r="ASU414" s="7"/>
      <c r="ASV414" s="7"/>
      <c r="ASW414" s="7"/>
      <c r="ASX414" s="7"/>
      <c r="ASY414" s="7"/>
      <c r="ASZ414" s="7"/>
      <c r="ATA414" s="7"/>
      <c r="ATB414" s="7"/>
      <c r="ATC414" s="7"/>
      <c r="ATD414" s="7"/>
      <c r="ATE414" s="7"/>
      <c r="ATF414" s="7"/>
      <c r="ATG414" s="7"/>
      <c r="ATH414" s="7"/>
      <c r="ATI414" s="7"/>
      <c r="ATJ414" s="7"/>
      <c r="ATK414" s="7"/>
      <c r="ATL414" s="7"/>
      <c r="ATM414" s="7"/>
      <c r="ATN414" s="7"/>
      <c r="ATO414" s="7"/>
      <c r="ATP414" s="7"/>
      <c r="ATQ414" s="7"/>
      <c r="ATR414" s="7"/>
      <c r="ATS414" s="7"/>
      <c r="ATT414" s="7"/>
      <c r="ATU414" s="7"/>
      <c r="ATV414" s="7"/>
      <c r="ATW414" s="7"/>
      <c r="ATX414" s="7"/>
      <c r="ATY414" s="7"/>
      <c r="ATZ414" s="7"/>
      <c r="AUA414" s="7"/>
      <c r="AUB414" s="7"/>
      <c r="AUC414" s="7"/>
      <c r="AUD414" s="7"/>
      <c r="AUE414" s="7"/>
      <c r="AUF414" s="7"/>
      <c r="AUG414" s="7"/>
      <c r="AUH414" s="7"/>
      <c r="AUI414" s="7"/>
      <c r="AUJ414" s="7"/>
      <c r="AUK414" s="7"/>
      <c r="AUL414" s="7"/>
      <c r="AUM414" s="7"/>
      <c r="AUN414" s="7"/>
      <c r="AUO414" s="7"/>
      <c r="AUP414" s="7"/>
      <c r="AUQ414" s="7"/>
      <c r="AUR414" s="7"/>
      <c r="AUS414" s="7"/>
      <c r="AUT414" s="7"/>
      <c r="AUU414" s="7"/>
      <c r="AUV414" s="7"/>
      <c r="AUW414" s="7"/>
      <c r="AUX414" s="7"/>
      <c r="AUY414" s="7"/>
      <c r="AUZ414" s="7"/>
      <c r="AVA414" s="7"/>
      <c r="AVB414" s="7"/>
      <c r="AVC414" s="7"/>
      <c r="AVD414" s="7"/>
      <c r="AVE414" s="7"/>
      <c r="AVF414" s="7"/>
      <c r="AVG414" s="7"/>
      <c r="AVH414" s="7"/>
      <c r="AVI414" s="7"/>
      <c r="AVJ414" s="7"/>
      <c r="AVK414" s="7"/>
      <c r="AVL414" s="7"/>
      <c r="AVM414" s="7"/>
      <c r="AVN414" s="7"/>
      <c r="AVO414" s="7"/>
      <c r="AVP414" s="7"/>
      <c r="AVQ414" s="7"/>
      <c r="AVR414" s="7"/>
      <c r="AVS414" s="7"/>
      <c r="AVT414" s="7"/>
      <c r="AVU414" s="7"/>
      <c r="AVV414" s="7"/>
      <c r="AVW414" s="7"/>
      <c r="AVX414" s="7"/>
      <c r="AVY414" s="7"/>
      <c r="AVZ414" s="7"/>
      <c r="AWA414" s="7"/>
      <c r="AWB414" s="7"/>
      <c r="AWC414" s="7"/>
      <c r="AWD414" s="7"/>
      <c r="AWE414" s="7"/>
      <c r="AWF414" s="7"/>
      <c r="AWG414" s="7"/>
      <c r="AWH414" s="7"/>
      <c r="AWI414" s="7"/>
      <c r="AWJ414" s="7"/>
      <c r="AWK414" s="7"/>
      <c r="AWL414" s="7"/>
      <c r="AWM414" s="7"/>
      <c r="AWN414" s="7"/>
      <c r="AWO414" s="7"/>
      <c r="AWP414" s="7"/>
      <c r="AWQ414" s="7"/>
      <c r="AWR414" s="7"/>
      <c r="AWS414" s="7"/>
      <c r="AWT414" s="7"/>
      <c r="AWU414" s="7"/>
      <c r="AWV414" s="7"/>
      <c r="AWW414" s="7"/>
      <c r="AWX414" s="7"/>
      <c r="AWY414" s="7"/>
      <c r="AWZ414" s="7"/>
      <c r="AXA414" s="7"/>
      <c r="AXB414" s="7"/>
      <c r="AXC414" s="7"/>
      <c r="AXD414" s="7"/>
      <c r="AXE414" s="7"/>
      <c r="AXF414" s="7"/>
      <c r="AXG414" s="7"/>
      <c r="AXH414" s="7"/>
      <c r="AXI414" s="7"/>
      <c r="AXJ414" s="7"/>
      <c r="AXK414" s="7"/>
      <c r="AXL414" s="7"/>
      <c r="AXM414" s="7"/>
      <c r="AXN414" s="7"/>
      <c r="AXO414" s="7"/>
      <c r="AXP414" s="7"/>
      <c r="AXQ414" s="7"/>
      <c r="AXR414" s="7"/>
      <c r="AXS414" s="7"/>
      <c r="AXT414" s="7"/>
      <c r="AXU414" s="7"/>
      <c r="AXV414" s="7"/>
      <c r="AXW414" s="7"/>
      <c r="AXX414" s="7"/>
      <c r="AXY414" s="7"/>
      <c r="AXZ414" s="7"/>
      <c r="AYA414" s="7"/>
      <c r="AYB414" s="7"/>
      <c r="AYC414" s="7"/>
      <c r="AYD414" s="7"/>
      <c r="AYE414" s="7"/>
      <c r="AYF414" s="7"/>
      <c r="AYG414" s="7"/>
      <c r="AYH414" s="7"/>
      <c r="AYI414" s="7"/>
      <c r="AYJ414" s="7"/>
      <c r="AYK414" s="7"/>
      <c r="AYL414" s="7"/>
      <c r="AYM414" s="7"/>
      <c r="AYN414" s="7"/>
      <c r="AYO414" s="7"/>
      <c r="AYP414" s="7"/>
      <c r="AYQ414" s="7"/>
      <c r="AYR414" s="7"/>
      <c r="AYS414" s="7"/>
      <c r="AYT414" s="7"/>
      <c r="AYU414" s="7"/>
      <c r="AYV414" s="7"/>
      <c r="AYW414" s="7"/>
      <c r="AYX414" s="7"/>
      <c r="AYY414" s="7"/>
      <c r="AYZ414" s="7"/>
      <c r="AZA414" s="7"/>
      <c r="AZB414" s="7"/>
      <c r="AZC414" s="7"/>
      <c r="AZD414" s="7"/>
      <c r="AZE414" s="7"/>
      <c r="AZF414" s="7"/>
      <c r="AZG414" s="7"/>
      <c r="AZH414" s="7"/>
      <c r="AZI414" s="7"/>
      <c r="AZJ414" s="7"/>
      <c r="AZK414" s="7"/>
      <c r="AZL414" s="7"/>
      <c r="AZM414" s="7"/>
      <c r="AZN414" s="7"/>
      <c r="AZO414" s="7"/>
      <c r="AZP414" s="7"/>
      <c r="AZQ414" s="7"/>
      <c r="AZR414" s="7"/>
      <c r="AZS414" s="7"/>
      <c r="AZT414" s="7"/>
      <c r="AZU414" s="7"/>
      <c r="AZV414" s="7"/>
      <c r="AZW414" s="7"/>
      <c r="AZX414" s="7"/>
      <c r="AZY414" s="7"/>
      <c r="AZZ414" s="7"/>
      <c r="BAA414" s="7"/>
      <c r="BAB414" s="7"/>
      <c r="BAC414" s="7"/>
      <c r="BAD414" s="7"/>
      <c r="BAE414" s="7"/>
      <c r="BAF414" s="7"/>
      <c r="BAG414" s="7"/>
      <c r="BAH414" s="7"/>
      <c r="BAI414" s="7"/>
      <c r="BAJ414" s="7"/>
      <c r="BAK414" s="7"/>
      <c r="BAL414" s="7"/>
      <c r="BAM414" s="7"/>
      <c r="BAN414" s="7"/>
      <c r="BAO414" s="7"/>
      <c r="BAP414" s="7"/>
      <c r="BAQ414" s="7"/>
      <c r="BAR414" s="7"/>
      <c r="BAS414" s="7"/>
      <c r="BAT414" s="7"/>
      <c r="BAU414" s="7"/>
      <c r="BAV414" s="7"/>
      <c r="BAW414" s="7"/>
      <c r="BAX414" s="7"/>
      <c r="BAY414" s="7"/>
      <c r="BAZ414" s="7"/>
      <c r="BBA414" s="7"/>
      <c r="BBB414" s="7"/>
      <c r="BBC414" s="7"/>
      <c r="BBD414" s="7"/>
      <c r="BBE414" s="7"/>
      <c r="BBF414" s="7"/>
      <c r="BBG414" s="7"/>
      <c r="BBH414" s="7"/>
      <c r="BBI414" s="7"/>
      <c r="BBJ414" s="7"/>
      <c r="BBK414" s="7"/>
      <c r="BBL414" s="7"/>
      <c r="BBM414" s="7"/>
      <c r="BBN414" s="7"/>
      <c r="BBO414" s="7"/>
      <c r="BBP414" s="7"/>
      <c r="BBQ414" s="7"/>
      <c r="BBR414" s="7"/>
      <c r="BBS414" s="7"/>
      <c r="BBT414" s="7"/>
      <c r="BBU414" s="7"/>
      <c r="BBV414" s="7"/>
      <c r="BBW414" s="7"/>
      <c r="BBX414" s="7"/>
      <c r="BBY414" s="7"/>
      <c r="BBZ414" s="7"/>
      <c r="BCA414" s="7"/>
      <c r="BCB414" s="7"/>
      <c r="BCC414" s="7"/>
      <c r="BCD414" s="7"/>
      <c r="BCE414" s="7"/>
      <c r="BCF414" s="7"/>
      <c r="BCG414" s="7"/>
      <c r="BCH414" s="7"/>
      <c r="BCI414" s="7"/>
      <c r="BCJ414" s="7"/>
      <c r="BCK414" s="7"/>
      <c r="BCL414" s="7"/>
      <c r="BCM414" s="7"/>
      <c r="BCN414" s="7"/>
      <c r="BCO414" s="7"/>
      <c r="BCP414" s="7"/>
      <c r="BCQ414" s="7"/>
      <c r="BCR414" s="7"/>
      <c r="BCS414" s="7"/>
      <c r="BCT414" s="7"/>
      <c r="BCU414" s="7"/>
      <c r="BCV414" s="7"/>
      <c r="BCW414" s="7"/>
      <c r="BCX414" s="7"/>
      <c r="BCY414" s="7"/>
      <c r="BCZ414" s="7"/>
      <c r="BDA414" s="7"/>
      <c r="BDB414" s="7"/>
      <c r="BDC414" s="7"/>
      <c r="BDD414" s="7"/>
      <c r="BDE414" s="7"/>
      <c r="BDF414" s="7"/>
      <c r="BDG414" s="7"/>
      <c r="BDH414" s="7"/>
      <c r="BDI414" s="7"/>
      <c r="BDJ414" s="7"/>
      <c r="BDK414" s="7"/>
      <c r="BDL414" s="7"/>
      <c r="BDM414" s="7"/>
      <c r="BDN414" s="7"/>
      <c r="BDO414" s="7"/>
      <c r="BDP414" s="7"/>
      <c r="BDQ414" s="7"/>
      <c r="BDR414" s="7"/>
      <c r="BDS414" s="7"/>
      <c r="BDT414" s="7"/>
      <c r="BDU414" s="7"/>
      <c r="BDV414" s="7"/>
      <c r="BDW414" s="7"/>
      <c r="BDX414" s="7"/>
      <c r="BDY414" s="7"/>
      <c r="BDZ414" s="7"/>
      <c r="BEA414" s="7"/>
      <c r="BEB414" s="7"/>
      <c r="BEC414" s="7"/>
      <c r="BED414" s="7"/>
      <c r="BEE414" s="7"/>
      <c r="BEF414" s="7"/>
      <c r="BEG414" s="7"/>
      <c r="BEH414" s="7"/>
      <c r="BEI414" s="7"/>
      <c r="BEJ414" s="7"/>
      <c r="BEK414" s="7"/>
      <c r="BEL414" s="7"/>
      <c r="BEM414" s="7"/>
      <c r="BEN414" s="7"/>
      <c r="BEO414" s="7"/>
      <c r="BEP414" s="7"/>
      <c r="BEQ414" s="7"/>
      <c r="BER414" s="7"/>
      <c r="BES414" s="7"/>
      <c r="BET414" s="7"/>
      <c r="BEU414" s="7"/>
      <c r="BEV414" s="7"/>
      <c r="BEW414" s="7"/>
      <c r="BEX414" s="7"/>
      <c r="BEY414" s="7"/>
      <c r="BEZ414" s="7"/>
      <c r="BFA414" s="7"/>
      <c r="BFB414" s="7"/>
      <c r="BFC414" s="7"/>
      <c r="BFD414" s="7"/>
      <c r="BFE414" s="7"/>
      <c r="BFF414" s="7"/>
      <c r="BFG414" s="7"/>
      <c r="BFH414" s="7"/>
      <c r="BFI414" s="7"/>
      <c r="BFJ414" s="7"/>
      <c r="BFK414" s="7"/>
      <c r="BFL414" s="7"/>
      <c r="BFM414" s="7"/>
      <c r="BFN414" s="7"/>
      <c r="BFO414" s="7"/>
      <c r="BFP414" s="7"/>
      <c r="BFQ414" s="7"/>
      <c r="BFR414" s="7"/>
      <c r="BFS414" s="7"/>
      <c r="BFT414" s="7"/>
      <c r="BFU414" s="7"/>
      <c r="BFV414" s="7"/>
      <c r="BFW414" s="7"/>
      <c r="BFX414" s="7"/>
      <c r="BFY414" s="7"/>
      <c r="BFZ414" s="7"/>
      <c r="BGA414" s="7"/>
      <c r="BGB414" s="7"/>
      <c r="BGC414" s="7"/>
      <c r="BGD414" s="7"/>
      <c r="BGE414" s="7"/>
      <c r="BGF414" s="7"/>
      <c r="BGG414" s="7"/>
      <c r="BGH414" s="7"/>
      <c r="BGI414" s="7"/>
      <c r="BGJ414" s="7"/>
      <c r="BGK414" s="7"/>
      <c r="BGL414" s="7"/>
      <c r="BGM414" s="7"/>
      <c r="BGN414" s="7"/>
      <c r="BGO414" s="7"/>
      <c r="BGP414" s="7"/>
      <c r="BGQ414" s="7"/>
      <c r="BGR414" s="7"/>
      <c r="BGS414" s="7"/>
      <c r="BGT414" s="7"/>
      <c r="BGU414" s="7"/>
      <c r="BGV414" s="7"/>
      <c r="BGW414" s="7"/>
      <c r="BGX414" s="7"/>
      <c r="BGY414" s="7"/>
      <c r="BGZ414" s="7"/>
      <c r="BHA414" s="7"/>
      <c r="BHB414" s="7"/>
      <c r="BHC414" s="7"/>
      <c r="BHD414" s="7"/>
      <c r="BHE414" s="7"/>
      <c r="BHF414" s="7"/>
      <c r="BHG414" s="7"/>
      <c r="BHH414" s="7"/>
      <c r="BHI414" s="7"/>
      <c r="BHJ414" s="7"/>
      <c r="BHK414" s="7"/>
      <c r="BHL414" s="7"/>
      <c r="BHM414" s="7"/>
      <c r="BHN414" s="7"/>
      <c r="BHO414" s="7"/>
      <c r="BHP414" s="7"/>
      <c r="BHQ414" s="7"/>
      <c r="BHR414" s="7"/>
      <c r="BHS414" s="7"/>
      <c r="BHT414" s="7"/>
      <c r="BHU414" s="7"/>
      <c r="BHV414" s="7"/>
      <c r="BHW414" s="7"/>
      <c r="BHX414" s="7"/>
      <c r="BHY414" s="7"/>
      <c r="BHZ414" s="7"/>
      <c r="BIA414" s="7"/>
      <c r="BIB414" s="7"/>
      <c r="BIC414" s="7"/>
      <c r="BID414" s="7"/>
      <c r="BIE414" s="7"/>
      <c r="BIF414" s="7"/>
      <c r="BIG414" s="7"/>
      <c r="BIH414" s="7"/>
      <c r="BII414" s="7"/>
      <c r="BIJ414" s="7"/>
      <c r="BIK414" s="7"/>
      <c r="BIL414" s="7"/>
      <c r="BIM414" s="7"/>
      <c r="BIN414" s="7"/>
      <c r="BIO414" s="7"/>
      <c r="BIP414" s="7"/>
      <c r="BIQ414" s="7"/>
      <c r="BIR414" s="7"/>
      <c r="BIS414" s="7"/>
      <c r="BIT414" s="7"/>
      <c r="BIU414" s="7"/>
      <c r="BIV414" s="7"/>
      <c r="BIW414" s="7"/>
      <c r="BIX414" s="7"/>
      <c r="BIY414" s="7"/>
      <c r="BIZ414" s="7"/>
      <c r="BJA414" s="7"/>
      <c r="BJB414" s="7"/>
      <c r="BJC414" s="7"/>
      <c r="BJD414" s="7"/>
      <c r="BJE414" s="7"/>
      <c r="BJF414" s="7"/>
      <c r="BJG414" s="7"/>
      <c r="BJH414" s="7"/>
      <c r="BJI414" s="7"/>
      <c r="BJJ414" s="7"/>
      <c r="BJK414" s="7"/>
      <c r="BJL414" s="7"/>
      <c r="BJM414" s="7"/>
      <c r="BJN414" s="7"/>
      <c r="BJO414" s="7"/>
      <c r="BJP414" s="7"/>
      <c r="BJQ414" s="7"/>
      <c r="BJR414" s="7"/>
      <c r="BJS414" s="7"/>
      <c r="BJT414" s="7"/>
      <c r="BJU414" s="7"/>
      <c r="BJV414" s="7"/>
      <c r="BJW414" s="7"/>
      <c r="BJX414" s="7"/>
      <c r="BJY414" s="7"/>
      <c r="BJZ414" s="7"/>
      <c r="BKA414" s="7"/>
      <c r="BKB414" s="7"/>
      <c r="BKC414" s="7"/>
      <c r="BKD414" s="7"/>
      <c r="BKE414" s="7"/>
      <c r="BKF414" s="7"/>
      <c r="BKG414" s="7"/>
      <c r="BKH414" s="7"/>
      <c r="BKI414" s="7"/>
      <c r="BKJ414" s="7"/>
      <c r="BKK414" s="7"/>
      <c r="BKL414" s="7"/>
      <c r="BKM414" s="7"/>
      <c r="BKN414" s="7"/>
      <c r="BKO414" s="7"/>
      <c r="BKP414" s="7"/>
      <c r="BKQ414" s="7"/>
      <c r="BKR414" s="7"/>
      <c r="BKS414" s="7"/>
      <c r="BKT414" s="7"/>
      <c r="BKU414" s="7"/>
      <c r="BKV414" s="7"/>
      <c r="BKW414" s="7"/>
      <c r="BKX414" s="7"/>
      <c r="BKY414" s="7"/>
      <c r="BKZ414" s="7"/>
      <c r="BLA414" s="7"/>
      <c r="BLB414" s="7"/>
      <c r="BLC414" s="7"/>
      <c r="BLD414" s="7"/>
      <c r="BLE414" s="7"/>
      <c r="BLF414" s="7"/>
      <c r="BLG414" s="7"/>
      <c r="BLH414" s="7"/>
      <c r="BLI414" s="7"/>
      <c r="BLJ414" s="7"/>
      <c r="BLK414" s="7"/>
      <c r="BLL414" s="7"/>
      <c r="BLM414" s="7"/>
      <c r="BLN414" s="7"/>
      <c r="BLO414" s="7"/>
      <c r="BLP414" s="7"/>
      <c r="BLQ414" s="7"/>
      <c r="BLR414" s="7"/>
      <c r="BLS414" s="7"/>
      <c r="BLT414" s="7"/>
      <c r="BLU414" s="7"/>
      <c r="BLV414" s="7"/>
      <c r="BLW414" s="7"/>
      <c r="BLX414" s="7"/>
      <c r="BLY414" s="7"/>
      <c r="BLZ414" s="7"/>
      <c r="BMA414" s="7"/>
      <c r="BMB414" s="7"/>
      <c r="BMC414" s="7"/>
      <c r="BMD414" s="7"/>
      <c r="BME414" s="7"/>
      <c r="BMF414" s="7"/>
      <c r="BMG414" s="7"/>
      <c r="BMH414" s="7"/>
      <c r="BMI414" s="7"/>
      <c r="BMJ414" s="7"/>
      <c r="BMK414" s="7"/>
      <c r="BML414" s="7"/>
      <c r="BMM414" s="7"/>
      <c r="BMN414" s="7"/>
      <c r="BMO414" s="7"/>
      <c r="BMP414" s="7"/>
      <c r="BMQ414" s="7"/>
      <c r="BMR414" s="7"/>
      <c r="BMS414" s="7"/>
      <c r="BMT414" s="7"/>
      <c r="BMU414" s="7"/>
      <c r="BMV414" s="7"/>
      <c r="BMW414" s="7"/>
      <c r="BMX414" s="7"/>
      <c r="BMY414" s="7"/>
      <c r="BMZ414" s="7"/>
      <c r="BNA414" s="7"/>
      <c r="BNB414" s="7"/>
      <c r="BNC414" s="7"/>
      <c r="BND414" s="7"/>
      <c r="BNE414" s="7"/>
      <c r="BNF414" s="7"/>
      <c r="BNG414" s="7"/>
      <c r="BNH414" s="7"/>
      <c r="BNI414" s="7"/>
      <c r="BNJ414" s="7"/>
      <c r="BNK414" s="7"/>
      <c r="BNL414" s="7"/>
      <c r="BNM414" s="7"/>
      <c r="BNN414" s="7"/>
      <c r="BNO414" s="7"/>
      <c r="BNP414" s="7"/>
      <c r="BNQ414" s="7"/>
      <c r="BNR414" s="7"/>
      <c r="BNS414" s="7"/>
      <c r="BNT414" s="7"/>
      <c r="BNU414" s="7"/>
      <c r="BNV414" s="7"/>
      <c r="BNW414" s="7"/>
      <c r="BNX414" s="7"/>
      <c r="BNY414" s="7"/>
      <c r="BNZ414" s="7"/>
      <c r="BOA414" s="7"/>
      <c r="BOB414" s="7"/>
      <c r="BOC414" s="7"/>
      <c r="BOD414" s="7"/>
      <c r="BOE414" s="7"/>
      <c r="BOF414" s="7"/>
      <c r="BOG414" s="7"/>
      <c r="BOH414" s="7"/>
      <c r="BOI414" s="7"/>
      <c r="BOJ414" s="7"/>
      <c r="BOK414" s="7"/>
      <c r="BOL414" s="7"/>
      <c r="BOM414" s="7"/>
      <c r="BON414" s="7"/>
      <c r="BOO414" s="7"/>
      <c r="BOP414" s="7"/>
      <c r="BOQ414" s="7"/>
      <c r="BOR414" s="7"/>
      <c r="BOS414" s="7"/>
      <c r="BOT414" s="7"/>
      <c r="BOU414" s="7"/>
      <c r="BOV414" s="7"/>
      <c r="BOW414" s="7"/>
      <c r="BOX414" s="7"/>
      <c r="BOY414" s="7"/>
      <c r="BOZ414" s="7"/>
      <c r="BPA414" s="7"/>
      <c r="BPB414" s="7"/>
      <c r="BPC414" s="7"/>
      <c r="BPD414" s="7"/>
      <c r="BPE414" s="7"/>
      <c r="BPF414" s="7"/>
      <c r="BPG414" s="7"/>
      <c r="BPH414" s="7"/>
      <c r="BPI414" s="7"/>
      <c r="BPJ414" s="7"/>
      <c r="BPK414" s="7"/>
      <c r="BPL414" s="7"/>
      <c r="BPM414" s="7"/>
      <c r="BPN414" s="7"/>
      <c r="BPO414" s="7"/>
      <c r="BPP414" s="7"/>
      <c r="BPQ414" s="7"/>
      <c r="BPR414" s="7"/>
      <c r="BPS414" s="7"/>
      <c r="BPT414" s="7"/>
      <c r="BPU414" s="7"/>
      <c r="BPV414" s="7"/>
      <c r="BPW414" s="7"/>
      <c r="BPX414" s="7"/>
      <c r="BPY414" s="7"/>
      <c r="BPZ414" s="7"/>
      <c r="BQA414" s="7"/>
      <c r="BQB414" s="7"/>
      <c r="BQC414" s="7"/>
      <c r="BQD414" s="7"/>
      <c r="BQE414" s="7"/>
      <c r="BQF414" s="7"/>
      <c r="BQG414" s="7"/>
      <c r="BQH414" s="7"/>
      <c r="BQI414" s="7"/>
      <c r="BQJ414" s="7"/>
      <c r="BQK414" s="7"/>
      <c r="BQL414" s="7"/>
      <c r="BQM414" s="7"/>
      <c r="BQN414" s="7"/>
      <c r="BQO414" s="7"/>
      <c r="BQP414" s="7"/>
      <c r="BQQ414" s="7"/>
      <c r="BQR414" s="7"/>
      <c r="BQS414" s="7"/>
      <c r="BQT414" s="7"/>
      <c r="BQU414" s="7"/>
      <c r="BQV414" s="7"/>
      <c r="BQW414" s="7"/>
      <c r="BQX414" s="7"/>
      <c r="BQY414" s="7"/>
      <c r="BQZ414" s="7"/>
      <c r="BRA414" s="7"/>
      <c r="BRB414" s="7"/>
      <c r="BRC414" s="7"/>
      <c r="BRD414" s="7"/>
      <c r="BRE414" s="7"/>
      <c r="BRF414" s="7"/>
      <c r="BRG414" s="7"/>
      <c r="BRH414" s="7"/>
      <c r="BRI414" s="7"/>
      <c r="BRJ414" s="7"/>
      <c r="BRK414" s="7"/>
      <c r="BRL414" s="7"/>
      <c r="BRM414" s="7"/>
      <c r="BRN414" s="7"/>
      <c r="BRO414" s="7"/>
      <c r="BRP414" s="7"/>
      <c r="BRQ414" s="7"/>
      <c r="BRR414" s="7"/>
      <c r="BRS414" s="7"/>
      <c r="BRT414" s="7"/>
      <c r="BRU414" s="7"/>
      <c r="BRV414" s="7"/>
      <c r="BRW414" s="7"/>
      <c r="BRX414" s="7"/>
      <c r="BRY414" s="7"/>
      <c r="BRZ414" s="7"/>
      <c r="BSA414" s="7"/>
      <c r="BSB414" s="7"/>
      <c r="BSC414" s="7"/>
      <c r="BSD414" s="7"/>
      <c r="BSE414" s="7"/>
      <c r="BSF414" s="7"/>
      <c r="BSG414" s="7"/>
      <c r="BSH414" s="7"/>
      <c r="BSI414" s="7"/>
      <c r="BSJ414" s="7"/>
      <c r="BSK414" s="7"/>
      <c r="BSL414" s="7"/>
      <c r="BSM414" s="7"/>
      <c r="BSN414" s="7"/>
      <c r="BSO414" s="7"/>
      <c r="BSP414" s="7"/>
      <c r="BSQ414" s="7"/>
      <c r="BSR414" s="7"/>
      <c r="BSS414" s="7"/>
      <c r="BST414" s="7"/>
      <c r="BSU414" s="7"/>
      <c r="BSV414" s="7"/>
      <c r="BSW414" s="7"/>
      <c r="BSX414" s="7"/>
      <c r="BSY414" s="7"/>
      <c r="BSZ414" s="7"/>
      <c r="BTA414" s="7"/>
    </row>
    <row r="415" spans="1:1873" s="118" customFormat="1" ht="15" customHeight="1" x14ac:dyDescent="0.2">
      <c r="A415" s="522" t="s">
        <v>1424</v>
      </c>
      <c r="B415" s="234" t="s">
        <v>42</v>
      </c>
      <c r="C415" s="522" t="s">
        <v>57</v>
      </c>
      <c r="D415" s="234" t="s">
        <v>619</v>
      </c>
      <c r="E415" s="493" t="s">
        <v>1503</v>
      </c>
      <c r="F415" s="523">
        <v>2</v>
      </c>
      <c r="G415" s="522">
        <v>4</v>
      </c>
      <c r="H415" s="524">
        <v>4</v>
      </c>
      <c r="I415" s="234" t="s">
        <v>954</v>
      </c>
      <c r="J415" s="522" t="s">
        <v>48</v>
      </c>
      <c r="K415" s="524" t="s">
        <v>957</v>
      </c>
      <c r="L415" s="522" t="s">
        <v>269</v>
      </c>
      <c r="M415" s="525">
        <v>43.5</v>
      </c>
      <c r="N415" s="389">
        <v>-9999</v>
      </c>
      <c r="O415" s="29"/>
      <c r="P415" s="525">
        <f>+M415</f>
        <v>43.5</v>
      </c>
      <c r="Q415" s="234">
        <v>-9999</v>
      </c>
      <c r="R415" s="389"/>
      <c r="S415" s="234"/>
      <c r="T415" s="237">
        <f>+P415/G415</f>
        <v>10.875</v>
      </c>
      <c r="U415" s="234">
        <v>-9999</v>
      </c>
      <c r="V415" s="234"/>
      <c r="W415" s="412">
        <f>+P415-P414</f>
        <v>9.2999999999999972</v>
      </c>
      <c r="X415" s="491">
        <v>-9999</v>
      </c>
      <c r="Y415" s="491"/>
      <c r="Z415" s="390" t="s">
        <v>1704</v>
      </c>
      <c r="AA415" s="520">
        <v>20833</v>
      </c>
      <c r="AB415" s="389">
        <v>0.46</v>
      </c>
      <c r="AC415" s="522">
        <v>1.2</v>
      </c>
      <c r="AD415" s="526">
        <v>125</v>
      </c>
      <c r="AE415" s="522" t="s">
        <v>168</v>
      </c>
      <c r="AF415" s="522">
        <v>6</v>
      </c>
      <c r="AG415" s="522" t="s">
        <v>776</v>
      </c>
      <c r="AH415" s="522" t="s">
        <v>623</v>
      </c>
      <c r="AI415" s="234">
        <v>-9999</v>
      </c>
      <c r="AJ415" s="234">
        <v>-9999</v>
      </c>
      <c r="AK415" s="522" t="s">
        <v>626</v>
      </c>
      <c r="AL415" s="522" t="s">
        <v>272</v>
      </c>
      <c r="AM415" s="234">
        <v>-9999</v>
      </c>
      <c r="AN415" s="522" t="s">
        <v>779</v>
      </c>
      <c r="AO415" s="522" t="s">
        <v>51</v>
      </c>
      <c r="AP415" s="522" t="s">
        <v>52</v>
      </c>
      <c r="AQ415" s="522" t="s">
        <v>779</v>
      </c>
      <c r="AR415" s="234" t="s">
        <v>52</v>
      </c>
      <c r="AS415" s="234">
        <v>-9999</v>
      </c>
      <c r="AT415" s="234" t="s">
        <v>749</v>
      </c>
      <c r="AU415" s="234" t="s">
        <v>52</v>
      </c>
      <c r="AV415" s="234">
        <v>-9999</v>
      </c>
      <c r="AW415" s="234" t="s">
        <v>749</v>
      </c>
      <c r="AX415" s="234" t="s">
        <v>52</v>
      </c>
      <c r="AY415" s="234">
        <v>-9999</v>
      </c>
      <c r="AZ415" s="234" t="s">
        <v>749</v>
      </c>
      <c r="BA415" s="234">
        <v>-9999</v>
      </c>
      <c r="BB415" s="522" t="s">
        <v>626</v>
      </c>
      <c r="BC415" s="522" t="s">
        <v>273</v>
      </c>
      <c r="BD415" s="522" t="s">
        <v>642</v>
      </c>
      <c r="BE415" s="234">
        <v>-9999</v>
      </c>
      <c r="BF415" s="522" t="s">
        <v>274</v>
      </c>
      <c r="BG415" s="522" t="s">
        <v>275</v>
      </c>
      <c r="BH415" s="234">
        <v>-9999</v>
      </c>
      <c r="BI415" s="234">
        <v>-9999</v>
      </c>
      <c r="BJ415" s="234">
        <v>-9999</v>
      </c>
      <c r="BK415" s="234">
        <v>-9999</v>
      </c>
      <c r="BL415" s="234">
        <v>8.4</v>
      </c>
      <c r="BM415" s="234">
        <v>-9999</v>
      </c>
      <c r="BN415" s="234">
        <v>5.8</v>
      </c>
      <c r="BO415" s="234">
        <v>-9999</v>
      </c>
      <c r="BP415" s="234">
        <v>-9999</v>
      </c>
      <c r="BQ415" s="234">
        <v>-9999</v>
      </c>
      <c r="BR415" s="234">
        <v>-9999</v>
      </c>
      <c r="BS415" s="491">
        <v>-9999</v>
      </c>
      <c r="BT415" s="234">
        <v>-9999</v>
      </c>
      <c r="BU415" s="234">
        <v>-9999</v>
      </c>
      <c r="BV415" s="234">
        <v>-9999</v>
      </c>
      <c r="BW415" s="234"/>
      <c r="BX415" s="234">
        <v>-9999</v>
      </c>
      <c r="BY415" s="234">
        <v>-9999</v>
      </c>
      <c r="BZ415" s="496">
        <v>-9999</v>
      </c>
      <c r="CA415" s="527">
        <v>15</v>
      </c>
      <c r="CB415" s="531"/>
      <c r="CC415" s="117">
        <v>2</v>
      </c>
      <c r="CD415" s="10">
        <v>4</v>
      </c>
      <c r="CE415" s="343">
        <v>10.875</v>
      </c>
      <c r="CF415" s="343">
        <v>9.2999999999999972</v>
      </c>
      <c r="CG415" s="14">
        <v>4</v>
      </c>
    </row>
    <row r="416" spans="1:1873" s="61" customFormat="1" x14ac:dyDescent="0.2">
      <c r="A416" s="18"/>
      <c r="B416" s="29"/>
      <c r="C416" s="29"/>
      <c r="D416" s="29"/>
      <c r="E416" s="29"/>
      <c r="F416" s="29"/>
      <c r="G416" s="29"/>
      <c r="H416" s="29"/>
      <c r="I416" s="29"/>
      <c r="J416" s="29"/>
      <c r="K416" s="29"/>
      <c r="L416" s="29"/>
      <c r="M416" s="31"/>
      <c r="N416" s="29"/>
      <c r="O416" s="29"/>
      <c r="P416" s="31"/>
      <c r="Q416" s="29"/>
      <c r="R416" s="31"/>
      <c r="S416" s="29"/>
      <c r="T416" s="31"/>
      <c r="U416" s="29"/>
      <c r="V416" s="29"/>
      <c r="W416" s="31"/>
      <c r="X416" s="29"/>
      <c r="Y416" s="29"/>
      <c r="Z416" s="29"/>
      <c r="AA416" s="29"/>
      <c r="AB416" s="31"/>
      <c r="AC416" s="29"/>
      <c r="AD416" s="29"/>
      <c r="AE416" s="29"/>
      <c r="AF416" s="29"/>
      <c r="AG416" s="29"/>
      <c r="AH416" s="29"/>
      <c r="AI416" s="29"/>
      <c r="AJ416" s="29"/>
      <c r="AK416" s="29"/>
      <c r="AL416" s="29"/>
      <c r="AM416" s="29"/>
      <c r="AN416" s="29"/>
      <c r="AO416" s="29"/>
      <c r="AP416" s="29"/>
      <c r="AQ416" s="29"/>
      <c r="AR416" s="29"/>
      <c r="AS416" s="29"/>
      <c r="AT416" s="29"/>
      <c r="AU416" s="29"/>
      <c r="AV416" s="29"/>
      <c r="AW416" s="29"/>
      <c r="AX416" s="29"/>
      <c r="AY416" s="29"/>
      <c r="AZ416" s="29"/>
      <c r="BA416" s="29"/>
      <c r="BB416" s="29"/>
      <c r="BC416" s="29"/>
      <c r="BD416" s="29"/>
      <c r="BE416" s="29"/>
      <c r="BF416" s="29"/>
      <c r="BG416" s="29"/>
      <c r="BH416" s="29"/>
      <c r="BI416" s="29"/>
      <c r="BJ416" s="29"/>
      <c r="BK416" s="29"/>
      <c r="BL416" s="29"/>
      <c r="BM416" s="29"/>
      <c r="BN416" s="29"/>
      <c r="BO416" s="29"/>
      <c r="BP416" s="29"/>
      <c r="BQ416" s="29"/>
      <c r="BR416" s="29"/>
      <c r="BS416" s="30"/>
      <c r="BT416" s="29"/>
      <c r="BU416" s="29"/>
      <c r="BV416" s="29"/>
      <c r="BW416" s="29"/>
      <c r="BX416" s="29"/>
      <c r="BY416" s="29"/>
      <c r="BZ416" s="98"/>
      <c r="CA416" s="98"/>
      <c r="CC416" s="29"/>
      <c r="CD416" s="29"/>
      <c r="CE416" s="340"/>
      <c r="CF416" s="340"/>
      <c r="CG416" s="29"/>
    </row>
    <row r="417" spans="1:1873" s="61" customFormat="1" x14ac:dyDescent="0.2">
      <c r="A417" s="18" t="s">
        <v>1481</v>
      </c>
      <c r="B417" s="29"/>
      <c r="C417" s="29"/>
      <c r="D417" s="29"/>
      <c r="E417" s="29"/>
      <c r="F417" s="29"/>
      <c r="G417" s="29"/>
      <c r="H417" s="29"/>
      <c r="I417" s="29"/>
      <c r="J417" s="29"/>
      <c r="K417" s="29"/>
      <c r="L417" s="29"/>
      <c r="M417" s="31"/>
      <c r="N417" s="29"/>
      <c r="O417" s="29"/>
      <c r="P417" s="31"/>
      <c r="Q417" s="29"/>
      <c r="R417" s="31"/>
      <c r="S417" s="29"/>
      <c r="T417" s="31"/>
      <c r="U417" s="29"/>
      <c r="V417" s="29"/>
      <c r="W417" s="31"/>
      <c r="X417" s="29"/>
      <c r="Y417" s="29"/>
      <c r="Z417" s="29"/>
      <c r="AA417" s="29"/>
      <c r="AB417" s="31"/>
      <c r="AC417" s="29"/>
      <c r="AD417" s="29"/>
      <c r="AE417" s="29"/>
      <c r="AF417" s="29"/>
      <c r="AG417" s="29"/>
      <c r="AH417" s="29"/>
      <c r="AI417" s="29"/>
      <c r="AJ417" s="29"/>
      <c r="AK417" s="29"/>
      <c r="AL417" s="29"/>
      <c r="AM417" s="29"/>
      <c r="AN417" s="29"/>
      <c r="AO417" s="29"/>
      <c r="AP417" s="29"/>
      <c r="AQ417" s="29"/>
      <c r="AR417" s="29"/>
      <c r="AS417" s="29"/>
      <c r="AT417" s="29"/>
      <c r="AU417" s="29"/>
      <c r="AV417" s="29"/>
      <c r="AW417" s="29"/>
      <c r="AX417" s="29"/>
      <c r="AY417" s="29"/>
      <c r="AZ417" s="29"/>
      <c r="BA417" s="29"/>
      <c r="BB417" s="29"/>
      <c r="BC417" s="29"/>
      <c r="BD417" s="29"/>
      <c r="BE417" s="29"/>
      <c r="BF417" s="29"/>
      <c r="BG417" s="29"/>
      <c r="BH417" s="29"/>
      <c r="BI417" s="29"/>
      <c r="BJ417" s="29"/>
      <c r="BK417" s="29"/>
      <c r="BL417" s="29"/>
      <c r="BM417" s="29"/>
      <c r="BN417" s="29"/>
      <c r="BO417" s="29"/>
      <c r="BP417" s="29"/>
      <c r="BQ417" s="29"/>
      <c r="BR417" s="29"/>
      <c r="BS417" s="30"/>
      <c r="BT417" s="29"/>
      <c r="BU417" s="29"/>
      <c r="BV417" s="29"/>
      <c r="BW417" s="29"/>
      <c r="BX417" s="29"/>
      <c r="BY417" s="29"/>
      <c r="BZ417" s="98"/>
      <c r="CA417" s="98"/>
      <c r="CC417" s="29"/>
      <c r="CD417" s="29"/>
      <c r="CE417" s="340"/>
      <c r="CF417" s="340"/>
      <c r="CG417" s="29"/>
    </row>
    <row r="418" spans="1:1873" s="247" customFormat="1" x14ac:dyDescent="0.2">
      <c r="A418" s="240"/>
      <c r="B418" s="223"/>
      <c r="C418" s="223"/>
      <c r="D418" s="223"/>
      <c r="E418" s="241"/>
      <c r="F418" s="241"/>
      <c r="G418" s="223"/>
      <c r="H418" s="242"/>
      <c r="I418" s="223"/>
      <c r="J418" s="223"/>
      <c r="K418" s="223"/>
      <c r="L418" s="223"/>
      <c r="M418" s="243"/>
      <c r="N418" s="243"/>
      <c r="O418" s="30"/>
      <c r="P418" s="243"/>
      <c r="Q418" s="223"/>
      <c r="R418" s="243"/>
      <c r="S418" s="223"/>
      <c r="T418" s="244"/>
      <c r="U418" s="244"/>
      <c r="V418" s="244"/>
      <c r="W418" s="244"/>
      <c r="X418" s="245"/>
      <c r="Y418" s="245"/>
      <c r="Z418" s="223"/>
      <c r="AA418" s="223"/>
      <c r="AB418" s="243"/>
      <c r="AC418" s="223"/>
      <c r="AD418" s="223"/>
      <c r="AE418" s="223"/>
      <c r="AF418" s="223"/>
      <c r="AG418" s="223"/>
      <c r="AH418" s="223"/>
      <c r="AI418" s="223"/>
      <c r="AJ418" s="242"/>
      <c r="AK418" s="223"/>
      <c r="AL418" s="223"/>
      <c r="AM418" s="223"/>
      <c r="AN418" s="223"/>
      <c r="AO418" s="223"/>
      <c r="AP418" s="223"/>
      <c r="AQ418" s="223"/>
      <c r="AR418" s="223"/>
      <c r="AS418" s="223"/>
      <c r="AT418" s="223"/>
      <c r="AU418" s="223"/>
      <c r="AV418" s="223"/>
      <c r="AW418" s="223"/>
      <c r="AX418" s="223"/>
      <c r="AY418" s="223"/>
      <c r="AZ418" s="223"/>
      <c r="BA418" s="223"/>
      <c r="BB418" s="223"/>
      <c r="BC418" s="223"/>
      <c r="BD418" s="223"/>
      <c r="BE418" s="223"/>
      <c r="BF418" s="223"/>
      <c r="BG418" s="223"/>
      <c r="BH418" s="223"/>
      <c r="BI418" s="223"/>
      <c r="BJ418" s="223"/>
      <c r="BK418" s="223"/>
      <c r="BL418" s="242"/>
      <c r="BM418" s="242"/>
      <c r="BN418" s="242"/>
      <c r="BO418" s="242"/>
      <c r="BP418" s="242"/>
      <c r="BQ418" s="242"/>
      <c r="BR418" s="242"/>
      <c r="BS418" s="242"/>
      <c r="BT418" s="242"/>
      <c r="BU418" s="242"/>
      <c r="BV418" s="242"/>
      <c r="BW418" s="242"/>
      <c r="BX418" s="242"/>
      <c r="BY418" s="242"/>
      <c r="BZ418" s="246"/>
      <c r="CA418" s="246"/>
      <c r="CC418" s="241"/>
      <c r="CD418" s="223"/>
      <c r="CE418" s="342" t="s">
        <v>1576</v>
      </c>
      <c r="CF418" s="342" t="s">
        <v>1575</v>
      </c>
      <c r="CG418" s="242"/>
      <c r="CH418" s="23"/>
      <c r="CI418" s="23"/>
      <c r="CJ418" s="23"/>
      <c r="CK418" s="23"/>
      <c r="CL418" s="23"/>
      <c r="CM418" s="23"/>
      <c r="CN418" s="23"/>
      <c r="CO418" s="23"/>
      <c r="CP418" s="23"/>
      <c r="CQ418" s="23"/>
      <c r="CR418" s="23"/>
      <c r="CS418" s="23"/>
      <c r="CT418" s="23"/>
      <c r="CU418" s="23"/>
      <c r="CV418" s="23"/>
      <c r="CW418" s="23"/>
      <c r="CX418" s="23"/>
      <c r="CY418" s="23"/>
      <c r="CZ418" s="23"/>
      <c r="DA418" s="23"/>
      <c r="DB418" s="23"/>
      <c r="DC418" s="23"/>
      <c r="DD418" s="23"/>
      <c r="DE418" s="23"/>
      <c r="DF418" s="23"/>
      <c r="DG418" s="23"/>
      <c r="DH418" s="23"/>
      <c r="DI418" s="23"/>
      <c r="DJ418" s="23"/>
      <c r="DK418" s="23"/>
      <c r="DL418" s="23"/>
      <c r="DM418" s="23"/>
      <c r="DN418" s="23"/>
      <c r="DO418" s="23"/>
      <c r="DP418" s="23"/>
      <c r="DQ418" s="23"/>
      <c r="DR418" s="23"/>
      <c r="DS418" s="23"/>
      <c r="DT418" s="23"/>
      <c r="DU418" s="23"/>
      <c r="DV418" s="23"/>
      <c r="DW418" s="23"/>
      <c r="DX418" s="23"/>
      <c r="DY418" s="23"/>
      <c r="DZ418" s="23"/>
      <c r="EA418" s="23"/>
      <c r="EB418" s="23"/>
      <c r="EC418" s="23"/>
      <c r="ED418" s="23"/>
      <c r="EE418" s="23"/>
      <c r="EF418" s="23"/>
      <c r="EG418" s="23"/>
      <c r="EH418" s="23"/>
      <c r="EI418" s="23"/>
      <c r="EJ418" s="23"/>
      <c r="EK418" s="23"/>
      <c r="EL418" s="23"/>
      <c r="EM418" s="23"/>
      <c r="EN418" s="23"/>
      <c r="EO418" s="23"/>
      <c r="EP418" s="23"/>
      <c r="EQ418" s="23"/>
      <c r="ER418" s="23"/>
      <c r="ES418" s="23"/>
      <c r="ET418" s="23"/>
      <c r="EU418" s="23"/>
      <c r="EV418" s="23"/>
      <c r="EW418" s="23"/>
      <c r="EX418" s="23"/>
      <c r="EY418" s="23"/>
      <c r="EZ418" s="23"/>
      <c r="FA418" s="23"/>
      <c r="FB418" s="23"/>
      <c r="FC418" s="23"/>
      <c r="FD418" s="23"/>
      <c r="FE418" s="23"/>
      <c r="FF418" s="23"/>
      <c r="FG418" s="23"/>
      <c r="FH418" s="23"/>
      <c r="FI418" s="23"/>
      <c r="FJ418" s="23"/>
      <c r="FK418" s="23"/>
      <c r="FL418" s="23"/>
      <c r="FM418" s="23"/>
      <c r="FN418" s="23"/>
      <c r="FO418" s="23"/>
      <c r="FP418" s="23"/>
      <c r="FQ418" s="23"/>
      <c r="FR418" s="23"/>
      <c r="FS418" s="23"/>
      <c r="FT418" s="23"/>
      <c r="FU418" s="23"/>
      <c r="FV418" s="23"/>
      <c r="FW418" s="23"/>
      <c r="FX418" s="23"/>
      <c r="FY418" s="23"/>
      <c r="FZ418" s="23"/>
      <c r="GA418" s="23"/>
      <c r="GB418" s="23"/>
      <c r="GC418" s="23"/>
      <c r="GD418" s="23"/>
      <c r="GE418" s="23"/>
      <c r="GF418" s="23"/>
      <c r="GG418" s="23"/>
      <c r="GH418" s="23"/>
      <c r="GI418" s="23"/>
      <c r="GJ418" s="23"/>
      <c r="GK418" s="23"/>
      <c r="GL418" s="23"/>
      <c r="GM418" s="23"/>
      <c r="GN418" s="23"/>
      <c r="GO418" s="23"/>
      <c r="GP418" s="23"/>
      <c r="GQ418" s="23"/>
      <c r="GR418" s="23"/>
      <c r="GS418" s="23"/>
      <c r="GT418" s="23"/>
      <c r="GU418" s="23"/>
      <c r="GV418" s="23"/>
      <c r="GW418" s="23"/>
      <c r="GX418" s="23"/>
      <c r="GY418" s="23"/>
      <c r="GZ418" s="23"/>
      <c r="HA418" s="23"/>
      <c r="HB418" s="23"/>
      <c r="HC418" s="23"/>
      <c r="HD418" s="23"/>
      <c r="HE418" s="23"/>
      <c r="HF418" s="23"/>
      <c r="HG418" s="23"/>
      <c r="HH418" s="23"/>
      <c r="HI418" s="23"/>
      <c r="HJ418" s="23"/>
      <c r="HK418" s="23"/>
      <c r="HL418" s="23"/>
      <c r="HM418" s="23"/>
      <c r="HN418" s="23"/>
      <c r="HO418" s="23"/>
      <c r="HP418" s="23"/>
      <c r="HQ418" s="23"/>
      <c r="HR418" s="23"/>
      <c r="HS418" s="23"/>
      <c r="HT418" s="23"/>
      <c r="HU418" s="23"/>
      <c r="HV418" s="23"/>
      <c r="HW418" s="23"/>
      <c r="HX418" s="23"/>
      <c r="HY418" s="23"/>
      <c r="HZ418" s="23"/>
      <c r="IA418" s="23"/>
      <c r="IB418" s="23"/>
      <c r="IC418" s="23"/>
      <c r="ID418" s="23"/>
      <c r="IE418" s="23"/>
      <c r="IF418" s="23"/>
      <c r="IG418" s="23"/>
      <c r="IH418" s="23"/>
      <c r="II418" s="23"/>
      <c r="IJ418" s="23"/>
      <c r="IK418" s="23"/>
      <c r="IL418" s="23"/>
      <c r="IM418" s="23"/>
      <c r="IN418" s="23"/>
      <c r="IO418" s="23"/>
      <c r="IP418" s="23"/>
      <c r="IQ418" s="23"/>
      <c r="IR418" s="23"/>
      <c r="IS418" s="23"/>
      <c r="IT418" s="23"/>
      <c r="IU418" s="23"/>
      <c r="IV418" s="23"/>
      <c r="IW418" s="23"/>
      <c r="IX418" s="23"/>
      <c r="IY418" s="23"/>
      <c r="IZ418" s="23"/>
      <c r="JA418" s="23"/>
      <c r="JB418" s="23"/>
      <c r="JC418" s="23"/>
      <c r="JD418" s="23"/>
      <c r="JE418" s="23"/>
      <c r="JF418" s="23"/>
      <c r="JG418" s="23"/>
      <c r="JH418" s="23"/>
      <c r="JI418" s="23"/>
      <c r="JJ418" s="23"/>
      <c r="JK418" s="23"/>
      <c r="JL418" s="23"/>
      <c r="JM418" s="23"/>
      <c r="JN418" s="23"/>
      <c r="JO418" s="23"/>
      <c r="JP418" s="23"/>
      <c r="JQ418" s="23"/>
      <c r="JR418" s="23"/>
      <c r="JS418" s="23"/>
      <c r="JT418" s="23"/>
      <c r="JU418" s="23"/>
      <c r="JV418" s="23"/>
      <c r="JW418" s="23"/>
      <c r="JX418" s="23"/>
      <c r="JY418" s="23"/>
      <c r="JZ418" s="23"/>
      <c r="KA418" s="23"/>
      <c r="KB418" s="23"/>
      <c r="KC418" s="23"/>
      <c r="KD418" s="23"/>
      <c r="KE418" s="23"/>
      <c r="KF418" s="23"/>
      <c r="KG418" s="23"/>
      <c r="KH418" s="23"/>
      <c r="KI418" s="23"/>
      <c r="KJ418" s="23"/>
      <c r="KK418" s="23"/>
      <c r="KL418" s="23"/>
      <c r="KM418" s="23"/>
      <c r="KN418" s="23"/>
      <c r="KO418" s="23"/>
      <c r="KP418" s="23"/>
      <c r="KQ418" s="23"/>
      <c r="KR418" s="23"/>
      <c r="KS418" s="23"/>
      <c r="KT418" s="23"/>
      <c r="KU418" s="23"/>
      <c r="KV418" s="23"/>
      <c r="KW418" s="23"/>
      <c r="KX418" s="23"/>
      <c r="KY418" s="23"/>
      <c r="KZ418" s="23"/>
      <c r="LA418" s="23"/>
      <c r="LB418" s="23"/>
      <c r="LC418" s="23"/>
      <c r="LD418" s="23"/>
      <c r="LE418" s="23"/>
      <c r="LF418" s="23"/>
      <c r="LG418" s="23"/>
      <c r="LH418" s="23"/>
      <c r="LI418" s="23"/>
      <c r="LJ418" s="23"/>
      <c r="LK418" s="23"/>
      <c r="LL418" s="23"/>
      <c r="LM418" s="23"/>
      <c r="LN418" s="23"/>
      <c r="LO418" s="23"/>
      <c r="LP418" s="23"/>
      <c r="LQ418" s="23"/>
      <c r="LR418" s="23"/>
      <c r="LS418" s="23"/>
      <c r="LT418" s="23"/>
      <c r="LU418" s="23"/>
      <c r="LV418" s="23"/>
      <c r="LW418" s="23"/>
      <c r="LX418" s="23"/>
      <c r="LY418" s="23"/>
      <c r="LZ418" s="23"/>
      <c r="MA418" s="23"/>
      <c r="MB418" s="23"/>
      <c r="MC418" s="23"/>
      <c r="MD418" s="23"/>
      <c r="ME418" s="23"/>
      <c r="MF418" s="23"/>
      <c r="MG418" s="23"/>
      <c r="MH418" s="23"/>
      <c r="MI418" s="23"/>
      <c r="MJ418" s="23"/>
      <c r="MK418" s="23"/>
      <c r="ML418" s="23"/>
      <c r="MM418" s="23"/>
      <c r="MN418" s="23"/>
      <c r="MO418" s="23"/>
      <c r="MP418" s="23"/>
      <c r="MQ418" s="23"/>
      <c r="MR418" s="23"/>
      <c r="MS418" s="23"/>
      <c r="MT418" s="23"/>
      <c r="MU418" s="23"/>
      <c r="MV418" s="23"/>
      <c r="MW418" s="23"/>
      <c r="MX418" s="23"/>
      <c r="MY418" s="23"/>
      <c r="MZ418" s="23"/>
      <c r="NA418" s="23"/>
      <c r="NB418" s="23"/>
      <c r="NC418" s="23"/>
      <c r="ND418" s="23"/>
      <c r="NE418" s="23"/>
      <c r="NF418" s="23"/>
      <c r="NG418" s="23"/>
      <c r="NH418" s="23"/>
      <c r="NI418" s="23"/>
      <c r="NJ418" s="23"/>
      <c r="NK418" s="23"/>
      <c r="NL418" s="23"/>
      <c r="NM418" s="23"/>
      <c r="NN418" s="23"/>
      <c r="NO418" s="23"/>
      <c r="NP418" s="23"/>
      <c r="NQ418" s="23"/>
      <c r="NR418" s="23"/>
      <c r="NS418" s="23"/>
      <c r="NT418" s="23"/>
      <c r="NU418" s="23"/>
      <c r="NV418" s="23"/>
      <c r="NW418" s="23"/>
      <c r="NX418" s="23"/>
      <c r="NY418" s="23"/>
      <c r="NZ418" s="23"/>
      <c r="OA418" s="23"/>
      <c r="OB418" s="23"/>
      <c r="OC418" s="23"/>
      <c r="OD418" s="23"/>
      <c r="OE418" s="23"/>
      <c r="OF418" s="23"/>
      <c r="OG418" s="23"/>
      <c r="OH418" s="23"/>
      <c r="OI418" s="23"/>
      <c r="OJ418" s="23"/>
      <c r="OK418" s="23"/>
      <c r="OL418" s="23"/>
      <c r="OM418" s="23"/>
      <c r="ON418" s="23"/>
      <c r="OO418" s="23"/>
      <c r="OP418" s="23"/>
      <c r="OQ418" s="23"/>
      <c r="OR418" s="23"/>
      <c r="OS418" s="23"/>
      <c r="OT418" s="23"/>
      <c r="OU418" s="23"/>
      <c r="OV418" s="23"/>
      <c r="OW418" s="23"/>
      <c r="OX418" s="23"/>
      <c r="OY418" s="23"/>
      <c r="OZ418" s="23"/>
      <c r="PA418" s="23"/>
      <c r="PB418" s="23"/>
      <c r="PC418" s="23"/>
      <c r="PD418" s="23"/>
      <c r="PE418" s="23"/>
      <c r="PF418" s="23"/>
      <c r="PG418" s="23"/>
      <c r="PH418" s="23"/>
      <c r="PI418" s="23"/>
      <c r="PJ418" s="23"/>
      <c r="PK418" s="23"/>
      <c r="PL418" s="23"/>
      <c r="PM418" s="23"/>
      <c r="PN418" s="23"/>
      <c r="PO418" s="23"/>
      <c r="PP418" s="23"/>
      <c r="PQ418" s="23"/>
      <c r="PR418" s="23"/>
      <c r="PS418" s="23"/>
      <c r="PT418" s="23"/>
      <c r="PU418" s="23"/>
      <c r="PV418" s="23"/>
      <c r="PW418" s="23"/>
      <c r="PX418" s="23"/>
      <c r="PY418" s="23"/>
      <c r="PZ418" s="23"/>
      <c r="QA418" s="23"/>
      <c r="QB418" s="23"/>
      <c r="QC418" s="23"/>
      <c r="QD418" s="23"/>
      <c r="QE418" s="23"/>
      <c r="QF418" s="23"/>
      <c r="QG418" s="23"/>
      <c r="QH418" s="23"/>
      <c r="QI418" s="23"/>
      <c r="QJ418" s="23"/>
      <c r="QK418" s="23"/>
      <c r="QL418" s="23"/>
      <c r="QM418" s="23"/>
      <c r="QN418" s="23"/>
      <c r="QO418" s="23"/>
      <c r="QP418" s="23"/>
      <c r="QQ418" s="23"/>
      <c r="QR418" s="23"/>
      <c r="QS418" s="23"/>
      <c r="QT418" s="23"/>
      <c r="QU418" s="23"/>
      <c r="QV418" s="23"/>
      <c r="QW418" s="23"/>
      <c r="QX418" s="23"/>
      <c r="QY418" s="23"/>
      <c r="QZ418" s="23"/>
      <c r="RA418" s="23"/>
      <c r="RB418" s="23"/>
      <c r="RC418" s="23"/>
      <c r="RD418" s="23"/>
      <c r="RE418" s="23"/>
      <c r="RF418" s="23"/>
      <c r="RG418" s="23"/>
      <c r="RH418" s="23"/>
      <c r="RI418" s="23"/>
      <c r="RJ418" s="23"/>
      <c r="RK418" s="23"/>
      <c r="RL418" s="23"/>
      <c r="RM418" s="23"/>
      <c r="RN418" s="23"/>
      <c r="RO418" s="23"/>
      <c r="RP418" s="23"/>
      <c r="RQ418" s="23"/>
      <c r="RR418" s="23"/>
      <c r="RS418" s="23"/>
      <c r="RT418" s="23"/>
      <c r="RU418" s="23"/>
      <c r="RV418" s="23"/>
      <c r="RW418" s="23"/>
      <c r="RX418" s="23"/>
      <c r="RY418" s="23"/>
      <c r="RZ418" s="23"/>
      <c r="SA418" s="23"/>
      <c r="SB418" s="23"/>
      <c r="SC418" s="23"/>
      <c r="SD418" s="23"/>
      <c r="SE418" s="23"/>
      <c r="SF418" s="23"/>
      <c r="SG418" s="23"/>
      <c r="SH418" s="23"/>
      <c r="SI418" s="23"/>
      <c r="SJ418" s="23"/>
      <c r="SK418" s="23"/>
      <c r="SL418" s="23"/>
      <c r="SM418" s="23"/>
      <c r="SN418" s="23"/>
      <c r="SO418" s="23"/>
      <c r="SP418" s="23"/>
      <c r="SQ418" s="23"/>
      <c r="SR418" s="23"/>
      <c r="SS418" s="23"/>
      <c r="ST418" s="23"/>
      <c r="SU418" s="23"/>
      <c r="SV418" s="23"/>
      <c r="SW418" s="23"/>
      <c r="SX418" s="23"/>
      <c r="SY418" s="23"/>
      <c r="SZ418" s="23"/>
      <c r="TA418" s="23"/>
      <c r="TB418" s="23"/>
      <c r="TC418" s="23"/>
      <c r="TD418" s="23"/>
      <c r="TE418" s="23"/>
      <c r="TF418" s="23"/>
      <c r="TG418" s="23"/>
      <c r="TH418" s="23"/>
      <c r="TI418" s="23"/>
      <c r="TJ418" s="23"/>
      <c r="TK418" s="23"/>
      <c r="TL418" s="23"/>
      <c r="TM418" s="23"/>
      <c r="TN418" s="23"/>
      <c r="TO418" s="23"/>
      <c r="TP418" s="23"/>
      <c r="TQ418" s="23"/>
      <c r="TR418" s="23"/>
      <c r="TS418" s="23"/>
      <c r="TT418" s="23"/>
      <c r="TU418" s="23"/>
      <c r="TV418" s="23"/>
      <c r="TW418" s="23"/>
      <c r="TX418" s="23"/>
      <c r="TY418" s="23"/>
      <c r="TZ418" s="23"/>
      <c r="UA418" s="23"/>
      <c r="UB418" s="23"/>
      <c r="UC418" s="23"/>
      <c r="UD418" s="23"/>
      <c r="UE418" s="23"/>
      <c r="UF418" s="23"/>
      <c r="UG418" s="23"/>
      <c r="UH418" s="23"/>
      <c r="UI418" s="23"/>
      <c r="UJ418" s="23"/>
      <c r="UK418" s="23"/>
      <c r="UL418" s="23"/>
      <c r="UM418" s="23"/>
      <c r="UN418" s="23"/>
      <c r="UO418" s="23"/>
      <c r="UP418" s="23"/>
      <c r="UQ418" s="23"/>
      <c r="UR418" s="23"/>
      <c r="US418" s="23"/>
      <c r="UT418" s="23"/>
      <c r="UU418" s="23"/>
      <c r="UV418" s="23"/>
      <c r="UW418" s="23"/>
      <c r="UX418" s="23"/>
      <c r="UY418" s="23"/>
      <c r="UZ418" s="23"/>
      <c r="VA418" s="23"/>
      <c r="VB418" s="23"/>
      <c r="VC418" s="23"/>
      <c r="VD418" s="23"/>
      <c r="VE418" s="23"/>
      <c r="VF418" s="23"/>
      <c r="VG418" s="23"/>
      <c r="VH418" s="23"/>
      <c r="VI418" s="23"/>
      <c r="VJ418" s="23"/>
      <c r="VK418" s="23"/>
      <c r="VL418" s="23"/>
      <c r="VM418" s="23"/>
      <c r="VN418" s="23"/>
      <c r="VO418" s="23"/>
      <c r="VP418" s="23"/>
      <c r="VQ418" s="23"/>
      <c r="VR418" s="23"/>
      <c r="VS418" s="23"/>
      <c r="VT418" s="23"/>
      <c r="VU418" s="23"/>
      <c r="VV418" s="23"/>
      <c r="VW418" s="23"/>
      <c r="VX418" s="23"/>
      <c r="VY418" s="23"/>
      <c r="VZ418" s="23"/>
      <c r="WA418" s="23"/>
      <c r="WB418" s="23"/>
      <c r="WC418" s="23"/>
      <c r="WD418" s="23"/>
      <c r="WE418" s="23"/>
      <c r="WF418" s="23"/>
      <c r="WG418" s="23"/>
      <c r="WH418" s="23"/>
      <c r="WI418" s="23"/>
      <c r="WJ418" s="23"/>
      <c r="WK418" s="23"/>
      <c r="WL418" s="23"/>
      <c r="WM418" s="23"/>
      <c r="WN418" s="23"/>
      <c r="WO418" s="23"/>
      <c r="WP418" s="23"/>
      <c r="WQ418" s="23"/>
      <c r="WR418" s="23"/>
      <c r="WS418" s="23"/>
      <c r="WT418" s="23"/>
      <c r="WU418" s="23"/>
      <c r="WV418" s="23"/>
      <c r="WW418" s="23"/>
      <c r="WX418" s="23"/>
      <c r="WY418" s="23"/>
      <c r="WZ418" s="23"/>
      <c r="XA418" s="23"/>
      <c r="XB418" s="23"/>
      <c r="XC418" s="23"/>
      <c r="XD418" s="23"/>
      <c r="XE418" s="23"/>
      <c r="XF418" s="23"/>
      <c r="XG418" s="23"/>
      <c r="XH418" s="23"/>
      <c r="XI418" s="23"/>
      <c r="XJ418" s="23"/>
      <c r="XK418" s="23"/>
      <c r="XL418" s="23"/>
      <c r="XM418" s="23"/>
      <c r="XN418" s="23"/>
      <c r="XO418" s="23"/>
      <c r="XP418" s="23"/>
      <c r="XQ418" s="23"/>
      <c r="XR418" s="23"/>
      <c r="XS418" s="23"/>
      <c r="XT418" s="23"/>
      <c r="XU418" s="23"/>
      <c r="XV418" s="23"/>
      <c r="XW418" s="23"/>
      <c r="XX418" s="23"/>
      <c r="XY418" s="23"/>
      <c r="XZ418" s="23"/>
      <c r="YA418" s="23"/>
      <c r="YB418" s="23"/>
      <c r="YC418" s="23"/>
      <c r="YD418" s="23"/>
      <c r="YE418" s="23"/>
      <c r="YF418" s="23"/>
      <c r="YG418" s="23"/>
      <c r="YH418" s="23"/>
      <c r="YI418" s="23"/>
      <c r="YJ418" s="23"/>
      <c r="YK418" s="23"/>
      <c r="YL418" s="23"/>
      <c r="YM418" s="23"/>
      <c r="YN418" s="23"/>
      <c r="YO418" s="23"/>
      <c r="YP418" s="23"/>
      <c r="YQ418" s="23"/>
      <c r="YR418" s="23"/>
      <c r="YS418" s="23"/>
      <c r="YT418" s="23"/>
      <c r="YU418" s="23"/>
      <c r="YV418" s="23"/>
      <c r="YW418" s="23"/>
      <c r="YX418" s="23"/>
      <c r="YY418" s="23"/>
      <c r="YZ418" s="23"/>
      <c r="ZA418" s="23"/>
      <c r="ZB418" s="23"/>
      <c r="ZC418" s="23"/>
      <c r="ZD418" s="23"/>
      <c r="ZE418" s="23"/>
      <c r="ZF418" s="23"/>
      <c r="ZG418" s="23"/>
      <c r="ZH418" s="23"/>
      <c r="ZI418" s="23"/>
      <c r="ZJ418" s="23"/>
      <c r="ZK418" s="23"/>
      <c r="ZL418" s="23"/>
      <c r="ZM418" s="23"/>
      <c r="ZN418" s="23"/>
      <c r="ZO418" s="23"/>
      <c r="ZP418" s="23"/>
      <c r="ZQ418" s="23"/>
      <c r="ZR418" s="23"/>
      <c r="ZS418" s="23"/>
      <c r="ZT418" s="23"/>
      <c r="ZU418" s="23"/>
      <c r="ZV418" s="23"/>
      <c r="ZW418" s="23"/>
      <c r="ZX418" s="23"/>
      <c r="ZY418" s="23"/>
      <c r="ZZ418" s="23"/>
      <c r="AAA418" s="23"/>
      <c r="AAB418" s="23"/>
      <c r="AAC418" s="23"/>
      <c r="AAD418" s="23"/>
      <c r="AAE418" s="23"/>
      <c r="AAF418" s="23"/>
      <c r="AAG418" s="23"/>
      <c r="AAH418" s="23"/>
      <c r="AAI418" s="23"/>
      <c r="AAJ418" s="23"/>
      <c r="AAK418" s="23"/>
      <c r="AAL418" s="23"/>
      <c r="AAM418" s="23"/>
      <c r="AAN418" s="23"/>
      <c r="AAO418" s="23"/>
      <c r="AAP418" s="23"/>
      <c r="AAQ418" s="23"/>
      <c r="AAR418" s="23"/>
      <c r="AAS418" s="23"/>
      <c r="AAT418" s="23"/>
      <c r="AAU418" s="23"/>
      <c r="AAV418" s="23"/>
      <c r="AAW418" s="23"/>
      <c r="AAX418" s="23"/>
      <c r="AAY418" s="23"/>
      <c r="AAZ418" s="23"/>
      <c r="ABA418" s="23"/>
      <c r="ABB418" s="23"/>
      <c r="ABC418" s="23"/>
      <c r="ABD418" s="23"/>
      <c r="ABE418" s="23"/>
      <c r="ABF418" s="23"/>
      <c r="ABG418" s="23"/>
      <c r="ABH418" s="23"/>
      <c r="ABI418" s="23"/>
      <c r="ABJ418" s="23"/>
      <c r="ABK418" s="23"/>
      <c r="ABL418" s="23"/>
      <c r="ABM418" s="23"/>
      <c r="ABN418" s="23"/>
      <c r="ABO418" s="23"/>
      <c r="ABP418" s="23"/>
      <c r="ABQ418" s="23"/>
      <c r="ABR418" s="23"/>
      <c r="ABS418" s="23"/>
      <c r="ABT418" s="23"/>
      <c r="ABU418" s="23"/>
      <c r="ABV418" s="23"/>
      <c r="ABW418" s="23"/>
      <c r="ABX418" s="23"/>
      <c r="ABY418" s="23"/>
      <c r="ABZ418" s="23"/>
      <c r="ACA418" s="23"/>
      <c r="ACB418" s="23"/>
      <c r="ACC418" s="23"/>
      <c r="ACD418" s="23"/>
      <c r="ACE418" s="23"/>
      <c r="ACF418" s="23"/>
      <c r="ACG418" s="23"/>
      <c r="ACH418" s="23"/>
      <c r="ACI418" s="23"/>
      <c r="ACJ418" s="23"/>
      <c r="ACK418" s="23"/>
      <c r="ACL418" s="23"/>
      <c r="ACM418" s="23"/>
      <c r="ACN418" s="23"/>
      <c r="ACO418" s="23"/>
      <c r="ACP418" s="23"/>
      <c r="ACQ418" s="23"/>
      <c r="ACR418" s="23"/>
      <c r="ACS418" s="23"/>
      <c r="ACT418" s="23"/>
      <c r="ACU418" s="23"/>
      <c r="ACV418" s="23"/>
      <c r="ACW418" s="23"/>
      <c r="ACX418" s="23"/>
      <c r="ACY418" s="23"/>
      <c r="ACZ418" s="23"/>
      <c r="ADA418" s="23"/>
      <c r="ADB418" s="23"/>
      <c r="ADC418" s="23"/>
      <c r="ADD418" s="23"/>
      <c r="ADE418" s="23"/>
      <c r="ADF418" s="23"/>
      <c r="ADG418" s="23"/>
      <c r="ADH418" s="23"/>
      <c r="ADI418" s="23"/>
      <c r="ADJ418" s="23"/>
      <c r="ADK418" s="23"/>
      <c r="ADL418" s="23"/>
      <c r="ADM418" s="23"/>
      <c r="ADN418" s="23"/>
      <c r="ADO418" s="23"/>
      <c r="ADP418" s="23"/>
      <c r="ADQ418" s="23"/>
      <c r="ADR418" s="23"/>
      <c r="ADS418" s="23"/>
      <c r="ADT418" s="23"/>
      <c r="ADU418" s="23"/>
      <c r="ADV418" s="23"/>
      <c r="ADW418" s="23"/>
      <c r="ADX418" s="23"/>
      <c r="ADY418" s="23"/>
      <c r="ADZ418" s="23"/>
      <c r="AEA418" s="23"/>
      <c r="AEB418" s="23"/>
      <c r="AEC418" s="23"/>
      <c r="AED418" s="23"/>
      <c r="AEE418" s="23"/>
      <c r="AEF418" s="23"/>
      <c r="AEG418" s="23"/>
      <c r="AEH418" s="23"/>
      <c r="AEI418" s="23"/>
      <c r="AEJ418" s="23"/>
      <c r="AEK418" s="23"/>
      <c r="AEL418" s="23"/>
      <c r="AEM418" s="23"/>
      <c r="AEN418" s="23"/>
      <c r="AEO418" s="23"/>
      <c r="AEP418" s="23"/>
      <c r="AEQ418" s="23"/>
      <c r="AER418" s="23"/>
      <c r="AES418" s="23"/>
      <c r="AET418" s="23"/>
      <c r="AEU418" s="23"/>
      <c r="AEV418" s="23"/>
      <c r="AEW418" s="23"/>
      <c r="AEX418" s="23"/>
      <c r="AEY418" s="23"/>
      <c r="AEZ418" s="23"/>
      <c r="AFA418" s="23"/>
      <c r="AFB418" s="23"/>
      <c r="AFC418" s="23"/>
      <c r="AFD418" s="23"/>
      <c r="AFE418" s="23"/>
      <c r="AFF418" s="23"/>
      <c r="AFG418" s="23"/>
      <c r="AFH418" s="23"/>
      <c r="AFI418" s="23"/>
      <c r="AFJ418" s="23"/>
      <c r="AFK418" s="23"/>
      <c r="AFL418" s="23"/>
      <c r="AFM418" s="23"/>
      <c r="AFN418" s="23"/>
      <c r="AFO418" s="23"/>
      <c r="AFP418" s="23"/>
      <c r="AFQ418" s="23"/>
      <c r="AFR418" s="23"/>
      <c r="AFS418" s="23"/>
      <c r="AFT418" s="23"/>
      <c r="AFU418" s="23"/>
      <c r="AFV418" s="23"/>
      <c r="AFW418" s="23"/>
      <c r="AFX418" s="23"/>
      <c r="AFY418" s="23"/>
      <c r="AFZ418" s="23"/>
      <c r="AGA418" s="23"/>
      <c r="AGB418" s="23"/>
      <c r="AGC418" s="23"/>
      <c r="AGD418" s="23"/>
      <c r="AGE418" s="23"/>
      <c r="AGF418" s="23"/>
      <c r="AGG418" s="23"/>
      <c r="AGH418" s="23"/>
      <c r="AGI418" s="23"/>
      <c r="AGJ418" s="23"/>
      <c r="AGK418" s="23"/>
      <c r="AGL418" s="23"/>
      <c r="AGM418" s="23"/>
      <c r="AGN418" s="23"/>
      <c r="AGO418" s="23"/>
      <c r="AGP418" s="23"/>
      <c r="AGQ418" s="23"/>
      <c r="AGR418" s="23"/>
      <c r="AGS418" s="23"/>
      <c r="AGT418" s="23"/>
      <c r="AGU418" s="23"/>
      <c r="AGV418" s="23"/>
      <c r="AGW418" s="23"/>
      <c r="AGX418" s="23"/>
      <c r="AGY418" s="23"/>
      <c r="AGZ418" s="23"/>
      <c r="AHA418" s="23"/>
      <c r="AHB418" s="23"/>
      <c r="AHC418" s="23"/>
      <c r="AHD418" s="23"/>
      <c r="AHE418" s="23"/>
      <c r="AHF418" s="23"/>
      <c r="AHG418" s="23"/>
      <c r="AHH418" s="23"/>
      <c r="AHI418" s="23"/>
      <c r="AHJ418" s="23"/>
      <c r="AHK418" s="23"/>
      <c r="AHL418" s="23"/>
      <c r="AHM418" s="23"/>
      <c r="AHN418" s="23"/>
      <c r="AHO418" s="23"/>
      <c r="AHP418" s="23"/>
      <c r="AHQ418" s="23"/>
      <c r="AHR418" s="23"/>
      <c r="AHS418" s="23"/>
      <c r="AHT418" s="23"/>
      <c r="AHU418" s="23"/>
      <c r="AHV418" s="23"/>
      <c r="AHW418" s="23"/>
      <c r="AHX418" s="23"/>
      <c r="AHY418" s="23"/>
      <c r="AHZ418" s="23"/>
      <c r="AIA418" s="23"/>
      <c r="AIB418" s="23"/>
      <c r="AIC418" s="23"/>
      <c r="AID418" s="23"/>
      <c r="AIE418" s="23"/>
      <c r="AIF418" s="23"/>
      <c r="AIG418" s="23"/>
      <c r="AIH418" s="23"/>
      <c r="AII418" s="23"/>
      <c r="AIJ418" s="23"/>
      <c r="AIK418" s="23"/>
      <c r="AIL418" s="23"/>
      <c r="AIM418" s="23"/>
      <c r="AIN418" s="23"/>
      <c r="AIO418" s="23"/>
      <c r="AIP418" s="23"/>
      <c r="AIQ418" s="23"/>
      <c r="AIR418" s="23"/>
      <c r="AIS418" s="23"/>
      <c r="AIT418" s="23"/>
      <c r="AIU418" s="23"/>
      <c r="AIV418" s="23"/>
      <c r="AIW418" s="23"/>
      <c r="AIX418" s="23"/>
      <c r="AIY418" s="23"/>
      <c r="AIZ418" s="23"/>
      <c r="AJA418" s="23"/>
      <c r="AJB418" s="23"/>
      <c r="AJC418" s="23"/>
      <c r="AJD418" s="23"/>
      <c r="AJE418" s="23"/>
      <c r="AJF418" s="23"/>
      <c r="AJG418" s="23"/>
      <c r="AJH418" s="23"/>
      <c r="AJI418" s="23"/>
      <c r="AJJ418" s="23"/>
      <c r="AJK418" s="23"/>
      <c r="AJL418" s="23"/>
      <c r="AJM418" s="23"/>
      <c r="AJN418" s="23"/>
      <c r="AJO418" s="23"/>
      <c r="AJP418" s="23"/>
      <c r="AJQ418" s="23"/>
      <c r="AJR418" s="23"/>
      <c r="AJS418" s="23"/>
      <c r="AJT418" s="23"/>
      <c r="AJU418" s="23"/>
      <c r="AJV418" s="23"/>
      <c r="AJW418" s="23"/>
      <c r="AJX418" s="23"/>
      <c r="AJY418" s="23"/>
      <c r="AJZ418" s="23"/>
      <c r="AKA418" s="23"/>
      <c r="AKB418" s="23"/>
      <c r="AKC418" s="23"/>
      <c r="AKD418" s="23"/>
      <c r="AKE418" s="23"/>
      <c r="AKF418" s="23"/>
      <c r="AKG418" s="23"/>
      <c r="AKH418" s="23"/>
      <c r="AKI418" s="23"/>
      <c r="AKJ418" s="23"/>
      <c r="AKK418" s="23"/>
      <c r="AKL418" s="23"/>
      <c r="AKM418" s="23"/>
      <c r="AKN418" s="23"/>
      <c r="AKO418" s="23"/>
      <c r="AKP418" s="23"/>
      <c r="AKQ418" s="23"/>
      <c r="AKR418" s="23"/>
      <c r="AKS418" s="23"/>
      <c r="AKT418" s="23"/>
      <c r="AKU418" s="23"/>
      <c r="AKV418" s="23"/>
      <c r="AKW418" s="23"/>
      <c r="AKX418" s="23"/>
      <c r="AKY418" s="23"/>
      <c r="AKZ418" s="23"/>
      <c r="ALA418" s="23"/>
      <c r="ALB418" s="23"/>
      <c r="ALC418" s="23"/>
      <c r="ALD418" s="23"/>
      <c r="ALE418" s="23"/>
      <c r="ALF418" s="23"/>
      <c r="ALG418" s="23"/>
      <c r="ALH418" s="23"/>
      <c r="ALI418" s="23"/>
      <c r="ALJ418" s="23"/>
      <c r="ALK418" s="23"/>
      <c r="ALL418" s="23"/>
      <c r="ALM418" s="23"/>
      <c r="ALN418" s="23"/>
      <c r="ALO418" s="23"/>
      <c r="ALP418" s="23"/>
      <c r="ALQ418" s="23"/>
      <c r="ALR418" s="23"/>
      <c r="ALS418" s="23"/>
      <c r="ALT418" s="23"/>
      <c r="ALU418" s="23"/>
      <c r="ALV418" s="23"/>
      <c r="ALW418" s="23"/>
      <c r="ALX418" s="23"/>
      <c r="ALY418" s="23"/>
      <c r="ALZ418" s="23"/>
      <c r="AMA418" s="23"/>
      <c r="AMB418" s="23"/>
      <c r="AMC418" s="23"/>
      <c r="AMD418" s="23"/>
      <c r="AME418" s="23"/>
      <c r="AMF418" s="23"/>
      <c r="AMG418" s="23"/>
      <c r="AMH418" s="23"/>
      <c r="AMI418" s="23"/>
      <c r="AMJ418" s="23"/>
      <c r="AMK418" s="23"/>
      <c r="AML418" s="23"/>
      <c r="AMM418" s="23"/>
      <c r="AMN418" s="23"/>
      <c r="AMO418" s="23"/>
      <c r="AMP418" s="23"/>
      <c r="AMQ418" s="23"/>
      <c r="AMR418" s="23"/>
      <c r="AMS418" s="23"/>
      <c r="AMT418" s="23"/>
      <c r="AMU418" s="23"/>
      <c r="AMV418" s="23"/>
      <c r="AMW418" s="23"/>
      <c r="AMX418" s="23"/>
      <c r="AMY418" s="23"/>
      <c r="AMZ418" s="23"/>
      <c r="ANA418" s="23"/>
      <c r="ANB418" s="23"/>
      <c r="ANC418" s="23"/>
      <c r="AND418" s="23"/>
      <c r="ANE418" s="23"/>
      <c r="ANF418" s="23"/>
      <c r="ANG418" s="23"/>
      <c r="ANH418" s="23"/>
      <c r="ANI418" s="23"/>
      <c r="ANJ418" s="23"/>
      <c r="ANK418" s="23"/>
      <c r="ANL418" s="23"/>
      <c r="ANM418" s="23"/>
      <c r="ANN418" s="23"/>
      <c r="ANO418" s="23"/>
      <c r="ANP418" s="23"/>
      <c r="ANQ418" s="23"/>
      <c r="ANR418" s="23"/>
      <c r="ANS418" s="23"/>
      <c r="ANT418" s="23"/>
      <c r="ANU418" s="23"/>
      <c r="ANV418" s="23"/>
      <c r="ANW418" s="23"/>
      <c r="ANX418" s="23"/>
      <c r="ANY418" s="23"/>
      <c r="ANZ418" s="23"/>
      <c r="AOA418" s="23"/>
      <c r="AOB418" s="23"/>
      <c r="AOC418" s="23"/>
      <c r="AOD418" s="23"/>
      <c r="AOE418" s="23"/>
      <c r="AOF418" s="23"/>
      <c r="AOG418" s="23"/>
      <c r="AOH418" s="23"/>
      <c r="AOI418" s="23"/>
      <c r="AOJ418" s="23"/>
      <c r="AOK418" s="23"/>
      <c r="AOL418" s="23"/>
      <c r="AOM418" s="23"/>
      <c r="AON418" s="23"/>
      <c r="AOO418" s="23"/>
      <c r="AOP418" s="23"/>
      <c r="AOQ418" s="23"/>
      <c r="AOR418" s="23"/>
      <c r="AOS418" s="23"/>
      <c r="AOT418" s="23"/>
      <c r="AOU418" s="23"/>
      <c r="AOV418" s="23"/>
      <c r="AOW418" s="23"/>
      <c r="AOX418" s="23"/>
      <c r="AOY418" s="23"/>
      <c r="AOZ418" s="23"/>
      <c r="APA418" s="23"/>
      <c r="APB418" s="23"/>
      <c r="APC418" s="23"/>
      <c r="APD418" s="23"/>
      <c r="APE418" s="23"/>
      <c r="APF418" s="23"/>
      <c r="APG418" s="23"/>
      <c r="APH418" s="23"/>
      <c r="API418" s="23"/>
      <c r="APJ418" s="23"/>
      <c r="APK418" s="23"/>
      <c r="APL418" s="23"/>
      <c r="APM418" s="23"/>
      <c r="APN418" s="23"/>
      <c r="APO418" s="23"/>
      <c r="APP418" s="23"/>
      <c r="APQ418" s="23"/>
      <c r="APR418" s="23"/>
      <c r="APS418" s="23"/>
      <c r="APT418" s="23"/>
      <c r="APU418" s="23"/>
      <c r="APV418" s="23"/>
      <c r="APW418" s="23"/>
      <c r="APX418" s="23"/>
      <c r="APY418" s="23"/>
      <c r="APZ418" s="23"/>
      <c r="AQA418" s="23"/>
      <c r="AQB418" s="23"/>
      <c r="AQC418" s="23"/>
      <c r="AQD418" s="23"/>
      <c r="AQE418" s="23"/>
      <c r="AQF418" s="23"/>
      <c r="AQG418" s="23"/>
      <c r="AQH418" s="23"/>
      <c r="AQI418" s="23"/>
      <c r="AQJ418" s="23"/>
      <c r="AQK418" s="23"/>
      <c r="AQL418" s="23"/>
      <c r="AQM418" s="23"/>
      <c r="AQN418" s="23"/>
      <c r="AQO418" s="23"/>
      <c r="AQP418" s="23"/>
      <c r="AQQ418" s="23"/>
      <c r="AQR418" s="23"/>
      <c r="AQS418" s="23"/>
      <c r="AQT418" s="23"/>
      <c r="AQU418" s="23"/>
      <c r="AQV418" s="23"/>
      <c r="AQW418" s="23"/>
      <c r="AQX418" s="23"/>
      <c r="AQY418" s="23"/>
      <c r="AQZ418" s="23"/>
      <c r="ARA418" s="23"/>
      <c r="ARB418" s="23"/>
      <c r="ARC418" s="23"/>
      <c r="ARD418" s="23"/>
      <c r="ARE418" s="23"/>
      <c r="ARF418" s="23"/>
      <c r="ARG418" s="23"/>
      <c r="ARH418" s="23"/>
      <c r="ARI418" s="23"/>
      <c r="ARJ418" s="23"/>
      <c r="ARK418" s="23"/>
      <c r="ARL418" s="23"/>
      <c r="ARM418" s="23"/>
      <c r="ARN418" s="23"/>
      <c r="ARO418" s="23"/>
      <c r="ARP418" s="23"/>
      <c r="ARQ418" s="23"/>
      <c r="ARR418" s="23"/>
      <c r="ARS418" s="23"/>
      <c r="ART418" s="23"/>
      <c r="ARU418" s="23"/>
      <c r="ARV418" s="23"/>
      <c r="ARW418" s="23"/>
      <c r="ARX418" s="23"/>
      <c r="ARY418" s="23"/>
      <c r="ARZ418" s="23"/>
      <c r="ASA418" s="23"/>
      <c r="ASB418" s="23"/>
      <c r="ASC418" s="23"/>
      <c r="ASD418" s="23"/>
      <c r="ASE418" s="23"/>
      <c r="ASF418" s="23"/>
      <c r="ASG418" s="23"/>
      <c r="ASH418" s="23"/>
      <c r="ASI418" s="23"/>
      <c r="ASJ418" s="23"/>
      <c r="ASK418" s="23"/>
      <c r="ASL418" s="23"/>
      <c r="ASM418" s="23"/>
      <c r="ASN418" s="23"/>
      <c r="ASO418" s="23"/>
      <c r="ASP418" s="23"/>
      <c r="ASQ418" s="23"/>
      <c r="ASR418" s="23"/>
      <c r="ASS418" s="23"/>
      <c r="AST418" s="23"/>
      <c r="ASU418" s="23"/>
      <c r="ASV418" s="23"/>
      <c r="ASW418" s="23"/>
      <c r="ASX418" s="23"/>
      <c r="ASY418" s="23"/>
      <c r="ASZ418" s="23"/>
      <c r="ATA418" s="23"/>
      <c r="ATB418" s="23"/>
      <c r="ATC418" s="23"/>
      <c r="ATD418" s="23"/>
      <c r="ATE418" s="23"/>
      <c r="ATF418" s="23"/>
      <c r="ATG418" s="23"/>
      <c r="ATH418" s="23"/>
      <c r="ATI418" s="23"/>
      <c r="ATJ418" s="23"/>
      <c r="ATK418" s="23"/>
      <c r="ATL418" s="23"/>
      <c r="ATM418" s="23"/>
      <c r="ATN418" s="23"/>
      <c r="ATO418" s="23"/>
      <c r="ATP418" s="23"/>
      <c r="ATQ418" s="23"/>
      <c r="ATR418" s="23"/>
      <c r="ATS418" s="23"/>
      <c r="ATT418" s="23"/>
      <c r="ATU418" s="23"/>
      <c r="ATV418" s="23"/>
      <c r="ATW418" s="23"/>
      <c r="ATX418" s="23"/>
      <c r="ATY418" s="23"/>
      <c r="ATZ418" s="23"/>
      <c r="AUA418" s="23"/>
      <c r="AUB418" s="23"/>
      <c r="AUC418" s="23"/>
      <c r="AUD418" s="23"/>
      <c r="AUE418" s="23"/>
      <c r="AUF418" s="23"/>
      <c r="AUG418" s="23"/>
      <c r="AUH418" s="23"/>
      <c r="AUI418" s="23"/>
      <c r="AUJ418" s="23"/>
      <c r="AUK418" s="23"/>
      <c r="AUL418" s="23"/>
      <c r="AUM418" s="23"/>
      <c r="AUN418" s="23"/>
      <c r="AUO418" s="23"/>
      <c r="AUP418" s="23"/>
      <c r="AUQ418" s="23"/>
      <c r="AUR418" s="23"/>
      <c r="AUS418" s="23"/>
      <c r="AUT418" s="23"/>
      <c r="AUU418" s="23"/>
      <c r="AUV418" s="23"/>
      <c r="AUW418" s="23"/>
      <c r="AUX418" s="23"/>
      <c r="AUY418" s="23"/>
      <c r="AUZ418" s="23"/>
      <c r="AVA418" s="23"/>
      <c r="AVB418" s="23"/>
      <c r="AVC418" s="23"/>
      <c r="AVD418" s="23"/>
      <c r="AVE418" s="23"/>
      <c r="AVF418" s="23"/>
      <c r="AVG418" s="23"/>
      <c r="AVH418" s="23"/>
      <c r="AVI418" s="23"/>
      <c r="AVJ418" s="23"/>
      <c r="AVK418" s="23"/>
      <c r="AVL418" s="23"/>
      <c r="AVM418" s="23"/>
      <c r="AVN418" s="23"/>
      <c r="AVO418" s="23"/>
      <c r="AVP418" s="23"/>
      <c r="AVQ418" s="23"/>
      <c r="AVR418" s="23"/>
      <c r="AVS418" s="23"/>
      <c r="AVT418" s="23"/>
      <c r="AVU418" s="23"/>
      <c r="AVV418" s="23"/>
      <c r="AVW418" s="23"/>
      <c r="AVX418" s="23"/>
      <c r="AVY418" s="23"/>
      <c r="AVZ418" s="23"/>
      <c r="AWA418" s="23"/>
      <c r="AWB418" s="23"/>
      <c r="AWC418" s="23"/>
      <c r="AWD418" s="23"/>
      <c r="AWE418" s="23"/>
      <c r="AWF418" s="23"/>
      <c r="AWG418" s="23"/>
      <c r="AWH418" s="23"/>
      <c r="AWI418" s="23"/>
      <c r="AWJ418" s="23"/>
      <c r="AWK418" s="23"/>
      <c r="AWL418" s="23"/>
      <c r="AWM418" s="23"/>
      <c r="AWN418" s="23"/>
      <c r="AWO418" s="23"/>
      <c r="AWP418" s="23"/>
      <c r="AWQ418" s="23"/>
      <c r="AWR418" s="23"/>
      <c r="AWS418" s="23"/>
      <c r="AWT418" s="23"/>
      <c r="AWU418" s="23"/>
      <c r="AWV418" s="23"/>
      <c r="AWW418" s="23"/>
      <c r="AWX418" s="23"/>
      <c r="AWY418" s="23"/>
      <c r="AWZ418" s="23"/>
      <c r="AXA418" s="23"/>
      <c r="AXB418" s="23"/>
      <c r="AXC418" s="23"/>
      <c r="AXD418" s="23"/>
      <c r="AXE418" s="23"/>
      <c r="AXF418" s="23"/>
      <c r="AXG418" s="23"/>
      <c r="AXH418" s="23"/>
      <c r="AXI418" s="23"/>
      <c r="AXJ418" s="23"/>
      <c r="AXK418" s="23"/>
      <c r="AXL418" s="23"/>
      <c r="AXM418" s="23"/>
      <c r="AXN418" s="23"/>
      <c r="AXO418" s="23"/>
      <c r="AXP418" s="23"/>
      <c r="AXQ418" s="23"/>
      <c r="AXR418" s="23"/>
      <c r="AXS418" s="23"/>
      <c r="AXT418" s="23"/>
      <c r="AXU418" s="23"/>
      <c r="AXV418" s="23"/>
      <c r="AXW418" s="23"/>
      <c r="AXX418" s="23"/>
      <c r="AXY418" s="23"/>
      <c r="AXZ418" s="23"/>
      <c r="AYA418" s="23"/>
      <c r="AYB418" s="23"/>
      <c r="AYC418" s="23"/>
      <c r="AYD418" s="23"/>
      <c r="AYE418" s="23"/>
      <c r="AYF418" s="23"/>
      <c r="AYG418" s="23"/>
      <c r="AYH418" s="23"/>
      <c r="AYI418" s="23"/>
      <c r="AYJ418" s="23"/>
      <c r="AYK418" s="23"/>
      <c r="AYL418" s="23"/>
      <c r="AYM418" s="23"/>
      <c r="AYN418" s="23"/>
      <c r="AYO418" s="23"/>
      <c r="AYP418" s="23"/>
      <c r="AYQ418" s="23"/>
      <c r="AYR418" s="23"/>
      <c r="AYS418" s="23"/>
      <c r="AYT418" s="23"/>
      <c r="AYU418" s="23"/>
      <c r="AYV418" s="23"/>
      <c r="AYW418" s="23"/>
      <c r="AYX418" s="23"/>
      <c r="AYY418" s="23"/>
      <c r="AYZ418" s="23"/>
      <c r="AZA418" s="23"/>
      <c r="AZB418" s="23"/>
      <c r="AZC418" s="23"/>
      <c r="AZD418" s="23"/>
      <c r="AZE418" s="23"/>
      <c r="AZF418" s="23"/>
      <c r="AZG418" s="23"/>
      <c r="AZH418" s="23"/>
      <c r="AZI418" s="23"/>
      <c r="AZJ418" s="23"/>
      <c r="AZK418" s="23"/>
      <c r="AZL418" s="23"/>
      <c r="AZM418" s="23"/>
      <c r="AZN418" s="23"/>
      <c r="AZO418" s="23"/>
      <c r="AZP418" s="23"/>
      <c r="AZQ418" s="23"/>
      <c r="AZR418" s="23"/>
      <c r="AZS418" s="23"/>
      <c r="AZT418" s="23"/>
      <c r="AZU418" s="23"/>
      <c r="AZV418" s="23"/>
      <c r="AZW418" s="23"/>
      <c r="AZX418" s="23"/>
      <c r="AZY418" s="23"/>
      <c r="AZZ418" s="23"/>
      <c r="BAA418" s="23"/>
      <c r="BAB418" s="23"/>
      <c r="BAC418" s="23"/>
      <c r="BAD418" s="23"/>
      <c r="BAE418" s="23"/>
      <c r="BAF418" s="23"/>
      <c r="BAG418" s="23"/>
      <c r="BAH418" s="23"/>
      <c r="BAI418" s="23"/>
      <c r="BAJ418" s="23"/>
      <c r="BAK418" s="23"/>
      <c r="BAL418" s="23"/>
      <c r="BAM418" s="23"/>
      <c r="BAN418" s="23"/>
      <c r="BAO418" s="23"/>
      <c r="BAP418" s="23"/>
      <c r="BAQ418" s="23"/>
      <c r="BAR418" s="23"/>
      <c r="BAS418" s="23"/>
      <c r="BAT418" s="23"/>
      <c r="BAU418" s="23"/>
      <c r="BAV418" s="23"/>
      <c r="BAW418" s="23"/>
      <c r="BAX418" s="23"/>
      <c r="BAY418" s="23"/>
      <c r="BAZ418" s="23"/>
      <c r="BBA418" s="23"/>
      <c r="BBB418" s="23"/>
      <c r="BBC418" s="23"/>
      <c r="BBD418" s="23"/>
      <c r="BBE418" s="23"/>
      <c r="BBF418" s="23"/>
      <c r="BBG418" s="23"/>
      <c r="BBH418" s="23"/>
      <c r="BBI418" s="23"/>
      <c r="BBJ418" s="23"/>
      <c r="BBK418" s="23"/>
      <c r="BBL418" s="23"/>
      <c r="BBM418" s="23"/>
      <c r="BBN418" s="23"/>
      <c r="BBO418" s="23"/>
      <c r="BBP418" s="23"/>
      <c r="BBQ418" s="23"/>
      <c r="BBR418" s="23"/>
      <c r="BBS418" s="23"/>
      <c r="BBT418" s="23"/>
      <c r="BBU418" s="23"/>
      <c r="BBV418" s="23"/>
      <c r="BBW418" s="23"/>
      <c r="BBX418" s="23"/>
      <c r="BBY418" s="23"/>
      <c r="BBZ418" s="23"/>
      <c r="BCA418" s="23"/>
      <c r="BCB418" s="23"/>
      <c r="BCC418" s="23"/>
      <c r="BCD418" s="23"/>
      <c r="BCE418" s="23"/>
      <c r="BCF418" s="23"/>
      <c r="BCG418" s="23"/>
      <c r="BCH418" s="23"/>
      <c r="BCI418" s="23"/>
      <c r="BCJ418" s="23"/>
      <c r="BCK418" s="23"/>
      <c r="BCL418" s="23"/>
      <c r="BCM418" s="23"/>
      <c r="BCN418" s="23"/>
      <c r="BCO418" s="23"/>
      <c r="BCP418" s="23"/>
      <c r="BCQ418" s="23"/>
      <c r="BCR418" s="23"/>
      <c r="BCS418" s="23"/>
      <c r="BCT418" s="23"/>
      <c r="BCU418" s="23"/>
      <c r="BCV418" s="23"/>
      <c r="BCW418" s="23"/>
      <c r="BCX418" s="23"/>
      <c r="BCY418" s="23"/>
      <c r="BCZ418" s="23"/>
      <c r="BDA418" s="23"/>
      <c r="BDB418" s="23"/>
      <c r="BDC418" s="23"/>
      <c r="BDD418" s="23"/>
      <c r="BDE418" s="23"/>
      <c r="BDF418" s="23"/>
      <c r="BDG418" s="23"/>
      <c r="BDH418" s="23"/>
      <c r="BDI418" s="23"/>
      <c r="BDJ418" s="23"/>
      <c r="BDK418" s="23"/>
      <c r="BDL418" s="23"/>
      <c r="BDM418" s="23"/>
      <c r="BDN418" s="23"/>
      <c r="BDO418" s="23"/>
      <c r="BDP418" s="23"/>
      <c r="BDQ418" s="23"/>
      <c r="BDR418" s="23"/>
      <c r="BDS418" s="23"/>
      <c r="BDT418" s="23"/>
      <c r="BDU418" s="23"/>
      <c r="BDV418" s="23"/>
      <c r="BDW418" s="23"/>
      <c r="BDX418" s="23"/>
      <c r="BDY418" s="23"/>
      <c r="BDZ418" s="23"/>
      <c r="BEA418" s="23"/>
      <c r="BEB418" s="23"/>
      <c r="BEC418" s="23"/>
      <c r="BED418" s="23"/>
      <c r="BEE418" s="23"/>
      <c r="BEF418" s="23"/>
      <c r="BEG418" s="23"/>
      <c r="BEH418" s="23"/>
      <c r="BEI418" s="23"/>
      <c r="BEJ418" s="23"/>
      <c r="BEK418" s="23"/>
      <c r="BEL418" s="23"/>
      <c r="BEM418" s="23"/>
      <c r="BEN418" s="23"/>
      <c r="BEO418" s="23"/>
      <c r="BEP418" s="23"/>
      <c r="BEQ418" s="23"/>
      <c r="BER418" s="23"/>
      <c r="BES418" s="23"/>
      <c r="BET418" s="23"/>
      <c r="BEU418" s="23"/>
      <c r="BEV418" s="23"/>
      <c r="BEW418" s="23"/>
      <c r="BEX418" s="23"/>
      <c r="BEY418" s="23"/>
      <c r="BEZ418" s="23"/>
      <c r="BFA418" s="23"/>
      <c r="BFB418" s="23"/>
      <c r="BFC418" s="23"/>
      <c r="BFD418" s="23"/>
      <c r="BFE418" s="23"/>
      <c r="BFF418" s="23"/>
      <c r="BFG418" s="23"/>
      <c r="BFH418" s="23"/>
      <c r="BFI418" s="23"/>
      <c r="BFJ418" s="23"/>
      <c r="BFK418" s="23"/>
      <c r="BFL418" s="23"/>
      <c r="BFM418" s="23"/>
      <c r="BFN418" s="23"/>
      <c r="BFO418" s="23"/>
      <c r="BFP418" s="23"/>
      <c r="BFQ418" s="23"/>
      <c r="BFR418" s="23"/>
      <c r="BFS418" s="23"/>
      <c r="BFT418" s="23"/>
      <c r="BFU418" s="23"/>
      <c r="BFV418" s="23"/>
      <c r="BFW418" s="23"/>
      <c r="BFX418" s="23"/>
      <c r="BFY418" s="23"/>
      <c r="BFZ418" s="23"/>
      <c r="BGA418" s="23"/>
      <c r="BGB418" s="23"/>
      <c r="BGC418" s="23"/>
      <c r="BGD418" s="23"/>
      <c r="BGE418" s="23"/>
      <c r="BGF418" s="23"/>
      <c r="BGG418" s="23"/>
      <c r="BGH418" s="23"/>
      <c r="BGI418" s="23"/>
      <c r="BGJ418" s="23"/>
      <c r="BGK418" s="23"/>
      <c r="BGL418" s="23"/>
      <c r="BGM418" s="23"/>
      <c r="BGN418" s="23"/>
      <c r="BGO418" s="23"/>
      <c r="BGP418" s="23"/>
      <c r="BGQ418" s="23"/>
      <c r="BGR418" s="23"/>
      <c r="BGS418" s="23"/>
      <c r="BGT418" s="23"/>
      <c r="BGU418" s="23"/>
      <c r="BGV418" s="23"/>
      <c r="BGW418" s="23"/>
      <c r="BGX418" s="23"/>
      <c r="BGY418" s="23"/>
      <c r="BGZ418" s="23"/>
      <c r="BHA418" s="23"/>
      <c r="BHB418" s="23"/>
      <c r="BHC418" s="23"/>
      <c r="BHD418" s="23"/>
      <c r="BHE418" s="23"/>
      <c r="BHF418" s="23"/>
      <c r="BHG418" s="23"/>
      <c r="BHH418" s="23"/>
      <c r="BHI418" s="23"/>
      <c r="BHJ418" s="23"/>
      <c r="BHK418" s="23"/>
      <c r="BHL418" s="23"/>
      <c r="BHM418" s="23"/>
      <c r="BHN418" s="23"/>
      <c r="BHO418" s="23"/>
      <c r="BHP418" s="23"/>
      <c r="BHQ418" s="23"/>
      <c r="BHR418" s="23"/>
      <c r="BHS418" s="23"/>
      <c r="BHT418" s="23"/>
      <c r="BHU418" s="23"/>
      <c r="BHV418" s="23"/>
      <c r="BHW418" s="23"/>
      <c r="BHX418" s="23"/>
      <c r="BHY418" s="23"/>
      <c r="BHZ418" s="23"/>
      <c r="BIA418" s="23"/>
      <c r="BIB418" s="23"/>
      <c r="BIC418" s="23"/>
      <c r="BID418" s="23"/>
      <c r="BIE418" s="23"/>
      <c r="BIF418" s="23"/>
      <c r="BIG418" s="23"/>
      <c r="BIH418" s="23"/>
      <c r="BII418" s="23"/>
      <c r="BIJ418" s="23"/>
      <c r="BIK418" s="23"/>
      <c r="BIL418" s="23"/>
      <c r="BIM418" s="23"/>
      <c r="BIN418" s="23"/>
      <c r="BIO418" s="23"/>
      <c r="BIP418" s="23"/>
      <c r="BIQ418" s="23"/>
      <c r="BIR418" s="23"/>
      <c r="BIS418" s="23"/>
      <c r="BIT418" s="23"/>
      <c r="BIU418" s="23"/>
      <c r="BIV418" s="23"/>
      <c r="BIW418" s="23"/>
      <c r="BIX418" s="23"/>
      <c r="BIY418" s="23"/>
      <c r="BIZ418" s="23"/>
      <c r="BJA418" s="23"/>
      <c r="BJB418" s="23"/>
      <c r="BJC418" s="23"/>
      <c r="BJD418" s="23"/>
      <c r="BJE418" s="23"/>
      <c r="BJF418" s="23"/>
      <c r="BJG418" s="23"/>
      <c r="BJH418" s="23"/>
      <c r="BJI418" s="23"/>
      <c r="BJJ418" s="23"/>
      <c r="BJK418" s="23"/>
      <c r="BJL418" s="23"/>
      <c r="BJM418" s="23"/>
      <c r="BJN418" s="23"/>
      <c r="BJO418" s="23"/>
      <c r="BJP418" s="23"/>
      <c r="BJQ418" s="23"/>
      <c r="BJR418" s="23"/>
      <c r="BJS418" s="23"/>
      <c r="BJT418" s="23"/>
      <c r="BJU418" s="23"/>
      <c r="BJV418" s="23"/>
      <c r="BJW418" s="23"/>
      <c r="BJX418" s="23"/>
      <c r="BJY418" s="23"/>
      <c r="BJZ418" s="23"/>
      <c r="BKA418" s="23"/>
      <c r="BKB418" s="23"/>
      <c r="BKC418" s="23"/>
      <c r="BKD418" s="23"/>
      <c r="BKE418" s="23"/>
      <c r="BKF418" s="23"/>
      <c r="BKG418" s="23"/>
      <c r="BKH418" s="23"/>
      <c r="BKI418" s="23"/>
      <c r="BKJ418" s="23"/>
      <c r="BKK418" s="23"/>
      <c r="BKL418" s="23"/>
      <c r="BKM418" s="23"/>
      <c r="BKN418" s="23"/>
      <c r="BKO418" s="23"/>
      <c r="BKP418" s="23"/>
      <c r="BKQ418" s="23"/>
      <c r="BKR418" s="23"/>
      <c r="BKS418" s="23"/>
      <c r="BKT418" s="23"/>
      <c r="BKU418" s="23"/>
      <c r="BKV418" s="23"/>
      <c r="BKW418" s="23"/>
      <c r="BKX418" s="23"/>
      <c r="BKY418" s="23"/>
      <c r="BKZ418" s="23"/>
      <c r="BLA418" s="23"/>
      <c r="BLB418" s="23"/>
      <c r="BLC418" s="23"/>
      <c r="BLD418" s="23"/>
      <c r="BLE418" s="23"/>
      <c r="BLF418" s="23"/>
      <c r="BLG418" s="23"/>
      <c r="BLH418" s="23"/>
      <c r="BLI418" s="23"/>
      <c r="BLJ418" s="23"/>
      <c r="BLK418" s="23"/>
      <c r="BLL418" s="23"/>
      <c r="BLM418" s="23"/>
      <c r="BLN418" s="23"/>
      <c r="BLO418" s="23"/>
      <c r="BLP418" s="23"/>
      <c r="BLQ418" s="23"/>
      <c r="BLR418" s="23"/>
      <c r="BLS418" s="23"/>
      <c r="BLT418" s="23"/>
      <c r="BLU418" s="23"/>
      <c r="BLV418" s="23"/>
      <c r="BLW418" s="23"/>
      <c r="BLX418" s="23"/>
      <c r="BLY418" s="23"/>
      <c r="BLZ418" s="23"/>
      <c r="BMA418" s="23"/>
      <c r="BMB418" s="23"/>
      <c r="BMC418" s="23"/>
      <c r="BMD418" s="23"/>
      <c r="BME418" s="23"/>
      <c r="BMF418" s="23"/>
      <c r="BMG418" s="23"/>
      <c r="BMH418" s="23"/>
      <c r="BMI418" s="23"/>
      <c r="BMJ418" s="23"/>
      <c r="BMK418" s="23"/>
      <c r="BML418" s="23"/>
      <c r="BMM418" s="23"/>
      <c r="BMN418" s="23"/>
      <c r="BMO418" s="23"/>
      <c r="BMP418" s="23"/>
      <c r="BMQ418" s="23"/>
      <c r="BMR418" s="23"/>
      <c r="BMS418" s="23"/>
      <c r="BMT418" s="23"/>
      <c r="BMU418" s="23"/>
      <c r="BMV418" s="23"/>
      <c r="BMW418" s="23"/>
      <c r="BMX418" s="23"/>
      <c r="BMY418" s="23"/>
      <c r="BMZ418" s="23"/>
      <c r="BNA418" s="23"/>
      <c r="BNB418" s="23"/>
      <c r="BNC418" s="23"/>
      <c r="BND418" s="23"/>
      <c r="BNE418" s="23"/>
      <c r="BNF418" s="23"/>
      <c r="BNG418" s="23"/>
      <c r="BNH418" s="23"/>
      <c r="BNI418" s="23"/>
      <c r="BNJ418" s="23"/>
      <c r="BNK418" s="23"/>
      <c r="BNL418" s="23"/>
      <c r="BNM418" s="23"/>
      <c r="BNN418" s="23"/>
      <c r="BNO418" s="23"/>
      <c r="BNP418" s="23"/>
      <c r="BNQ418" s="23"/>
      <c r="BNR418" s="23"/>
      <c r="BNS418" s="23"/>
      <c r="BNT418" s="23"/>
      <c r="BNU418" s="23"/>
      <c r="BNV418" s="23"/>
      <c r="BNW418" s="23"/>
      <c r="BNX418" s="23"/>
      <c r="BNY418" s="23"/>
      <c r="BNZ418" s="23"/>
      <c r="BOA418" s="23"/>
      <c r="BOB418" s="23"/>
      <c r="BOC418" s="23"/>
      <c r="BOD418" s="23"/>
      <c r="BOE418" s="23"/>
      <c r="BOF418" s="23"/>
      <c r="BOG418" s="23"/>
      <c r="BOH418" s="23"/>
      <c r="BOI418" s="23"/>
      <c r="BOJ418" s="23"/>
      <c r="BOK418" s="23"/>
      <c r="BOL418" s="23"/>
      <c r="BOM418" s="23"/>
      <c r="BON418" s="23"/>
      <c r="BOO418" s="23"/>
      <c r="BOP418" s="23"/>
      <c r="BOQ418" s="23"/>
      <c r="BOR418" s="23"/>
      <c r="BOS418" s="23"/>
      <c r="BOT418" s="23"/>
      <c r="BOU418" s="23"/>
      <c r="BOV418" s="23"/>
      <c r="BOW418" s="23"/>
      <c r="BOX418" s="23"/>
      <c r="BOY418" s="23"/>
      <c r="BOZ418" s="23"/>
      <c r="BPA418" s="23"/>
      <c r="BPB418" s="23"/>
      <c r="BPC418" s="23"/>
      <c r="BPD418" s="23"/>
      <c r="BPE418" s="23"/>
      <c r="BPF418" s="23"/>
      <c r="BPG418" s="23"/>
      <c r="BPH418" s="23"/>
      <c r="BPI418" s="23"/>
      <c r="BPJ418" s="23"/>
      <c r="BPK418" s="23"/>
      <c r="BPL418" s="23"/>
      <c r="BPM418" s="23"/>
      <c r="BPN418" s="23"/>
      <c r="BPO418" s="23"/>
      <c r="BPP418" s="23"/>
      <c r="BPQ418" s="23"/>
      <c r="BPR418" s="23"/>
      <c r="BPS418" s="23"/>
      <c r="BPT418" s="23"/>
      <c r="BPU418" s="23"/>
      <c r="BPV418" s="23"/>
      <c r="BPW418" s="23"/>
      <c r="BPX418" s="23"/>
      <c r="BPY418" s="23"/>
      <c r="BPZ418" s="23"/>
      <c r="BQA418" s="23"/>
      <c r="BQB418" s="23"/>
      <c r="BQC418" s="23"/>
      <c r="BQD418" s="23"/>
      <c r="BQE418" s="23"/>
      <c r="BQF418" s="23"/>
      <c r="BQG418" s="23"/>
      <c r="BQH418" s="23"/>
      <c r="BQI418" s="23"/>
      <c r="BQJ418" s="23"/>
      <c r="BQK418" s="23"/>
      <c r="BQL418" s="23"/>
      <c r="BQM418" s="23"/>
      <c r="BQN418" s="23"/>
      <c r="BQO418" s="23"/>
      <c r="BQP418" s="23"/>
      <c r="BQQ418" s="23"/>
      <c r="BQR418" s="23"/>
      <c r="BQS418" s="23"/>
      <c r="BQT418" s="23"/>
      <c r="BQU418" s="23"/>
      <c r="BQV418" s="23"/>
      <c r="BQW418" s="23"/>
      <c r="BQX418" s="23"/>
      <c r="BQY418" s="23"/>
      <c r="BQZ418" s="23"/>
      <c r="BRA418" s="23"/>
      <c r="BRB418" s="23"/>
      <c r="BRC418" s="23"/>
      <c r="BRD418" s="23"/>
      <c r="BRE418" s="23"/>
      <c r="BRF418" s="23"/>
      <c r="BRG418" s="23"/>
      <c r="BRH418" s="23"/>
      <c r="BRI418" s="23"/>
      <c r="BRJ418" s="23"/>
      <c r="BRK418" s="23"/>
      <c r="BRL418" s="23"/>
      <c r="BRM418" s="23"/>
      <c r="BRN418" s="23"/>
      <c r="BRO418" s="23"/>
      <c r="BRP418" s="23"/>
      <c r="BRQ418" s="23"/>
      <c r="BRR418" s="23"/>
      <c r="BRS418" s="23"/>
      <c r="BRT418" s="23"/>
      <c r="BRU418" s="23"/>
      <c r="BRV418" s="23"/>
      <c r="BRW418" s="23"/>
      <c r="BRX418" s="23"/>
      <c r="BRY418" s="23"/>
      <c r="BRZ418" s="23"/>
      <c r="BSA418" s="23"/>
      <c r="BSB418" s="23"/>
      <c r="BSC418" s="23"/>
      <c r="BSD418" s="23"/>
      <c r="BSE418" s="23"/>
      <c r="BSF418" s="23"/>
      <c r="BSG418" s="23"/>
      <c r="BSH418" s="23"/>
      <c r="BSI418" s="23"/>
      <c r="BSJ418" s="23"/>
      <c r="BSK418" s="23"/>
      <c r="BSL418" s="23"/>
      <c r="BSM418" s="23"/>
      <c r="BSN418" s="23"/>
      <c r="BSO418" s="23"/>
      <c r="BSP418" s="23"/>
      <c r="BSQ418" s="23"/>
      <c r="BSR418" s="23"/>
      <c r="BSS418" s="23"/>
      <c r="BST418" s="23"/>
      <c r="BSU418" s="23"/>
      <c r="BSV418" s="23"/>
      <c r="BSW418" s="23"/>
      <c r="BSX418" s="23"/>
      <c r="BSY418" s="23"/>
      <c r="BSZ418" s="23"/>
      <c r="BTA418" s="23"/>
    </row>
    <row r="419" spans="1:1873" s="118" customFormat="1" ht="14.45" customHeight="1" x14ac:dyDescent="0.2">
      <c r="A419" s="25" t="s">
        <v>780</v>
      </c>
      <c r="B419" s="240" t="s">
        <v>276</v>
      </c>
      <c r="C419" s="403" t="s">
        <v>1523</v>
      </c>
      <c r="D419" s="240" t="s">
        <v>619</v>
      </c>
      <c r="E419" s="241" t="s">
        <v>1449</v>
      </c>
      <c r="F419" s="240">
        <v>1</v>
      </c>
      <c r="G419" s="240">
        <v>1</v>
      </c>
      <c r="H419" s="240">
        <v>1</v>
      </c>
      <c r="I419" s="240" t="s">
        <v>58</v>
      </c>
      <c r="J419" s="240">
        <v>1970</v>
      </c>
      <c r="K419" s="223" t="s">
        <v>957</v>
      </c>
      <c r="L419" s="240">
        <v>1970</v>
      </c>
      <c r="M419" s="421">
        <v>-9999</v>
      </c>
      <c r="N419" s="223">
        <v>-9999</v>
      </c>
      <c r="O419" s="29"/>
      <c r="P419" s="421" t="s">
        <v>59</v>
      </c>
      <c r="Q419" s="240">
        <v>-9999</v>
      </c>
      <c r="R419" s="421"/>
      <c r="S419" s="240"/>
      <c r="T419" s="543">
        <v>-9999</v>
      </c>
      <c r="U419" s="451">
        <v>-9999</v>
      </c>
      <c r="V419" s="451"/>
      <c r="W419" s="421" t="s">
        <v>59</v>
      </c>
      <c r="X419" s="451">
        <v>-9999</v>
      </c>
      <c r="Y419" s="451"/>
      <c r="Z419" s="540" t="s">
        <v>60</v>
      </c>
      <c r="AA419" s="541">
        <v>189036</v>
      </c>
      <c r="AB419" s="421">
        <v>0.99</v>
      </c>
      <c r="AC419" s="240">
        <v>-9999</v>
      </c>
      <c r="AD419" s="240">
        <v>25</v>
      </c>
      <c r="AE419" s="240" t="s">
        <v>278</v>
      </c>
      <c r="AF419" s="240">
        <v>3</v>
      </c>
      <c r="AG419" s="240"/>
      <c r="AH419" s="240" t="s">
        <v>623</v>
      </c>
      <c r="AI419" s="240" t="s">
        <v>61</v>
      </c>
      <c r="AJ419" s="240" t="s">
        <v>62</v>
      </c>
      <c r="AK419" s="240" t="s">
        <v>779</v>
      </c>
      <c r="AL419" s="240" t="s">
        <v>63</v>
      </c>
      <c r="AM419" s="240"/>
      <c r="AN419" s="240" t="s">
        <v>779</v>
      </c>
      <c r="AO419" s="240">
        <v>-9999</v>
      </c>
      <c r="AP419" s="240" t="s">
        <v>64</v>
      </c>
      <c r="AQ419" s="240" t="s">
        <v>779</v>
      </c>
      <c r="AR419" s="240" t="s">
        <v>1187</v>
      </c>
      <c r="AS419" s="223" t="s">
        <v>1101</v>
      </c>
      <c r="AT419" s="240" t="s">
        <v>751</v>
      </c>
      <c r="AU419" s="240">
        <v>213</v>
      </c>
      <c r="AV419" s="240">
        <v>-9999</v>
      </c>
      <c r="AW419" s="240" t="s">
        <v>686</v>
      </c>
      <c r="AX419" s="240">
        <v>336</v>
      </c>
      <c r="AY419" s="240">
        <v>-9999</v>
      </c>
      <c r="AZ419" s="240" t="s">
        <v>322</v>
      </c>
      <c r="BA419" s="240" t="s">
        <v>750</v>
      </c>
      <c r="BB419" s="240" t="s">
        <v>779</v>
      </c>
      <c r="BC419" s="240" t="s">
        <v>279</v>
      </c>
      <c r="BD419" s="240">
        <v>-9999</v>
      </c>
      <c r="BE419" s="240">
        <v>-9999</v>
      </c>
      <c r="BF419" s="240">
        <v>-9999</v>
      </c>
      <c r="BG419" s="240">
        <v>-9999</v>
      </c>
      <c r="BH419" s="240">
        <v>-9999</v>
      </c>
      <c r="BI419" s="240" t="s">
        <v>752</v>
      </c>
      <c r="BJ419" s="240">
        <v>-9999</v>
      </c>
      <c r="BK419" s="240">
        <v>-9999</v>
      </c>
      <c r="BL419" s="240">
        <v>0.3</v>
      </c>
      <c r="BM419" s="240">
        <v>-9999</v>
      </c>
      <c r="BN419" s="240">
        <v>-9999</v>
      </c>
      <c r="BO419" s="240">
        <v>-9999</v>
      </c>
      <c r="BP419" s="240">
        <v>-9999</v>
      </c>
      <c r="BQ419" s="240">
        <v>-9999</v>
      </c>
      <c r="BR419" s="240">
        <v>8</v>
      </c>
      <c r="BS419" s="242">
        <v>-9999</v>
      </c>
      <c r="BT419" s="240">
        <v>-9999</v>
      </c>
      <c r="BU419" s="240">
        <v>-9999</v>
      </c>
      <c r="BV419" s="240">
        <v>-9999</v>
      </c>
      <c r="BW419" s="240"/>
      <c r="BX419" s="240">
        <v>-9999</v>
      </c>
      <c r="BY419" s="240">
        <v>-9999</v>
      </c>
      <c r="BZ419" s="334">
        <v>-9999</v>
      </c>
      <c r="CA419" s="334">
        <v>2.54</v>
      </c>
      <c r="CB419" s="542"/>
      <c r="CC419" s="240">
        <v>1</v>
      </c>
      <c r="CD419" s="240">
        <v>1</v>
      </c>
      <c r="CE419" s="343"/>
      <c r="CF419" s="343"/>
      <c r="CG419" s="25">
        <v>1</v>
      </c>
    </row>
    <row r="420" spans="1:1873" s="118" customFormat="1" ht="15" customHeight="1" x14ac:dyDescent="0.2">
      <c r="A420" s="25" t="s">
        <v>780</v>
      </c>
      <c r="B420" s="240" t="s">
        <v>276</v>
      </c>
      <c r="C420" s="403" t="s">
        <v>1523</v>
      </c>
      <c r="D420" s="240" t="s">
        <v>619</v>
      </c>
      <c r="E420" s="241" t="s">
        <v>1449</v>
      </c>
      <c r="F420" s="240">
        <v>1</v>
      </c>
      <c r="G420" s="240">
        <v>2</v>
      </c>
      <c r="H420" s="240">
        <v>2</v>
      </c>
      <c r="I420" s="240" t="s">
        <v>58</v>
      </c>
      <c r="J420" s="240">
        <v>1970</v>
      </c>
      <c r="K420" s="223" t="s">
        <v>957</v>
      </c>
      <c r="L420" s="240">
        <v>1971</v>
      </c>
      <c r="M420" s="421">
        <v>21</v>
      </c>
      <c r="N420" s="223">
        <v>-9999</v>
      </c>
      <c r="O420" s="29"/>
      <c r="P420" s="421">
        <v>21</v>
      </c>
      <c r="Q420" s="240">
        <v>-9999</v>
      </c>
      <c r="R420" s="421"/>
      <c r="S420" s="240"/>
      <c r="T420" s="543">
        <v>10.5</v>
      </c>
      <c r="U420" s="451">
        <v>-9999</v>
      </c>
      <c r="V420" s="451"/>
      <c r="W420" s="421" t="s">
        <v>59</v>
      </c>
      <c r="X420" s="451">
        <v>-9999</v>
      </c>
      <c r="Y420" s="451"/>
      <c r="Z420" s="540" t="s">
        <v>60</v>
      </c>
      <c r="AA420" s="541">
        <v>189036</v>
      </c>
      <c r="AB420" s="421">
        <v>0.97</v>
      </c>
      <c r="AC420" s="240">
        <v>-9999</v>
      </c>
      <c r="AD420" s="240">
        <v>25</v>
      </c>
      <c r="AE420" s="240" t="s">
        <v>278</v>
      </c>
      <c r="AF420" s="240">
        <v>3</v>
      </c>
      <c r="AG420" s="240"/>
      <c r="AH420" s="240" t="s">
        <v>623</v>
      </c>
      <c r="AI420" s="240" t="s">
        <v>61</v>
      </c>
      <c r="AJ420" s="240" t="s">
        <v>62</v>
      </c>
      <c r="AK420" s="240" t="s">
        <v>779</v>
      </c>
      <c r="AL420" s="240" t="s">
        <v>63</v>
      </c>
      <c r="AM420" s="240"/>
      <c r="AN420" s="240" t="s">
        <v>779</v>
      </c>
      <c r="AO420" s="240">
        <v>-9999</v>
      </c>
      <c r="AP420" s="240" t="s">
        <v>64</v>
      </c>
      <c r="AQ420" s="240" t="s">
        <v>779</v>
      </c>
      <c r="AR420" s="240" t="s">
        <v>1187</v>
      </c>
      <c r="AS420" s="223" t="s">
        <v>1101</v>
      </c>
      <c r="AT420" s="240" t="s">
        <v>751</v>
      </c>
      <c r="AU420" s="240">
        <f>213+AU419</f>
        <v>426</v>
      </c>
      <c r="AV420" s="240">
        <v>-9999</v>
      </c>
      <c r="AW420" s="240" t="s">
        <v>686</v>
      </c>
      <c r="AX420" s="240">
        <f>336+AX419</f>
        <v>672</v>
      </c>
      <c r="AY420" s="240">
        <v>-9999</v>
      </c>
      <c r="AZ420" s="240" t="s">
        <v>322</v>
      </c>
      <c r="BA420" s="240" t="s">
        <v>750</v>
      </c>
      <c r="BB420" s="240" t="s">
        <v>779</v>
      </c>
      <c r="BC420" s="240" t="s">
        <v>279</v>
      </c>
      <c r="BD420" s="240">
        <v>-9999</v>
      </c>
      <c r="BE420" s="240">
        <v>-9999</v>
      </c>
      <c r="BF420" s="240">
        <v>-9999</v>
      </c>
      <c r="BG420" s="240">
        <v>-9999</v>
      </c>
      <c r="BH420" s="240">
        <v>-9999</v>
      </c>
      <c r="BI420" s="240" t="s">
        <v>752</v>
      </c>
      <c r="BJ420" s="240">
        <v>-9999</v>
      </c>
      <c r="BK420" s="240">
        <v>-9999</v>
      </c>
      <c r="BL420" s="240">
        <v>1.8</v>
      </c>
      <c r="BM420" s="240">
        <v>-9999</v>
      </c>
      <c r="BN420" s="240">
        <v>-9999</v>
      </c>
      <c r="BO420" s="240">
        <v>-9999</v>
      </c>
      <c r="BP420" s="240">
        <v>-9999</v>
      </c>
      <c r="BQ420" s="240">
        <v>-9999</v>
      </c>
      <c r="BR420" s="240">
        <v>15</v>
      </c>
      <c r="BS420" s="242">
        <v>-9999</v>
      </c>
      <c r="BT420" s="240">
        <v>-9999</v>
      </c>
      <c r="BU420" s="240">
        <v>-9999</v>
      </c>
      <c r="BV420" s="240">
        <v>-9999</v>
      </c>
      <c r="BW420" s="240"/>
      <c r="BX420" s="240">
        <v>-9999</v>
      </c>
      <c r="BY420" s="240">
        <v>-9999</v>
      </c>
      <c r="BZ420" s="334">
        <v>-9999</v>
      </c>
      <c r="CA420" s="334">
        <v>2.54</v>
      </c>
      <c r="CB420" s="542"/>
      <c r="CC420" s="240">
        <v>1</v>
      </c>
      <c r="CD420" s="240">
        <v>2</v>
      </c>
      <c r="CE420" s="343">
        <v>10.5</v>
      </c>
      <c r="CF420" s="343"/>
      <c r="CG420" s="25">
        <v>2</v>
      </c>
    </row>
    <row r="421" spans="1:1873" s="118" customFormat="1" x14ac:dyDescent="0.2">
      <c r="A421" s="25" t="s">
        <v>780</v>
      </c>
      <c r="B421" s="240" t="s">
        <v>276</v>
      </c>
      <c r="C421" s="403" t="s">
        <v>1523</v>
      </c>
      <c r="D421" s="240" t="s">
        <v>619</v>
      </c>
      <c r="E421" s="241" t="s">
        <v>1449</v>
      </c>
      <c r="F421" s="240">
        <v>1</v>
      </c>
      <c r="G421" s="240">
        <v>3</v>
      </c>
      <c r="H421" s="240">
        <v>3</v>
      </c>
      <c r="I421" s="240" t="s">
        <v>58</v>
      </c>
      <c r="J421" s="240">
        <v>1970</v>
      </c>
      <c r="K421" s="223" t="s">
        <v>957</v>
      </c>
      <c r="L421" s="240">
        <v>1972</v>
      </c>
      <c r="M421" s="421">
        <v>37.4</v>
      </c>
      <c r="N421" s="223">
        <v>-9999</v>
      </c>
      <c r="O421" s="29"/>
      <c r="P421" s="421">
        <v>37.4</v>
      </c>
      <c r="Q421" s="240">
        <v>-9999</v>
      </c>
      <c r="R421" s="421"/>
      <c r="S421" s="240"/>
      <c r="T421" s="543">
        <v>12.5</v>
      </c>
      <c r="U421" s="451">
        <v>-9999</v>
      </c>
      <c r="V421" s="451"/>
      <c r="W421" s="421">
        <v>16.399999999999999</v>
      </c>
      <c r="X421" s="451">
        <v>-9999</v>
      </c>
      <c r="Y421" s="451"/>
      <c r="Z421" s="540" t="s">
        <v>60</v>
      </c>
      <c r="AA421" s="541">
        <v>189036</v>
      </c>
      <c r="AB421" s="421">
        <v>0.85</v>
      </c>
      <c r="AC421" s="240">
        <v>-9999</v>
      </c>
      <c r="AD421" s="240">
        <v>25</v>
      </c>
      <c r="AE421" s="240" t="s">
        <v>278</v>
      </c>
      <c r="AF421" s="240">
        <v>3</v>
      </c>
      <c r="AG421" s="240"/>
      <c r="AH421" s="240" t="s">
        <v>623</v>
      </c>
      <c r="AI421" s="240" t="s">
        <v>61</v>
      </c>
      <c r="AJ421" s="240" t="s">
        <v>62</v>
      </c>
      <c r="AK421" s="240" t="s">
        <v>779</v>
      </c>
      <c r="AL421" s="240" t="s">
        <v>63</v>
      </c>
      <c r="AM421" s="240"/>
      <c r="AN421" s="240" t="s">
        <v>779</v>
      </c>
      <c r="AO421" s="240">
        <v>-9999</v>
      </c>
      <c r="AP421" s="240" t="s">
        <v>64</v>
      </c>
      <c r="AQ421" s="240" t="s">
        <v>779</v>
      </c>
      <c r="AR421" s="240" t="s">
        <v>1187</v>
      </c>
      <c r="AS421" s="223" t="s">
        <v>1101</v>
      </c>
      <c r="AT421" s="240" t="s">
        <v>751</v>
      </c>
      <c r="AU421" s="240">
        <f>213+AU420</f>
        <v>639</v>
      </c>
      <c r="AV421" s="240">
        <v>-9999</v>
      </c>
      <c r="AW421" s="240" t="s">
        <v>686</v>
      </c>
      <c r="AX421" s="240">
        <f>336+AX420</f>
        <v>1008</v>
      </c>
      <c r="AY421" s="240">
        <v>-9999</v>
      </c>
      <c r="AZ421" s="240" t="s">
        <v>322</v>
      </c>
      <c r="BA421" s="240" t="s">
        <v>750</v>
      </c>
      <c r="BB421" s="240" t="s">
        <v>779</v>
      </c>
      <c r="BC421" s="240" t="s">
        <v>279</v>
      </c>
      <c r="BD421" s="240">
        <v>-9999</v>
      </c>
      <c r="BE421" s="240">
        <v>-9999</v>
      </c>
      <c r="BF421" s="240">
        <v>-9999</v>
      </c>
      <c r="BG421" s="240">
        <v>-9999</v>
      </c>
      <c r="BH421" s="240">
        <v>-9999</v>
      </c>
      <c r="BI421" s="240" t="s">
        <v>752</v>
      </c>
      <c r="BJ421" s="240">
        <v>-9999</v>
      </c>
      <c r="BK421" s="240">
        <v>-9999</v>
      </c>
      <c r="BL421" s="240">
        <v>3.1</v>
      </c>
      <c r="BM421" s="240">
        <v>-9999</v>
      </c>
      <c r="BN421" s="240">
        <v>-9999</v>
      </c>
      <c r="BO421" s="240">
        <v>-9999</v>
      </c>
      <c r="BP421" s="240">
        <v>-9999</v>
      </c>
      <c r="BQ421" s="240">
        <v>-9999</v>
      </c>
      <c r="BR421" s="240">
        <v>21</v>
      </c>
      <c r="BS421" s="242">
        <v>-9999</v>
      </c>
      <c r="BT421" s="240">
        <v>-9999</v>
      </c>
      <c r="BU421" s="240">
        <v>-9999</v>
      </c>
      <c r="BV421" s="240">
        <v>-9999</v>
      </c>
      <c r="BW421" s="240"/>
      <c r="BX421" s="240">
        <v>-9999</v>
      </c>
      <c r="BY421" s="240">
        <v>-9999</v>
      </c>
      <c r="BZ421" s="334">
        <v>-9999</v>
      </c>
      <c r="CA421" s="334">
        <v>2.54</v>
      </c>
      <c r="CB421" s="542"/>
      <c r="CC421" s="240">
        <v>1</v>
      </c>
      <c r="CD421" s="240">
        <v>3</v>
      </c>
      <c r="CE421" s="343">
        <v>12.5</v>
      </c>
      <c r="CF421" s="343">
        <v>16.399999999999999</v>
      </c>
      <c r="CG421" s="25">
        <v>3</v>
      </c>
    </row>
    <row r="422" spans="1:1873" s="197" customFormat="1" x14ac:dyDescent="0.2">
      <c r="A422" s="283" t="s">
        <v>780</v>
      </c>
      <c r="B422" s="283" t="s">
        <v>276</v>
      </c>
      <c r="C422" s="283" t="s">
        <v>1523</v>
      </c>
      <c r="D422" s="283" t="s">
        <v>619</v>
      </c>
      <c r="E422" s="250" t="s">
        <v>1449</v>
      </c>
      <c r="F422" s="283">
        <v>1</v>
      </c>
      <c r="G422" s="283">
        <v>4</v>
      </c>
      <c r="H422" s="283">
        <v>4</v>
      </c>
      <c r="I422" s="283" t="s">
        <v>58</v>
      </c>
      <c r="J422" s="283">
        <v>1970</v>
      </c>
      <c r="K422" s="249" t="s">
        <v>957</v>
      </c>
      <c r="L422" s="283">
        <v>1973</v>
      </c>
      <c r="M422" s="426">
        <v>54.4</v>
      </c>
      <c r="N422" s="249">
        <v>-9999</v>
      </c>
      <c r="O422" s="18"/>
      <c r="P422" s="426">
        <v>54.4</v>
      </c>
      <c r="Q422" s="283">
        <v>-9999</v>
      </c>
      <c r="R422" s="426"/>
      <c r="S422" s="283"/>
      <c r="T422" s="544">
        <v>13.6</v>
      </c>
      <c r="U422" s="454">
        <v>-9999</v>
      </c>
      <c r="V422" s="454"/>
      <c r="W422" s="426">
        <v>17</v>
      </c>
      <c r="X422" s="454">
        <v>-9999</v>
      </c>
      <c r="Y422" s="454"/>
      <c r="Z422" s="545" t="s">
        <v>60</v>
      </c>
      <c r="AA422" s="546">
        <v>189036</v>
      </c>
      <c r="AB422" s="426">
        <v>0.79</v>
      </c>
      <c r="AC422" s="283">
        <v>-9999</v>
      </c>
      <c r="AD422" s="283">
        <v>25</v>
      </c>
      <c r="AE422" s="283" t="s">
        <v>278</v>
      </c>
      <c r="AF422" s="283">
        <v>3</v>
      </c>
      <c r="AG422" s="283"/>
      <c r="AH422" s="283" t="s">
        <v>623</v>
      </c>
      <c r="AI422" s="283" t="s">
        <v>61</v>
      </c>
      <c r="AJ422" s="283" t="s">
        <v>62</v>
      </c>
      <c r="AK422" s="283" t="s">
        <v>779</v>
      </c>
      <c r="AL422" s="283" t="s">
        <v>63</v>
      </c>
      <c r="AM422" s="283"/>
      <c r="AN422" s="283" t="s">
        <v>779</v>
      </c>
      <c r="AO422" s="283">
        <v>-9999</v>
      </c>
      <c r="AP422" s="283" t="s">
        <v>64</v>
      </c>
      <c r="AQ422" s="283" t="s">
        <v>779</v>
      </c>
      <c r="AR422" s="283" t="s">
        <v>1187</v>
      </c>
      <c r="AS422" s="249" t="s">
        <v>1101</v>
      </c>
      <c r="AT422" s="283" t="s">
        <v>751</v>
      </c>
      <c r="AU422" s="283">
        <f>213+AU421</f>
        <v>852</v>
      </c>
      <c r="AV422" s="283">
        <v>-9999</v>
      </c>
      <c r="AW422" s="283" t="s">
        <v>686</v>
      </c>
      <c r="AX422" s="283">
        <f>336+AX421</f>
        <v>1344</v>
      </c>
      <c r="AY422" s="283">
        <v>-9999</v>
      </c>
      <c r="AZ422" s="283" t="s">
        <v>322</v>
      </c>
      <c r="BA422" s="283" t="s">
        <v>750</v>
      </c>
      <c r="BB422" s="283" t="s">
        <v>779</v>
      </c>
      <c r="BC422" s="283" t="s">
        <v>279</v>
      </c>
      <c r="BD422" s="283">
        <v>-9999</v>
      </c>
      <c r="BE422" s="283">
        <v>-9999</v>
      </c>
      <c r="BF422" s="283">
        <v>-9999</v>
      </c>
      <c r="BG422" s="283">
        <v>-9999</v>
      </c>
      <c r="BH422" s="283">
        <v>-9999</v>
      </c>
      <c r="BI422" s="283" t="s">
        <v>752</v>
      </c>
      <c r="BJ422" s="283">
        <v>-9999</v>
      </c>
      <c r="BK422" s="283">
        <v>-9999</v>
      </c>
      <c r="BL422" s="283">
        <v>3.7</v>
      </c>
      <c r="BM422" s="283">
        <v>-9999</v>
      </c>
      <c r="BN422" s="283">
        <v>-9999</v>
      </c>
      <c r="BO422" s="283">
        <v>-9999</v>
      </c>
      <c r="BP422" s="283">
        <v>-9999</v>
      </c>
      <c r="BQ422" s="283">
        <v>-9999</v>
      </c>
      <c r="BR422" s="283">
        <v>25</v>
      </c>
      <c r="BS422" s="251">
        <v>-9999</v>
      </c>
      <c r="BT422" s="283">
        <v>-9999</v>
      </c>
      <c r="BU422" s="283">
        <v>-9999</v>
      </c>
      <c r="BV422" s="283">
        <v>-9999</v>
      </c>
      <c r="BW422" s="283"/>
      <c r="BX422" s="283">
        <v>-9999</v>
      </c>
      <c r="BY422" s="283">
        <v>-9999</v>
      </c>
      <c r="BZ422" s="335">
        <v>-9999</v>
      </c>
      <c r="CA422" s="335">
        <v>2.54</v>
      </c>
      <c r="CB422" s="547"/>
      <c r="CC422" s="283">
        <v>1</v>
      </c>
      <c r="CD422" s="283">
        <v>4</v>
      </c>
      <c r="CE422" s="341">
        <v>13.6</v>
      </c>
      <c r="CF422" s="341">
        <v>17</v>
      </c>
      <c r="CG422" s="191">
        <v>4</v>
      </c>
      <c r="CH422" s="7" t="s">
        <v>1757</v>
      </c>
      <c r="CI422" s="7"/>
      <c r="CJ422" s="7"/>
      <c r="CK422" s="7"/>
      <c r="CL422" s="7"/>
      <c r="CM422" s="7"/>
      <c r="CN422" s="7"/>
      <c r="CO422" s="7"/>
      <c r="CP422" s="7"/>
      <c r="CQ422" s="7"/>
      <c r="CR422" s="7"/>
      <c r="CS422" s="7"/>
      <c r="CT422" s="7"/>
      <c r="CU422" s="7"/>
      <c r="CV422" s="7"/>
      <c r="CW422" s="7"/>
      <c r="CX422" s="7"/>
      <c r="CY422" s="7"/>
      <c r="CZ422" s="7"/>
      <c r="DA422" s="7"/>
      <c r="DB422" s="7"/>
      <c r="DC422" s="7"/>
      <c r="DD422" s="7"/>
      <c r="DE422" s="7"/>
      <c r="DF422" s="7"/>
      <c r="DG422" s="7"/>
      <c r="DH422" s="7"/>
      <c r="DI422" s="7"/>
      <c r="DJ422" s="7"/>
      <c r="DK422" s="7"/>
      <c r="DL422" s="7"/>
      <c r="DM422" s="7"/>
      <c r="DN422" s="7"/>
      <c r="DO422" s="7"/>
      <c r="DP422" s="7"/>
      <c r="DQ422" s="7"/>
      <c r="DR422" s="7"/>
      <c r="DS422" s="7"/>
      <c r="DT422" s="7"/>
      <c r="DU422" s="7"/>
      <c r="DV422" s="7"/>
      <c r="DW422" s="7"/>
      <c r="DX422" s="7"/>
      <c r="DY422" s="7"/>
      <c r="DZ422" s="7"/>
      <c r="EA422" s="7"/>
      <c r="EB422" s="7"/>
      <c r="EC422" s="7"/>
      <c r="ED422" s="7"/>
      <c r="EE422" s="7"/>
      <c r="EF422" s="7"/>
      <c r="EG422" s="7"/>
      <c r="EH422" s="7"/>
      <c r="EI422" s="7"/>
      <c r="EJ422" s="7"/>
      <c r="EK422" s="7"/>
      <c r="EL422" s="7"/>
      <c r="EM422" s="7"/>
      <c r="EN422" s="7"/>
      <c r="EO422" s="7"/>
      <c r="EP422" s="7"/>
      <c r="EQ422" s="7"/>
      <c r="ER422" s="7"/>
      <c r="ES422" s="7"/>
      <c r="ET422" s="7"/>
      <c r="EU422" s="7"/>
      <c r="EV422" s="7"/>
      <c r="EW422" s="7"/>
      <c r="EX422" s="7"/>
      <c r="EY422" s="7"/>
      <c r="EZ422" s="7"/>
      <c r="FA422" s="7"/>
      <c r="FB422" s="7"/>
      <c r="FC422" s="7"/>
      <c r="FD422" s="7"/>
      <c r="FE422" s="7"/>
      <c r="FF422" s="7"/>
      <c r="FG422" s="7"/>
      <c r="FH422" s="7"/>
      <c r="FI422" s="7"/>
      <c r="FJ422" s="7"/>
      <c r="FK422" s="7"/>
      <c r="FL422" s="7"/>
      <c r="FM422" s="7"/>
      <c r="FN422" s="7"/>
      <c r="FO422" s="7"/>
      <c r="FP422" s="7"/>
      <c r="FQ422" s="7"/>
      <c r="FR422" s="7"/>
      <c r="FS422" s="7"/>
      <c r="FT422" s="7"/>
      <c r="FU422" s="7"/>
      <c r="FV422" s="7"/>
      <c r="FW422" s="7"/>
      <c r="FX422" s="7"/>
      <c r="FY422" s="7"/>
      <c r="FZ422" s="7"/>
      <c r="GA422" s="7"/>
      <c r="GB422" s="7"/>
      <c r="GC422" s="7"/>
      <c r="GD422" s="7"/>
      <c r="GE422" s="7"/>
      <c r="GF422" s="7"/>
      <c r="GG422" s="7"/>
      <c r="GH422" s="7"/>
      <c r="GI422" s="7"/>
      <c r="GJ422" s="7"/>
      <c r="GK422" s="7"/>
      <c r="GL422" s="7"/>
      <c r="GM422" s="7"/>
      <c r="GN422" s="7"/>
      <c r="GO422" s="7"/>
      <c r="GP422" s="7"/>
      <c r="GQ422" s="7"/>
      <c r="GR422" s="7"/>
      <c r="GS422" s="7"/>
      <c r="GT422" s="7"/>
      <c r="GU422" s="7"/>
      <c r="GV422" s="7"/>
      <c r="GW422" s="7"/>
      <c r="GX422" s="7"/>
      <c r="GY422" s="7"/>
      <c r="GZ422" s="7"/>
      <c r="HA422" s="7"/>
      <c r="HB422" s="7"/>
      <c r="HC422" s="7"/>
      <c r="HD422" s="7"/>
      <c r="HE422" s="7"/>
      <c r="HF422" s="7"/>
      <c r="HG422" s="7"/>
      <c r="HH422" s="7"/>
      <c r="HI422" s="7"/>
      <c r="HJ422" s="7"/>
      <c r="HK422" s="7"/>
      <c r="HL422" s="7"/>
      <c r="HM422" s="7"/>
      <c r="HN422" s="7"/>
      <c r="HO422" s="7"/>
      <c r="HP422" s="7"/>
      <c r="HQ422" s="7"/>
      <c r="HR422" s="7"/>
      <c r="HS422" s="7"/>
      <c r="HT422" s="7"/>
      <c r="HU422" s="7"/>
      <c r="HV422" s="7"/>
      <c r="HW422" s="7"/>
      <c r="HX422" s="7"/>
      <c r="HY422" s="7"/>
      <c r="HZ422" s="7"/>
      <c r="IA422" s="7"/>
      <c r="IB422" s="7"/>
      <c r="IC422" s="7"/>
      <c r="ID422" s="7"/>
      <c r="IE422" s="7"/>
      <c r="IF422" s="7"/>
      <c r="IG422" s="7"/>
      <c r="IH422" s="7"/>
      <c r="II422" s="7"/>
      <c r="IJ422" s="7"/>
      <c r="IK422" s="7"/>
      <c r="IL422" s="7"/>
      <c r="IM422" s="7"/>
      <c r="IN422" s="7"/>
      <c r="IO422" s="7"/>
      <c r="IP422" s="7"/>
      <c r="IQ422" s="7"/>
      <c r="IR422" s="7"/>
      <c r="IS422" s="7"/>
      <c r="IT422" s="7"/>
      <c r="IU422" s="7"/>
      <c r="IV422" s="7"/>
      <c r="IW422" s="7"/>
      <c r="IX422" s="7"/>
      <c r="IY422" s="7"/>
      <c r="IZ422" s="7"/>
      <c r="JA422" s="7"/>
      <c r="JB422" s="7"/>
      <c r="JC422" s="7"/>
      <c r="JD422" s="7"/>
      <c r="JE422" s="7"/>
      <c r="JF422" s="7"/>
      <c r="JG422" s="7"/>
      <c r="JH422" s="7"/>
      <c r="JI422" s="7"/>
      <c r="JJ422" s="7"/>
      <c r="JK422" s="7"/>
      <c r="JL422" s="7"/>
      <c r="JM422" s="7"/>
      <c r="JN422" s="7"/>
      <c r="JO422" s="7"/>
      <c r="JP422" s="7"/>
      <c r="JQ422" s="7"/>
      <c r="JR422" s="7"/>
      <c r="JS422" s="7"/>
      <c r="JT422" s="7"/>
      <c r="JU422" s="7"/>
      <c r="JV422" s="7"/>
      <c r="JW422" s="7"/>
      <c r="JX422" s="7"/>
      <c r="JY422" s="7"/>
      <c r="JZ422" s="7"/>
      <c r="KA422" s="7"/>
      <c r="KB422" s="7"/>
      <c r="KC422" s="7"/>
      <c r="KD422" s="7"/>
      <c r="KE422" s="7"/>
      <c r="KF422" s="7"/>
      <c r="KG422" s="7"/>
      <c r="KH422" s="7"/>
      <c r="KI422" s="7"/>
      <c r="KJ422" s="7"/>
      <c r="KK422" s="7"/>
      <c r="KL422" s="7"/>
      <c r="KM422" s="7"/>
      <c r="KN422" s="7"/>
      <c r="KO422" s="7"/>
      <c r="KP422" s="7"/>
      <c r="KQ422" s="7"/>
      <c r="KR422" s="7"/>
      <c r="KS422" s="7"/>
      <c r="KT422" s="7"/>
      <c r="KU422" s="7"/>
      <c r="KV422" s="7"/>
      <c r="KW422" s="7"/>
      <c r="KX422" s="7"/>
      <c r="KY422" s="7"/>
      <c r="KZ422" s="7"/>
      <c r="LA422" s="7"/>
      <c r="LB422" s="7"/>
      <c r="LC422" s="7"/>
      <c r="LD422" s="7"/>
      <c r="LE422" s="7"/>
      <c r="LF422" s="7"/>
      <c r="LG422" s="7"/>
      <c r="LH422" s="7"/>
      <c r="LI422" s="7"/>
      <c r="LJ422" s="7"/>
      <c r="LK422" s="7"/>
      <c r="LL422" s="7"/>
      <c r="LM422" s="7"/>
      <c r="LN422" s="7"/>
      <c r="LO422" s="7"/>
      <c r="LP422" s="7"/>
      <c r="LQ422" s="7"/>
      <c r="LR422" s="7"/>
      <c r="LS422" s="7"/>
      <c r="LT422" s="7"/>
      <c r="LU422" s="7"/>
      <c r="LV422" s="7"/>
      <c r="LW422" s="7"/>
      <c r="LX422" s="7"/>
      <c r="LY422" s="7"/>
      <c r="LZ422" s="7"/>
      <c r="MA422" s="7"/>
      <c r="MB422" s="7"/>
      <c r="MC422" s="7"/>
      <c r="MD422" s="7"/>
      <c r="ME422" s="7"/>
      <c r="MF422" s="7"/>
      <c r="MG422" s="7"/>
      <c r="MH422" s="7"/>
      <c r="MI422" s="7"/>
      <c r="MJ422" s="7"/>
      <c r="MK422" s="7"/>
      <c r="ML422" s="7"/>
      <c r="MM422" s="7"/>
      <c r="MN422" s="7"/>
      <c r="MO422" s="7"/>
      <c r="MP422" s="7"/>
      <c r="MQ422" s="7"/>
      <c r="MR422" s="7"/>
      <c r="MS422" s="7"/>
      <c r="MT422" s="7"/>
      <c r="MU422" s="7"/>
      <c r="MV422" s="7"/>
      <c r="MW422" s="7"/>
      <c r="MX422" s="7"/>
      <c r="MY422" s="7"/>
      <c r="MZ422" s="7"/>
      <c r="NA422" s="7"/>
      <c r="NB422" s="7"/>
      <c r="NC422" s="7"/>
      <c r="ND422" s="7"/>
      <c r="NE422" s="7"/>
      <c r="NF422" s="7"/>
      <c r="NG422" s="7"/>
      <c r="NH422" s="7"/>
      <c r="NI422" s="7"/>
      <c r="NJ422" s="7"/>
      <c r="NK422" s="7"/>
      <c r="NL422" s="7"/>
      <c r="NM422" s="7"/>
      <c r="NN422" s="7"/>
      <c r="NO422" s="7"/>
      <c r="NP422" s="7"/>
      <c r="NQ422" s="7"/>
      <c r="NR422" s="7"/>
      <c r="NS422" s="7"/>
      <c r="NT422" s="7"/>
      <c r="NU422" s="7"/>
      <c r="NV422" s="7"/>
      <c r="NW422" s="7"/>
      <c r="NX422" s="7"/>
      <c r="NY422" s="7"/>
      <c r="NZ422" s="7"/>
      <c r="OA422" s="7"/>
      <c r="OB422" s="7"/>
      <c r="OC422" s="7"/>
      <c r="OD422" s="7"/>
      <c r="OE422" s="7"/>
      <c r="OF422" s="7"/>
      <c r="OG422" s="7"/>
      <c r="OH422" s="7"/>
      <c r="OI422" s="7"/>
      <c r="OJ422" s="7"/>
      <c r="OK422" s="7"/>
      <c r="OL422" s="7"/>
      <c r="OM422" s="7"/>
      <c r="ON422" s="7"/>
      <c r="OO422" s="7"/>
      <c r="OP422" s="7"/>
      <c r="OQ422" s="7"/>
      <c r="OR422" s="7"/>
      <c r="OS422" s="7"/>
      <c r="OT422" s="7"/>
      <c r="OU422" s="7"/>
      <c r="OV422" s="7"/>
      <c r="OW422" s="7"/>
      <c r="OX422" s="7"/>
      <c r="OY422" s="7"/>
      <c r="OZ422" s="7"/>
      <c r="PA422" s="7"/>
      <c r="PB422" s="7"/>
      <c r="PC422" s="7"/>
      <c r="PD422" s="7"/>
      <c r="PE422" s="7"/>
      <c r="PF422" s="7"/>
      <c r="PG422" s="7"/>
      <c r="PH422" s="7"/>
      <c r="PI422" s="7"/>
      <c r="PJ422" s="7"/>
      <c r="PK422" s="7"/>
      <c r="PL422" s="7"/>
      <c r="PM422" s="7"/>
      <c r="PN422" s="7"/>
      <c r="PO422" s="7"/>
      <c r="PP422" s="7"/>
      <c r="PQ422" s="7"/>
      <c r="PR422" s="7"/>
      <c r="PS422" s="7"/>
      <c r="PT422" s="7"/>
      <c r="PU422" s="7"/>
      <c r="PV422" s="7"/>
      <c r="PW422" s="7"/>
      <c r="PX422" s="7"/>
      <c r="PY422" s="7"/>
      <c r="PZ422" s="7"/>
      <c r="QA422" s="7"/>
      <c r="QB422" s="7"/>
      <c r="QC422" s="7"/>
      <c r="QD422" s="7"/>
      <c r="QE422" s="7"/>
      <c r="QF422" s="7"/>
      <c r="QG422" s="7"/>
      <c r="QH422" s="7"/>
      <c r="QI422" s="7"/>
      <c r="QJ422" s="7"/>
      <c r="QK422" s="7"/>
      <c r="QL422" s="7"/>
      <c r="QM422" s="7"/>
      <c r="QN422" s="7"/>
      <c r="QO422" s="7"/>
      <c r="QP422" s="7"/>
      <c r="QQ422" s="7"/>
      <c r="QR422" s="7"/>
      <c r="QS422" s="7"/>
      <c r="QT422" s="7"/>
      <c r="QU422" s="7"/>
      <c r="QV422" s="7"/>
      <c r="QW422" s="7"/>
      <c r="QX422" s="7"/>
      <c r="QY422" s="7"/>
      <c r="QZ422" s="7"/>
      <c r="RA422" s="7"/>
      <c r="RB422" s="7"/>
      <c r="RC422" s="7"/>
      <c r="RD422" s="7"/>
      <c r="RE422" s="7"/>
      <c r="RF422" s="7"/>
      <c r="RG422" s="7"/>
      <c r="RH422" s="7"/>
      <c r="RI422" s="7"/>
      <c r="RJ422" s="7"/>
      <c r="RK422" s="7"/>
      <c r="RL422" s="7"/>
      <c r="RM422" s="7"/>
      <c r="RN422" s="7"/>
      <c r="RO422" s="7"/>
      <c r="RP422" s="7"/>
      <c r="RQ422" s="7"/>
      <c r="RR422" s="7"/>
      <c r="RS422" s="7"/>
      <c r="RT422" s="7"/>
      <c r="RU422" s="7"/>
      <c r="RV422" s="7"/>
      <c r="RW422" s="7"/>
      <c r="RX422" s="7"/>
      <c r="RY422" s="7"/>
      <c r="RZ422" s="7"/>
      <c r="SA422" s="7"/>
      <c r="SB422" s="7"/>
      <c r="SC422" s="7"/>
      <c r="SD422" s="7"/>
      <c r="SE422" s="7"/>
      <c r="SF422" s="7"/>
      <c r="SG422" s="7"/>
      <c r="SH422" s="7"/>
      <c r="SI422" s="7"/>
      <c r="SJ422" s="7"/>
      <c r="SK422" s="7"/>
      <c r="SL422" s="7"/>
      <c r="SM422" s="7"/>
      <c r="SN422" s="7"/>
      <c r="SO422" s="7"/>
      <c r="SP422" s="7"/>
      <c r="SQ422" s="7"/>
      <c r="SR422" s="7"/>
      <c r="SS422" s="7"/>
      <c r="ST422" s="7"/>
      <c r="SU422" s="7"/>
      <c r="SV422" s="7"/>
      <c r="SW422" s="7"/>
      <c r="SX422" s="7"/>
      <c r="SY422" s="7"/>
      <c r="SZ422" s="7"/>
      <c r="TA422" s="7"/>
      <c r="TB422" s="7"/>
      <c r="TC422" s="7"/>
      <c r="TD422" s="7"/>
      <c r="TE422" s="7"/>
      <c r="TF422" s="7"/>
      <c r="TG422" s="7"/>
      <c r="TH422" s="7"/>
      <c r="TI422" s="7"/>
      <c r="TJ422" s="7"/>
      <c r="TK422" s="7"/>
      <c r="TL422" s="7"/>
      <c r="TM422" s="7"/>
      <c r="TN422" s="7"/>
      <c r="TO422" s="7"/>
      <c r="TP422" s="7"/>
      <c r="TQ422" s="7"/>
      <c r="TR422" s="7"/>
      <c r="TS422" s="7"/>
      <c r="TT422" s="7"/>
      <c r="TU422" s="7"/>
      <c r="TV422" s="7"/>
      <c r="TW422" s="7"/>
      <c r="TX422" s="7"/>
      <c r="TY422" s="7"/>
      <c r="TZ422" s="7"/>
      <c r="UA422" s="7"/>
      <c r="UB422" s="7"/>
      <c r="UC422" s="7"/>
      <c r="UD422" s="7"/>
      <c r="UE422" s="7"/>
      <c r="UF422" s="7"/>
      <c r="UG422" s="7"/>
      <c r="UH422" s="7"/>
      <c r="UI422" s="7"/>
      <c r="UJ422" s="7"/>
      <c r="UK422" s="7"/>
      <c r="UL422" s="7"/>
      <c r="UM422" s="7"/>
      <c r="UN422" s="7"/>
      <c r="UO422" s="7"/>
      <c r="UP422" s="7"/>
      <c r="UQ422" s="7"/>
      <c r="UR422" s="7"/>
      <c r="US422" s="7"/>
      <c r="UT422" s="7"/>
      <c r="UU422" s="7"/>
      <c r="UV422" s="7"/>
      <c r="UW422" s="7"/>
      <c r="UX422" s="7"/>
      <c r="UY422" s="7"/>
      <c r="UZ422" s="7"/>
      <c r="VA422" s="7"/>
      <c r="VB422" s="7"/>
      <c r="VC422" s="7"/>
      <c r="VD422" s="7"/>
      <c r="VE422" s="7"/>
      <c r="VF422" s="7"/>
      <c r="VG422" s="7"/>
      <c r="VH422" s="7"/>
      <c r="VI422" s="7"/>
      <c r="VJ422" s="7"/>
      <c r="VK422" s="7"/>
      <c r="VL422" s="7"/>
      <c r="VM422" s="7"/>
      <c r="VN422" s="7"/>
      <c r="VO422" s="7"/>
      <c r="VP422" s="7"/>
      <c r="VQ422" s="7"/>
      <c r="VR422" s="7"/>
      <c r="VS422" s="7"/>
      <c r="VT422" s="7"/>
      <c r="VU422" s="7"/>
      <c r="VV422" s="7"/>
      <c r="VW422" s="7"/>
      <c r="VX422" s="7"/>
      <c r="VY422" s="7"/>
      <c r="VZ422" s="7"/>
      <c r="WA422" s="7"/>
      <c r="WB422" s="7"/>
      <c r="WC422" s="7"/>
      <c r="WD422" s="7"/>
      <c r="WE422" s="7"/>
      <c r="WF422" s="7"/>
      <c r="WG422" s="7"/>
      <c r="WH422" s="7"/>
      <c r="WI422" s="7"/>
      <c r="WJ422" s="7"/>
      <c r="WK422" s="7"/>
      <c r="WL422" s="7"/>
      <c r="WM422" s="7"/>
      <c r="WN422" s="7"/>
      <c r="WO422" s="7"/>
      <c r="WP422" s="7"/>
      <c r="WQ422" s="7"/>
      <c r="WR422" s="7"/>
      <c r="WS422" s="7"/>
      <c r="WT422" s="7"/>
      <c r="WU422" s="7"/>
      <c r="WV422" s="7"/>
      <c r="WW422" s="7"/>
      <c r="WX422" s="7"/>
      <c r="WY422" s="7"/>
      <c r="WZ422" s="7"/>
      <c r="XA422" s="7"/>
      <c r="XB422" s="7"/>
      <c r="XC422" s="7"/>
      <c r="XD422" s="7"/>
      <c r="XE422" s="7"/>
      <c r="XF422" s="7"/>
      <c r="XG422" s="7"/>
      <c r="XH422" s="7"/>
      <c r="XI422" s="7"/>
      <c r="XJ422" s="7"/>
      <c r="XK422" s="7"/>
      <c r="XL422" s="7"/>
      <c r="XM422" s="7"/>
      <c r="XN422" s="7"/>
      <c r="XO422" s="7"/>
      <c r="XP422" s="7"/>
      <c r="XQ422" s="7"/>
      <c r="XR422" s="7"/>
      <c r="XS422" s="7"/>
      <c r="XT422" s="7"/>
      <c r="XU422" s="7"/>
      <c r="XV422" s="7"/>
      <c r="XW422" s="7"/>
      <c r="XX422" s="7"/>
      <c r="XY422" s="7"/>
      <c r="XZ422" s="7"/>
      <c r="YA422" s="7"/>
      <c r="YB422" s="7"/>
      <c r="YC422" s="7"/>
      <c r="YD422" s="7"/>
      <c r="YE422" s="7"/>
      <c r="YF422" s="7"/>
      <c r="YG422" s="7"/>
      <c r="YH422" s="7"/>
      <c r="YI422" s="7"/>
      <c r="YJ422" s="7"/>
      <c r="YK422" s="7"/>
      <c r="YL422" s="7"/>
      <c r="YM422" s="7"/>
      <c r="YN422" s="7"/>
      <c r="YO422" s="7"/>
      <c r="YP422" s="7"/>
      <c r="YQ422" s="7"/>
      <c r="YR422" s="7"/>
      <c r="YS422" s="7"/>
      <c r="YT422" s="7"/>
      <c r="YU422" s="7"/>
      <c r="YV422" s="7"/>
      <c r="YW422" s="7"/>
      <c r="YX422" s="7"/>
      <c r="YY422" s="7"/>
      <c r="YZ422" s="7"/>
      <c r="ZA422" s="7"/>
      <c r="ZB422" s="7"/>
      <c r="ZC422" s="7"/>
      <c r="ZD422" s="7"/>
      <c r="ZE422" s="7"/>
      <c r="ZF422" s="7"/>
      <c r="ZG422" s="7"/>
      <c r="ZH422" s="7"/>
      <c r="ZI422" s="7"/>
      <c r="ZJ422" s="7"/>
      <c r="ZK422" s="7"/>
      <c r="ZL422" s="7"/>
      <c r="ZM422" s="7"/>
      <c r="ZN422" s="7"/>
      <c r="ZO422" s="7"/>
      <c r="ZP422" s="7"/>
      <c r="ZQ422" s="7"/>
      <c r="ZR422" s="7"/>
      <c r="ZS422" s="7"/>
      <c r="ZT422" s="7"/>
      <c r="ZU422" s="7"/>
      <c r="ZV422" s="7"/>
      <c r="ZW422" s="7"/>
      <c r="ZX422" s="7"/>
      <c r="ZY422" s="7"/>
      <c r="ZZ422" s="7"/>
      <c r="AAA422" s="7"/>
      <c r="AAB422" s="7"/>
      <c r="AAC422" s="7"/>
      <c r="AAD422" s="7"/>
      <c r="AAE422" s="7"/>
      <c r="AAF422" s="7"/>
      <c r="AAG422" s="7"/>
      <c r="AAH422" s="7"/>
      <c r="AAI422" s="7"/>
      <c r="AAJ422" s="7"/>
      <c r="AAK422" s="7"/>
      <c r="AAL422" s="7"/>
      <c r="AAM422" s="7"/>
      <c r="AAN422" s="7"/>
      <c r="AAO422" s="7"/>
      <c r="AAP422" s="7"/>
      <c r="AAQ422" s="7"/>
      <c r="AAR422" s="7"/>
      <c r="AAS422" s="7"/>
      <c r="AAT422" s="7"/>
      <c r="AAU422" s="7"/>
      <c r="AAV422" s="7"/>
      <c r="AAW422" s="7"/>
      <c r="AAX422" s="7"/>
      <c r="AAY422" s="7"/>
      <c r="AAZ422" s="7"/>
      <c r="ABA422" s="7"/>
      <c r="ABB422" s="7"/>
      <c r="ABC422" s="7"/>
      <c r="ABD422" s="7"/>
      <c r="ABE422" s="7"/>
      <c r="ABF422" s="7"/>
      <c r="ABG422" s="7"/>
      <c r="ABH422" s="7"/>
      <c r="ABI422" s="7"/>
      <c r="ABJ422" s="7"/>
      <c r="ABK422" s="7"/>
      <c r="ABL422" s="7"/>
      <c r="ABM422" s="7"/>
      <c r="ABN422" s="7"/>
      <c r="ABO422" s="7"/>
      <c r="ABP422" s="7"/>
      <c r="ABQ422" s="7"/>
      <c r="ABR422" s="7"/>
      <c r="ABS422" s="7"/>
      <c r="ABT422" s="7"/>
      <c r="ABU422" s="7"/>
      <c r="ABV422" s="7"/>
      <c r="ABW422" s="7"/>
      <c r="ABX422" s="7"/>
      <c r="ABY422" s="7"/>
      <c r="ABZ422" s="7"/>
      <c r="ACA422" s="7"/>
      <c r="ACB422" s="7"/>
      <c r="ACC422" s="7"/>
      <c r="ACD422" s="7"/>
      <c r="ACE422" s="7"/>
      <c r="ACF422" s="7"/>
      <c r="ACG422" s="7"/>
      <c r="ACH422" s="7"/>
      <c r="ACI422" s="7"/>
      <c r="ACJ422" s="7"/>
      <c r="ACK422" s="7"/>
      <c r="ACL422" s="7"/>
      <c r="ACM422" s="7"/>
      <c r="ACN422" s="7"/>
      <c r="ACO422" s="7"/>
      <c r="ACP422" s="7"/>
      <c r="ACQ422" s="7"/>
      <c r="ACR422" s="7"/>
      <c r="ACS422" s="7"/>
      <c r="ACT422" s="7"/>
      <c r="ACU422" s="7"/>
      <c r="ACV422" s="7"/>
      <c r="ACW422" s="7"/>
      <c r="ACX422" s="7"/>
      <c r="ACY422" s="7"/>
      <c r="ACZ422" s="7"/>
      <c r="ADA422" s="7"/>
      <c r="ADB422" s="7"/>
      <c r="ADC422" s="7"/>
      <c r="ADD422" s="7"/>
      <c r="ADE422" s="7"/>
      <c r="ADF422" s="7"/>
      <c r="ADG422" s="7"/>
      <c r="ADH422" s="7"/>
      <c r="ADI422" s="7"/>
      <c r="ADJ422" s="7"/>
      <c r="ADK422" s="7"/>
      <c r="ADL422" s="7"/>
      <c r="ADM422" s="7"/>
      <c r="ADN422" s="7"/>
      <c r="ADO422" s="7"/>
      <c r="ADP422" s="7"/>
      <c r="ADQ422" s="7"/>
      <c r="ADR422" s="7"/>
      <c r="ADS422" s="7"/>
      <c r="ADT422" s="7"/>
      <c r="ADU422" s="7"/>
      <c r="ADV422" s="7"/>
      <c r="ADW422" s="7"/>
      <c r="ADX422" s="7"/>
      <c r="ADY422" s="7"/>
      <c r="ADZ422" s="7"/>
      <c r="AEA422" s="7"/>
      <c r="AEB422" s="7"/>
      <c r="AEC422" s="7"/>
      <c r="AED422" s="7"/>
      <c r="AEE422" s="7"/>
      <c r="AEF422" s="7"/>
      <c r="AEG422" s="7"/>
      <c r="AEH422" s="7"/>
      <c r="AEI422" s="7"/>
      <c r="AEJ422" s="7"/>
      <c r="AEK422" s="7"/>
      <c r="AEL422" s="7"/>
      <c r="AEM422" s="7"/>
      <c r="AEN422" s="7"/>
      <c r="AEO422" s="7"/>
      <c r="AEP422" s="7"/>
      <c r="AEQ422" s="7"/>
      <c r="AER422" s="7"/>
      <c r="AES422" s="7"/>
      <c r="AET422" s="7"/>
      <c r="AEU422" s="7"/>
      <c r="AEV422" s="7"/>
      <c r="AEW422" s="7"/>
      <c r="AEX422" s="7"/>
      <c r="AEY422" s="7"/>
      <c r="AEZ422" s="7"/>
      <c r="AFA422" s="7"/>
      <c r="AFB422" s="7"/>
      <c r="AFC422" s="7"/>
      <c r="AFD422" s="7"/>
      <c r="AFE422" s="7"/>
      <c r="AFF422" s="7"/>
      <c r="AFG422" s="7"/>
      <c r="AFH422" s="7"/>
      <c r="AFI422" s="7"/>
      <c r="AFJ422" s="7"/>
      <c r="AFK422" s="7"/>
      <c r="AFL422" s="7"/>
      <c r="AFM422" s="7"/>
      <c r="AFN422" s="7"/>
      <c r="AFO422" s="7"/>
      <c r="AFP422" s="7"/>
      <c r="AFQ422" s="7"/>
      <c r="AFR422" s="7"/>
      <c r="AFS422" s="7"/>
      <c r="AFT422" s="7"/>
      <c r="AFU422" s="7"/>
      <c r="AFV422" s="7"/>
      <c r="AFW422" s="7"/>
      <c r="AFX422" s="7"/>
      <c r="AFY422" s="7"/>
      <c r="AFZ422" s="7"/>
      <c r="AGA422" s="7"/>
      <c r="AGB422" s="7"/>
      <c r="AGC422" s="7"/>
      <c r="AGD422" s="7"/>
      <c r="AGE422" s="7"/>
      <c r="AGF422" s="7"/>
      <c r="AGG422" s="7"/>
      <c r="AGH422" s="7"/>
      <c r="AGI422" s="7"/>
      <c r="AGJ422" s="7"/>
      <c r="AGK422" s="7"/>
      <c r="AGL422" s="7"/>
      <c r="AGM422" s="7"/>
      <c r="AGN422" s="7"/>
      <c r="AGO422" s="7"/>
      <c r="AGP422" s="7"/>
      <c r="AGQ422" s="7"/>
      <c r="AGR422" s="7"/>
      <c r="AGS422" s="7"/>
      <c r="AGT422" s="7"/>
      <c r="AGU422" s="7"/>
      <c r="AGV422" s="7"/>
      <c r="AGW422" s="7"/>
      <c r="AGX422" s="7"/>
      <c r="AGY422" s="7"/>
      <c r="AGZ422" s="7"/>
      <c r="AHA422" s="7"/>
      <c r="AHB422" s="7"/>
      <c r="AHC422" s="7"/>
      <c r="AHD422" s="7"/>
      <c r="AHE422" s="7"/>
      <c r="AHF422" s="7"/>
      <c r="AHG422" s="7"/>
      <c r="AHH422" s="7"/>
      <c r="AHI422" s="7"/>
      <c r="AHJ422" s="7"/>
      <c r="AHK422" s="7"/>
      <c r="AHL422" s="7"/>
      <c r="AHM422" s="7"/>
      <c r="AHN422" s="7"/>
      <c r="AHO422" s="7"/>
      <c r="AHP422" s="7"/>
      <c r="AHQ422" s="7"/>
      <c r="AHR422" s="7"/>
      <c r="AHS422" s="7"/>
      <c r="AHT422" s="7"/>
      <c r="AHU422" s="7"/>
      <c r="AHV422" s="7"/>
      <c r="AHW422" s="7"/>
      <c r="AHX422" s="7"/>
      <c r="AHY422" s="7"/>
      <c r="AHZ422" s="7"/>
      <c r="AIA422" s="7"/>
      <c r="AIB422" s="7"/>
      <c r="AIC422" s="7"/>
      <c r="AID422" s="7"/>
      <c r="AIE422" s="7"/>
      <c r="AIF422" s="7"/>
      <c r="AIG422" s="7"/>
      <c r="AIH422" s="7"/>
      <c r="AII422" s="7"/>
      <c r="AIJ422" s="7"/>
      <c r="AIK422" s="7"/>
      <c r="AIL422" s="7"/>
      <c r="AIM422" s="7"/>
      <c r="AIN422" s="7"/>
      <c r="AIO422" s="7"/>
      <c r="AIP422" s="7"/>
      <c r="AIQ422" s="7"/>
      <c r="AIR422" s="7"/>
      <c r="AIS422" s="7"/>
      <c r="AIT422" s="7"/>
      <c r="AIU422" s="7"/>
      <c r="AIV422" s="7"/>
      <c r="AIW422" s="7"/>
      <c r="AIX422" s="7"/>
      <c r="AIY422" s="7"/>
      <c r="AIZ422" s="7"/>
      <c r="AJA422" s="7"/>
      <c r="AJB422" s="7"/>
      <c r="AJC422" s="7"/>
      <c r="AJD422" s="7"/>
      <c r="AJE422" s="7"/>
      <c r="AJF422" s="7"/>
      <c r="AJG422" s="7"/>
      <c r="AJH422" s="7"/>
      <c r="AJI422" s="7"/>
      <c r="AJJ422" s="7"/>
      <c r="AJK422" s="7"/>
      <c r="AJL422" s="7"/>
      <c r="AJM422" s="7"/>
      <c r="AJN422" s="7"/>
      <c r="AJO422" s="7"/>
      <c r="AJP422" s="7"/>
      <c r="AJQ422" s="7"/>
      <c r="AJR422" s="7"/>
      <c r="AJS422" s="7"/>
      <c r="AJT422" s="7"/>
      <c r="AJU422" s="7"/>
      <c r="AJV422" s="7"/>
      <c r="AJW422" s="7"/>
      <c r="AJX422" s="7"/>
      <c r="AJY422" s="7"/>
      <c r="AJZ422" s="7"/>
      <c r="AKA422" s="7"/>
      <c r="AKB422" s="7"/>
      <c r="AKC422" s="7"/>
      <c r="AKD422" s="7"/>
      <c r="AKE422" s="7"/>
      <c r="AKF422" s="7"/>
      <c r="AKG422" s="7"/>
      <c r="AKH422" s="7"/>
      <c r="AKI422" s="7"/>
      <c r="AKJ422" s="7"/>
      <c r="AKK422" s="7"/>
      <c r="AKL422" s="7"/>
      <c r="AKM422" s="7"/>
      <c r="AKN422" s="7"/>
      <c r="AKO422" s="7"/>
      <c r="AKP422" s="7"/>
      <c r="AKQ422" s="7"/>
      <c r="AKR422" s="7"/>
      <c r="AKS422" s="7"/>
      <c r="AKT422" s="7"/>
      <c r="AKU422" s="7"/>
      <c r="AKV422" s="7"/>
      <c r="AKW422" s="7"/>
      <c r="AKX422" s="7"/>
      <c r="AKY422" s="7"/>
      <c r="AKZ422" s="7"/>
      <c r="ALA422" s="7"/>
      <c r="ALB422" s="7"/>
      <c r="ALC422" s="7"/>
      <c r="ALD422" s="7"/>
      <c r="ALE422" s="7"/>
      <c r="ALF422" s="7"/>
      <c r="ALG422" s="7"/>
      <c r="ALH422" s="7"/>
      <c r="ALI422" s="7"/>
      <c r="ALJ422" s="7"/>
      <c r="ALK422" s="7"/>
      <c r="ALL422" s="7"/>
      <c r="ALM422" s="7"/>
      <c r="ALN422" s="7"/>
      <c r="ALO422" s="7"/>
      <c r="ALP422" s="7"/>
      <c r="ALQ422" s="7"/>
      <c r="ALR422" s="7"/>
      <c r="ALS422" s="7"/>
      <c r="ALT422" s="7"/>
      <c r="ALU422" s="7"/>
      <c r="ALV422" s="7"/>
      <c r="ALW422" s="7"/>
      <c r="ALX422" s="7"/>
      <c r="ALY422" s="7"/>
      <c r="ALZ422" s="7"/>
      <c r="AMA422" s="7"/>
      <c r="AMB422" s="7"/>
      <c r="AMC422" s="7"/>
      <c r="AMD422" s="7"/>
      <c r="AME422" s="7"/>
      <c r="AMF422" s="7"/>
      <c r="AMG422" s="7"/>
      <c r="AMH422" s="7"/>
      <c r="AMI422" s="7"/>
      <c r="AMJ422" s="7"/>
      <c r="AMK422" s="7"/>
      <c r="AML422" s="7"/>
      <c r="AMM422" s="7"/>
      <c r="AMN422" s="7"/>
      <c r="AMO422" s="7"/>
      <c r="AMP422" s="7"/>
      <c r="AMQ422" s="7"/>
      <c r="AMR422" s="7"/>
      <c r="AMS422" s="7"/>
      <c r="AMT422" s="7"/>
      <c r="AMU422" s="7"/>
      <c r="AMV422" s="7"/>
      <c r="AMW422" s="7"/>
      <c r="AMX422" s="7"/>
      <c r="AMY422" s="7"/>
      <c r="AMZ422" s="7"/>
      <c r="ANA422" s="7"/>
      <c r="ANB422" s="7"/>
      <c r="ANC422" s="7"/>
      <c r="AND422" s="7"/>
      <c r="ANE422" s="7"/>
      <c r="ANF422" s="7"/>
      <c r="ANG422" s="7"/>
      <c r="ANH422" s="7"/>
      <c r="ANI422" s="7"/>
      <c r="ANJ422" s="7"/>
      <c r="ANK422" s="7"/>
      <c r="ANL422" s="7"/>
      <c r="ANM422" s="7"/>
      <c r="ANN422" s="7"/>
      <c r="ANO422" s="7"/>
      <c r="ANP422" s="7"/>
      <c r="ANQ422" s="7"/>
      <c r="ANR422" s="7"/>
      <c r="ANS422" s="7"/>
      <c r="ANT422" s="7"/>
      <c r="ANU422" s="7"/>
      <c r="ANV422" s="7"/>
      <c r="ANW422" s="7"/>
      <c r="ANX422" s="7"/>
      <c r="ANY422" s="7"/>
      <c r="ANZ422" s="7"/>
      <c r="AOA422" s="7"/>
      <c r="AOB422" s="7"/>
      <c r="AOC422" s="7"/>
      <c r="AOD422" s="7"/>
      <c r="AOE422" s="7"/>
      <c r="AOF422" s="7"/>
      <c r="AOG422" s="7"/>
      <c r="AOH422" s="7"/>
      <c r="AOI422" s="7"/>
      <c r="AOJ422" s="7"/>
      <c r="AOK422" s="7"/>
      <c r="AOL422" s="7"/>
      <c r="AOM422" s="7"/>
      <c r="AON422" s="7"/>
      <c r="AOO422" s="7"/>
      <c r="AOP422" s="7"/>
      <c r="AOQ422" s="7"/>
      <c r="AOR422" s="7"/>
      <c r="AOS422" s="7"/>
      <c r="AOT422" s="7"/>
      <c r="AOU422" s="7"/>
      <c r="AOV422" s="7"/>
      <c r="AOW422" s="7"/>
      <c r="AOX422" s="7"/>
      <c r="AOY422" s="7"/>
      <c r="AOZ422" s="7"/>
      <c r="APA422" s="7"/>
      <c r="APB422" s="7"/>
      <c r="APC422" s="7"/>
      <c r="APD422" s="7"/>
      <c r="APE422" s="7"/>
      <c r="APF422" s="7"/>
      <c r="APG422" s="7"/>
      <c r="APH422" s="7"/>
      <c r="API422" s="7"/>
      <c r="APJ422" s="7"/>
      <c r="APK422" s="7"/>
      <c r="APL422" s="7"/>
      <c r="APM422" s="7"/>
      <c r="APN422" s="7"/>
      <c r="APO422" s="7"/>
      <c r="APP422" s="7"/>
      <c r="APQ422" s="7"/>
      <c r="APR422" s="7"/>
      <c r="APS422" s="7"/>
      <c r="APT422" s="7"/>
      <c r="APU422" s="7"/>
      <c r="APV422" s="7"/>
      <c r="APW422" s="7"/>
      <c r="APX422" s="7"/>
      <c r="APY422" s="7"/>
      <c r="APZ422" s="7"/>
      <c r="AQA422" s="7"/>
      <c r="AQB422" s="7"/>
      <c r="AQC422" s="7"/>
      <c r="AQD422" s="7"/>
      <c r="AQE422" s="7"/>
      <c r="AQF422" s="7"/>
      <c r="AQG422" s="7"/>
      <c r="AQH422" s="7"/>
      <c r="AQI422" s="7"/>
      <c r="AQJ422" s="7"/>
      <c r="AQK422" s="7"/>
      <c r="AQL422" s="7"/>
      <c r="AQM422" s="7"/>
      <c r="AQN422" s="7"/>
      <c r="AQO422" s="7"/>
      <c r="AQP422" s="7"/>
      <c r="AQQ422" s="7"/>
      <c r="AQR422" s="7"/>
      <c r="AQS422" s="7"/>
      <c r="AQT422" s="7"/>
      <c r="AQU422" s="7"/>
      <c r="AQV422" s="7"/>
      <c r="AQW422" s="7"/>
      <c r="AQX422" s="7"/>
      <c r="AQY422" s="7"/>
      <c r="AQZ422" s="7"/>
      <c r="ARA422" s="7"/>
      <c r="ARB422" s="7"/>
      <c r="ARC422" s="7"/>
      <c r="ARD422" s="7"/>
      <c r="ARE422" s="7"/>
      <c r="ARF422" s="7"/>
      <c r="ARG422" s="7"/>
      <c r="ARH422" s="7"/>
      <c r="ARI422" s="7"/>
      <c r="ARJ422" s="7"/>
      <c r="ARK422" s="7"/>
      <c r="ARL422" s="7"/>
      <c r="ARM422" s="7"/>
      <c r="ARN422" s="7"/>
      <c r="ARO422" s="7"/>
      <c r="ARP422" s="7"/>
      <c r="ARQ422" s="7"/>
      <c r="ARR422" s="7"/>
      <c r="ARS422" s="7"/>
      <c r="ART422" s="7"/>
      <c r="ARU422" s="7"/>
      <c r="ARV422" s="7"/>
      <c r="ARW422" s="7"/>
      <c r="ARX422" s="7"/>
      <c r="ARY422" s="7"/>
      <c r="ARZ422" s="7"/>
      <c r="ASA422" s="7"/>
      <c r="ASB422" s="7"/>
      <c r="ASC422" s="7"/>
      <c r="ASD422" s="7"/>
      <c r="ASE422" s="7"/>
      <c r="ASF422" s="7"/>
      <c r="ASG422" s="7"/>
      <c r="ASH422" s="7"/>
      <c r="ASI422" s="7"/>
      <c r="ASJ422" s="7"/>
      <c r="ASK422" s="7"/>
      <c r="ASL422" s="7"/>
      <c r="ASM422" s="7"/>
      <c r="ASN422" s="7"/>
      <c r="ASO422" s="7"/>
      <c r="ASP422" s="7"/>
      <c r="ASQ422" s="7"/>
      <c r="ASR422" s="7"/>
      <c r="ASS422" s="7"/>
      <c r="AST422" s="7"/>
      <c r="ASU422" s="7"/>
      <c r="ASV422" s="7"/>
      <c r="ASW422" s="7"/>
      <c r="ASX422" s="7"/>
      <c r="ASY422" s="7"/>
      <c r="ASZ422" s="7"/>
      <c r="ATA422" s="7"/>
      <c r="ATB422" s="7"/>
      <c r="ATC422" s="7"/>
      <c r="ATD422" s="7"/>
      <c r="ATE422" s="7"/>
      <c r="ATF422" s="7"/>
      <c r="ATG422" s="7"/>
      <c r="ATH422" s="7"/>
      <c r="ATI422" s="7"/>
      <c r="ATJ422" s="7"/>
      <c r="ATK422" s="7"/>
      <c r="ATL422" s="7"/>
      <c r="ATM422" s="7"/>
      <c r="ATN422" s="7"/>
      <c r="ATO422" s="7"/>
      <c r="ATP422" s="7"/>
      <c r="ATQ422" s="7"/>
      <c r="ATR422" s="7"/>
      <c r="ATS422" s="7"/>
      <c r="ATT422" s="7"/>
      <c r="ATU422" s="7"/>
      <c r="ATV422" s="7"/>
      <c r="ATW422" s="7"/>
      <c r="ATX422" s="7"/>
      <c r="ATY422" s="7"/>
      <c r="ATZ422" s="7"/>
      <c r="AUA422" s="7"/>
      <c r="AUB422" s="7"/>
      <c r="AUC422" s="7"/>
      <c r="AUD422" s="7"/>
      <c r="AUE422" s="7"/>
      <c r="AUF422" s="7"/>
      <c r="AUG422" s="7"/>
      <c r="AUH422" s="7"/>
      <c r="AUI422" s="7"/>
      <c r="AUJ422" s="7"/>
      <c r="AUK422" s="7"/>
      <c r="AUL422" s="7"/>
      <c r="AUM422" s="7"/>
      <c r="AUN422" s="7"/>
      <c r="AUO422" s="7"/>
      <c r="AUP422" s="7"/>
      <c r="AUQ422" s="7"/>
      <c r="AUR422" s="7"/>
      <c r="AUS422" s="7"/>
      <c r="AUT422" s="7"/>
      <c r="AUU422" s="7"/>
      <c r="AUV422" s="7"/>
      <c r="AUW422" s="7"/>
      <c r="AUX422" s="7"/>
      <c r="AUY422" s="7"/>
      <c r="AUZ422" s="7"/>
      <c r="AVA422" s="7"/>
      <c r="AVB422" s="7"/>
      <c r="AVC422" s="7"/>
      <c r="AVD422" s="7"/>
      <c r="AVE422" s="7"/>
      <c r="AVF422" s="7"/>
      <c r="AVG422" s="7"/>
      <c r="AVH422" s="7"/>
      <c r="AVI422" s="7"/>
      <c r="AVJ422" s="7"/>
      <c r="AVK422" s="7"/>
      <c r="AVL422" s="7"/>
      <c r="AVM422" s="7"/>
      <c r="AVN422" s="7"/>
      <c r="AVO422" s="7"/>
      <c r="AVP422" s="7"/>
      <c r="AVQ422" s="7"/>
      <c r="AVR422" s="7"/>
      <c r="AVS422" s="7"/>
      <c r="AVT422" s="7"/>
      <c r="AVU422" s="7"/>
      <c r="AVV422" s="7"/>
      <c r="AVW422" s="7"/>
      <c r="AVX422" s="7"/>
      <c r="AVY422" s="7"/>
      <c r="AVZ422" s="7"/>
      <c r="AWA422" s="7"/>
      <c r="AWB422" s="7"/>
      <c r="AWC422" s="7"/>
      <c r="AWD422" s="7"/>
      <c r="AWE422" s="7"/>
      <c r="AWF422" s="7"/>
      <c r="AWG422" s="7"/>
      <c r="AWH422" s="7"/>
      <c r="AWI422" s="7"/>
      <c r="AWJ422" s="7"/>
      <c r="AWK422" s="7"/>
      <c r="AWL422" s="7"/>
      <c r="AWM422" s="7"/>
      <c r="AWN422" s="7"/>
      <c r="AWO422" s="7"/>
      <c r="AWP422" s="7"/>
      <c r="AWQ422" s="7"/>
      <c r="AWR422" s="7"/>
      <c r="AWS422" s="7"/>
      <c r="AWT422" s="7"/>
      <c r="AWU422" s="7"/>
      <c r="AWV422" s="7"/>
      <c r="AWW422" s="7"/>
      <c r="AWX422" s="7"/>
      <c r="AWY422" s="7"/>
      <c r="AWZ422" s="7"/>
      <c r="AXA422" s="7"/>
      <c r="AXB422" s="7"/>
      <c r="AXC422" s="7"/>
      <c r="AXD422" s="7"/>
      <c r="AXE422" s="7"/>
      <c r="AXF422" s="7"/>
      <c r="AXG422" s="7"/>
      <c r="AXH422" s="7"/>
      <c r="AXI422" s="7"/>
      <c r="AXJ422" s="7"/>
      <c r="AXK422" s="7"/>
      <c r="AXL422" s="7"/>
      <c r="AXM422" s="7"/>
      <c r="AXN422" s="7"/>
      <c r="AXO422" s="7"/>
      <c r="AXP422" s="7"/>
      <c r="AXQ422" s="7"/>
      <c r="AXR422" s="7"/>
      <c r="AXS422" s="7"/>
      <c r="AXT422" s="7"/>
      <c r="AXU422" s="7"/>
      <c r="AXV422" s="7"/>
      <c r="AXW422" s="7"/>
      <c r="AXX422" s="7"/>
      <c r="AXY422" s="7"/>
      <c r="AXZ422" s="7"/>
      <c r="AYA422" s="7"/>
      <c r="AYB422" s="7"/>
      <c r="AYC422" s="7"/>
      <c r="AYD422" s="7"/>
      <c r="AYE422" s="7"/>
      <c r="AYF422" s="7"/>
      <c r="AYG422" s="7"/>
      <c r="AYH422" s="7"/>
      <c r="AYI422" s="7"/>
      <c r="AYJ422" s="7"/>
      <c r="AYK422" s="7"/>
      <c r="AYL422" s="7"/>
      <c r="AYM422" s="7"/>
      <c r="AYN422" s="7"/>
      <c r="AYO422" s="7"/>
      <c r="AYP422" s="7"/>
      <c r="AYQ422" s="7"/>
      <c r="AYR422" s="7"/>
      <c r="AYS422" s="7"/>
      <c r="AYT422" s="7"/>
      <c r="AYU422" s="7"/>
      <c r="AYV422" s="7"/>
      <c r="AYW422" s="7"/>
      <c r="AYX422" s="7"/>
      <c r="AYY422" s="7"/>
      <c r="AYZ422" s="7"/>
      <c r="AZA422" s="7"/>
      <c r="AZB422" s="7"/>
      <c r="AZC422" s="7"/>
      <c r="AZD422" s="7"/>
      <c r="AZE422" s="7"/>
      <c r="AZF422" s="7"/>
      <c r="AZG422" s="7"/>
      <c r="AZH422" s="7"/>
      <c r="AZI422" s="7"/>
      <c r="AZJ422" s="7"/>
      <c r="AZK422" s="7"/>
      <c r="AZL422" s="7"/>
      <c r="AZM422" s="7"/>
      <c r="AZN422" s="7"/>
      <c r="AZO422" s="7"/>
      <c r="AZP422" s="7"/>
      <c r="AZQ422" s="7"/>
      <c r="AZR422" s="7"/>
      <c r="AZS422" s="7"/>
      <c r="AZT422" s="7"/>
      <c r="AZU422" s="7"/>
      <c r="AZV422" s="7"/>
      <c r="AZW422" s="7"/>
      <c r="AZX422" s="7"/>
      <c r="AZY422" s="7"/>
      <c r="AZZ422" s="7"/>
      <c r="BAA422" s="7"/>
      <c r="BAB422" s="7"/>
      <c r="BAC422" s="7"/>
      <c r="BAD422" s="7"/>
      <c r="BAE422" s="7"/>
      <c r="BAF422" s="7"/>
      <c r="BAG422" s="7"/>
      <c r="BAH422" s="7"/>
      <c r="BAI422" s="7"/>
      <c r="BAJ422" s="7"/>
      <c r="BAK422" s="7"/>
      <c r="BAL422" s="7"/>
      <c r="BAM422" s="7"/>
      <c r="BAN422" s="7"/>
      <c r="BAO422" s="7"/>
      <c r="BAP422" s="7"/>
      <c r="BAQ422" s="7"/>
      <c r="BAR422" s="7"/>
      <c r="BAS422" s="7"/>
      <c r="BAT422" s="7"/>
      <c r="BAU422" s="7"/>
      <c r="BAV422" s="7"/>
      <c r="BAW422" s="7"/>
      <c r="BAX422" s="7"/>
      <c r="BAY422" s="7"/>
      <c r="BAZ422" s="7"/>
      <c r="BBA422" s="7"/>
      <c r="BBB422" s="7"/>
      <c r="BBC422" s="7"/>
      <c r="BBD422" s="7"/>
      <c r="BBE422" s="7"/>
      <c r="BBF422" s="7"/>
      <c r="BBG422" s="7"/>
      <c r="BBH422" s="7"/>
      <c r="BBI422" s="7"/>
      <c r="BBJ422" s="7"/>
      <c r="BBK422" s="7"/>
      <c r="BBL422" s="7"/>
      <c r="BBM422" s="7"/>
      <c r="BBN422" s="7"/>
      <c r="BBO422" s="7"/>
      <c r="BBP422" s="7"/>
      <c r="BBQ422" s="7"/>
      <c r="BBR422" s="7"/>
      <c r="BBS422" s="7"/>
      <c r="BBT422" s="7"/>
      <c r="BBU422" s="7"/>
      <c r="BBV422" s="7"/>
      <c r="BBW422" s="7"/>
      <c r="BBX422" s="7"/>
      <c r="BBY422" s="7"/>
      <c r="BBZ422" s="7"/>
      <c r="BCA422" s="7"/>
      <c r="BCB422" s="7"/>
      <c r="BCC422" s="7"/>
      <c r="BCD422" s="7"/>
      <c r="BCE422" s="7"/>
      <c r="BCF422" s="7"/>
      <c r="BCG422" s="7"/>
      <c r="BCH422" s="7"/>
      <c r="BCI422" s="7"/>
      <c r="BCJ422" s="7"/>
      <c r="BCK422" s="7"/>
      <c r="BCL422" s="7"/>
      <c r="BCM422" s="7"/>
      <c r="BCN422" s="7"/>
      <c r="BCO422" s="7"/>
      <c r="BCP422" s="7"/>
      <c r="BCQ422" s="7"/>
      <c r="BCR422" s="7"/>
      <c r="BCS422" s="7"/>
      <c r="BCT422" s="7"/>
      <c r="BCU422" s="7"/>
      <c r="BCV422" s="7"/>
      <c r="BCW422" s="7"/>
      <c r="BCX422" s="7"/>
      <c r="BCY422" s="7"/>
      <c r="BCZ422" s="7"/>
      <c r="BDA422" s="7"/>
      <c r="BDB422" s="7"/>
      <c r="BDC422" s="7"/>
      <c r="BDD422" s="7"/>
      <c r="BDE422" s="7"/>
      <c r="BDF422" s="7"/>
      <c r="BDG422" s="7"/>
      <c r="BDH422" s="7"/>
      <c r="BDI422" s="7"/>
      <c r="BDJ422" s="7"/>
      <c r="BDK422" s="7"/>
      <c r="BDL422" s="7"/>
      <c r="BDM422" s="7"/>
      <c r="BDN422" s="7"/>
      <c r="BDO422" s="7"/>
      <c r="BDP422" s="7"/>
      <c r="BDQ422" s="7"/>
      <c r="BDR422" s="7"/>
      <c r="BDS422" s="7"/>
      <c r="BDT422" s="7"/>
      <c r="BDU422" s="7"/>
      <c r="BDV422" s="7"/>
      <c r="BDW422" s="7"/>
      <c r="BDX422" s="7"/>
      <c r="BDY422" s="7"/>
      <c r="BDZ422" s="7"/>
      <c r="BEA422" s="7"/>
      <c r="BEB422" s="7"/>
      <c r="BEC422" s="7"/>
      <c r="BED422" s="7"/>
      <c r="BEE422" s="7"/>
      <c r="BEF422" s="7"/>
      <c r="BEG422" s="7"/>
      <c r="BEH422" s="7"/>
      <c r="BEI422" s="7"/>
      <c r="BEJ422" s="7"/>
      <c r="BEK422" s="7"/>
      <c r="BEL422" s="7"/>
      <c r="BEM422" s="7"/>
      <c r="BEN422" s="7"/>
      <c r="BEO422" s="7"/>
      <c r="BEP422" s="7"/>
      <c r="BEQ422" s="7"/>
      <c r="BER422" s="7"/>
      <c r="BES422" s="7"/>
      <c r="BET422" s="7"/>
      <c r="BEU422" s="7"/>
      <c r="BEV422" s="7"/>
      <c r="BEW422" s="7"/>
      <c r="BEX422" s="7"/>
      <c r="BEY422" s="7"/>
      <c r="BEZ422" s="7"/>
      <c r="BFA422" s="7"/>
      <c r="BFB422" s="7"/>
      <c r="BFC422" s="7"/>
      <c r="BFD422" s="7"/>
      <c r="BFE422" s="7"/>
      <c r="BFF422" s="7"/>
      <c r="BFG422" s="7"/>
      <c r="BFH422" s="7"/>
      <c r="BFI422" s="7"/>
      <c r="BFJ422" s="7"/>
      <c r="BFK422" s="7"/>
      <c r="BFL422" s="7"/>
      <c r="BFM422" s="7"/>
      <c r="BFN422" s="7"/>
      <c r="BFO422" s="7"/>
      <c r="BFP422" s="7"/>
      <c r="BFQ422" s="7"/>
      <c r="BFR422" s="7"/>
      <c r="BFS422" s="7"/>
      <c r="BFT422" s="7"/>
      <c r="BFU422" s="7"/>
      <c r="BFV422" s="7"/>
      <c r="BFW422" s="7"/>
      <c r="BFX422" s="7"/>
      <c r="BFY422" s="7"/>
      <c r="BFZ422" s="7"/>
      <c r="BGA422" s="7"/>
      <c r="BGB422" s="7"/>
      <c r="BGC422" s="7"/>
      <c r="BGD422" s="7"/>
      <c r="BGE422" s="7"/>
      <c r="BGF422" s="7"/>
      <c r="BGG422" s="7"/>
      <c r="BGH422" s="7"/>
      <c r="BGI422" s="7"/>
      <c r="BGJ422" s="7"/>
      <c r="BGK422" s="7"/>
      <c r="BGL422" s="7"/>
      <c r="BGM422" s="7"/>
      <c r="BGN422" s="7"/>
      <c r="BGO422" s="7"/>
      <c r="BGP422" s="7"/>
      <c r="BGQ422" s="7"/>
      <c r="BGR422" s="7"/>
      <c r="BGS422" s="7"/>
      <c r="BGT422" s="7"/>
      <c r="BGU422" s="7"/>
      <c r="BGV422" s="7"/>
      <c r="BGW422" s="7"/>
      <c r="BGX422" s="7"/>
      <c r="BGY422" s="7"/>
      <c r="BGZ422" s="7"/>
      <c r="BHA422" s="7"/>
      <c r="BHB422" s="7"/>
      <c r="BHC422" s="7"/>
      <c r="BHD422" s="7"/>
      <c r="BHE422" s="7"/>
      <c r="BHF422" s="7"/>
      <c r="BHG422" s="7"/>
      <c r="BHH422" s="7"/>
      <c r="BHI422" s="7"/>
      <c r="BHJ422" s="7"/>
      <c r="BHK422" s="7"/>
      <c r="BHL422" s="7"/>
      <c r="BHM422" s="7"/>
      <c r="BHN422" s="7"/>
      <c r="BHO422" s="7"/>
      <c r="BHP422" s="7"/>
      <c r="BHQ422" s="7"/>
      <c r="BHR422" s="7"/>
      <c r="BHS422" s="7"/>
      <c r="BHT422" s="7"/>
      <c r="BHU422" s="7"/>
      <c r="BHV422" s="7"/>
      <c r="BHW422" s="7"/>
      <c r="BHX422" s="7"/>
      <c r="BHY422" s="7"/>
      <c r="BHZ422" s="7"/>
      <c r="BIA422" s="7"/>
      <c r="BIB422" s="7"/>
      <c r="BIC422" s="7"/>
      <c r="BID422" s="7"/>
      <c r="BIE422" s="7"/>
      <c r="BIF422" s="7"/>
      <c r="BIG422" s="7"/>
      <c r="BIH422" s="7"/>
      <c r="BII422" s="7"/>
      <c r="BIJ422" s="7"/>
      <c r="BIK422" s="7"/>
      <c r="BIL422" s="7"/>
      <c r="BIM422" s="7"/>
      <c r="BIN422" s="7"/>
      <c r="BIO422" s="7"/>
      <c r="BIP422" s="7"/>
      <c r="BIQ422" s="7"/>
      <c r="BIR422" s="7"/>
      <c r="BIS422" s="7"/>
      <c r="BIT422" s="7"/>
      <c r="BIU422" s="7"/>
      <c r="BIV422" s="7"/>
      <c r="BIW422" s="7"/>
      <c r="BIX422" s="7"/>
      <c r="BIY422" s="7"/>
      <c r="BIZ422" s="7"/>
      <c r="BJA422" s="7"/>
      <c r="BJB422" s="7"/>
      <c r="BJC422" s="7"/>
      <c r="BJD422" s="7"/>
      <c r="BJE422" s="7"/>
      <c r="BJF422" s="7"/>
      <c r="BJG422" s="7"/>
      <c r="BJH422" s="7"/>
      <c r="BJI422" s="7"/>
      <c r="BJJ422" s="7"/>
      <c r="BJK422" s="7"/>
      <c r="BJL422" s="7"/>
      <c r="BJM422" s="7"/>
      <c r="BJN422" s="7"/>
      <c r="BJO422" s="7"/>
      <c r="BJP422" s="7"/>
      <c r="BJQ422" s="7"/>
      <c r="BJR422" s="7"/>
      <c r="BJS422" s="7"/>
      <c r="BJT422" s="7"/>
      <c r="BJU422" s="7"/>
      <c r="BJV422" s="7"/>
      <c r="BJW422" s="7"/>
      <c r="BJX422" s="7"/>
      <c r="BJY422" s="7"/>
      <c r="BJZ422" s="7"/>
      <c r="BKA422" s="7"/>
      <c r="BKB422" s="7"/>
      <c r="BKC422" s="7"/>
      <c r="BKD422" s="7"/>
      <c r="BKE422" s="7"/>
      <c r="BKF422" s="7"/>
      <c r="BKG422" s="7"/>
      <c r="BKH422" s="7"/>
      <c r="BKI422" s="7"/>
      <c r="BKJ422" s="7"/>
      <c r="BKK422" s="7"/>
      <c r="BKL422" s="7"/>
      <c r="BKM422" s="7"/>
      <c r="BKN422" s="7"/>
      <c r="BKO422" s="7"/>
      <c r="BKP422" s="7"/>
      <c r="BKQ422" s="7"/>
      <c r="BKR422" s="7"/>
      <c r="BKS422" s="7"/>
      <c r="BKT422" s="7"/>
      <c r="BKU422" s="7"/>
      <c r="BKV422" s="7"/>
      <c r="BKW422" s="7"/>
      <c r="BKX422" s="7"/>
      <c r="BKY422" s="7"/>
      <c r="BKZ422" s="7"/>
      <c r="BLA422" s="7"/>
      <c r="BLB422" s="7"/>
      <c r="BLC422" s="7"/>
      <c r="BLD422" s="7"/>
      <c r="BLE422" s="7"/>
      <c r="BLF422" s="7"/>
      <c r="BLG422" s="7"/>
      <c r="BLH422" s="7"/>
      <c r="BLI422" s="7"/>
      <c r="BLJ422" s="7"/>
      <c r="BLK422" s="7"/>
      <c r="BLL422" s="7"/>
      <c r="BLM422" s="7"/>
      <c r="BLN422" s="7"/>
      <c r="BLO422" s="7"/>
      <c r="BLP422" s="7"/>
      <c r="BLQ422" s="7"/>
      <c r="BLR422" s="7"/>
      <c r="BLS422" s="7"/>
      <c r="BLT422" s="7"/>
      <c r="BLU422" s="7"/>
      <c r="BLV422" s="7"/>
      <c r="BLW422" s="7"/>
      <c r="BLX422" s="7"/>
      <c r="BLY422" s="7"/>
      <c r="BLZ422" s="7"/>
      <c r="BMA422" s="7"/>
      <c r="BMB422" s="7"/>
      <c r="BMC422" s="7"/>
      <c r="BMD422" s="7"/>
      <c r="BME422" s="7"/>
      <c r="BMF422" s="7"/>
      <c r="BMG422" s="7"/>
      <c r="BMH422" s="7"/>
      <c r="BMI422" s="7"/>
      <c r="BMJ422" s="7"/>
      <c r="BMK422" s="7"/>
      <c r="BML422" s="7"/>
      <c r="BMM422" s="7"/>
      <c r="BMN422" s="7"/>
      <c r="BMO422" s="7"/>
      <c r="BMP422" s="7"/>
      <c r="BMQ422" s="7"/>
      <c r="BMR422" s="7"/>
      <c r="BMS422" s="7"/>
      <c r="BMT422" s="7"/>
      <c r="BMU422" s="7"/>
      <c r="BMV422" s="7"/>
      <c r="BMW422" s="7"/>
      <c r="BMX422" s="7"/>
      <c r="BMY422" s="7"/>
      <c r="BMZ422" s="7"/>
      <c r="BNA422" s="7"/>
      <c r="BNB422" s="7"/>
      <c r="BNC422" s="7"/>
      <c r="BND422" s="7"/>
      <c r="BNE422" s="7"/>
      <c r="BNF422" s="7"/>
      <c r="BNG422" s="7"/>
      <c r="BNH422" s="7"/>
      <c r="BNI422" s="7"/>
      <c r="BNJ422" s="7"/>
      <c r="BNK422" s="7"/>
      <c r="BNL422" s="7"/>
      <c r="BNM422" s="7"/>
      <c r="BNN422" s="7"/>
      <c r="BNO422" s="7"/>
      <c r="BNP422" s="7"/>
      <c r="BNQ422" s="7"/>
      <c r="BNR422" s="7"/>
      <c r="BNS422" s="7"/>
      <c r="BNT422" s="7"/>
      <c r="BNU422" s="7"/>
      <c r="BNV422" s="7"/>
      <c r="BNW422" s="7"/>
      <c r="BNX422" s="7"/>
      <c r="BNY422" s="7"/>
      <c r="BNZ422" s="7"/>
      <c r="BOA422" s="7"/>
      <c r="BOB422" s="7"/>
      <c r="BOC422" s="7"/>
      <c r="BOD422" s="7"/>
      <c r="BOE422" s="7"/>
      <c r="BOF422" s="7"/>
      <c r="BOG422" s="7"/>
      <c r="BOH422" s="7"/>
      <c r="BOI422" s="7"/>
      <c r="BOJ422" s="7"/>
      <c r="BOK422" s="7"/>
      <c r="BOL422" s="7"/>
      <c r="BOM422" s="7"/>
      <c r="BON422" s="7"/>
      <c r="BOO422" s="7"/>
      <c r="BOP422" s="7"/>
      <c r="BOQ422" s="7"/>
      <c r="BOR422" s="7"/>
      <c r="BOS422" s="7"/>
      <c r="BOT422" s="7"/>
      <c r="BOU422" s="7"/>
      <c r="BOV422" s="7"/>
      <c r="BOW422" s="7"/>
      <c r="BOX422" s="7"/>
      <c r="BOY422" s="7"/>
      <c r="BOZ422" s="7"/>
      <c r="BPA422" s="7"/>
      <c r="BPB422" s="7"/>
      <c r="BPC422" s="7"/>
      <c r="BPD422" s="7"/>
      <c r="BPE422" s="7"/>
      <c r="BPF422" s="7"/>
      <c r="BPG422" s="7"/>
      <c r="BPH422" s="7"/>
      <c r="BPI422" s="7"/>
      <c r="BPJ422" s="7"/>
      <c r="BPK422" s="7"/>
      <c r="BPL422" s="7"/>
      <c r="BPM422" s="7"/>
      <c r="BPN422" s="7"/>
      <c r="BPO422" s="7"/>
      <c r="BPP422" s="7"/>
      <c r="BPQ422" s="7"/>
      <c r="BPR422" s="7"/>
      <c r="BPS422" s="7"/>
      <c r="BPT422" s="7"/>
      <c r="BPU422" s="7"/>
      <c r="BPV422" s="7"/>
      <c r="BPW422" s="7"/>
      <c r="BPX422" s="7"/>
      <c r="BPY422" s="7"/>
      <c r="BPZ422" s="7"/>
      <c r="BQA422" s="7"/>
      <c r="BQB422" s="7"/>
      <c r="BQC422" s="7"/>
      <c r="BQD422" s="7"/>
      <c r="BQE422" s="7"/>
      <c r="BQF422" s="7"/>
      <c r="BQG422" s="7"/>
      <c r="BQH422" s="7"/>
      <c r="BQI422" s="7"/>
      <c r="BQJ422" s="7"/>
      <c r="BQK422" s="7"/>
      <c r="BQL422" s="7"/>
      <c r="BQM422" s="7"/>
      <c r="BQN422" s="7"/>
      <c r="BQO422" s="7"/>
      <c r="BQP422" s="7"/>
      <c r="BQQ422" s="7"/>
      <c r="BQR422" s="7"/>
      <c r="BQS422" s="7"/>
      <c r="BQT422" s="7"/>
      <c r="BQU422" s="7"/>
      <c r="BQV422" s="7"/>
      <c r="BQW422" s="7"/>
      <c r="BQX422" s="7"/>
      <c r="BQY422" s="7"/>
      <c r="BQZ422" s="7"/>
      <c r="BRA422" s="7"/>
      <c r="BRB422" s="7"/>
      <c r="BRC422" s="7"/>
      <c r="BRD422" s="7"/>
      <c r="BRE422" s="7"/>
      <c r="BRF422" s="7"/>
      <c r="BRG422" s="7"/>
      <c r="BRH422" s="7"/>
      <c r="BRI422" s="7"/>
      <c r="BRJ422" s="7"/>
      <c r="BRK422" s="7"/>
      <c r="BRL422" s="7"/>
      <c r="BRM422" s="7"/>
      <c r="BRN422" s="7"/>
      <c r="BRO422" s="7"/>
      <c r="BRP422" s="7"/>
      <c r="BRQ422" s="7"/>
      <c r="BRR422" s="7"/>
      <c r="BRS422" s="7"/>
      <c r="BRT422" s="7"/>
      <c r="BRU422" s="7"/>
      <c r="BRV422" s="7"/>
      <c r="BRW422" s="7"/>
      <c r="BRX422" s="7"/>
      <c r="BRY422" s="7"/>
      <c r="BRZ422" s="7"/>
      <c r="BSA422" s="7"/>
      <c r="BSB422" s="7"/>
      <c r="BSC422" s="7"/>
      <c r="BSD422" s="7"/>
      <c r="BSE422" s="7"/>
      <c r="BSF422" s="7"/>
      <c r="BSG422" s="7"/>
      <c r="BSH422" s="7"/>
      <c r="BSI422" s="7"/>
      <c r="BSJ422" s="7"/>
      <c r="BSK422" s="7"/>
      <c r="BSL422" s="7"/>
      <c r="BSM422" s="7"/>
      <c r="BSN422" s="7"/>
      <c r="BSO422" s="7"/>
      <c r="BSP422" s="7"/>
      <c r="BSQ422" s="7"/>
      <c r="BSR422" s="7"/>
      <c r="BSS422" s="7"/>
      <c r="BST422" s="7"/>
      <c r="BSU422" s="7"/>
      <c r="BSV422" s="7"/>
      <c r="BSW422" s="7"/>
      <c r="BSX422" s="7"/>
      <c r="BSY422" s="7"/>
      <c r="BSZ422" s="7"/>
      <c r="BTA422" s="7"/>
    </row>
    <row r="423" spans="1:1873" s="118" customFormat="1" x14ac:dyDescent="0.2">
      <c r="A423" s="25"/>
      <c r="B423" s="240"/>
      <c r="C423" s="240"/>
      <c r="D423" s="240"/>
      <c r="E423" s="241"/>
      <c r="F423" s="240"/>
      <c r="G423" s="240"/>
      <c r="H423" s="240"/>
      <c r="I423" s="240"/>
      <c r="J423" s="240"/>
      <c r="K423" s="240"/>
      <c r="L423" s="240"/>
      <c r="M423" s="421"/>
      <c r="N423" s="223"/>
      <c r="O423" s="29"/>
      <c r="P423" s="421"/>
      <c r="Q423" s="240"/>
      <c r="R423" s="421"/>
      <c r="S423" s="240"/>
      <c r="T423" s="543"/>
      <c r="U423" s="451"/>
      <c r="V423" s="451"/>
      <c r="W423" s="421"/>
      <c r="X423" s="451"/>
      <c r="Y423" s="451"/>
      <c r="Z423" s="540"/>
      <c r="AA423" s="541"/>
      <c r="AB423" s="421"/>
      <c r="AC423" s="240"/>
      <c r="AD423" s="240"/>
      <c r="AE423" s="240"/>
      <c r="AF423" s="240"/>
      <c r="AG423" s="240"/>
      <c r="AH423" s="240"/>
      <c r="AI423" s="240"/>
      <c r="AJ423" s="240"/>
      <c r="AK423" s="240"/>
      <c r="AL423" s="240"/>
      <c r="AM423" s="240"/>
      <c r="AN423" s="240"/>
      <c r="AO423" s="240"/>
      <c r="AP423" s="240"/>
      <c r="AQ423" s="240"/>
      <c r="AR423" s="240"/>
      <c r="AS423" s="223"/>
      <c r="AT423" s="240"/>
      <c r="AU423" s="240"/>
      <c r="AV423" s="240"/>
      <c r="AW423" s="240"/>
      <c r="AX423" s="240"/>
      <c r="AY423" s="240"/>
      <c r="AZ423" s="240"/>
      <c r="BA423" s="240"/>
      <c r="BB423" s="240"/>
      <c r="BC423" s="240"/>
      <c r="BD423" s="240"/>
      <c r="BE423" s="240"/>
      <c r="BF423" s="240"/>
      <c r="BG423" s="240"/>
      <c r="BH423" s="240"/>
      <c r="BI423" s="240"/>
      <c r="BJ423" s="240"/>
      <c r="BK423" s="240"/>
      <c r="BL423" s="240"/>
      <c r="BM423" s="240"/>
      <c r="BN423" s="240"/>
      <c r="BO423" s="240"/>
      <c r="BP423" s="240"/>
      <c r="BQ423" s="240"/>
      <c r="BR423" s="240"/>
      <c r="BS423" s="242"/>
      <c r="BT423" s="240"/>
      <c r="BU423" s="240"/>
      <c r="BV423" s="240"/>
      <c r="BW423" s="240"/>
      <c r="BX423" s="240"/>
      <c r="BY423" s="240"/>
      <c r="BZ423" s="334"/>
      <c r="CA423" s="334"/>
      <c r="CB423" s="542"/>
      <c r="CC423" s="240"/>
      <c r="CD423" s="240"/>
      <c r="CE423" s="342" t="s">
        <v>1576</v>
      </c>
      <c r="CF423" s="342" t="s">
        <v>1575</v>
      </c>
      <c r="CG423" s="25"/>
    </row>
    <row r="424" spans="1:1873" s="118" customFormat="1" x14ac:dyDescent="0.2">
      <c r="A424" s="25" t="s">
        <v>780</v>
      </c>
      <c r="B424" s="240" t="s">
        <v>276</v>
      </c>
      <c r="C424" s="403" t="s">
        <v>1522</v>
      </c>
      <c r="D424" s="240" t="s">
        <v>619</v>
      </c>
      <c r="E424" s="241" t="s">
        <v>1449</v>
      </c>
      <c r="F424" s="240">
        <v>1</v>
      </c>
      <c r="G424" s="240">
        <v>1</v>
      </c>
      <c r="H424" s="240">
        <v>1</v>
      </c>
      <c r="I424" s="240" t="s">
        <v>58</v>
      </c>
      <c r="J424" s="240">
        <v>1970</v>
      </c>
      <c r="K424" s="223" t="s">
        <v>957</v>
      </c>
      <c r="L424" s="240">
        <v>1970</v>
      </c>
      <c r="M424" s="421">
        <v>-9999</v>
      </c>
      <c r="N424" s="223">
        <v>-9999</v>
      </c>
      <c r="O424" s="29"/>
      <c r="P424" s="421" t="s">
        <v>59</v>
      </c>
      <c r="Q424" s="240">
        <v>-9999</v>
      </c>
      <c r="R424" s="421"/>
      <c r="S424" s="240"/>
      <c r="T424" s="543">
        <v>-9999</v>
      </c>
      <c r="U424" s="451">
        <v>-9999</v>
      </c>
      <c r="V424" s="451"/>
      <c r="W424" s="421" t="s">
        <v>59</v>
      </c>
      <c r="X424" s="451">
        <v>-9999</v>
      </c>
      <c r="Y424" s="451"/>
      <c r="Z424" s="540" t="s">
        <v>65</v>
      </c>
      <c r="AA424" s="541">
        <v>111111</v>
      </c>
      <c r="AB424" s="421">
        <v>0.99</v>
      </c>
      <c r="AC424" s="240">
        <v>-9999</v>
      </c>
      <c r="AD424" s="240">
        <v>27</v>
      </c>
      <c r="AE424" s="240" t="s">
        <v>281</v>
      </c>
      <c r="AF424" s="240">
        <v>3</v>
      </c>
      <c r="AG424" s="240"/>
      <c r="AH424" s="240" t="s">
        <v>623</v>
      </c>
      <c r="AI424" s="240" t="s">
        <v>61</v>
      </c>
      <c r="AJ424" s="240" t="s">
        <v>62</v>
      </c>
      <c r="AK424" s="240" t="s">
        <v>779</v>
      </c>
      <c r="AL424" s="240" t="s">
        <v>63</v>
      </c>
      <c r="AM424" s="240"/>
      <c r="AN424" s="240" t="s">
        <v>779</v>
      </c>
      <c r="AO424" s="240">
        <v>-9999</v>
      </c>
      <c r="AP424" s="240" t="s">
        <v>64</v>
      </c>
      <c r="AQ424" s="240" t="s">
        <v>779</v>
      </c>
      <c r="AR424" s="240" t="s">
        <v>1187</v>
      </c>
      <c r="AS424" s="223" t="s">
        <v>1101</v>
      </c>
      <c r="AT424" s="240" t="s">
        <v>751</v>
      </c>
      <c r="AU424" s="240">
        <v>213</v>
      </c>
      <c r="AV424" s="240">
        <v>-9999</v>
      </c>
      <c r="AW424" s="240" t="s">
        <v>686</v>
      </c>
      <c r="AX424" s="240">
        <v>336</v>
      </c>
      <c r="AY424" s="240">
        <v>-9999</v>
      </c>
      <c r="AZ424" s="240" t="s">
        <v>322</v>
      </c>
      <c r="BA424" s="240" t="s">
        <v>750</v>
      </c>
      <c r="BB424" s="240" t="s">
        <v>779</v>
      </c>
      <c r="BC424" s="240" t="s">
        <v>279</v>
      </c>
      <c r="BD424" s="240">
        <v>-9999</v>
      </c>
      <c r="BE424" s="240">
        <v>-9999</v>
      </c>
      <c r="BF424" s="240">
        <v>-9999</v>
      </c>
      <c r="BG424" s="240">
        <v>-9999</v>
      </c>
      <c r="BH424" s="240">
        <v>-9999</v>
      </c>
      <c r="BI424" s="240" t="s">
        <v>752</v>
      </c>
      <c r="BJ424" s="240">
        <v>-9999</v>
      </c>
      <c r="BK424" s="240">
        <v>-9999</v>
      </c>
      <c r="BL424" s="240">
        <v>0.3</v>
      </c>
      <c r="BM424" s="240">
        <v>-9999</v>
      </c>
      <c r="BN424" s="240">
        <v>-9999</v>
      </c>
      <c r="BO424" s="240">
        <v>-9999</v>
      </c>
      <c r="BP424" s="240">
        <v>-9999</v>
      </c>
      <c r="BQ424" s="240">
        <v>-9999</v>
      </c>
      <c r="BR424" s="240">
        <v>10</v>
      </c>
      <c r="BS424" s="242">
        <v>-9999</v>
      </c>
      <c r="BT424" s="240">
        <v>-9999</v>
      </c>
      <c r="BU424" s="240">
        <v>-9999</v>
      </c>
      <c r="BV424" s="240">
        <v>-9999</v>
      </c>
      <c r="BW424" s="240"/>
      <c r="BX424" s="240">
        <v>-9999</v>
      </c>
      <c r="BY424" s="240">
        <v>-9999</v>
      </c>
      <c r="BZ424" s="334">
        <v>-9999</v>
      </c>
      <c r="CA424" s="334">
        <v>2.54</v>
      </c>
      <c r="CB424" s="542"/>
      <c r="CC424" s="240">
        <v>1</v>
      </c>
      <c r="CD424" s="240">
        <v>1</v>
      </c>
      <c r="CE424" s="343"/>
      <c r="CF424" s="343"/>
      <c r="CG424" s="25">
        <v>1</v>
      </c>
    </row>
    <row r="425" spans="1:1873" s="118" customFormat="1" x14ac:dyDescent="0.2">
      <c r="A425" s="25" t="s">
        <v>780</v>
      </c>
      <c r="B425" s="240" t="s">
        <v>276</v>
      </c>
      <c r="C425" s="403" t="s">
        <v>1522</v>
      </c>
      <c r="D425" s="240" t="s">
        <v>619</v>
      </c>
      <c r="E425" s="241" t="s">
        <v>1449</v>
      </c>
      <c r="F425" s="240">
        <v>1</v>
      </c>
      <c r="G425" s="240">
        <v>2</v>
      </c>
      <c r="H425" s="240">
        <v>2</v>
      </c>
      <c r="I425" s="240" t="s">
        <v>58</v>
      </c>
      <c r="J425" s="240">
        <v>1970</v>
      </c>
      <c r="K425" s="223" t="s">
        <v>957</v>
      </c>
      <c r="L425" s="240">
        <v>1971</v>
      </c>
      <c r="M425" s="421">
        <v>14.7</v>
      </c>
      <c r="N425" s="223">
        <v>-9999</v>
      </c>
      <c r="O425" s="29"/>
      <c r="P425" s="421">
        <v>14.7</v>
      </c>
      <c r="Q425" s="240">
        <v>-9999</v>
      </c>
      <c r="R425" s="421"/>
      <c r="S425" s="240"/>
      <c r="T425" s="543">
        <v>7.4</v>
      </c>
      <c r="U425" s="451">
        <v>-9999</v>
      </c>
      <c r="V425" s="451"/>
      <c r="W425" s="421" t="s">
        <v>59</v>
      </c>
      <c r="X425" s="451">
        <v>-9999</v>
      </c>
      <c r="Y425" s="451"/>
      <c r="Z425" s="540" t="s">
        <v>65</v>
      </c>
      <c r="AA425" s="541">
        <v>111111</v>
      </c>
      <c r="AB425" s="421">
        <v>0.99</v>
      </c>
      <c r="AC425" s="240">
        <v>-9999</v>
      </c>
      <c r="AD425" s="240">
        <v>27</v>
      </c>
      <c r="AE425" s="240" t="s">
        <v>281</v>
      </c>
      <c r="AF425" s="240">
        <v>3</v>
      </c>
      <c r="AG425" s="240"/>
      <c r="AH425" s="240" t="s">
        <v>623</v>
      </c>
      <c r="AI425" s="240" t="s">
        <v>61</v>
      </c>
      <c r="AJ425" s="240" t="s">
        <v>62</v>
      </c>
      <c r="AK425" s="240" t="s">
        <v>779</v>
      </c>
      <c r="AL425" s="240" t="s">
        <v>63</v>
      </c>
      <c r="AM425" s="240"/>
      <c r="AN425" s="240" t="s">
        <v>779</v>
      </c>
      <c r="AO425" s="240">
        <v>-9999</v>
      </c>
      <c r="AP425" s="240" t="s">
        <v>64</v>
      </c>
      <c r="AQ425" s="240" t="s">
        <v>779</v>
      </c>
      <c r="AR425" s="240" t="s">
        <v>1187</v>
      </c>
      <c r="AS425" s="223" t="s">
        <v>1101</v>
      </c>
      <c r="AT425" s="240" t="s">
        <v>751</v>
      </c>
      <c r="AU425" s="240">
        <f>213+AU424</f>
        <v>426</v>
      </c>
      <c r="AV425" s="240">
        <v>-9999</v>
      </c>
      <c r="AW425" s="240" t="s">
        <v>686</v>
      </c>
      <c r="AX425" s="240">
        <f>336+AX424</f>
        <v>672</v>
      </c>
      <c r="AY425" s="240">
        <v>-9999</v>
      </c>
      <c r="AZ425" s="240" t="s">
        <v>322</v>
      </c>
      <c r="BA425" s="240" t="s">
        <v>750</v>
      </c>
      <c r="BB425" s="240" t="s">
        <v>779</v>
      </c>
      <c r="BC425" s="240" t="s">
        <v>279</v>
      </c>
      <c r="BD425" s="240">
        <v>-9999</v>
      </c>
      <c r="BE425" s="240">
        <v>-9999</v>
      </c>
      <c r="BF425" s="240">
        <v>-9999</v>
      </c>
      <c r="BG425" s="240">
        <v>-9999</v>
      </c>
      <c r="BH425" s="240">
        <v>-9999</v>
      </c>
      <c r="BI425" s="240" t="s">
        <v>752</v>
      </c>
      <c r="BJ425" s="240">
        <v>-9999</v>
      </c>
      <c r="BK425" s="240">
        <v>-9999</v>
      </c>
      <c r="BL425" s="240">
        <v>1.8</v>
      </c>
      <c r="BM425" s="240">
        <v>-9999</v>
      </c>
      <c r="BN425" s="240">
        <v>-9999</v>
      </c>
      <c r="BO425" s="240">
        <v>-9999</v>
      </c>
      <c r="BP425" s="240">
        <v>-9999</v>
      </c>
      <c r="BQ425" s="240">
        <v>-9999</v>
      </c>
      <c r="BR425" s="240">
        <v>18</v>
      </c>
      <c r="BS425" s="242">
        <v>-9999</v>
      </c>
      <c r="BT425" s="240">
        <v>-9999</v>
      </c>
      <c r="BU425" s="240">
        <v>-9999</v>
      </c>
      <c r="BV425" s="240">
        <v>-9999</v>
      </c>
      <c r="BW425" s="240"/>
      <c r="BX425" s="240">
        <v>-9999</v>
      </c>
      <c r="BY425" s="240">
        <v>-9999</v>
      </c>
      <c r="BZ425" s="334">
        <v>-9999</v>
      </c>
      <c r="CA425" s="334">
        <v>2.54</v>
      </c>
      <c r="CB425" s="542"/>
      <c r="CC425" s="240">
        <v>1</v>
      </c>
      <c r="CD425" s="240">
        <v>2</v>
      </c>
      <c r="CE425" s="343">
        <v>7.4</v>
      </c>
      <c r="CF425" s="343"/>
      <c r="CG425" s="25">
        <v>2</v>
      </c>
    </row>
    <row r="426" spans="1:1873" s="118" customFormat="1" x14ac:dyDescent="0.2">
      <c r="A426" s="25" t="s">
        <v>780</v>
      </c>
      <c r="B426" s="240" t="s">
        <v>276</v>
      </c>
      <c r="C426" s="403" t="s">
        <v>1522</v>
      </c>
      <c r="D426" s="240" t="s">
        <v>619</v>
      </c>
      <c r="E426" s="241" t="s">
        <v>1449</v>
      </c>
      <c r="F426" s="240">
        <v>1</v>
      </c>
      <c r="G426" s="240">
        <v>3</v>
      </c>
      <c r="H426" s="240">
        <v>3</v>
      </c>
      <c r="I426" s="240" t="s">
        <v>58</v>
      </c>
      <c r="J426" s="240">
        <v>1970</v>
      </c>
      <c r="K426" s="223" t="s">
        <v>957</v>
      </c>
      <c r="L426" s="240">
        <v>1972</v>
      </c>
      <c r="M426" s="421">
        <v>33.299999999999997</v>
      </c>
      <c r="N426" s="223">
        <v>-9999</v>
      </c>
      <c r="O426" s="29"/>
      <c r="P426" s="421">
        <v>33.299999999999997</v>
      </c>
      <c r="Q426" s="240">
        <v>-9999</v>
      </c>
      <c r="R426" s="421"/>
      <c r="S426" s="240"/>
      <c r="T426" s="543">
        <v>11.1</v>
      </c>
      <c r="U426" s="451">
        <v>-9999</v>
      </c>
      <c r="V426" s="451"/>
      <c r="W426" s="421">
        <v>18.600000000000001</v>
      </c>
      <c r="X426" s="451">
        <v>-9999</v>
      </c>
      <c r="Y426" s="451"/>
      <c r="Z426" s="540" t="s">
        <v>65</v>
      </c>
      <c r="AA426" s="541">
        <v>111111</v>
      </c>
      <c r="AB426" s="421">
        <v>0.93</v>
      </c>
      <c r="AC426" s="240">
        <v>-9999</v>
      </c>
      <c r="AD426" s="240">
        <v>27</v>
      </c>
      <c r="AE426" s="240" t="s">
        <v>281</v>
      </c>
      <c r="AF426" s="240">
        <v>3</v>
      </c>
      <c r="AG426" s="240"/>
      <c r="AH426" s="240" t="s">
        <v>623</v>
      </c>
      <c r="AI426" s="240" t="s">
        <v>61</v>
      </c>
      <c r="AJ426" s="240" t="s">
        <v>62</v>
      </c>
      <c r="AK426" s="240" t="s">
        <v>779</v>
      </c>
      <c r="AL426" s="240" t="s">
        <v>63</v>
      </c>
      <c r="AM426" s="240"/>
      <c r="AN426" s="240" t="s">
        <v>779</v>
      </c>
      <c r="AO426" s="240">
        <v>-9999</v>
      </c>
      <c r="AP426" s="240" t="s">
        <v>64</v>
      </c>
      <c r="AQ426" s="240" t="s">
        <v>779</v>
      </c>
      <c r="AR426" s="240" t="s">
        <v>1187</v>
      </c>
      <c r="AS426" s="223" t="s">
        <v>1101</v>
      </c>
      <c r="AT426" s="240" t="s">
        <v>751</v>
      </c>
      <c r="AU426" s="240">
        <f>213+AU425</f>
        <v>639</v>
      </c>
      <c r="AV426" s="240">
        <v>-9999</v>
      </c>
      <c r="AW426" s="240" t="s">
        <v>686</v>
      </c>
      <c r="AX426" s="240">
        <f>336+AX425</f>
        <v>1008</v>
      </c>
      <c r="AY426" s="240">
        <v>-9999</v>
      </c>
      <c r="AZ426" s="240" t="s">
        <v>322</v>
      </c>
      <c r="BA426" s="240" t="s">
        <v>750</v>
      </c>
      <c r="BB426" s="240" t="s">
        <v>779</v>
      </c>
      <c r="BC426" s="240" t="s">
        <v>279</v>
      </c>
      <c r="BD426" s="240">
        <v>-9999</v>
      </c>
      <c r="BE426" s="240">
        <v>-9999</v>
      </c>
      <c r="BF426" s="240">
        <v>-9999</v>
      </c>
      <c r="BG426" s="240">
        <v>-9999</v>
      </c>
      <c r="BH426" s="240">
        <v>-9999</v>
      </c>
      <c r="BI426" s="240" t="s">
        <v>752</v>
      </c>
      <c r="BJ426" s="240">
        <v>-9999</v>
      </c>
      <c r="BK426" s="240">
        <v>-9999</v>
      </c>
      <c r="BL426" s="240">
        <v>3.4</v>
      </c>
      <c r="BM426" s="240">
        <v>-9999</v>
      </c>
      <c r="BN426" s="240">
        <v>-9999</v>
      </c>
      <c r="BO426" s="240">
        <v>-9999</v>
      </c>
      <c r="BP426" s="240">
        <v>-9999</v>
      </c>
      <c r="BQ426" s="240">
        <v>-9999</v>
      </c>
      <c r="BR426" s="240">
        <v>24</v>
      </c>
      <c r="BS426" s="242">
        <v>-9999</v>
      </c>
      <c r="BT426" s="240">
        <v>-9999</v>
      </c>
      <c r="BU426" s="240">
        <v>-9999</v>
      </c>
      <c r="BV426" s="240">
        <v>-9999</v>
      </c>
      <c r="BW426" s="240"/>
      <c r="BX426" s="240">
        <v>-9999</v>
      </c>
      <c r="BY426" s="240">
        <v>-9999</v>
      </c>
      <c r="BZ426" s="334">
        <v>-9999</v>
      </c>
      <c r="CA426" s="334">
        <v>2.54</v>
      </c>
      <c r="CB426" s="542"/>
      <c r="CC426" s="240">
        <v>1</v>
      </c>
      <c r="CD426" s="240">
        <v>3</v>
      </c>
      <c r="CE426" s="343">
        <v>11.1</v>
      </c>
      <c r="CF426" s="343">
        <v>18.600000000000001</v>
      </c>
      <c r="CG426" s="25">
        <v>3</v>
      </c>
    </row>
    <row r="427" spans="1:1873" s="197" customFormat="1" x14ac:dyDescent="0.2">
      <c r="A427" s="283" t="s">
        <v>780</v>
      </c>
      <c r="B427" s="283" t="s">
        <v>276</v>
      </c>
      <c r="C427" s="283" t="s">
        <v>277</v>
      </c>
      <c r="D427" s="283" t="s">
        <v>619</v>
      </c>
      <c r="E427" s="250" t="s">
        <v>1449</v>
      </c>
      <c r="F427" s="283">
        <v>1</v>
      </c>
      <c r="G427" s="283">
        <v>4</v>
      </c>
      <c r="H427" s="283">
        <v>4</v>
      </c>
      <c r="I427" s="283" t="s">
        <v>58</v>
      </c>
      <c r="J427" s="283">
        <v>1970</v>
      </c>
      <c r="K427" s="249" t="s">
        <v>957</v>
      </c>
      <c r="L427" s="283">
        <v>1973</v>
      </c>
      <c r="M427" s="426">
        <v>60.8</v>
      </c>
      <c r="N427" s="249">
        <v>-9999</v>
      </c>
      <c r="O427" s="18"/>
      <c r="P427" s="426">
        <v>60.8</v>
      </c>
      <c r="Q427" s="283">
        <v>-9999</v>
      </c>
      <c r="R427" s="426"/>
      <c r="S427" s="283"/>
      <c r="T427" s="544">
        <v>15.2</v>
      </c>
      <c r="U427" s="454">
        <v>-9999</v>
      </c>
      <c r="V427" s="454"/>
      <c r="W427" s="426">
        <v>27.5</v>
      </c>
      <c r="X427" s="454">
        <v>-9999</v>
      </c>
      <c r="Y427" s="454"/>
      <c r="Z427" s="545" t="s">
        <v>65</v>
      </c>
      <c r="AA427" s="546">
        <v>111111</v>
      </c>
      <c r="AB427" s="426">
        <v>0.88</v>
      </c>
      <c r="AC427" s="283">
        <v>-9999</v>
      </c>
      <c r="AD427" s="283">
        <v>27</v>
      </c>
      <c r="AE427" s="283" t="s">
        <v>281</v>
      </c>
      <c r="AF427" s="283">
        <v>3</v>
      </c>
      <c r="AG427" s="283"/>
      <c r="AH427" s="283" t="s">
        <v>623</v>
      </c>
      <c r="AI427" s="283" t="s">
        <v>61</v>
      </c>
      <c r="AJ427" s="283" t="s">
        <v>62</v>
      </c>
      <c r="AK427" s="283" t="s">
        <v>779</v>
      </c>
      <c r="AL427" s="283" t="s">
        <v>63</v>
      </c>
      <c r="AM427" s="283"/>
      <c r="AN427" s="283" t="s">
        <v>779</v>
      </c>
      <c r="AO427" s="283">
        <v>-9999</v>
      </c>
      <c r="AP427" s="283" t="s">
        <v>64</v>
      </c>
      <c r="AQ427" s="283" t="s">
        <v>779</v>
      </c>
      <c r="AR427" s="283" t="s">
        <v>1187</v>
      </c>
      <c r="AS427" s="249" t="s">
        <v>1101</v>
      </c>
      <c r="AT427" s="283" t="s">
        <v>751</v>
      </c>
      <c r="AU427" s="283">
        <f>213+AU426</f>
        <v>852</v>
      </c>
      <c r="AV427" s="283">
        <v>-9999</v>
      </c>
      <c r="AW427" s="283" t="s">
        <v>686</v>
      </c>
      <c r="AX427" s="283">
        <f>336+AX426</f>
        <v>1344</v>
      </c>
      <c r="AY427" s="283">
        <v>-9999</v>
      </c>
      <c r="AZ427" s="283" t="s">
        <v>322</v>
      </c>
      <c r="BA427" s="283" t="s">
        <v>750</v>
      </c>
      <c r="BB427" s="283" t="s">
        <v>779</v>
      </c>
      <c r="BC427" s="283" t="s">
        <v>279</v>
      </c>
      <c r="BD427" s="283">
        <v>-9999</v>
      </c>
      <c r="BE427" s="283">
        <v>-9999</v>
      </c>
      <c r="BF427" s="283">
        <v>-9999</v>
      </c>
      <c r="BG427" s="283">
        <v>-9999</v>
      </c>
      <c r="BH427" s="283">
        <v>-9999</v>
      </c>
      <c r="BI427" s="283" t="s">
        <v>752</v>
      </c>
      <c r="BJ427" s="283">
        <v>-9999</v>
      </c>
      <c r="BK427" s="283">
        <v>-9999</v>
      </c>
      <c r="BL427" s="283">
        <v>4.3</v>
      </c>
      <c r="BM427" s="283">
        <v>-9999</v>
      </c>
      <c r="BN427" s="283">
        <v>-9999</v>
      </c>
      <c r="BO427" s="283">
        <v>-9999</v>
      </c>
      <c r="BP427" s="283">
        <v>-9999</v>
      </c>
      <c r="BQ427" s="283">
        <v>-9999</v>
      </c>
      <c r="BR427" s="283">
        <v>33</v>
      </c>
      <c r="BS427" s="251">
        <v>-9999</v>
      </c>
      <c r="BT427" s="283">
        <v>-9999</v>
      </c>
      <c r="BU427" s="283">
        <v>-9999</v>
      </c>
      <c r="BV427" s="283">
        <v>-9999</v>
      </c>
      <c r="BW427" s="283"/>
      <c r="BX427" s="283">
        <v>-9999</v>
      </c>
      <c r="BY427" s="283">
        <v>-9999</v>
      </c>
      <c r="BZ427" s="335">
        <v>-9999</v>
      </c>
      <c r="CA427" s="335">
        <v>2.54</v>
      </c>
      <c r="CB427" s="547"/>
      <c r="CC427" s="283">
        <v>1</v>
      </c>
      <c r="CD427" s="283">
        <v>4</v>
      </c>
      <c r="CE427" s="341">
        <v>15.2</v>
      </c>
      <c r="CF427" s="341">
        <v>27.5</v>
      </c>
      <c r="CG427" s="191">
        <v>4</v>
      </c>
      <c r="CH427" s="7" t="s">
        <v>1757</v>
      </c>
      <c r="CI427" s="7"/>
      <c r="CJ427" s="7"/>
      <c r="CK427" s="7"/>
      <c r="CL427" s="7"/>
      <c r="CM427" s="7"/>
      <c r="CN427" s="7"/>
      <c r="CO427" s="7"/>
      <c r="CP427" s="7"/>
      <c r="CQ427" s="7"/>
      <c r="CR427" s="7"/>
      <c r="CS427" s="7"/>
      <c r="CT427" s="7"/>
      <c r="CU427" s="7"/>
      <c r="CV427" s="7"/>
      <c r="CW427" s="7"/>
      <c r="CX427" s="7"/>
      <c r="CY427" s="7"/>
      <c r="CZ427" s="7"/>
      <c r="DA427" s="7"/>
      <c r="DB427" s="7"/>
      <c r="DC427" s="7"/>
      <c r="DD427" s="7"/>
      <c r="DE427" s="7"/>
      <c r="DF427" s="7"/>
      <c r="DG427" s="7"/>
      <c r="DH427" s="7"/>
      <c r="DI427" s="7"/>
      <c r="DJ427" s="7"/>
      <c r="DK427" s="7"/>
      <c r="DL427" s="7"/>
      <c r="DM427" s="7"/>
      <c r="DN427" s="7"/>
      <c r="DO427" s="7"/>
      <c r="DP427" s="7"/>
      <c r="DQ427" s="7"/>
      <c r="DR427" s="7"/>
      <c r="DS427" s="7"/>
      <c r="DT427" s="7"/>
      <c r="DU427" s="7"/>
      <c r="DV427" s="7"/>
      <c r="DW427" s="7"/>
      <c r="DX427" s="7"/>
      <c r="DY427" s="7"/>
      <c r="DZ427" s="7"/>
      <c r="EA427" s="7"/>
      <c r="EB427" s="7"/>
      <c r="EC427" s="7"/>
      <c r="ED427" s="7"/>
      <c r="EE427" s="7"/>
      <c r="EF427" s="7"/>
      <c r="EG427" s="7"/>
      <c r="EH427" s="7"/>
      <c r="EI427" s="7"/>
      <c r="EJ427" s="7"/>
      <c r="EK427" s="7"/>
      <c r="EL427" s="7"/>
      <c r="EM427" s="7"/>
      <c r="EN427" s="7"/>
      <c r="EO427" s="7"/>
      <c r="EP427" s="7"/>
      <c r="EQ427" s="7"/>
      <c r="ER427" s="7"/>
      <c r="ES427" s="7"/>
      <c r="ET427" s="7"/>
      <c r="EU427" s="7"/>
      <c r="EV427" s="7"/>
      <c r="EW427" s="7"/>
      <c r="EX427" s="7"/>
      <c r="EY427" s="7"/>
      <c r="EZ427" s="7"/>
      <c r="FA427" s="7"/>
      <c r="FB427" s="7"/>
      <c r="FC427" s="7"/>
      <c r="FD427" s="7"/>
      <c r="FE427" s="7"/>
      <c r="FF427" s="7"/>
      <c r="FG427" s="7"/>
      <c r="FH427" s="7"/>
      <c r="FI427" s="7"/>
      <c r="FJ427" s="7"/>
      <c r="FK427" s="7"/>
      <c r="FL427" s="7"/>
      <c r="FM427" s="7"/>
      <c r="FN427" s="7"/>
      <c r="FO427" s="7"/>
      <c r="FP427" s="7"/>
      <c r="FQ427" s="7"/>
      <c r="FR427" s="7"/>
      <c r="FS427" s="7"/>
      <c r="FT427" s="7"/>
      <c r="FU427" s="7"/>
      <c r="FV427" s="7"/>
      <c r="FW427" s="7"/>
      <c r="FX427" s="7"/>
      <c r="FY427" s="7"/>
      <c r="FZ427" s="7"/>
      <c r="GA427" s="7"/>
      <c r="GB427" s="7"/>
      <c r="GC427" s="7"/>
      <c r="GD427" s="7"/>
      <c r="GE427" s="7"/>
      <c r="GF427" s="7"/>
      <c r="GG427" s="7"/>
      <c r="GH427" s="7"/>
      <c r="GI427" s="7"/>
      <c r="GJ427" s="7"/>
      <c r="GK427" s="7"/>
      <c r="GL427" s="7"/>
      <c r="GM427" s="7"/>
      <c r="GN427" s="7"/>
      <c r="GO427" s="7"/>
      <c r="GP427" s="7"/>
      <c r="GQ427" s="7"/>
      <c r="GR427" s="7"/>
      <c r="GS427" s="7"/>
      <c r="GT427" s="7"/>
      <c r="GU427" s="7"/>
      <c r="GV427" s="7"/>
      <c r="GW427" s="7"/>
      <c r="GX427" s="7"/>
      <c r="GY427" s="7"/>
      <c r="GZ427" s="7"/>
      <c r="HA427" s="7"/>
      <c r="HB427" s="7"/>
      <c r="HC427" s="7"/>
      <c r="HD427" s="7"/>
      <c r="HE427" s="7"/>
      <c r="HF427" s="7"/>
      <c r="HG427" s="7"/>
      <c r="HH427" s="7"/>
      <c r="HI427" s="7"/>
      <c r="HJ427" s="7"/>
      <c r="HK427" s="7"/>
      <c r="HL427" s="7"/>
      <c r="HM427" s="7"/>
      <c r="HN427" s="7"/>
      <c r="HO427" s="7"/>
      <c r="HP427" s="7"/>
      <c r="HQ427" s="7"/>
      <c r="HR427" s="7"/>
      <c r="HS427" s="7"/>
      <c r="HT427" s="7"/>
      <c r="HU427" s="7"/>
      <c r="HV427" s="7"/>
      <c r="HW427" s="7"/>
      <c r="HX427" s="7"/>
      <c r="HY427" s="7"/>
      <c r="HZ427" s="7"/>
      <c r="IA427" s="7"/>
      <c r="IB427" s="7"/>
      <c r="IC427" s="7"/>
      <c r="ID427" s="7"/>
      <c r="IE427" s="7"/>
      <c r="IF427" s="7"/>
      <c r="IG427" s="7"/>
      <c r="IH427" s="7"/>
      <c r="II427" s="7"/>
      <c r="IJ427" s="7"/>
      <c r="IK427" s="7"/>
      <c r="IL427" s="7"/>
      <c r="IM427" s="7"/>
      <c r="IN427" s="7"/>
      <c r="IO427" s="7"/>
      <c r="IP427" s="7"/>
      <c r="IQ427" s="7"/>
      <c r="IR427" s="7"/>
      <c r="IS427" s="7"/>
      <c r="IT427" s="7"/>
      <c r="IU427" s="7"/>
      <c r="IV427" s="7"/>
      <c r="IW427" s="7"/>
      <c r="IX427" s="7"/>
      <c r="IY427" s="7"/>
      <c r="IZ427" s="7"/>
      <c r="JA427" s="7"/>
      <c r="JB427" s="7"/>
      <c r="JC427" s="7"/>
      <c r="JD427" s="7"/>
      <c r="JE427" s="7"/>
      <c r="JF427" s="7"/>
      <c r="JG427" s="7"/>
      <c r="JH427" s="7"/>
      <c r="JI427" s="7"/>
      <c r="JJ427" s="7"/>
      <c r="JK427" s="7"/>
      <c r="JL427" s="7"/>
      <c r="JM427" s="7"/>
      <c r="JN427" s="7"/>
      <c r="JO427" s="7"/>
      <c r="JP427" s="7"/>
      <c r="JQ427" s="7"/>
      <c r="JR427" s="7"/>
      <c r="JS427" s="7"/>
      <c r="JT427" s="7"/>
      <c r="JU427" s="7"/>
      <c r="JV427" s="7"/>
      <c r="JW427" s="7"/>
      <c r="JX427" s="7"/>
      <c r="JY427" s="7"/>
      <c r="JZ427" s="7"/>
      <c r="KA427" s="7"/>
      <c r="KB427" s="7"/>
      <c r="KC427" s="7"/>
      <c r="KD427" s="7"/>
      <c r="KE427" s="7"/>
      <c r="KF427" s="7"/>
      <c r="KG427" s="7"/>
      <c r="KH427" s="7"/>
      <c r="KI427" s="7"/>
      <c r="KJ427" s="7"/>
      <c r="KK427" s="7"/>
      <c r="KL427" s="7"/>
      <c r="KM427" s="7"/>
      <c r="KN427" s="7"/>
      <c r="KO427" s="7"/>
      <c r="KP427" s="7"/>
      <c r="KQ427" s="7"/>
      <c r="KR427" s="7"/>
      <c r="KS427" s="7"/>
      <c r="KT427" s="7"/>
      <c r="KU427" s="7"/>
      <c r="KV427" s="7"/>
      <c r="KW427" s="7"/>
      <c r="KX427" s="7"/>
      <c r="KY427" s="7"/>
      <c r="KZ427" s="7"/>
      <c r="LA427" s="7"/>
      <c r="LB427" s="7"/>
      <c r="LC427" s="7"/>
      <c r="LD427" s="7"/>
      <c r="LE427" s="7"/>
      <c r="LF427" s="7"/>
      <c r="LG427" s="7"/>
      <c r="LH427" s="7"/>
      <c r="LI427" s="7"/>
      <c r="LJ427" s="7"/>
      <c r="LK427" s="7"/>
      <c r="LL427" s="7"/>
      <c r="LM427" s="7"/>
      <c r="LN427" s="7"/>
      <c r="LO427" s="7"/>
      <c r="LP427" s="7"/>
      <c r="LQ427" s="7"/>
      <c r="LR427" s="7"/>
      <c r="LS427" s="7"/>
      <c r="LT427" s="7"/>
      <c r="LU427" s="7"/>
      <c r="LV427" s="7"/>
      <c r="LW427" s="7"/>
      <c r="LX427" s="7"/>
      <c r="LY427" s="7"/>
      <c r="LZ427" s="7"/>
      <c r="MA427" s="7"/>
      <c r="MB427" s="7"/>
      <c r="MC427" s="7"/>
      <c r="MD427" s="7"/>
      <c r="ME427" s="7"/>
      <c r="MF427" s="7"/>
      <c r="MG427" s="7"/>
      <c r="MH427" s="7"/>
      <c r="MI427" s="7"/>
      <c r="MJ427" s="7"/>
      <c r="MK427" s="7"/>
      <c r="ML427" s="7"/>
      <c r="MM427" s="7"/>
      <c r="MN427" s="7"/>
      <c r="MO427" s="7"/>
      <c r="MP427" s="7"/>
      <c r="MQ427" s="7"/>
      <c r="MR427" s="7"/>
      <c r="MS427" s="7"/>
      <c r="MT427" s="7"/>
      <c r="MU427" s="7"/>
      <c r="MV427" s="7"/>
      <c r="MW427" s="7"/>
      <c r="MX427" s="7"/>
      <c r="MY427" s="7"/>
      <c r="MZ427" s="7"/>
      <c r="NA427" s="7"/>
      <c r="NB427" s="7"/>
      <c r="NC427" s="7"/>
      <c r="ND427" s="7"/>
      <c r="NE427" s="7"/>
      <c r="NF427" s="7"/>
      <c r="NG427" s="7"/>
      <c r="NH427" s="7"/>
      <c r="NI427" s="7"/>
      <c r="NJ427" s="7"/>
      <c r="NK427" s="7"/>
      <c r="NL427" s="7"/>
      <c r="NM427" s="7"/>
      <c r="NN427" s="7"/>
      <c r="NO427" s="7"/>
      <c r="NP427" s="7"/>
      <c r="NQ427" s="7"/>
      <c r="NR427" s="7"/>
      <c r="NS427" s="7"/>
      <c r="NT427" s="7"/>
      <c r="NU427" s="7"/>
      <c r="NV427" s="7"/>
      <c r="NW427" s="7"/>
      <c r="NX427" s="7"/>
      <c r="NY427" s="7"/>
      <c r="NZ427" s="7"/>
      <c r="OA427" s="7"/>
      <c r="OB427" s="7"/>
      <c r="OC427" s="7"/>
      <c r="OD427" s="7"/>
      <c r="OE427" s="7"/>
      <c r="OF427" s="7"/>
      <c r="OG427" s="7"/>
      <c r="OH427" s="7"/>
      <c r="OI427" s="7"/>
      <c r="OJ427" s="7"/>
      <c r="OK427" s="7"/>
      <c r="OL427" s="7"/>
      <c r="OM427" s="7"/>
      <c r="ON427" s="7"/>
      <c r="OO427" s="7"/>
      <c r="OP427" s="7"/>
      <c r="OQ427" s="7"/>
      <c r="OR427" s="7"/>
      <c r="OS427" s="7"/>
      <c r="OT427" s="7"/>
      <c r="OU427" s="7"/>
      <c r="OV427" s="7"/>
      <c r="OW427" s="7"/>
      <c r="OX427" s="7"/>
      <c r="OY427" s="7"/>
      <c r="OZ427" s="7"/>
      <c r="PA427" s="7"/>
      <c r="PB427" s="7"/>
      <c r="PC427" s="7"/>
      <c r="PD427" s="7"/>
      <c r="PE427" s="7"/>
      <c r="PF427" s="7"/>
      <c r="PG427" s="7"/>
      <c r="PH427" s="7"/>
      <c r="PI427" s="7"/>
      <c r="PJ427" s="7"/>
      <c r="PK427" s="7"/>
      <c r="PL427" s="7"/>
      <c r="PM427" s="7"/>
      <c r="PN427" s="7"/>
      <c r="PO427" s="7"/>
      <c r="PP427" s="7"/>
      <c r="PQ427" s="7"/>
      <c r="PR427" s="7"/>
      <c r="PS427" s="7"/>
      <c r="PT427" s="7"/>
      <c r="PU427" s="7"/>
      <c r="PV427" s="7"/>
      <c r="PW427" s="7"/>
      <c r="PX427" s="7"/>
      <c r="PY427" s="7"/>
      <c r="PZ427" s="7"/>
      <c r="QA427" s="7"/>
      <c r="QB427" s="7"/>
      <c r="QC427" s="7"/>
      <c r="QD427" s="7"/>
      <c r="QE427" s="7"/>
      <c r="QF427" s="7"/>
      <c r="QG427" s="7"/>
      <c r="QH427" s="7"/>
      <c r="QI427" s="7"/>
      <c r="QJ427" s="7"/>
      <c r="QK427" s="7"/>
      <c r="QL427" s="7"/>
      <c r="QM427" s="7"/>
      <c r="QN427" s="7"/>
      <c r="QO427" s="7"/>
      <c r="QP427" s="7"/>
      <c r="QQ427" s="7"/>
      <c r="QR427" s="7"/>
      <c r="QS427" s="7"/>
      <c r="QT427" s="7"/>
      <c r="QU427" s="7"/>
      <c r="QV427" s="7"/>
      <c r="QW427" s="7"/>
      <c r="QX427" s="7"/>
      <c r="QY427" s="7"/>
      <c r="QZ427" s="7"/>
      <c r="RA427" s="7"/>
      <c r="RB427" s="7"/>
      <c r="RC427" s="7"/>
      <c r="RD427" s="7"/>
      <c r="RE427" s="7"/>
      <c r="RF427" s="7"/>
      <c r="RG427" s="7"/>
      <c r="RH427" s="7"/>
      <c r="RI427" s="7"/>
      <c r="RJ427" s="7"/>
      <c r="RK427" s="7"/>
      <c r="RL427" s="7"/>
      <c r="RM427" s="7"/>
      <c r="RN427" s="7"/>
      <c r="RO427" s="7"/>
      <c r="RP427" s="7"/>
      <c r="RQ427" s="7"/>
      <c r="RR427" s="7"/>
      <c r="RS427" s="7"/>
      <c r="RT427" s="7"/>
      <c r="RU427" s="7"/>
      <c r="RV427" s="7"/>
      <c r="RW427" s="7"/>
      <c r="RX427" s="7"/>
      <c r="RY427" s="7"/>
      <c r="RZ427" s="7"/>
      <c r="SA427" s="7"/>
      <c r="SB427" s="7"/>
      <c r="SC427" s="7"/>
      <c r="SD427" s="7"/>
      <c r="SE427" s="7"/>
      <c r="SF427" s="7"/>
      <c r="SG427" s="7"/>
      <c r="SH427" s="7"/>
      <c r="SI427" s="7"/>
      <c r="SJ427" s="7"/>
      <c r="SK427" s="7"/>
      <c r="SL427" s="7"/>
      <c r="SM427" s="7"/>
      <c r="SN427" s="7"/>
      <c r="SO427" s="7"/>
      <c r="SP427" s="7"/>
      <c r="SQ427" s="7"/>
      <c r="SR427" s="7"/>
      <c r="SS427" s="7"/>
      <c r="ST427" s="7"/>
      <c r="SU427" s="7"/>
      <c r="SV427" s="7"/>
      <c r="SW427" s="7"/>
      <c r="SX427" s="7"/>
      <c r="SY427" s="7"/>
      <c r="SZ427" s="7"/>
      <c r="TA427" s="7"/>
      <c r="TB427" s="7"/>
      <c r="TC427" s="7"/>
      <c r="TD427" s="7"/>
      <c r="TE427" s="7"/>
      <c r="TF427" s="7"/>
      <c r="TG427" s="7"/>
      <c r="TH427" s="7"/>
      <c r="TI427" s="7"/>
      <c r="TJ427" s="7"/>
      <c r="TK427" s="7"/>
      <c r="TL427" s="7"/>
      <c r="TM427" s="7"/>
      <c r="TN427" s="7"/>
      <c r="TO427" s="7"/>
      <c r="TP427" s="7"/>
      <c r="TQ427" s="7"/>
      <c r="TR427" s="7"/>
      <c r="TS427" s="7"/>
      <c r="TT427" s="7"/>
      <c r="TU427" s="7"/>
      <c r="TV427" s="7"/>
      <c r="TW427" s="7"/>
      <c r="TX427" s="7"/>
      <c r="TY427" s="7"/>
      <c r="TZ427" s="7"/>
      <c r="UA427" s="7"/>
      <c r="UB427" s="7"/>
      <c r="UC427" s="7"/>
      <c r="UD427" s="7"/>
      <c r="UE427" s="7"/>
      <c r="UF427" s="7"/>
      <c r="UG427" s="7"/>
      <c r="UH427" s="7"/>
      <c r="UI427" s="7"/>
      <c r="UJ427" s="7"/>
      <c r="UK427" s="7"/>
      <c r="UL427" s="7"/>
      <c r="UM427" s="7"/>
      <c r="UN427" s="7"/>
      <c r="UO427" s="7"/>
      <c r="UP427" s="7"/>
      <c r="UQ427" s="7"/>
      <c r="UR427" s="7"/>
      <c r="US427" s="7"/>
      <c r="UT427" s="7"/>
      <c r="UU427" s="7"/>
      <c r="UV427" s="7"/>
      <c r="UW427" s="7"/>
      <c r="UX427" s="7"/>
      <c r="UY427" s="7"/>
      <c r="UZ427" s="7"/>
      <c r="VA427" s="7"/>
      <c r="VB427" s="7"/>
      <c r="VC427" s="7"/>
      <c r="VD427" s="7"/>
      <c r="VE427" s="7"/>
      <c r="VF427" s="7"/>
      <c r="VG427" s="7"/>
      <c r="VH427" s="7"/>
      <c r="VI427" s="7"/>
      <c r="VJ427" s="7"/>
      <c r="VK427" s="7"/>
      <c r="VL427" s="7"/>
      <c r="VM427" s="7"/>
      <c r="VN427" s="7"/>
      <c r="VO427" s="7"/>
      <c r="VP427" s="7"/>
      <c r="VQ427" s="7"/>
      <c r="VR427" s="7"/>
      <c r="VS427" s="7"/>
      <c r="VT427" s="7"/>
      <c r="VU427" s="7"/>
      <c r="VV427" s="7"/>
      <c r="VW427" s="7"/>
      <c r="VX427" s="7"/>
      <c r="VY427" s="7"/>
      <c r="VZ427" s="7"/>
      <c r="WA427" s="7"/>
      <c r="WB427" s="7"/>
      <c r="WC427" s="7"/>
      <c r="WD427" s="7"/>
      <c r="WE427" s="7"/>
      <c r="WF427" s="7"/>
      <c r="WG427" s="7"/>
      <c r="WH427" s="7"/>
      <c r="WI427" s="7"/>
      <c r="WJ427" s="7"/>
      <c r="WK427" s="7"/>
      <c r="WL427" s="7"/>
      <c r="WM427" s="7"/>
      <c r="WN427" s="7"/>
      <c r="WO427" s="7"/>
      <c r="WP427" s="7"/>
      <c r="WQ427" s="7"/>
      <c r="WR427" s="7"/>
      <c r="WS427" s="7"/>
      <c r="WT427" s="7"/>
      <c r="WU427" s="7"/>
      <c r="WV427" s="7"/>
      <c r="WW427" s="7"/>
      <c r="WX427" s="7"/>
      <c r="WY427" s="7"/>
      <c r="WZ427" s="7"/>
      <c r="XA427" s="7"/>
      <c r="XB427" s="7"/>
      <c r="XC427" s="7"/>
      <c r="XD427" s="7"/>
      <c r="XE427" s="7"/>
      <c r="XF427" s="7"/>
      <c r="XG427" s="7"/>
      <c r="XH427" s="7"/>
      <c r="XI427" s="7"/>
      <c r="XJ427" s="7"/>
      <c r="XK427" s="7"/>
      <c r="XL427" s="7"/>
      <c r="XM427" s="7"/>
      <c r="XN427" s="7"/>
      <c r="XO427" s="7"/>
      <c r="XP427" s="7"/>
      <c r="XQ427" s="7"/>
      <c r="XR427" s="7"/>
      <c r="XS427" s="7"/>
      <c r="XT427" s="7"/>
      <c r="XU427" s="7"/>
      <c r="XV427" s="7"/>
      <c r="XW427" s="7"/>
      <c r="XX427" s="7"/>
      <c r="XY427" s="7"/>
      <c r="XZ427" s="7"/>
      <c r="YA427" s="7"/>
      <c r="YB427" s="7"/>
      <c r="YC427" s="7"/>
      <c r="YD427" s="7"/>
      <c r="YE427" s="7"/>
      <c r="YF427" s="7"/>
      <c r="YG427" s="7"/>
      <c r="YH427" s="7"/>
      <c r="YI427" s="7"/>
      <c r="YJ427" s="7"/>
      <c r="YK427" s="7"/>
      <c r="YL427" s="7"/>
      <c r="YM427" s="7"/>
      <c r="YN427" s="7"/>
      <c r="YO427" s="7"/>
      <c r="YP427" s="7"/>
      <c r="YQ427" s="7"/>
      <c r="YR427" s="7"/>
      <c r="YS427" s="7"/>
      <c r="YT427" s="7"/>
      <c r="YU427" s="7"/>
      <c r="YV427" s="7"/>
      <c r="YW427" s="7"/>
      <c r="YX427" s="7"/>
      <c r="YY427" s="7"/>
      <c r="YZ427" s="7"/>
      <c r="ZA427" s="7"/>
      <c r="ZB427" s="7"/>
      <c r="ZC427" s="7"/>
      <c r="ZD427" s="7"/>
      <c r="ZE427" s="7"/>
      <c r="ZF427" s="7"/>
      <c r="ZG427" s="7"/>
      <c r="ZH427" s="7"/>
      <c r="ZI427" s="7"/>
      <c r="ZJ427" s="7"/>
      <c r="ZK427" s="7"/>
      <c r="ZL427" s="7"/>
      <c r="ZM427" s="7"/>
      <c r="ZN427" s="7"/>
      <c r="ZO427" s="7"/>
      <c r="ZP427" s="7"/>
      <c r="ZQ427" s="7"/>
      <c r="ZR427" s="7"/>
      <c r="ZS427" s="7"/>
      <c r="ZT427" s="7"/>
      <c r="ZU427" s="7"/>
      <c r="ZV427" s="7"/>
      <c r="ZW427" s="7"/>
      <c r="ZX427" s="7"/>
      <c r="ZY427" s="7"/>
      <c r="ZZ427" s="7"/>
      <c r="AAA427" s="7"/>
      <c r="AAB427" s="7"/>
      <c r="AAC427" s="7"/>
      <c r="AAD427" s="7"/>
      <c r="AAE427" s="7"/>
      <c r="AAF427" s="7"/>
      <c r="AAG427" s="7"/>
      <c r="AAH427" s="7"/>
      <c r="AAI427" s="7"/>
      <c r="AAJ427" s="7"/>
      <c r="AAK427" s="7"/>
      <c r="AAL427" s="7"/>
      <c r="AAM427" s="7"/>
      <c r="AAN427" s="7"/>
      <c r="AAO427" s="7"/>
      <c r="AAP427" s="7"/>
      <c r="AAQ427" s="7"/>
      <c r="AAR427" s="7"/>
      <c r="AAS427" s="7"/>
      <c r="AAT427" s="7"/>
      <c r="AAU427" s="7"/>
      <c r="AAV427" s="7"/>
      <c r="AAW427" s="7"/>
      <c r="AAX427" s="7"/>
      <c r="AAY427" s="7"/>
      <c r="AAZ427" s="7"/>
      <c r="ABA427" s="7"/>
      <c r="ABB427" s="7"/>
      <c r="ABC427" s="7"/>
      <c r="ABD427" s="7"/>
      <c r="ABE427" s="7"/>
      <c r="ABF427" s="7"/>
      <c r="ABG427" s="7"/>
      <c r="ABH427" s="7"/>
      <c r="ABI427" s="7"/>
      <c r="ABJ427" s="7"/>
      <c r="ABK427" s="7"/>
      <c r="ABL427" s="7"/>
      <c r="ABM427" s="7"/>
      <c r="ABN427" s="7"/>
      <c r="ABO427" s="7"/>
      <c r="ABP427" s="7"/>
      <c r="ABQ427" s="7"/>
      <c r="ABR427" s="7"/>
      <c r="ABS427" s="7"/>
      <c r="ABT427" s="7"/>
      <c r="ABU427" s="7"/>
      <c r="ABV427" s="7"/>
      <c r="ABW427" s="7"/>
      <c r="ABX427" s="7"/>
      <c r="ABY427" s="7"/>
      <c r="ABZ427" s="7"/>
      <c r="ACA427" s="7"/>
      <c r="ACB427" s="7"/>
      <c r="ACC427" s="7"/>
      <c r="ACD427" s="7"/>
      <c r="ACE427" s="7"/>
      <c r="ACF427" s="7"/>
      <c r="ACG427" s="7"/>
      <c r="ACH427" s="7"/>
      <c r="ACI427" s="7"/>
      <c r="ACJ427" s="7"/>
      <c r="ACK427" s="7"/>
      <c r="ACL427" s="7"/>
      <c r="ACM427" s="7"/>
      <c r="ACN427" s="7"/>
      <c r="ACO427" s="7"/>
      <c r="ACP427" s="7"/>
      <c r="ACQ427" s="7"/>
      <c r="ACR427" s="7"/>
      <c r="ACS427" s="7"/>
      <c r="ACT427" s="7"/>
      <c r="ACU427" s="7"/>
      <c r="ACV427" s="7"/>
      <c r="ACW427" s="7"/>
      <c r="ACX427" s="7"/>
      <c r="ACY427" s="7"/>
      <c r="ACZ427" s="7"/>
      <c r="ADA427" s="7"/>
      <c r="ADB427" s="7"/>
      <c r="ADC427" s="7"/>
      <c r="ADD427" s="7"/>
      <c r="ADE427" s="7"/>
      <c r="ADF427" s="7"/>
      <c r="ADG427" s="7"/>
      <c r="ADH427" s="7"/>
      <c r="ADI427" s="7"/>
      <c r="ADJ427" s="7"/>
      <c r="ADK427" s="7"/>
      <c r="ADL427" s="7"/>
      <c r="ADM427" s="7"/>
      <c r="ADN427" s="7"/>
      <c r="ADO427" s="7"/>
      <c r="ADP427" s="7"/>
      <c r="ADQ427" s="7"/>
      <c r="ADR427" s="7"/>
      <c r="ADS427" s="7"/>
      <c r="ADT427" s="7"/>
      <c r="ADU427" s="7"/>
      <c r="ADV427" s="7"/>
      <c r="ADW427" s="7"/>
      <c r="ADX427" s="7"/>
      <c r="ADY427" s="7"/>
      <c r="ADZ427" s="7"/>
      <c r="AEA427" s="7"/>
      <c r="AEB427" s="7"/>
      <c r="AEC427" s="7"/>
      <c r="AED427" s="7"/>
      <c r="AEE427" s="7"/>
      <c r="AEF427" s="7"/>
      <c r="AEG427" s="7"/>
      <c r="AEH427" s="7"/>
      <c r="AEI427" s="7"/>
      <c r="AEJ427" s="7"/>
      <c r="AEK427" s="7"/>
      <c r="AEL427" s="7"/>
      <c r="AEM427" s="7"/>
      <c r="AEN427" s="7"/>
      <c r="AEO427" s="7"/>
      <c r="AEP427" s="7"/>
      <c r="AEQ427" s="7"/>
      <c r="AER427" s="7"/>
      <c r="AES427" s="7"/>
      <c r="AET427" s="7"/>
      <c r="AEU427" s="7"/>
      <c r="AEV427" s="7"/>
      <c r="AEW427" s="7"/>
      <c r="AEX427" s="7"/>
      <c r="AEY427" s="7"/>
      <c r="AEZ427" s="7"/>
      <c r="AFA427" s="7"/>
      <c r="AFB427" s="7"/>
      <c r="AFC427" s="7"/>
      <c r="AFD427" s="7"/>
      <c r="AFE427" s="7"/>
      <c r="AFF427" s="7"/>
      <c r="AFG427" s="7"/>
      <c r="AFH427" s="7"/>
      <c r="AFI427" s="7"/>
      <c r="AFJ427" s="7"/>
      <c r="AFK427" s="7"/>
      <c r="AFL427" s="7"/>
      <c r="AFM427" s="7"/>
      <c r="AFN427" s="7"/>
      <c r="AFO427" s="7"/>
      <c r="AFP427" s="7"/>
      <c r="AFQ427" s="7"/>
      <c r="AFR427" s="7"/>
      <c r="AFS427" s="7"/>
      <c r="AFT427" s="7"/>
      <c r="AFU427" s="7"/>
      <c r="AFV427" s="7"/>
      <c r="AFW427" s="7"/>
      <c r="AFX427" s="7"/>
      <c r="AFY427" s="7"/>
      <c r="AFZ427" s="7"/>
      <c r="AGA427" s="7"/>
      <c r="AGB427" s="7"/>
      <c r="AGC427" s="7"/>
      <c r="AGD427" s="7"/>
      <c r="AGE427" s="7"/>
      <c r="AGF427" s="7"/>
      <c r="AGG427" s="7"/>
      <c r="AGH427" s="7"/>
      <c r="AGI427" s="7"/>
      <c r="AGJ427" s="7"/>
      <c r="AGK427" s="7"/>
      <c r="AGL427" s="7"/>
      <c r="AGM427" s="7"/>
      <c r="AGN427" s="7"/>
      <c r="AGO427" s="7"/>
      <c r="AGP427" s="7"/>
      <c r="AGQ427" s="7"/>
      <c r="AGR427" s="7"/>
      <c r="AGS427" s="7"/>
      <c r="AGT427" s="7"/>
      <c r="AGU427" s="7"/>
      <c r="AGV427" s="7"/>
      <c r="AGW427" s="7"/>
      <c r="AGX427" s="7"/>
      <c r="AGY427" s="7"/>
      <c r="AGZ427" s="7"/>
      <c r="AHA427" s="7"/>
      <c r="AHB427" s="7"/>
      <c r="AHC427" s="7"/>
      <c r="AHD427" s="7"/>
      <c r="AHE427" s="7"/>
      <c r="AHF427" s="7"/>
      <c r="AHG427" s="7"/>
      <c r="AHH427" s="7"/>
      <c r="AHI427" s="7"/>
      <c r="AHJ427" s="7"/>
      <c r="AHK427" s="7"/>
      <c r="AHL427" s="7"/>
      <c r="AHM427" s="7"/>
      <c r="AHN427" s="7"/>
      <c r="AHO427" s="7"/>
      <c r="AHP427" s="7"/>
      <c r="AHQ427" s="7"/>
      <c r="AHR427" s="7"/>
      <c r="AHS427" s="7"/>
      <c r="AHT427" s="7"/>
      <c r="AHU427" s="7"/>
      <c r="AHV427" s="7"/>
      <c r="AHW427" s="7"/>
      <c r="AHX427" s="7"/>
      <c r="AHY427" s="7"/>
      <c r="AHZ427" s="7"/>
      <c r="AIA427" s="7"/>
      <c r="AIB427" s="7"/>
      <c r="AIC427" s="7"/>
      <c r="AID427" s="7"/>
      <c r="AIE427" s="7"/>
      <c r="AIF427" s="7"/>
      <c r="AIG427" s="7"/>
      <c r="AIH427" s="7"/>
      <c r="AII427" s="7"/>
      <c r="AIJ427" s="7"/>
      <c r="AIK427" s="7"/>
      <c r="AIL427" s="7"/>
      <c r="AIM427" s="7"/>
      <c r="AIN427" s="7"/>
      <c r="AIO427" s="7"/>
      <c r="AIP427" s="7"/>
      <c r="AIQ427" s="7"/>
      <c r="AIR427" s="7"/>
      <c r="AIS427" s="7"/>
      <c r="AIT427" s="7"/>
      <c r="AIU427" s="7"/>
      <c r="AIV427" s="7"/>
      <c r="AIW427" s="7"/>
      <c r="AIX427" s="7"/>
      <c r="AIY427" s="7"/>
      <c r="AIZ427" s="7"/>
      <c r="AJA427" s="7"/>
      <c r="AJB427" s="7"/>
      <c r="AJC427" s="7"/>
      <c r="AJD427" s="7"/>
      <c r="AJE427" s="7"/>
      <c r="AJF427" s="7"/>
      <c r="AJG427" s="7"/>
      <c r="AJH427" s="7"/>
      <c r="AJI427" s="7"/>
      <c r="AJJ427" s="7"/>
      <c r="AJK427" s="7"/>
      <c r="AJL427" s="7"/>
      <c r="AJM427" s="7"/>
      <c r="AJN427" s="7"/>
      <c r="AJO427" s="7"/>
      <c r="AJP427" s="7"/>
      <c r="AJQ427" s="7"/>
      <c r="AJR427" s="7"/>
      <c r="AJS427" s="7"/>
      <c r="AJT427" s="7"/>
      <c r="AJU427" s="7"/>
      <c r="AJV427" s="7"/>
      <c r="AJW427" s="7"/>
      <c r="AJX427" s="7"/>
      <c r="AJY427" s="7"/>
      <c r="AJZ427" s="7"/>
      <c r="AKA427" s="7"/>
      <c r="AKB427" s="7"/>
      <c r="AKC427" s="7"/>
      <c r="AKD427" s="7"/>
      <c r="AKE427" s="7"/>
      <c r="AKF427" s="7"/>
      <c r="AKG427" s="7"/>
      <c r="AKH427" s="7"/>
      <c r="AKI427" s="7"/>
      <c r="AKJ427" s="7"/>
      <c r="AKK427" s="7"/>
      <c r="AKL427" s="7"/>
      <c r="AKM427" s="7"/>
      <c r="AKN427" s="7"/>
      <c r="AKO427" s="7"/>
      <c r="AKP427" s="7"/>
      <c r="AKQ427" s="7"/>
      <c r="AKR427" s="7"/>
      <c r="AKS427" s="7"/>
      <c r="AKT427" s="7"/>
      <c r="AKU427" s="7"/>
      <c r="AKV427" s="7"/>
      <c r="AKW427" s="7"/>
      <c r="AKX427" s="7"/>
      <c r="AKY427" s="7"/>
      <c r="AKZ427" s="7"/>
      <c r="ALA427" s="7"/>
      <c r="ALB427" s="7"/>
      <c r="ALC427" s="7"/>
      <c r="ALD427" s="7"/>
      <c r="ALE427" s="7"/>
      <c r="ALF427" s="7"/>
      <c r="ALG427" s="7"/>
      <c r="ALH427" s="7"/>
      <c r="ALI427" s="7"/>
      <c r="ALJ427" s="7"/>
      <c r="ALK427" s="7"/>
      <c r="ALL427" s="7"/>
      <c r="ALM427" s="7"/>
      <c r="ALN427" s="7"/>
      <c r="ALO427" s="7"/>
      <c r="ALP427" s="7"/>
      <c r="ALQ427" s="7"/>
      <c r="ALR427" s="7"/>
      <c r="ALS427" s="7"/>
      <c r="ALT427" s="7"/>
      <c r="ALU427" s="7"/>
      <c r="ALV427" s="7"/>
      <c r="ALW427" s="7"/>
      <c r="ALX427" s="7"/>
      <c r="ALY427" s="7"/>
      <c r="ALZ427" s="7"/>
      <c r="AMA427" s="7"/>
      <c r="AMB427" s="7"/>
      <c r="AMC427" s="7"/>
      <c r="AMD427" s="7"/>
      <c r="AME427" s="7"/>
      <c r="AMF427" s="7"/>
      <c r="AMG427" s="7"/>
      <c r="AMH427" s="7"/>
      <c r="AMI427" s="7"/>
      <c r="AMJ427" s="7"/>
      <c r="AMK427" s="7"/>
      <c r="AML427" s="7"/>
      <c r="AMM427" s="7"/>
      <c r="AMN427" s="7"/>
      <c r="AMO427" s="7"/>
      <c r="AMP427" s="7"/>
      <c r="AMQ427" s="7"/>
      <c r="AMR427" s="7"/>
      <c r="AMS427" s="7"/>
      <c r="AMT427" s="7"/>
      <c r="AMU427" s="7"/>
      <c r="AMV427" s="7"/>
      <c r="AMW427" s="7"/>
      <c r="AMX427" s="7"/>
      <c r="AMY427" s="7"/>
      <c r="AMZ427" s="7"/>
      <c r="ANA427" s="7"/>
      <c r="ANB427" s="7"/>
      <c r="ANC427" s="7"/>
      <c r="AND427" s="7"/>
      <c r="ANE427" s="7"/>
      <c r="ANF427" s="7"/>
      <c r="ANG427" s="7"/>
      <c r="ANH427" s="7"/>
      <c r="ANI427" s="7"/>
      <c r="ANJ427" s="7"/>
      <c r="ANK427" s="7"/>
      <c r="ANL427" s="7"/>
      <c r="ANM427" s="7"/>
      <c r="ANN427" s="7"/>
      <c r="ANO427" s="7"/>
      <c r="ANP427" s="7"/>
      <c r="ANQ427" s="7"/>
      <c r="ANR427" s="7"/>
      <c r="ANS427" s="7"/>
      <c r="ANT427" s="7"/>
      <c r="ANU427" s="7"/>
      <c r="ANV427" s="7"/>
      <c r="ANW427" s="7"/>
      <c r="ANX427" s="7"/>
      <c r="ANY427" s="7"/>
      <c r="ANZ427" s="7"/>
      <c r="AOA427" s="7"/>
      <c r="AOB427" s="7"/>
      <c r="AOC427" s="7"/>
      <c r="AOD427" s="7"/>
      <c r="AOE427" s="7"/>
      <c r="AOF427" s="7"/>
      <c r="AOG427" s="7"/>
      <c r="AOH427" s="7"/>
      <c r="AOI427" s="7"/>
      <c r="AOJ427" s="7"/>
      <c r="AOK427" s="7"/>
      <c r="AOL427" s="7"/>
      <c r="AOM427" s="7"/>
      <c r="AON427" s="7"/>
      <c r="AOO427" s="7"/>
      <c r="AOP427" s="7"/>
      <c r="AOQ427" s="7"/>
      <c r="AOR427" s="7"/>
      <c r="AOS427" s="7"/>
      <c r="AOT427" s="7"/>
      <c r="AOU427" s="7"/>
      <c r="AOV427" s="7"/>
      <c r="AOW427" s="7"/>
      <c r="AOX427" s="7"/>
      <c r="AOY427" s="7"/>
      <c r="AOZ427" s="7"/>
      <c r="APA427" s="7"/>
      <c r="APB427" s="7"/>
      <c r="APC427" s="7"/>
      <c r="APD427" s="7"/>
      <c r="APE427" s="7"/>
      <c r="APF427" s="7"/>
      <c r="APG427" s="7"/>
      <c r="APH427" s="7"/>
      <c r="API427" s="7"/>
      <c r="APJ427" s="7"/>
      <c r="APK427" s="7"/>
      <c r="APL427" s="7"/>
      <c r="APM427" s="7"/>
      <c r="APN427" s="7"/>
      <c r="APO427" s="7"/>
      <c r="APP427" s="7"/>
      <c r="APQ427" s="7"/>
      <c r="APR427" s="7"/>
      <c r="APS427" s="7"/>
      <c r="APT427" s="7"/>
      <c r="APU427" s="7"/>
      <c r="APV427" s="7"/>
      <c r="APW427" s="7"/>
      <c r="APX427" s="7"/>
      <c r="APY427" s="7"/>
      <c r="APZ427" s="7"/>
      <c r="AQA427" s="7"/>
      <c r="AQB427" s="7"/>
      <c r="AQC427" s="7"/>
      <c r="AQD427" s="7"/>
      <c r="AQE427" s="7"/>
      <c r="AQF427" s="7"/>
      <c r="AQG427" s="7"/>
      <c r="AQH427" s="7"/>
      <c r="AQI427" s="7"/>
      <c r="AQJ427" s="7"/>
      <c r="AQK427" s="7"/>
      <c r="AQL427" s="7"/>
      <c r="AQM427" s="7"/>
      <c r="AQN427" s="7"/>
      <c r="AQO427" s="7"/>
      <c r="AQP427" s="7"/>
      <c r="AQQ427" s="7"/>
      <c r="AQR427" s="7"/>
      <c r="AQS427" s="7"/>
      <c r="AQT427" s="7"/>
      <c r="AQU427" s="7"/>
      <c r="AQV427" s="7"/>
      <c r="AQW427" s="7"/>
      <c r="AQX427" s="7"/>
      <c r="AQY427" s="7"/>
      <c r="AQZ427" s="7"/>
      <c r="ARA427" s="7"/>
      <c r="ARB427" s="7"/>
      <c r="ARC427" s="7"/>
      <c r="ARD427" s="7"/>
      <c r="ARE427" s="7"/>
      <c r="ARF427" s="7"/>
      <c r="ARG427" s="7"/>
      <c r="ARH427" s="7"/>
      <c r="ARI427" s="7"/>
      <c r="ARJ427" s="7"/>
      <c r="ARK427" s="7"/>
      <c r="ARL427" s="7"/>
      <c r="ARM427" s="7"/>
      <c r="ARN427" s="7"/>
      <c r="ARO427" s="7"/>
      <c r="ARP427" s="7"/>
      <c r="ARQ427" s="7"/>
      <c r="ARR427" s="7"/>
      <c r="ARS427" s="7"/>
      <c r="ART427" s="7"/>
      <c r="ARU427" s="7"/>
      <c r="ARV427" s="7"/>
      <c r="ARW427" s="7"/>
      <c r="ARX427" s="7"/>
      <c r="ARY427" s="7"/>
      <c r="ARZ427" s="7"/>
      <c r="ASA427" s="7"/>
      <c r="ASB427" s="7"/>
      <c r="ASC427" s="7"/>
      <c r="ASD427" s="7"/>
      <c r="ASE427" s="7"/>
      <c r="ASF427" s="7"/>
      <c r="ASG427" s="7"/>
      <c r="ASH427" s="7"/>
      <c r="ASI427" s="7"/>
      <c r="ASJ427" s="7"/>
      <c r="ASK427" s="7"/>
      <c r="ASL427" s="7"/>
      <c r="ASM427" s="7"/>
      <c r="ASN427" s="7"/>
      <c r="ASO427" s="7"/>
      <c r="ASP427" s="7"/>
      <c r="ASQ427" s="7"/>
      <c r="ASR427" s="7"/>
      <c r="ASS427" s="7"/>
      <c r="AST427" s="7"/>
      <c r="ASU427" s="7"/>
      <c r="ASV427" s="7"/>
      <c r="ASW427" s="7"/>
      <c r="ASX427" s="7"/>
      <c r="ASY427" s="7"/>
      <c r="ASZ427" s="7"/>
      <c r="ATA427" s="7"/>
      <c r="ATB427" s="7"/>
      <c r="ATC427" s="7"/>
      <c r="ATD427" s="7"/>
      <c r="ATE427" s="7"/>
      <c r="ATF427" s="7"/>
      <c r="ATG427" s="7"/>
      <c r="ATH427" s="7"/>
      <c r="ATI427" s="7"/>
      <c r="ATJ427" s="7"/>
      <c r="ATK427" s="7"/>
      <c r="ATL427" s="7"/>
      <c r="ATM427" s="7"/>
      <c r="ATN427" s="7"/>
      <c r="ATO427" s="7"/>
      <c r="ATP427" s="7"/>
      <c r="ATQ427" s="7"/>
      <c r="ATR427" s="7"/>
      <c r="ATS427" s="7"/>
      <c r="ATT427" s="7"/>
      <c r="ATU427" s="7"/>
      <c r="ATV427" s="7"/>
      <c r="ATW427" s="7"/>
      <c r="ATX427" s="7"/>
      <c r="ATY427" s="7"/>
      <c r="ATZ427" s="7"/>
      <c r="AUA427" s="7"/>
      <c r="AUB427" s="7"/>
      <c r="AUC427" s="7"/>
      <c r="AUD427" s="7"/>
      <c r="AUE427" s="7"/>
      <c r="AUF427" s="7"/>
      <c r="AUG427" s="7"/>
      <c r="AUH427" s="7"/>
      <c r="AUI427" s="7"/>
      <c r="AUJ427" s="7"/>
      <c r="AUK427" s="7"/>
      <c r="AUL427" s="7"/>
      <c r="AUM427" s="7"/>
      <c r="AUN427" s="7"/>
      <c r="AUO427" s="7"/>
      <c r="AUP427" s="7"/>
      <c r="AUQ427" s="7"/>
      <c r="AUR427" s="7"/>
      <c r="AUS427" s="7"/>
      <c r="AUT427" s="7"/>
      <c r="AUU427" s="7"/>
      <c r="AUV427" s="7"/>
      <c r="AUW427" s="7"/>
      <c r="AUX427" s="7"/>
      <c r="AUY427" s="7"/>
      <c r="AUZ427" s="7"/>
      <c r="AVA427" s="7"/>
      <c r="AVB427" s="7"/>
      <c r="AVC427" s="7"/>
      <c r="AVD427" s="7"/>
      <c r="AVE427" s="7"/>
      <c r="AVF427" s="7"/>
      <c r="AVG427" s="7"/>
      <c r="AVH427" s="7"/>
      <c r="AVI427" s="7"/>
      <c r="AVJ427" s="7"/>
      <c r="AVK427" s="7"/>
      <c r="AVL427" s="7"/>
      <c r="AVM427" s="7"/>
      <c r="AVN427" s="7"/>
      <c r="AVO427" s="7"/>
      <c r="AVP427" s="7"/>
      <c r="AVQ427" s="7"/>
      <c r="AVR427" s="7"/>
      <c r="AVS427" s="7"/>
      <c r="AVT427" s="7"/>
      <c r="AVU427" s="7"/>
      <c r="AVV427" s="7"/>
      <c r="AVW427" s="7"/>
      <c r="AVX427" s="7"/>
      <c r="AVY427" s="7"/>
      <c r="AVZ427" s="7"/>
      <c r="AWA427" s="7"/>
      <c r="AWB427" s="7"/>
      <c r="AWC427" s="7"/>
      <c r="AWD427" s="7"/>
      <c r="AWE427" s="7"/>
      <c r="AWF427" s="7"/>
      <c r="AWG427" s="7"/>
      <c r="AWH427" s="7"/>
      <c r="AWI427" s="7"/>
      <c r="AWJ427" s="7"/>
      <c r="AWK427" s="7"/>
      <c r="AWL427" s="7"/>
      <c r="AWM427" s="7"/>
      <c r="AWN427" s="7"/>
      <c r="AWO427" s="7"/>
      <c r="AWP427" s="7"/>
      <c r="AWQ427" s="7"/>
      <c r="AWR427" s="7"/>
      <c r="AWS427" s="7"/>
      <c r="AWT427" s="7"/>
      <c r="AWU427" s="7"/>
      <c r="AWV427" s="7"/>
      <c r="AWW427" s="7"/>
      <c r="AWX427" s="7"/>
      <c r="AWY427" s="7"/>
      <c r="AWZ427" s="7"/>
      <c r="AXA427" s="7"/>
      <c r="AXB427" s="7"/>
      <c r="AXC427" s="7"/>
      <c r="AXD427" s="7"/>
      <c r="AXE427" s="7"/>
      <c r="AXF427" s="7"/>
      <c r="AXG427" s="7"/>
      <c r="AXH427" s="7"/>
      <c r="AXI427" s="7"/>
      <c r="AXJ427" s="7"/>
      <c r="AXK427" s="7"/>
      <c r="AXL427" s="7"/>
      <c r="AXM427" s="7"/>
      <c r="AXN427" s="7"/>
      <c r="AXO427" s="7"/>
      <c r="AXP427" s="7"/>
      <c r="AXQ427" s="7"/>
      <c r="AXR427" s="7"/>
      <c r="AXS427" s="7"/>
      <c r="AXT427" s="7"/>
      <c r="AXU427" s="7"/>
      <c r="AXV427" s="7"/>
      <c r="AXW427" s="7"/>
      <c r="AXX427" s="7"/>
      <c r="AXY427" s="7"/>
      <c r="AXZ427" s="7"/>
      <c r="AYA427" s="7"/>
      <c r="AYB427" s="7"/>
      <c r="AYC427" s="7"/>
      <c r="AYD427" s="7"/>
      <c r="AYE427" s="7"/>
      <c r="AYF427" s="7"/>
      <c r="AYG427" s="7"/>
      <c r="AYH427" s="7"/>
      <c r="AYI427" s="7"/>
      <c r="AYJ427" s="7"/>
      <c r="AYK427" s="7"/>
      <c r="AYL427" s="7"/>
      <c r="AYM427" s="7"/>
      <c r="AYN427" s="7"/>
      <c r="AYO427" s="7"/>
      <c r="AYP427" s="7"/>
      <c r="AYQ427" s="7"/>
      <c r="AYR427" s="7"/>
      <c r="AYS427" s="7"/>
      <c r="AYT427" s="7"/>
      <c r="AYU427" s="7"/>
      <c r="AYV427" s="7"/>
      <c r="AYW427" s="7"/>
      <c r="AYX427" s="7"/>
      <c r="AYY427" s="7"/>
      <c r="AYZ427" s="7"/>
      <c r="AZA427" s="7"/>
      <c r="AZB427" s="7"/>
      <c r="AZC427" s="7"/>
      <c r="AZD427" s="7"/>
      <c r="AZE427" s="7"/>
      <c r="AZF427" s="7"/>
      <c r="AZG427" s="7"/>
      <c r="AZH427" s="7"/>
      <c r="AZI427" s="7"/>
      <c r="AZJ427" s="7"/>
      <c r="AZK427" s="7"/>
      <c r="AZL427" s="7"/>
      <c r="AZM427" s="7"/>
      <c r="AZN427" s="7"/>
      <c r="AZO427" s="7"/>
      <c r="AZP427" s="7"/>
      <c r="AZQ427" s="7"/>
      <c r="AZR427" s="7"/>
      <c r="AZS427" s="7"/>
      <c r="AZT427" s="7"/>
      <c r="AZU427" s="7"/>
      <c r="AZV427" s="7"/>
      <c r="AZW427" s="7"/>
      <c r="AZX427" s="7"/>
      <c r="AZY427" s="7"/>
      <c r="AZZ427" s="7"/>
      <c r="BAA427" s="7"/>
      <c r="BAB427" s="7"/>
      <c r="BAC427" s="7"/>
      <c r="BAD427" s="7"/>
      <c r="BAE427" s="7"/>
      <c r="BAF427" s="7"/>
      <c r="BAG427" s="7"/>
      <c r="BAH427" s="7"/>
      <c r="BAI427" s="7"/>
      <c r="BAJ427" s="7"/>
      <c r="BAK427" s="7"/>
      <c r="BAL427" s="7"/>
      <c r="BAM427" s="7"/>
      <c r="BAN427" s="7"/>
      <c r="BAO427" s="7"/>
      <c r="BAP427" s="7"/>
      <c r="BAQ427" s="7"/>
      <c r="BAR427" s="7"/>
      <c r="BAS427" s="7"/>
      <c r="BAT427" s="7"/>
      <c r="BAU427" s="7"/>
      <c r="BAV427" s="7"/>
      <c r="BAW427" s="7"/>
      <c r="BAX427" s="7"/>
      <c r="BAY427" s="7"/>
      <c r="BAZ427" s="7"/>
      <c r="BBA427" s="7"/>
      <c r="BBB427" s="7"/>
      <c r="BBC427" s="7"/>
      <c r="BBD427" s="7"/>
      <c r="BBE427" s="7"/>
      <c r="BBF427" s="7"/>
      <c r="BBG427" s="7"/>
      <c r="BBH427" s="7"/>
      <c r="BBI427" s="7"/>
      <c r="BBJ427" s="7"/>
      <c r="BBK427" s="7"/>
      <c r="BBL427" s="7"/>
      <c r="BBM427" s="7"/>
      <c r="BBN427" s="7"/>
      <c r="BBO427" s="7"/>
      <c r="BBP427" s="7"/>
      <c r="BBQ427" s="7"/>
      <c r="BBR427" s="7"/>
      <c r="BBS427" s="7"/>
      <c r="BBT427" s="7"/>
      <c r="BBU427" s="7"/>
      <c r="BBV427" s="7"/>
      <c r="BBW427" s="7"/>
      <c r="BBX427" s="7"/>
      <c r="BBY427" s="7"/>
      <c r="BBZ427" s="7"/>
      <c r="BCA427" s="7"/>
      <c r="BCB427" s="7"/>
      <c r="BCC427" s="7"/>
      <c r="BCD427" s="7"/>
      <c r="BCE427" s="7"/>
      <c r="BCF427" s="7"/>
      <c r="BCG427" s="7"/>
      <c r="BCH427" s="7"/>
      <c r="BCI427" s="7"/>
      <c r="BCJ427" s="7"/>
      <c r="BCK427" s="7"/>
      <c r="BCL427" s="7"/>
      <c r="BCM427" s="7"/>
      <c r="BCN427" s="7"/>
      <c r="BCO427" s="7"/>
      <c r="BCP427" s="7"/>
      <c r="BCQ427" s="7"/>
      <c r="BCR427" s="7"/>
      <c r="BCS427" s="7"/>
      <c r="BCT427" s="7"/>
      <c r="BCU427" s="7"/>
      <c r="BCV427" s="7"/>
      <c r="BCW427" s="7"/>
      <c r="BCX427" s="7"/>
      <c r="BCY427" s="7"/>
      <c r="BCZ427" s="7"/>
      <c r="BDA427" s="7"/>
      <c r="BDB427" s="7"/>
      <c r="BDC427" s="7"/>
      <c r="BDD427" s="7"/>
      <c r="BDE427" s="7"/>
      <c r="BDF427" s="7"/>
      <c r="BDG427" s="7"/>
      <c r="BDH427" s="7"/>
      <c r="BDI427" s="7"/>
      <c r="BDJ427" s="7"/>
      <c r="BDK427" s="7"/>
      <c r="BDL427" s="7"/>
      <c r="BDM427" s="7"/>
      <c r="BDN427" s="7"/>
      <c r="BDO427" s="7"/>
      <c r="BDP427" s="7"/>
      <c r="BDQ427" s="7"/>
      <c r="BDR427" s="7"/>
      <c r="BDS427" s="7"/>
      <c r="BDT427" s="7"/>
      <c r="BDU427" s="7"/>
      <c r="BDV427" s="7"/>
      <c r="BDW427" s="7"/>
      <c r="BDX427" s="7"/>
      <c r="BDY427" s="7"/>
      <c r="BDZ427" s="7"/>
      <c r="BEA427" s="7"/>
      <c r="BEB427" s="7"/>
      <c r="BEC427" s="7"/>
      <c r="BED427" s="7"/>
      <c r="BEE427" s="7"/>
      <c r="BEF427" s="7"/>
      <c r="BEG427" s="7"/>
      <c r="BEH427" s="7"/>
      <c r="BEI427" s="7"/>
      <c r="BEJ427" s="7"/>
      <c r="BEK427" s="7"/>
      <c r="BEL427" s="7"/>
      <c r="BEM427" s="7"/>
      <c r="BEN427" s="7"/>
      <c r="BEO427" s="7"/>
      <c r="BEP427" s="7"/>
      <c r="BEQ427" s="7"/>
      <c r="BER427" s="7"/>
      <c r="BES427" s="7"/>
      <c r="BET427" s="7"/>
      <c r="BEU427" s="7"/>
      <c r="BEV427" s="7"/>
      <c r="BEW427" s="7"/>
      <c r="BEX427" s="7"/>
      <c r="BEY427" s="7"/>
      <c r="BEZ427" s="7"/>
      <c r="BFA427" s="7"/>
      <c r="BFB427" s="7"/>
      <c r="BFC427" s="7"/>
      <c r="BFD427" s="7"/>
      <c r="BFE427" s="7"/>
      <c r="BFF427" s="7"/>
      <c r="BFG427" s="7"/>
      <c r="BFH427" s="7"/>
      <c r="BFI427" s="7"/>
      <c r="BFJ427" s="7"/>
      <c r="BFK427" s="7"/>
      <c r="BFL427" s="7"/>
      <c r="BFM427" s="7"/>
      <c r="BFN427" s="7"/>
      <c r="BFO427" s="7"/>
      <c r="BFP427" s="7"/>
      <c r="BFQ427" s="7"/>
      <c r="BFR427" s="7"/>
      <c r="BFS427" s="7"/>
      <c r="BFT427" s="7"/>
      <c r="BFU427" s="7"/>
      <c r="BFV427" s="7"/>
      <c r="BFW427" s="7"/>
      <c r="BFX427" s="7"/>
      <c r="BFY427" s="7"/>
      <c r="BFZ427" s="7"/>
      <c r="BGA427" s="7"/>
      <c r="BGB427" s="7"/>
      <c r="BGC427" s="7"/>
      <c r="BGD427" s="7"/>
      <c r="BGE427" s="7"/>
      <c r="BGF427" s="7"/>
      <c r="BGG427" s="7"/>
      <c r="BGH427" s="7"/>
      <c r="BGI427" s="7"/>
      <c r="BGJ427" s="7"/>
      <c r="BGK427" s="7"/>
      <c r="BGL427" s="7"/>
      <c r="BGM427" s="7"/>
      <c r="BGN427" s="7"/>
      <c r="BGO427" s="7"/>
      <c r="BGP427" s="7"/>
      <c r="BGQ427" s="7"/>
      <c r="BGR427" s="7"/>
      <c r="BGS427" s="7"/>
      <c r="BGT427" s="7"/>
      <c r="BGU427" s="7"/>
      <c r="BGV427" s="7"/>
      <c r="BGW427" s="7"/>
      <c r="BGX427" s="7"/>
      <c r="BGY427" s="7"/>
      <c r="BGZ427" s="7"/>
      <c r="BHA427" s="7"/>
      <c r="BHB427" s="7"/>
      <c r="BHC427" s="7"/>
      <c r="BHD427" s="7"/>
      <c r="BHE427" s="7"/>
      <c r="BHF427" s="7"/>
      <c r="BHG427" s="7"/>
      <c r="BHH427" s="7"/>
      <c r="BHI427" s="7"/>
      <c r="BHJ427" s="7"/>
      <c r="BHK427" s="7"/>
      <c r="BHL427" s="7"/>
      <c r="BHM427" s="7"/>
      <c r="BHN427" s="7"/>
      <c r="BHO427" s="7"/>
      <c r="BHP427" s="7"/>
      <c r="BHQ427" s="7"/>
      <c r="BHR427" s="7"/>
      <c r="BHS427" s="7"/>
      <c r="BHT427" s="7"/>
      <c r="BHU427" s="7"/>
      <c r="BHV427" s="7"/>
      <c r="BHW427" s="7"/>
      <c r="BHX427" s="7"/>
      <c r="BHY427" s="7"/>
      <c r="BHZ427" s="7"/>
      <c r="BIA427" s="7"/>
      <c r="BIB427" s="7"/>
      <c r="BIC427" s="7"/>
      <c r="BID427" s="7"/>
      <c r="BIE427" s="7"/>
      <c r="BIF427" s="7"/>
      <c r="BIG427" s="7"/>
      <c r="BIH427" s="7"/>
      <c r="BII427" s="7"/>
      <c r="BIJ427" s="7"/>
      <c r="BIK427" s="7"/>
      <c r="BIL427" s="7"/>
      <c r="BIM427" s="7"/>
      <c r="BIN427" s="7"/>
      <c r="BIO427" s="7"/>
      <c r="BIP427" s="7"/>
      <c r="BIQ427" s="7"/>
      <c r="BIR427" s="7"/>
      <c r="BIS427" s="7"/>
      <c r="BIT427" s="7"/>
      <c r="BIU427" s="7"/>
      <c r="BIV427" s="7"/>
      <c r="BIW427" s="7"/>
      <c r="BIX427" s="7"/>
      <c r="BIY427" s="7"/>
      <c r="BIZ427" s="7"/>
      <c r="BJA427" s="7"/>
      <c r="BJB427" s="7"/>
      <c r="BJC427" s="7"/>
      <c r="BJD427" s="7"/>
      <c r="BJE427" s="7"/>
      <c r="BJF427" s="7"/>
      <c r="BJG427" s="7"/>
      <c r="BJH427" s="7"/>
      <c r="BJI427" s="7"/>
      <c r="BJJ427" s="7"/>
      <c r="BJK427" s="7"/>
      <c r="BJL427" s="7"/>
      <c r="BJM427" s="7"/>
      <c r="BJN427" s="7"/>
      <c r="BJO427" s="7"/>
      <c r="BJP427" s="7"/>
      <c r="BJQ427" s="7"/>
      <c r="BJR427" s="7"/>
      <c r="BJS427" s="7"/>
      <c r="BJT427" s="7"/>
      <c r="BJU427" s="7"/>
      <c r="BJV427" s="7"/>
      <c r="BJW427" s="7"/>
      <c r="BJX427" s="7"/>
      <c r="BJY427" s="7"/>
      <c r="BJZ427" s="7"/>
      <c r="BKA427" s="7"/>
      <c r="BKB427" s="7"/>
      <c r="BKC427" s="7"/>
      <c r="BKD427" s="7"/>
      <c r="BKE427" s="7"/>
      <c r="BKF427" s="7"/>
      <c r="BKG427" s="7"/>
      <c r="BKH427" s="7"/>
      <c r="BKI427" s="7"/>
      <c r="BKJ427" s="7"/>
      <c r="BKK427" s="7"/>
      <c r="BKL427" s="7"/>
      <c r="BKM427" s="7"/>
      <c r="BKN427" s="7"/>
      <c r="BKO427" s="7"/>
      <c r="BKP427" s="7"/>
      <c r="BKQ427" s="7"/>
      <c r="BKR427" s="7"/>
      <c r="BKS427" s="7"/>
      <c r="BKT427" s="7"/>
      <c r="BKU427" s="7"/>
      <c r="BKV427" s="7"/>
      <c r="BKW427" s="7"/>
      <c r="BKX427" s="7"/>
      <c r="BKY427" s="7"/>
      <c r="BKZ427" s="7"/>
      <c r="BLA427" s="7"/>
      <c r="BLB427" s="7"/>
      <c r="BLC427" s="7"/>
      <c r="BLD427" s="7"/>
      <c r="BLE427" s="7"/>
      <c r="BLF427" s="7"/>
      <c r="BLG427" s="7"/>
      <c r="BLH427" s="7"/>
      <c r="BLI427" s="7"/>
      <c r="BLJ427" s="7"/>
      <c r="BLK427" s="7"/>
      <c r="BLL427" s="7"/>
      <c r="BLM427" s="7"/>
      <c r="BLN427" s="7"/>
      <c r="BLO427" s="7"/>
      <c r="BLP427" s="7"/>
      <c r="BLQ427" s="7"/>
      <c r="BLR427" s="7"/>
      <c r="BLS427" s="7"/>
      <c r="BLT427" s="7"/>
      <c r="BLU427" s="7"/>
      <c r="BLV427" s="7"/>
      <c r="BLW427" s="7"/>
      <c r="BLX427" s="7"/>
      <c r="BLY427" s="7"/>
      <c r="BLZ427" s="7"/>
      <c r="BMA427" s="7"/>
      <c r="BMB427" s="7"/>
      <c r="BMC427" s="7"/>
      <c r="BMD427" s="7"/>
      <c r="BME427" s="7"/>
      <c r="BMF427" s="7"/>
      <c r="BMG427" s="7"/>
      <c r="BMH427" s="7"/>
      <c r="BMI427" s="7"/>
      <c r="BMJ427" s="7"/>
      <c r="BMK427" s="7"/>
      <c r="BML427" s="7"/>
      <c r="BMM427" s="7"/>
      <c r="BMN427" s="7"/>
      <c r="BMO427" s="7"/>
      <c r="BMP427" s="7"/>
      <c r="BMQ427" s="7"/>
      <c r="BMR427" s="7"/>
      <c r="BMS427" s="7"/>
      <c r="BMT427" s="7"/>
      <c r="BMU427" s="7"/>
      <c r="BMV427" s="7"/>
      <c r="BMW427" s="7"/>
      <c r="BMX427" s="7"/>
      <c r="BMY427" s="7"/>
      <c r="BMZ427" s="7"/>
      <c r="BNA427" s="7"/>
      <c r="BNB427" s="7"/>
      <c r="BNC427" s="7"/>
      <c r="BND427" s="7"/>
      <c r="BNE427" s="7"/>
      <c r="BNF427" s="7"/>
      <c r="BNG427" s="7"/>
      <c r="BNH427" s="7"/>
      <c r="BNI427" s="7"/>
      <c r="BNJ427" s="7"/>
      <c r="BNK427" s="7"/>
      <c r="BNL427" s="7"/>
      <c r="BNM427" s="7"/>
      <c r="BNN427" s="7"/>
      <c r="BNO427" s="7"/>
      <c r="BNP427" s="7"/>
      <c r="BNQ427" s="7"/>
      <c r="BNR427" s="7"/>
      <c r="BNS427" s="7"/>
      <c r="BNT427" s="7"/>
      <c r="BNU427" s="7"/>
      <c r="BNV427" s="7"/>
      <c r="BNW427" s="7"/>
      <c r="BNX427" s="7"/>
      <c r="BNY427" s="7"/>
      <c r="BNZ427" s="7"/>
      <c r="BOA427" s="7"/>
      <c r="BOB427" s="7"/>
      <c r="BOC427" s="7"/>
      <c r="BOD427" s="7"/>
      <c r="BOE427" s="7"/>
      <c r="BOF427" s="7"/>
      <c r="BOG427" s="7"/>
      <c r="BOH427" s="7"/>
      <c r="BOI427" s="7"/>
      <c r="BOJ427" s="7"/>
      <c r="BOK427" s="7"/>
      <c r="BOL427" s="7"/>
      <c r="BOM427" s="7"/>
      <c r="BON427" s="7"/>
      <c r="BOO427" s="7"/>
      <c r="BOP427" s="7"/>
      <c r="BOQ427" s="7"/>
      <c r="BOR427" s="7"/>
      <c r="BOS427" s="7"/>
      <c r="BOT427" s="7"/>
      <c r="BOU427" s="7"/>
      <c r="BOV427" s="7"/>
      <c r="BOW427" s="7"/>
      <c r="BOX427" s="7"/>
      <c r="BOY427" s="7"/>
      <c r="BOZ427" s="7"/>
      <c r="BPA427" s="7"/>
      <c r="BPB427" s="7"/>
      <c r="BPC427" s="7"/>
      <c r="BPD427" s="7"/>
      <c r="BPE427" s="7"/>
      <c r="BPF427" s="7"/>
      <c r="BPG427" s="7"/>
      <c r="BPH427" s="7"/>
      <c r="BPI427" s="7"/>
      <c r="BPJ427" s="7"/>
      <c r="BPK427" s="7"/>
      <c r="BPL427" s="7"/>
      <c r="BPM427" s="7"/>
      <c r="BPN427" s="7"/>
      <c r="BPO427" s="7"/>
      <c r="BPP427" s="7"/>
      <c r="BPQ427" s="7"/>
      <c r="BPR427" s="7"/>
      <c r="BPS427" s="7"/>
      <c r="BPT427" s="7"/>
      <c r="BPU427" s="7"/>
      <c r="BPV427" s="7"/>
      <c r="BPW427" s="7"/>
      <c r="BPX427" s="7"/>
      <c r="BPY427" s="7"/>
      <c r="BPZ427" s="7"/>
      <c r="BQA427" s="7"/>
      <c r="BQB427" s="7"/>
      <c r="BQC427" s="7"/>
      <c r="BQD427" s="7"/>
      <c r="BQE427" s="7"/>
      <c r="BQF427" s="7"/>
      <c r="BQG427" s="7"/>
      <c r="BQH427" s="7"/>
      <c r="BQI427" s="7"/>
      <c r="BQJ427" s="7"/>
      <c r="BQK427" s="7"/>
      <c r="BQL427" s="7"/>
      <c r="BQM427" s="7"/>
      <c r="BQN427" s="7"/>
      <c r="BQO427" s="7"/>
      <c r="BQP427" s="7"/>
      <c r="BQQ427" s="7"/>
      <c r="BQR427" s="7"/>
      <c r="BQS427" s="7"/>
      <c r="BQT427" s="7"/>
      <c r="BQU427" s="7"/>
      <c r="BQV427" s="7"/>
      <c r="BQW427" s="7"/>
      <c r="BQX427" s="7"/>
      <c r="BQY427" s="7"/>
      <c r="BQZ427" s="7"/>
      <c r="BRA427" s="7"/>
      <c r="BRB427" s="7"/>
      <c r="BRC427" s="7"/>
      <c r="BRD427" s="7"/>
      <c r="BRE427" s="7"/>
      <c r="BRF427" s="7"/>
      <c r="BRG427" s="7"/>
      <c r="BRH427" s="7"/>
      <c r="BRI427" s="7"/>
      <c r="BRJ427" s="7"/>
      <c r="BRK427" s="7"/>
      <c r="BRL427" s="7"/>
      <c r="BRM427" s="7"/>
      <c r="BRN427" s="7"/>
      <c r="BRO427" s="7"/>
      <c r="BRP427" s="7"/>
      <c r="BRQ427" s="7"/>
      <c r="BRR427" s="7"/>
      <c r="BRS427" s="7"/>
      <c r="BRT427" s="7"/>
      <c r="BRU427" s="7"/>
      <c r="BRV427" s="7"/>
      <c r="BRW427" s="7"/>
      <c r="BRX427" s="7"/>
      <c r="BRY427" s="7"/>
      <c r="BRZ427" s="7"/>
      <c r="BSA427" s="7"/>
      <c r="BSB427" s="7"/>
      <c r="BSC427" s="7"/>
      <c r="BSD427" s="7"/>
      <c r="BSE427" s="7"/>
      <c r="BSF427" s="7"/>
      <c r="BSG427" s="7"/>
      <c r="BSH427" s="7"/>
      <c r="BSI427" s="7"/>
      <c r="BSJ427" s="7"/>
      <c r="BSK427" s="7"/>
      <c r="BSL427" s="7"/>
      <c r="BSM427" s="7"/>
      <c r="BSN427" s="7"/>
      <c r="BSO427" s="7"/>
      <c r="BSP427" s="7"/>
      <c r="BSQ427" s="7"/>
      <c r="BSR427" s="7"/>
      <c r="BSS427" s="7"/>
      <c r="BST427" s="7"/>
      <c r="BSU427" s="7"/>
      <c r="BSV427" s="7"/>
      <c r="BSW427" s="7"/>
      <c r="BSX427" s="7"/>
      <c r="BSY427" s="7"/>
      <c r="BSZ427" s="7"/>
      <c r="BTA427" s="7"/>
    </row>
    <row r="428" spans="1:1873" s="7" customFormat="1" x14ac:dyDescent="0.2">
      <c r="A428" s="24"/>
      <c r="B428" s="283"/>
      <c r="C428" s="283"/>
      <c r="D428" s="283"/>
      <c r="E428" s="241"/>
      <c r="F428" s="283"/>
      <c r="G428" s="283"/>
      <c r="H428" s="283"/>
      <c r="I428" s="283"/>
      <c r="J428" s="283"/>
      <c r="K428" s="283"/>
      <c r="L428" s="283"/>
      <c r="M428" s="426"/>
      <c r="N428" s="249"/>
      <c r="O428" s="18"/>
      <c r="P428" s="426"/>
      <c r="Q428" s="283"/>
      <c r="R428" s="426"/>
      <c r="S428" s="283"/>
      <c r="T428" s="544"/>
      <c r="U428" s="454"/>
      <c r="V428" s="454"/>
      <c r="W428" s="426"/>
      <c r="X428" s="454"/>
      <c r="Y428" s="454"/>
      <c r="Z428" s="545"/>
      <c r="AA428" s="546"/>
      <c r="AB428" s="426"/>
      <c r="AC428" s="283"/>
      <c r="AD428" s="283"/>
      <c r="AE428" s="283"/>
      <c r="AF428" s="283"/>
      <c r="AG428" s="283"/>
      <c r="AH428" s="283"/>
      <c r="AI428" s="283"/>
      <c r="AJ428" s="283"/>
      <c r="AK428" s="283"/>
      <c r="AL428" s="283"/>
      <c r="AM428" s="283"/>
      <c r="AN428" s="283"/>
      <c r="AO428" s="283"/>
      <c r="AP428" s="283"/>
      <c r="AQ428" s="283"/>
      <c r="AR428" s="283"/>
      <c r="AS428" s="249"/>
      <c r="AT428" s="283"/>
      <c r="AU428" s="283"/>
      <c r="AV428" s="283"/>
      <c r="AW428" s="283"/>
      <c r="AX428" s="283"/>
      <c r="AY428" s="283"/>
      <c r="AZ428" s="283"/>
      <c r="BA428" s="283"/>
      <c r="BB428" s="283"/>
      <c r="BC428" s="283"/>
      <c r="BD428" s="283"/>
      <c r="BE428" s="283"/>
      <c r="BF428" s="283"/>
      <c r="BG428" s="283"/>
      <c r="BH428" s="283"/>
      <c r="BI428" s="283"/>
      <c r="BJ428" s="283"/>
      <c r="BK428" s="283"/>
      <c r="BL428" s="283"/>
      <c r="BM428" s="283"/>
      <c r="BN428" s="283"/>
      <c r="BO428" s="283"/>
      <c r="BP428" s="283"/>
      <c r="BQ428" s="283"/>
      <c r="BR428" s="283"/>
      <c r="BS428" s="242"/>
      <c r="BT428" s="283"/>
      <c r="BU428" s="283"/>
      <c r="BV428" s="283"/>
      <c r="BW428" s="283"/>
      <c r="BX428" s="283"/>
      <c r="BY428" s="283"/>
      <c r="BZ428" s="335"/>
      <c r="CA428" s="335"/>
      <c r="CB428" s="547"/>
      <c r="CC428" s="283"/>
      <c r="CD428" s="283"/>
      <c r="CE428" s="342" t="s">
        <v>1576</v>
      </c>
      <c r="CF428" s="342" t="s">
        <v>1575</v>
      </c>
      <c r="CG428" s="24"/>
    </row>
    <row r="429" spans="1:1873" s="2" customFormat="1" x14ac:dyDescent="0.2">
      <c r="A429" s="25" t="s">
        <v>780</v>
      </c>
      <c r="B429" s="240" t="s">
        <v>276</v>
      </c>
      <c r="C429" s="403" t="s">
        <v>1524</v>
      </c>
      <c r="D429" s="240" t="s">
        <v>619</v>
      </c>
      <c r="E429" s="241" t="s">
        <v>1449</v>
      </c>
      <c r="F429" s="240">
        <v>1</v>
      </c>
      <c r="G429" s="240">
        <v>1</v>
      </c>
      <c r="H429" s="240">
        <v>1</v>
      </c>
      <c r="I429" s="240" t="s">
        <v>58</v>
      </c>
      <c r="J429" s="240">
        <v>1970</v>
      </c>
      <c r="K429" s="223" t="s">
        <v>957</v>
      </c>
      <c r="L429" s="240">
        <v>1970</v>
      </c>
      <c r="M429" s="421">
        <v>-9999</v>
      </c>
      <c r="N429" s="223">
        <v>-9999</v>
      </c>
      <c r="O429" s="29"/>
      <c r="P429" s="421" t="s">
        <v>59</v>
      </c>
      <c r="Q429" s="240">
        <v>-9999</v>
      </c>
      <c r="R429" s="421"/>
      <c r="S429" s="240"/>
      <c r="T429" s="543">
        <v>-9999</v>
      </c>
      <c r="U429" s="451">
        <v>-9999</v>
      </c>
      <c r="V429" s="451"/>
      <c r="W429" s="421" t="s">
        <v>59</v>
      </c>
      <c r="X429" s="451">
        <v>-9999</v>
      </c>
      <c r="Y429" s="451"/>
      <c r="Z429" s="540" t="s">
        <v>66</v>
      </c>
      <c r="AA429" s="541">
        <v>26874</v>
      </c>
      <c r="AB429" s="421">
        <v>0.99</v>
      </c>
      <c r="AC429" s="240">
        <v>-9999</v>
      </c>
      <c r="AD429" s="240">
        <v>30.25</v>
      </c>
      <c r="AE429" s="240" t="s">
        <v>280</v>
      </c>
      <c r="AF429" s="240">
        <v>3</v>
      </c>
      <c r="AG429" s="240"/>
      <c r="AH429" s="240" t="s">
        <v>623</v>
      </c>
      <c r="AI429" s="240" t="s">
        <v>61</v>
      </c>
      <c r="AJ429" s="240" t="s">
        <v>62</v>
      </c>
      <c r="AK429" s="240" t="s">
        <v>779</v>
      </c>
      <c r="AL429" s="240" t="s">
        <v>63</v>
      </c>
      <c r="AM429" s="240"/>
      <c r="AN429" s="240" t="s">
        <v>779</v>
      </c>
      <c r="AO429" s="240">
        <v>-9999</v>
      </c>
      <c r="AP429" s="240" t="s">
        <v>64</v>
      </c>
      <c r="AQ429" s="240" t="s">
        <v>779</v>
      </c>
      <c r="AR429" s="240" t="s">
        <v>1187</v>
      </c>
      <c r="AS429" s="223" t="s">
        <v>1101</v>
      </c>
      <c r="AT429" s="240" t="s">
        <v>751</v>
      </c>
      <c r="AU429" s="240">
        <v>213</v>
      </c>
      <c r="AV429" s="240">
        <v>-9999</v>
      </c>
      <c r="AW429" s="240" t="s">
        <v>686</v>
      </c>
      <c r="AX429" s="240">
        <v>336</v>
      </c>
      <c r="AY429" s="240">
        <v>-9999</v>
      </c>
      <c r="AZ429" s="240" t="s">
        <v>322</v>
      </c>
      <c r="BA429" s="240" t="s">
        <v>750</v>
      </c>
      <c r="BB429" s="240" t="s">
        <v>779</v>
      </c>
      <c r="BC429" s="240" t="s">
        <v>279</v>
      </c>
      <c r="BD429" s="240">
        <v>-9999</v>
      </c>
      <c r="BE429" s="240">
        <v>-9999</v>
      </c>
      <c r="BF429" s="240">
        <v>-9999</v>
      </c>
      <c r="BG429" s="240">
        <v>-9999</v>
      </c>
      <c r="BH429" s="240">
        <v>-9999</v>
      </c>
      <c r="BI429" s="240" t="s">
        <v>752</v>
      </c>
      <c r="BJ429" s="240">
        <v>-9999</v>
      </c>
      <c r="BK429" s="240">
        <v>-9999</v>
      </c>
      <c r="BL429" s="240">
        <v>0.3</v>
      </c>
      <c r="BM429" s="240">
        <v>-9999</v>
      </c>
      <c r="BN429" s="240">
        <v>-9999</v>
      </c>
      <c r="BO429" s="240">
        <v>-9999</v>
      </c>
      <c r="BP429" s="240">
        <v>-9999</v>
      </c>
      <c r="BQ429" s="240">
        <v>-9999</v>
      </c>
      <c r="BR429" s="240">
        <v>10</v>
      </c>
      <c r="BS429" s="242">
        <v>-9999</v>
      </c>
      <c r="BT429" s="240">
        <v>-9999</v>
      </c>
      <c r="BU429" s="240">
        <v>-9999</v>
      </c>
      <c r="BV429" s="240">
        <v>-9999</v>
      </c>
      <c r="BW429" s="240"/>
      <c r="BX429" s="240">
        <v>-9999</v>
      </c>
      <c r="BY429" s="240">
        <v>-9999</v>
      </c>
      <c r="BZ429" s="334">
        <v>-9999</v>
      </c>
      <c r="CA429" s="334">
        <v>2.54</v>
      </c>
      <c r="CB429" s="446"/>
      <c r="CC429" s="240">
        <v>1</v>
      </c>
      <c r="CD429" s="240">
        <v>1</v>
      </c>
      <c r="CE429" s="290"/>
      <c r="CF429" s="290"/>
      <c r="CG429" s="25">
        <v>1</v>
      </c>
    </row>
    <row r="430" spans="1:1873" s="23" customFormat="1" x14ac:dyDescent="0.2">
      <c r="A430" s="25" t="s">
        <v>780</v>
      </c>
      <c r="B430" s="240" t="s">
        <v>276</v>
      </c>
      <c r="C430" s="403" t="s">
        <v>1524</v>
      </c>
      <c r="D430" s="240" t="s">
        <v>619</v>
      </c>
      <c r="E430" s="241" t="s">
        <v>1449</v>
      </c>
      <c r="F430" s="240">
        <v>1</v>
      </c>
      <c r="G430" s="240">
        <v>2</v>
      </c>
      <c r="H430" s="240">
        <v>2</v>
      </c>
      <c r="I430" s="240" t="s">
        <v>58</v>
      </c>
      <c r="J430" s="240">
        <v>1970</v>
      </c>
      <c r="K430" s="223" t="s">
        <v>957</v>
      </c>
      <c r="L430" s="240">
        <v>1971</v>
      </c>
      <c r="M430" s="421">
        <v>5.8</v>
      </c>
      <c r="N430" s="223">
        <v>-9999</v>
      </c>
      <c r="O430" s="29"/>
      <c r="P430" s="421">
        <v>5.8</v>
      </c>
      <c r="Q430" s="240">
        <v>-9999</v>
      </c>
      <c r="R430" s="421"/>
      <c r="S430" s="240"/>
      <c r="T430" s="543">
        <v>2.9</v>
      </c>
      <c r="U430" s="451">
        <v>-9999</v>
      </c>
      <c r="V430" s="451"/>
      <c r="W430" s="421" t="s">
        <v>59</v>
      </c>
      <c r="X430" s="451">
        <v>-9999</v>
      </c>
      <c r="Y430" s="451"/>
      <c r="Z430" s="540" t="s">
        <v>66</v>
      </c>
      <c r="AA430" s="541">
        <v>26874</v>
      </c>
      <c r="AB430" s="421">
        <v>0.99</v>
      </c>
      <c r="AC430" s="240">
        <v>-9999</v>
      </c>
      <c r="AD430" s="240">
        <v>30.25</v>
      </c>
      <c r="AE430" s="240" t="s">
        <v>280</v>
      </c>
      <c r="AF430" s="240">
        <v>3</v>
      </c>
      <c r="AG430" s="240"/>
      <c r="AH430" s="240" t="s">
        <v>623</v>
      </c>
      <c r="AI430" s="240" t="s">
        <v>61</v>
      </c>
      <c r="AJ430" s="240" t="s">
        <v>62</v>
      </c>
      <c r="AK430" s="240" t="s">
        <v>779</v>
      </c>
      <c r="AL430" s="240" t="s">
        <v>63</v>
      </c>
      <c r="AM430" s="240"/>
      <c r="AN430" s="240" t="s">
        <v>779</v>
      </c>
      <c r="AO430" s="240">
        <v>-9999</v>
      </c>
      <c r="AP430" s="240" t="s">
        <v>64</v>
      </c>
      <c r="AQ430" s="240" t="s">
        <v>779</v>
      </c>
      <c r="AR430" s="240" t="s">
        <v>1187</v>
      </c>
      <c r="AS430" s="223" t="s">
        <v>1101</v>
      </c>
      <c r="AT430" s="240" t="s">
        <v>751</v>
      </c>
      <c r="AU430" s="240">
        <f>213+AU429</f>
        <v>426</v>
      </c>
      <c r="AV430" s="240">
        <v>-9999</v>
      </c>
      <c r="AW430" s="240" t="s">
        <v>686</v>
      </c>
      <c r="AX430" s="240">
        <f>336+AX429</f>
        <v>672</v>
      </c>
      <c r="AY430" s="240">
        <v>-9999</v>
      </c>
      <c r="AZ430" s="240" t="s">
        <v>322</v>
      </c>
      <c r="BA430" s="240" t="s">
        <v>750</v>
      </c>
      <c r="BB430" s="240" t="s">
        <v>779</v>
      </c>
      <c r="BC430" s="240" t="s">
        <v>279</v>
      </c>
      <c r="BD430" s="240">
        <v>-9999</v>
      </c>
      <c r="BE430" s="240">
        <v>-9999</v>
      </c>
      <c r="BF430" s="240">
        <v>-9999</v>
      </c>
      <c r="BG430" s="240">
        <v>-9999</v>
      </c>
      <c r="BH430" s="240">
        <v>-9999</v>
      </c>
      <c r="BI430" s="240" t="s">
        <v>752</v>
      </c>
      <c r="BJ430" s="240">
        <v>-9999</v>
      </c>
      <c r="BK430" s="240">
        <v>-9999</v>
      </c>
      <c r="BL430" s="240">
        <v>1.9</v>
      </c>
      <c r="BM430" s="240">
        <v>-9999</v>
      </c>
      <c r="BN430" s="240">
        <v>-9999</v>
      </c>
      <c r="BO430" s="240">
        <v>-9999</v>
      </c>
      <c r="BP430" s="240">
        <v>-9999</v>
      </c>
      <c r="BQ430" s="240">
        <v>-9999</v>
      </c>
      <c r="BR430" s="240">
        <v>23</v>
      </c>
      <c r="BS430" s="242">
        <v>-9999</v>
      </c>
      <c r="BT430" s="240">
        <v>-9999</v>
      </c>
      <c r="BU430" s="240">
        <v>-9999</v>
      </c>
      <c r="BV430" s="240">
        <v>-9999</v>
      </c>
      <c r="BW430" s="240"/>
      <c r="BX430" s="240">
        <v>-9999</v>
      </c>
      <c r="BY430" s="240">
        <v>-9999</v>
      </c>
      <c r="BZ430" s="334">
        <v>-9999</v>
      </c>
      <c r="CA430" s="334">
        <v>2.54</v>
      </c>
      <c r="CB430" s="247"/>
      <c r="CC430" s="240">
        <v>1</v>
      </c>
      <c r="CD430" s="240">
        <v>2</v>
      </c>
      <c r="CE430" s="292">
        <v>2.9</v>
      </c>
      <c r="CF430" s="292"/>
      <c r="CG430" s="25">
        <v>2</v>
      </c>
    </row>
    <row r="431" spans="1:1873" s="23" customFormat="1" x14ac:dyDescent="0.2">
      <c r="A431" s="25" t="s">
        <v>780</v>
      </c>
      <c r="B431" s="240" t="s">
        <v>276</v>
      </c>
      <c r="C431" s="403" t="s">
        <v>1524</v>
      </c>
      <c r="D431" s="240" t="s">
        <v>619</v>
      </c>
      <c r="E431" s="241" t="s">
        <v>1449</v>
      </c>
      <c r="F431" s="240">
        <v>1</v>
      </c>
      <c r="G431" s="240">
        <v>3</v>
      </c>
      <c r="H431" s="240">
        <v>3</v>
      </c>
      <c r="I431" s="240" t="s">
        <v>58</v>
      </c>
      <c r="J431" s="240">
        <v>1970</v>
      </c>
      <c r="K431" s="223" t="s">
        <v>957</v>
      </c>
      <c r="L431" s="240">
        <v>1972</v>
      </c>
      <c r="M431" s="421">
        <v>17.8</v>
      </c>
      <c r="N431" s="223">
        <v>-9999</v>
      </c>
      <c r="O431" s="29"/>
      <c r="P431" s="421">
        <v>17.8</v>
      </c>
      <c r="Q431" s="240">
        <v>-9999</v>
      </c>
      <c r="R431" s="421"/>
      <c r="S431" s="240"/>
      <c r="T431" s="543">
        <v>5.9</v>
      </c>
      <c r="U431" s="451">
        <v>-9999</v>
      </c>
      <c r="V431" s="451"/>
      <c r="W431" s="421">
        <v>12</v>
      </c>
      <c r="X431" s="451">
        <v>-9999</v>
      </c>
      <c r="Y431" s="451"/>
      <c r="Z431" s="540" t="s">
        <v>66</v>
      </c>
      <c r="AA431" s="541">
        <v>26874</v>
      </c>
      <c r="AB431" s="421">
        <v>0.96</v>
      </c>
      <c r="AC431" s="240">
        <v>-9999</v>
      </c>
      <c r="AD431" s="240">
        <v>30.25</v>
      </c>
      <c r="AE431" s="240" t="s">
        <v>280</v>
      </c>
      <c r="AF431" s="240">
        <v>3</v>
      </c>
      <c r="AG431" s="240"/>
      <c r="AH431" s="240" t="s">
        <v>623</v>
      </c>
      <c r="AI431" s="240" t="s">
        <v>61</v>
      </c>
      <c r="AJ431" s="240" t="s">
        <v>62</v>
      </c>
      <c r="AK431" s="240" t="s">
        <v>779</v>
      </c>
      <c r="AL431" s="240" t="s">
        <v>63</v>
      </c>
      <c r="AM431" s="240"/>
      <c r="AN431" s="240" t="s">
        <v>779</v>
      </c>
      <c r="AO431" s="240">
        <v>-9999</v>
      </c>
      <c r="AP431" s="240" t="s">
        <v>64</v>
      </c>
      <c r="AQ431" s="240" t="s">
        <v>779</v>
      </c>
      <c r="AR431" s="240" t="s">
        <v>1187</v>
      </c>
      <c r="AS431" s="223" t="s">
        <v>1101</v>
      </c>
      <c r="AT431" s="240" t="s">
        <v>751</v>
      </c>
      <c r="AU431" s="240">
        <f>213+AU430</f>
        <v>639</v>
      </c>
      <c r="AV431" s="240">
        <v>-9999</v>
      </c>
      <c r="AW431" s="240" t="s">
        <v>686</v>
      </c>
      <c r="AX431" s="240">
        <f>336+AX430</f>
        <v>1008</v>
      </c>
      <c r="AY431" s="240">
        <v>-9999</v>
      </c>
      <c r="AZ431" s="240" t="s">
        <v>322</v>
      </c>
      <c r="BA431" s="240" t="s">
        <v>750</v>
      </c>
      <c r="BB431" s="240" t="s">
        <v>779</v>
      </c>
      <c r="BC431" s="240" t="s">
        <v>279</v>
      </c>
      <c r="BD431" s="240">
        <v>-9999</v>
      </c>
      <c r="BE431" s="240">
        <v>-9999</v>
      </c>
      <c r="BF431" s="240">
        <v>-9999</v>
      </c>
      <c r="BG431" s="240">
        <v>-9999</v>
      </c>
      <c r="BH431" s="240">
        <v>-9999</v>
      </c>
      <c r="BI431" s="240" t="s">
        <v>752</v>
      </c>
      <c r="BJ431" s="240">
        <v>-9999</v>
      </c>
      <c r="BK431" s="240">
        <v>-9999</v>
      </c>
      <c r="BL431" s="240">
        <v>3.8</v>
      </c>
      <c r="BM431" s="240">
        <v>-9999</v>
      </c>
      <c r="BN431" s="240">
        <v>-9999</v>
      </c>
      <c r="BO431" s="240">
        <v>-9999</v>
      </c>
      <c r="BP431" s="240">
        <v>-9999</v>
      </c>
      <c r="BQ431" s="240">
        <v>-9999</v>
      </c>
      <c r="BR431" s="240">
        <v>34</v>
      </c>
      <c r="BS431" s="242">
        <v>-9999</v>
      </c>
      <c r="BT431" s="240">
        <v>-9999</v>
      </c>
      <c r="BU431" s="240">
        <v>-9999</v>
      </c>
      <c r="BV431" s="240">
        <v>-9999</v>
      </c>
      <c r="BW431" s="240"/>
      <c r="BX431" s="240">
        <v>-9999</v>
      </c>
      <c r="BY431" s="240">
        <v>-9999</v>
      </c>
      <c r="BZ431" s="334">
        <v>-9999</v>
      </c>
      <c r="CA431" s="334">
        <v>2.54</v>
      </c>
      <c r="CB431" s="247"/>
      <c r="CC431" s="240">
        <v>1</v>
      </c>
      <c r="CD431" s="240">
        <v>3</v>
      </c>
      <c r="CE431" s="292">
        <v>5.9</v>
      </c>
      <c r="CF431" s="292">
        <v>12</v>
      </c>
      <c r="CG431" s="25">
        <v>3</v>
      </c>
    </row>
    <row r="432" spans="1:1873" s="23" customFormat="1" x14ac:dyDescent="0.2">
      <c r="A432" s="25" t="s">
        <v>780</v>
      </c>
      <c r="B432" s="240" t="s">
        <v>276</v>
      </c>
      <c r="C432" s="403" t="s">
        <v>1524</v>
      </c>
      <c r="D432" s="240" t="s">
        <v>619</v>
      </c>
      <c r="E432" s="241" t="s">
        <v>1449</v>
      </c>
      <c r="F432" s="240">
        <v>1</v>
      </c>
      <c r="G432" s="240">
        <v>4</v>
      </c>
      <c r="H432" s="240">
        <v>4</v>
      </c>
      <c r="I432" s="240" t="s">
        <v>58</v>
      </c>
      <c r="J432" s="240">
        <v>1970</v>
      </c>
      <c r="K432" s="223" t="s">
        <v>957</v>
      </c>
      <c r="L432" s="240">
        <v>1973</v>
      </c>
      <c r="M432" s="421">
        <v>36</v>
      </c>
      <c r="N432" s="223">
        <v>-9999</v>
      </c>
      <c r="O432" s="29"/>
      <c r="P432" s="421">
        <v>36</v>
      </c>
      <c r="Q432" s="240">
        <v>-9999</v>
      </c>
      <c r="R432" s="421"/>
      <c r="S432" s="240"/>
      <c r="T432" s="543">
        <v>9</v>
      </c>
      <c r="U432" s="451">
        <v>-9999</v>
      </c>
      <c r="V432" s="451"/>
      <c r="W432" s="421">
        <v>18.2</v>
      </c>
      <c r="X432" s="451">
        <v>-9999</v>
      </c>
      <c r="Y432" s="451"/>
      <c r="Z432" s="540" t="s">
        <v>66</v>
      </c>
      <c r="AA432" s="541">
        <v>26874</v>
      </c>
      <c r="AB432" s="421">
        <v>0.93</v>
      </c>
      <c r="AC432" s="240">
        <v>-9999</v>
      </c>
      <c r="AD432" s="240">
        <v>30.25</v>
      </c>
      <c r="AE432" s="240" t="s">
        <v>280</v>
      </c>
      <c r="AF432" s="240">
        <v>3</v>
      </c>
      <c r="AG432" s="240"/>
      <c r="AH432" s="240" t="s">
        <v>623</v>
      </c>
      <c r="AI432" s="240" t="s">
        <v>61</v>
      </c>
      <c r="AJ432" s="240" t="s">
        <v>62</v>
      </c>
      <c r="AK432" s="240" t="s">
        <v>779</v>
      </c>
      <c r="AL432" s="240" t="s">
        <v>63</v>
      </c>
      <c r="AM432" s="240"/>
      <c r="AN432" s="240" t="s">
        <v>779</v>
      </c>
      <c r="AO432" s="240">
        <v>-9999</v>
      </c>
      <c r="AP432" s="240" t="s">
        <v>64</v>
      </c>
      <c r="AQ432" s="240" t="s">
        <v>779</v>
      </c>
      <c r="AR432" s="240" t="s">
        <v>1187</v>
      </c>
      <c r="AS432" s="223" t="s">
        <v>1101</v>
      </c>
      <c r="AT432" s="240" t="s">
        <v>751</v>
      </c>
      <c r="AU432" s="240">
        <f>213+AU431</f>
        <v>852</v>
      </c>
      <c r="AV432" s="240">
        <v>-9999</v>
      </c>
      <c r="AW432" s="240" t="s">
        <v>686</v>
      </c>
      <c r="AX432" s="240">
        <f>336+AX431</f>
        <v>1344</v>
      </c>
      <c r="AY432" s="240">
        <v>-9999</v>
      </c>
      <c r="AZ432" s="240" t="s">
        <v>322</v>
      </c>
      <c r="BA432" s="240" t="s">
        <v>750</v>
      </c>
      <c r="BB432" s="240" t="s">
        <v>779</v>
      </c>
      <c r="BC432" s="240" t="s">
        <v>279</v>
      </c>
      <c r="BD432" s="240">
        <v>-9999</v>
      </c>
      <c r="BE432" s="240">
        <v>-9999</v>
      </c>
      <c r="BF432" s="240">
        <v>-9999</v>
      </c>
      <c r="BG432" s="240">
        <v>-9999</v>
      </c>
      <c r="BH432" s="240">
        <v>-9999</v>
      </c>
      <c r="BI432" s="240" t="s">
        <v>752</v>
      </c>
      <c r="BJ432" s="240">
        <v>-9999</v>
      </c>
      <c r="BK432" s="240">
        <v>-9999</v>
      </c>
      <c r="BL432" s="240">
        <v>5.2</v>
      </c>
      <c r="BM432" s="240">
        <v>-9999</v>
      </c>
      <c r="BN432" s="240">
        <v>-9999</v>
      </c>
      <c r="BO432" s="240">
        <v>-9999</v>
      </c>
      <c r="BP432" s="240">
        <v>-9999</v>
      </c>
      <c r="BQ432" s="240">
        <v>-9999</v>
      </c>
      <c r="BR432" s="240">
        <v>51</v>
      </c>
      <c r="BS432" s="242">
        <v>-9999</v>
      </c>
      <c r="BT432" s="240">
        <v>-9999</v>
      </c>
      <c r="BU432" s="240">
        <v>-9999</v>
      </c>
      <c r="BV432" s="240">
        <v>-9999</v>
      </c>
      <c r="BW432" s="240"/>
      <c r="BX432" s="240">
        <v>-9999</v>
      </c>
      <c r="BY432" s="240">
        <v>-9999</v>
      </c>
      <c r="BZ432" s="334">
        <v>-9999</v>
      </c>
      <c r="CA432" s="334">
        <v>2.54</v>
      </c>
      <c r="CB432" s="247"/>
      <c r="CC432" s="240">
        <v>1</v>
      </c>
      <c r="CD432" s="240">
        <v>4</v>
      </c>
      <c r="CE432" s="292">
        <v>9</v>
      </c>
      <c r="CF432" s="292">
        <v>18.2</v>
      </c>
      <c r="CG432" s="25">
        <v>4</v>
      </c>
    </row>
    <row r="433" spans="1:1873" s="23" customFormat="1" x14ac:dyDescent="0.2">
      <c r="A433" s="29"/>
      <c r="B433" s="29"/>
      <c r="C433" s="29"/>
      <c r="D433" s="112"/>
      <c r="E433" s="82"/>
      <c r="F433" s="112"/>
      <c r="G433" s="112"/>
      <c r="H433" s="155"/>
      <c r="I433" s="29"/>
      <c r="J433" s="29"/>
      <c r="K433" s="29"/>
      <c r="L433" s="29"/>
      <c r="M433" s="157"/>
      <c r="N433" s="156"/>
      <c r="O433" s="45"/>
      <c r="P433" s="157"/>
      <c r="Q433" s="29"/>
      <c r="R433" s="31"/>
      <c r="S433" s="29"/>
      <c r="T433" s="157"/>
      <c r="U433" s="31"/>
      <c r="V433" s="31"/>
      <c r="W433" s="31"/>
      <c r="X433" s="31"/>
      <c r="Y433" s="31"/>
      <c r="Z433" s="29"/>
      <c r="AA433" s="116"/>
      <c r="AB433" s="157"/>
      <c r="AC433" s="29"/>
      <c r="AD433" s="29"/>
      <c r="AE433" s="29"/>
      <c r="AF433" s="29"/>
      <c r="AG433" s="29"/>
      <c r="AH433" s="29"/>
      <c r="AI433" s="29"/>
      <c r="AJ433" s="29"/>
      <c r="AK433" s="29"/>
      <c r="AL433" s="29"/>
      <c r="AM433" s="29"/>
      <c r="AN433" s="29"/>
      <c r="AO433" s="29"/>
      <c r="AP433" s="29"/>
      <c r="AQ433" s="29"/>
      <c r="AR433" s="29"/>
      <c r="AS433" s="29"/>
      <c r="AT433" s="29"/>
      <c r="AU433" s="29"/>
      <c r="AV433" s="29"/>
      <c r="AW433" s="29"/>
      <c r="AX433" s="29"/>
      <c r="AY433" s="29"/>
      <c r="AZ433" s="29"/>
      <c r="BA433" s="29"/>
      <c r="BB433" s="29"/>
      <c r="BC433" s="29"/>
      <c r="BD433" s="29"/>
      <c r="BE433" s="29"/>
      <c r="BF433" s="29"/>
      <c r="BG433" s="29"/>
      <c r="BH433" s="29"/>
      <c r="BI433" s="29"/>
      <c r="BJ433" s="29"/>
      <c r="BK433" s="29"/>
      <c r="BL433" s="112"/>
      <c r="BM433" s="29"/>
      <c r="BN433" s="29"/>
      <c r="BO433" s="29"/>
      <c r="BP433" s="29"/>
      <c r="BQ433" s="29"/>
      <c r="BR433" s="112"/>
      <c r="BS433" s="30"/>
      <c r="BT433" s="29"/>
      <c r="BU433" s="29"/>
      <c r="BV433" s="29"/>
      <c r="BW433" s="29"/>
      <c r="BX433" s="29"/>
      <c r="BY433" s="29"/>
      <c r="BZ433" s="98"/>
      <c r="CA433" s="98"/>
      <c r="CC433" s="112"/>
      <c r="CD433" s="112"/>
      <c r="CE433" s="292"/>
      <c r="CF433" s="292"/>
      <c r="CG433" s="155"/>
    </row>
    <row r="434" spans="1:1873" s="2" customFormat="1" x14ac:dyDescent="0.2">
      <c r="A434" s="25"/>
      <c r="B434" s="240"/>
      <c r="C434" s="240"/>
      <c r="D434" s="240"/>
      <c r="E434" s="305"/>
      <c r="F434" s="240"/>
      <c r="G434" s="240"/>
      <c r="H434" s="240"/>
      <c r="I434" s="240"/>
      <c r="J434" s="240"/>
      <c r="K434" s="240"/>
      <c r="L434" s="240"/>
      <c r="M434" s="421"/>
      <c r="N434" s="240"/>
      <c r="O434" s="1"/>
      <c r="P434" s="421"/>
      <c r="Q434" s="240"/>
      <c r="R434" s="421"/>
      <c r="S434" s="240"/>
      <c r="T434" s="421"/>
      <c r="U434" s="421"/>
      <c r="V434" s="421"/>
      <c r="W434" s="421"/>
      <c r="X434" s="451"/>
      <c r="Y434" s="451"/>
      <c r="Z434" s="240"/>
      <c r="AA434" s="552"/>
      <c r="AB434" s="421"/>
      <c r="AC434" s="240"/>
      <c r="AD434" s="240"/>
      <c r="AE434" s="240"/>
      <c r="AF434" s="240"/>
      <c r="AG434" s="240"/>
      <c r="AH434" s="240"/>
      <c r="AI434" s="240"/>
      <c r="AJ434" s="240"/>
      <c r="AK434" s="240"/>
      <c r="AL434" s="240"/>
      <c r="AM434" s="240"/>
      <c r="AN434" s="240"/>
      <c r="AO434" s="240"/>
      <c r="AP434" s="240"/>
      <c r="AQ434" s="240"/>
      <c r="AR434" s="240"/>
      <c r="AS434" s="240"/>
      <c r="AT434" s="240"/>
      <c r="AU434" s="240"/>
      <c r="AV434" s="240"/>
      <c r="AW434" s="240"/>
      <c r="AX434" s="240"/>
      <c r="AY434" s="240"/>
      <c r="AZ434" s="240"/>
      <c r="BA434" s="240"/>
      <c r="BB434" s="240"/>
      <c r="BC434" s="240"/>
      <c r="BD434" s="240"/>
      <c r="BE434" s="240"/>
      <c r="BF434" s="240"/>
      <c r="BG434" s="240"/>
      <c r="BH434" s="240"/>
      <c r="BI434" s="240"/>
      <c r="BJ434" s="240"/>
      <c r="BK434" s="240"/>
      <c r="BL434" s="240"/>
      <c r="BM434" s="240"/>
      <c r="BN434" s="240"/>
      <c r="BO434" s="240"/>
      <c r="BP434" s="240"/>
      <c r="BQ434" s="240"/>
      <c r="BR434" s="240"/>
      <c r="BS434" s="242">
        <v>-9999</v>
      </c>
      <c r="BT434" s="240"/>
      <c r="BU434" s="240"/>
      <c r="BV434" s="240"/>
      <c r="BW434" s="240"/>
      <c r="BX434" s="240"/>
      <c r="BY434" s="240"/>
      <c r="BZ434" s="334"/>
      <c r="CA434" s="334"/>
      <c r="CB434" s="446"/>
      <c r="CC434" s="240"/>
      <c r="CD434" s="240"/>
      <c r="CE434" s="342" t="s">
        <v>1576</v>
      </c>
      <c r="CF434" s="342" t="s">
        <v>1575</v>
      </c>
      <c r="CG434" s="25"/>
    </row>
    <row r="435" spans="1:1873" s="23" customFormat="1" x14ac:dyDescent="0.2">
      <c r="A435" s="329" t="s">
        <v>1838</v>
      </c>
      <c r="B435" s="240" t="s">
        <v>282</v>
      </c>
      <c r="C435" s="240" t="s">
        <v>903</v>
      </c>
      <c r="D435" s="240" t="s">
        <v>619</v>
      </c>
      <c r="E435" s="305" t="s">
        <v>1525</v>
      </c>
      <c r="F435" s="450">
        <v>1</v>
      </c>
      <c r="G435" s="450">
        <v>1</v>
      </c>
      <c r="H435" s="450">
        <v>1</v>
      </c>
      <c r="I435" s="223" t="s">
        <v>954</v>
      </c>
      <c r="J435" s="450">
        <v>1981</v>
      </c>
      <c r="K435" s="223" t="s">
        <v>957</v>
      </c>
      <c r="L435" s="450">
        <v>1981</v>
      </c>
      <c r="M435" s="550">
        <v>-9999</v>
      </c>
      <c r="N435" s="223">
        <v>-9999</v>
      </c>
      <c r="O435" s="29"/>
      <c r="P435" s="243" t="s">
        <v>59</v>
      </c>
      <c r="Q435" s="240">
        <v>-9999</v>
      </c>
      <c r="R435" s="421"/>
      <c r="S435" s="240"/>
      <c r="T435" s="243" t="s">
        <v>59</v>
      </c>
      <c r="U435" s="451">
        <v>-9999</v>
      </c>
      <c r="V435" s="451"/>
      <c r="W435" s="243" t="s">
        <v>59</v>
      </c>
      <c r="X435" s="451">
        <v>-9999</v>
      </c>
      <c r="Y435" s="451"/>
      <c r="Z435" s="404" t="s">
        <v>1839</v>
      </c>
      <c r="AA435" s="442">
        <v>27778</v>
      </c>
      <c r="AB435" s="243">
        <v>1</v>
      </c>
      <c r="AC435" s="245">
        <v>0.1</v>
      </c>
      <c r="AD435" s="223">
        <v>22.7</v>
      </c>
      <c r="AE435" s="223" t="s">
        <v>284</v>
      </c>
      <c r="AF435" s="450">
        <v>2</v>
      </c>
      <c r="AG435" s="223">
        <v>-9999</v>
      </c>
      <c r="AH435" s="223" t="s">
        <v>623</v>
      </c>
      <c r="AI435" s="223">
        <v>-9999</v>
      </c>
      <c r="AJ435" s="223">
        <v>-9999</v>
      </c>
      <c r="AK435" s="223">
        <v>-9999</v>
      </c>
      <c r="AL435" s="223">
        <v>-9999</v>
      </c>
      <c r="AM435" s="223">
        <v>-9999</v>
      </c>
      <c r="AN435" s="223" t="s">
        <v>626</v>
      </c>
      <c r="AO435" s="223">
        <v>-9999</v>
      </c>
      <c r="AP435" s="223" t="s">
        <v>285</v>
      </c>
      <c r="AQ435" s="223" t="s">
        <v>626</v>
      </c>
      <c r="AR435" s="223">
        <f>110*G435</f>
        <v>110</v>
      </c>
      <c r="AS435" s="450">
        <v>-9999</v>
      </c>
      <c r="AT435" s="223" t="s">
        <v>286</v>
      </c>
      <c r="AU435" s="450">
        <v>0</v>
      </c>
      <c r="AV435" s="450">
        <v>-9999</v>
      </c>
      <c r="AW435" s="450">
        <v>-9999</v>
      </c>
      <c r="AX435" s="450">
        <v>0</v>
      </c>
      <c r="AY435" s="450">
        <v>-9999</v>
      </c>
      <c r="AZ435" s="450"/>
      <c r="BA435" s="223">
        <v>-9999</v>
      </c>
      <c r="BB435" s="223" t="s">
        <v>631</v>
      </c>
      <c r="BC435" s="223">
        <v>-9999</v>
      </c>
      <c r="BD435" s="223">
        <v>-9999</v>
      </c>
      <c r="BE435" s="223">
        <v>-9999</v>
      </c>
      <c r="BF435" s="223" t="s">
        <v>753</v>
      </c>
      <c r="BG435" s="223">
        <v>-9999</v>
      </c>
      <c r="BH435" s="223">
        <v>-9999</v>
      </c>
      <c r="BI435" s="223">
        <v>-9999</v>
      </c>
      <c r="BJ435" s="223">
        <v>-9999</v>
      </c>
      <c r="BK435" s="223">
        <v>-9999</v>
      </c>
      <c r="BL435" s="223">
        <v>-9999</v>
      </c>
      <c r="BM435" s="223">
        <v>-9999</v>
      </c>
      <c r="BN435" s="223" t="s">
        <v>59</v>
      </c>
      <c r="BO435" s="223">
        <v>-9999</v>
      </c>
      <c r="BP435" s="223">
        <v>-9999</v>
      </c>
      <c r="BQ435" s="223">
        <v>-9999</v>
      </c>
      <c r="BR435" s="223">
        <v>-9999</v>
      </c>
      <c r="BS435" s="242">
        <v>-9999</v>
      </c>
      <c r="BT435" s="223">
        <v>-9999</v>
      </c>
      <c r="BU435" s="223">
        <v>-9999</v>
      </c>
      <c r="BV435" s="223">
        <v>-9999</v>
      </c>
      <c r="BW435" s="223"/>
      <c r="BX435" s="223">
        <v>-9999</v>
      </c>
      <c r="BY435" s="223">
        <v>-9999</v>
      </c>
      <c r="BZ435" s="332">
        <v>-9999</v>
      </c>
      <c r="CA435" s="332">
        <v>-9999</v>
      </c>
      <c r="CB435" s="247"/>
      <c r="CC435" s="450">
        <v>1</v>
      </c>
      <c r="CD435" s="450">
        <v>1</v>
      </c>
      <c r="CE435" s="292"/>
      <c r="CF435" s="292"/>
      <c r="CG435" s="76">
        <v>1</v>
      </c>
    </row>
    <row r="436" spans="1:1873" s="23" customFormat="1" x14ac:dyDescent="0.2">
      <c r="A436" s="329" t="s">
        <v>1838</v>
      </c>
      <c r="B436" s="240" t="s">
        <v>282</v>
      </c>
      <c r="C436" s="240" t="s">
        <v>903</v>
      </c>
      <c r="D436" s="240" t="s">
        <v>619</v>
      </c>
      <c r="E436" s="305" t="s">
        <v>1525</v>
      </c>
      <c r="F436" s="450">
        <v>1</v>
      </c>
      <c r="G436" s="450">
        <v>2</v>
      </c>
      <c r="H436" s="450">
        <v>2</v>
      </c>
      <c r="I436" s="223" t="s">
        <v>954</v>
      </c>
      <c r="J436" s="450">
        <v>1981</v>
      </c>
      <c r="K436" s="223" t="s">
        <v>957</v>
      </c>
      <c r="L436" s="450">
        <v>1982</v>
      </c>
      <c r="M436" s="550">
        <v>-9999</v>
      </c>
      <c r="N436" s="223">
        <v>-9999</v>
      </c>
      <c r="O436" s="29"/>
      <c r="P436" s="243">
        <v>4.4000000000000004</v>
      </c>
      <c r="Q436" s="240">
        <v>-9999</v>
      </c>
      <c r="R436" s="421"/>
      <c r="S436" s="240"/>
      <c r="T436" s="553">
        <f t="shared" ref="T436:T441" si="16">+P436/H436</f>
        <v>2.2000000000000002</v>
      </c>
      <c r="U436" s="451">
        <v>-9999</v>
      </c>
      <c r="V436" s="451"/>
      <c r="W436" s="244" t="s">
        <v>59</v>
      </c>
      <c r="X436" s="451">
        <v>-9999</v>
      </c>
      <c r="Y436" s="451"/>
      <c r="Z436" s="404" t="s">
        <v>1839</v>
      </c>
      <c r="AA436" s="551">
        <v>21100</v>
      </c>
      <c r="AB436" s="243">
        <f t="shared" ref="AB436:AB441" si="17">+AA436/$AA$435</f>
        <v>0.75959392324861397</v>
      </c>
      <c r="AC436" s="245">
        <v>0.1</v>
      </c>
      <c r="AD436" s="223">
        <v>22.7</v>
      </c>
      <c r="AE436" s="223" t="s">
        <v>284</v>
      </c>
      <c r="AF436" s="450">
        <v>2</v>
      </c>
      <c r="AG436" s="223">
        <v>-9999</v>
      </c>
      <c r="AH436" s="223" t="s">
        <v>623</v>
      </c>
      <c r="AI436" s="223">
        <v>-9999</v>
      </c>
      <c r="AJ436" s="223">
        <v>-9999</v>
      </c>
      <c r="AK436" s="223">
        <v>-9999</v>
      </c>
      <c r="AL436" s="223">
        <v>-9999</v>
      </c>
      <c r="AM436" s="223">
        <v>-9999</v>
      </c>
      <c r="AN436" s="223" t="s">
        <v>626</v>
      </c>
      <c r="AO436" s="223">
        <v>-9999</v>
      </c>
      <c r="AP436" s="223" t="s">
        <v>285</v>
      </c>
      <c r="AQ436" s="223" t="s">
        <v>626</v>
      </c>
      <c r="AR436" s="223">
        <f t="shared" ref="AR436:AR441" si="18">110+AR435</f>
        <v>220</v>
      </c>
      <c r="AS436" s="450">
        <v>-9999</v>
      </c>
      <c r="AT436" s="223" t="s">
        <v>286</v>
      </c>
      <c r="AU436" s="450">
        <v>0</v>
      </c>
      <c r="AV436" s="450">
        <v>-9999</v>
      </c>
      <c r="AW436" s="450">
        <v>-9999</v>
      </c>
      <c r="AX436" s="450">
        <v>0</v>
      </c>
      <c r="AY436" s="450">
        <v>-9999</v>
      </c>
      <c r="AZ436" s="450"/>
      <c r="BA436" s="223">
        <v>-9999</v>
      </c>
      <c r="BB436" s="223" t="s">
        <v>631</v>
      </c>
      <c r="BC436" s="223">
        <v>-9999</v>
      </c>
      <c r="BD436" s="223">
        <v>-9999</v>
      </c>
      <c r="BE436" s="223">
        <v>-9999</v>
      </c>
      <c r="BF436" s="223" t="s">
        <v>753</v>
      </c>
      <c r="BG436" s="223">
        <v>-9999</v>
      </c>
      <c r="BH436" s="223">
        <v>-9999</v>
      </c>
      <c r="BI436" s="223">
        <v>-9999</v>
      </c>
      <c r="BJ436" s="223">
        <v>-9999</v>
      </c>
      <c r="BK436" s="223">
        <v>-9999</v>
      </c>
      <c r="BL436" s="223">
        <v>-9999</v>
      </c>
      <c r="BM436" s="223">
        <v>-9999</v>
      </c>
      <c r="BN436" s="223">
        <v>1</v>
      </c>
      <c r="BO436" s="223">
        <v>-9999</v>
      </c>
      <c r="BP436" s="223">
        <v>-9999</v>
      </c>
      <c r="BQ436" s="223">
        <v>-9999</v>
      </c>
      <c r="BR436" s="223">
        <v>-9999</v>
      </c>
      <c r="BS436" s="242">
        <v>-9999</v>
      </c>
      <c r="BT436" s="223">
        <v>-9999</v>
      </c>
      <c r="BU436" s="223">
        <v>-9999</v>
      </c>
      <c r="BV436" s="223">
        <v>-9999</v>
      </c>
      <c r="BW436" s="223"/>
      <c r="BX436" s="223">
        <v>-9999</v>
      </c>
      <c r="BY436" s="223">
        <v>-9999</v>
      </c>
      <c r="BZ436" s="332">
        <v>-9999</v>
      </c>
      <c r="CA436" s="332">
        <v>-9999</v>
      </c>
      <c r="CB436" s="247"/>
      <c r="CC436" s="450">
        <v>1</v>
      </c>
      <c r="CD436" s="450">
        <v>2</v>
      </c>
      <c r="CE436" s="292">
        <v>2.2000000000000002</v>
      </c>
      <c r="CF436" s="292"/>
      <c r="CG436" s="76">
        <v>2</v>
      </c>
    </row>
    <row r="437" spans="1:1873" s="23" customFormat="1" x14ac:dyDescent="0.2">
      <c r="A437" s="329" t="s">
        <v>1838</v>
      </c>
      <c r="B437" s="240" t="s">
        <v>282</v>
      </c>
      <c r="C437" s="240" t="s">
        <v>903</v>
      </c>
      <c r="D437" s="240" t="s">
        <v>619</v>
      </c>
      <c r="E437" s="305" t="s">
        <v>1525</v>
      </c>
      <c r="F437" s="450">
        <v>1</v>
      </c>
      <c r="G437" s="450">
        <v>3</v>
      </c>
      <c r="H437" s="450">
        <v>3</v>
      </c>
      <c r="I437" s="223" t="s">
        <v>954</v>
      </c>
      <c r="J437" s="450">
        <v>1981</v>
      </c>
      <c r="K437" s="223" t="s">
        <v>957</v>
      </c>
      <c r="L437" s="450">
        <v>1983</v>
      </c>
      <c r="M437" s="550">
        <v>-9999</v>
      </c>
      <c r="N437" s="223">
        <v>-9999</v>
      </c>
      <c r="O437" s="29"/>
      <c r="P437" s="243">
        <v>17.5</v>
      </c>
      <c r="Q437" s="240">
        <v>-9999</v>
      </c>
      <c r="R437" s="421"/>
      <c r="S437" s="240"/>
      <c r="T437" s="553">
        <f t="shared" si="16"/>
        <v>5.833333333333333</v>
      </c>
      <c r="U437" s="451">
        <v>-9999</v>
      </c>
      <c r="V437" s="451"/>
      <c r="W437" s="244">
        <f>+P437-P436</f>
        <v>13.1</v>
      </c>
      <c r="X437" s="451">
        <v>-9999</v>
      </c>
      <c r="Y437" s="451"/>
      <c r="Z437" s="404" t="s">
        <v>1839</v>
      </c>
      <c r="AA437" s="551">
        <v>21000</v>
      </c>
      <c r="AB437" s="243">
        <f t="shared" si="17"/>
        <v>0.7559939520483836</v>
      </c>
      <c r="AC437" s="245">
        <v>0.1</v>
      </c>
      <c r="AD437" s="223">
        <v>22.7</v>
      </c>
      <c r="AE437" s="223" t="s">
        <v>284</v>
      </c>
      <c r="AF437" s="450">
        <v>2</v>
      </c>
      <c r="AG437" s="223">
        <v>-9999</v>
      </c>
      <c r="AH437" s="223" t="s">
        <v>623</v>
      </c>
      <c r="AI437" s="223">
        <v>-9999</v>
      </c>
      <c r="AJ437" s="223">
        <v>-9999</v>
      </c>
      <c r="AK437" s="223">
        <v>-9999</v>
      </c>
      <c r="AL437" s="223">
        <v>-9999</v>
      </c>
      <c r="AM437" s="223">
        <v>-9999</v>
      </c>
      <c r="AN437" s="223" t="s">
        <v>626</v>
      </c>
      <c r="AO437" s="223">
        <v>-9999</v>
      </c>
      <c r="AP437" s="223" t="s">
        <v>285</v>
      </c>
      <c r="AQ437" s="223" t="s">
        <v>626</v>
      </c>
      <c r="AR437" s="223">
        <f t="shared" si="18"/>
        <v>330</v>
      </c>
      <c r="AS437" s="450">
        <v>-9999</v>
      </c>
      <c r="AT437" s="223" t="s">
        <v>286</v>
      </c>
      <c r="AU437" s="450">
        <v>0</v>
      </c>
      <c r="AV437" s="450">
        <v>-9999</v>
      </c>
      <c r="AW437" s="450">
        <v>-9999</v>
      </c>
      <c r="AX437" s="450">
        <v>0</v>
      </c>
      <c r="AY437" s="450">
        <v>-9999</v>
      </c>
      <c r="AZ437" s="450"/>
      <c r="BA437" s="223">
        <v>-9999</v>
      </c>
      <c r="BB437" s="223" t="s">
        <v>631</v>
      </c>
      <c r="BC437" s="223">
        <v>-9999</v>
      </c>
      <c r="BD437" s="223">
        <v>-9999</v>
      </c>
      <c r="BE437" s="223">
        <v>-9999</v>
      </c>
      <c r="BF437" s="223" t="s">
        <v>753</v>
      </c>
      <c r="BG437" s="223">
        <v>-9999</v>
      </c>
      <c r="BH437" s="223">
        <v>-9999</v>
      </c>
      <c r="BI437" s="223">
        <v>-9999</v>
      </c>
      <c r="BJ437" s="223">
        <v>-9999</v>
      </c>
      <c r="BK437" s="223">
        <v>-9999</v>
      </c>
      <c r="BL437" s="223">
        <v>-9999</v>
      </c>
      <c r="BM437" s="223">
        <v>-9999</v>
      </c>
      <c r="BN437" s="223">
        <v>2.5</v>
      </c>
      <c r="BO437" s="223">
        <v>-9999</v>
      </c>
      <c r="BP437" s="223">
        <v>-9999</v>
      </c>
      <c r="BQ437" s="223">
        <v>-9999</v>
      </c>
      <c r="BR437" s="223">
        <v>-9999</v>
      </c>
      <c r="BS437" s="242">
        <v>-9999</v>
      </c>
      <c r="BT437" s="223">
        <v>-9999</v>
      </c>
      <c r="BU437" s="223">
        <v>-9999</v>
      </c>
      <c r="BV437" s="223">
        <v>-9999</v>
      </c>
      <c r="BW437" s="223"/>
      <c r="BX437" s="223">
        <v>-9999</v>
      </c>
      <c r="BY437" s="223">
        <v>-9999</v>
      </c>
      <c r="BZ437" s="332">
        <v>-9999</v>
      </c>
      <c r="CA437" s="332">
        <v>-9999</v>
      </c>
      <c r="CB437" s="247"/>
      <c r="CC437" s="450">
        <v>1</v>
      </c>
      <c r="CD437" s="450">
        <v>3</v>
      </c>
      <c r="CE437" s="292">
        <v>5.833333333333333</v>
      </c>
      <c r="CF437" s="292">
        <v>13.1</v>
      </c>
      <c r="CG437" s="76">
        <v>3</v>
      </c>
    </row>
    <row r="438" spans="1:1873" s="23" customFormat="1" x14ac:dyDescent="0.2">
      <c r="A438" s="329" t="s">
        <v>1838</v>
      </c>
      <c r="B438" s="240" t="s">
        <v>282</v>
      </c>
      <c r="C438" s="240" t="s">
        <v>903</v>
      </c>
      <c r="D438" s="240" t="s">
        <v>619</v>
      </c>
      <c r="E438" s="305" t="s">
        <v>1525</v>
      </c>
      <c r="F438" s="450">
        <v>1</v>
      </c>
      <c r="G438" s="450">
        <v>4</v>
      </c>
      <c r="H438" s="450">
        <v>4</v>
      </c>
      <c r="I438" s="223" t="s">
        <v>954</v>
      </c>
      <c r="J438" s="450">
        <v>1981</v>
      </c>
      <c r="K438" s="223" t="s">
        <v>957</v>
      </c>
      <c r="L438" s="450">
        <v>1984</v>
      </c>
      <c r="M438" s="550">
        <v>-9999</v>
      </c>
      <c r="N438" s="223">
        <v>-9999</v>
      </c>
      <c r="O438" s="29"/>
      <c r="P438" s="243">
        <v>35.799999999999997</v>
      </c>
      <c r="Q438" s="240">
        <v>-9999</v>
      </c>
      <c r="R438" s="421"/>
      <c r="S438" s="240"/>
      <c r="T438" s="553">
        <f t="shared" si="16"/>
        <v>8.9499999999999993</v>
      </c>
      <c r="U438" s="451">
        <v>-9999</v>
      </c>
      <c r="V438" s="451"/>
      <c r="W438" s="244">
        <f>+P438-P437</f>
        <v>18.299999999999997</v>
      </c>
      <c r="X438" s="451">
        <v>-9999</v>
      </c>
      <c r="Y438" s="451"/>
      <c r="Z438" s="404" t="s">
        <v>1839</v>
      </c>
      <c r="AA438" s="551">
        <v>20100</v>
      </c>
      <c r="AB438" s="243">
        <f t="shared" si="17"/>
        <v>0.72359421124631007</v>
      </c>
      <c r="AC438" s="245">
        <v>0.1</v>
      </c>
      <c r="AD438" s="223">
        <v>22.7</v>
      </c>
      <c r="AE438" s="223" t="s">
        <v>284</v>
      </c>
      <c r="AF438" s="450">
        <v>2</v>
      </c>
      <c r="AG438" s="223">
        <v>-9999</v>
      </c>
      <c r="AH438" s="223" t="s">
        <v>623</v>
      </c>
      <c r="AI438" s="223">
        <v>-9999</v>
      </c>
      <c r="AJ438" s="223">
        <v>-9999</v>
      </c>
      <c r="AK438" s="223">
        <v>-9999</v>
      </c>
      <c r="AL438" s="223">
        <v>-9999</v>
      </c>
      <c r="AM438" s="223">
        <v>-9999</v>
      </c>
      <c r="AN438" s="223" t="s">
        <v>626</v>
      </c>
      <c r="AO438" s="223">
        <v>-9999</v>
      </c>
      <c r="AP438" s="223" t="s">
        <v>285</v>
      </c>
      <c r="AQ438" s="223" t="s">
        <v>626</v>
      </c>
      <c r="AR438" s="223">
        <f t="shared" si="18"/>
        <v>440</v>
      </c>
      <c r="AS438" s="450">
        <v>-9999</v>
      </c>
      <c r="AT438" s="223" t="s">
        <v>286</v>
      </c>
      <c r="AU438" s="450">
        <v>0</v>
      </c>
      <c r="AV438" s="450">
        <v>-9999</v>
      </c>
      <c r="AW438" s="450">
        <v>-9999</v>
      </c>
      <c r="AX438" s="450">
        <v>0</v>
      </c>
      <c r="AY438" s="450">
        <v>-9999</v>
      </c>
      <c r="AZ438" s="450"/>
      <c r="BA438" s="223">
        <v>-9999</v>
      </c>
      <c r="BB438" s="223" t="s">
        <v>631</v>
      </c>
      <c r="BC438" s="223">
        <v>-9999</v>
      </c>
      <c r="BD438" s="223">
        <v>-9999</v>
      </c>
      <c r="BE438" s="223">
        <v>-9999</v>
      </c>
      <c r="BF438" s="223" t="s">
        <v>753</v>
      </c>
      <c r="BG438" s="223">
        <v>-9999</v>
      </c>
      <c r="BH438" s="223">
        <v>-9999</v>
      </c>
      <c r="BI438" s="223">
        <v>-9999</v>
      </c>
      <c r="BJ438" s="223">
        <v>-9999</v>
      </c>
      <c r="BK438" s="223">
        <v>-9999</v>
      </c>
      <c r="BL438" s="223">
        <v>-9999</v>
      </c>
      <c r="BM438" s="223">
        <v>-9999</v>
      </c>
      <c r="BN438" s="223">
        <v>3.6</v>
      </c>
      <c r="BO438" s="223">
        <v>-9999</v>
      </c>
      <c r="BP438" s="223">
        <v>-9999</v>
      </c>
      <c r="BQ438" s="223">
        <v>-9999</v>
      </c>
      <c r="BR438" s="223">
        <v>-9999</v>
      </c>
      <c r="BS438" s="242">
        <v>-9999</v>
      </c>
      <c r="BT438" s="223">
        <v>-9999</v>
      </c>
      <c r="BU438" s="223">
        <v>-9999</v>
      </c>
      <c r="BV438" s="223">
        <v>-9999</v>
      </c>
      <c r="BW438" s="223"/>
      <c r="BX438" s="223">
        <v>-9999</v>
      </c>
      <c r="BY438" s="223">
        <v>-9999</v>
      </c>
      <c r="BZ438" s="332">
        <v>-9999</v>
      </c>
      <c r="CA438" s="332">
        <v>-9999</v>
      </c>
      <c r="CB438" s="247"/>
      <c r="CC438" s="450">
        <v>1</v>
      </c>
      <c r="CD438" s="450">
        <v>4</v>
      </c>
      <c r="CE438" s="292">
        <v>8.9499999999999993</v>
      </c>
      <c r="CF438" s="292">
        <v>18.299999999999997</v>
      </c>
      <c r="CG438" s="76">
        <v>4</v>
      </c>
    </row>
    <row r="439" spans="1:1873" s="153" customFormat="1" x14ac:dyDescent="0.2">
      <c r="A439" s="329" t="s">
        <v>1838</v>
      </c>
      <c r="B439" s="240" t="s">
        <v>282</v>
      </c>
      <c r="C439" s="240" t="s">
        <v>903</v>
      </c>
      <c r="D439" s="240" t="s">
        <v>619</v>
      </c>
      <c r="E439" s="305" t="s">
        <v>1525</v>
      </c>
      <c r="F439" s="450">
        <v>1</v>
      </c>
      <c r="G439" s="450">
        <v>5</v>
      </c>
      <c r="H439" s="450">
        <v>5</v>
      </c>
      <c r="I439" s="223" t="s">
        <v>954</v>
      </c>
      <c r="J439" s="450">
        <v>1981</v>
      </c>
      <c r="K439" s="223" t="s">
        <v>957</v>
      </c>
      <c r="L439" s="450">
        <v>1985</v>
      </c>
      <c r="M439" s="550">
        <v>-9999</v>
      </c>
      <c r="N439" s="223">
        <v>-9999</v>
      </c>
      <c r="O439" s="29"/>
      <c r="P439" s="243">
        <v>50.6</v>
      </c>
      <c r="Q439" s="240">
        <v>-9999</v>
      </c>
      <c r="R439" s="421"/>
      <c r="S439" s="240"/>
      <c r="T439" s="553">
        <f t="shared" si="16"/>
        <v>10.120000000000001</v>
      </c>
      <c r="U439" s="451">
        <v>-9999</v>
      </c>
      <c r="V439" s="451"/>
      <c r="W439" s="244">
        <f>+P439-P438</f>
        <v>14.800000000000004</v>
      </c>
      <c r="X439" s="451">
        <v>-9999</v>
      </c>
      <c r="Y439" s="451"/>
      <c r="Z439" s="404" t="s">
        <v>1839</v>
      </c>
      <c r="AA439" s="551">
        <v>17300</v>
      </c>
      <c r="AB439" s="243">
        <f t="shared" si="17"/>
        <v>0.62279501763985889</v>
      </c>
      <c r="AC439" s="245">
        <v>0.1</v>
      </c>
      <c r="AD439" s="223">
        <v>22.7</v>
      </c>
      <c r="AE439" s="223" t="s">
        <v>284</v>
      </c>
      <c r="AF439" s="450">
        <v>2</v>
      </c>
      <c r="AG439" s="223">
        <v>-9999</v>
      </c>
      <c r="AH439" s="223" t="s">
        <v>623</v>
      </c>
      <c r="AI439" s="223">
        <v>-9999</v>
      </c>
      <c r="AJ439" s="223">
        <v>-9999</v>
      </c>
      <c r="AK439" s="223">
        <v>-9999</v>
      </c>
      <c r="AL439" s="223">
        <v>-9999</v>
      </c>
      <c r="AM439" s="223">
        <v>-9999</v>
      </c>
      <c r="AN439" s="223" t="s">
        <v>626</v>
      </c>
      <c r="AO439" s="223">
        <v>-9999</v>
      </c>
      <c r="AP439" s="223" t="s">
        <v>285</v>
      </c>
      <c r="AQ439" s="223" t="s">
        <v>626</v>
      </c>
      <c r="AR439" s="223">
        <f t="shared" si="18"/>
        <v>550</v>
      </c>
      <c r="AS439" s="450">
        <v>-9999</v>
      </c>
      <c r="AT439" s="223" t="s">
        <v>286</v>
      </c>
      <c r="AU439" s="450">
        <v>0</v>
      </c>
      <c r="AV439" s="450">
        <v>-9999</v>
      </c>
      <c r="AW439" s="450">
        <v>-9999</v>
      </c>
      <c r="AX439" s="450">
        <v>0</v>
      </c>
      <c r="AY439" s="450">
        <v>-9999</v>
      </c>
      <c r="AZ439" s="450"/>
      <c r="BA439" s="223">
        <v>-9999</v>
      </c>
      <c r="BB439" s="223" t="s">
        <v>631</v>
      </c>
      <c r="BC439" s="223">
        <v>-9999</v>
      </c>
      <c r="BD439" s="223">
        <v>-9999</v>
      </c>
      <c r="BE439" s="223">
        <v>-9999</v>
      </c>
      <c r="BF439" s="223" t="s">
        <v>753</v>
      </c>
      <c r="BG439" s="223">
        <v>-9999</v>
      </c>
      <c r="BH439" s="223">
        <v>-9999</v>
      </c>
      <c r="BI439" s="223">
        <v>-9999</v>
      </c>
      <c r="BJ439" s="223">
        <v>-9999</v>
      </c>
      <c r="BK439" s="223">
        <v>-9999</v>
      </c>
      <c r="BL439" s="223">
        <v>-9999</v>
      </c>
      <c r="BM439" s="223">
        <v>-9999</v>
      </c>
      <c r="BN439" s="223">
        <v>4.5</v>
      </c>
      <c r="BO439" s="223">
        <v>-9999</v>
      </c>
      <c r="BP439" s="223">
        <v>-9999</v>
      </c>
      <c r="BQ439" s="223">
        <v>-9999</v>
      </c>
      <c r="BR439" s="223">
        <v>-9999</v>
      </c>
      <c r="BS439" s="242">
        <v>-9999</v>
      </c>
      <c r="BT439" s="223">
        <v>-9999</v>
      </c>
      <c r="BU439" s="223">
        <v>-9999</v>
      </c>
      <c r="BV439" s="223">
        <v>-9999</v>
      </c>
      <c r="BW439" s="223"/>
      <c r="BX439" s="223">
        <v>-9999</v>
      </c>
      <c r="BY439" s="223">
        <v>-9999</v>
      </c>
      <c r="BZ439" s="332">
        <v>-9999</v>
      </c>
      <c r="CA439" s="332">
        <v>-9999</v>
      </c>
      <c r="CB439" s="247"/>
      <c r="CC439" s="450">
        <v>1</v>
      </c>
      <c r="CD439" s="450">
        <v>5</v>
      </c>
      <c r="CE439" s="292">
        <v>10.120000000000001</v>
      </c>
      <c r="CF439" s="292">
        <v>14.800000000000004</v>
      </c>
      <c r="CG439" s="76">
        <v>5</v>
      </c>
      <c r="CH439" s="23"/>
      <c r="CI439" s="23"/>
      <c r="CJ439" s="23"/>
      <c r="CK439" s="23"/>
      <c r="CL439" s="23"/>
      <c r="CM439" s="23"/>
      <c r="CN439" s="23"/>
      <c r="CO439" s="23"/>
      <c r="CP439" s="23"/>
      <c r="CQ439" s="23"/>
      <c r="CR439" s="23"/>
      <c r="CS439" s="23"/>
      <c r="CT439" s="23"/>
      <c r="CU439" s="23"/>
      <c r="CV439" s="23"/>
      <c r="CW439" s="23"/>
      <c r="CX439" s="23"/>
      <c r="CY439" s="23"/>
      <c r="CZ439" s="23"/>
      <c r="DA439" s="23"/>
      <c r="DB439" s="23"/>
      <c r="DC439" s="23"/>
      <c r="DD439" s="23"/>
      <c r="DE439" s="23"/>
      <c r="DF439" s="23"/>
      <c r="DG439" s="23"/>
      <c r="DH439" s="23"/>
      <c r="DI439" s="23"/>
      <c r="DJ439" s="23"/>
      <c r="DK439" s="23"/>
      <c r="DL439" s="23"/>
      <c r="DM439" s="23"/>
      <c r="DN439" s="23"/>
      <c r="DO439" s="23"/>
      <c r="DP439" s="23"/>
      <c r="DQ439" s="23"/>
      <c r="DR439" s="23"/>
      <c r="DS439" s="23"/>
      <c r="DT439" s="23"/>
      <c r="DU439" s="23"/>
      <c r="DV439" s="23"/>
      <c r="DW439" s="23"/>
      <c r="DX439" s="23"/>
      <c r="DY439" s="23"/>
      <c r="DZ439" s="23"/>
      <c r="EA439" s="23"/>
      <c r="EB439" s="23"/>
      <c r="EC439" s="23"/>
      <c r="ED439" s="23"/>
      <c r="EE439" s="23"/>
      <c r="EF439" s="23"/>
      <c r="EG439" s="23"/>
      <c r="EH439" s="23"/>
      <c r="EI439" s="23"/>
      <c r="EJ439" s="23"/>
      <c r="EK439" s="23"/>
      <c r="EL439" s="23"/>
      <c r="EM439" s="23"/>
      <c r="EN439" s="23"/>
      <c r="EO439" s="23"/>
      <c r="EP439" s="23"/>
      <c r="EQ439" s="23"/>
      <c r="ER439" s="23"/>
      <c r="ES439" s="23"/>
      <c r="ET439" s="23"/>
      <c r="EU439" s="23"/>
      <c r="EV439" s="23"/>
      <c r="EW439" s="23"/>
      <c r="EX439" s="23"/>
      <c r="EY439" s="23"/>
      <c r="EZ439" s="23"/>
      <c r="FA439" s="23"/>
      <c r="FB439" s="23"/>
      <c r="FC439" s="23"/>
      <c r="FD439" s="23"/>
      <c r="FE439" s="23"/>
      <c r="FF439" s="23"/>
      <c r="FG439" s="23"/>
      <c r="FH439" s="23"/>
      <c r="FI439" s="23"/>
      <c r="FJ439" s="23"/>
      <c r="FK439" s="23"/>
      <c r="FL439" s="23"/>
      <c r="FM439" s="23"/>
      <c r="FN439" s="23"/>
      <c r="FO439" s="23"/>
      <c r="FP439" s="23"/>
      <c r="FQ439" s="23"/>
      <c r="FR439" s="23"/>
      <c r="FS439" s="23"/>
      <c r="FT439" s="23"/>
      <c r="FU439" s="23"/>
      <c r="FV439" s="23"/>
      <c r="FW439" s="23"/>
      <c r="FX439" s="23"/>
      <c r="FY439" s="23"/>
      <c r="FZ439" s="23"/>
      <c r="GA439" s="23"/>
      <c r="GB439" s="23"/>
      <c r="GC439" s="23"/>
      <c r="GD439" s="23"/>
      <c r="GE439" s="23"/>
      <c r="GF439" s="23"/>
      <c r="GG439" s="23"/>
      <c r="GH439" s="23"/>
      <c r="GI439" s="23"/>
      <c r="GJ439" s="23"/>
      <c r="GK439" s="23"/>
      <c r="GL439" s="23"/>
      <c r="GM439" s="23"/>
      <c r="GN439" s="23"/>
      <c r="GO439" s="23"/>
      <c r="GP439" s="23"/>
      <c r="GQ439" s="23"/>
      <c r="GR439" s="23"/>
      <c r="GS439" s="23"/>
      <c r="GT439" s="23"/>
      <c r="GU439" s="23"/>
      <c r="GV439" s="23"/>
      <c r="GW439" s="23"/>
      <c r="GX439" s="23"/>
      <c r="GY439" s="23"/>
      <c r="GZ439" s="23"/>
      <c r="HA439" s="23"/>
      <c r="HB439" s="23"/>
      <c r="HC439" s="23"/>
      <c r="HD439" s="23"/>
      <c r="HE439" s="23"/>
      <c r="HF439" s="23"/>
      <c r="HG439" s="23"/>
      <c r="HH439" s="23"/>
      <c r="HI439" s="23"/>
      <c r="HJ439" s="23"/>
      <c r="HK439" s="23"/>
      <c r="HL439" s="23"/>
      <c r="HM439" s="23"/>
      <c r="HN439" s="23"/>
      <c r="HO439" s="23"/>
      <c r="HP439" s="23"/>
      <c r="HQ439" s="23"/>
      <c r="HR439" s="23"/>
      <c r="HS439" s="23"/>
      <c r="HT439" s="23"/>
      <c r="HU439" s="23"/>
      <c r="HV439" s="23"/>
      <c r="HW439" s="23"/>
      <c r="HX439" s="23"/>
      <c r="HY439" s="23"/>
      <c r="HZ439" s="23"/>
      <c r="IA439" s="23"/>
      <c r="IB439" s="23"/>
      <c r="IC439" s="23"/>
      <c r="ID439" s="23"/>
      <c r="IE439" s="23"/>
      <c r="IF439" s="23"/>
      <c r="IG439" s="23"/>
      <c r="IH439" s="23"/>
      <c r="II439" s="23"/>
      <c r="IJ439" s="23"/>
      <c r="IK439" s="23"/>
      <c r="IL439" s="23"/>
      <c r="IM439" s="23"/>
      <c r="IN439" s="23"/>
      <c r="IO439" s="23"/>
      <c r="IP439" s="23"/>
      <c r="IQ439" s="23"/>
      <c r="IR439" s="23"/>
      <c r="IS439" s="23"/>
      <c r="IT439" s="23"/>
      <c r="IU439" s="23"/>
      <c r="IV439" s="23"/>
      <c r="IW439" s="23"/>
      <c r="IX439" s="23"/>
      <c r="IY439" s="23"/>
      <c r="IZ439" s="23"/>
      <c r="JA439" s="23"/>
      <c r="JB439" s="23"/>
      <c r="JC439" s="23"/>
      <c r="JD439" s="23"/>
      <c r="JE439" s="23"/>
      <c r="JF439" s="23"/>
      <c r="JG439" s="23"/>
      <c r="JH439" s="23"/>
      <c r="JI439" s="23"/>
      <c r="JJ439" s="23"/>
      <c r="JK439" s="23"/>
      <c r="JL439" s="23"/>
      <c r="JM439" s="23"/>
      <c r="JN439" s="23"/>
      <c r="JO439" s="23"/>
      <c r="JP439" s="23"/>
      <c r="JQ439" s="23"/>
      <c r="JR439" s="23"/>
      <c r="JS439" s="23"/>
      <c r="JT439" s="23"/>
      <c r="JU439" s="23"/>
      <c r="JV439" s="23"/>
      <c r="JW439" s="23"/>
      <c r="JX439" s="23"/>
      <c r="JY439" s="23"/>
      <c r="JZ439" s="23"/>
      <c r="KA439" s="23"/>
      <c r="KB439" s="23"/>
      <c r="KC439" s="23"/>
      <c r="KD439" s="23"/>
      <c r="KE439" s="23"/>
      <c r="KF439" s="23"/>
      <c r="KG439" s="23"/>
      <c r="KH439" s="23"/>
      <c r="KI439" s="23"/>
      <c r="KJ439" s="23"/>
      <c r="KK439" s="23"/>
      <c r="KL439" s="23"/>
      <c r="KM439" s="23"/>
      <c r="KN439" s="23"/>
      <c r="KO439" s="23"/>
      <c r="KP439" s="23"/>
      <c r="KQ439" s="23"/>
      <c r="KR439" s="23"/>
      <c r="KS439" s="23"/>
      <c r="KT439" s="23"/>
      <c r="KU439" s="23"/>
      <c r="KV439" s="23"/>
      <c r="KW439" s="23"/>
      <c r="KX439" s="23"/>
      <c r="KY439" s="23"/>
      <c r="KZ439" s="23"/>
      <c r="LA439" s="23"/>
      <c r="LB439" s="23"/>
      <c r="LC439" s="23"/>
      <c r="LD439" s="23"/>
      <c r="LE439" s="23"/>
      <c r="LF439" s="23"/>
      <c r="LG439" s="23"/>
      <c r="LH439" s="23"/>
      <c r="LI439" s="23"/>
      <c r="LJ439" s="23"/>
      <c r="LK439" s="23"/>
      <c r="LL439" s="23"/>
      <c r="LM439" s="23"/>
      <c r="LN439" s="23"/>
      <c r="LO439" s="23"/>
      <c r="LP439" s="23"/>
      <c r="LQ439" s="23"/>
      <c r="LR439" s="23"/>
      <c r="LS439" s="23"/>
      <c r="LT439" s="23"/>
      <c r="LU439" s="23"/>
      <c r="LV439" s="23"/>
      <c r="LW439" s="23"/>
      <c r="LX439" s="23"/>
      <c r="LY439" s="23"/>
      <c r="LZ439" s="23"/>
      <c r="MA439" s="23"/>
      <c r="MB439" s="23"/>
      <c r="MC439" s="23"/>
      <c r="MD439" s="23"/>
      <c r="ME439" s="23"/>
      <c r="MF439" s="23"/>
      <c r="MG439" s="23"/>
      <c r="MH439" s="23"/>
      <c r="MI439" s="23"/>
      <c r="MJ439" s="23"/>
      <c r="MK439" s="23"/>
      <c r="ML439" s="23"/>
      <c r="MM439" s="23"/>
      <c r="MN439" s="23"/>
      <c r="MO439" s="23"/>
      <c r="MP439" s="23"/>
      <c r="MQ439" s="23"/>
      <c r="MR439" s="23"/>
      <c r="MS439" s="23"/>
      <c r="MT439" s="23"/>
      <c r="MU439" s="23"/>
      <c r="MV439" s="23"/>
      <c r="MW439" s="23"/>
      <c r="MX439" s="23"/>
      <c r="MY439" s="23"/>
      <c r="MZ439" s="23"/>
      <c r="NA439" s="23"/>
      <c r="NB439" s="23"/>
      <c r="NC439" s="23"/>
      <c r="ND439" s="23"/>
      <c r="NE439" s="23"/>
      <c r="NF439" s="23"/>
      <c r="NG439" s="23"/>
      <c r="NH439" s="23"/>
      <c r="NI439" s="23"/>
      <c r="NJ439" s="23"/>
      <c r="NK439" s="23"/>
      <c r="NL439" s="23"/>
      <c r="NM439" s="23"/>
      <c r="NN439" s="23"/>
      <c r="NO439" s="23"/>
      <c r="NP439" s="23"/>
      <c r="NQ439" s="23"/>
      <c r="NR439" s="23"/>
      <c r="NS439" s="23"/>
      <c r="NT439" s="23"/>
      <c r="NU439" s="23"/>
      <c r="NV439" s="23"/>
      <c r="NW439" s="23"/>
      <c r="NX439" s="23"/>
      <c r="NY439" s="23"/>
      <c r="NZ439" s="23"/>
      <c r="OA439" s="23"/>
      <c r="OB439" s="23"/>
      <c r="OC439" s="23"/>
      <c r="OD439" s="23"/>
      <c r="OE439" s="23"/>
      <c r="OF439" s="23"/>
      <c r="OG439" s="23"/>
      <c r="OH439" s="23"/>
      <c r="OI439" s="23"/>
      <c r="OJ439" s="23"/>
      <c r="OK439" s="23"/>
      <c r="OL439" s="23"/>
      <c r="OM439" s="23"/>
      <c r="ON439" s="23"/>
      <c r="OO439" s="23"/>
      <c r="OP439" s="23"/>
      <c r="OQ439" s="23"/>
      <c r="OR439" s="23"/>
      <c r="OS439" s="23"/>
      <c r="OT439" s="23"/>
      <c r="OU439" s="23"/>
      <c r="OV439" s="23"/>
      <c r="OW439" s="23"/>
      <c r="OX439" s="23"/>
      <c r="OY439" s="23"/>
      <c r="OZ439" s="23"/>
      <c r="PA439" s="23"/>
      <c r="PB439" s="23"/>
      <c r="PC439" s="23"/>
      <c r="PD439" s="23"/>
      <c r="PE439" s="23"/>
      <c r="PF439" s="23"/>
      <c r="PG439" s="23"/>
      <c r="PH439" s="23"/>
      <c r="PI439" s="23"/>
      <c r="PJ439" s="23"/>
      <c r="PK439" s="23"/>
      <c r="PL439" s="23"/>
      <c r="PM439" s="23"/>
      <c r="PN439" s="23"/>
      <c r="PO439" s="23"/>
      <c r="PP439" s="23"/>
      <c r="PQ439" s="23"/>
      <c r="PR439" s="23"/>
      <c r="PS439" s="23"/>
      <c r="PT439" s="23"/>
      <c r="PU439" s="23"/>
      <c r="PV439" s="23"/>
      <c r="PW439" s="23"/>
      <c r="PX439" s="23"/>
      <c r="PY439" s="23"/>
      <c r="PZ439" s="23"/>
      <c r="QA439" s="23"/>
      <c r="QB439" s="23"/>
      <c r="QC439" s="23"/>
      <c r="QD439" s="23"/>
      <c r="QE439" s="23"/>
      <c r="QF439" s="23"/>
      <c r="QG439" s="23"/>
      <c r="QH439" s="23"/>
      <c r="QI439" s="23"/>
      <c r="QJ439" s="23"/>
      <c r="QK439" s="23"/>
      <c r="QL439" s="23"/>
      <c r="QM439" s="23"/>
      <c r="QN439" s="23"/>
      <c r="QO439" s="23"/>
      <c r="QP439" s="23"/>
      <c r="QQ439" s="23"/>
      <c r="QR439" s="23"/>
      <c r="QS439" s="23"/>
      <c r="QT439" s="23"/>
      <c r="QU439" s="23"/>
      <c r="QV439" s="23"/>
      <c r="QW439" s="23"/>
      <c r="QX439" s="23"/>
      <c r="QY439" s="23"/>
      <c r="QZ439" s="23"/>
      <c r="RA439" s="23"/>
      <c r="RB439" s="23"/>
      <c r="RC439" s="23"/>
      <c r="RD439" s="23"/>
      <c r="RE439" s="23"/>
      <c r="RF439" s="23"/>
      <c r="RG439" s="23"/>
      <c r="RH439" s="23"/>
      <c r="RI439" s="23"/>
      <c r="RJ439" s="23"/>
      <c r="RK439" s="23"/>
      <c r="RL439" s="23"/>
      <c r="RM439" s="23"/>
      <c r="RN439" s="23"/>
      <c r="RO439" s="23"/>
      <c r="RP439" s="23"/>
      <c r="RQ439" s="23"/>
      <c r="RR439" s="23"/>
      <c r="RS439" s="23"/>
      <c r="RT439" s="23"/>
      <c r="RU439" s="23"/>
      <c r="RV439" s="23"/>
      <c r="RW439" s="23"/>
      <c r="RX439" s="23"/>
      <c r="RY439" s="23"/>
      <c r="RZ439" s="23"/>
      <c r="SA439" s="23"/>
      <c r="SB439" s="23"/>
      <c r="SC439" s="23"/>
      <c r="SD439" s="23"/>
      <c r="SE439" s="23"/>
      <c r="SF439" s="23"/>
      <c r="SG439" s="23"/>
      <c r="SH439" s="23"/>
      <c r="SI439" s="23"/>
      <c r="SJ439" s="23"/>
      <c r="SK439" s="23"/>
      <c r="SL439" s="23"/>
      <c r="SM439" s="23"/>
      <c r="SN439" s="23"/>
      <c r="SO439" s="23"/>
      <c r="SP439" s="23"/>
      <c r="SQ439" s="23"/>
      <c r="SR439" s="23"/>
      <c r="SS439" s="23"/>
      <c r="ST439" s="23"/>
      <c r="SU439" s="23"/>
      <c r="SV439" s="23"/>
      <c r="SW439" s="23"/>
      <c r="SX439" s="23"/>
      <c r="SY439" s="23"/>
      <c r="SZ439" s="23"/>
      <c r="TA439" s="23"/>
      <c r="TB439" s="23"/>
      <c r="TC439" s="23"/>
      <c r="TD439" s="23"/>
      <c r="TE439" s="23"/>
      <c r="TF439" s="23"/>
      <c r="TG439" s="23"/>
      <c r="TH439" s="23"/>
      <c r="TI439" s="23"/>
      <c r="TJ439" s="23"/>
      <c r="TK439" s="23"/>
      <c r="TL439" s="23"/>
      <c r="TM439" s="23"/>
      <c r="TN439" s="23"/>
      <c r="TO439" s="23"/>
      <c r="TP439" s="23"/>
      <c r="TQ439" s="23"/>
      <c r="TR439" s="23"/>
      <c r="TS439" s="23"/>
      <c r="TT439" s="23"/>
      <c r="TU439" s="23"/>
      <c r="TV439" s="23"/>
      <c r="TW439" s="23"/>
      <c r="TX439" s="23"/>
      <c r="TY439" s="23"/>
      <c r="TZ439" s="23"/>
      <c r="UA439" s="23"/>
      <c r="UB439" s="23"/>
      <c r="UC439" s="23"/>
      <c r="UD439" s="23"/>
      <c r="UE439" s="23"/>
      <c r="UF439" s="23"/>
      <c r="UG439" s="23"/>
      <c r="UH439" s="23"/>
      <c r="UI439" s="23"/>
      <c r="UJ439" s="23"/>
      <c r="UK439" s="23"/>
      <c r="UL439" s="23"/>
      <c r="UM439" s="23"/>
      <c r="UN439" s="23"/>
      <c r="UO439" s="23"/>
      <c r="UP439" s="23"/>
      <c r="UQ439" s="23"/>
      <c r="UR439" s="23"/>
      <c r="US439" s="23"/>
      <c r="UT439" s="23"/>
      <c r="UU439" s="23"/>
      <c r="UV439" s="23"/>
      <c r="UW439" s="23"/>
      <c r="UX439" s="23"/>
      <c r="UY439" s="23"/>
      <c r="UZ439" s="23"/>
      <c r="VA439" s="23"/>
      <c r="VB439" s="23"/>
      <c r="VC439" s="23"/>
      <c r="VD439" s="23"/>
      <c r="VE439" s="23"/>
      <c r="VF439" s="23"/>
      <c r="VG439" s="23"/>
      <c r="VH439" s="23"/>
      <c r="VI439" s="23"/>
      <c r="VJ439" s="23"/>
      <c r="VK439" s="23"/>
      <c r="VL439" s="23"/>
      <c r="VM439" s="23"/>
      <c r="VN439" s="23"/>
      <c r="VO439" s="23"/>
      <c r="VP439" s="23"/>
      <c r="VQ439" s="23"/>
      <c r="VR439" s="23"/>
      <c r="VS439" s="23"/>
      <c r="VT439" s="23"/>
      <c r="VU439" s="23"/>
      <c r="VV439" s="23"/>
      <c r="VW439" s="23"/>
      <c r="VX439" s="23"/>
      <c r="VY439" s="23"/>
      <c r="VZ439" s="23"/>
      <c r="WA439" s="23"/>
      <c r="WB439" s="23"/>
      <c r="WC439" s="23"/>
      <c r="WD439" s="23"/>
      <c r="WE439" s="23"/>
      <c r="WF439" s="23"/>
      <c r="WG439" s="23"/>
      <c r="WH439" s="23"/>
      <c r="WI439" s="23"/>
      <c r="WJ439" s="23"/>
      <c r="WK439" s="23"/>
      <c r="WL439" s="23"/>
      <c r="WM439" s="23"/>
      <c r="WN439" s="23"/>
      <c r="WO439" s="23"/>
      <c r="WP439" s="23"/>
      <c r="WQ439" s="23"/>
      <c r="WR439" s="23"/>
      <c r="WS439" s="23"/>
      <c r="WT439" s="23"/>
      <c r="WU439" s="23"/>
      <c r="WV439" s="23"/>
      <c r="WW439" s="23"/>
      <c r="WX439" s="23"/>
      <c r="WY439" s="23"/>
      <c r="WZ439" s="23"/>
      <c r="XA439" s="23"/>
      <c r="XB439" s="23"/>
      <c r="XC439" s="23"/>
      <c r="XD439" s="23"/>
      <c r="XE439" s="23"/>
      <c r="XF439" s="23"/>
      <c r="XG439" s="23"/>
      <c r="XH439" s="23"/>
      <c r="XI439" s="23"/>
      <c r="XJ439" s="23"/>
      <c r="XK439" s="23"/>
      <c r="XL439" s="23"/>
      <c r="XM439" s="23"/>
      <c r="XN439" s="23"/>
      <c r="XO439" s="23"/>
      <c r="XP439" s="23"/>
      <c r="XQ439" s="23"/>
      <c r="XR439" s="23"/>
      <c r="XS439" s="23"/>
      <c r="XT439" s="23"/>
      <c r="XU439" s="23"/>
      <c r="XV439" s="23"/>
      <c r="XW439" s="23"/>
      <c r="XX439" s="23"/>
      <c r="XY439" s="23"/>
      <c r="XZ439" s="23"/>
      <c r="YA439" s="23"/>
      <c r="YB439" s="23"/>
      <c r="YC439" s="23"/>
      <c r="YD439" s="23"/>
      <c r="YE439" s="23"/>
      <c r="YF439" s="23"/>
      <c r="YG439" s="23"/>
      <c r="YH439" s="23"/>
      <c r="YI439" s="23"/>
      <c r="YJ439" s="23"/>
      <c r="YK439" s="23"/>
      <c r="YL439" s="23"/>
      <c r="YM439" s="23"/>
      <c r="YN439" s="23"/>
      <c r="YO439" s="23"/>
      <c r="YP439" s="23"/>
      <c r="YQ439" s="23"/>
      <c r="YR439" s="23"/>
      <c r="YS439" s="23"/>
      <c r="YT439" s="23"/>
      <c r="YU439" s="23"/>
      <c r="YV439" s="23"/>
      <c r="YW439" s="23"/>
      <c r="YX439" s="23"/>
      <c r="YY439" s="23"/>
      <c r="YZ439" s="23"/>
      <c r="ZA439" s="23"/>
      <c r="ZB439" s="23"/>
      <c r="ZC439" s="23"/>
      <c r="ZD439" s="23"/>
      <c r="ZE439" s="23"/>
      <c r="ZF439" s="23"/>
      <c r="ZG439" s="23"/>
      <c r="ZH439" s="23"/>
      <c r="ZI439" s="23"/>
      <c r="ZJ439" s="23"/>
      <c r="ZK439" s="23"/>
      <c r="ZL439" s="23"/>
      <c r="ZM439" s="23"/>
      <c r="ZN439" s="23"/>
      <c r="ZO439" s="23"/>
      <c r="ZP439" s="23"/>
      <c r="ZQ439" s="23"/>
      <c r="ZR439" s="23"/>
      <c r="ZS439" s="23"/>
      <c r="ZT439" s="23"/>
      <c r="ZU439" s="23"/>
      <c r="ZV439" s="23"/>
      <c r="ZW439" s="23"/>
      <c r="ZX439" s="23"/>
      <c r="ZY439" s="23"/>
      <c r="ZZ439" s="23"/>
      <c r="AAA439" s="23"/>
      <c r="AAB439" s="23"/>
      <c r="AAC439" s="23"/>
      <c r="AAD439" s="23"/>
      <c r="AAE439" s="23"/>
      <c r="AAF439" s="23"/>
      <c r="AAG439" s="23"/>
      <c r="AAH439" s="23"/>
      <c r="AAI439" s="23"/>
      <c r="AAJ439" s="23"/>
      <c r="AAK439" s="23"/>
      <c r="AAL439" s="23"/>
      <c r="AAM439" s="23"/>
      <c r="AAN439" s="23"/>
      <c r="AAO439" s="23"/>
      <c r="AAP439" s="23"/>
      <c r="AAQ439" s="23"/>
      <c r="AAR439" s="23"/>
      <c r="AAS439" s="23"/>
      <c r="AAT439" s="23"/>
      <c r="AAU439" s="23"/>
      <c r="AAV439" s="23"/>
      <c r="AAW439" s="23"/>
      <c r="AAX439" s="23"/>
      <c r="AAY439" s="23"/>
      <c r="AAZ439" s="23"/>
      <c r="ABA439" s="23"/>
      <c r="ABB439" s="23"/>
      <c r="ABC439" s="23"/>
      <c r="ABD439" s="23"/>
      <c r="ABE439" s="23"/>
      <c r="ABF439" s="23"/>
      <c r="ABG439" s="23"/>
      <c r="ABH439" s="23"/>
      <c r="ABI439" s="23"/>
      <c r="ABJ439" s="23"/>
      <c r="ABK439" s="23"/>
      <c r="ABL439" s="23"/>
      <c r="ABM439" s="23"/>
      <c r="ABN439" s="23"/>
      <c r="ABO439" s="23"/>
      <c r="ABP439" s="23"/>
      <c r="ABQ439" s="23"/>
      <c r="ABR439" s="23"/>
      <c r="ABS439" s="23"/>
      <c r="ABT439" s="23"/>
      <c r="ABU439" s="23"/>
      <c r="ABV439" s="23"/>
      <c r="ABW439" s="23"/>
      <c r="ABX439" s="23"/>
      <c r="ABY439" s="23"/>
      <c r="ABZ439" s="23"/>
      <c r="ACA439" s="23"/>
      <c r="ACB439" s="23"/>
      <c r="ACC439" s="23"/>
      <c r="ACD439" s="23"/>
      <c r="ACE439" s="23"/>
      <c r="ACF439" s="23"/>
      <c r="ACG439" s="23"/>
      <c r="ACH439" s="23"/>
      <c r="ACI439" s="23"/>
      <c r="ACJ439" s="23"/>
      <c r="ACK439" s="23"/>
      <c r="ACL439" s="23"/>
      <c r="ACM439" s="23"/>
      <c r="ACN439" s="23"/>
      <c r="ACO439" s="23"/>
      <c r="ACP439" s="23"/>
      <c r="ACQ439" s="23"/>
      <c r="ACR439" s="23"/>
      <c r="ACS439" s="23"/>
      <c r="ACT439" s="23"/>
      <c r="ACU439" s="23"/>
      <c r="ACV439" s="23"/>
      <c r="ACW439" s="23"/>
      <c r="ACX439" s="23"/>
      <c r="ACY439" s="23"/>
      <c r="ACZ439" s="23"/>
      <c r="ADA439" s="23"/>
      <c r="ADB439" s="23"/>
      <c r="ADC439" s="23"/>
      <c r="ADD439" s="23"/>
      <c r="ADE439" s="23"/>
      <c r="ADF439" s="23"/>
      <c r="ADG439" s="23"/>
      <c r="ADH439" s="23"/>
      <c r="ADI439" s="23"/>
      <c r="ADJ439" s="23"/>
      <c r="ADK439" s="23"/>
      <c r="ADL439" s="23"/>
      <c r="ADM439" s="23"/>
      <c r="ADN439" s="23"/>
      <c r="ADO439" s="23"/>
      <c r="ADP439" s="23"/>
      <c r="ADQ439" s="23"/>
      <c r="ADR439" s="23"/>
      <c r="ADS439" s="23"/>
      <c r="ADT439" s="23"/>
      <c r="ADU439" s="23"/>
      <c r="ADV439" s="23"/>
      <c r="ADW439" s="23"/>
      <c r="ADX439" s="23"/>
      <c r="ADY439" s="23"/>
      <c r="ADZ439" s="23"/>
      <c r="AEA439" s="23"/>
      <c r="AEB439" s="23"/>
      <c r="AEC439" s="23"/>
      <c r="AED439" s="23"/>
      <c r="AEE439" s="23"/>
      <c r="AEF439" s="23"/>
      <c r="AEG439" s="23"/>
      <c r="AEH439" s="23"/>
      <c r="AEI439" s="23"/>
      <c r="AEJ439" s="23"/>
      <c r="AEK439" s="23"/>
      <c r="AEL439" s="23"/>
      <c r="AEM439" s="23"/>
      <c r="AEN439" s="23"/>
      <c r="AEO439" s="23"/>
      <c r="AEP439" s="23"/>
      <c r="AEQ439" s="23"/>
      <c r="AER439" s="23"/>
      <c r="AES439" s="23"/>
      <c r="AET439" s="23"/>
      <c r="AEU439" s="23"/>
      <c r="AEV439" s="23"/>
      <c r="AEW439" s="23"/>
      <c r="AEX439" s="23"/>
      <c r="AEY439" s="23"/>
      <c r="AEZ439" s="23"/>
      <c r="AFA439" s="23"/>
      <c r="AFB439" s="23"/>
      <c r="AFC439" s="23"/>
      <c r="AFD439" s="23"/>
      <c r="AFE439" s="23"/>
      <c r="AFF439" s="23"/>
      <c r="AFG439" s="23"/>
      <c r="AFH439" s="23"/>
      <c r="AFI439" s="23"/>
      <c r="AFJ439" s="23"/>
      <c r="AFK439" s="23"/>
      <c r="AFL439" s="23"/>
      <c r="AFM439" s="23"/>
      <c r="AFN439" s="23"/>
      <c r="AFO439" s="23"/>
      <c r="AFP439" s="23"/>
      <c r="AFQ439" s="23"/>
      <c r="AFR439" s="23"/>
      <c r="AFS439" s="23"/>
      <c r="AFT439" s="23"/>
      <c r="AFU439" s="23"/>
      <c r="AFV439" s="23"/>
      <c r="AFW439" s="23"/>
      <c r="AFX439" s="23"/>
      <c r="AFY439" s="23"/>
      <c r="AFZ439" s="23"/>
      <c r="AGA439" s="23"/>
      <c r="AGB439" s="23"/>
      <c r="AGC439" s="23"/>
      <c r="AGD439" s="23"/>
      <c r="AGE439" s="23"/>
      <c r="AGF439" s="23"/>
      <c r="AGG439" s="23"/>
      <c r="AGH439" s="23"/>
      <c r="AGI439" s="23"/>
      <c r="AGJ439" s="23"/>
      <c r="AGK439" s="23"/>
      <c r="AGL439" s="23"/>
      <c r="AGM439" s="23"/>
      <c r="AGN439" s="23"/>
      <c r="AGO439" s="23"/>
      <c r="AGP439" s="23"/>
      <c r="AGQ439" s="23"/>
      <c r="AGR439" s="23"/>
      <c r="AGS439" s="23"/>
      <c r="AGT439" s="23"/>
      <c r="AGU439" s="23"/>
      <c r="AGV439" s="23"/>
      <c r="AGW439" s="23"/>
      <c r="AGX439" s="23"/>
      <c r="AGY439" s="23"/>
      <c r="AGZ439" s="23"/>
      <c r="AHA439" s="23"/>
      <c r="AHB439" s="23"/>
      <c r="AHC439" s="23"/>
      <c r="AHD439" s="23"/>
      <c r="AHE439" s="23"/>
      <c r="AHF439" s="23"/>
      <c r="AHG439" s="23"/>
      <c r="AHH439" s="23"/>
      <c r="AHI439" s="23"/>
      <c r="AHJ439" s="23"/>
      <c r="AHK439" s="23"/>
      <c r="AHL439" s="23"/>
      <c r="AHM439" s="23"/>
      <c r="AHN439" s="23"/>
      <c r="AHO439" s="23"/>
      <c r="AHP439" s="23"/>
      <c r="AHQ439" s="23"/>
      <c r="AHR439" s="23"/>
      <c r="AHS439" s="23"/>
      <c r="AHT439" s="23"/>
      <c r="AHU439" s="23"/>
      <c r="AHV439" s="23"/>
      <c r="AHW439" s="23"/>
      <c r="AHX439" s="23"/>
      <c r="AHY439" s="23"/>
      <c r="AHZ439" s="23"/>
      <c r="AIA439" s="23"/>
      <c r="AIB439" s="23"/>
      <c r="AIC439" s="23"/>
      <c r="AID439" s="23"/>
      <c r="AIE439" s="23"/>
      <c r="AIF439" s="23"/>
      <c r="AIG439" s="23"/>
      <c r="AIH439" s="23"/>
      <c r="AII439" s="23"/>
      <c r="AIJ439" s="23"/>
      <c r="AIK439" s="23"/>
      <c r="AIL439" s="23"/>
      <c r="AIM439" s="23"/>
      <c r="AIN439" s="23"/>
      <c r="AIO439" s="23"/>
      <c r="AIP439" s="23"/>
      <c r="AIQ439" s="23"/>
      <c r="AIR439" s="23"/>
      <c r="AIS439" s="23"/>
      <c r="AIT439" s="23"/>
      <c r="AIU439" s="23"/>
      <c r="AIV439" s="23"/>
      <c r="AIW439" s="23"/>
      <c r="AIX439" s="23"/>
      <c r="AIY439" s="23"/>
      <c r="AIZ439" s="23"/>
      <c r="AJA439" s="23"/>
      <c r="AJB439" s="23"/>
      <c r="AJC439" s="23"/>
      <c r="AJD439" s="23"/>
      <c r="AJE439" s="23"/>
      <c r="AJF439" s="23"/>
      <c r="AJG439" s="23"/>
      <c r="AJH439" s="23"/>
      <c r="AJI439" s="23"/>
      <c r="AJJ439" s="23"/>
      <c r="AJK439" s="23"/>
      <c r="AJL439" s="23"/>
      <c r="AJM439" s="23"/>
      <c r="AJN439" s="23"/>
      <c r="AJO439" s="23"/>
      <c r="AJP439" s="23"/>
      <c r="AJQ439" s="23"/>
      <c r="AJR439" s="23"/>
      <c r="AJS439" s="23"/>
      <c r="AJT439" s="23"/>
      <c r="AJU439" s="23"/>
      <c r="AJV439" s="23"/>
      <c r="AJW439" s="23"/>
      <c r="AJX439" s="23"/>
      <c r="AJY439" s="23"/>
      <c r="AJZ439" s="23"/>
      <c r="AKA439" s="23"/>
      <c r="AKB439" s="23"/>
      <c r="AKC439" s="23"/>
      <c r="AKD439" s="23"/>
      <c r="AKE439" s="23"/>
      <c r="AKF439" s="23"/>
      <c r="AKG439" s="23"/>
      <c r="AKH439" s="23"/>
      <c r="AKI439" s="23"/>
      <c r="AKJ439" s="23"/>
      <c r="AKK439" s="23"/>
      <c r="AKL439" s="23"/>
      <c r="AKM439" s="23"/>
      <c r="AKN439" s="23"/>
      <c r="AKO439" s="23"/>
      <c r="AKP439" s="23"/>
      <c r="AKQ439" s="23"/>
      <c r="AKR439" s="23"/>
      <c r="AKS439" s="23"/>
      <c r="AKT439" s="23"/>
      <c r="AKU439" s="23"/>
      <c r="AKV439" s="23"/>
      <c r="AKW439" s="23"/>
      <c r="AKX439" s="23"/>
      <c r="AKY439" s="23"/>
      <c r="AKZ439" s="23"/>
      <c r="ALA439" s="23"/>
      <c r="ALB439" s="23"/>
      <c r="ALC439" s="23"/>
      <c r="ALD439" s="23"/>
      <c r="ALE439" s="23"/>
      <c r="ALF439" s="23"/>
      <c r="ALG439" s="23"/>
      <c r="ALH439" s="23"/>
      <c r="ALI439" s="23"/>
      <c r="ALJ439" s="23"/>
      <c r="ALK439" s="23"/>
      <c r="ALL439" s="23"/>
      <c r="ALM439" s="23"/>
      <c r="ALN439" s="23"/>
      <c r="ALO439" s="23"/>
      <c r="ALP439" s="23"/>
      <c r="ALQ439" s="23"/>
      <c r="ALR439" s="23"/>
      <c r="ALS439" s="23"/>
      <c r="ALT439" s="23"/>
      <c r="ALU439" s="23"/>
      <c r="ALV439" s="23"/>
      <c r="ALW439" s="23"/>
      <c r="ALX439" s="23"/>
      <c r="ALY439" s="23"/>
      <c r="ALZ439" s="23"/>
      <c r="AMA439" s="23"/>
      <c r="AMB439" s="23"/>
      <c r="AMC439" s="23"/>
      <c r="AMD439" s="23"/>
      <c r="AME439" s="23"/>
      <c r="AMF439" s="23"/>
      <c r="AMG439" s="23"/>
      <c r="AMH439" s="23"/>
      <c r="AMI439" s="23"/>
      <c r="AMJ439" s="23"/>
      <c r="AMK439" s="23"/>
      <c r="AML439" s="23"/>
      <c r="AMM439" s="23"/>
      <c r="AMN439" s="23"/>
      <c r="AMO439" s="23"/>
      <c r="AMP439" s="23"/>
      <c r="AMQ439" s="23"/>
      <c r="AMR439" s="23"/>
      <c r="AMS439" s="23"/>
      <c r="AMT439" s="23"/>
      <c r="AMU439" s="23"/>
      <c r="AMV439" s="23"/>
      <c r="AMW439" s="23"/>
      <c r="AMX439" s="23"/>
      <c r="AMY439" s="23"/>
      <c r="AMZ439" s="23"/>
      <c r="ANA439" s="23"/>
      <c r="ANB439" s="23"/>
      <c r="ANC439" s="23"/>
      <c r="AND439" s="23"/>
      <c r="ANE439" s="23"/>
      <c r="ANF439" s="23"/>
      <c r="ANG439" s="23"/>
      <c r="ANH439" s="23"/>
      <c r="ANI439" s="23"/>
      <c r="ANJ439" s="23"/>
      <c r="ANK439" s="23"/>
      <c r="ANL439" s="23"/>
      <c r="ANM439" s="23"/>
      <c r="ANN439" s="23"/>
      <c r="ANO439" s="23"/>
      <c r="ANP439" s="23"/>
      <c r="ANQ439" s="23"/>
      <c r="ANR439" s="23"/>
      <c r="ANS439" s="23"/>
      <c r="ANT439" s="23"/>
      <c r="ANU439" s="23"/>
      <c r="ANV439" s="23"/>
      <c r="ANW439" s="23"/>
      <c r="ANX439" s="23"/>
      <c r="ANY439" s="23"/>
      <c r="ANZ439" s="23"/>
      <c r="AOA439" s="23"/>
      <c r="AOB439" s="23"/>
      <c r="AOC439" s="23"/>
      <c r="AOD439" s="23"/>
      <c r="AOE439" s="23"/>
      <c r="AOF439" s="23"/>
      <c r="AOG439" s="23"/>
      <c r="AOH439" s="23"/>
      <c r="AOI439" s="23"/>
      <c r="AOJ439" s="23"/>
      <c r="AOK439" s="23"/>
      <c r="AOL439" s="23"/>
      <c r="AOM439" s="23"/>
      <c r="AON439" s="23"/>
      <c r="AOO439" s="23"/>
      <c r="AOP439" s="23"/>
      <c r="AOQ439" s="23"/>
      <c r="AOR439" s="23"/>
      <c r="AOS439" s="23"/>
      <c r="AOT439" s="23"/>
      <c r="AOU439" s="23"/>
      <c r="AOV439" s="23"/>
      <c r="AOW439" s="23"/>
      <c r="AOX439" s="23"/>
      <c r="AOY439" s="23"/>
      <c r="AOZ439" s="23"/>
      <c r="APA439" s="23"/>
      <c r="APB439" s="23"/>
      <c r="APC439" s="23"/>
      <c r="APD439" s="23"/>
      <c r="APE439" s="23"/>
      <c r="APF439" s="23"/>
      <c r="APG439" s="23"/>
      <c r="APH439" s="23"/>
      <c r="API439" s="23"/>
      <c r="APJ439" s="23"/>
      <c r="APK439" s="23"/>
      <c r="APL439" s="23"/>
      <c r="APM439" s="23"/>
      <c r="APN439" s="23"/>
      <c r="APO439" s="23"/>
      <c r="APP439" s="23"/>
      <c r="APQ439" s="23"/>
      <c r="APR439" s="23"/>
      <c r="APS439" s="23"/>
      <c r="APT439" s="23"/>
      <c r="APU439" s="23"/>
      <c r="APV439" s="23"/>
      <c r="APW439" s="23"/>
      <c r="APX439" s="23"/>
      <c r="APY439" s="23"/>
      <c r="APZ439" s="23"/>
      <c r="AQA439" s="23"/>
      <c r="AQB439" s="23"/>
      <c r="AQC439" s="23"/>
      <c r="AQD439" s="23"/>
      <c r="AQE439" s="23"/>
      <c r="AQF439" s="23"/>
      <c r="AQG439" s="23"/>
      <c r="AQH439" s="23"/>
      <c r="AQI439" s="23"/>
      <c r="AQJ439" s="23"/>
      <c r="AQK439" s="23"/>
      <c r="AQL439" s="23"/>
      <c r="AQM439" s="23"/>
      <c r="AQN439" s="23"/>
      <c r="AQO439" s="23"/>
      <c r="AQP439" s="23"/>
      <c r="AQQ439" s="23"/>
      <c r="AQR439" s="23"/>
      <c r="AQS439" s="23"/>
      <c r="AQT439" s="23"/>
      <c r="AQU439" s="23"/>
      <c r="AQV439" s="23"/>
      <c r="AQW439" s="23"/>
      <c r="AQX439" s="23"/>
      <c r="AQY439" s="23"/>
      <c r="AQZ439" s="23"/>
      <c r="ARA439" s="23"/>
      <c r="ARB439" s="23"/>
      <c r="ARC439" s="23"/>
      <c r="ARD439" s="23"/>
      <c r="ARE439" s="23"/>
      <c r="ARF439" s="23"/>
      <c r="ARG439" s="23"/>
      <c r="ARH439" s="23"/>
      <c r="ARI439" s="23"/>
      <c r="ARJ439" s="23"/>
      <c r="ARK439" s="23"/>
      <c r="ARL439" s="23"/>
      <c r="ARM439" s="23"/>
      <c r="ARN439" s="23"/>
      <c r="ARO439" s="23"/>
      <c r="ARP439" s="23"/>
      <c r="ARQ439" s="23"/>
      <c r="ARR439" s="23"/>
      <c r="ARS439" s="23"/>
      <c r="ART439" s="23"/>
      <c r="ARU439" s="23"/>
      <c r="ARV439" s="23"/>
      <c r="ARW439" s="23"/>
      <c r="ARX439" s="23"/>
      <c r="ARY439" s="23"/>
      <c r="ARZ439" s="23"/>
      <c r="ASA439" s="23"/>
      <c r="ASB439" s="23"/>
      <c r="ASC439" s="23"/>
      <c r="ASD439" s="23"/>
      <c r="ASE439" s="23"/>
      <c r="ASF439" s="23"/>
      <c r="ASG439" s="23"/>
      <c r="ASH439" s="23"/>
      <c r="ASI439" s="23"/>
      <c r="ASJ439" s="23"/>
      <c r="ASK439" s="23"/>
      <c r="ASL439" s="23"/>
      <c r="ASM439" s="23"/>
      <c r="ASN439" s="23"/>
      <c r="ASO439" s="23"/>
      <c r="ASP439" s="23"/>
      <c r="ASQ439" s="23"/>
      <c r="ASR439" s="23"/>
      <c r="ASS439" s="23"/>
      <c r="AST439" s="23"/>
      <c r="ASU439" s="23"/>
      <c r="ASV439" s="23"/>
      <c r="ASW439" s="23"/>
      <c r="ASX439" s="23"/>
      <c r="ASY439" s="23"/>
      <c r="ASZ439" s="23"/>
      <c r="ATA439" s="23"/>
      <c r="ATB439" s="23"/>
      <c r="ATC439" s="23"/>
      <c r="ATD439" s="23"/>
      <c r="ATE439" s="23"/>
      <c r="ATF439" s="23"/>
      <c r="ATG439" s="23"/>
      <c r="ATH439" s="23"/>
      <c r="ATI439" s="23"/>
      <c r="ATJ439" s="23"/>
      <c r="ATK439" s="23"/>
      <c r="ATL439" s="23"/>
      <c r="ATM439" s="23"/>
      <c r="ATN439" s="23"/>
      <c r="ATO439" s="23"/>
      <c r="ATP439" s="23"/>
      <c r="ATQ439" s="23"/>
      <c r="ATR439" s="23"/>
      <c r="ATS439" s="23"/>
      <c r="ATT439" s="23"/>
      <c r="ATU439" s="23"/>
      <c r="ATV439" s="23"/>
      <c r="ATW439" s="23"/>
      <c r="ATX439" s="23"/>
      <c r="ATY439" s="23"/>
      <c r="ATZ439" s="23"/>
      <c r="AUA439" s="23"/>
      <c r="AUB439" s="23"/>
      <c r="AUC439" s="23"/>
      <c r="AUD439" s="23"/>
      <c r="AUE439" s="23"/>
      <c r="AUF439" s="23"/>
      <c r="AUG439" s="23"/>
      <c r="AUH439" s="23"/>
      <c r="AUI439" s="23"/>
      <c r="AUJ439" s="23"/>
      <c r="AUK439" s="23"/>
      <c r="AUL439" s="23"/>
      <c r="AUM439" s="23"/>
      <c r="AUN439" s="23"/>
      <c r="AUO439" s="23"/>
      <c r="AUP439" s="23"/>
      <c r="AUQ439" s="23"/>
      <c r="AUR439" s="23"/>
      <c r="AUS439" s="23"/>
      <c r="AUT439" s="23"/>
      <c r="AUU439" s="23"/>
      <c r="AUV439" s="23"/>
      <c r="AUW439" s="23"/>
      <c r="AUX439" s="23"/>
      <c r="AUY439" s="23"/>
      <c r="AUZ439" s="23"/>
      <c r="AVA439" s="23"/>
      <c r="AVB439" s="23"/>
      <c r="AVC439" s="23"/>
      <c r="AVD439" s="23"/>
      <c r="AVE439" s="23"/>
      <c r="AVF439" s="23"/>
      <c r="AVG439" s="23"/>
      <c r="AVH439" s="23"/>
      <c r="AVI439" s="23"/>
      <c r="AVJ439" s="23"/>
      <c r="AVK439" s="23"/>
      <c r="AVL439" s="23"/>
      <c r="AVM439" s="23"/>
      <c r="AVN439" s="23"/>
      <c r="AVO439" s="23"/>
      <c r="AVP439" s="23"/>
      <c r="AVQ439" s="23"/>
      <c r="AVR439" s="23"/>
      <c r="AVS439" s="23"/>
      <c r="AVT439" s="23"/>
      <c r="AVU439" s="23"/>
      <c r="AVV439" s="23"/>
      <c r="AVW439" s="23"/>
      <c r="AVX439" s="23"/>
      <c r="AVY439" s="23"/>
      <c r="AVZ439" s="23"/>
      <c r="AWA439" s="23"/>
      <c r="AWB439" s="23"/>
      <c r="AWC439" s="23"/>
      <c r="AWD439" s="23"/>
      <c r="AWE439" s="23"/>
      <c r="AWF439" s="23"/>
      <c r="AWG439" s="23"/>
      <c r="AWH439" s="23"/>
      <c r="AWI439" s="23"/>
      <c r="AWJ439" s="23"/>
      <c r="AWK439" s="23"/>
      <c r="AWL439" s="23"/>
      <c r="AWM439" s="23"/>
      <c r="AWN439" s="23"/>
      <c r="AWO439" s="23"/>
      <c r="AWP439" s="23"/>
      <c r="AWQ439" s="23"/>
      <c r="AWR439" s="23"/>
      <c r="AWS439" s="23"/>
      <c r="AWT439" s="23"/>
      <c r="AWU439" s="23"/>
      <c r="AWV439" s="23"/>
      <c r="AWW439" s="23"/>
      <c r="AWX439" s="23"/>
      <c r="AWY439" s="23"/>
      <c r="AWZ439" s="23"/>
      <c r="AXA439" s="23"/>
      <c r="AXB439" s="23"/>
      <c r="AXC439" s="23"/>
      <c r="AXD439" s="23"/>
      <c r="AXE439" s="23"/>
      <c r="AXF439" s="23"/>
      <c r="AXG439" s="23"/>
      <c r="AXH439" s="23"/>
      <c r="AXI439" s="23"/>
      <c r="AXJ439" s="23"/>
      <c r="AXK439" s="23"/>
      <c r="AXL439" s="23"/>
      <c r="AXM439" s="23"/>
      <c r="AXN439" s="23"/>
      <c r="AXO439" s="23"/>
      <c r="AXP439" s="23"/>
      <c r="AXQ439" s="23"/>
      <c r="AXR439" s="23"/>
      <c r="AXS439" s="23"/>
      <c r="AXT439" s="23"/>
      <c r="AXU439" s="23"/>
      <c r="AXV439" s="23"/>
      <c r="AXW439" s="23"/>
      <c r="AXX439" s="23"/>
      <c r="AXY439" s="23"/>
      <c r="AXZ439" s="23"/>
      <c r="AYA439" s="23"/>
      <c r="AYB439" s="23"/>
      <c r="AYC439" s="23"/>
      <c r="AYD439" s="23"/>
      <c r="AYE439" s="23"/>
      <c r="AYF439" s="23"/>
      <c r="AYG439" s="23"/>
      <c r="AYH439" s="23"/>
      <c r="AYI439" s="23"/>
      <c r="AYJ439" s="23"/>
      <c r="AYK439" s="23"/>
      <c r="AYL439" s="23"/>
      <c r="AYM439" s="23"/>
      <c r="AYN439" s="23"/>
      <c r="AYO439" s="23"/>
      <c r="AYP439" s="23"/>
      <c r="AYQ439" s="23"/>
      <c r="AYR439" s="23"/>
      <c r="AYS439" s="23"/>
      <c r="AYT439" s="23"/>
      <c r="AYU439" s="23"/>
      <c r="AYV439" s="23"/>
      <c r="AYW439" s="23"/>
      <c r="AYX439" s="23"/>
      <c r="AYY439" s="23"/>
      <c r="AYZ439" s="23"/>
      <c r="AZA439" s="23"/>
      <c r="AZB439" s="23"/>
      <c r="AZC439" s="23"/>
      <c r="AZD439" s="23"/>
      <c r="AZE439" s="23"/>
      <c r="AZF439" s="23"/>
      <c r="AZG439" s="23"/>
      <c r="AZH439" s="23"/>
      <c r="AZI439" s="23"/>
      <c r="AZJ439" s="23"/>
      <c r="AZK439" s="23"/>
      <c r="AZL439" s="23"/>
      <c r="AZM439" s="23"/>
      <c r="AZN439" s="23"/>
      <c r="AZO439" s="23"/>
      <c r="AZP439" s="23"/>
      <c r="AZQ439" s="23"/>
      <c r="AZR439" s="23"/>
      <c r="AZS439" s="23"/>
      <c r="AZT439" s="23"/>
      <c r="AZU439" s="23"/>
      <c r="AZV439" s="23"/>
      <c r="AZW439" s="23"/>
      <c r="AZX439" s="23"/>
      <c r="AZY439" s="23"/>
      <c r="AZZ439" s="23"/>
      <c r="BAA439" s="23"/>
      <c r="BAB439" s="23"/>
      <c r="BAC439" s="23"/>
      <c r="BAD439" s="23"/>
      <c r="BAE439" s="23"/>
      <c r="BAF439" s="23"/>
      <c r="BAG439" s="23"/>
      <c r="BAH439" s="23"/>
      <c r="BAI439" s="23"/>
      <c r="BAJ439" s="23"/>
      <c r="BAK439" s="23"/>
      <c r="BAL439" s="23"/>
      <c r="BAM439" s="23"/>
      <c r="BAN439" s="23"/>
      <c r="BAO439" s="23"/>
      <c r="BAP439" s="23"/>
      <c r="BAQ439" s="23"/>
      <c r="BAR439" s="23"/>
      <c r="BAS439" s="23"/>
      <c r="BAT439" s="23"/>
      <c r="BAU439" s="23"/>
      <c r="BAV439" s="23"/>
      <c r="BAW439" s="23"/>
      <c r="BAX439" s="23"/>
      <c r="BAY439" s="23"/>
      <c r="BAZ439" s="23"/>
      <c r="BBA439" s="23"/>
      <c r="BBB439" s="23"/>
      <c r="BBC439" s="23"/>
      <c r="BBD439" s="23"/>
      <c r="BBE439" s="23"/>
      <c r="BBF439" s="23"/>
      <c r="BBG439" s="23"/>
      <c r="BBH439" s="23"/>
      <c r="BBI439" s="23"/>
      <c r="BBJ439" s="23"/>
      <c r="BBK439" s="23"/>
      <c r="BBL439" s="23"/>
      <c r="BBM439" s="23"/>
      <c r="BBN439" s="23"/>
      <c r="BBO439" s="23"/>
      <c r="BBP439" s="23"/>
      <c r="BBQ439" s="23"/>
      <c r="BBR439" s="23"/>
      <c r="BBS439" s="23"/>
      <c r="BBT439" s="23"/>
      <c r="BBU439" s="23"/>
      <c r="BBV439" s="23"/>
      <c r="BBW439" s="23"/>
      <c r="BBX439" s="23"/>
      <c r="BBY439" s="23"/>
      <c r="BBZ439" s="23"/>
      <c r="BCA439" s="23"/>
      <c r="BCB439" s="23"/>
      <c r="BCC439" s="23"/>
      <c r="BCD439" s="23"/>
      <c r="BCE439" s="23"/>
      <c r="BCF439" s="23"/>
      <c r="BCG439" s="23"/>
      <c r="BCH439" s="23"/>
      <c r="BCI439" s="23"/>
      <c r="BCJ439" s="23"/>
      <c r="BCK439" s="23"/>
      <c r="BCL439" s="23"/>
      <c r="BCM439" s="23"/>
      <c r="BCN439" s="23"/>
      <c r="BCO439" s="23"/>
      <c r="BCP439" s="23"/>
      <c r="BCQ439" s="23"/>
      <c r="BCR439" s="23"/>
      <c r="BCS439" s="23"/>
      <c r="BCT439" s="23"/>
      <c r="BCU439" s="23"/>
      <c r="BCV439" s="23"/>
      <c r="BCW439" s="23"/>
      <c r="BCX439" s="23"/>
      <c r="BCY439" s="23"/>
      <c r="BCZ439" s="23"/>
      <c r="BDA439" s="23"/>
      <c r="BDB439" s="23"/>
      <c r="BDC439" s="23"/>
      <c r="BDD439" s="23"/>
      <c r="BDE439" s="23"/>
      <c r="BDF439" s="23"/>
      <c r="BDG439" s="23"/>
      <c r="BDH439" s="23"/>
      <c r="BDI439" s="23"/>
      <c r="BDJ439" s="23"/>
      <c r="BDK439" s="23"/>
      <c r="BDL439" s="23"/>
      <c r="BDM439" s="23"/>
      <c r="BDN439" s="23"/>
      <c r="BDO439" s="23"/>
      <c r="BDP439" s="23"/>
      <c r="BDQ439" s="23"/>
      <c r="BDR439" s="23"/>
      <c r="BDS439" s="23"/>
      <c r="BDT439" s="23"/>
      <c r="BDU439" s="23"/>
      <c r="BDV439" s="23"/>
      <c r="BDW439" s="23"/>
      <c r="BDX439" s="23"/>
      <c r="BDY439" s="23"/>
      <c r="BDZ439" s="23"/>
      <c r="BEA439" s="23"/>
      <c r="BEB439" s="23"/>
      <c r="BEC439" s="23"/>
      <c r="BED439" s="23"/>
      <c r="BEE439" s="23"/>
      <c r="BEF439" s="23"/>
      <c r="BEG439" s="23"/>
      <c r="BEH439" s="23"/>
      <c r="BEI439" s="23"/>
      <c r="BEJ439" s="23"/>
      <c r="BEK439" s="23"/>
      <c r="BEL439" s="23"/>
      <c r="BEM439" s="23"/>
      <c r="BEN439" s="23"/>
      <c r="BEO439" s="23"/>
      <c r="BEP439" s="23"/>
      <c r="BEQ439" s="23"/>
      <c r="BER439" s="23"/>
      <c r="BES439" s="23"/>
      <c r="BET439" s="23"/>
      <c r="BEU439" s="23"/>
      <c r="BEV439" s="23"/>
      <c r="BEW439" s="23"/>
      <c r="BEX439" s="23"/>
      <c r="BEY439" s="23"/>
      <c r="BEZ439" s="23"/>
      <c r="BFA439" s="23"/>
      <c r="BFB439" s="23"/>
      <c r="BFC439" s="23"/>
      <c r="BFD439" s="23"/>
      <c r="BFE439" s="23"/>
      <c r="BFF439" s="23"/>
      <c r="BFG439" s="23"/>
      <c r="BFH439" s="23"/>
      <c r="BFI439" s="23"/>
      <c r="BFJ439" s="23"/>
      <c r="BFK439" s="23"/>
      <c r="BFL439" s="23"/>
      <c r="BFM439" s="23"/>
      <c r="BFN439" s="23"/>
      <c r="BFO439" s="23"/>
      <c r="BFP439" s="23"/>
      <c r="BFQ439" s="23"/>
      <c r="BFR439" s="23"/>
      <c r="BFS439" s="23"/>
      <c r="BFT439" s="23"/>
      <c r="BFU439" s="23"/>
      <c r="BFV439" s="23"/>
      <c r="BFW439" s="23"/>
      <c r="BFX439" s="23"/>
      <c r="BFY439" s="23"/>
      <c r="BFZ439" s="23"/>
      <c r="BGA439" s="23"/>
      <c r="BGB439" s="23"/>
      <c r="BGC439" s="23"/>
      <c r="BGD439" s="23"/>
      <c r="BGE439" s="23"/>
      <c r="BGF439" s="23"/>
      <c r="BGG439" s="23"/>
      <c r="BGH439" s="23"/>
      <c r="BGI439" s="23"/>
      <c r="BGJ439" s="23"/>
      <c r="BGK439" s="23"/>
      <c r="BGL439" s="23"/>
      <c r="BGM439" s="23"/>
      <c r="BGN439" s="23"/>
      <c r="BGO439" s="23"/>
      <c r="BGP439" s="23"/>
      <c r="BGQ439" s="23"/>
      <c r="BGR439" s="23"/>
      <c r="BGS439" s="23"/>
      <c r="BGT439" s="23"/>
      <c r="BGU439" s="23"/>
      <c r="BGV439" s="23"/>
      <c r="BGW439" s="23"/>
      <c r="BGX439" s="23"/>
      <c r="BGY439" s="23"/>
      <c r="BGZ439" s="23"/>
      <c r="BHA439" s="23"/>
      <c r="BHB439" s="23"/>
      <c r="BHC439" s="23"/>
      <c r="BHD439" s="23"/>
      <c r="BHE439" s="23"/>
      <c r="BHF439" s="23"/>
      <c r="BHG439" s="23"/>
      <c r="BHH439" s="23"/>
      <c r="BHI439" s="23"/>
      <c r="BHJ439" s="23"/>
      <c r="BHK439" s="23"/>
      <c r="BHL439" s="23"/>
      <c r="BHM439" s="23"/>
      <c r="BHN439" s="23"/>
      <c r="BHO439" s="23"/>
      <c r="BHP439" s="23"/>
      <c r="BHQ439" s="23"/>
      <c r="BHR439" s="23"/>
      <c r="BHS439" s="23"/>
      <c r="BHT439" s="23"/>
      <c r="BHU439" s="23"/>
      <c r="BHV439" s="23"/>
      <c r="BHW439" s="23"/>
      <c r="BHX439" s="23"/>
      <c r="BHY439" s="23"/>
      <c r="BHZ439" s="23"/>
      <c r="BIA439" s="23"/>
      <c r="BIB439" s="23"/>
      <c r="BIC439" s="23"/>
      <c r="BID439" s="23"/>
      <c r="BIE439" s="23"/>
      <c r="BIF439" s="23"/>
      <c r="BIG439" s="23"/>
      <c r="BIH439" s="23"/>
      <c r="BII439" s="23"/>
      <c r="BIJ439" s="23"/>
      <c r="BIK439" s="23"/>
      <c r="BIL439" s="23"/>
      <c r="BIM439" s="23"/>
      <c r="BIN439" s="23"/>
      <c r="BIO439" s="23"/>
      <c r="BIP439" s="23"/>
      <c r="BIQ439" s="23"/>
      <c r="BIR439" s="23"/>
      <c r="BIS439" s="23"/>
      <c r="BIT439" s="23"/>
      <c r="BIU439" s="23"/>
      <c r="BIV439" s="23"/>
      <c r="BIW439" s="23"/>
      <c r="BIX439" s="23"/>
      <c r="BIY439" s="23"/>
      <c r="BIZ439" s="23"/>
      <c r="BJA439" s="23"/>
      <c r="BJB439" s="23"/>
      <c r="BJC439" s="23"/>
      <c r="BJD439" s="23"/>
      <c r="BJE439" s="23"/>
      <c r="BJF439" s="23"/>
      <c r="BJG439" s="23"/>
      <c r="BJH439" s="23"/>
      <c r="BJI439" s="23"/>
      <c r="BJJ439" s="23"/>
      <c r="BJK439" s="23"/>
      <c r="BJL439" s="23"/>
      <c r="BJM439" s="23"/>
      <c r="BJN439" s="23"/>
      <c r="BJO439" s="23"/>
      <c r="BJP439" s="23"/>
      <c r="BJQ439" s="23"/>
      <c r="BJR439" s="23"/>
      <c r="BJS439" s="23"/>
      <c r="BJT439" s="23"/>
      <c r="BJU439" s="23"/>
      <c r="BJV439" s="23"/>
      <c r="BJW439" s="23"/>
      <c r="BJX439" s="23"/>
      <c r="BJY439" s="23"/>
      <c r="BJZ439" s="23"/>
      <c r="BKA439" s="23"/>
      <c r="BKB439" s="23"/>
      <c r="BKC439" s="23"/>
      <c r="BKD439" s="23"/>
      <c r="BKE439" s="23"/>
      <c r="BKF439" s="23"/>
      <c r="BKG439" s="23"/>
      <c r="BKH439" s="23"/>
      <c r="BKI439" s="23"/>
      <c r="BKJ439" s="23"/>
      <c r="BKK439" s="23"/>
      <c r="BKL439" s="23"/>
      <c r="BKM439" s="23"/>
      <c r="BKN439" s="23"/>
      <c r="BKO439" s="23"/>
      <c r="BKP439" s="23"/>
      <c r="BKQ439" s="23"/>
      <c r="BKR439" s="23"/>
      <c r="BKS439" s="23"/>
      <c r="BKT439" s="23"/>
      <c r="BKU439" s="23"/>
      <c r="BKV439" s="23"/>
      <c r="BKW439" s="23"/>
      <c r="BKX439" s="23"/>
      <c r="BKY439" s="23"/>
      <c r="BKZ439" s="23"/>
      <c r="BLA439" s="23"/>
      <c r="BLB439" s="23"/>
      <c r="BLC439" s="23"/>
      <c r="BLD439" s="23"/>
      <c r="BLE439" s="23"/>
      <c r="BLF439" s="23"/>
      <c r="BLG439" s="23"/>
      <c r="BLH439" s="23"/>
      <c r="BLI439" s="23"/>
      <c r="BLJ439" s="23"/>
      <c r="BLK439" s="23"/>
      <c r="BLL439" s="23"/>
      <c r="BLM439" s="23"/>
      <c r="BLN439" s="23"/>
      <c r="BLO439" s="23"/>
      <c r="BLP439" s="23"/>
      <c r="BLQ439" s="23"/>
      <c r="BLR439" s="23"/>
      <c r="BLS439" s="23"/>
      <c r="BLT439" s="23"/>
      <c r="BLU439" s="23"/>
      <c r="BLV439" s="23"/>
      <c r="BLW439" s="23"/>
      <c r="BLX439" s="23"/>
      <c r="BLY439" s="23"/>
      <c r="BLZ439" s="23"/>
      <c r="BMA439" s="23"/>
      <c r="BMB439" s="23"/>
      <c r="BMC439" s="23"/>
      <c r="BMD439" s="23"/>
      <c r="BME439" s="23"/>
      <c r="BMF439" s="23"/>
      <c r="BMG439" s="23"/>
      <c r="BMH439" s="23"/>
      <c r="BMI439" s="23"/>
      <c r="BMJ439" s="23"/>
      <c r="BMK439" s="23"/>
      <c r="BML439" s="23"/>
      <c r="BMM439" s="23"/>
      <c r="BMN439" s="23"/>
      <c r="BMO439" s="23"/>
      <c r="BMP439" s="23"/>
      <c r="BMQ439" s="23"/>
      <c r="BMR439" s="23"/>
      <c r="BMS439" s="23"/>
      <c r="BMT439" s="23"/>
      <c r="BMU439" s="23"/>
      <c r="BMV439" s="23"/>
      <c r="BMW439" s="23"/>
      <c r="BMX439" s="23"/>
      <c r="BMY439" s="23"/>
      <c r="BMZ439" s="23"/>
      <c r="BNA439" s="23"/>
      <c r="BNB439" s="23"/>
      <c r="BNC439" s="23"/>
      <c r="BND439" s="23"/>
      <c r="BNE439" s="23"/>
      <c r="BNF439" s="23"/>
      <c r="BNG439" s="23"/>
      <c r="BNH439" s="23"/>
      <c r="BNI439" s="23"/>
      <c r="BNJ439" s="23"/>
      <c r="BNK439" s="23"/>
      <c r="BNL439" s="23"/>
      <c r="BNM439" s="23"/>
      <c r="BNN439" s="23"/>
      <c r="BNO439" s="23"/>
      <c r="BNP439" s="23"/>
      <c r="BNQ439" s="23"/>
      <c r="BNR439" s="23"/>
      <c r="BNS439" s="23"/>
      <c r="BNT439" s="23"/>
      <c r="BNU439" s="23"/>
      <c r="BNV439" s="23"/>
      <c r="BNW439" s="23"/>
      <c r="BNX439" s="23"/>
      <c r="BNY439" s="23"/>
      <c r="BNZ439" s="23"/>
      <c r="BOA439" s="23"/>
      <c r="BOB439" s="23"/>
      <c r="BOC439" s="23"/>
      <c r="BOD439" s="23"/>
      <c r="BOE439" s="23"/>
      <c r="BOF439" s="23"/>
      <c r="BOG439" s="23"/>
      <c r="BOH439" s="23"/>
      <c r="BOI439" s="23"/>
      <c r="BOJ439" s="23"/>
      <c r="BOK439" s="23"/>
      <c r="BOL439" s="23"/>
      <c r="BOM439" s="23"/>
      <c r="BON439" s="23"/>
      <c r="BOO439" s="23"/>
      <c r="BOP439" s="23"/>
      <c r="BOQ439" s="23"/>
      <c r="BOR439" s="23"/>
      <c r="BOS439" s="23"/>
      <c r="BOT439" s="23"/>
      <c r="BOU439" s="23"/>
      <c r="BOV439" s="23"/>
      <c r="BOW439" s="23"/>
      <c r="BOX439" s="23"/>
      <c r="BOY439" s="23"/>
      <c r="BOZ439" s="23"/>
      <c r="BPA439" s="23"/>
      <c r="BPB439" s="23"/>
      <c r="BPC439" s="23"/>
      <c r="BPD439" s="23"/>
      <c r="BPE439" s="23"/>
      <c r="BPF439" s="23"/>
      <c r="BPG439" s="23"/>
      <c r="BPH439" s="23"/>
      <c r="BPI439" s="23"/>
      <c r="BPJ439" s="23"/>
      <c r="BPK439" s="23"/>
      <c r="BPL439" s="23"/>
      <c r="BPM439" s="23"/>
      <c r="BPN439" s="23"/>
      <c r="BPO439" s="23"/>
      <c r="BPP439" s="23"/>
      <c r="BPQ439" s="23"/>
      <c r="BPR439" s="23"/>
      <c r="BPS439" s="23"/>
      <c r="BPT439" s="23"/>
      <c r="BPU439" s="23"/>
      <c r="BPV439" s="23"/>
      <c r="BPW439" s="23"/>
      <c r="BPX439" s="23"/>
      <c r="BPY439" s="23"/>
      <c r="BPZ439" s="23"/>
      <c r="BQA439" s="23"/>
      <c r="BQB439" s="23"/>
      <c r="BQC439" s="23"/>
      <c r="BQD439" s="23"/>
      <c r="BQE439" s="23"/>
      <c r="BQF439" s="23"/>
      <c r="BQG439" s="23"/>
      <c r="BQH439" s="23"/>
      <c r="BQI439" s="23"/>
      <c r="BQJ439" s="23"/>
      <c r="BQK439" s="23"/>
      <c r="BQL439" s="23"/>
      <c r="BQM439" s="23"/>
      <c r="BQN439" s="23"/>
      <c r="BQO439" s="23"/>
      <c r="BQP439" s="23"/>
      <c r="BQQ439" s="23"/>
      <c r="BQR439" s="23"/>
      <c r="BQS439" s="23"/>
      <c r="BQT439" s="23"/>
      <c r="BQU439" s="23"/>
      <c r="BQV439" s="23"/>
      <c r="BQW439" s="23"/>
      <c r="BQX439" s="23"/>
      <c r="BQY439" s="23"/>
      <c r="BQZ439" s="23"/>
      <c r="BRA439" s="23"/>
      <c r="BRB439" s="23"/>
      <c r="BRC439" s="23"/>
      <c r="BRD439" s="23"/>
      <c r="BRE439" s="23"/>
      <c r="BRF439" s="23"/>
      <c r="BRG439" s="23"/>
      <c r="BRH439" s="23"/>
      <c r="BRI439" s="23"/>
      <c r="BRJ439" s="23"/>
      <c r="BRK439" s="23"/>
      <c r="BRL439" s="23"/>
      <c r="BRM439" s="23"/>
      <c r="BRN439" s="23"/>
      <c r="BRO439" s="23"/>
      <c r="BRP439" s="23"/>
      <c r="BRQ439" s="23"/>
      <c r="BRR439" s="23"/>
      <c r="BRS439" s="23"/>
      <c r="BRT439" s="23"/>
      <c r="BRU439" s="23"/>
      <c r="BRV439" s="23"/>
      <c r="BRW439" s="23"/>
      <c r="BRX439" s="23"/>
      <c r="BRY439" s="23"/>
      <c r="BRZ439" s="23"/>
      <c r="BSA439" s="23"/>
      <c r="BSB439" s="23"/>
      <c r="BSC439" s="23"/>
      <c r="BSD439" s="23"/>
      <c r="BSE439" s="23"/>
      <c r="BSF439" s="23"/>
      <c r="BSG439" s="23"/>
      <c r="BSH439" s="23"/>
      <c r="BSI439" s="23"/>
      <c r="BSJ439" s="23"/>
      <c r="BSK439" s="23"/>
      <c r="BSL439" s="23"/>
      <c r="BSM439" s="23"/>
      <c r="BSN439" s="23"/>
      <c r="BSO439" s="23"/>
      <c r="BSP439" s="23"/>
      <c r="BSQ439" s="23"/>
      <c r="BSR439" s="23"/>
      <c r="BSS439" s="23"/>
      <c r="BST439" s="23"/>
      <c r="BSU439" s="23"/>
      <c r="BSV439" s="23"/>
      <c r="BSW439" s="23"/>
      <c r="BSX439" s="23"/>
      <c r="BSY439" s="23"/>
      <c r="BSZ439" s="23"/>
      <c r="BTA439" s="23"/>
    </row>
    <row r="440" spans="1:1873" s="199" customFormat="1" x14ac:dyDescent="0.2">
      <c r="A440" s="24" t="s">
        <v>1838</v>
      </c>
      <c r="B440" s="283" t="s">
        <v>282</v>
      </c>
      <c r="C440" s="283" t="s">
        <v>903</v>
      </c>
      <c r="D440" s="283" t="s">
        <v>619</v>
      </c>
      <c r="E440" s="306" t="s">
        <v>1525</v>
      </c>
      <c r="F440" s="554">
        <v>1</v>
      </c>
      <c r="G440" s="554">
        <v>6</v>
      </c>
      <c r="H440" s="554">
        <v>6</v>
      </c>
      <c r="I440" s="249" t="s">
        <v>954</v>
      </c>
      <c r="J440" s="554">
        <v>1981</v>
      </c>
      <c r="K440" s="249" t="s">
        <v>957</v>
      </c>
      <c r="L440" s="554">
        <v>1986</v>
      </c>
      <c r="M440" s="745">
        <v>-9999</v>
      </c>
      <c r="N440" s="249">
        <v>-9999</v>
      </c>
      <c r="O440" s="18"/>
      <c r="P440" s="253">
        <v>64.2</v>
      </c>
      <c r="Q440" s="283">
        <v>-9999</v>
      </c>
      <c r="R440" s="426"/>
      <c r="S440" s="283"/>
      <c r="T440" s="555">
        <f t="shared" si="16"/>
        <v>10.700000000000001</v>
      </c>
      <c r="U440" s="454">
        <v>-9999</v>
      </c>
      <c r="V440" s="454"/>
      <c r="W440" s="284">
        <f>+P440-P439</f>
        <v>13.600000000000001</v>
      </c>
      <c r="X440" s="454">
        <v>-9999</v>
      </c>
      <c r="Y440" s="454"/>
      <c r="Z440" s="404" t="s">
        <v>1839</v>
      </c>
      <c r="AA440" s="455">
        <v>10000</v>
      </c>
      <c r="AB440" s="253">
        <f t="shared" si="17"/>
        <v>0.3599971200230398</v>
      </c>
      <c r="AC440" s="424">
        <v>0.1</v>
      </c>
      <c r="AD440" s="249">
        <v>22.7</v>
      </c>
      <c r="AE440" s="249" t="s">
        <v>284</v>
      </c>
      <c r="AF440" s="554">
        <v>2</v>
      </c>
      <c r="AG440" s="249">
        <v>-9999</v>
      </c>
      <c r="AH440" s="249" t="s">
        <v>623</v>
      </c>
      <c r="AI440" s="249">
        <v>-9999</v>
      </c>
      <c r="AJ440" s="249">
        <v>-9999</v>
      </c>
      <c r="AK440" s="249">
        <v>-9999</v>
      </c>
      <c r="AL440" s="249">
        <v>-9999</v>
      </c>
      <c r="AM440" s="249">
        <v>-9999</v>
      </c>
      <c r="AN440" s="249" t="s">
        <v>626</v>
      </c>
      <c r="AO440" s="249">
        <v>-9999</v>
      </c>
      <c r="AP440" s="249" t="s">
        <v>285</v>
      </c>
      <c r="AQ440" s="249" t="s">
        <v>626</v>
      </c>
      <c r="AR440" s="249">
        <f t="shared" si="18"/>
        <v>660</v>
      </c>
      <c r="AS440" s="554">
        <v>-9999</v>
      </c>
      <c r="AT440" s="249" t="s">
        <v>286</v>
      </c>
      <c r="AU440" s="554">
        <v>0</v>
      </c>
      <c r="AV440" s="554">
        <v>-9999</v>
      </c>
      <c r="AW440" s="554">
        <v>-9999</v>
      </c>
      <c r="AX440" s="554">
        <v>0</v>
      </c>
      <c r="AY440" s="554">
        <v>-9999</v>
      </c>
      <c r="AZ440" s="554"/>
      <c r="BA440" s="249">
        <v>-9999</v>
      </c>
      <c r="BB440" s="249" t="s">
        <v>631</v>
      </c>
      <c r="BC440" s="249">
        <v>-9999</v>
      </c>
      <c r="BD440" s="249">
        <v>-9999</v>
      </c>
      <c r="BE440" s="249">
        <v>-9999</v>
      </c>
      <c r="BF440" s="249" t="s">
        <v>753</v>
      </c>
      <c r="BG440" s="249">
        <v>-9999</v>
      </c>
      <c r="BH440" s="249">
        <v>-9999</v>
      </c>
      <c r="BI440" s="249">
        <v>-9999</v>
      </c>
      <c r="BJ440" s="249">
        <v>-9999</v>
      </c>
      <c r="BK440" s="249">
        <v>-9999</v>
      </c>
      <c r="BL440" s="249">
        <v>-9999</v>
      </c>
      <c r="BM440" s="249">
        <v>-9999</v>
      </c>
      <c r="BN440" s="249">
        <v>-9999</v>
      </c>
      <c r="BO440" s="249">
        <v>-9999</v>
      </c>
      <c r="BP440" s="249">
        <v>-9999</v>
      </c>
      <c r="BQ440" s="249">
        <v>-9999</v>
      </c>
      <c r="BR440" s="249">
        <v>-9999</v>
      </c>
      <c r="BS440" s="251">
        <v>-9999</v>
      </c>
      <c r="BT440" s="249">
        <v>-9999</v>
      </c>
      <c r="BU440" s="249">
        <v>-9999</v>
      </c>
      <c r="BV440" s="249">
        <v>-9999</v>
      </c>
      <c r="BW440" s="249"/>
      <c r="BX440" s="249">
        <v>-9999</v>
      </c>
      <c r="BY440" s="249">
        <v>-9999</v>
      </c>
      <c r="BZ440" s="331">
        <v>-9999</v>
      </c>
      <c r="CA440" s="331">
        <v>-9999</v>
      </c>
      <c r="CB440" s="254"/>
      <c r="CC440" s="554">
        <v>1</v>
      </c>
      <c r="CD440" s="554">
        <v>6</v>
      </c>
      <c r="CE440" s="395">
        <v>10.700000000000001</v>
      </c>
      <c r="CF440" s="99">
        <v>13.600000000000001</v>
      </c>
      <c r="CG440" s="198">
        <v>6</v>
      </c>
      <c r="CH440" s="437" t="s">
        <v>1757</v>
      </c>
      <c r="CI440" s="13"/>
      <c r="CJ440" s="13"/>
      <c r="CK440" s="13"/>
      <c r="CL440" s="13"/>
      <c r="CM440" s="13"/>
      <c r="CN440" s="13"/>
      <c r="CO440" s="13"/>
      <c r="CP440" s="13"/>
      <c r="CQ440" s="13"/>
      <c r="CR440" s="13"/>
      <c r="CS440" s="13"/>
      <c r="CT440" s="13"/>
      <c r="CU440" s="13"/>
      <c r="CV440" s="13"/>
      <c r="CW440" s="13"/>
      <c r="CX440" s="13"/>
      <c r="CY440" s="13"/>
      <c r="CZ440" s="13"/>
      <c r="DA440" s="13"/>
      <c r="DB440" s="13"/>
      <c r="DC440" s="13"/>
      <c r="DD440" s="13"/>
      <c r="DE440" s="13"/>
      <c r="DF440" s="13"/>
      <c r="DG440" s="13"/>
      <c r="DH440" s="13"/>
      <c r="DI440" s="13"/>
      <c r="DJ440" s="13"/>
      <c r="DK440" s="13"/>
      <c r="DL440" s="13"/>
      <c r="DM440" s="13"/>
      <c r="DN440" s="13"/>
      <c r="DO440" s="13"/>
      <c r="DP440" s="13"/>
      <c r="DQ440" s="13"/>
      <c r="DR440" s="13"/>
      <c r="DS440" s="13"/>
      <c r="DT440" s="13"/>
      <c r="DU440" s="13"/>
      <c r="DV440" s="13"/>
      <c r="DW440" s="13"/>
      <c r="DX440" s="13"/>
      <c r="DY440" s="13"/>
      <c r="DZ440" s="13"/>
      <c r="EA440" s="13"/>
      <c r="EB440" s="13"/>
      <c r="EC440" s="13"/>
      <c r="ED440" s="13"/>
      <c r="EE440" s="13"/>
      <c r="EF440" s="13"/>
      <c r="EG440" s="13"/>
      <c r="EH440" s="13"/>
      <c r="EI440" s="13"/>
      <c r="EJ440" s="13"/>
      <c r="EK440" s="13"/>
      <c r="EL440" s="13"/>
      <c r="EM440" s="13"/>
      <c r="EN440" s="13"/>
      <c r="EO440" s="13"/>
      <c r="EP440" s="13"/>
      <c r="EQ440" s="13"/>
      <c r="ER440" s="13"/>
      <c r="ES440" s="13"/>
      <c r="ET440" s="13"/>
      <c r="EU440" s="13"/>
      <c r="EV440" s="13"/>
      <c r="EW440" s="13"/>
      <c r="EX440" s="13"/>
      <c r="EY440" s="13"/>
      <c r="EZ440" s="13"/>
      <c r="FA440" s="13"/>
      <c r="FB440" s="13"/>
      <c r="FC440" s="13"/>
      <c r="FD440" s="13"/>
      <c r="FE440" s="13"/>
      <c r="FF440" s="13"/>
      <c r="FG440" s="13"/>
      <c r="FH440" s="13"/>
      <c r="FI440" s="13"/>
      <c r="FJ440" s="13"/>
      <c r="FK440" s="13"/>
      <c r="FL440" s="13"/>
      <c r="FM440" s="13"/>
      <c r="FN440" s="13"/>
      <c r="FO440" s="13"/>
      <c r="FP440" s="13"/>
      <c r="FQ440" s="13"/>
      <c r="FR440" s="13"/>
      <c r="FS440" s="13"/>
      <c r="FT440" s="13"/>
      <c r="FU440" s="13"/>
      <c r="FV440" s="13"/>
      <c r="FW440" s="13"/>
      <c r="FX440" s="13"/>
      <c r="FY440" s="13"/>
      <c r="FZ440" s="13"/>
      <c r="GA440" s="13"/>
      <c r="GB440" s="13"/>
      <c r="GC440" s="13"/>
      <c r="GD440" s="13"/>
      <c r="GE440" s="13"/>
      <c r="GF440" s="13"/>
      <c r="GG440" s="13"/>
      <c r="GH440" s="13"/>
      <c r="GI440" s="13"/>
      <c r="GJ440" s="13"/>
      <c r="GK440" s="13"/>
      <c r="GL440" s="13"/>
      <c r="GM440" s="13"/>
      <c r="GN440" s="13"/>
      <c r="GO440" s="13"/>
      <c r="GP440" s="13"/>
      <c r="GQ440" s="13"/>
      <c r="GR440" s="13"/>
      <c r="GS440" s="13"/>
      <c r="GT440" s="13"/>
      <c r="GU440" s="13"/>
      <c r="GV440" s="13"/>
      <c r="GW440" s="13"/>
      <c r="GX440" s="13"/>
      <c r="GY440" s="13"/>
      <c r="GZ440" s="13"/>
      <c r="HA440" s="13"/>
      <c r="HB440" s="13"/>
      <c r="HC440" s="13"/>
      <c r="HD440" s="13"/>
      <c r="HE440" s="13"/>
      <c r="HF440" s="13"/>
      <c r="HG440" s="13"/>
      <c r="HH440" s="13"/>
      <c r="HI440" s="13"/>
      <c r="HJ440" s="13"/>
      <c r="HK440" s="13"/>
      <c r="HL440" s="13"/>
      <c r="HM440" s="13"/>
      <c r="HN440" s="13"/>
      <c r="HO440" s="13"/>
      <c r="HP440" s="13"/>
      <c r="HQ440" s="13"/>
      <c r="HR440" s="13"/>
      <c r="HS440" s="13"/>
      <c r="HT440" s="13"/>
      <c r="HU440" s="13"/>
      <c r="HV440" s="13"/>
      <c r="HW440" s="13"/>
      <c r="HX440" s="13"/>
      <c r="HY440" s="13"/>
      <c r="HZ440" s="13"/>
      <c r="IA440" s="13"/>
      <c r="IB440" s="13"/>
      <c r="IC440" s="13"/>
      <c r="ID440" s="13"/>
      <c r="IE440" s="13"/>
      <c r="IF440" s="13"/>
      <c r="IG440" s="13"/>
      <c r="IH440" s="13"/>
      <c r="II440" s="13"/>
      <c r="IJ440" s="13"/>
      <c r="IK440" s="13"/>
      <c r="IL440" s="13"/>
      <c r="IM440" s="13"/>
      <c r="IN440" s="13"/>
      <c r="IO440" s="13"/>
      <c r="IP440" s="13"/>
      <c r="IQ440" s="13"/>
      <c r="IR440" s="13"/>
      <c r="IS440" s="13"/>
      <c r="IT440" s="13"/>
      <c r="IU440" s="13"/>
      <c r="IV440" s="13"/>
      <c r="IW440" s="13"/>
      <c r="IX440" s="13"/>
      <c r="IY440" s="13"/>
      <c r="IZ440" s="13"/>
      <c r="JA440" s="13"/>
      <c r="JB440" s="13"/>
      <c r="JC440" s="13"/>
      <c r="JD440" s="13"/>
      <c r="JE440" s="13"/>
      <c r="JF440" s="13"/>
      <c r="JG440" s="13"/>
      <c r="JH440" s="13"/>
      <c r="JI440" s="13"/>
      <c r="JJ440" s="13"/>
      <c r="JK440" s="13"/>
      <c r="JL440" s="13"/>
      <c r="JM440" s="13"/>
      <c r="JN440" s="13"/>
      <c r="JO440" s="13"/>
      <c r="JP440" s="13"/>
      <c r="JQ440" s="13"/>
      <c r="JR440" s="13"/>
      <c r="JS440" s="13"/>
      <c r="JT440" s="13"/>
      <c r="JU440" s="13"/>
      <c r="JV440" s="13"/>
      <c r="JW440" s="13"/>
      <c r="JX440" s="13"/>
      <c r="JY440" s="13"/>
      <c r="JZ440" s="13"/>
      <c r="KA440" s="13"/>
      <c r="KB440" s="13"/>
      <c r="KC440" s="13"/>
      <c r="KD440" s="13"/>
      <c r="KE440" s="13"/>
      <c r="KF440" s="13"/>
      <c r="KG440" s="13"/>
      <c r="KH440" s="13"/>
      <c r="KI440" s="13"/>
      <c r="KJ440" s="13"/>
      <c r="KK440" s="13"/>
      <c r="KL440" s="13"/>
      <c r="KM440" s="13"/>
      <c r="KN440" s="13"/>
      <c r="KO440" s="13"/>
      <c r="KP440" s="13"/>
      <c r="KQ440" s="13"/>
      <c r="KR440" s="13"/>
      <c r="KS440" s="13"/>
      <c r="KT440" s="13"/>
      <c r="KU440" s="13"/>
      <c r="KV440" s="13"/>
      <c r="KW440" s="13"/>
      <c r="KX440" s="13"/>
      <c r="KY440" s="13"/>
      <c r="KZ440" s="13"/>
      <c r="LA440" s="13"/>
      <c r="LB440" s="13"/>
      <c r="LC440" s="13"/>
      <c r="LD440" s="13"/>
      <c r="LE440" s="13"/>
      <c r="LF440" s="13"/>
      <c r="LG440" s="13"/>
      <c r="LH440" s="13"/>
      <c r="LI440" s="13"/>
      <c r="LJ440" s="13"/>
      <c r="LK440" s="13"/>
      <c r="LL440" s="13"/>
      <c r="LM440" s="13"/>
      <c r="LN440" s="13"/>
      <c r="LO440" s="13"/>
      <c r="LP440" s="13"/>
      <c r="LQ440" s="13"/>
      <c r="LR440" s="13"/>
      <c r="LS440" s="13"/>
      <c r="LT440" s="13"/>
      <c r="LU440" s="13"/>
      <c r="LV440" s="13"/>
      <c r="LW440" s="13"/>
      <c r="LX440" s="13"/>
      <c r="LY440" s="13"/>
      <c r="LZ440" s="13"/>
      <c r="MA440" s="13"/>
      <c r="MB440" s="13"/>
      <c r="MC440" s="13"/>
      <c r="MD440" s="13"/>
      <c r="ME440" s="13"/>
      <c r="MF440" s="13"/>
      <c r="MG440" s="13"/>
      <c r="MH440" s="13"/>
      <c r="MI440" s="13"/>
      <c r="MJ440" s="13"/>
      <c r="MK440" s="13"/>
      <c r="ML440" s="13"/>
      <c r="MM440" s="13"/>
      <c r="MN440" s="13"/>
      <c r="MO440" s="13"/>
      <c r="MP440" s="13"/>
      <c r="MQ440" s="13"/>
      <c r="MR440" s="13"/>
      <c r="MS440" s="13"/>
      <c r="MT440" s="13"/>
      <c r="MU440" s="13"/>
      <c r="MV440" s="13"/>
      <c r="MW440" s="13"/>
      <c r="MX440" s="13"/>
      <c r="MY440" s="13"/>
      <c r="MZ440" s="13"/>
      <c r="NA440" s="13"/>
      <c r="NB440" s="13"/>
      <c r="NC440" s="13"/>
      <c r="ND440" s="13"/>
      <c r="NE440" s="13"/>
      <c r="NF440" s="13"/>
      <c r="NG440" s="13"/>
      <c r="NH440" s="13"/>
      <c r="NI440" s="13"/>
      <c r="NJ440" s="13"/>
      <c r="NK440" s="13"/>
      <c r="NL440" s="13"/>
      <c r="NM440" s="13"/>
      <c r="NN440" s="13"/>
      <c r="NO440" s="13"/>
      <c r="NP440" s="13"/>
      <c r="NQ440" s="13"/>
      <c r="NR440" s="13"/>
      <c r="NS440" s="13"/>
      <c r="NT440" s="13"/>
      <c r="NU440" s="13"/>
      <c r="NV440" s="13"/>
      <c r="NW440" s="13"/>
      <c r="NX440" s="13"/>
      <c r="NY440" s="13"/>
      <c r="NZ440" s="13"/>
      <c r="OA440" s="13"/>
      <c r="OB440" s="13"/>
      <c r="OC440" s="13"/>
      <c r="OD440" s="13"/>
      <c r="OE440" s="13"/>
      <c r="OF440" s="13"/>
      <c r="OG440" s="13"/>
      <c r="OH440" s="13"/>
      <c r="OI440" s="13"/>
      <c r="OJ440" s="13"/>
      <c r="OK440" s="13"/>
      <c r="OL440" s="13"/>
      <c r="OM440" s="13"/>
      <c r="ON440" s="13"/>
      <c r="OO440" s="13"/>
      <c r="OP440" s="13"/>
      <c r="OQ440" s="13"/>
      <c r="OR440" s="13"/>
      <c r="OS440" s="13"/>
      <c r="OT440" s="13"/>
      <c r="OU440" s="13"/>
      <c r="OV440" s="13"/>
      <c r="OW440" s="13"/>
      <c r="OX440" s="13"/>
      <c r="OY440" s="13"/>
      <c r="OZ440" s="13"/>
      <c r="PA440" s="13"/>
      <c r="PB440" s="13"/>
      <c r="PC440" s="13"/>
      <c r="PD440" s="13"/>
      <c r="PE440" s="13"/>
      <c r="PF440" s="13"/>
      <c r="PG440" s="13"/>
      <c r="PH440" s="13"/>
      <c r="PI440" s="13"/>
      <c r="PJ440" s="13"/>
      <c r="PK440" s="13"/>
      <c r="PL440" s="13"/>
      <c r="PM440" s="13"/>
      <c r="PN440" s="13"/>
      <c r="PO440" s="13"/>
      <c r="PP440" s="13"/>
      <c r="PQ440" s="13"/>
      <c r="PR440" s="13"/>
      <c r="PS440" s="13"/>
      <c r="PT440" s="13"/>
      <c r="PU440" s="13"/>
      <c r="PV440" s="13"/>
      <c r="PW440" s="13"/>
      <c r="PX440" s="13"/>
      <c r="PY440" s="13"/>
      <c r="PZ440" s="13"/>
      <c r="QA440" s="13"/>
      <c r="QB440" s="13"/>
      <c r="QC440" s="13"/>
      <c r="QD440" s="13"/>
      <c r="QE440" s="13"/>
      <c r="QF440" s="13"/>
      <c r="QG440" s="13"/>
      <c r="QH440" s="13"/>
      <c r="QI440" s="13"/>
      <c r="QJ440" s="13"/>
      <c r="QK440" s="13"/>
      <c r="QL440" s="13"/>
      <c r="QM440" s="13"/>
      <c r="QN440" s="13"/>
      <c r="QO440" s="13"/>
      <c r="QP440" s="13"/>
      <c r="QQ440" s="13"/>
      <c r="QR440" s="13"/>
      <c r="QS440" s="13"/>
      <c r="QT440" s="13"/>
      <c r="QU440" s="13"/>
      <c r="QV440" s="13"/>
      <c r="QW440" s="13"/>
      <c r="QX440" s="13"/>
      <c r="QY440" s="13"/>
      <c r="QZ440" s="13"/>
      <c r="RA440" s="13"/>
      <c r="RB440" s="13"/>
      <c r="RC440" s="13"/>
      <c r="RD440" s="13"/>
      <c r="RE440" s="13"/>
      <c r="RF440" s="13"/>
      <c r="RG440" s="13"/>
      <c r="RH440" s="13"/>
      <c r="RI440" s="13"/>
      <c r="RJ440" s="13"/>
      <c r="RK440" s="13"/>
      <c r="RL440" s="13"/>
      <c r="RM440" s="13"/>
      <c r="RN440" s="13"/>
      <c r="RO440" s="13"/>
      <c r="RP440" s="13"/>
      <c r="RQ440" s="13"/>
      <c r="RR440" s="13"/>
      <c r="RS440" s="13"/>
      <c r="RT440" s="13"/>
      <c r="RU440" s="13"/>
      <c r="RV440" s="13"/>
      <c r="RW440" s="13"/>
      <c r="RX440" s="13"/>
      <c r="RY440" s="13"/>
      <c r="RZ440" s="13"/>
      <c r="SA440" s="13"/>
      <c r="SB440" s="13"/>
      <c r="SC440" s="13"/>
      <c r="SD440" s="13"/>
      <c r="SE440" s="13"/>
      <c r="SF440" s="13"/>
      <c r="SG440" s="13"/>
      <c r="SH440" s="13"/>
      <c r="SI440" s="13"/>
      <c r="SJ440" s="13"/>
      <c r="SK440" s="13"/>
      <c r="SL440" s="13"/>
      <c r="SM440" s="13"/>
      <c r="SN440" s="13"/>
      <c r="SO440" s="13"/>
      <c r="SP440" s="13"/>
      <c r="SQ440" s="13"/>
      <c r="SR440" s="13"/>
      <c r="SS440" s="13"/>
      <c r="ST440" s="13"/>
      <c r="SU440" s="13"/>
      <c r="SV440" s="13"/>
      <c r="SW440" s="13"/>
      <c r="SX440" s="13"/>
      <c r="SY440" s="13"/>
      <c r="SZ440" s="13"/>
      <c r="TA440" s="13"/>
      <c r="TB440" s="13"/>
      <c r="TC440" s="13"/>
      <c r="TD440" s="13"/>
      <c r="TE440" s="13"/>
      <c r="TF440" s="13"/>
      <c r="TG440" s="13"/>
      <c r="TH440" s="13"/>
      <c r="TI440" s="13"/>
      <c r="TJ440" s="13"/>
      <c r="TK440" s="13"/>
      <c r="TL440" s="13"/>
      <c r="TM440" s="13"/>
      <c r="TN440" s="13"/>
      <c r="TO440" s="13"/>
      <c r="TP440" s="13"/>
      <c r="TQ440" s="13"/>
      <c r="TR440" s="13"/>
      <c r="TS440" s="13"/>
      <c r="TT440" s="13"/>
      <c r="TU440" s="13"/>
      <c r="TV440" s="13"/>
      <c r="TW440" s="13"/>
      <c r="TX440" s="13"/>
      <c r="TY440" s="13"/>
      <c r="TZ440" s="13"/>
      <c r="UA440" s="13"/>
      <c r="UB440" s="13"/>
      <c r="UC440" s="13"/>
      <c r="UD440" s="13"/>
      <c r="UE440" s="13"/>
      <c r="UF440" s="13"/>
      <c r="UG440" s="13"/>
      <c r="UH440" s="13"/>
      <c r="UI440" s="13"/>
      <c r="UJ440" s="13"/>
      <c r="UK440" s="13"/>
      <c r="UL440" s="13"/>
      <c r="UM440" s="13"/>
      <c r="UN440" s="13"/>
      <c r="UO440" s="13"/>
      <c r="UP440" s="13"/>
      <c r="UQ440" s="13"/>
      <c r="UR440" s="13"/>
      <c r="US440" s="13"/>
      <c r="UT440" s="13"/>
      <c r="UU440" s="13"/>
      <c r="UV440" s="13"/>
      <c r="UW440" s="13"/>
      <c r="UX440" s="13"/>
      <c r="UY440" s="13"/>
      <c r="UZ440" s="13"/>
      <c r="VA440" s="13"/>
      <c r="VB440" s="13"/>
      <c r="VC440" s="13"/>
      <c r="VD440" s="13"/>
      <c r="VE440" s="13"/>
      <c r="VF440" s="13"/>
      <c r="VG440" s="13"/>
      <c r="VH440" s="13"/>
      <c r="VI440" s="13"/>
      <c r="VJ440" s="13"/>
      <c r="VK440" s="13"/>
      <c r="VL440" s="13"/>
      <c r="VM440" s="13"/>
      <c r="VN440" s="13"/>
      <c r="VO440" s="13"/>
      <c r="VP440" s="13"/>
      <c r="VQ440" s="13"/>
      <c r="VR440" s="13"/>
      <c r="VS440" s="13"/>
      <c r="VT440" s="13"/>
      <c r="VU440" s="13"/>
      <c r="VV440" s="13"/>
      <c r="VW440" s="13"/>
      <c r="VX440" s="13"/>
      <c r="VY440" s="13"/>
      <c r="VZ440" s="13"/>
      <c r="WA440" s="13"/>
      <c r="WB440" s="13"/>
      <c r="WC440" s="13"/>
      <c r="WD440" s="13"/>
      <c r="WE440" s="13"/>
      <c r="WF440" s="13"/>
      <c r="WG440" s="13"/>
      <c r="WH440" s="13"/>
      <c r="WI440" s="13"/>
      <c r="WJ440" s="13"/>
      <c r="WK440" s="13"/>
      <c r="WL440" s="13"/>
      <c r="WM440" s="13"/>
      <c r="WN440" s="13"/>
      <c r="WO440" s="13"/>
      <c r="WP440" s="13"/>
      <c r="WQ440" s="13"/>
      <c r="WR440" s="13"/>
      <c r="WS440" s="13"/>
      <c r="WT440" s="13"/>
      <c r="WU440" s="13"/>
      <c r="WV440" s="13"/>
      <c r="WW440" s="13"/>
      <c r="WX440" s="13"/>
      <c r="WY440" s="13"/>
      <c r="WZ440" s="13"/>
      <c r="XA440" s="13"/>
      <c r="XB440" s="13"/>
      <c r="XC440" s="13"/>
      <c r="XD440" s="13"/>
      <c r="XE440" s="13"/>
      <c r="XF440" s="13"/>
      <c r="XG440" s="13"/>
      <c r="XH440" s="13"/>
      <c r="XI440" s="13"/>
      <c r="XJ440" s="13"/>
      <c r="XK440" s="13"/>
      <c r="XL440" s="13"/>
      <c r="XM440" s="13"/>
      <c r="XN440" s="13"/>
      <c r="XO440" s="13"/>
      <c r="XP440" s="13"/>
      <c r="XQ440" s="13"/>
      <c r="XR440" s="13"/>
      <c r="XS440" s="13"/>
      <c r="XT440" s="13"/>
      <c r="XU440" s="13"/>
      <c r="XV440" s="13"/>
      <c r="XW440" s="13"/>
      <c r="XX440" s="13"/>
      <c r="XY440" s="13"/>
      <c r="XZ440" s="13"/>
      <c r="YA440" s="13"/>
      <c r="YB440" s="13"/>
      <c r="YC440" s="13"/>
      <c r="YD440" s="13"/>
      <c r="YE440" s="13"/>
      <c r="YF440" s="13"/>
      <c r="YG440" s="13"/>
      <c r="YH440" s="13"/>
      <c r="YI440" s="13"/>
      <c r="YJ440" s="13"/>
      <c r="YK440" s="13"/>
      <c r="YL440" s="13"/>
      <c r="YM440" s="13"/>
      <c r="YN440" s="13"/>
      <c r="YO440" s="13"/>
      <c r="YP440" s="13"/>
      <c r="YQ440" s="13"/>
      <c r="YR440" s="13"/>
      <c r="YS440" s="13"/>
      <c r="YT440" s="13"/>
      <c r="YU440" s="13"/>
      <c r="YV440" s="13"/>
      <c r="YW440" s="13"/>
      <c r="YX440" s="13"/>
      <c r="YY440" s="13"/>
      <c r="YZ440" s="13"/>
      <c r="ZA440" s="13"/>
      <c r="ZB440" s="13"/>
      <c r="ZC440" s="13"/>
      <c r="ZD440" s="13"/>
      <c r="ZE440" s="13"/>
      <c r="ZF440" s="13"/>
      <c r="ZG440" s="13"/>
      <c r="ZH440" s="13"/>
      <c r="ZI440" s="13"/>
      <c r="ZJ440" s="13"/>
      <c r="ZK440" s="13"/>
      <c r="ZL440" s="13"/>
      <c r="ZM440" s="13"/>
      <c r="ZN440" s="13"/>
      <c r="ZO440" s="13"/>
      <c r="ZP440" s="13"/>
      <c r="ZQ440" s="13"/>
      <c r="ZR440" s="13"/>
      <c r="ZS440" s="13"/>
      <c r="ZT440" s="13"/>
      <c r="ZU440" s="13"/>
      <c r="ZV440" s="13"/>
      <c r="ZW440" s="13"/>
      <c r="ZX440" s="13"/>
      <c r="ZY440" s="13"/>
      <c r="ZZ440" s="13"/>
      <c r="AAA440" s="13"/>
      <c r="AAB440" s="13"/>
      <c r="AAC440" s="13"/>
      <c r="AAD440" s="13"/>
      <c r="AAE440" s="13"/>
      <c r="AAF440" s="13"/>
      <c r="AAG440" s="13"/>
      <c r="AAH440" s="13"/>
      <c r="AAI440" s="13"/>
      <c r="AAJ440" s="13"/>
      <c r="AAK440" s="13"/>
      <c r="AAL440" s="13"/>
      <c r="AAM440" s="13"/>
      <c r="AAN440" s="13"/>
      <c r="AAO440" s="13"/>
      <c r="AAP440" s="13"/>
      <c r="AAQ440" s="13"/>
      <c r="AAR440" s="13"/>
      <c r="AAS440" s="13"/>
      <c r="AAT440" s="13"/>
      <c r="AAU440" s="13"/>
      <c r="AAV440" s="13"/>
      <c r="AAW440" s="13"/>
      <c r="AAX440" s="13"/>
      <c r="AAY440" s="13"/>
      <c r="AAZ440" s="13"/>
      <c r="ABA440" s="13"/>
      <c r="ABB440" s="13"/>
      <c r="ABC440" s="13"/>
      <c r="ABD440" s="13"/>
      <c r="ABE440" s="13"/>
      <c r="ABF440" s="13"/>
      <c r="ABG440" s="13"/>
      <c r="ABH440" s="13"/>
      <c r="ABI440" s="13"/>
      <c r="ABJ440" s="13"/>
      <c r="ABK440" s="13"/>
      <c r="ABL440" s="13"/>
      <c r="ABM440" s="13"/>
      <c r="ABN440" s="13"/>
      <c r="ABO440" s="13"/>
      <c r="ABP440" s="13"/>
      <c r="ABQ440" s="13"/>
      <c r="ABR440" s="13"/>
      <c r="ABS440" s="13"/>
      <c r="ABT440" s="13"/>
      <c r="ABU440" s="13"/>
      <c r="ABV440" s="13"/>
      <c r="ABW440" s="13"/>
      <c r="ABX440" s="13"/>
      <c r="ABY440" s="13"/>
      <c r="ABZ440" s="13"/>
      <c r="ACA440" s="13"/>
      <c r="ACB440" s="13"/>
      <c r="ACC440" s="13"/>
      <c r="ACD440" s="13"/>
      <c r="ACE440" s="13"/>
      <c r="ACF440" s="13"/>
      <c r="ACG440" s="13"/>
      <c r="ACH440" s="13"/>
      <c r="ACI440" s="13"/>
      <c r="ACJ440" s="13"/>
      <c r="ACK440" s="13"/>
      <c r="ACL440" s="13"/>
      <c r="ACM440" s="13"/>
      <c r="ACN440" s="13"/>
      <c r="ACO440" s="13"/>
      <c r="ACP440" s="13"/>
      <c r="ACQ440" s="13"/>
      <c r="ACR440" s="13"/>
      <c r="ACS440" s="13"/>
      <c r="ACT440" s="13"/>
      <c r="ACU440" s="13"/>
      <c r="ACV440" s="13"/>
      <c r="ACW440" s="13"/>
      <c r="ACX440" s="13"/>
      <c r="ACY440" s="13"/>
      <c r="ACZ440" s="13"/>
      <c r="ADA440" s="13"/>
      <c r="ADB440" s="13"/>
      <c r="ADC440" s="13"/>
      <c r="ADD440" s="13"/>
      <c r="ADE440" s="13"/>
      <c r="ADF440" s="13"/>
      <c r="ADG440" s="13"/>
      <c r="ADH440" s="13"/>
      <c r="ADI440" s="13"/>
      <c r="ADJ440" s="13"/>
      <c r="ADK440" s="13"/>
      <c r="ADL440" s="13"/>
      <c r="ADM440" s="13"/>
      <c r="ADN440" s="13"/>
      <c r="ADO440" s="13"/>
      <c r="ADP440" s="13"/>
      <c r="ADQ440" s="13"/>
      <c r="ADR440" s="13"/>
      <c r="ADS440" s="13"/>
      <c r="ADT440" s="13"/>
      <c r="ADU440" s="13"/>
      <c r="ADV440" s="13"/>
      <c r="ADW440" s="13"/>
      <c r="ADX440" s="13"/>
      <c r="ADY440" s="13"/>
      <c r="ADZ440" s="13"/>
      <c r="AEA440" s="13"/>
      <c r="AEB440" s="13"/>
      <c r="AEC440" s="13"/>
      <c r="AED440" s="13"/>
      <c r="AEE440" s="13"/>
      <c r="AEF440" s="13"/>
      <c r="AEG440" s="13"/>
      <c r="AEH440" s="13"/>
      <c r="AEI440" s="13"/>
      <c r="AEJ440" s="13"/>
      <c r="AEK440" s="13"/>
      <c r="AEL440" s="13"/>
      <c r="AEM440" s="13"/>
      <c r="AEN440" s="13"/>
      <c r="AEO440" s="13"/>
      <c r="AEP440" s="13"/>
      <c r="AEQ440" s="13"/>
      <c r="AER440" s="13"/>
      <c r="AES440" s="13"/>
      <c r="AET440" s="13"/>
      <c r="AEU440" s="13"/>
      <c r="AEV440" s="13"/>
      <c r="AEW440" s="13"/>
      <c r="AEX440" s="13"/>
      <c r="AEY440" s="13"/>
      <c r="AEZ440" s="13"/>
      <c r="AFA440" s="13"/>
      <c r="AFB440" s="13"/>
      <c r="AFC440" s="13"/>
      <c r="AFD440" s="13"/>
      <c r="AFE440" s="13"/>
      <c r="AFF440" s="13"/>
      <c r="AFG440" s="13"/>
      <c r="AFH440" s="13"/>
      <c r="AFI440" s="13"/>
      <c r="AFJ440" s="13"/>
      <c r="AFK440" s="13"/>
      <c r="AFL440" s="13"/>
      <c r="AFM440" s="13"/>
      <c r="AFN440" s="13"/>
      <c r="AFO440" s="13"/>
      <c r="AFP440" s="13"/>
      <c r="AFQ440" s="13"/>
      <c r="AFR440" s="13"/>
      <c r="AFS440" s="13"/>
      <c r="AFT440" s="13"/>
      <c r="AFU440" s="13"/>
      <c r="AFV440" s="13"/>
      <c r="AFW440" s="13"/>
      <c r="AFX440" s="13"/>
      <c r="AFY440" s="13"/>
      <c r="AFZ440" s="13"/>
      <c r="AGA440" s="13"/>
      <c r="AGB440" s="13"/>
      <c r="AGC440" s="13"/>
      <c r="AGD440" s="13"/>
      <c r="AGE440" s="13"/>
      <c r="AGF440" s="13"/>
      <c r="AGG440" s="13"/>
      <c r="AGH440" s="13"/>
      <c r="AGI440" s="13"/>
      <c r="AGJ440" s="13"/>
      <c r="AGK440" s="13"/>
      <c r="AGL440" s="13"/>
      <c r="AGM440" s="13"/>
      <c r="AGN440" s="13"/>
      <c r="AGO440" s="13"/>
      <c r="AGP440" s="13"/>
      <c r="AGQ440" s="13"/>
      <c r="AGR440" s="13"/>
      <c r="AGS440" s="13"/>
      <c r="AGT440" s="13"/>
      <c r="AGU440" s="13"/>
      <c r="AGV440" s="13"/>
      <c r="AGW440" s="13"/>
      <c r="AGX440" s="13"/>
      <c r="AGY440" s="13"/>
      <c r="AGZ440" s="13"/>
      <c r="AHA440" s="13"/>
      <c r="AHB440" s="13"/>
      <c r="AHC440" s="13"/>
      <c r="AHD440" s="13"/>
      <c r="AHE440" s="13"/>
      <c r="AHF440" s="13"/>
      <c r="AHG440" s="13"/>
      <c r="AHH440" s="13"/>
      <c r="AHI440" s="13"/>
      <c r="AHJ440" s="13"/>
      <c r="AHK440" s="13"/>
      <c r="AHL440" s="13"/>
      <c r="AHM440" s="13"/>
      <c r="AHN440" s="13"/>
      <c r="AHO440" s="13"/>
      <c r="AHP440" s="13"/>
      <c r="AHQ440" s="13"/>
      <c r="AHR440" s="13"/>
      <c r="AHS440" s="13"/>
      <c r="AHT440" s="13"/>
      <c r="AHU440" s="13"/>
      <c r="AHV440" s="13"/>
      <c r="AHW440" s="13"/>
      <c r="AHX440" s="13"/>
      <c r="AHY440" s="13"/>
      <c r="AHZ440" s="13"/>
      <c r="AIA440" s="13"/>
      <c r="AIB440" s="13"/>
      <c r="AIC440" s="13"/>
      <c r="AID440" s="13"/>
      <c r="AIE440" s="13"/>
      <c r="AIF440" s="13"/>
      <c r="AIG440" s="13"/>
      <c r="AIH440" s="13"/>
      <c r="AII440" s="13"/>
      <c r="AIJ440" s="13"/>
      <c r="AIK440" s="13"/>
      <c r="AIL440" s="13"/>
      <c r="AIM440" s="13"/>
      <c r="AIN440" s="13"/>
      <c r="AIO440" s="13"/>
      <c r="AIP440" s="13"/>
      <c r="AIQ440" s="13"/>
      <c r="AIR440" s="13"/>
      <c r="AIS440" s="13"/>
      <c r="AIT440" s="13"/>
      <c r="AIU440" s="13"/>
      <c r="AIV440" s="13"/>
      <c r="AIW440" s="13"/>
      <c r="AIX440" s="13"/>
      <c r="AIY440" s="13"/>
      <c r="AIZ440" s="13"/>
      <c r="AJA440" s="13"/>
      <c r="AJB440" s="13"/>
      <c r="AJC440" s="13"/>
      <c r="AJD440" s="13"/>
      <c r="AJE440" s="13"/>
      <c r="AJF440" s="13"/>
      <c r="AJG440" s="13"/>
      <c r="AJH440" s="13"/>
      <c r="AJI440" s="13"/>
      <c r="AJJ440" s="13"/>
      <c r="AJK440" s="13"/>
      <c r="AJL440" s="13"/>
      <c r="AJM440" s="13"/>
      <c r="AJN440" s="13"/>
      <c r="AJO440" s="13"/>
      <c r="AJP440" s="13"/>
      <c r="AJQ440" s="13"/>
      <c r="AJR440" s="13"/>
      <c r="AJS440" s="13"/>
      <c r="AJT440" s="13"/>
      <c r="AJU440" s="13"/>
      <c r="AJV440" s="13"/>
      <c r="AJW440" s="13"/>
      <c r="AJX440" s="13"/>
      <c r="AJY440" s="13"/>
      <c r="AJZ440" s="13"/>
      <c r="AKA440" s="13"/>
      <c r="AKB440" s="13"/>
      <c r="AKC440" s="13"/>
      <c r="AKD440" s="13"/>
      <c r="AKE440" s="13"/>
      <c r="AKF440" s="13"/>
      <c r="AKG440" s="13"/>
      <c r="AKH440" s="13"/>
      <c r="AKI440" s="13"/>
      <c r="AKJ440" s="13"/>
      <c r="AKK440" s="13"/>
      <c r="AKL440" s="13"/>
      <c r="AKM440" s="13"/>
      <c r="AKN440" s="13"/>
      <c r="AKO440" s="13"/>
      <c r="AKP440" s="13"/>
      <c r="AKQ440" s="13"/>
      <c r="AKR440" s="13"/>
      <c r="AKS440" s="13"/>
      <c r="AKT440" s="13"/>
      <c r="AKU440" s="13"/>
      <c r="AKV440" s="13"/>
      <c r="AKW440" s="13"/>
      <c r="AKX440" s="13"/>
      <c r="AKY440" s="13"/>
      <c r="AKZ440" s="13"/>
      <c r="ALA440" s="13"/>
      <c r="ALB440" s="13"/>
      <c r="ALC440" s="13"/>
      <c r="ALD440" s="13"/>
      <c r="ALE440" s="13"/>
      <c r="ALF440" s="13"/>
      <c r="ALG440" s="13"/>
      <c r="ALH440" s="13"/>
      <c r="ALI440" s="13"/>
      <c r="ALJ440" s="13"/>
      <c r="ALK440" s="13"/>
      <c r="ALL440" s="13"/>
      <c r="ALM440" s="13"/>
      <c r="ALN440" s="13"/>
      <c r="ALO440" s="13"/>
      <c r="ALP440" s="13"/>
      <c r="ALQ440" s="13"/>
      <c r="ALR440" s="13"/>
      <c r="ALS440" s="13"/>
      <c r="ALT440" s="13"/>
      <c r="ALU440" s="13"/>
      <c r="ALV440" s="13"/>
      <c r="ALW440" s="13"/>
      <c r="ALX440" s="13"/>
      <c r="ALY440" s="13"/>
      <c r="ALZ440" s="13"/>
      <c r="AMA440" s="13"/>
      <c r="AMB440" s="13"/>
      <c r="AMC440" s="13"/>
      <c r="AMD440" s="13"/>
      <c r="AME440" s="13"/>
      <c r="AMF440" s="13"/>
      <c r="AMG440" s="13"/>
      <c r="AMH440" s="13"/>
      <c r="AMI440" s="13"/>
      <c r="AMJ440" s="13"/>
      <c r="AMK440" s="13"/>
      <c r="AML440" s="13"/>
      <c r="AMM440" s="13"/>
      <c r="AMN440" s="13"/>
      <c r="AMO440" s="13"/>
      <c r="AMP440" s="13"/>
      <c r="AMQ440" s="13"/>
      <c r="AMR440" s="13"/>
      <c r="AMS440" s="13"/>
      <c r="AMT440" s="13"/>
      <c r="AMU440" s="13"/>
      <c r="AMV440" s="13"/>
      <c r="AMW440" s="13"/>
      <c r="AMX440" s="13"/>
      <c r="AMY440" s="13"/>
      <c r="AMZ440" s="13"/>
      <c r="ANA440" s="13"/>
      <c r="ANB440" s="13"/>
      <c r="ANC440" s="13"/>
      <c r="AND440" s="13"/>
      <c r="ANE440" s="13"/>
      <c r="ANF440" s="13"/>
      <c r="ANG440" s="13"/>
      <c r="ANH440" s="13"/>
      <c r="ANI440" s="13"/>
      <c r="ANJ440" s="13"/>
      <c r="ANK440" s="13"/>
      <c r="ANL440" s="13"/>
      <c r="ANM440" s="13"/>
      <c r="ANN440" s="13"/>
      <c r="ANO440" s="13"/>
      <c r="ANP440" s="13"/>
      <c r="ANQ440" s="13"/>
      <c r="ANR440" s="13"/>
      <c r="ANS440" s="13"/>
      <c r="ANT440" s="13"/>
      <c r="ANU440" s="13"/>
      <c r="ANV440" s="13"/>
      <c r="ANW440" s="13"/>
      <c r="ANX440" s="13"/>
      <c r="ANY440" s="13"/>
      <c r="ANZ440" s="13"/>
      <c r="AOA440" s="13"/>
      <c r="AOB440" s="13"/>
      <c r="AOC440" s="13"/>
      <c r="AOD440" s="13"/>
      <c r="AOE440" s="13"/>
      <c r="AOF440" s="13"/>
      <c r="AOG440" s="13"/>
      <c r="AOH440" s="13"/>
      <c r="AOI440" s="13"/>
      <c r="AOJ440" s="13"/>
      <c r="AOK440" s="13"/>
      <c r="AOL440" s="13"/>
      <c r="AOM440" s="13"/>
      <c r="AON440" s="13"/>
      <c r="AOO440" s="13"/>
      <c r="AOP440" s="13"/>
      <c r="AOQ440" s="13"/>
      <c r="AOR440" s="13"/>
      <c r="AOS440" s="13"/>
      <c r="AOT440" s="13"/>
      <c r="AOU440" s="13"/>
      <c r="AOV440" s="13"/>
      <c r="AOW440" s="13"/>
      <c r="AOX440" s="13"/>
      <c r="AOY440" s="13"/>
      <c r="AOZ440" s="13"/>
      <c r="APA440" s="13"/>
      <c r="APB440" s="13"/>
      <c r="APC440" s="13"/>
      <c r="APD440" s="13"/>
      <c r="APE440" s="13"/>
      <c r="APF440" s="13"/>
      <c r="APG440" s="13"/>
      <c r="APH440" s="13"/>
      <c r="API440" s="13"/>
      <c r="APJ440" s="13"/>
      <c r="APK440" s="13"/>
      <c r="APL440" s="13"/>
      <c r="APM440" s="13"/>
      <c r="APN440" s="13"/>
      <c r="APO440" s="13"/>
      <c r="APP440" s="13"/>
      <c r="APQ440" s="13"/>
      <c r="APR440" s="13"/>
      <c r="APS440" s="13"/>
      <c r="APT440" s="13"/>
      <c r="APU440" s="13"/>
      <c r="APV440" s="13"/>
      <c r="APW440" s="13"/>
      <c r="APX440" s="13"/>
      <c r="APY440" s="13"/>
      <c r="APZ440" s="13"/>
      <c r="AQA440" s="13"/>
      <c r="AQB440" s="13"/>
      <c r="AQC440" s="13"/>
      <c r="AQD440" s="13"/>
      <c r="AQE440" s="13"/>
      <c r="AQF440" s="13"/>
      <c r="AQG440" s="13"/>
      <c r="AQH440" s="13"/>
      <c r="AQI440" s="13"/>
      <c r="AQJ440" s="13"/>
      <c r="AQK440" s="13"/>
      <c r="AQL440" s="13"/>
      <c r="AQM440" s="13"/>
      <c r="AQN440" s="13"/>
      <c r="AQO440" s="13"/>
      <c r="AQP440" s="13"/>
      <c r="AQQ440" s="13"/>
      <c r="AQR440" s="13"/>
      <c r="AQS440" s="13"/>
      <c r="AQT440" s="13"/>
      <c r="AQU440" s="13"/>
      <c r="AQV440" s="13"/>
      <c r="AQW440" s="13"/>
      <c r="AQX440" s="13"/>
      <c r="AQY440" s="13"/>
      <c r="AQZ440" s="13"/>
      <c r="ARA440" s="13"/>
      <c r="ARB440" s="13"/>
      <c r="ARC440" s="13"/>
      <c r="ARD440" s="13"/>
      <c r="ARE440" s="13"/>
      <c r="ARF440" s="13"/>
      <c r="ARG440" s="13"/>
      <c r="ARH440" s="13"/>
      <c r="ARI440" s="13"/>
      <c r="ARJ440" s="13"/>
      <c r="ARK440" s="13"/>
      <c r="ARL440" s="13"/>
      <c r="ARM440" s="13"/>
      <c r="ARN440" s="13"/>
      <c r="ARO440" s="13"/>
      <c r="ARP440" s="13"/>
      <c r="ARQ440" s="13"/>
      <c r="ARR440" s="13"/>
      <c r="ARS440" s="13"/>
      <c r="ART440" s="13"/>
      <c r="ARU440" s="13"/>
      <c r="ARV440" s="13"/>
      <c r="ARW440" s="13"/>
      <c r="ARX440" s="13"/>
      <c r="ARY440" s="13"/>
      <c r="ARZ440" s="13"/>
      <c r="ASA440" s="13"/>
      <c r="ASB440" s="13"/>
      <c r="ASC440" s="13"/>
      <c r="ASD440" s="13"/>
      <c r="ASE440" s="13"/>
      <c r="ASF440" s="13"/>
      <c r="ASG440" s="13"/>
      <c r="ASH440" s="13"/>
      <c r="ASI440" s="13"/>
      <c r="ASJ440" s="13"/>
      <c r="ASK440" s="13"/>
      <c r="ASL440" s="13"/>
      <c r="ASM440" s="13"/>
      <c r="ASN440" s="13"/>
      <c r="ASO440" s="13"/>
      <c r="ASP440" s="13"/>
      <c r="ASQ440" s="13"/>
      <c r="ASR440" s="13"/>
      <c r="ASS440" s="13"/>
      <c r="AST440" s="13"/>
      <c r="ASU440" s="13"/>
      <c r="ASV440" s="13"/>
      <c r="ASW440" s="13"/>
      <c r="ASX440" s="13"/>
      <c r="ASY440" s="13"/>
      <c r="ASZ440" s="13"/>
      <c r="ATA440" s="13"/>
      <c r="ATB440" s="13"/>
      <c r="ATC440" s="13"/>
      <c r="ATD440" s="13"/>
      <c r="ATE440" s="13"/>
      <c r="ATF440" s="13"/>
      <c r="ATG440" s="13"/>
      <c r="ATH440" s="13"/>
      <c r="ATI440" s="13"/>
      <c r="ATJ440" s="13"/>
      <c r="ATK440" s="13"/>
      <c r="ATL440" s="13"/>
      <c r="ATM440" s="13"/>
      <c r="ATN440" s="13"/>
      <c r="ATO440" s="13"/>
      <c r="ATP440" s="13"/>
      <c r="ATQ440" s="13"/>
      <c r="ATR440" s="13"/>
      <c r="ATS440" s="13"/>
      <c r="ATT440" s="13"/>
      <c r="ATU440" s="13"/>
      <c r="ATV440" s="13"/>
      <c r="ATW440" s="13"/>
      <c r="ATX440" s="13"/>
      <c r="ATY440" s="13"/>
      <c r="ATZ440" s="13"/>
      <c r="AUA440" s="13"/>
      <c r="AUB440" s="13"/>
      <c r="AUC440" s="13"/>
      <c r="AUD440" s="13"/>
      <c r="AUE440" s="13"/>
      <c r="AUF440" s="13"/>
      <c r="AUG440" s="13"/>
      <c r="AUH440" s="13"/>
      <c r="AUI440" s="13"/>
      <c r="AUJ440" s="13"/>
      <c r="AUK440" s="13"/>
      <c r="AUL440" s="13"/>
      <c r="AUM440" s="13"/>
      <c r="AUN440" s="13"/>
      <c r="AUO440" s="13"/>
      <c r="AUP440" s="13"/>
      <c r="AUQ440" s="13"/>
      <c r="AUR440" s="13"/>
      <c r="AUS440" s="13"/>
      <c r="AUT440" s="13"/>
      <c r="AUU440" s="13"/>
      <c r="AUV440" s="13"/>
      <c r="AUW440" s="13"/>
      <c r="AUX440" s="13"/>
      <c r="AUY440" s="13"/>
      <c r="AUZ440" s="13"/>
      <c r="AVA440" s="13"/>
      <c r="AVB440" s="13"/>
      <c r="AVC440" s="13"/>
      <c r="AVD440" s="13"/>
      <c r="AVE440" s="13"/>
      <c r="AVF440" s="13"/>
      <c r="AVG440" s="13"/>
      <c r="AVH440" s="13"/>
      <c r="AVI440" s="13"/>
      <c r="AVJ440" s="13"/>
      <c r="AVK440" s="13"/>
      <c r="AVL440" s="13"/>
      <c r="AVM440" s="13"/>
      <c r="AVN440" s="13"/>
      <c r="AVO440" s="13"/>
      <c r="AVP440" s="13"/>
      <c r="AVQ440" s="13"/>
      <c r="AVR440" s="13"/>
      <c r="AVS440" s="13"/>
      <c r="AVT440" s="13"/>
      <c r="AVU440" s="13"/>
      <c r="AVV440" s="13"/>
      <c r="AVW440" s="13"/>
      <c r="AVX440" s="13"/>
      <c r="AVY440" s="13"/>
      <c r="AVZ440" s="13"/>
      <c r="AWA440" s="13"/>
      <c r="AWB440" s="13"/>
      <c r="AWC440" s="13"/>
      <c r="AWD440" s="13"/>
      <c r="AWE440" s="13"/>
      <c r="AWF440" s="13"/>
      <c r="AWG440" s="13"/>
      <c r="AWH440" s="13"/>
      <c r="AWI440" s="13"/>
      <c r="AWJ440" s="13"/>
      <c r="AWK440" s="13"/>
      <c r="AWL440" s="13"/>
      <c r="AWM440" s="13"/>
      <c r="AWN440" s="13"/>
      <c r="AWO440" s="13"/>
      <c r="AWP440" s="13"/>
      <c r="AWQ440" s="13"/>
      <c r="AWR440" s="13"/>
      <c r="AWS440" s="13"/>
      <c r="AWT440" s="13"/>
      <c r="AWU440" s="13"/>
      <c r="AWV440" s="13"/>
      <c r="AWW440" s="13"/>
      <c r="AWX440" s="13"/>
      <c r="AWY440" s="13"/>
      <c r="AWZ440" s="13"/>
      <c r="AXA440" s="13"/>
      <c r="AXB440" s="13"/>
      <c r="AXC440" s="13"/>
      <c r="AXD440" s="13"/>
      <c r="AXE440" s="13"/>
      <c r="AXF440" s="13"/>
      <c r="AXG440" s="13"/>
      <c r="AXH440" s="13"/>
      <c r="AXI440" s="13"/>
      <c r="AXJ440" s="13"/>
      <c r="AXK440" s="13"/>
      <c r="AXL440" s="13"/>
      <c r="AXM440" s="13"/>
      <c r="AXN440" s="13"/>
      <c r="AXO440" s="13"/>
      <c r="AXP440" s="13"/>
      <c r="AXQ440" s="13"/>
      <c r="AXR440" s="13"/>
      <c r="AXS440" s="13"/>
      <c r="AXT440" s="13"/>
      <c r="AXU440" s="13"/>
      <c r="AXV440" s="13"/>
      <c r="AXW440" s="13"/>
      <c r="AXX440" s="13"/>
      <c r="AXY440" s="13"/>
      <c r="AXZ440" s="13"/>
      <c r="AYA440" s="13"/>
      <c r="AYB440" s="13"/>
      <c r="AYC440" s="13"/>
      <c r="AYD440" s="13"/>
      <c r="AYE440" s="13"/>
      <c r="AYF440" s="13"/>
      <c r="AYG440" s="13"/>
      <c r="AYH440" s="13"/>
      <c r="AYI440" s="13"/>
      <c r="AYJ440" s="13"/>
      <c r="AYK440" s="13"/>
      <c r="AYL440" s="13"/>
      <c r="AYM440" s="13"/>
      <c r="AYN440" s="13"/>
      <c r="AYO440" s="13"/>
      <c r="AYP440" s="13"/>
      <c r="AYQ440" s="13"/>
      <c r="AYR440" s="13"/>
      <c r="AYS440" s="13"/>
      <c r="AYT440" s="13"/>
      <c r="AYU440" s="13"/>
      <c r="AYV440" s="13"/>
      <c r="AYW440" s="13"/>
      <c r="AYX440" s="13"/>
      <c r="AYY440" s="13"/>
      <c r="AYZ440" s="13"/>
      <c r="AZA440" s="13"/>
      <c r="AZB440" s="13"/>
      <c r="AZC440" s="13"/>
      <c r="AZD440" s="13"/>
      <c r="AZE440" s="13"/>
      <c r="AZF440" s="13"/>
      <c r="AZG440" s="13"/>
      <c r="AZH440" s="13"/>
      <c r="AZI440" s="13"/>
      <c r="AZJ440" s="13"/>
      <c r="AZK440" s="13"/>
      <c r="AZL440" s="13"/>
      <c r="AZM440" s="13"/>
      <c r="AZN440" s="13"/>
      <c r="AZO440" s="13"/>
      <c r="AZP440" s="13"/>
      <c r="AZQ440" s="13"/>
      <c r="AZR440" s="13"/>
      <c r="AZS440" s="13"/>
      <c r="AZT440" s="13"/>
      <c r="AZU440" s="13"/>
      <c r="AZV440" s="13"/>
      <c r="AZW440" s="13"/>
      <c r="AZX440" s="13"/>
      <c r="AZY440" s="13"/>
      <c r="AZZ440" s="13"/>
      <c r="BAA440" s="13"/>
      <c r="BAB440" s="13"/>
      <c r="BAC440" s="13"/>
      <c r="BAD440" s="13"/>
      <c r="BAE440" s="13"/>
      <c r="BAF440" s="13"/>
      <c r="BAG440" s="13"/>
      <c r="BAH440" s="13"/>
      <c r="BAI440" s="13"/>
      <c r="BAJ440" s="13"/>
      <c r="BAK440" s="13"/>
      <c r="BAL440" s="13"/>
      <c r="BAM440" s="13"/>
      <c r="BAN440" s="13"/>
      <c r="BAO440" s="13"/>
      <c r="BAP440" s="13"/>
      <c r="BAQ440" s="13"/>
      <c r="BAR440" s="13"/>
      <c r="BAS440" s="13"/>
      <c r="BAT440" s="13"/>
      <c r="BAU440" s="13"/>
      <c r="BAV440" s="13"/>
      <c r="BAW440" s="13"/>
      <c r="BAX440" s="13"/>
      <c r="BAY440" s="13"/>
      <c r="BAZ440" s="13"/>
      <c r="BBA440" s="13"/>
      <c r="BBB440" s="13"/>
      <c r="BBC440" s="13"/>
      <c r="BBD440" s="13"/>
      <c r="BBE440" s="13"/>
      <c r="BBF440" s="13"/>
      <c r="BBG440" s="13"/>
      <c r="BBH440" s="13"/>
      <c r="BBI440" s="13"/>
      <c r="BBJ440" s="13"/>
      <c r="BBK440" s="13"/>
      <c r="BBL440" s="13"/>
      <c r="BBM440" s="13"/>
      <c r="BBN440" s="13"/>
      <c r="BBO440" s="13"/>
      <c r="BBP440" s="13"/>
      <c r="BBQ440" s="13"/>
      <c r="BBR440" s="13"/>
      <c r="BBS440" s="13"/>
      <c r="BBT440" s="13"/>
      <c r="BBU440" s="13"/>
      <c r="BBV440" s="13"/>
      <c r="BBW440" s="13"/>
      <c r="BBX440" s="13"/>
      <c r="BBY440" s="13"/>
      <c r="BBZ440" s="13"/>
      <c r="BCA440" s="13"/>
      <c r="BCB440" s="13"/>
      <c r="BCC440" s="13"/>
      <c r="BCD440" s="13"/>
      <c r="BCE440" s="13"/>
      <c r="BCF440" s="13"/>
      <c r="BCG440" s="13"/>
      <c r="BCH440" s="13"/>
      <c r="BCI440" s="13"/>
      <c r="BCJ440" s="13"/>
      <c r="BCK440" s="13"/>
      <c r="BCL440" s="13"/>
      <c r="BCM440" s="13"/>
      <c r="BCN440" s="13"/>
      <c r="BCO440" s="13"/>
      <c r="BCP440" s="13"/>
      <c r="BCQ440" s="13"/>
      <c r="BCR440" s="13"/>
      <c r="BCS440" s="13"/>
      <c r="BCT440" s="13"/>
      <c r="BCU440" s="13"/>
      <c r="BCV440" s="13"/>
      <c r="BCW440" s="13"/>
      <c r="BCX440" s="13"/>
      <c r="BCY440" s="13"/>
      <c r="BCZ440" s="13"/>
      <c r="BDA440" s="13"/>
      <c r="BDB440" s="13"/>
      <c r="BDC440" s="13"/>
      <c r="BDD440" s="13"/>
      <c r="BDE440" s="13"/>
      <c r="BDF440" s="13"/>
      <c r="BDG440" s="13"/>
      <c r="BDH440" s="13"/>
      <c r="BDI440" s="13"/>
      <c r="BDJ440" s="13"/>
      <c r="BDK440" s="13"/>
      <c r="BDL440" s="13"/>
      <c r="BDM440" s="13"/>
      <c r="BDN440" s="13"/>
      <c r="BDO440" s="13"/>
      <c r="BDP440" s="13"/>
      <c r="BDQ440" s="13"/>
      <c r="BDR440" s="13"/>
      <c r="BDS440" s="13"/>
      <c r="BDT440" s="13"/>
      <c r="BDU440" s="13"/>
      <c r="BDV440" s="13"/>
      <c r="BDW440" s="13"/>
      <c r="BDX440" s="13"/>
      <c r="BDY440" s="13"/>
      <c r="BDZ440" s="13"/>
      <c r="BEA440" s="13"/>
      <c r="BEB440" s="13"/>
      <c r="BEC440" s="13"/>
      <c r="BED440" s="13"/>
      <c r="BEE440" s="13"/>
      <c r="BEF440" s="13"/>
      <c r="BEG440" s="13"/>
      <c r="BEH440" s="13"/>
      <c r="BEI440" s="13"/>
      <c r="BEJ440" s="13"/>
      <c r="BEK440" s="13"/>
      <c r="BEL440" s="13"/>
      <c r="BEM440" s="13"/>
      <c r="BEN440" s="13"/>
      <c r="BEO440" s="13"/>
      <c r="BEP440" s="13"/>
      <c r="BEQ440" s="13"/>
      <c r="BER440" s="13"/>
      <c r="BES440" s="13"/>
      <c r="BET440" s="13"/>
      <c r="BEU440" s="13"/>
      <c r="BEV440" s="13"/>
      <c r="BEW440" s="13"/>
      <c r="BEX440" s="13"/>
      <c r="BEY440" s="13"/>
      <c r="BEZ440" s="13"/>
      <c r="BFA440" s="13"/>
      <c r="BFB440" s="13"/>
      <c r="BFC440" s="13"/>
      <c r="BFD440" s="13"/>
      <c r="BFE440" s="13"/>
      <c r="BFF440" s="13"/>
      <c r="BFG440" s="13"/>
      <c r="BFH440" s="13"/>
      <c r="BFI440" s="13"/>
      <c r="BFJ440" s="13"/>
      <c r="BFK440" s="13"/>
      <c r="BFL440" s="13"/>
      <c r="BFM440" s="13"/>
      <c r="BFN440" s="13"/>
      <c r="BFO440" s="13"/>
      <c r="BFP440" s="13"/>
      <c r="BFQ440" s="13"/>
      <c r="BFR440" s="13"/>
      <c r="BFS440" s="13"/>
      <c r="BFT440" s="13"/>
      <c r="BFU440" s="13"/>
      <c r="BFV440" s="13"/>
      <c r="BFW440" s="13"/>
      <c r="BFX440" s="13"/>
      <c r="BFY440" s="13"/>
      <c r="BFZ440" s="13"/>
      <c r="BGA440" s="13"/>
      <c r="BGB440" s="13"/>
      <c r="BGC440" s="13"/>
      <c r="BGD440" s="13"/>
      <c r="BGE440" s="13"/>
      <c r="BGF440" s="13"/>
      <c r="BGG440" s="13"/>
      <c r="BGH440" s="13"/>
      <c r="BGI440" s="13"/>
      <c r="BGJ440" s="13"/>
      <c r="BGK440" s="13"/>
      <c r="BGL440" s="13"/>
      <c r="BGM440" s="13"/>
      <c r="BGN440" s="13"/>
      <c r="BGO440" s="13"/>
      <c r="BGP440" s="13"/>
      <c r="BGQ440" s="13"/>
      <c r="BGR440" s="13"/>
      <c r="BGS440" s="13"/>
      <c r="BGT440" s="13"/>
      <c r="BGU440" s="13"/>
      <c r="BGV440" s="13"/>
      <c r="BGW440" s="13"/>
      <c r="BGX440" s="13"/>
      <c r="BGY440" s="13"/>
      <c r="BGZ440" s="13"/>
      <c r="BHA440" s="13"/>
      <c r="BHB440" s="13"/>
      <c r="BHC440" s="13"/>
      <c r="BHD440" s="13"/>
      <c r="BHE440" s="13"/>
      <c r="BHF440" s="13"/>
      <c r="BHG440" s="13"/>
      <c r="BHH440" s="13"/>
      <c r="BHI440" s="13"/>
      <c r="BHJ440" s="13"/>
      <c r="BHK440" s="13"/>
      <c r="BHL440" s="13"/>
      <c r="BHM440" s="13"/>
      <c r="BHN440" s="13"/>
      <c r="BHO440" s="13"/>
      <c r="BHP440" s="13"/>
      <c r="BHQ440" s="13"/>
      <c r="BHR440" s="13"/>
      <c r="BHS440" s="13"/>
      <c r="BHT440" s="13"/>
      <c r="BHU440" s="13"/>
      <c r="BHV440" s="13"/>
      <c r="BHW440" s="13"/>
      <c r="BHX440" s="13"/>
      <c r="BHY440" s="13"/>
      <c r="BHZ440" s="13"/>
      <c r="BIA440" s="13"/>
      <c r="BIB440" s="13"/>
      <c r="BIC440" s="13"/>
      <c r="BID440" s="13"/>
      <c r="BIE440" s="13"/>
      <c r="BIF440" s="13"/>
      <c r="BIG440" s="13"/>
      <c r="BIH440" s="13"/>
      <c r="BII440" s="13"/>
      <c r="BIJ440" s="13"/>
      <c r="BIK440" s="13"/>
      <c r="BIL440" s="13"/>
      <c r="BIM440" s="13"/>
      <c r="BIN440" s="13"/>
      <c r="BIO440" s="13"/>
      <c r="BIP440" s="13"/>
      <c r="BIQ440" s="13"/>
      <c r="BIR440" s="13"/>
      <c r="BIS440" s="13"/>
      <c r="BIT440" s="13"/>
      <c r="BIU440" s="13"/>
      <c r="BIV440" s="13"/>
      <c r="BIW440" s="13"/>
      <c r="BIX440" s="13"/>
      <c r="BIY440" s="13"/>
      <c r="BIZ440" s="13"/>
      <c r="BJA440" s="13"/>
      <c r="BJB440" s="13"/>
      <c r="BJC440" s="13"/>
      <c r="BJD440" s="13"/>
      <c r="BJE440" s="13"/>
      <c r="BJF440" s="13"/>
      <c r="BJG440" s="13"/>
      <c r="BJH440" s="13"/>
      <c r="BJI440" s="13"/>
      <c r="BJJ440" s="13"/>
      <c r="BJK440" s="13"/>
      <c r="BJL440" s="13"/>
      <c r="BJM440" s="13"/>
      <c r="BJN440" s="13"/>
      <c r="BJO440" s="13"/>
      <c r="BJP440" s="13"/>
      <c r="BJQ440" s="13"/>
      <c r="BJR440" s="13"/>
      <c r="BJS440" s="13"/>
      <c r="BJT440" s="13"/>
      <c r="BJU440" s="13"/>
      <c r="BJV440" s="13"/>
      <c r="BJW440" s="13"/>
      <c r="BJX440" s="13"/>
      <c r="BJY440" s="13"/>
      <c r="BJZ440" s="13"/>
      <c r="BKA440" s="13"/>
      <c r="BKB440" s="13"/>
      <c r="BKC440" s="13"/>
      <c r="BKD440" s="13"/>
      <c r="BKE440" s="13"/>
      <c r="BKF440" s="13"/>
      <c r="BKG440" s="13"/>
      <c r="BKH440" s="13"/>
      <c r="BKI440" s="13"/>
      <c r="BKJ440" s="13"/>
      <c r="BKK440" s="13"/>
      <c r="BKL440" s="13"/>
      <c r="BKM440" s="13"/>
      <c r="BKN440" s="13"/>
      <c r="BKO440" s="13"/>
      <c r="BKP440" s="13"/>
      <c r="BKQ440" s="13"/>
      <c r="BKR440" s="13"/>
      <c r="BKS440" s="13"/>
      <c r="BKT440" s="13"/>
      <c r="BKU440" s="13"/>
      <c r="BKV440" s="13"/>
      <c r="BKW440" s="13"/>
      <c r="BKX440" s="13"/>
      <c r="BKY440" s="13"/>
      <c r="BKZ440" s="13"/>
      <c r="BLA440" s="13"/>
      <c r="BLB440" s="13"/>
      <c r="BLC440" s="13"/>
      <c r="BLD440" s="13"/>
      <c r="BLE440" s="13"/>
      <c r="BLF440" s="13"/>
      <c r="BLG440" s="13"/>
      <c r="BLH440" s="13"/>
      <c r="BLI440" s="13"/>
      <c r="BLJ440" s="13"/>
      <c r="BLK440" s="13"/>
      <c r="BLL440" s="13"/>
      <c r="BLM440" s="13"/>
      <c r="BLN440" s="13"/>
      <c r="BLO440" s="13"/>
      <c r="BLP440" s="13"/>
      <c r="BLQ440" s="13"/>
      <c r="BLR440" s="13"/>
      <c r="BLS440" s="13"/>
      <c r="BLT440" s="13"/>
      <c r="BLU440" s="13"/>
      <c r="BLV440" s="13"/>
      <c r="BLW440" s="13"/>
      <c r="BLX440" s="13"/>
      <c r="BLY440" s="13"/>
      <c r="BLZ440" s="13"/>
      <c r="BMA440" s="13"/>
      <c r="BMB440" s="13"/>
      <c r="BMC440" s="13"/>
      <c r="BMD440" s="13"/>
      <c r="BME440" s="13"/>
      <c r="BMF440" s="13"/>
      <c r="BMG440" s="13"/>
      <c r="BMH440" s="13"/>
      <c r="BMI440" s="13"/>
      <c r="BMJ440" s="13"/>
      <c r="BMK440" s="13"/>
      <c r="BML440" s="13"/>
      <c r="BMM440" s="13"/>
      <c r="BMN440" s="13"/>
      <c r="BMO440" s="13"/>
      <c r="BMP440" s="13"/>
      <c r="BMQ440" s="13"/>
      <c r="BMR440" s="13"/>
      <c r="BMS440" s="13"/>
      <c r="BMT440" s="13"/>
      <c r="BMU440" s="13"/>
      <c r="BMV440" s="13"/>
      <c r="BMW440" s="13"/>
      <c r="BMX440" s="13"/>
      <c r="BMY440" s="13"/>
      <c r="BMZ440" s="13"/>
      <c r="BNA440" s="13"/>
      <c r="BNB440" s="13"/>
      <c r="BNC440" s="13"/>
      <c r="BND440" s="13"/>
      <c r="BNE440" s="13"/>
      <c r="BNF440" s="13"/>
      <c r="BNG440" s="13"/>
      <c r="BNH440" s="13"/>
      <c r="BNI440" s="13"/>
      <c r="BNJ440" s="13"/>
      <c r="BNK440" s="13"/>
      <c r="BNL440" s="13"/>
      <c r="BNM440" s="13"/>
      <c r="BNN440" s="13"/>
      <c r="BNO440" s="13"/>
      <c r="BNP440" s="13"/>
      <c r="BNQ440" s="13"/>
      <c r="BNR440" s="13"/>
      <c r="BNS440" s="13"/>
      <c r="BNT440" s="13"/>
      <c r="BNU440" s="13"/>
      <c r="BNV440" s="13"/>
      <c r="BNW440" s="13"/>
      <c r="BNX440" s="13"/>
      <c r="BNY440" s="13"/>
      <c r="BNZ440" s="13"/>
      <c r="BOA440" s="13"/>
      <c r="BOB440" s="13"/>
      <c r="BOC440" s="13"/>
      <c r="BOD440" s="13"/>
      <c r="BOE440" s="13"/>
      <c r="BOF440" s="13"/>
      <c r="BOG440" s="13"/>
      <c r="BOH440" s="13"/>
      <c r="BOI440" s="13"/>
      <c r="BOJ440" s="13"/>
      <c r="BOK440" s="13"/>
      <c r="BOL440" s="13"/>
      <c r="BOM440" s="13"/>
      <c r="BON440" s="13"/>
      <c r="BOO440" s="13"/>
      <c r="BOP440" s="13"/>
      <c r="BOQ440" s="13"/>
      <c r="BOR440" s="13"/>
      <c r="BOS440" s="13"/>
      <c r="BOT440" s="13"/>
      <c r="BOU440" s="13"/>
      <c r="BOV440" s="13"/>
      <c r="BOW440" s="13"/>
      <c r="BOX440" s="13"/>
      <c r="BOY440" s="13"/>
      <c r="BOZ440" s="13"/>
      <c r="BPA440" s="13"/>
      <c r="BPB440" s="13"/>
      <c r="BPC440" s="13"/>
      <c r="BPD440" s="13"/>
      <c r="BPE440" s="13"/>
      <c r="BPF440" s="13"/>
      <c r="BPG440" s="13"/>
      <c r="BPH440" s="13"/>
      <c r="BPI440" s="13"/>
      <c r="BPJ440" s="13"/>
      <c r="BPK440" s="13"/>
      <c r="BPL440" s="13"/>
      <c r="BPM440" s="13"/>
      <c r="BPN440" s="13"/>
      <c r="BPO440" s="13"/>
      <c r="BPP440" s="13"/>
      <c r="BPQ440" s="13"/>
      <c r="BPR440" s="13"/>
      <c r="BPS440" s="13"/>
      <c r="BPT440" s="13"/>
      <c r="BPU440" s="13"/>
      <c r="BPV440" s="13"/>
      <c r="BPW440" s="13"/>
      <c r="BPX440" s="13"/>
      <c r="BPY440" s="13"/>
      <c r="BPZ440" s="13"/>
      <c r="BQA440" s="13"/>
      <c r="BQB440" s="13"/>
      <c r="BQC440" s="13"/>
      <c r="BQD440" s="13"/>
      <c r="BQE440" s="13"/>
      <c r="BQF440" s="13"/>
      <c r="BQG440" s="13"/>
      <c r="BQH440" s="13"/>
      <c r="BQI440" s="13"/>
      <c r="BQJ440" s="13"/>
      <c r="BQK440" s="13"/>
      <c r="BQL440" s="13"/>
      <c r="BQM440" s="13"/>
      <c r="BQN440" s="13"/>
      <c r="BQO440" s="13"/>
      <c r="BQP440" s="13"/>
      <c r="BQQ440" s="13"/>
      <c r="BQR440" s="13"/>
      <c r="BQS440" s="13"/>
      <c r="BQT440" s="13"/>
      <c r="BQU440" s="13"/>
      <c r="BQV440" s="13"/>
      <c r="BQW440" s="13"/>
      <c r="BQX440" s="13"/>
      <c r="BQY440" s="13"/>
      <c r="BQZ440" s="13"/>
      <c r="BRA440" s="13"/>
      <c r="BRB440" s="13"/>
      <c r="BRC440" s="13"/>
      <c r="BRD440" s="13"/>
      <c r="BRE440" s="13"/>
      <c r="BRF440" s="13"/>
      <c r="BRG440" s="13"/>
      <c r="BRH440" s="13"/>
      <c r="BRI440" s="13"/>
      <c r="BRJ440" s="13"/>
      <c r="BRK440" s="13"/>
      <c r="BRL440" s="13"/>
      <c r="BRM440" s="13"/>
      <c r="BRN440" s="13"/>
      <c r="BRO440" s="13"/>
      <c r="BRP440" s="13"/>
      <c r="BRQ440" s="13"/>
      <c r="BRR440" s="13"/>
      <c r="BRS440" s="13"/>
      <c r="BRT440" s="13"/>
      <c r="BRU440" s="13"/>
      <c r="BRV440" s="13"/>
      <c r="BRW440" s="13"/>
      <c r="BRX440" s="13"/>
      <c r="BRY440" s="13"/>
      <c r="BRZ440" s="13"/>
      <c r="BSA440" s="13"/>
      <c r="BSB440" s="13"/>
      <c r="BSC440" s="13"/>
      <c r="BSD440" s="13"/>
      <c r="BSE440" s="13"/>
      <c r="BSF440" s="13"/>
      <c r="BSG440" s="13"/>
      <c r="BSH440" s="13"/>
      <c r="BSI440" s="13"/>
      <c r="BSJ440" s="13"/>
      <c r="BSK440" s="13"/>
      <c r="BSL440" s="13"/>
      <c r="BSM440" s="13"/>
      <c r="BSN440" s="13"/>
      <c r="BSO440" s="13"/>
      <c r="BSP440" s="13"/>
      <c r="BSQ440" s="13"/>
      <c r="BSR440" s="13"/>
      <c r="BSS440" s="13"/>
      <c r="BST440" s="13"/>
      <c r="BSU440" s="13"/>
      <c r="BSV440" s="13"/>
      <c r="BSW440" s="13"/>
      <c r="BSX440" s="13"/>
      <c r="BSY440" s="13"/>
      <c r="BSZ440" s="13"/>
      <c r="BTA440" s="13"/>
    </row>
    <row r="441" spans="1:1873" s="23" customFormat="1" x14ac:dyDescent="0.2">
      <c r="A441" s="329" t="s">
        <v>1838</v>
      </c>
      <c r="B441" s="240" t="s">
        <v>282</v>
      </c>
      <c r="C441" s="240" t="s">
        <v>903</v>
      </c>
      <c r="D441" s="240" t="s">
        <v>619</v>
      </c>
      <c r="E441" s="305" t="s">
        <v>1525</v>
      </c>
      <c r="F441" s="450">
        <v>1</v>
      </c>
      <c r="G441" s="450">
        <v>7</v>
      </c>
      <c r="H441" s="450">
        <v>7</v>
      </c>
      <c r="I441" s="223" t="s">
        <v>954</v>
      </c>
      <c r="J441" s="450">
        <v>1981</v>
      </c>
      <c r="K441" s="223" t="s">
        <v>957</v>
      </c>
      <c r="L441" s="450">
        <v>1987</v>
      </c>
      <c r="M441" s="550">
        <v>-9999</v>
      </c>
      <c r="N441" s="223">
        <v>-9999</v>
      </c>
      <c r="O441" s="29"/>
      <c r="P441" s="243">
        <v>70.8</v>
      </c>
      <c r="Q441" s="240">
        <v>-9999</v>
      </c>
      <c r="R441" s="421"/>
      <c r="S441" s="240"/>
      <c r="T441" s="553">
        <f t="shared" si="16"/>
        <v>10.114285714285714</v>
      </c>
      <c r="U441" s="451">
        <v>-9999</v>
      </c>
      <c r="V441" s="451"/>
      <c r="W441" s="244">
        <f>+P441-P440</f>
        <v>6.5999999999999943</v>
      </c>
      <c r="X441" s="451">
        <v>-9999</v>
      </c>
      <c r="Y441" s="451"/>
      <c r="Z441" s="404" t="s">
        <v>1839</v>
      </c>
      <c r="AA441" s="551">
        <v>9102</v>
      </c>
      <c r="AB441" s="243">
        <f t="shared" si="17"/>
        <v>0.32766937864497087</v>
      </c>
      <c r="AC441" s="245">
        <v>0.1</v>
      </c>
      <c r="AD441" s="223">
        <v>22.7</v>
      </c>
      <c r="AE441" s="223" t="s">
        <v>284</v>
      </c>
      <c r="AF441" s="450">
        <v>2</v>
      </c>
      <c r="AG441" s="223">
        <v>-9999</v>
      </c>
      <c r="AH441" s="223" t="s">
        <v>623</v>
      </c>
      <c r="AI441" s="223">
        <v>-9999</v>
      </c>
      <c r="AJ441" s="223">
        <v>-9999</v>
      </c>
      <c r="AK441" s="223">
        <v>-9999</v>
      </c>
      <c r="AL441" s="223">
        <v>-9999</v>
      </c>
      <c r="AM441" s="223">
        <v>-9999</v>
      </c>
      <c r="AN441" s="223" t="s">
        <v>626</v>
      </c>
      <c r="AO441" s="223">
        <v>-9999</v>
      </c>
      <c r="AP441" s="223" t="s">
        <v>285</v>
      </c>
      <c r="AQ441" s="223" t="s">
        <v>626</v>
      </c>
      <c r="AR441" s="223">
        <f t="shared" si="18"/>
        <v>770</v>
      </c>
      <c r="AS441" s="450">
        <v>-9999</v>
      </c>
      <c r="AT441" s="223" t="s">
        <v>286</v>
      </c>
      <c r="AU441" s="450">
        <v>0</v>
      </c>
      <c r="AV441" s="450">
        <v>-9999</v>
      </c>
      <c r="AW441" s="450">
        <v>-9999</v>
      </c>
      <c r="AX441" s="450">
        <v>0</v>
      </c>
      <c r="AY441" s="450">
        <v>-9999</v>
      </c>
      <c r="AZ441" s="450"/>
      <c r="BA441" s="223">
        <v>-9999</v>
      </c>
      <c r="BB441" s="223" t="s">
        <v>631</v>
      </c>
      <c r="BC441" s="223">
        <v>-9999</v>
      </c>
      <c r="BD441" s="223">
        <v>-9999</v>
      </c>
      <c r="BE441" s="223">
        <v>-9999</v>
      </c>
      <c r="BF441" s="223" t="s">
        <v>753</v>
      </c>
      <c r="BG441" s="223">
        <v>-9999</v>
      </c>
      <c r="BH441" s="223">
        <v>-9999</v>
      </c>
      <c r="BI441" s="223">
        <v>-9999</v>
      </c>
      <c r="BJ441" s="223">
        <v>-9999</v>
      </c>
      <c r="BK441" s="223">
        <v>-9999</v>
      </c>
      <c r="BL441" s="223">
        <v>-9999</v>
      </c>
      <c r="BM441" s="223">
        <v>-9999</v>
      </c>
      <c r="BN441" s="223">
        <v>6.2</v>
      </c>
      <c r="BO441" s="223">
        <v>-9999</v>
      </c>
      <c r="BP441" s="223">
        <v>-9999</v>
      </c>
      <c r="BQ441" s="223">
        <v>-9999</v>
      </c>
      <c r="BR441" s="223">
        <v>-9999</v>
      </c>
      <c r="BS441" s="242">
        <v>-9999</v>
      </c>
      <c r="BT441" s="223">
        <v>-9999</v>
      </c>
      <c r="BU441" s="223">
        <v>-9999</v>
      </c>
      <c r="BV441" s="223">
        <v>-9999</v>
      </c>
      <c r="BW441" s="223"/>
      <c r="BX441" s="223">
        <v>-9999</v>
      </c>
      <c r="BY441" s="223">
        <v>-9999</v>
      </c>
      <c r="BZ441" s="332">
        <v>-9999</v>
      </c>
      <c r="CA441" s="332">
        <v>-9999</v>
      </c>
      <c r="CB441" s="247"/>
      <c r="CC441" s="450">
        <v>1</v>
      </c>
      <c r="CD441" s="450">
        <v>7</v>
      </c>
      <c r="CE441" s="292">
        <v>10.114285714285714</v>
      </c>
      <c r="CF441" s="292">
        <v>6.5999999999999943</v>
      </c>
      <c r="CG441" s="76">
        <v>7</v>
      </c>
    </row>
    <row r="442" spans="1:1873" s="23" customFormat="1" x14ac:dyDescent="0.2">
      <c r="A442" s="25"/>
      <c r="B442" s="240"/>
      <c r="C442" s="240"/>
      <c r="D442" s="240"/>
      <c r="E442" s="305"/>
      <c r="F442" s="450"/>
      <c r="G442" s="450"/>
      <c r="H442" s="450"/>
      <c r="I442" s="223"/>
      <c r="J442" s="450"/>
      <c r="K442" s="450"/>
      <c r="L442" s="450"/>
      <c r="M442" s="550"/>
      <c r="N442" s="223"/>
      <c r="O442" s="29"/>
      <c r="P442" s="243"/>
      <c r="Q442" s="240"/>
      <c r="R442" s="421"/>
      <c r="S442" s="240"/>
      <c r="T442" s="550"/>
      <c r="U442" s="451"/>
      <c r="V442" s="451"/>
      <c r="W442" s="244"/>
      <c r="X442" s="451"/>
      <c r="Y442" s="451"/>
      <c r="Z442" s="223"/>
      <c r="AA442" s="551"/>
      <c r="AB442" s="243"/>
      <c r="AC442" s="245"/>
      <c r="AD442" s="223"/>
      <c r="AE442" s="223"/>
      <c r="AF442" s="450"/>
      <c r="AG442" s="223"/>
      <c r="AH442" s="223"/>
      <c r="AI442" s="223"/>
      <c r="AJ442" s="223"/>
      <c r="AK442" s="223"/>
      <c r="AL442" s="223"/>
      <c r="AM442" s="223"/>
      <c r="AN442" s="223"/>
      <c r="AO442" s="223"/>
      <c r="AP442" s="223"/>
      <c r="AQ442" s="223"/>
      <c r="AR442" s="223"/>
      <c r="AS442" s="450"/>
      <c r="AT442" s="223"/>
      <c r="AU442" s="450"/>
      <c r="AV442" s="450"/>
      <c r="AW442" s="450"/>
      <c r="AX442" s="450"/>
      <c r="AY442" s="450"/>
      <c r="AZ442" s="450"/>
      <c r="BA442" s="223"/>
      <c r="BB442" s="223"/>
      <c r="BC442" s="223"/>
      <c r="BD442" s="223"/>
      <c r="BE442" s="223"/>
      <c r="BF442" s="223"/>
      <c r="BG442" s="223"/>
      <c r="BH442" s="223"/>
      <c r="BI442" s="223"/>
      <c r="BJ442" s="223"/>
      <c r="BK442" s="223"/>
      <c r="BL442" s="223"/>
      <c r="BM442" s="223"/>
      <c r="BN442" s="223"/>
      <c r="BO442" s="223"/>
      <c r="BP442" s="223"/>
      <c r="BQ442" s="223"/>
      <c r="BR442" s="223"/>
      <c r="BS442" s="242"/>
      <c r="BT442" s="223"/>
      <c r="BU442" s="223"/>
      <c r="BV442" s="223"/>
      <c r="BW442" s="223"/>
      <c r="BX442" s="223"/>
      <c r="BY442" s="223"/>
      <c r="BZ442" s="332"/>
      <c r="CA442" s="332"/>
      <c r="CB442" s="247"/>
      <c r="CC442" s="450"/>
      <c r="CD442" s="450"/>
      <c r="CE442" s="342" t="s">
        <v>1576</v>
      </c>
      <c r="CF442" s="342" t="s">
        <v>1575</v>
      </c>
      <c r="CG442" s="76"/>
    </row>
    <row r="443" spans="1:1873" s="23" customFormat="1" x14ac:dyDescent="0.2">
      <c r="A443" s="329" t="s">
        <v>1838</v>
      </c>
      <c r="B443" s="240" t="s">
        <v>282</v>
      </c>
      <c r="C443" s="240" t="s">
        <v>904</v>
      </c>
      <c r="D443" s="240" t="s">
        <v>619</v>
      </c>
      <c r="E443" s="305" t="s">
        <v>1525</v>
      </c>
      <c r="F443" s="223">
        <v>2</v>
      </c>
      <c r="G443" s="450">
        <v>1</v>
      </c>
      <c r="H443" s="450">
        <v>4</v>
      </c>
      <c r="I443" s="223" t="s">
        <v>954</v>
      </c>
      <c r="J443" s="450">
        <v>1978</v>
      </c>
      <c r="K443" s="223" t="s">
        <v>957</v>
      </c>
      <c r="L443" s="450">
        <v>1981</v>
      </c>
      <c r="M443" s="550">
        <v>-9999</v>
      </c>
      <c r="N443" s="223">
        <v>-9999</v>
      </c>
      <c r="O443" s="29"/>
      <c r="P443" s="243">
        <v>5.4</v>
      </c>
      <c r="Q443" s="240">
        <v>-9999</v>
      </c>
      <c r="R443" s="421"/>
      <c r="S443" s="240"/>
      <c r="T443" s="553">
        <f t="shared" ref="T443:T448" si="19">+P443/G443</f>
        <v>5.4</v>
      </c>
      <c r="U443" s="451">
        <v>-9999</v>
      </c>
      <c r="V443" s="451"/>
      <c r="W443" s="244" t="s">
        <v>59</v>
      </c>
      <c r="X443" s="451">
        <v>-9999</v>
      </c>
      <c r="Y443" s="451"/>
      <c r="Z443" s="404" t="s">
        <v>1701</v>
      </c>
      <c r="AA443" s="551">
        <v>121000</v>
      </c>
      <c r="AB443" s="243">
        <v>1</v>
      </c>
      <c r="AC443" s="245">
        <v>0.1</v>
      </c>
      <c r="AD443" s="223">
        <v>22.7</v>
      </c>
      <c r="AE443" s="223" t="s">
        <v>284</v>
      </c>
      <c r="AF443" s="450">
        <v>2</v>
      </c>
      <c r="AG443" s="223">
        <v>-9999</v>
      </c>
      <c r="AH443" s="223" t="s">
        <v>623</v>
      </c>
      <c r="AI443" s="223">
        <v>-9999</v>
      </c>
      <c r="AJ443" s="223">
        <v>-9999</v>
      </c>
      <c r="AK443" s="223">
        <v>-9999</v>
      </c>
      <c r="AL443" s="223">
        <v>-9999</v>
      </c>
      <c r="AM443" s="223">
        <v>-9999</v>
      </c>
      <c r="AN443" s="223" t="s">
        <v>626</v>
      </c>
      <c r="AO443" s="223">
        <v>-9999</v>
      </c>
      <c r="AP443" s="223" t="s">
        <v>285</v>
      </c>
      <c r="AQ443" s="223" t="s">
        <v>626</v>
      </c>
      <c r="AR443" s="223">
        <f>110*G443</f>
        <v>110</v>
      </c>
      <c r="AS443" s="450">
        <v>-9999</v>
      </c>
      <c r="AT443" s="223" t="s">
        <v>286</v>
      </c>
      <c r="AU443" s="450">
        <v>0</v>
      </c>
      <c r="AV443" s="450">
        <v>-9999</v>
      </c>
      <c r="AW443" s="450">
        <v>-9999</v>
      </c>
      <c r="AX443" s="450">
        <v>0</v>
      </c>
      <c r="AY443" s="450">
        <v>-9999</v>
      </c>
      <c r="AZ443" s="450"/>
      <c r="BA443" s="223">
        <v>-9999</v>
      </c>
      <c r="BB443" s="223" t="s">
        <v>631</v>
      </c>
      <c r="BC443" s="223">
        <v>-9999</v>
      </c>
      <c r="BD443" s="223">
        <v>-9999</v>
      </c>
      <c r="BE443" s="223">
        <v>-9999</v>
      </c>
      <c r="BF443" s="223" t="s">
        <v>753</v>
      </c>
      <c r="BG443" s="223">
        <v>-9999</v>
      </c>
      <c r="BH443" s="223">
        <v>-9999</v>
      </c>
      <c r="BI443" s="223">
        <v>-9999</v>
      </c>
      <c r="BJ443" s="223">
        <v>-9999</v>
      </c>
      <c r="BK443" s="223">
        <v>-9999</v>
      </c>
      <c r="BL443" s="223">
        <v>-9999</v>
      </c>
      <c r="BM443" s="223">
        <v>-9999</v>
      </c>
      <c r="BN443" s="223">
        <v>1</v>
      </c>
      <c r="BO443" s="223">
        <v>-9999</v>
      </c>
      <c r="BP443" s="223">
        <v>-9999</v>
      </c>
      <c r="BQ443" s="223">
        <v>-9999</v>
      </c>
      <c r="BR443" s="223">
        <v>-9999</v>
      </c>
      <c r="BS443" s="242">
        <v>-9999</v>
      </c>
      <c r="BT443" s="223">
        <v>-9999</v>
      </c>
      <c r="BU443" s="223">
        <v>-9999</v>
      </c>
      <c r="BV443" s="223">
        <v>-9999</v>
      </c>
      <c r="BW443" s="223"/>
      <c r="BX443" s="223">
        <v>-9999</v>
      </c>
      <c r="BY443" s="223">
        <v>-9999</v>
      </c>
      <c r="BZ443" s="332">
        <v>-9999</v>
      </c>
      <c r="CA443" s="332">
        <v>-9999</v>
      </c>
      <c r="CB443" s="247"/>
      <c r="CC443" s="223">
        <v>2</v>
      </c>
      <c r="CD443" s="450">
        <v>1</v>
      </c>
      <c r="CE443" s="292">
        <v>5.4</v>
      </c>
      <c r="CF443" s="292"/>
      <c r="CG443" s="76">
        <v>4</v>
      </c>
    </row>
    <row r="444" spans="1:1873" s="23" customFormat="1" x14ac:dyDescent="0.2">
      <c r="A444" s="329" t="s">
        <v>1838</v>
      </c>
      <c r="B444" s="240" t="s">
        <v>282</v>
      </c>
      <c r="C444" s="240" t="s">
        <v>904</v>
      </c>
      <c r="D444" s="240" t="s">
        <v>619</v>
      </c>
      <c r="E444" s="305" t="s">
        <v>1525</v>
      </c>
      <c r="F444" s="223">
        <v>2</v>
      </c>
      <c r="G444" s="450">
        <v>2</v>
      </c>
      <c r="H444" s="450">
        <v>5</v>
      </c>
      <c r="I444" s="223" t="s">
        <v>954</v>
      </c>
      <c r="J444" s="450">
        <v>1978</v>
      </c>
      <c r="K444" s="223" t="s">
        <v>957</v>
      </c>
      <c r="L444" s="450">
        <v>1982</v>
      </c>
      <c r="M444" s="550">
        <v>-9999</v>
      </c>
      <c r="N444" s="223">
        <v>-9999</v>
      </c>
      <c r="O444" s="29"/>
      <c r="P444" s="243">
        <v>14.9</v>
      </c>
      <c r="Q444" s="240">
        <v>-9999</v>
      </c>
      <c r="R444" s="421"/>
      <c r="S444" s="240"/>
      <c r="T444" s="553">
        <f t="shared" si="19"/>
        <v>7.45</v>
      </c>
      <c r="U444" s="451">
        <v>-9999</v>
      </c>
      <c r="V444" s="451"/>
      <c r="W444" s="244">
        <f>+P444-P443</f>
        <v>9.5</v>
      </c>
      <c r="X444" s="451">
        <v>-9999</v>
      </c>
      <c r="Y444" s="451"/>
      <c r="Z444" s="404" t="s">
        <v>1701</v>
      </c>
      <c r="AA444" s="556">
        <v>55200</v>
      </c>
      <c r="AB444" s="243">
        <f>+AA444/$AA$443</f>
        <v>0.45619834710743801</v>
      </c>
      <c r="AC444" s="245">
        <v>0.1</v>
      </c>
      <c r="AD444" s="223">
        <v>22.7</v>
      </c>
      <c r="AE444" s="223" t="s">
        <v>284</v>
      </c>
      <c r="AF444" s="450">
        <v>2</v>
      </c>
      <c r="AG444" s="223">
        <v>-9999</v>
      </c>
      <c r="AH444" s="223" t="s">
        <v>623</v>
      </c>
      <c r="AI444" s="223">
        <v>-9999</v>
      </c>
      <c r="AJ444" s="223">
        <v>-9999</v>
      </c>
      <c r="AK444" s="223">
        <v>-9999</v>
      </c>
      <c r="AL444" s="223">
        <v>-9999</v>
      </c>
      <c r="AM444" s="223">
        <v>-9999</v>
      </c>
      <c r="AN444" s="223" t="s">
        <v>626</v>
      </c>
      <c r="AO444" s="223">
        <v>-9999</v>
      </c>
      <c r="AP444" s="223" t="s">
        <v>285</v>
      </c>
      <c r="AQ444" s="223" t="s">
        <v>626</v>
      </c>
      <c r="AR444" s="223">
        <f>110+AR443</f>
        <v>220</v>
      </c>
      <c r="AS444" s="450">
        <v>-9999</v>
      </c>
      <c r="AT444" s="223" t="s">
        <v>286</v>
      </c>
      <c r="AU444" s="450">
        <v>0</v>
      </c>
      <c r="AV444" s="450">
        <v>-9999</v>
      </c>
      <c r="AW444" s="450">
        <v>-9999</v>
      </c>
      <c r="AX444" s="450">
        <v>0</v>
      </c>
      <c r="AY444" s="450">
        <v>-9999</v>
      </c>
      <c r="AZ444" s="450"/>
      <c r="BA444" s="223">
        <v>-9999</v>
      </c>
      <c r="BB444" s="223" t="s">
        <v>631</v>
      </c>
      <c r="BC444" s="223">
        <v>-9999</v>
      </c>
      <c r="BD444" s="223">
        <v>-9999</v>
      </c>
      <c r="BE444" s="223">
        <v>-9999</v>
      </c>
      <c r="BF444" s="223" t="s">
        <v>753</v>
      </c>
      <c r="BG444" s="223">
        <v>-9999</v>
      </c>
      <c r="BH444" s="223">
        <v>-9999</v>
      </c>
      <c r="BI444" s="223">
        <v>-9999</v>
      </c>
      <c r="BJ444" s="223">
        <v>-9999</v>
      </c>
      <c r="BK444" s="223">
        <v>-9999</v>
      </c>
      <c r="BL444" s="223">
        <v>-9999</v>
      </c>
      <c r="BM444" s="223">
        <v>-9999</v>
      </c>
      <c r="BN444" s="223">
        <v>1.8</v>
      </c>
      <c r="BO444" s="223">
        <v>-9999</v>
      </c>
      <c r="BP444" s="223">
        <v>-9999</v>
      </c>
      <c r="BQ444" s="223">
        <v>-9999</v>
      </c>
      <c r="BR444" s="223">
        <v>-9999</v>
      </c>
      <c r="BS444" s="242">
        <v>-9999</v>
      </c>
      <c r="BT444" s="223">
        <v>-9999</v>
      </c>
      <c r="BU444" s="223">
        <v>-9999</v>
      </c>
      <c r="BV444" s="223">
        <v>-9999</v>
      </c>
      <c r="BW444" s="223"/>
      <c r="BX444" s="223">
        <v>-9999</v>
      </c>
      <c r="BY444" s="223">
        <v>-9999</v>
      </c>
      <c r="BZ444" s="332">
        <v>-9999</v>
      </c>
      <c r="CA444" s="332">
        <v>-9999</v>
      </c>
      <c r="CB444" s="247"/>
      <c r="CC444" s="223">
        <v>2</v>
      </c>
      <c r="CD444" s="450">
        <v>2</v>
      </c>
      <c r="CE444" s="292">
        <v>7.45</v>
      </c>
      <c r="CF444" s="292">
        <v>9.5</v>
      </c>
      <c r="CG444" s="76">
        <v>5</v>
      </c>
    </row>
    <row r="445" spans="1:1873" s="23" customFormat="1" x14ac:dyDescent="0.2">
      <c r="A445" s="329" t="s">
        <v>1838</v>
      </c>
      <c r="B445" s="240" t="s">
        <v>282</v>
      </c>
      <c r="C445" s="240" t="s">
        <v>904</v>
      </c>
      <c r="D445" s="240" t="s">
        <v>619</v>
      </c>
      <c r="E445" s="305" t="s">
        <v>1525</v>
      </c>
      <c r="F445" s="223">
        <v>2</v>
      </c>
      <c r="G445" s="450">
        <v>3</v>
      </c>
      <c r="H445" s="450">
        <v>6</v>
      </c>
      <c r="I445" s="223" t="s">
        <v>954</v>
      </c>
      <c r="J445" s="450">
        <v>1978</v>
      </c>
      <c r="K445" s="223" t="s">
        <v>957</v>
      </c>
      <c r="L445" s="450">
        <v>1983</v>
      </c>
      <c r="M445" s="550">
        <v>-9999</v>
      </c>
      <c r="N445" s="223">
        <v>-9999</v>
      </c>
      <c r="O445" s="29"/>
      <c r="P445" s="243">
        <v>23.7</v>
      </c>
      <c r="Q445" s="240">
        <v>-9999</v>
      </c>
      <c r="R445" s="421"/>
      <c r="S445" s="240"/>
      <c r="T445" s="553">
        <f t="shared" si="19"/>
        <v>7.8999999999999995</v>
      </c>
      <c r="U445" s="451">
        <v>-9999</v>
      </c>
      <c r="V445" s="451"/>
      <c r="W445" s="244">
        <f>+P445-P444</f>
        <v>8.7999999999999989</v>
      </c>
      <c r="X445" s="451">
        <v>-9999</v>
      </c>
      <c r="Y445" s="451"/>
      <c r="Z445" s="404" t="s">
        <v>1701</v>
      </c>
      <c r="AA445" s="556">
        <v>50200</v>
      </c>
      <c r="AB445" s="243">
        <f>+AA445/$AA$443</f>
        <v>0.41487603305785126</v>
      </c>
      <c r="AC445" s="245">
        <v>0.1</v>
      </c>
      <c r="AD445" s="223">
        <v>22.7</v>
      </c>
      <c r="AE445" s="223" t="s">
        <v>284</v>
      </c>
      <c r="AF445" s="450">
        <v>2</v>
      </c>
      <c r="AG445" s="223">
        <v>-9999</v>
      </c>
      <c r="AH445" s="223" t="s">
        <v>623</v>
      </c>
      <c r="AI445" s="223">
        <v>-9999</v>
      </c>
      <c r="AJ445" s="223">
        <v>-9999</v>
      </c>
      <c r="AK445" s="223">
        <v>-9999</v>
      </c>
      <c r="AL445" s="223">
        <v>-9999</v>
      </c>
      <c r="AM445" s="223">
        <v>-9999</v>
      </c>
      <c r="AN445" s="223" t="s">
        <v>626</v>
      </c>
      <c r="AO445" s="223">
        <v>-9999</v>
      </c>
      <c r="AP445" s="223" t="s">
        <v>285</v>
      </c>
      <c r="AQ445" s="223" t="s">
        <v>626</v>
      </c>
      <c r="AR445" s="223">
        <f>110+AR444</f>
        <v>330</v>
      </c>
      <c r="AS445" s="450">
        <v>-9999</v>
      </c>
      <c r="AT445" s="223" t="s">
        <v>286</v>
      </c>
      <c r="AU445" s="450">
        <v>0</v>
      </c>
      <c r="AV445" s="450">
        <v>-9999</v>
      </c>
      <c r="AW445" s="450">
        <v>-9999</v>
      </c>
      <c r="AX445" s="450">
        <v>0</v>
      </c>
      <c r="AY445" s="450">
        <v>-9999</v>
      </c>
      <c r="AZ445" s="450"/>
      <c r="BA445" s="223">
        <v>-9999</v>
      </c>
      <c r="BB445" s="223" t="s">
        <v>631</v>
      </c>
      <c r="BC445" s="223">
        <v>-9999</v>
      </c>
      <c r="BD445" s="223">
        <v>-9999</v>
      </c>
      <c r="BE445" s="223">
        <v>-9999</v>
      </c>
      <c r="BF445" s="223" t="s">
        <v>753</v>
      </c>
      <c r="BG445" s="223">
        <v>-9999</v>
      </c>
      <c r="BH445" s="223">
        <v>-9999</v>
      </c>
      <c r="BI445" s="223">
        <v>-9999</v>
      </c>
      <c r="BJ445" s="223">
        <v>-9999</v>
      </c>
      <c r="BK445" s="223">
        <v>-9999</v>
      </c>
      <c r="BL445" s="223">
        <v>-9999</v>
      </c>
      <c r="BM445" s="223">
        <v>-9999</v>
      </c>
      <c r="BN445" s="223">
        <v>2.9</v>
      </c>
      <c r="BO445" s="223">
        <v>-9999</v>
      </c>
      <c r="BP445" s="223">
        <v>-9999</v>
      </c>
      <c r="BQ445" s="223">
        <v>-9999</v>
      </c>
      <c r="BR445" s="223">
        <v>-9999</v>
      </c>
      <c r="BS445" s="242">
        <v>-9999</v>
      </c>
      <c r="BT445" s="223">
        <v>-9999</v>
      </c>
      <c r="BU445" s="223">
        <v>-9999</v>
      </c>
      <c r="BV445" s="223">
        <v>-9999</v>
      </c>
      <c r="BW445" s="223"/>
      <c r="BX445" s="223">
        <v>-9999</v>
      </c>
      <c r="BY445" s="223">
        <v>-9999</v>
      </c>
      <c r="BZ445" s="332">
        <v>-9999</v>
      </c>
      <c r="CA445" s="332">
        <v>-9999</v>
      </c>
      <c r="CB445" s="247"/>
      <c r="CC445" s="223">
        <v>2</v>
      </c>
      <c r="CD445" s="450">
        <v>3</v>
      </c>
      <c r="CE445" s="292">
        <v>7.8999999999999995</v>
      </c>
      <c r="CF445" s="292">
        <v>8.7999999999999989</v>
      </c>
      <c r="CG445" s="76">
        <v>6</v>
      </c>
    </row>
    <row r="446" spans="1:1873" s="23" customFormat="1" x14ac:dyDescent="0.2">
      <c r="A446" s="329" t="s">
        <v>1838</v>
      </c>
      <c r="B446" s="240" t="s">
        <v>282</v>
      </c>
      <c r="C446" s="240" t="s">
        <v>904</v>
      </c>
      <c r="D446" s="240" t="s">
        <v>619</v>
      </c>
      <c r="E446" s="305" t="s">
        <v>1525</v>
      </c>
      <c r="F446" s="223">
        <v>2</v>
      </c>
      <c r="G446" s="450">
        <v>4</v>
      </c>
      <c r="H446" s="450">
        <v>7</v>
      </c>
      <c r="I446" s="223" t="s">
        <v>954</v>
      </c>
      <c r="J446" s="450">
        <v>1978</v>
      </c>
      <c r="K446" s="223" t="s">
        <v>957</v>
      </c>
      <c r="L446" s="450">
        <v>1984</v>
      </c>
      <c r="M446" s="550">
        <v>-9999</v>
      </c>
      <c r="N446" s="223">
        <v>-9999</v>
      </c>
      <c r="O446" s="29"/>
      <c r="P446" s="243">
        <v>33.700000000000003</v>
      </c>
      <c r="Q446" s="240">
        <v>-9999</v>
      </c>
      <c r="R446" s="421"/>
      <c r="S446" s="240"/>
      <c r="T446" s="553">
        <f t="shared" si="19"/>
        <v>8.4250000000000007</v>
      </c>
      <c r="U446" s="451">
        <v>-9999</v>
      </c>
      <c r="V446" s="451"/>
      <c r="W446" s="244">
        <f>+P446-P445</f>
        <v>10.000000000000004</v>
      </c>
      <c r="X446" s="451">
        <v>-9999</v>
      </c>
      <c r="Y446" s="451"/>
      <c r="Z446" s="404" t="s">
        <v>1701</v>
      </c>
      <c r="AA446" s="556">
        <v>26900</v>
      </c>
      <c r="AB446" s="243">
        <f>+AA446/$AA$443</f>
        <v>0.22231404958677686</v>
      </c>
      <c r="AC446" s="245">
        <v>0.1</v>
      </c>
      <c r="AD446" s="223">
        <v>22.7</v>
      </c>
      <c r="AE446" s="223" t="s">
        <v>284</v>
      </c>
      <c r="AF446" s="450">
        <v>2</v>
      </c>
      <c r="AG446" s="223">
        <v>-9999</v>
      </c>
      <c r="AH446" s="223" t="s">
        <v>623</v>
      </c>
      <c r="AI446" s="223">
        <v>-9999</v>
      </c>
      <c r="AJ446" s="223">
        <v>-9999</v>
      </c>
      <c r="AK446" s="223">
        <v>-9999</v>
      </c>
      <c r="AL446" s="223">
        <v>-9999</v>
      </c>
      <c r="AM446" s="223">
        <v>-9999</v>
      </c>
      <c r="AN446" s="223" t="s">
        <v>626</v>
      </c>
      <c r="AO446" s="223">
        <v>-9999</v>
      </c>
      <c r="AP446" s="223" t="s">
        <v>285</v>
      </c>
      <c r="AQ446" s="223" t="s">
        <v>626</v>
      </c>
      <c r="AR446" s="223">
        <f>110+AR445</f>
        <v>440</v>
      </c>
      <c r="AS446" s="450">
        <v>-9999</v>
      </c>
      <c r="AT446" s="223" t="s">
        <v>286</v>
      </c>
      <c r="AU446" s="450">
        <v>0</v>
      </c>
      <c r="AV446" s="450">
        <v>-9999</v>
      </c>
      <c r="AW446" s="450">
        <v>-9999</v>
      </c>
      <c r="AX446" s="450">
        <v>0</v>
      </c>
      <c r="AY446" s="450">
        <v>-9999</v>
      </c>
      <c r="AZ446" s="450"/>
      <c r="BA446" s="223">
        <v>-9999</v>
      </c>
      <c r="BB446" s="223" t="s">
        <v>631</v>
      </c>
      <c r="BC446" s="223">
        <v>-9999</v>
      </c>
      <c r="BD446" s="223">
        <v>-9999</v>
      </c>
      <c r="BE446" s="223">
        <v>-9999</v>
      </c>
      <c r="BF446" s="223" t="s">
        <v>753</v>
      </c>
      <c r="BG446" s="223">
        <v>-9999</v>
      </c>
      <c r="BH446" s="223">
        <v>-9999</v>
      </c>
      <c r="BI446" s="223">
        <v>-9999</v>
      </c>
      <c r="BJ446" s="223">
        <v>-9999</v>
      </c>
      <c r="BK446" s="223">
        <v>-9999</v>
      </c>
      <c r="BL446" s="223">
        <v>-9999</v>
      </c>
      <c r="BM446" s="223">
        <v>-9999</v>
      </c>
      <c r="BN446" s="223">
        <v>3.8</v>
      </c>
      <c r="BO446" s="223">
        <v>-9999</v>
      </c>
      <c r="BP446" s="223">
        <v>-9999</v>
      </c>
      <c r="BQ446" s="223">
        <v>-9999</v>
      </c>
      <c r="BR446" s="223">
        <v>-9999</v>
      </c>
      <c r="BS446" s="242">
        <v>-9999</v>
      </c>
      <c r="BT446" s="223">
        <v>-9999</v>
      </c>
      <c r="BU446" s="223">
        <v>-9999</v>
      </c>
      <c r="BV446" s="223">
        <v>-9999</v>
      </c>
      <c r="BW446" s="223"/>
      <c r="BX446" s="223">
        <v>-9999</v>
      </c>
      <c r="BY446" s="223">
        <v>-9999</v>
      </c>
      <c r="BZ446" s="332">
        <v>-9999</v>
      </c>
      <c r="CA446" s="332">
        <v>-9999</v>
      </c>
      <c r="CB446" s="247"/>
      <c r="CC446" s="223">
        <v>2</v>
      </c>
      <c r="CD446" s="450">
        <v>4</v>
      </c>
      <c r="CE446" s="292">
        <v>8.4250000000000007</v>
      </c>
      <c r="CF446" s="292">
        <v>10.000000000000004</v>
      </c>
      <c r="CG446" s="76">
        <v>7</v>
      </c>
    </row>
    <row r="447" spans="1:1873" s="199" customFormat="1" x14ac:dyDescent="0.2">
      <c r="A447" s="24" t="s">
        <v>1838</v>
      </c>
      <c r="B447" s="283" t="s">
        <v>282</v>
      </c>
      <c r="C447" s="283" t="s">
        <v>904</v>
      </c>
      <c r="D447" s="283" t="s">
        <v>619</v>
      </c>
      <c r="E447" s="306" t="s">
        <v>1525</v>
      </c>
      <c r="F447" s="249">
        <v>2</v>
      </c>
      <c r="G447" s="554">
        <v>5</v>
      </c>
      <c r="H447" s="554">
        <v>8</v>
      </c>
      <c r="I447" s="249" t="s">
        <v>954</v>
      </c>
      <c r="J447" s="554">
        <v>1978</v>
      </c>
      <c r="K447" s="249" t="s">
        <v>957</v>
      </c>
      <c r="L447" s="554">
        <v>1985</v>
      </c>
      <c r="M447" s="745">
        <v>-9999</v>
      </c>
      <c r="N447" s="249">
        <v>-9999</v>
      </c>
      <c r="O447" s="18"/>
      <c r="P447" s="253">
        <v>57.9</v>
      </c>
      <c r="Q447" s="283">
        <v>-9999</v>
      </c>
      <c r="R447" s="426"/>
      <c r="S447" s="283"/>
      <c r="T447" s="555">
        <f t="shared" si="19"/>
        <v>11.58</v>
      </c>
      <c r="U447" s="454">
        <v>-9999</v>
      </c>
      <c r="V447" s="454"/>
      <c r="W447" s="284">
        <f>+P447-P446</f>
        <v>24.199999999999996</v>
      </c>
      <c r="X447" s="454">
        <v>-9999</v>
      </c>
      <c r="Y447" s="454"/>
      <c r="Z447" s="249" t="s">
        <v>1701</v>
      </c>
      <c r="AA447" s="557">
        <v>22600</v>
      </c>
      <c r="AB447" s="253">
        <f>+AA447/$AA$443</f>
        <v>0.18677685950413223</v>
      </c>
      <c r="AC447" s="424">
        <v>0.1</v>
      </c>
      <c r="AD447" s="249">
        <v>22.7</v>
      </c>
      <c r="AE447" s="249" t="s">
        <v>284</v>
      </c>
      <c r="AF447" s="554">
        <v>2</v>
      </c>
      <c r="AG447" s="249">
        <v>-9999</v>
      </c>
      <c r="AH447" s="249" t="s">
        <v>623</v>
      </c>
      <c r="AI447" s="249">
        <v>-9999</v>
      </c>
      <c r="AJ447" s="249">
        <v>-9999</v>
      </c>
      <c r="AK447" s="249">
        <v>-9999</v>
      </c>
      <c r="AL447" s="249">
        <v>-9999</v>
      </c>
      <c r="AM447" s="249">
        <v>-9999</v>
      </c>
      <c r="AN447" s="249" t="s">
        <v>626</v>
      </c>
      <c r="AO447" s="249">
        <v>-9999</v>
      </c>
      <c r="AP447" s="249" t="s">
        <v>285</v>
      </c>
      <c r="AQ447" s="249" t="s">
        <v>626</v>
      </c>
      <c r="AR447" s="249">
        <f>110+AR446</f>
        <v>550</v>
      </c>
      <c r="AS447" s="554">
        <v>-9999</v>
      </c>
      <c r="AT447" s="249" t="s">
        <v>286</v>
      </c>
      <c r="AU447" s="554">
        <v>0</v>
      </c>
      <c r="AV447" s="554">
        <v>-9999</v>
      </c>
      <c r="AW447" s="554">
        <v>-9999</v>
      </c>
      <c r="AX447" s="554">
        <v>0</v>
      </c>
      <c r="AY447" s="554">
        <v>-9999</v>
      </c>
      <c r="AZ447" s="554"/>
      <c r="BA447" s="249">
        <v>-9999</v>
      </c>
      <c r="BB447" s="249" t="s">
        <v>631</v>
      </c>
      <c r="BC447" s="249">
        <v>-9999</v>
      </c>
      <c r="BD447" s="249">
        <v>-9999</v>
      </c>
      <c r="BE447" s="249">
        <v>-9999</v>
      </c>
      <c r="BF447" s="249" t="s">
        <v>753</v>
      </c>
      <c r="BG447" s="249">
        <v>-9999</v>
      </c>
      <c r="BH447" s="249">
        <v>-9999</v>
      </c>
      <c r="BI447" s="249">
        <v>-9999</v>
      </c>
      <c r="BJ447" s="249">
        <v>-9999</v>
      </c>
      <c r="BK447" s="249">
        <v>-9999</v>
      </c>
      <c r="BL447" s="249">
        <v>-9999</v>
      </c>
      <c r="BM447" s="249">
        <v>-9999</v>
      </c>
      <c r="BN447" s="249">
        <v>4.8</v>
      </c>
      <c r="BO447" s="249">
        <v>-9999</v>
      </c>
      <c r="BP447" s="249">
        <v>-9999</v>
      </c>
      <c r="BQ447" s="249">
        <v>-9999</v>
      </c>
      <c r="BR447" s="249">
        <v>-9999</v>
      </c>
      <c r="BS447" s="251">
        <v>-9999</v>
      </c>
      <c r="BT447" s="249">
        <v>-9999</v>
      </c>
      <c r="BU447" s="249">
        <v>-9999</v>
      </c>
      <c r="BV447" s="249">
        <v>-9999</v>
      </c>
      <c r="BW447" s="249"/>
      <c r="BX447" s="249">
        <v>-9999</v>
      </c>
      <c r="BY447" s="249">
        <v>-9999</v>
      </c>
      <c r="BZ447" s="331">
        <v>-9999</v>
      </c>
      <c r="CA447" s="331">
        <v>-9999</v>
      </c>
      <c r="CB447" s="254"/>
      <c r="CC447" s="249">
        <v>2</v>
      </c>
      <c r="CD447" s="554">
        <v>5</v>
      </c>
      <c r="CE447" s="395">
        <v>11.58</v>
      </c>
      <c r="CF447" s="99">
        <v>24.199999999999996</v>
      </c>
      <c r="CG447" s="198">
        <v>8</v>
      </c>
      <c r="CH447" s="437" t="s">
        <v>1757</v>
      </c>
      <c r="CI447" s="13"/>
      <c r="CJ447" s="13"/>
      <c r="CK447" s="13"/>
      <c r="CL447" s="13"/>
      <c r="CM447" s="13"/>
      <c r="CN447" s="13"/>
      <c r="CO447" s="13"/>
      <c r="CP447" s="13"/>
      <c r="CQ447" s="13"/>
      <c r="CR447" s="13"/>
      <c r="CS447" s="13"/>
      <c r="CT447" s="13"/>
      <c r="CU447" s="13"/>
      <c r="CV447" s="13"/>
      <c r="CW447" s="13"/>
      <c r="CX447" s="13"/>
      <c r="CY447" s="13"/>
      <c r="CZ447" s="13"/>
      <c r="DA447" s="13"/>
      <c r="DB447" s="13"/>
      <c r="DC447" s="13"/>
      <c r="DD447" s="13"/>
      <c r="DE447" s="13"/>
      <c r="DF447" s="13"/>
      <c r="DG447" s="13"/>
      <c r="DH447" s="13"/>
      <c r="DI447" s="13"/>
      <c r="DJ447" s="13"/>
      <c r="DK447" s="13"/>
      <c r="DL447" s="13"/>
      <c r="DM447" s="13"/>
      <c r="DN447" s="13"/>
      <c r="DO447" s="13"/>
      <c r="DP447" s="13"/>
      <c r="DQ447" s="13"/>
      <c r="DR447" s="13"/>
      <c r="DS447" s="13"/>
      <c r="DT447" s="13"/>
      <c r="DU447" s="13"/>
      <c r="DV447" s="13"/>
      <c r="DW447" s="13"/>
      <c r="DX447" s="13"/>
      <c r="DY447" s="13"/>
      <c r="DZ447" s="13"/>
      <c r="EA447" s="13"/>
      <c r="EB447" s="13"/>
      <c r="EC447" s="13"/>
      <c r="ED447" s="13"/>
      <c r="EE447" s="13"/>
      <c r="EF447" s="13"/>
      <c r="EG447" s="13"/>
      <c r="EH447" s="13"/>
      <c r="EI447" s="13"/>
      <c r="EJ447" s="13"/>
      <c r="EK447" s="13"/>
      <c r="EL447" s="13"/>
      <c r="EM447" s="13"/>
      <c r="EN447" s="13"/>
      <c r="EO447" s="13"/>
      <c r="EP447" s="13"/>
      <c r="EQ447" s="13"/>
      <c r="ER447" s="13"/>
      <c r="ES447" s="13"/>
      <c r="ET447" s="13"/>
      <c r="EU447" s="13"/>
      <c r="EV447" s="13"/>
      <c r="EW447" s="13"/>
      <c r="EX447" s="13"/>
      <c r="EY447" s="13"/>
      <c r="EZ447" s="13"/>
      <c r="FA447" s="13"/>
      <c r="FB447" s="13"/>
      <c r="FC447" s="13"/>
      <c r="FD447" s="13"/>
      <c r="FE447" s="13"/>
      <c r="FF447" s="13"/>
      <c r="FG447" s="13"/>
      <c r="FH447" s="13"/>
      <c r="FI447" s="13"/>
      <c r="FJ447" s="13"/>
      <c r="FK447" s="13"/>
      <c r="FL447" s="13"/>
      <c r="FM447" s="13"/>
      <c r="FN447" s="13"/>
      <c r="FO447" s="13"/>
      <c r="FP447" s="13"/>
      <c r="FQ447" s="13"/>
      <c r="FR447" s="13"/>
      <c r="FS447" s="13"/>
      <c r="FT447" s="13"/>
      <c r="FU447" s="13"/>
      <c r="FV447" s="13"/>
      <c r="FW447" s="13"/>
      <c r="FX447" s="13"/>
      <c r="FY447" s="13"/>
      <c r="FZ447" s="13"/>
      <c r="GA447" s="13"/>
      <c r="GB447" s="13"/>
      <c r="GC447" s="13"/>
      <c r="GD447" s="13"/>
      <c r="GE447" s="13"/>
      <c r="GF447" s="13"/>
      <c r="GG447" s="13"/>
      <c r="GH447" s="13"/>
      <c r="GI447" s="13"/>
      <c r="GJ447" s="13"/>
      <c r="GK447" s="13"/>
      <c r="GL447" s="13"/>
      <c r="GM447" s="13"/>
      <c r="GN447" s="13"/>
      <c r="GO447" s="13"/>
      <c r="GP447" s="13"/>
      <c r="GQ447" s="13"/>
      <c r="GR447" s="13"/>
      <c r="GS447" s="13"/>
      <c r="GT447" s="13"/>
      <c r="GU447" s="13"/>
      <c r="GV447" s="13"/>
      <c r="GW447" s="13"/>
      <c r="GX447" s="13"/>
      <c r="GY447" s="13"/>
      <c r="GZ447" s="13"/>
      <c r="HA447" s="13"/>
      <c r="HB447" s="13"/>
      <c r="HC447" s="13"/>
      <c r="HD447" s="13"/>
      <c r="HE447" s="13"/>
      <c r="HF447" s="13"/>
      <c r="HG447" s="13"/>
      <c r="HH447" s="13"/>
      <c r="HI447" s="13"/>
      <c r="HJ447" s="13"/>
      <c r="HK447" s="13"/>
      <c r="HL447" s="13"/>
      <c r="HM447" s="13"/>
      <c r="HN447" s="13"/>
      <c r="HO447" s="13"/>
      <c r="HP447" s="13"/>
      <c r="HQ447" s="13"/>
      <c r="HR447" s="13"/>
      <c r="HS447" s="13"/>
      <c r="HT447" s="13"/>
      <c r="HU447" s="13"/>
      <c r="HV447" s="13"/>
      <c r="HW447" s="13"/>
      <c r="HX447" s="13"/>
      <c r="HY447" s="13"/>
      <c r="HZ447" s="13"/>
      <c r="IA447" s="13"/>
      <c r="IB447" s="13"/>
      <c r="IC447" s="13"/>
      <c r="ID447" s="13"/>
      <c r="IE447" s="13"/>
      <c r="IF447" s="13"/>
      <c r="IG447" s="13"/>
      <c r="IH447" s="13"/>
      <c r="II447" s="13"/>
      <c r="IJ447" s="13"/>
      <c r="IK447" s="13"/>
      <c r="IL447" s="13"/>
      <c r="IM447" s="13"/>
      <c r="IN447" s="13"/>
      <c r="IO447" s="13"/>
      <c r="IP447" s="13"/>
      <c r="IQ447" s="13"/>
      <c r="IR447" s="13"/>
      <c r="IS447" s="13"/>
      <c r="IT447" s="13"/>
      <c r="IU447" s="13"/>
      <c r="IV447" s="13"/>
      <c r="IW447" s="13"/>
      <c r="IX447" s="13"/>
      <c r="IY447" s="13"/>
      <c r="IZ447" s="13"/>
      <c r="JA447" s="13"/>
      <c r="JB447" s="13"/>
      <c r="JC447" s="13"/>
      <c r="JD447" s="13"/>
      <c r="JE447" s="13"/>
      <c r="JF447" s="13"/>
      <c r="JG447" s="13"/>
      <c r="JH447" s="13"/>
      <c r="JI447" s="13"/>
      <c r="JJ447" s="13"/>
      <c r="JK447" s="13"/>
      <c r="JL447" s="13"/>
      <c r="JM447" s="13"/>
      <c r="JN447" s="13"/>
      <c r="JO447" s="13"/>
      <c r="JP447" s="13"/>
      <c r="JQ447" s="13"/>
      <c r="JR447" s="13"/>
      <c r="JS447" s="13"/>
      <c r="JT447" s="13"/>
      <c r="JU447" s="13"/>
      <c r="JV447" s="13"/>
      <c r="JW447" s="13"/>
      <c r="JX447" s="13"/>
      <c r="JY447" s="13"/>
      <c r="JZ447" s="13"/>
      <c r="KA447" s="13"/>
      <c r="KB447" s="13"/>
      <c r="KC447" s="13"/>
      <c r="KD447" s="13"/>
      <c r="KE447" s="13"/>
      <c r="KF447" s="13"/>
      <c r="KG447" s="13"/>
      <c r="KH447" s="13"/>
      <c r="KI447" s="13"/>
      <c r="KJ447" s="13"/>
      <c r="KK447" s="13"/>
      <c r="KL447" s="13"/>
      <c r="KM447" s="13"/>
      <c r="KN447" s="13"/>
      <c r="KO447" s="13"/>
      <c r="KP447" s="13"/>
      <c r="KQ447" s="13"/>
      <c r="KR447" s="13"/>
      <c r="KS447" s="13"/>
      <c r="KT447" s="13"/>
      <c r="KU447" s="13"/>
      <c r="KV447" s="13"/>
      <c r="KW447" s="13"/>
      <c r="KX447" s="13"/>
      <c r="KY447" s="13"/>
      <c r="KZ447" s="13"/>
      <c r="LA447" s="13"/>
      <c r="LB447" s="13"/>
      <c r="LC447" s="13"/>
      <c r="LD447" s="13"/>
      <c r="LE447" s="13"/>
      <c r="LF447" s="13"/>
      <c r="LG447" s="13"/>
      <c r="LH447" s="13"/>
      <c r="LI447" s="13"/>
      <c r="LJ447" s="13"/>
      <c r="LK447" s="13"/>
      <c r="LL447" s="13"/>
      <c r="LM447" s="13"/>
      <c r="LN447" s="13"/>
      <c r="LO447" s="13"/>
      <c r="LP447" s="13"/>
      <c r="LQ447" s="13"/>
      <c r="LR447" s="13"/>
      <c r="LS447" s="13"/>
      <c r="LT447" s="13"/>
      <c r="LU447" s="13"/>
      <c r="LV447" s="13"/>
      <c r="LW447" s="13"/>
      <c r="LX447" s="13"/>
      <c r="LY447" s="13"/>
      <c r="LZ447" s="13"/>
      <c r="MA447" s="13"/>
      <c r="MB447" s="13"/>
      <c r="MC447" s="13"/>
      <c r="MD447" s="13"/>
      <c r="ME447" s="13"/>
      <c r="MF447" s="13"/>
      <c r="MG447" s="13"/>
      <c r="MH447" s="13"/>
      <c r="MI447" s="13"/>
      <c r="MJ447" s="13"/>
      <c r="MK447" s="13"/>
      <c r="ML447" s="13"/>
      <c r="MM447" s="13"/>
      <c r="MN447" s="13"/>
      <c r="MO447" s="13"/>
      <c r="MP447" s="13"/>
      <c r="MQ447" s="13"/>
      <c r="MR447" s="13"/>
      <c r="MS447" s="13"/>
      <c r="MT447" s="13"/>
      <c r="MU447" s="13"/>
      <c r="MV447" s="13"/>
      <c r="MW447" s="13"/>
      <c r="MX447" s="13"/>
      <c r="MY447" s="13"/>
      <c r="MZ447" s="13"/>
      <c r="NA447" s="13"/>
      <c r="NB447" s="13"/>
      <c r="NC447" s="13"/>
      <c r="ND447" s="13"/>
      <c r="NE447" s="13"/>
      <c r="NF447" s="13"/>
      <c r="NG447" s="13"/>
      <c r="NH447" s="13"/>
      <c r="NI447" s="13"/>
      <c r="NJ447" s="13"/>
      <c r="NK447" s="13"/>
      <c r="NL447" s="13"/>
      <c r="NM447" s="13"/>
      <c r="NN447" s="13"/>
      <c r="NO447" s="13"/>
      <c r="NP447" s="13"/>
      <c r="NQ447" s="13"/>
      <c r="NR447" s="13"/>
      <c r="NS447" s="13"/>
      <c r="NT447" s="13"/>
      <c r="NU447" s="13"/>
      <c r="NV447" s="13"/>
      <c r="NW447" s="13"/>
      <c r="NX447" s="13"/>
      <c r="NY447" s="13"/>
      <c r="NZ447" s="13"/>
      <c r="OA447" s="13"/>
      <c r="OB447" s="13"/>
      <c r="OC447" s="13"/>
      <c r="OD447" s="13"/>
      <c r="OE447" s="13"/>
      <c r="OF447" s="13"/>
      <c r="OG447" s="13"/>
      <c r="OH447" s="13"/>
      <c r="OI447" s="13"/>
      <c r="OJ447" s="13"/>
      <c r="OK447" s="13"/>
      <c r="OL447" s="13"/>
      <c r="OM447" s="13"/>
      <c r="ON447" s="13"/>
      <c r="OO447" s="13"/>
      <c r="OP447" s="13"/>
      <c r="OQ447" s="13"/>
      <c r="OR447" s="13"/>
      <c r="OS447" s="13"/>
      <c r="OT447" s="13"/>
      <c r="OU447" s="13"/>
      <c r="OV447" s="13"/>
      <c r="OW447" s="13"/>
      <c r="OX447" s="13"/>
      <c r="OY447" s="13"/>
      <c r="OZ447" s="13"/>
      <c r="PA447" s="13"/>
      <c r="PB447" s="13"/>
      <c r="PC447" s="13"/>
      <c r="PD447" s="13"/>
      <c r="PE447" s="13"/>
      <c r="PF447" s="13"/>
      <c r="PG447" s="13"/>
      <c r="PH447" s="13"/>
      <c r="PI447" s="13"/>
      <c r="PJ447" s="13"/>
      <c r="PK447" s="13"/>
      <c r="PL447" s="13"/>
      <c r="PM447" s="13"/>
      <c r="PN447" s="13"/>
      <c r="PO447" s="13"/>
      <c r="PP447" s="13"/>
      <c r="PQ447" s="13"/>
      <c r="PR447" s="13"/>
      <c r="PS447" s="13"/>
      <c r="PT447" s="13"/>
      <c r="PU447" s="13"/>
      <c r="PV447" s="13"/>
      <c r="PW447" s="13"/>
      <c r="PX447" s="13"/>
      <c r="PY447" s="13"/>
      <c r="PZ447" s="13"/>
      <c r="QA447" s="13"/>
      <c r="QB447" s="13"/>
      <c r="QC447" s="13"/>
      <c r="QD447" s="13"/>
      <c r="QE447" s="13"/>
      <c r="QF447" s="13"/>
      <c r="QG447" s="13"/>
      <c r="QH447" s="13"/>
      <c r="QI447" s="13"/>
      <c r="QJ447" s="13"/>
      <c r="QK447" s="13"/>
      <c r="QL447" s="13"/>
      <c r="QM447" s="13"/>
      <c r="QN447" s="13"/>
      <c r="QO447" s="13"/>
      <c r="QP447" s="13"/>
      <c r="QQ447" s="13"/>
      <c r="QR447" s="13"/>
      <c r="QS447" s="13"/>
      <c r="QT447" s="13"/>
      <c r="QU447" s="13"/>
      <c r="QV447" s="13"/>
      <c r="QW447" s="13"/>
      <c r="QX447" s="13"/>
      <c r="QY447" s="13"/>
      <c r="QZ447" s="13"/>
      <c r="RA447" s="13"/>
      <c r="RB447" s="13"/>
      <c r="RC447" s="13"/>
      <c r="RD447" s="13"/>
      <c r="RE447" s="13"/>
      <c r="RF447" s="13"/>
      <c r="RG447" s="13"/>
      <c r="RH447" s="13"/>
      <c r="RI447" s="13"/>
      <c r="RJ447" s="13"/>
      <c r="RK447" s="13"/>
      <c r="RL447" s="13"/>
      <c r="RM447" s="13"/>
      <c r="RN447" s="13"/>
      <c r="RO447" s="13"/>
      <c r="RP447" s="13"/>
      <c r="RQ447" s="13"/>
      <c r="RR447" s="13"/>
      <c r="RS447" s="13"/>
      <c r="RT447" s="13"/>
      <c r="RU447" s="13"/>
      <c r="RV447" s="13"/>
      <c r="RW447" s="13"/>
      <c r="RX447" s="13"/>
      <c r="RY447" s="13"/>
      <c r="RZ447" s="13"/>
      <c r="SA447" s="13"/>
      <c r="SB447" s="13"/>
      <c r="SC447" s="13"/>
      <c r="SD447" s="13"/>
      <c r="SE447" s="13"/>
      <c r="SF447" s="13"/>
      <c r="SG447" s="13"/>
      <c r="SH447" s="13"/>
      <c r="SI447" s="13"/>
      <c r="SJ447" s="13"/>
      <c r="SK447" s="13"/>
      <c r="SL447" s="13"/>
      <c r="SM447" s="13"/>
      <c r="SN447" s="13"/>
      <c r="SO447" s="13"/>
      <c r="SP447" s="13"/>
      <c r="SQ447" s="13"/>
      <c r="SR447" s="13"/>
      <c r="SS447" s="13"/>
      <c r="ST447" s="13"/>
      <c r="SU447" s="13"/>
      <c r="SV447" s="13"/>
      <c r="SW447" s="13"/>
      <c r="SX447" s="13"/>
      <c r="SY447" s="13"/>
      <c r="SZ447" s="13"/>
      <c r="TA447" s="13"/>
      <c r="TB447" s="13"/>
      <c r="TC447" s="13"/>
      <c r="TD447" s="13"/>
      <c r="TE447" s="13"/>
      <c r="TF447" s="13"/>
      <c r="TG447" s="13"/>
      <c r="TH447" s="13"/>
      <c r="TI447" s="13"/>
      <c r="TJ447" s="13"/>
      <c r="TK447" s="13"/>
      <c r="TL447" s="13"/>
      <c r="TM447" s="13"/>
      <c r="TN447" s="13"/>
      <c r="TO447" s="13"/>
      <c r="TP447" s="13"/>
      <c r="TQ447" s="13"/>
      <c r="TR447" s="13"/>
      <c r="TS447" s="13"/>
      <c r="TT447" s="13"/>
      <c r="TU447" s="13"/>
      <c r="TV447" s="13"/>
      <c r="TW447" s="13"/>
      <c r="TX447" s="13"/>
      <c r="TY447" s="13"/>
      <c r="TZ447" s="13"/>
      <c r="UA447" s="13"/>
      <c r="UB447" s="13"/>
      <c r="UC447" s="13"/>
      <c r="UD447" s="13"/>
      <c r="UE447" s="13"/>
      <c r="UF447" s="13"/>
      <c r="UG447" s="13"/>
      <c r="UH447" s="13"/>
      <c r="UI447" s="13"/>
      <c r="UJ447" s="13"/>
      <c r="UK447" s="13"/>
      <c r="UL447" s="13"/>
      <c r="UM447" s="13"/>
      <c r="UN447" s="13"/>
      <c r="UO447" s="13"/>
      <c r="UP447" s="13"/>
      <c r="UQ447" s="13"/>
      <c r="UR447" s="13"/>
      <c r="US447" s="13"/>
      <c r="UT447" s="13"/>
      <c r="UU447" s="13"/>
      <c r="UV447" s="13"/>
      <c r="UW447" s="13"/>
      <c r="UX447" s="13"/>
      <c r="UY447" s="13"/>
      <c r="UZ447" s="13"/>
      <c r="VA447" s="13"/>
      <c r="VB447" s="13"/>
      <c r="VC447" s="13"/>
      <c r="VD447" s="13"/>
      <c r="VE447" s="13"/>
      <c r="VF447" s="13"/>
      <c r="VG447" s="13"/>
      <c r="VH447" s="13"/>
      <c r="VI447" s="13"/>
      <c r="VJ447" s="13"/>
      <c r="VK447" s="13"/>
      <c r="VL447" s="13"/>
      <c r="VM447" s="13"/>
      <c r="VN447" s="13"/>
      <c r="VO447" s="13"/>
      <c r="VP447" s="13"/>
      <c r="VQ447" s="13"/>
      <c r="VR447" s="13"/>
      <c r="VS447" s="13"/>
      <c r="VT447" s="13"/>
      <c r="VU447" s="13"/>
      <c r="VV447" s="13"/>
      <c r="VW447" s="13"/>
      <c r="VX447" s="13"/>
      <c r="VY447" s="13"/>
      <c r="VZ447" s="13"/>
      <c r="WA447" s="13"/>
      <c r="WB447" s="13"/>
      <c r="WC447" s="13"/>
      <c r="WD447" s="13"/>
      <c r="WE447" s="13"/>
      <c r="WF447" s="13"/>
      <c r="WG447" s="13"/>
      <c r="WH447" s="13"/>
      <c r="WI447" s="13"/>
      <c r="WJ447" s="13"/>
      <c r="WK447" s="13"/>
      <c r="WL447" s="13"/>
      <c r="WM447" s="13"/>
      <c r="WN447" s="13"/>
      <c r="WO447" s="13"/>
      <c r="WP447" s="13"/>
      <c r="WQ447" s="13"/>
      <c r="WR447" s="13"/>
      <c r="WS447" s="13"/>
      <c r="WT447" s="13"/>
      <c r="WU447" s="13"/>
      <c r="WV447" s="13"/>
      <c r="WW447" s="13"/>
      <c r="WX447" s="13"/>
      <c r="WY447" s="13"/>
      <c r="WZ447" s="13"/>
      <c r="XA447" s="13"/>
      <c r="XB447" s="13"/>
      <c r="XC447" s="13"/>
      <c r="XD447" s="13"/>
      <c r="XE447" s="13"/>
      <c r="XF447" s="13"/>
      <c r="XG447" s="13"/>
      <c r="XH447" s="13"/>
      <c r="XI447" s="13"/>
      <c r="XJ447" s="13"/>
      <c r="XK447" s="13"/>
      <c r="XL447" s="13"/>
      <c r="XM447" s="13"/>
      <c r="XN447" s="13"/>
      <c r="XO447" s="13"/>
      <c r="XP447" s="13"/>
      <c r="XQ447" s="13"/>
      <c r="XR447" s="13"/>
      <c r="XS447" s="13"/>
      <c r="XT447" s="13"/>
      <c r="XU447" s="13"/>
      <c r="XV447" s="13"/>
      <c r="XW447" s="13"/>
      <c r="XX447" s="13"/>
      <c r="XY447" s="13"/>
      <c r="XZ447" s="13"/>
      <c r="YA447" s="13"/>
      <c r="YB447" s="13"/>
      <c r="YC447" s="13"/>
      <c r="YD447" s="13"/>
      <c r="YE447" s="13"/>
      <c r="YF447" s="13"/>
      <c r="YG447" s="13"/>
      <c r="YH447" s="13"/>
      <c r="YI447" s="13"/>
      <c r="YJ447" s="13"/>
      <c r="YK447" s="13"/>
      <c r="YL447" s="13"/>
      <c r="YM447" s="13"/>
      <c r="YN447" s="13"/>
      <c r="YO447" s="13"/>
      <c r="YP447" s="13"/>
      <c r="YQ447" s="13"/>
      <c r="YR447" s="13"/>
      <c r="YS447" s="13"/>
      <c r="YT447" s="13"/>
      <c r="YU447" s="13"/>
      <c r="YV447" s="13"/>
      <c r="YW447" s="13"/>
      <c r="YX447" s="13"/>
      <c r="YY447" s="13"/>
      <c r="YZ447" s="13"/>
      <c r="ZA447" s="13"/>
      <c r="ZB447" s="13"/>
      <c r="ZC447" s="13"/>
      <c r="ZD447" s="13"/>
      <c r="ZE447" s="13"/>
      <c r="ZF447" s="13"/>
      <c r="ZG447" s="13"/>
      <c r="ZH447" s="13"/>
      <c r="ZI447" s="13"/>
      <c r="ZJ447" s="13"/>
      <c r="ZK447" s="13"/>
      <c r="ZL447" s="13"/>
      <c r="ZM447" s="13"/>
      <c r="ZN447" s="13"/>
      <c r="ZO447" s="13"/>
      <c r="ZP447" s="13"/>
      <c r="ZQ447" s="13"/>
      <c r="ZR447" s="13"/>
      <c r="ZS447" s="13"/>
      <c r="ZT447" s="13"/>
      <c r="ZU447" s="13"/>
      <c r="ZV447" s="13"/>
      <c r="ZW447" s="13"/>
      <c r="ZX447" s="13"/>
      <c r="ZY447" s="13"/>
      <c r="ZZ447" s="13"/>
      <c r="AAA447" s="13"/>
      <c r="AAB447" s="13"/>
      <c r="AAC447" s="13"/>
      <c r="AAD447" s="13"/>
      <c r="AAE447" s="13"/>
      <c r="AAF447" s="13"/>
      <c r="AAG447" s="13"/>
      <c r="AAH447" s="13"/>
      <c r="AAI447" s="13"/>
      <c r="AAJ447" s="13"/>
      <c r="AAK447" s="13"/>
      <c r="AAL447" s="13"/>
      <c r="AAM447" s="13"/>
      <c r="AAN447" s="13"/>
      <c r="AAO447" s="13"/>
      <c r="AAP447" s="13"/>
      <c r="AAQ447" s="13"/>
      <c r="AAR447" s="13"/>
      <c r="AAS447" s="13"/>
      <c r="AAT447" s="13"/>
      <c r="AAU447" s="13"/>
      <c r="AAV447" s="13"/>
      <c r="AAW447" s="13"/>
      <c r="AAX447" s="13"/>
      <c r="AAY447" s="13"/>
      <c r="AAZ447" s="13"/>
      <c r="ABA447" s="13"/>
      <c r="ABB447" s="13"/>
      <c r="ABC447" s="13"/>
      <c r="ABD447" s="13"/>
      <c r="ABE447" s="13"/>
      <c r="ABF447" s="13"/>
      <c r="ABG447" s="13"/>
      <c r="ABH447" s="13"/>
      <c r="ABI447" s="13"/>
      <c r="ABJ447" s="13"/>
      <c r="ABK447" s="13"/>
      <c r="ABL447" s="13"/>
      <c r="ABM447" s="13"/>
      <c r="ABN447" s="13"/>
      <c r="ABO447" s="13"/>
      <c r="ABP447" s="13"/>
      <c r="ABQ447" s="13"/>
      <c r="ABR447" s="13"/>
      <c r="ABS447" s="13"/>
      <c r="ABT447" s="13"/>
      <c r="ABU447" s="13"/>
      <c r="ABV447" s="13"/>
      <c r="ABW447" s="13"/>
      <c r="ABX447" s="13"/>
      <c r="ABY447" s="13"/>
      <c r="ABZ447" s="13"/>
      <c r="ACA447" s="13"/>
      <c r="ACB447" s="13"/>
      <c r="ACC447" s="13"/>
      <c r="ACD447" s="13"/>
      <c r="ACE447" s="13"/>
      <c r="ACF447" s="13"/>
      <c r="ACG447" s="13"/>
      <c r="ACH447" s="13"/>
      <c r="ACI447" s="13"/>
      <c r="ACJ447" s="13"/>
      <c r="ACK447" s="13"/>
      <c r="ACL447" s="13"/>
      <c r="ACM447" s="13"/>
      <c r="ACN447" s="13"/>
      <c r="ACO447" s="13"/>
      <c r="ACP447" s="13"/>
      <c r="ACQ447" s="13"/>
      <c r="ACR447" s="13"/>
      <c r="ACS447" s="13"/>
      <c r="ACT447" s="13"/>
      <c r="ACU447" s="13"/>
      <c r="ACV447" s="13"/>
      <c r="ACW447" s="13"/>
      <c r="ACX447" s="13"/>
      <c r="ACY447" s="13"/>
      <c r="ACZ447" s="13"/>
      <c r="ADA447" s="13"/>
      <c r="ADB447" s="13"/>
      <c r="ADC447" s="13"/>
      <c r="ADD447" s="13"/>
      <c r="ADE447" s="13"/>
      <c r="ADF447" s="13"/>
      <c r="ADG447" s="13"/>
      <c r="ADH447" s="13"/>
      <c r="ADI447" s="13"/>
      <c r="ADJ447" s="13"/>
      <c r="ADK447" s="13"/>
      <c r="ADL447" s="13"/>
      <c r="ADM447" s="13"/>
      <c r="ADN447" s="13"/>
      <c r="ADO447" s="13"/>
      <c r="ADP447" s="13"/>
      <c r="ADQ447" s="13"/>
      <c r="ADR447" s="13"/>
      <c r="ADS447" s="13"/>
      <c r="ADT447" s="13"/>
      <c r="ADU447" s="13"/>
      <c r="ADV447" s="13"/>
      <c r="ADW447" s="13"/>
      <c r="ADX447" s="13"/>
      <c r="ADY447" s="13"/>
      <c r="ADZ447" s="13"/>
      <c r="AEA447" s="13"/>
      <c r="AEB447" s="13"/>
      <c r="AEC447" s="13"/>
      <c r="AED447" s="13"/>
      <c r="AEE447" s="13"/>
      <c r="AEF447" s="13"/>
      <c r="AEG447" s="13"/>
      <c r="AEH447" s="13"/>
      <c r="AEI447" s="13"/>
      <c r="AEJ447" s="13"/>
      <c r="AEK447" s="13"/>
      <c r="AEL447" s="13"/>
      <c r="AEM447" s="13"/>
      <c r="AEN447" s="13"/>
      <c r="AEO447" s="13"/>
      <c r="AEP447" s="13"/>
      <c r="AEQ447" s="13"/>
      <c r="AER447" s="13"/>
      <c r="AES447" s="13"/>
      <c r="AET447" s="13"/>
      <c r="AEU447" s="13"/>
      <c r="AEV447" s="13"/>
      <c r="AEW447" s="13"/>
      <c r="AEX447" s="13"/>
      <c r="AEY447" s="13"/>
      <c r="AEZ447" s="13"/>
      <c r="AFA447" s="13"/>
      <c r="AFB447" s="13"/>
      <c r="AFC447" s="13"/>
      <c r="AFD447" s="13"/>
      <c r="AFE447" s="13"/>
      <c r="AFF447" s="13"/>
      <c r="AFG447" s="13"/>
      <c r="AFH447" s="13"/>
      <c r="AFI447" s="13"/>
      <c r="AFJ447" s="13"/>
      <c r="AFK447" s="13"/>
      <c r="AFL447" s="13"/>
      <c r="AFM447" s="13"/>
      <c r="AFN447" s="13"/>
      <c r="AFO447" s="13"/>
      <c r="AFP447" s="13"/>
      <c r="AFQ447" s="13"/>
      <c r="AFR447" s="13"/>
      <c r="AFS447" s="13"/>
      <c r="AFT447" s="13"/>
      <c r="AFU447" s="13"/>
      <c r="AFV447" s="13"/>
      <c r="AFW447" s="13"/>
      <c r="AFX447" s="13"/>
      <c r="AFY447" s="13"/>
      <c r="AFZ447" s="13"/>
      <c r="AGA447" s="13"/>
      <c r="AGB447" s="13"/>
      <c r="AGC447" s="13"/>
      <c r="AGD447" s="13"/>
      <c r="AGE447" s="13"/>
      <c r="AGF447" s="13"/>
      <c r="AGG447" s="13"/>
      <c r="AGH447" s="13"/>
      <c r="AGI447" s="13"/>
      <c r="AGJ447" s="13"/>
      <c r="AGK447" s="13"/>
      <c r="AGL447" s="13"/>
      <c r="AGM447" s="13"/>
      <c r="AGN447" s="13"/>
      <c r="AGO447" s="13"/>
      <c r="AGP447" s="13"/>
      <c r="AGQ447" s="13"/>
      <c r="AGR447" s="13"/>
      <c r="AGS447" s="13"/>
      <c r="AGT447" s="13"/>
      <c r="AGU447" s="13"/>
      <c r="AGV447" s="13"/>
      <c r="AGW447" s="13"/>
      <c r="AGX447" s="13"/>
      <c r="AGY447" s="13"/>
      <c r="AGZ447" s="13"/>
      <c r="AHA447" s="13"/>
      <c r="AHB447" s="13"/>
      <c r="AHC447" s="13"/>
      <c r="AHD447" s="13"/>
      <c r="AHE447" s="13"/>
      <c r="AHF447" s="13"/>
      <c r="AHG447" s="13"/>
      <c r="AHH447" s="13"/>
      <c r="AHI447" s="13"/>
      <c r="AHJ447" s="13"/>
      <c r="AHK447" s="13"/>
      <c r="AHL447" s="13"/>
      <c r="AHM447" s="13"/>
      <c r="AHN447" s="13"/>
      <c r="AHO447" s="13"/>
      <c r="AHP447" s="13"/>
      <c r="AHQ447" s="13"/>
      <c r="AHR447" s="13"/>
      <c r="AHS447" s="13"/>
      <c r="AHT447" s="13"/>
      <c r="AHU447" s="13"/>
      <c r="AHV447" s="13"/>
      <c r="AHW447" s="13"/>
      <c r="AHX447" s="13"/>
      <c r="AHY447" s="13"/>
      <c r="AHZ447" s="13"/>
      <c r="AIA447" s="13"/>
      <c r="AIB447" s="13"/>
      <c r="AIC447" s="13"/>
      <c r="AID447" s="13"/>
      <c r="AIE447" s="13"/>
      <c r="AIF447" s="13"/>
      <c r="AIG447" s="13"/>
      <c r="AIH447" s="13"/>
      <c r="AII447" s="13"/>
      <c r="AIJ447" s="13"/>
      <c r="AIK447" s="13"/>
      <c r="AIL447" s="13"/>
      <c r="AIM447" s="13"/>
      <c r="AIN447" s="13"/>
      <c r="AIO447" s="13"/>
      <c r="AIP447" s="13"/>
      <c r="AIQ447" s="13"/>
      <c r="AIR447" s="13"/>
      <c r="AIS447" s="13"/>
      <c r="AIT447" s="13"/>
      <c r="AIU447" s="13"/>
      <c r="AIV447" s="13"/>
      <c r="AIW447" s="13"/>
      <c r="AIX447" s="13"/>
      <c r="AIY447" s="13"/>
      <c r="AIZ447" s="13"/>
      <c r="AJA447" s="13"/>
      <c r="AJB447" s="13"/>
      <c r="AJC447" s="13"/>
      <c r="AJD447" s="13"/>
      <c r="AJE447" s="13"/>
      <c r="AJF447" s="13"/>
      <c r="AJG447" s="13"/>
      <c r="AJH447" s="13"/>
      <c r="AJI447" s="13"/>
      <c r="AJJ447" s="13"/>
      <c r="AJK447" s="13"/>
      <c r="AJL447" s="13"/>
      <c r="AJM447" s="13"/>
      <c r="AJN447" s="13"/>
      <c r="AJO447" s="13"/>
      <c r="AJP447" s="13"/>
      <c r="AJQ447" s="13"/>
      <c r="AJR447" s="13"/>
      <c r="AJS447" s="13"/>
      <c r="AJT447" s="13"/>
      <c r="AJU447" s="13"/>
      <c r="AJV447" s="13"/>
      <c r="AJW447" s="13"/>
      <c r="AJX447" s="13"/>
      <c r="AJY447" s="13"/>
      <c r="AJZ447" s="13"/>
      <c r="AKA447" s="13"/>
      <c r="AKB447" s="13"/>
      <c r="AKC447" s="13"/>
      <c r="AKD447" s="13"/>
      <c r="AKE447" s="13"/>
      <c r="AKF447" s="13"/>
      <c r="AKG447" s="13"/>
      <c r="AKH447" s="13"/>
      <c r="AKI447" s="13"/>
      <c r="AKJ447" s="13"/>
      <c r="AKK447" s="13"/>
      <c r="AKL447" s="13"/>
      <c r="AKM447" s="13"/>
      <c r="AKN447" s="13"/>
      <c r="AKO447" s="13"/>
      <c r="AKP447" s="13"/>
      <c r="AKQ447" s="13"/>
      <c r="AKR447" s="13"/>
      <c r="AKS447" s="13"/>
      <c r="AKT447" s="13"/>
      <c r="AKU447" s="13"/>
      <c r="AKV447" s="13"/>
      <c r="AKW447" s="13"/>
      <c r="AKX447" s="13"/>
      <c r="AKY447" s="13"/>
      <c r="AKZ447" s="13"/>
      <c r="ALA447" s="13"/>
      <c r="ALB447" s="13"/>
      <c r="ALC447" s="13"/>
      <c r="ALD447" s="13"/>
      <c r="ALE447" s="13"/>
      <c r="ALF447" s="13"/>
      <c r="ALG447" s="13"/>
      <c r="ALH447" s="13"/>
      <c r="ALI447" s="13"/>
      <c r="ALJ447" s="13"/>
      <c r="ALK447" s="13"/>
      <c r="ALL447" s="13"/>
      <c r="ALM447" s="13"/>
      <c r="ALN447" s="13"/>
      <c r="ALO447" s="13"/>
      <c r="ALP447" s="13"/>
      <c r="ALQ447" s="13"/>
      <c r="ALR447" s="13"/>
      <c r="ALS447" s="13"/>
      <c r="ALT447" s="13"/>
      <c r="ALU447" s="13"/>
      <c r="ALV447" s="13"/>
      <c r="ALW447" s="13"/>
      <c r="ALX447" s="13"/>
      <c r="ALY447" s="13"/>
      <c r="ALZ447" s="13"/>
      <c r="AMA447" s="13"/>
      <c r="AMB447" s="13"/>
      <c r="AMC447" s="13"/>
      <c r="AMD447" s="13"/>
      <c r="AME447" s="13"/>
      <c r="AMF447" s="13"/>
      <c r="AMG447" s="13"/>
      <c r="AMH447" s="13"/>
      <c r="AMI447" s="13"/>
      <c r="AMJ447" s="13"/>
      <c r="AMK447" s="13"/>
      <c r="AML447" s="13"/>
      <c r="AMM447" s="13"/>
      <c r="AMN447" s="13"/>
      <c r="AMO447" s="13"/>
      <c r="AMP447" s="13"/>
      <c r="AMQ447" s="13"/>
      <c r="AMR447" s="13"/>
      <c r="AMS447" s="13"/>
      <c r="AMT447" s="13"/>
      <c r="AMU447" s="13"/>
      <c r="AMV447" s="13"/>
      <c r="AMW447" s="13"/>
      <c r="AMX447" s="13"/>
      <c r="AMY447" s="13"/>
      <c r="AMZ447" s="13"/>
      <c r="ANA447" s="13"/>
      <c r="ANB447" s="13"/>
      <c r="ANC447" s="13"/>
      <c r="AND447" s="13"/>
      <c r="ANE447" s="13"/>
      <c r="ANF447" s="13"/>
      <c r="ANG447" s="13"/>
      <c r="ANH447" s="13"/>
      <c r="ANI447" s="13"/>
      <c r="ANJ447" s="13"/>
      <c r="ANK447" s="13"/>
      <c r="ANL447" s="13"/>
      <c r="ANM447" s="13"/>
      <c r="ANN447" s="13"/>
      <c r="ANO447" s="13"/>
      <c r="ANP447" s="13"/>
      <c r="ANQ447" s="13"/>
      <c r="ANR447" s="13"/>
      <c r="ANS447" s="13"/>
      <c r="ANT447" s="13"/>
      <c r="ANU447" s="13"/>
      <c r="ANV447" s="13"/>
      <c r="ANW447" s="13"/>
      <c r="ANX447" s="13"/>
      <c r="ANY447" s="13"/>
      <c r="ANZ447" s="13"/>
      <c r="AOA447" s="13"/>
      <c r="AOB447" s="13"/>
      <c r="AOC447" s="13"/>
      <c r="AOD447" s="13"/>
      <c r="AOE447" s="13"/>
      <c r="AOF447" s="13"/>
      <c r="AOG447" s="13"/>
      <c r="AOH447" s="13"/>
      <c r="AOI447" s="13"/>
      <c r="AOJ447" s="13"/>
      <c r="AOK447" s="13"/>
      <c r="AOL447" s="13"/>
      <c r="AOM447" s="13"/>
      <c r="AON447" s="13"/>
      <c r="AOO447" s="13"/>
      <c r="AOP447" s="13"/>
      <c r="AOQ447" s="13"/>
      <c r="AOR447" s="13"/>
      <c r="AOS447" s="13"/>
      <c r="AOT447" s="13"/>
      <c r="AOU447" s="13"/>
      <c r="AOV447" s="13"/>
      <c r="AOW447" s="13"/>
      <c r="AOX447" s="13"/>
      <c r="AOY447" s="13"/>
      <c r="AOZ447" s="13"/>
      <c r="APA447" s="13"/>
      <c r="APB447" s="13"/>
      <c r="APC447" s="13"/>
      <c r="APD447" s="13"/>
      <c r="APE447" s="13"/>
      <c r="APF447" s="13"/>
      <c r="APG447" s="13"/>
      <c r="APH447" s="13"/>
      <c r="API447" s="13"/>
      <c r="APJ447" s="13"/>
      <c r="APK447" s="13"/>
      <c r="APL447" s="13"/>
      <c r="APM447" s="13"/>
      <c r="APN447" s="13"/>
      <c r="APO447" s="13"/>
      <c r="APP447" s="13"/>
      <c r="APQ447" s="13"/>
      <c r="APR447" s="13"/>
      <c r="APS447" s="13"/>
      <c r="APT447" s="13"/>
      <c r="APU447" s="13"/>
      <c r="APV447" s="13"/>
      <c r="APW447" s="13"/>
      <c r="APX447" s="13"/>
      <c r="APY447" s="13"/>
      <c r="APZ447" s="13"/>
      <c r="AQA447" s="13"/>
      <c r="AQB447" s="13"/>
      <c r="AQC447" s="13"/>
      <c r="AQD447" s="13"/>
      <c r="AQE447" s="13"/>
      <c r="AQF447" s="13"/>
      <c r="AQG447" s="13"/>
      <c r="AQH447" s="13"/>
      <c r="AQI447" s="13"/>
      <c r="AQJ447" s="13"/>
      <c r="AQK447" s="13"/>
      <c r="AQL447" s="13"/>
      <c r="AQM447" s="13"/>
      <c r="AQN447" s="13"/>
      <c r="AQO447" s="13"/>
      <c r="AQP447" s="13"/>
      <c r="AQQ447" s="13"/>
      <c r="AQR447" s="13"/>
      <c r="AQS447" s="13"/>
      <c r="AQT447" s="13"/>
      <c r="AQU447" s="13"/>
      <c r="AQV447" s="13"/>
      <c r="AQW447" s="13"/>
      <c r="AQX447" s="13"/>
      <c r="AQY447" s="13"/>
      <c r="AQZ447" s="13"/>
      <c r="ARA447" s="13"/>
      <c r="ARB447" s="13"/>
      <c r="ARC447" s="13"/>
      <c r="ARD447" s="13"/>
      <c r="ARE447" s="13"/>
      <c r="ARF447" s="13"/>
      <c r="ARG447" s="13"/>
      <c r="ARH447" s="13"/>
      <c r="ARI447" s="13"/>
      <c r="ARJ447" s="13"/>
      <c r="ARK447" s="13"/>
      <c r="ARL447" s="13"/>
      <c r="ARM447" s="13"/>
      <c r="ARN447" s="13"/>
      <c r="ARO447" s="13"/>
      <c r="ARP447" s="13"/>
      <c r="ARQ447" s="13"/>
      <c r="ARR447" s="13"/>
      <c r="ARS447" s="13"/>
      <c r="ART447" s="13"/>
      <c r="ARU447" s="13"/>
      <c r="ARV447" s="13"/>
      <c r="ARW447" s="13"/>
      <c r="ARX447" s="13"/>
      <c r="ARY447" s="13"/>
      <c r="ARZ447" s="13"/>
      <c r="ASA447" s="13"/>
      <c r="ASB447" s="13"/>
      <c r="ASC447" s="13"/>
      <c r="ASD447" s="13"/>
      <c r="ASE447" s="13"/>
      <c r="ASF447" s="13"/>
      <c r="ASG447" s="13"/>
      <c r="ASH447" s="13"/>
      <c r="ASI447" s="13"/>
      <c r="ASJ447" s="13"/>
      <c r="ASK447" s="13"/>
      <c r="ASL447" s="13"/>
      <c r="ASM447" s="13"/>
      <c r="ASN447" s="13"/>
      <c r="ASO447" s="13"/>
      <c r="ASP447" s="13"/>
      <c r="ASQ447" s="13"/>
      <c r="ASR447" s="13"/>
      <c r="ASS447" s="13"/>
      <c r="AST447" s="13"/>
      <c r="ASU447" s="13"/>
      <c r="ASV447" s="13"/>
      <c r="ASW447" s="13"/>
      <c r="ASX447" s="13"/>
      <c r="ASY447" s="13"/>
      <c r="ASZ447" s="13"/>
      <c r="ATA447" s="13"/>
      <c r="ATB447" s="13"/>
      <c r="ATC447" s="13"/>
      <c r="ATD447" s="13"/>
      <c r="ATE447" s="13"/>
      <c r="ATF447" s="13"/>
      <c r="ATG447" s="13"/>
      <c r="ATH447" s="13"/>
      <c r="ATI447" s="13"/>
      <c r="ATJ447" s="13"/>
      <c r="ATK447" s="13"/>
      <c r="ATL447" s="13"/>
      <c r="ATM447" s="13"/>
      <c r="ATN447" s="13"/>
      <c r="ATO447" s="13"/>
      <c r="ATP447" s="13"/>
      <c r="ATQ447" s="13"/>
      <c r="ATR447" s="13"/>
      <c r="ATS447" s="13"/>
      <c r="ATT447" s="13"/>
      <c r="ATU447" s="13"/>
      <c r="ATV447" s="13"/>
      <c r="ATW447" s="13"/>
      <c r="ATX447" s="13"/>
      <c r="ATY447" s="13"/>
      <c r="ATZ447" s="13"/>
      <c r="AUA447" s="13"/>
      <c r="AUB447" s="13"/>
      <c r="AUC447" s="13"/>
      <c r="AUD447" s="13"/>
      <c r="AUE447" s="13"/>
      <c r="AUF447" s="13"/>
      <c r="AUG447" s="13"/>
      <c r="AUH447" s="13"/>
      <c r="AUI447" s="13"/>
      <c r="AUJ447" s="13"/>
      <c r="AUK447" s="13"/>
      <c r="AUL447" s="13"/>
      <c r="AUM447" s="13"/>
      <c r="AUN447" s="13"/>
      <c r="AUO447" s="13"/>
      <c r="AUP447" s="13"/>
      <c r="AUQ447" s="13"/>
      <c r="AUR447" s="13"/>
      <c r="AUS447" s="13"/>
      <c r="AUT447" s="13"/>
      <c r="AUU447" s="13"/>
      <c r="AUV447" s="13"/>
      <c r="AUW447" s="13"/>
      <c r="AUX447" s="13"/>
      <c r="AUY447" s="13"/>
      <c r="AUZ447" s="13"/>
      <c r="AVA447" s="13"/>
      <c r="AVB447" s="13"/>
      <c r="AVC447" s="13"/>
      <c r="AVD447" s="13"/>
      <c r="AVE447" s="13"/>
      <c r="AVF447" s="13"/>
      <c r="AVG447" s="13"/>
      <c r="AVH447" s="13"/>
      <c r="AVI447" s="13"/>
      <c r="AVJ447" s="13"/>
      <c r="AVK447" s="13"/>
      <c r="AVL447" s="13"/>
      <c r="AVM447" s="13"/>
      <c r="AVN447" s="13"/>
      <c r="AVO447" s="13"/>
      <c r="AVP447" s="13"/>
      <c r="AVQ447" s="13"/>
      <c r="AVR447" s="13"/>
      <c r="AVS447" s="13"/>
      <c r="AVT447" s="13"/>
      <c r="AVU447" s="13"/>
      <c r="AVV447" s="13"/>
      <c r="AVW447" s="13"/>
      <c r="AVX447" s="13"/>
      <c r="AVY447" s="13"/>
      <c r="AVZ447" s="13"/>
      <c r="AWA447" s="13"/>
      <c r="AWB447" s="13"/>
      <c r="AWC447" s="13"/>
      <c r="AWD447" s="13"/>
      <c r="AWE447" s="13"/>
      <c r="AWF447" s="13"/>
      <c r="AWG447" s="13"/>
      <c r="AWH447" s="13"/>
      <c r="AWI447" s="13"/>
      <c r="AWJ447" s="13"/>
      <c r="AWK447" s="13"/>
      <c r="AWL447" s="13"/>
      <c r="AWM447" s="13"/>
      <c r="AWN447" s="13"/>
      <c r="AWO447" s="13"/>
      <c r="AWP447" s="13"/>
      <c r="AWQ447" s="13"/>
      <c r="AWR447" s="13"/>
      <c r="AWS447" s="13"/>
      <c r="AWT447" s="13"/>
      <c r="AWU447" s="13"/>
      <c r="AWV447" s="13"/>
      <c r="AWW447" s="13"/>
      <c r="AWX447" s="13"/>
      <c r="AWY447" s="13"/>
      <c r="AWZ447" s="13"/>
      <c r="AXA447" s="13"/>
      <c r="AXB447" s="13"/>
      <c r="AXC447" s="13"/>
      <c r="AXD447" s="13"/>
      <c r="AXE447" s="13"/>
      <c r="AXF447" s="13"/>
      <c r="AXG447" s="13"/>
      <c r="AXH447" s="13"/>
      <c r="AXI447" s="13"/>
      <c r="AXJ447" s="13"/>
      <c r="AXK447" s="13"/>
      <c r="AXL447" s="13"/>
      <c r="AXM447" s="13"/>
      <c r="AXN447" s="13"/>
      <c r="AXO447" s="13"/>
      <c r="AXP447" s="13"/>
      <c r="AXQ447" s="13"/>
      <c r="AXR447" s="13"/>
      <c r="AXS447" s="13"/>
      <c r="AXT447" s="13"/>
      <c r="AXU447" s="13"/>
      <c r="AXV447" s="13"/>
      <c r="AXW447" s="13"/>
      <c r="AXX447" s="13"/>
      <c r="AXY447" s="13"/>
      <c r="AXZ447" s="13"/>
      <c r="AYA447" s="13"/>
      <c r="AYB447" s="13"/>
      <c r="AYC447" s="13"/>
      <c r="AYD447" s="13"/>
      <c r="AYE447" s="13"/>
      <c r="AYF447" s="13"/>
      <c r="AYG447" s="13"/>
      <c r="AYH447" s="13"/>
      <c r="AYI447" s="13"/>
      <c r="AYJ447" s="13"/>
      <c r="AYK447" s="13"/>
      <c r="AYL447" s="13"/>
      <c r="AYM447" s="13"/>
      <c r="AYN447" s="13"/>
      <c r="AYO447" s="13"/>
      <c r="AYP447" s="13"/>
      <c r="AYQ447" s="13"/>
      <c r="AYR447" s="13"/>
      <c r="AYS447" s="13"/>
      <c r="AYT447" s="13"/>
      <c r="AYU447" s="13"/>
      <c r="AYV447" s="13"/>
      <c r="AYW447" s="13"/>
      <c r="AYX447" s="13"/>
      <c r="AYY447" s="13"/>
      <c r="AYZ447" s="13"/>
      <c r="AZA447" s="13"/>
      <c r="AZB447" s="13"/>
      <c r="AZC447" s="13"/>
      <c r="AZD447" s="13"/>
      <c r="AZE447" s="13"/>
      <c r="AZF447" s="13"/>
      <c r="AZG447" s="13"/>
      <c r="AZH447" s="13"/>
      <c r="AZI447" s="13"/>
      <c r="AZJ447" s="13"/>
      <c r="AZK447" s="13"/>
      <c r="AZL447" s="13"/>
      <c r="AZM447" s="13"/>
      <c r="AZN447" s="13"/>
      <c r="AZO447" s="13"/>
      <c r="AZP447" s="13"/>
      <c r="AZQ447" s="13"/>
      <c r="AZR447" s="13"/>
      <c r="AZS447" s="13"/>
      <c r="AZT447" s="13"/>
      <c r="AZU447" s="13"/>
      <c r="AZV447" s="13"/>
      <c r="AZW447" s="13"/>
      <c r="AZX447" s="13"/>
      <c r="AZY447" s="13"/>
      <c r="AZZ447" s="13"/>
      <c r="BAA447" s="13"/>
      <c r="BAB447" s="13"/>
      <c r="BAC447" s="13"/>
      <c r="BAD447" s="13"/>
      <c r="BAE447" s="13"/>
      <c r="BAF447" s="13"/>
      <c r="BAG447" s="13"/>
      <c r="BAH447" s="13"/>
      <c r="BAI447" s="13"/>
      <c r="BAJ447" s="13"/>
      <c r="BAK447" s="13"/>
      <c r="BAL447" s="13"/>
      <c r="BAM447" s="13"/>
      <c r="BAN447" s="13"/>
      <c r="BAO447" s="13"/>
      <c r="BAP447" s="13"/>
      <c r="BAQ447" s="13"/>
      <c r="BAR447" s="13"/>
      <c r="BAS447" s="13"/>
      <c r="BAT447" s="13"/>
      <c r="BAU447" s="13"/>
      <c r="BAV447" s="13"/>
      <c r="BAW447" s="13"/>
      <c r="BAX447" s="13"/>
      <c r="BAY447" s="13"/>
      <c r="BAZ447" s="13"/>
      <c r="BBA447" s="13"/>
      <c r="BBB447" s="13"/>
      <c r="BBC447" s="13"/>
      <c r="BBD447" s="13"/>
      <c r="BBE447" s="13"/>
      <c r="BBF447" s="13"/>
      <c r="BBG447" s="13"/>
      <c r="BBH447" s="13"/>
      <c r="BBI447" s="13"/>
      <c r="BBJ447" s="13"/>
      <c r="BBK447" s="13"/>
      <c r="BBL447" s="13"/>
      <c r="BBM447" s="13"/>
      <c r="BBN447" s="13"/>
      <c r="BBO447" s="13"/>
      <c r="BBP447" s="13"/>
      <c r="BBQ447" s="13"/>
      <c r="BBR447" s="13"/>
      <c r="BBS447" s="13"/>
      <c r="BBT447" s="13"/>
      <c r="BBU447" s="13"/>
      <c r="BBV447" s="13"/>
      <c r="BBW447" s="13"/>
      <c r="BBX447" s="13"/>
      <c r="BBY447" s="13"/>
      <c r="BBZ447" s="13"/>
      <c r="BCA447" s="13"/>
      <c r="BCB447" s="13"/>
      <c r="BCC447" s="13"/>
      <c r="BCD447" s="13"/>
      <c r="BCE447" s="13"/>
      <c r="BCF447" s="13"/>
      <c r="BCG447" s="13"/>
      <c r="BCH447" s="13"/>
      <c r="BCI447" s="13"/>
      <c r="BCJ447" s="13"/>
      <c r="BCK447" s="13"/>
      <c r="BCL447" s="13"/>
      <c r="BCM447" s="13"/>
      <c r="BCN447" s="13"/>
      <c r="BCO447" s="13"/>
      <c r="BCP447" s="13"/>
      <c r="BCQ447" s="13"/>
      <c r="BCR447" s="13"/>
      <c r="BCS447" s="13"/>
      <c r="BCT447" s="13"/>
      <c r="BCU447" s="13"/>
      <c r="BCV447" s="13"/>
      <c r="BCW447" s="13"/>
      <c r="BCX447" s="13"/>
      <c r="BCY447" s="13"/>
      <c r="BCZ447" s="13"/>
      <c r="BDA447" s="13"/>
      <c r="BDB447" s="13"/>
      <c r="BDC447" s="13"/>
      <c r="BDD447" s="13"/>
      <c r="BDE447" s="13"/>
      <c r="BDF447" s="13"/>
      <c r="BDG447" s="13"/>
      <c r="BDH447" s="13"/>
      <c r="BDI447" s="13"/>
      <c r="BDJ447" s="13"/>
      <c r="BDK447" s="13"/>
      <c r="BDL447" s="13"/>
      <c r="BDM447" s="13"/>
      <c r="BDN447" s="13"/>
      <c r="BDO447" s="13"/>
      <c r="BDP447" s="13"/>
      <c r="BDQ447" s="13"/>
      <c r="BDR447" s="13"/>
      <c r="BDS447" s="13"/>
      <c r="BDT447" s="13"/>
      <c r="BDU447" s="13"/>
      <c r="BDV447" s="13"/>
      <c r="BDW447" s="13"/>
      <c r="BDX447" s="13"/>
      <c r="BDY447" s="13"/>
      <c r="BDZ447" s="13"/>
      <c r="BEA447" s="13"/>
      <c r="BEB447" s="13"/>
      <c r="BEC447" s="13"/>
      <c r="BED447" s="13"/>
      <c r="BEE447" s="13"/>
      <c r="BEF447" s="13"/>
      <c r="BEG447" s="13"/>
      <c r="BEH447" s="13"/>
      <c r="BEI447" s="13"/>
      <c r="BEJ447" s="13"/>
      <c r="BEK447" s="13"/>
      <c r="BEL447" s="13"/>
      <c r="BEM447" s="13"/>
      <c r="BEN447" s="13"/>
      <c r="BEO447" s="13"/>
      <c r="BEP447" s="13"/>
      <c r="BEQ447" s="13"/>
      <c r="BER447" s="13"/>
      <c r="BES447" s="13"/>
      <c r="BET447" s="13"/>
      <c r="BEU447" s="13"/>
      <c r="BEV447" s="13"/>
      <c r="BEW447" s="13"/>
      <c r="BEX447" s="13"/>
      <c r="BEY447" s="13"/>
      <c r="BEZ447" s="13"/>
      <c r="BFA447" s="13"/>
      <c r="BFB447" s="13"/>
      <c r="BFC447" s="13"/>
      <c r="BFD447" s="13"/>
      <c r="BFE447" s="13"/>
      <c r="BFF447" s="13"/>
      <c r="BFG447" s="13"/>
      <c r="BFH447" s="13"/>
      <c r="BFI447" s="13"/>
      <c r="BFJ447" s="13"/>
      <c r="BFK447" s="13"/>
      <c r="BFL447" s="13"/>
      <c r="BFM447" s="13"/>
      <c r="BFN447" s="13"/>
      <c r="BFO447" s="13"/>
      <c r="BFP447" s="13"/>
      <c r="BFQ447" s="13"/>
      <c r="BFR447" s="13"/>
      <c r="BFS447" s="13"/>
      <c r="BFT447" s="13"/>
      <c r="BFU447" s="13"/>
      <c r="BFV447" s="13"/>
      <c r="BFW447" s="13"/>
      <c r="BFX447" s="13"/>
      <c r="BFY447" s="13"/>
      <c r="BFZ447" s="13"/>
      <c r="BGA447" s="13"/>
      <c r="BGB447" s="13"/>
      <c r="BGC447" s="13"/>
      <c r="BGD447" s="13"/>
      <c r="BGE447" s="13"/>
      <c r="BGF447" s="13"/>
      <c r="BGG447" s="13"/>
      <c r="BGH447" s="13"/>
      <c r="BGI447" s="13"/>
      <c r="BGJ447" s="13"/>
      <c r="BGK447" s="13"/>
      <c r="BGL447" s="13"/>
      <c r="BGM447" s="13"/>
      <c r="BGN447" s="13"/>
      <c r="BGO447" s="13"/>
      <c r="BGP447" s="13"/>
      <c r="BGQ447" s="13"/>
      <c r="BGR447" s="13"/>
      <c r="BGS447" s="13"/>
      <c r="BGT447" s="13"/>
      <c r="BGU447" s="13"/>
      <c r="BGV447" s="13"/>
      <c r="BGW447" s="13"/>
      <c r="BGX447" s="13"/>
      <c r="BGY447" s="13"/>
      <c r="BGZ447" s="13"/>
      <c r="BHA447" s="13"/>
      <c r="BHB447" s="13"/>
      <c r="BHC447" s="13"/>
      <c r="BHD447" s="13"/>
      <c r="BHE447" s="13"/>
      <c r="BHF447" s="13"/>
      <c r="BHG447" s="13"/>
      <c r="BHH447" s="13"/>
      <c r="BHI447" s="13"/>
      <c r="BHJ447" s="13"/>
      <c r="BHK447" s="13"/>
      <c r="BHL447" s="13"/>
      <c r="BHM447" s="13"/>
      <c r="BHN447" s="13"/>
      <c r="BHO447" s="13"/>
      <c r="BHP447" s="13"/>
      <c r="BHQ447" s="13"/>
      <c r="BHR447" s="13"/>
      <c r="BHS447" s="13"/>
      <c r="BHT447" s="13"/>
      <c r="BHU447" s="13"/>
      <c r="BHV447" s="13"/>
      <c r="BHW447" s="13"/>
      <c r="BHX447" s="13"/>
      <c r="BHY447" s="13"/>
      <c r="BHZ447" s="13"/>
      <c r="BIA447" s="13"/>
      <c r="BIB447" s="13"/>
      <c r="BIC447" s="13"/>
      <c r="BID447" s="13"/>
      <c r="BIE447" s="13"/>
      <c r="BIF447" s="13"/>
      <c r="BIG447" s="13"/>
      <c r="BIH447" s="13"/>
      <c r="BII447" s="13"/>
      <c r="BIJ447" s="13"/>
      <c r="BIK447" s="13"/>
      <c r="BIL447" s="13"/>
      <c r="BIM447" s="13"/>
      <c r="BIN447" s="13"/>
      <c r="BIO447" s="13"/>
      <c r="BIP447" s="13"/>
      <c r="BIQ447" s="13"/>
      <c r="BIR447" s="13"/>
      <c r="BIS447" s="13"/>
      <c r="BIT447" s="13"/>
      <c r="BIU447" s="13"/>
      <c r="BIV447" s="13"/>
      <c r="BIW447" s="13"/>
      <c r="BIX447" s="13"/>
      <c r="BIY447" s="13"/>
      <c r="BIZ447" s="13"/>
      <c r="BJA447" s="13"/>
      <c r="BJB447" s="13"/>
      <c r="BJC447" s="13"/>
      <c r="BJD447" s="13"/>
      <c r="BJE447" s="13"/>
      <c r="BJF447" s="13"/>
      <c r="BJG447" s="13"/>
      <c r="BJH447" s="13"/>
      <c r="BJI447" s="13"/>
      <c r="BJJ447" s="13"/>
      <c r="BJK447" s="13"/>
      <c r="BJL447" s="13"/>
      <c r="BJM447" s="13"/>
      <c r="BJN447" s="13"/>
      <c r="BJO447" s="13"/>
      <c r="BJP447" s="13"/>
      <c r="BJQ447" s="13"/>
      <c r="BJR447" s="13"/>
      <c r="BJS447" s="13"/>
      <c r="BJT447" s="13"/>
      <c r="BJU447" s="13"/>
      <c r="BJV447" s="13"/>
      <c r="BJW447" s="13"/>
      <c r="BJX447" s="13"/>
      <c r="BJY447" s="13"/>
      <c r="BJZ447" s="13"/>
      <c r="BKA447" s="13"/>
      <c r="BKB447" s="13"/>
      <c r="BKC447" s="13"/>
      <c r="BKD447" s="13"/>
      <c r="BKE447" s="13"/>
      <c r="BKF447" s="13"/>
      <c r="BKG447" s="13"/>
      <c r="BKH447" s="13"/>
      <c r="BKI447" s="13"/>
      <c r="BKJ447" s="13"/>
      <c r="BKK447" s="13"/>
      <c r="BKL447" s="13"/>
      <c r="BKM447" s="13"/>
      <c r="BKN447" s="13"/>
      <c r="BKO447" s="13"/>
      <c r="BKP447" s="13"/>
      <c r="BKQ447" s="13"/>
      <c r="BKR447" s="13"/>
      <c r="BKS447" s="13"/>
      <c r="BKT447" s="13"/>
      <c r="BKU447" s="13"/>
      <c r="BKV447" s="13"/>
      <c r="BKW447" s="13"/>
      <c r="BKX447" s="13"/>
      <c r="BKY447" s="13"/>
      <c r="BKZ447" s="13"/>
      <c r="BLA447" s="13"/>
      <c r="BLB447" s="13"/>
      <c r="BLC447" s="13"/>
      <c r="BLD447" s="13"/>
      <c r="BLE447" s="13"/>
      <c r="BLF447" s="13"/>
      <c r="BLG447" s="13"/>
      <c r="BLH447" s="13"/>
      <c r="BLI447" s="13"/>
      <c r="BLJ447" s="13"/>
      <c r="BLK447" s="13"/>
      <c r="BLL447" s="13"/>
      <c r="BLM447" s="13"/>
      <c r="BLN447" s="13"/>
      <c r="BLO447" s="13"/>
      <c r="BLP447" s="13"/>
      <c r="BLQ447" s="13"/>
      <c r="BLR447" s="13"/>
      <c r="BLS447" s="13"/>
      <c r="BLT447" s="13"/>
      <c r="BLU447" s="13"/>
      <c r="BLV447" s="13"/>
      <c r="BLW447" s="13"/>
      <c r="BLX447" s="13"/>
      <c r="BLY447" s="13"/>
      <c r="BLZ447" s="13"/>
      <c r="BMA447" s="13"/>
      <c r="BMB447" s="13"/>
      <c r="BMC447" s="13"/>
      <c r="BMD447" s="13"/>
      <c r="BME447" s="13"/>
      <c r="BMF447" s="13"/>
      <c r="BMG447" s="13"/>
      <c r="BMH447" s="13"/>
      <c r="BMI447" s="13"/>
      <c r="BMJ447" s="13"/>
      <c r="BMK447" s="13"/>
      <c r="BML447" s="13"/>
      <c r="BMM447" s="13"/>
      <c r="BMN447" s="13"/>
      <c r="BMO447" s="13"/>
      <c r="BMP447" s="13"/>
      <c r="BMQ447" s="13"/>
      <c r="BMR447" s="13"/>
      <c r="BMS447" s="13"/>
      <c r="BMT447" s="13"/>
      <c r="BMU447" s="13"/>
      <c r="BMV447" s="13"/>
      <c r="BMW447" s="13"/>
      <c r="BMX447" s="13"/>
      <c r="BMY447" s="13"/>
      <c r="BMZ447" s="13"/>
      <c r="BNA447" s="13"/>
      <c r="BNB447" s="13"/>
      <c r="BNC447" s="13"/>
      <c r="BND447" s="13"/>
      <c r="BNE447" s="13"/>
      <c r="BNF447" s="13"/>
      <c r="BNG447" s="13"/>
      <c r="BNH447" s="13"/>
      <c r="BNI447" s="13"/>
      <c r="BNJ447" s="13"/>
      <c r="BNK447" s="13"/>
      <c r="BNL447" s="13"/>
      <c r="BNM447" s="13"/>
      <c r="BNN447" s="13"/>
      <c r="BNO447" s="13"/>
      <c r="BNP447" s="13"/>
      <c r="BNQ447" s="13"/>
      <c r="BNR447" s="13"/>
      <c r="BNS447" s="13"/>
      <c r="BNT447" s="13"/>
      <c r="BNU447" s="13"/>
      <c r="BNV447" s="13"/>
      <c r="BNW447" s="13"/>
      <c r="BNX447" s="13"/>
      <c r="BNY447" s="13"/>
      <c r="BNZ447" s="13"/>
      <c r="BOA447" s="13"/>
      <c r="BOB447" s="13"/>
      <c r="BOC447" s="13"/>
      <c r="BOD447" s="13"/>
      <c r="BOE447" s="13"/>
      <c r="BOF447" s="13"/>
      <c r="BOG447" s="13"/>
      <c r="BOH447" s="13"/>
      <c r="BOI447" s="13"/>
      <c r="BOJ447" s="13"/>
      <c r="BOK447" s="13"/>
      <c r="BOL447" s="13"/>
      <c r="BOM447" s="13"/>
      <c r="BON447" s="13"/>
      <c r="BOO447" s="13"/>
      <c r="BOP447" s="13"/>
      <c r="BOQ447" s="13"/>
      <c r="BOR447" s="13"/>
      <c r="BOS447" s="13"/>
      <c r="BOT447" s="13"/>
      <c r="BOU447" s="13"/>
      <c r="BOV447" s="13"/>
      <c r="BOW447" s="13"/>
      <c r="BOX447" s="13"/>
      <c r="BOY447" s="13"/>
      <c r="BOZ447" s="13"/>
      <c r="BPA447" s="13"/>
      <c r="BPB447" s="13"/>
      <c r="BPC447" s="13"/>
      <c r="BPD447" s="13"/>
      <c r="BPE447" s="13"/>
      <c r="BPF447" s="13"/>
      <c r="BPG447" s="13"/>
      <c r="BPH447" s="13"/>
      <c r="BPI447" s="13"/>
      <c r="BPJ447" s="13"/>
      <c r="BPK447" s="13"/>
      <c r="BPL447" s="13"/>
      <c r="BPM447" s="13"/>
      <c r="BPN447" s="13"/>
      <c r="BPO447" s="13"/>
      <c r="BPP447" s="13"/>
      <c r="BPQ447" s="13"/>
      <c r="BPR447" s="13"/>
      <c r="BPS447" s="13"/>
      <c r="BPT447" s="13"/>
      <c r="BPU447" s="13"/>
      <c r="BPV447" s="13"/>
      <c r="BPW447" s="13"/>
      <c r="BPX447" s="13"/>
      <c r="BPY447" s="13"/>
      <c r="BPZ447" s="13"/>
      <c r="BQA447" s="13"/>
      <c r="BQB447" s="13"/>
      <c r="BQC447" s="13"/>
      <c r="BQD447" s="13"/>
      <c r="BQE447" s="13"/>
      <c r="BQF447" s="13"/>
      <c r="BQG447" s="13"/>
      <c r="BQH447" s="13"/>
      <c r="BQI447" s="13"/>
      <c r="BQJ447" s="13"/>
      <c r="BQK447" s="13"/>
      <c r="BQL447" s="13"/>
      <c r="BQM447" s="13"/>
      <c r="BQN447" s="13"/>
      <c r="BQO447" s="13"/>
      <c r="BQP447" s="13"/>
      <c r="BQQ447" s="13"/>
      <c r="BQR447" s="13"/>
      <c r="BQS447" s="13"/>
      <c r="BQT447" s="13"/>
      <c r="BQU447" s="13"/>
      <c r="BQV447" s="13"/>
      <c r="BQW447" s="13"/>
      <c r="BQX447" s="13"/>
      <c r="BQY447" s="13"/>
      <c r="BQZ447" s="13"/>
      <c r="BRA447" s="13"/>
      <c r="BRB447" s="13"/>
      <c r="BRC447" s="13"/>
      <c r="BRD447" s="13"/>
      <c r="BRE447" s="13"/>
      <c r="BRF447" s="13"/>
      <c r="BRG447" s="13"/>
      <c r="BRH447" s="13"/>
      <c r="BRI447" s="13"/>
      <c r="BRJ447" s="13"/>
      <c r="BRK447" s="13"/>
      <c r="BRL447" s="13"/>
      <c r="BRM447" s="13"/>
      <c r="BRN447" s="13"/>
      <c r="BRO447" s="13"/>
      <c r="BRP447" s="13"/>
      <c r="BRQ447" s="13"/>
      <c r="BRR447" s="13"/>
      <c r="BRS447" s="13"/>
      <c r="BRT447" s="13"/>
      <c r="BRU447" s="13"/>
      <c r="BRV447" s="13"/>
      <c r="BRW447" s="13"/>
      <c r="BRX447" s="13"/>
      <c r="BRY447" s="13"/>
      <c r="BRZ447" s="13"/>
      <c r="BSA447" s="13"/>
      <c r="BSB447" s="13"/>
      <c r="BSC447" s="13"/>
      <c r="BSD447" s="13"/>
      <c r="BSE447" s="13"/>
      <c r="BSF447" s="13"/>
      <c r="BSG447" s="13"/>
      <c r="BSH447" s="13"/>
      <c r="BSI447" s="13"/>
      <c r="BSJ447" s="13"/>
      <c r="BSK447" s="13"/>
      <c r="BSL447" s="13"/>
      <c r="BSM447" s="13"/>
      <c r="BSN447" s="13"/>
      <c r="BSO447" s="13"/>
      <c r="BSP447" s="13"/>
      <c r="BSQ447" s="13"/>
      <c r="BSR447" s="13"/>
      <c r="BSS447" s="13"/>
      <c r="BST447" s="13"/>
      <c r="BSU447" s="13"/>
      <c r="BSV447" s="13"/>
      <c r="BSW447" s="13"/>
      <c r="BSX447" s="13"/>
      <c r="BSY447" s="13"/>
      <c r="BSZ447" s="13"/>
      <c r="BTA447" s="13"/>
    </row>
    <row r="448" spans="1:1873" s="23" customFormat="1" x14ac:dyDescent="0.2">
      <c r="A448" s="329" t="s">
        <v>1838</v>
      </c>
      <c r="B448" s="240" t="s">
        <v>282</v>
      </c>
      <c r="C448" s="240" t="s">
        <v>904</v>
      </c>
      <c r="D448" s="240" t="s">
        <v>619</v>
      </c>
      <c r="E448" s="305" t="s">
        <v>1525</v>
      </c>
      <c r="F448" s="223">
        <v>2</v>
      </c>
      <c r="G448" s="450">
        <v>7</v>
      </c>
      <c r="H448" s="450">
        <v>10</v>
      </c>
      <c r="I448" s="223" t="s">
        <v>954</v>
      </c>
      <c r="J448" s="450">
        <v>1978</v>
      </c>
      <c r="K448" s="223" t="s">
        <v>957</v>
      </c>
      <c r="L448" s="450">
        <v>1987</v>
      </c>
      <c r="M448" s="550">
        <v>-9999</v>
      </c>
      <c r="N448" s="223">
        <v>-9999</v>
      </c>
      <c r="O448" s="29"/>
      <c r="P448" s="243">
        <v>58.6</v>
      </c>
      <c r="Q448" s="240">
        <v>-9999</v>
      </c>
      <c r="R448" s="421"/>
      <c r="S448" s="240"/>
      <c r="T448" s="553">
        <f t="shared" si="19"/>
        <v>8.3714285714285719</v>
      </c>
      <c r="U448" s="451">
        <v>-9999</v>
      </c>
      <c r="V448" s="451"/>
      <c r="W448" s="244">
        <f>+P448-P447</f>
        <v>0.70000000000000284</v>
      </c>
      <c r="X448" s="451">
        <v>-9999</v>
      </c>
      <c r="Y448" s="451"/>
      <c r="Z448" s="404" t="s">
        <v>1701</v>
      </c>
      <c r="AA448" s="556">
        <v>17940</v>
      </c>
      <c r="AB448" s="243">
        <f>+AA448/$AA$443</f>
        <v>0.14826446280991737</v>
      </c>
      <c r="AC448" s="245">
        <v>0.1</v>
      </c>
      <c r="AD448" s="223">
        <v>22.7</v>
      </c>
      <c r="AE448" s="223" t="s">
        <v>284</v>
      </c>
      <c r="AF448" s="450">
        <v>2</v>
      </c>
      <c r="AG448" s="223">
        <v>-9999</v>
      </c>
      <c r="AH448" s="223" t="s">
        <v>623</v>
      </c>
      <c r="AI448" s="223">
        <v>-9999</v>
      </c>
      <c r="AJ448" s="223">
        <v>-9999</v>
      </c>
      <c r="AK448" s="223">
        <v>-9999</v>
      </c>
      <c r="AL448" s="223">
        <v>-9999</v>
      </c>
      <c r="AM448" s="223">
        <v>-9999</v>
      </c>
      <c r="AN448" s="223" t="s">
        <v>626</v>
      </c>
      <c r="AO448" s="223">
        <v>-9999</v>
      </c>
      <c r="AP448" s="223" t="s">
        <v>285</v>
      </c>
      <c r="AQ448" s="223" t="s">
        <v>626</v>
      </c>
      <c r="AR448" s="223">
        <f>110+AR447</f>
        <v>660</v>
      </c>
      <c r="AS448" s="450">
        <v>-9999</v>
      </c>
      <c r="AT448" s="223" t="s">
        <v>286</v>
      </c>
      <c r="AU448" s="450">
        <v>0</v>
      </c>
      <c r="AV448" s="450">
        <v>-9999</v>
      </c>
      <c r="AW448" s="450">
        <v>-9999</v>
      </c>
      <c r="AX448" s="450">
        <v>0</v>
      </c>
      <c r="AY448" s="450">
        <v>-9999</v>
      </c>
      <c r="AZ448" s="450"/>
      <c r="BA448" s="223">
        <v>-9999</v>
      </c>
      <c r="BB448" s="223" t="s">
        <v>631</v>
      </c>
      <c r="BC448" s="223">
        <v>-9999</v>
      </c>
      <c r="BD448" s="223">
        <v>-9999</v>
      </c>
      <c r="BE448" s="223">
        <v>-9999</v>
      </c>
      <c r="BF448" s="223" t="s">
        <v>753</v>
      </c>
      <c r="BG448" s="223">
        <v>-9999</v>
      </c>
      <c r="BH448" s="223">
        <v>-9999</v>
      </c>
      <c r="BI448" s="223">
        <v>-9999</v>
      </c>
      <c r="BJ448" s="223">
        <v>-9999</v>
      </c>
      <c r="BK448" s="223">
        <v>-9999</v>
      </c>
      <c r="BL448" s="223">
        <v>-9999</v>
      </c>
      <c r="BM448" s="223">
        <v>-9999</v>
      </c>
      <c r="BN448" s="223">
        <v>5.2</v>
      </c>
      <c r="BO448" s="223">
        <v>-9999</v>
      </c>
      <c r="BP448" s="223">
        <v>-9999</v>
      </c>
      <c r="BQ448" s="223">
        <v>-9999</v>
      </c>
      <c r="BR448" s="223">
        <v>-9999</v>
      </c>
      <c r="BS448" s="242">
        <v>-9999</v>
      </c>
      <c r="BT448" s="223">
        <v>-9999</v>
      </c>
      <c r="BU448" s="223">
        <v>-9999</v>
      </c>
      <c r="BV448" s="223">
        <v>-9999</v>
      </c>
      <c r="BW448" s="223"/>
      <c r="BX448" s="223">
        <v>-9999</v>
      </c>
      <c r="BY448" s="223">
        <v>-9999</v>
      </c>
      <c r="BZ448" s="332">
        <v>-9999</v>
      </c>
      <c r="CA448" s="332">
        <v>-9999</v>
      </c>
      <c r="CB448" s="247"/>
      <c r="CC448" s="223">
        <v>2</v>
      </c>
      <c r="CD448" s="450">
        <v>7</v>
      </c>
      <c r="CE448" s="292">
        <v>8.3714285714285719</v>
      </c>
      <c r="CF448" s="292">
        <v>0.70000000000000284</v>
      </c>
      <c r="CG448" s="76">
        <v>10</v>
      </c>
    </row>
    <row r="449" spans="1:1873" s="23" customFormat="1" x14ac:dyDescent="0.2">
      <c r="A449" s="1"/>
      <c r="B449" s="1"/>
      <c r="C449" s="1"/>
      <c r="D449" s="1"/>
      <c r="E449" s="220"/>
      <c r="F449" s="29"/>
      <c r="G449" s="29"/>
      <c r="H449" s="29"/>
      <c r="I449" s="29"/>
      <c r="J449" s="29"/>
      <c r="K449" s="29"/>
      <c r="L449" s="29"/>
      <c r="M449" s="31"/>
      <c r="N449" s="29"/>
      <c r="O449" s="29"/>
      <c r="P449" s="31"/>
      <c r="Q449" s="29"/>
      <c r="R449" s="31"/>
      <c r="S449" s="29"/>
      <c r="T449" s="31"/>
      <c r="U449" s="31"/>
      <c r="V449" s="31"/>
      <c r="W449" s="31"/>
      <c r="X449" s="30"/>
      <c r="Y449" s="30"/>
      <c r="Z449" s="29"/>
      <c r="AA449" s="29"/>
      <c r="AB449" s="31"/>
      <c r="AC449" s="29"/>
      <c r="AD449" s="29"/>
      <c r="AE449" s="29"/>
      <c r="AF449" s="29"/>
      <c r="AG449" s="29"/>
      <c r="AH449" s="29"/>
      <c r="AI449" s="29"/>
      <c r="AJ449" s="29"/>
      <c r="AK449" s="29"/>
      <c r="AL449" s="29"/>
      <c r="AM449" s="29"/>
      <c r="AN449" s="29"/>
      <c r="AO449" s="29"/>
      <c r="AP449" s="29"/>
      <c r="AQ449" s="29"/>
      <c r="AR449" s="29"/>
      <c r="AS449" s="29"/>
      <c r="AT449" s="29"/>
      <c r="AU449" s="29"/>
      <c r="AV449" s="29"/>
      <c r="AW449" s="29"/>
      <c r="AX449" s="29"/>
      <c r="AY449" s="29"/>
      <c r="AZ449" s="29"/>
      <c r="BA449" s="29"/>
      <c r="BB449" s="29"/>
      <c r="BC449" s="29"/>
      <c r="BD449" s="29"/>
      <c r="BE449" s="29"/>
      <c r="BF449" s="29"/>
      <c r="BG449" s="29"/>
      <c r="BH449" s="29"/>
      <c r="BI449" s="29"/>
      <c r="BJ449" s="29"/>
      <c r="BK449" s="29"/>
      <c r="BL449" s="29"/>
      <c r="BM449" s="29"/>
      <c r="BN449" s="29"/>
      <c r="BO449" s="29"/>
      <c r="BP449" s="29"/>
      <c r="BQ449" s="29"/>
      <c r="BR449" s="29"/>
      <c r="BS449" s="30"/>
      <c r="BT449" s="29"/>
      <c r="BU449" s="29"/>
      <c r="BV449" s="29"/>
      <c r="BW449" s="29"/>
      <c r="BX449" s="29"/>
      <c r="BY449" s="29"/>
      <c r="BZ449" s="98"/>
      <c r="CA449" s="98"/>
      <c r="CC449" s="29"/>
      <c r="CD449" s="29"/>
      <c r="CE449" s="342" t="s">
        <v>1576</v>
      </c>
      <c r="CF449" s="342" t="s">
        <v>1575</v>
      </c>
      <c r="CG449" s="29"/>
    </row>
    <row r="450" spans="1:1873" s="23" customFormat="1" x14ac:dyDescent="0.2">
      <c r="A450" s="304" t="s">
        <v>785</v>
      </c>
      <c r="B450" s="223" t="s">
        <v>68</v>
      </c>
      <c r="C450" s="404" t="s">
        <v>1448</v>
      </c>
      <c r="D450" s="223" t="s">
        <v>619</v>
      </c>
      <c r="E450" s="241" t="s">
        <v>1449</v>
      </c>
      <c r="F450" s="241">
        <v>1</v>
      </c>
      <c r="G450" s="242">
        <v>2</v>
      </c>
      <c r="H450" s="242">
        <v>2</v>
      </c>
      <c r="I450" s="223" t="s">
        <v>954</v>
      </c>
      <c r="J450" s="223">
        <v>1973</v>
      </c>
      <c r="K450" s="223" t="s">
        <v>957</v>
      </c>
      <c r="L450" s="223">
        <v>1977</v>
      </c>
      <c r="M450" s="243">
        <v>-9999</v>
      </c>
      <c r="N450" s="223">
        <v>-9999</v>
      </c>
      <c r="O450" s="29"/>
      <c r="P450" s="285">
        <f>+T450*G450</f>
        <v>7.6</v>
      </c>
      <c r="Q450" s="223">
        <v>-9999</v>
      </c>
      <c r="R450" s="243"/>
      <c r="S450" s="223"/>
      <c r="T450" s="243">
        <v>3.8</v>
      </c>
      <c r="U450" s="223">
        <v>-9999</v>
      </c>
      <c r="V450" s="223"/>
      <c r="W450" s="244">
        <f>+P450-P449</f>
        <v>7.6</v>
      </c>
      <c r="X450" s="223">
        <v>-9999</v>
      </c>
      <c r="Y450" s="223"/>
      <c r="Z450" s="223" t="s">
        <v>622</v>
      </c>
      <c r="AA450" s="442">
        <v>111111</v>
      </c>
      <c r="AB450" s="243">
        <v>-9999</v>
      </c>
      <c r="AC450" s="223">
        <v>-9999</v>
      </c>
      <c r="AD450" s="223">
        <f>0.004*10000</f>
        <v>40</v>
      </c>
      <c r="AE450" s="404" t="s">
        <v>1953</v>
      </c>
      <c r="AF450" s="223">
        <v>1</v>
      </c>
      <c r="AG450" s="223">
        <v>2</v>
      </c>
      <c r="AH450" s="223" t="s">
        <v>623</v>
      </c>
      <c r="AI450" s="223">
        <v>-9999</v>
      </c>
      <c r="AJ450" s="223">
        <v>-9999</v>
      </c>
      <c r="AK450" s="223" t="s">
        <v>626</v>
      </c>
      <c r="AL450" s="223" t="s">
        <v>653</v>
      </c>
      <c r="AM450" s="223">
        <v>-9999</v>
      </c>
      <c r="AN450" s="223" t="s">
        <v>626</v>
      </c>
      <c r="AO450" s="223" t="s">
        <v>69</v>
      </c>
      <c r="AP450" s="223" t="s">
        <v>70</v>
      </c>
      <c r="AQ450" s="223" t="s">
        <v>626</v>
      </c>
      <c r="AR450" s="223">
        <f>112*G450</f>
        <v>224</v>
      </c>
      <c r="AS450" s="223" t="s">
        <v>224</v>
      </c>
      <c r="AT450" s="223" t="s">
        <v>790</v>
      </c>
      <c r="AU450" s="223">
        <v>0</v>
      </c>
      <c r="AV450" s="223">
        <v>-9999</v>
      </c>
      <c r="AW450" s="223">
        <v>-9999</v>
      </c>
      <c r="AX450" s="223">
        <v>0</v>
      </c>
      <c r="AY450" s="223">
        <v>-9999</v>
      </c>
      <c r="AZ450" s="223" t="s">
        <v>790</v>
      </c>
      <c r="BA450" s="223" t="s">
        <v>71</v>
      </c>
      <c r="BB450" s="223" t="s">
        <v>626</v>
      </c>
      <c r="BC450" s="223" t="s">
        <v>791</v>
      </c>
      <c r="BD450" s="223" t="s">
        <v>72</v>
      </c>
      <c r="BE450" s="223"/>
      <c r="BF450" s="223"/>
      <c r="BG450" s="223">
        <v>-9999</v>
      </c>
      <c r="BH450" s="223">
        <v>-9999</v>
      </c>
      <c r="BI450" s="223">
        <v>-9999</v>
      </c>
      <c r="BJ450" s="223">
        <v>-9999</v>
      </c>
      <c r="BK450" s="223">
        <v>-9999</v>
      </c>
      <c r="BL450" s="223">
        <v>-9999</v>
      </c>
      <c r="BM450" s="223">
        <v>-9999</v>
      </c>
      <c r="BN450" s="223">
        <v>-9999</v>
      </c>
      <c r="BO450" s="223">
        <v>-9999</v>
      </c>
      <c r="BP450" s="223">
        <v>-9999</v>
      </c>
      <c r="BQ450" s="223">
        <v>-9999</v>
      </c>
      <c r="BR450" s="223">
        <v>-9999</v>
      </c>
      <c r="BS450" s="242">
        <v>-9999</v>
      </c>
      <c r="BT450" s="223">
        <v>-9999</v>
      </c>
      <c r="BU450" s="223">
        <v>-9999</v>
      </c>
      <c r="BV450" s="223">
        <v>-9999</v>
      </c>
      <c r="BW450" s="223"/>
      <c r="BX450" s="223">
        <v>-9999</v>
      </c>
      <c r="BY450" s="223">
        <v>-9999</v>
      </c>
      <c r="BZ450" s="332">
        <v>-9999</v>
      </c>
      <c r="CA450" s="332" t="s">
        <v>797</v>
      </c>
      <c r="CB450" s="247"/>
      <c r="CC450" s="241">
        <v>1</v>
      </c>
      <c r="CD450" s="242">
        <v>2</v>
      </c>
      <c r="CE450" s="292">
        <v>3.8</v>
      </c>
      <c r="CF450" s="292">
        <v>7.6</v>
      </c>
      <c r="CG450" s="84">
        <v>2</v>
      </c>
    </row>
    <row r="451" spans="1:1873" s="23" customFormat="1" x14ac:dyDescent="0.2">
      <c r="A451" s="32" t="s">
        <v>785</v>
      </c>
      <c r="B451" s="223" t="s">
        <v>68</v>
      </c>
      <c r="C451" s="404" t="s">
        <v>1448</v>
      </c>
      <c r="D451" s="223" t="s">
        <v>619</v>
      </c>
      <c r="E451" s="241" t="s">
        <v>1449</v>
      </c>
      <c r="F451" s="241">
        <v>1</v>
      </c>
      <c r="G451" s="242">
        <v>3</v>
      </c>
      <c r="H451" s="242">
        <v>3</v>
      </c>
      <c r="I451" s="223" t="s">
        <v>954</v>
      </c>
      <c r="J451" s="223">
        <v>1973</v>
      </c>
      <c r="K451" s="223" t="s">
        <v>957</v>
      </c>
      <c r="L451" s="223">
        <v>1977</v>
      </c>
      <c r="M451" s="243">
        <v>-9999</v>
      </c>
      <c r="N451" s="223">
        <v>-9999</v>
      </c>
      <c r="O451" s="29"/>
      <c r="P451" s="285">
        <f>+T451*G451</f>
        <v>20.700000000000003</v>
      </c>
      <c r="Q451" s="223">
        <v>-9999</v>
      </c>
      <c r="R451" s="243"/>
      <c r="S451" s="223"/>
      <c r="T451" s="243">
        <v>6.9</v>
      </c>
      <c r="U451" s="223">
        <v>-9999</v>
      </c>
      <c r="V451" s="223"/>
      <c r="W451" s="244">
        <f>+P451-P450</f>
        <v>13.100000000000003</v>
      </c>
      <c r="X451" s="223">
        <v>-9999</v>
      </c>
      <c r="Y451" s="223"/>
      <c r="Z451" s="223" t="s">
        <v>622</v>
      </c>
      <c r="AA451" s="442">
        <v>111111</v>
      </c>
      <c r="AB451" s="243">
        <v>-9999</v>
      </c>
      <c r="AC451" s="223">
        <v>-9999</v>
      </c>
      <c r="AD451" s="223">
        <f t="shared" ref="AD451:AD453" si="20">0.004*10000</f>
        <v>40</v>
      </c>
      <c r="AE451" s="404" t="s">
        <v>1953</v>
      </c>
      <c r="AF451" s="223">
        <v>1</v>
      </c>
      <c r="AG451" s="223">
        <v>2</v>
      </c>
      <c r="AH451" s="223" t="s">
        <v>623</v>
      </c>
      <c r="AI451" s="223">
        <v>-9999</v>
      </c>
      <c r="AJ451" s="223">
        <v>-9999</v>
      </c>
      <c r="AK451" s="223" t="s">
        <v>626</v>
      </c>
      <c r="AL451" s="223" t="s">
        <v>653</v>
      </c>
      <c r="AM451" s="223">
        <v>-9999</v>
      </c>
      <c r="AN451" s="223" t="s">
        <v>626</v>
      </c>
      <c r="AO451" s="223" t="s">
        <v>69</v>
      </c>
      <c r="AP451" s="223" t="s">
        <v>70</v>
      </c>
      <c r="AQ451" s="223" t="s">
        <v>626</v>
      </c>
      <c r="AR451" s="223">
        <f>112+AR450</f>
        <v>336</v>
      </c>
      <c r="AS451" s="223" t="s">
        <v>224</v>
      </c>
      <c r="AT451" s="223" t="s">
        <v>790</v>
      </c>
      <c r="AU451" s="223">
        <v>0</v>
      </c>
      <c r="AV451" s="223">
        <v>-9999</v>
      </c>
      <c r="AW451" s="223">
        <v>-9999</v>
      </c>
      <c r="AX451" s="223">
        <v>0</v>
      </c>
      <c r="AY451" s="223">
        <v>-9999</v>
      </c>
      <c r="AZ451" s="223" t="s">
        <v>790</v>
      </c>
      <c r="BA451" s="223" t="s">
        <v>71</v>
      </c>
      <c r="BB451" s="223" t="s">
        <v>626</v>
      </c>
      <c r="BC451" s="223" t="s">
        <v>791</v>
      </c>
      <c r="BD451" s="223" t="s">
        <v>72</v>
      </c>
      <c r="BE451" s="223"/>
      <c r="BF451" s="223"/>
      <c r="BG451" s="223">
        <v>-9999</v>
      </c>
      <c r="BH451" s="223">
        <v>-9999</v>
      </c>
      <c r="BI451" s="223">
        <v>-9999</v>
      </c>
      <c r="BJ451" s="223">
        <v>-9999</v>
      </c>
      <c r="BK451" s="223">
        <v>-9999</v>
      </c>
      <c r="BL451" s="223">
        <v>-9999</v>
      </c>
      <c r="BM451" s="223">
        <v>-9999</v>
      </c>
      <c r="BN451" s="223">
        <v>-9999</v>
      </c>
      <c r="BO451" s="223">
        <v>-9999</v>
      </c>
      <c r="BP451" s="223">
        <v>-9999</v>
      </c>
      <c r="BQ451" s="223">
        <v>-9999</v>
      </c>
      <c r="BR451" s="223">
        <v>-9999</v>
      </c>
      <c r="BS451" s="242">
        <v>-9999</v>
      </c>
      <c r="BT451" s="223">
        <v>-9999</v>
      </c>
      <c r="BU451" s="223">
        <v>-9999</v>
      </c>
      <c r="BV451" s="223">
        <v>-9999</v>
      </c>
      <c r="BW451" s="223"/>
      <c r="BX451" s="223">
        <v>-9999</v>
      </c>
      <c r="BY451" s="223">
        <v>-9999</v>
      </c>
      <c r="BZ451" s="332">
        <v>-9999</v>
      </c>
      <c r="CA451" s="332" t="s">
        <v>797</v>
      </c>
      <c r="CB451" s="247"/>
      <c r="CC451" s="241">
        <v>1</v>
      </c>
      <c r="CD451" s="242">
        <v>3</v>
      </c>
      <c r="CE451" s="292">
        <v>6.9</v>
      </c>
      <c r="CF451" s="292">
        <v>13.100000000000003</v>
      </c>
      <c r="CG451" s="84">
        <v>3</v>
      </c>
    </row>
    <row r="452" spans="1:1873" s="23" customFormat="1" x14ac:dyDescent="0.2">
      <c r="A452" s="32" t="s">
        <v>785</v>
      </c>
      <c r="B452" s="223" t="s">
        <v>68</v>
      </c>
      <c r="C452" s="404" t="s">
        <v>1448</v>
      </c>
      <c r="D452" s="223" t="s">
        <v>619</v>
      </c>
      <c r="E452" s="241" t="s">
        <v>1449</v>
      </c>
      <c r="F452" s="241">
        <v>1</v>
      </c>
      <c r="G452" s="242">
        <v>4</v>
      </c>
      <c r="H452" s="242">
        <v>4</v>
      </c>
      <c r="I452" s="223" t="s">
        <v>954</v>
      </c>
      <c r="J452" s="223">
        <v>1973</v>
      </c>
      <c r="K452" s="223" t="s">
        <v>957</v>
      </c>
      <c r="L452" s="223">
        <v>1977</v>
      </c>
      <c r="M452" s="243">
        <v>-9999</v>
      </c>
      <c r="N452" s="223">
        <v>-9999</v>
      </c>
      <c r="O452" s="29"/>
      <c r="P452" s="285">
        <f>+T452*G452</f>
        <v>36</v>
      </c>
      <c r="Q452" s="223">
        <v>-9999</v>
      </c>
      <c r="R452" s="243"/>
      <c r="S452" s="223"/>
      <c r="T452" s="243">
        <v>9</v>
      </c>
      <c r="U452" s="223">
        <v>-9999</v>
      </c>
      <c r="V452" s="223"/>
      <c r="W452" s="244">
        <f>+P452-P451</f>
        <v>15.299999999999997</v>
      </c>
      <c r="X452" s="223">
        <v>-9999</v>
      </c>
      <c r="Y452" s="223"/>
      <c r="Z452" s="223" t="s">
        <v>622</v>
      </c>
      <c r="AA452" s="442">
        <v>111111</v>
      </c>
      <c r="AB452" s="243">
        <v>-9999</v>
      </c>
      <c r="AC452" s="223">
        <v>-9999</v>
      </c>
      <c r="AD452" s="223">
        <f t="shared" si="20"/>
        <v>40</v>
      </c>
      <c r="AE452" s="404" t="s">
        <v>1953</v>
      </c>
      <c r="AF452" s="223">
        <v>1</v>
      </c>
      <c r="AG452" s="223">
        <v>2</v>
      </c>
      <c r="AH452" s="223" t="s">
        <v>623</v>
      </c>
      <c r="AI452" s="223">
        <v>-9999</v>
      </c>
      <c r="AJ452" s="223">
        <v>-9999</v>
      </c>
      <c r="AK452" s="223" t="s">
        <v>626</v>
      </c>
      <c r="AL452" s="223" t="s">
        <v>653</v>
      </c>
      <c r="AM452" s="223">
        <v>-9999</v>
      </c>
      <c r="AN452" s="223" t="s">
        <v>626</v>
      </c>
      <c r="AO452" s="223" t="s">
        <v>69</v>
      </c>
      <c r="AP452" s="223" t="s">
        <v>70</v>
      </c>
      <c r="AQ452" s="223" t="s">
        <v>626</v>
      </c>
      <c r="AR452" s="223">
        <f>112+AR451</f>
        <v>448</v>
      </c>
      <c r="AS452" s="223" t="s">
        <v>224</v>
      </c>
      <c r="AT452" s="223" t="s">
        <v>790</v>
      </c>
      <c r="AU452" s="223">
        <v>0</v>
      </c>
      <c r="AV452" s="223">
        <v>-9999</v>
      </c>
      <c r="AW452" s="223">
        <v>-9999</v>
      </c>
      <c r="AX452" s="223">
        <v>0</v>
      </c>
      <c r="AY452" s="223">
        <v>-9999</v>
      </c>
      <c r="AZ452" s="223" t="s">
        <v>790</v>
      </c>
      <c r="BA452" s="223" t="s">
        <v>71</v>
      </c>
      <c r="BB452" s="223" t="s">
        <v>626</v>
      </c>
      <c r="BC452" s="223" t="s">
        <v>791</v>
      </c>
      <c r="BD452" s="223" t="s">
        <v>72</v>
      </c>
      <c r="BE452" s="223"/>
      <c r="BF452" s="223"/>
      <c r="BG452" s="223">
        <v>-9999</v>
      </c>
      <c r="BH452" s="223">
        <v>-9999</v>
      </c>
      <c r="BI452" s="223">
        <v>-9999</v>
      </c>
      <c r="BJ452" s="223">
        <v>-9999</v>
      </c>
      <c r="BK452" s="223">
        <v>-9999</v>
      </c>
      <c r="BL452" s="223">
        <v>-9999</v>
      </c>
      <c r="BM452" s="223">
        <v>-9999</v>
      </c>
      <c r="BN452" s="223">
        <v>-9999</v>
      </c>
      <c r="BO452" s="223">
        <v>-9999</v>
      </c>
      <c r="BP452" s="223">
        <v>-9999</v>
      </c>
      <c r="BQ452" s="223">
        <v>-9999</v>
      </c>
      <c r="BR452" s="223">
        <v>-9999</v>
      </c>
      <c r="BS452" s="242">
        <v>-9999</v>
      </c>
      <c r="BT452" s="223">
        <v>-9999</v>
      </c>
      <c r="BU452" s="223">
        <v>-9999</v>
      </c>
      <c r="BV452" s="223">
        <v>-9999</v>
      </c>
      <c r="BW452" s="223"/>
      <c r="BX452" s="223">
        <v>-9999</v>
      </c>
      <c r="BY452" s="223">
        <v>-9999</v>
      </c>
      <c r="BZ452" s="332">
        <v>-9999</v>
      </c>
      <c r="CA452" s="332" t="s">
        <v>797</v>
      </c>
      <c r="CB452" s="247"/>
      <c r="CC452" s="241">
        <v>1</v>
      </c>
      <c r="CD452" s="242">
        <v>4</v>
      </c>
      <c r="CE452" s="292">
        <v>9</v>
      </c>
      <c r="CF452" s="292">
        <v>15.299999999999997</v>
      </c>
      <c r="CG452" s="84">
        <v>4</v>
      </c>
    </row>
    <row r="453" spans="1:1873" s="199" customFormat="1" x14ac:dyDescent="0.2">
      <c r="A453" s="249" t="s">
        <v>785</v>
      </c>
      <c r="B453" s="249" t="s">
        <v>68</v>
      </c>
      <c r="C453" s="249" t="s">
        <v>1448</v>
      </c>
      <c r="D453" s="249" t="s">
        <v>619</v>
      </c>
      <c r="E453" s="250" t="s">
        <v>1450</v>
      </c>
      <c r="F453" s="250">
        <v>1</v>
      </c>
      <c r="G453" s="251">
        <v>5</v>
      </c>
      <c r="H453" s="251">
        <v>5</v>
      </c>
      <c r="I453" s="249" t="s">
        <v>954</v>
      </c>
      <c r="J453" s="249">
        <v>1973</v>
      </c>
      <c r="K453" s="249" t="s">
        <v>957</v>
      </c>
      <c r="L453" s="249">
        <v>1977</v>
      </c>
      <c r="M453" s="253">
        <v>-9999</v>
      </c>
      <c r="N453" s="249">
        <v>-9999</v>
      </c>
      <c r="O453" s="18"/>
      <c r="P453" s="558">
        <f>+T453*G453</f>
        <v>49.5</v>
      </c>
      <c r="Q453" s="249">
        <v>-9999</v>
      </c>
      <c r="R453" s="253"/>
      <c r="S453" s="249"/>
      <c r="T453" s="253">
        <v>9.9</v>
      </c>
      <c r="U453" s="249">
        <v>-9999</v>
      </c>
      <c r="V453" s="249"/>
      <c r="W453" s="284">
        <f>+P453-P452</f>
        <v>13.5</v>
      </c>
      <c r="X453" s="249">
        <v>-9999</v>
      </c>
      <c r="Y453" s="249"/>
      <c r="Z453" s="249" t="s">
        <v>622</v>
      </c>
      <c r="AA453" s="447">
        <v>111111</v>
      </c>
      <c r="AB453" s="253">
        <v>-9999</v>
      </c>
      <c r="AC453" s="249">
        <v>-9999</v>
      </c>
      <c r="AD453" s="223">
        <f t="shared" si="20"/>
        <v>40</v>
      </c>
      <c r="AE453" s="249" t="s">
        <v>1953</v>
      </c>
      <c r="AF453" s="249">
        <v>1</v>
      </c>
      <c r="AG453" s="249">
        <v>2</v>
      </c>
      <c r="AH453" s="249" t="s">
        <v>623</v>
      </c>
      <c r="AI453" s="249">
        <v>-9999</v>
      </c>
      <c r="AJ453" s="249">
        <v>-9999</v>
      </c>
      <c r="AK453" s="249" t="s">
        <v>626</v>
      </c>
      <c r="AL453" s="249" t="s">
        <v>653</v>
      </c>
      <c r="AM453" s="249">
        <v>-9999</v>
      </c>
      <c r="AN453" s="249" t="s">
        <v>626</v>
      </c>
      <c r="AO453" s="249" t="s">
        <v>69</v>
      </c>
      <c r="AP453" s="249" t="s">
        <v>70</v>
      </c>
      <c r="AQ453" s="249" t="s">
        <v>626</v>
      </c>
      <c r="AR453" s="249">
        <f>112+AR452</f>
        <v>560</v>
      </c>
      <c r="AS453" s="249" t="s">
        <v>224</v>
      </c>
      <c r="AT453" s="249" t="s">
        <v>790</v>
      </c>
      <c r="AU453" s="249">
        <v>0</v>
      </c>
      <c r="AV453" s="249">
        <v>-9999</v>
      </c>
      <c r="AW453" s="249">
        <v>-9999</v>
      </c>
      <c r="AX453" s="249">
        <v>0</v>
      </c>
      <c r="AY453" s="249">
        <v>-9999</v>
      </c>
      <c r="AZ453" s="249" t="s">
        <v>790</v>
      </c>
      <c r="BA453" s="249" t="s">
        <v>71</v>
      </c>
      <c r="BB453" s="249" t="s">
        <v>626</v>
      </c>
      <c r="BC453" s="249" t="s">
        <v>791</v>
      </c>
      <c r="BD453" s="249" t="s">
        <v>72</v>
      </c>
      <c r="BE453" s="249"/>
      <c r="BF453" s="249"/>
      <c r="BG453" s="249">
        <v>-9999</v>
      </c>
      <c r="BH453" s="249">
        <v>-9999</v>
      </c>
      <c r="BI453" s="249">
        <v>-9999</v>
      </c>
      <c r="BJ453" s="249">
        <v>-9999</v>
      </c>
      <c r="BK453" s="249">
        <v>-9999</v>
      </c>
      <c r="BL453" s="249">
        <v>-9999</v>
      </c>
      <c r="BM453" s="249">
        <v>-9999</v>
      </c>
      <c r="BN453" s="249">
        <v>-9999</v>
      </c>
      <c r="BO453" s="249">
        <v>-9999</v>
      </c>
      <c r="BP453" s="249">
        <v>-9999</v>
      </c>
      <c r="BQ453" s="249">
        <v>-9999</v>
      </c>
      <c r="BR453" s="249">
        <v>-9999</v>
      </c>
      <c r="BS453" s="251">
        <v>-9999</v>
      </c>
      <c r="BT453" s="249">
        <v>-9999</v>
      </c>
      <c r="BU453" s="249">
        <v>-9999</v>
      </c>
      <c r="BV453" s="249">
        <v>-9999</v>
      </c>
      <c r="BW453" s="249"/>
      <c r="BX453" s="249">
        <v>-9999</v>
      </c>
      <c r="BY453" s="249">
        <v>-9999</v>
      </c>
      <c r="BZ453" s="331">
        <v>-9999</v>
      </c>
      <c r="CA453" s="331" t="s">
        <v>797</v>
      </c>
      <c r="CB453" s="254"/>
      <c r="CC453" s="250">
        <v>1</v>
      </c>
      <c r="CD453" s="251">
        <v>5</v>
      </c>
      <c r="CE453" s="393">
        <v>9.9</v>
      </c>
      <c r="CF453" s="99">
        <v>13.5</v>
      </c>
      <c r="CG453" s="195">
        <v>5</v>
      </c>
      <c r="CH453" s="436" t="s">
        <v>1757</v>
      </c>
      <c r="CI453" s="13"/>
      <c r="CJ453" s="13"/>
      <c r="CK453" s="13"/>
      <c r="CL453" s="13"/>
      <c r="CM453" s="13"/>
      <c r="CN453" s="13"/>
      <c r="CO453" s="13"/>
      <c r="CP453" s="13"/>
      <c r="CQ453" s="13"/>
      <c r="CR453" s="13"/>
      <c r="CS453" s="13"/>
      <c r="CT453" s="13"/>
      <c r="CU453" s="13"/>
      <c r="CV453" s="13"/>
      <c r="CW453" s="13"/>
      <c r="CX453" s="13"/>
      <c r="CY453" s="13"/>
      <c r="CZ453" s="13"/>
      <c r="DA453" s="13"/>
      <c r="DB453" s="13"/>
      <c r="DC453" s="13"/>
      <c r="DD453" s="13"/>
      <c r="DE453" s="13"/>
      <c r="DF453" s="13"/>
      <c r="DG453" s="13"/>
      <c r="DH453" s="13"/>
      <c r="DI453" s="13"/>
      <c r="DJ453" s="13"/>
      <c r="DK453" s="13"/>
      <c r="DL453" s="13"/>
      <c r="DM453" s="13"/>
      <c r="DN453" s="13"/>
      <c r="DO453" s="13"/>
      <c r="DP453" s="13"/>
      <c r="DQ453" s="13"/>
      <c r="DR453" s="13"/>
      <c r="DS453" s="13"/>
      <c r="DT453" s="13"/>
      <c r="DU453" s="13"/>
      <c r="DV453" s="13"/>
      <c r="DW453" s="13"/>
      <c r="DX453" s="13"/>
      <c r="DY453" s="13"/>
      <c r="DZ453" s="13"/>
      <c r="EA453" s="13"/>
      <c r="EB453" s="13"/>
      <c r="EC453" s="13"/>
      <c r="ED453" s="13"/>
      <c r="EE453" s="13"/>
      <c r="EF453" s="13"/>
      <c r="EG453" s="13"/>
      <c r="EH453" s="13"/>
      <c r="EI453" s="13"/>
      <c r="EJ453" s="13"/>
      <c r="EK453" s="13"/>
      <c r="EL453" s="13"/>
      <c r="EM453" s="13"/>
      <c r="EN453" s="13"/>
      <c r="EO453" s="13"/>
      <c r="EP453" s="13"/>
      <c r="EQ453" s="13"/>
      <c r="ER453" s="13"/>
      <c r="ES453" s="13"/>
      <c r="ET453" s="13"/>
      <c r="EU453" s="13"/>
      <c r="EV453" s="13"/>
      <c r="EW453" s="13"/>
      <c r="EX453" s="13"/>
      <c r="EY453" s="13"/>
      <c r="EZ453" s="13"/>
      <c r="FA453" s="13"/>
      <c r="FB453" s="13"/>
      <c r="FC453" s="13"/>
      <c r="FD453" s="13"/>
      <c r="FE453" s="13"/>
      <c r="FF453" s="13"/>
      <c r="FG453" s="13"/>
      <c r="FH453" s="13"/>
      <c r="FI453" s="13"/>
      <c r="FJ453" s="13"/>
      <c r="FK453" s="13"/>
      <c r="FL453" s="13"/>
      <c r="FM453" s="13"/>
      <c r="FN453" s="13"/>
      <c r="FO453" s="13"/>
      <c r="FP453" s="13"/>
      <c r="FQ453" s="13"/>
      <c r="FR453" s="13"/>
      <c r="FS453" s="13"/>
      <c r="FT453" s="13"/>
      <c r="FU453" s="13"/>
      <c r="FV453" s="13"/>
      <c r="FW453" s="13"/>
      <c r="FX453" s="13"/>
      <c r="FY453" s="13"/>
      <c r="FZ453" s="13"/>
      <c r="GA453" s="13"/>
      <c r="GB453" s="13"/>
      <c r="GC453" s="13"/>
      <c r="GD453" s="13"/>
      <c r="GE453" s="13"/>
      <c r="GF453" s="13"/>
      <c r="GG453" s="13"/>
      <c r="GH453" s="13"/>
      <c r="GI453" s="13"/>
      <c r="GJ453" s="13"/>
      <c r="GK453" s="13"/>
      <c r="GL453" s="13"/>
      <c r="GM453" s="13"/>
      <c r="GN453" s="13"/>
      <c r="GO453" s="13"/>
      <c r="GP453" s="13"/>
      <c r="GQ453" s="13"/>
      <c r="GR453" s="13"/>
      <c r="GS453" s="13"/>
      <c r="GT453" s="13"/>
      <c r="GU453" s="13"/>
      <c r="GV453" s="13"/>
      <c r="GW453" s="13"/>
      <c r="GX453" s="13"/>
      <c r="GY453" s="13"/>
      <c r="GZ453" s="13"/>
      <c r="HA453" s="13"/>
      <c r="HB453" s="13"/>
      <c r="HC453" s="13"/>
      <c r="HD453" s="13"/>
      <c r="HE453" s="13"/>
      <c r="HF453" s="13"/>
      <c r="HG453" s="13"/>
      <c r="HH453" s="13"/>
      <c r="HI453" s="13"/>
      <c r="HJ453" s="13"/>
      <c r="HK453" s="13"/>
      <c r="HL453" s="13"/>
      <c r="HM453" s="13"/>
      <c r="HN453" s="13"/>
      <c r="HO453" s="13"/>
      <c r="HP453" s="13"/>
      <c r="HQ453" s="13"/>
      <c r="HR453" s="13"/>
      <c r="HS453" s="13"/>
      <c r="HT453" s="13"/>
      <c r="HU453" s="13"/>
      <c r="HV453" s="13"/>
      <c r="HW453" s="13"/>
      <c r="HX453" s="13"/>
      <c r="HY453" s="13"/>
      <c r="HZ453" s="13"/>
      <c r="IA453" s="13"/>
      <c r="IB453" s="13"/>
      <c r="IC453" s="13"/>
      <c r="ID453" s="13"/>
      <c r="IE453" s="13"/>
      <c r="IF453" s="13"/>
      <c r="IG453" s="13"/>
      <c r="IH453" s="13"/>
      <c r="II453" s="13"/>
      <c r="IJ453" s="13"/>
      <c r="IK453" s="13"/>
      <c r="IL453" s="13"/>
      <c r="IM453" s="13"/>
      <c r="IN453" s="13"/>
      <c r="IO453" s="13"/>
      <c r="IP453" s="13"/>
      <c r="IQ453" s="13"/>
      <c r="IR453" s="13"/>
      <c r="IS453" s="13"/>
      <c r="IT453" s="13"/>
      <c r="IU453" s="13"/>
      <c r="IV453" s="13"/>
      <c r="IW453" s="13"/>
      <c r="IX453" s="13"/>
      <c r="IY453" s="13"/>
      <c r="IZ453" s="13"/>
      <c r="JA453" s="13"/>
      <c r="JB453" s="13"/>
      <c r="JC453" s="13"/>
      <c r="JD453" s="13"/>
      <c r="JE453" s="13"/>
      <c r="JF453" s="13"/>
      <c r="JG453" s="13"/>
      <c r="JH453" s="13"/>
      <c r="JI453" s="13"/>
      <c r="JJ453" s="13"/>
      <c r="JK453" s="13"/>
      <c r="JL453" s="13"/>
      <c r="JM453" s="13"/>
      <c r="JN453" s="13"/>
      <c r="JO453" s="13"/>
      <c r="JP453" s="13"/>
      <c r="JQ453" s="13"/>
      <c r="JR453" s="13"/>
      <c r="JS453" s="13"/>
      <c r="JT453" s="13"/>
      <c r="JU453" s="13"/>
      <c r="JV453" s="13"/>
      <c r="JW453" s="13"/>
      <c r="JX453" s="13"/>
      <c r="JY453" s="13"/>
      <c r="JZ453" s="13"/>
      <c r="KA453" s="13"/>
      <c r="KB453" s="13"/>
      <c r="KC453" s="13"/>
      <c r="KD453" s="13"/>
      <c r="KE453" s="13"/>
      <c r="KF453" s="13"/>
      <c r="KG453" s="13"/>
      <c r="KH453" s="13"/>
      <c r="KI453" s="13"/>
      <c r="KJ453" s="13"/>
      <c r="KK453" s="13"/>
      <c r="KL453" s="13"/>
      <c r="KM453" s="13"/>
      <c r="KN453" s="13"/>
      <c r="KO453" s="13"/>
      <c r="KP453" s="13"/>
      <c r="KQ453" s="13"/>
      <c r="KR453" s="13"/>
      <c r="KS453" s="13"/>
      <c r="KT453" s="13"/>
      <c r="KU453" s="13"/>
      <c r="KV453" s="13"/>
      <c r="KW453" s="13"/>
      <c r="KX453" s="13"/>
      <c r="KY453" s="13"/>
      <c r="KZ453" s="13"/>
      <c r="LA453" s="13"/>
      <c r="LB453" s="13"/>
      <c r="LC453" s="13"/>
      <c r="LD453" s="13"/>
      <c r="LE453" s="13"/>
      <c r="LF453" s="13"/>
      <c r="LG453" s="13"/>
      <c r="LH453" s="13"/>
      <c r="LI453" s="13"/>
      <c r="LJ453" s="13"/>
      <c r="LK453" s="13"/>
      <c r="LL453" s="13"/>
      <c r="LM453" s="13"/>
      <c r="LN453" s="13"/>
      <c r="LO453" s="13"/>
      <c r="LP453" s="13"/>
      <c r="LQ453" s="13"/>
      <c r="LR453" s="13"/>
      <c r="LS453" s="13"/>
      <c r="LT453" s="13"/>
      <c r="LU453" s="13"/>
      <c r="LV453" s="13"/>
      <c r="LW453" s="13"/>
      <c r="LX453" s="13"/>
      <c r="LY453" s="13"/>
      <c r="LZ453" s="13"/>
      <c r="MA453" s="13"/>
      <c r="MB453" s="13"/>
      <c r="MC453" s="13"/>
      <c r="MD453" s="13"/>
      <c r="ME453" s="13"/>
      <c r="MF453" s="13"/>
      <c r="MG453" s="13"/>
      <c r="MH453" s="13"/>
      <c r="MI453" s="13"/>
      <c r="MJ453" s="13"/>
      <c r="MK453" s="13"/>
      <c r="ML453" s="13"/>
      <c r="MM453" s="13"/>
      <c r="MN453" s="13"/>
      <c r="MO453" s="13"/>
      <c r="MP453" s="13"/>
      <c r="MQ453" s="13"/>
      <c r="MR453" s="13"/>
      <c r="MS453" s="13"/>
      <c r="MT453" s="13"/>
      <c r="MU453" s="13"/>
      <c r="MV453" s="13"/>
      <c r="MW453" s="13"/>
      <c r="MX453" s="13"/>
      <c r="MY453" s="13"/>
      <c r="MZ453" s="13"/>
      <c r="NA453" s="13"/>
      <c r="NB453" s="13"/>
      <c r="NC453" s="13"/>
      <c r="ND453" s="13"/>
      <c r="NE453" s="13"/>
      <c r="NF453" s="13"/>
      <c r="NG453" s="13"/>
      <c r="NH453" s="13"/>
      <c r="NI453" s="13"/>
      <c r="NJ453" s="13"/>
      <c r="NK453" s="13"/>
      <c r="NL453" s="13"/>
      <c r="NM453" s="13"/>
      <c r="NN453" s="13"/>
      <c r="NO453" s="13"/>
      <c r="NP453" s="13"/>
      <c r="NQ453" s="13"/>
      <c r="NR453" s="13"/>
      <c r="NS453" s="13"/>
      <c r="NT453" s="13"/>
      <c r="NU453" s="13"/>
      <c r="NV453" s="13"/>
      <c r="NW453" s="13"/>
      <c r="NX453" s="13"/>
      <c r="NY453" s="13"/>
      <c r="NZ453" s="13"/>
      <c r="OA453" s="13"/>
      <c r="OB453" s="13"/>
      <c r="OC453" s="13"/>
      <c r="OD453" s="13"/>
      <c r="OE453" s="13"/>
      <c r="OF453" s="13"/>
      <c r="OG453" s="13"/>
      <c r="OH453" s="13"/>
      <c r="OI453" s="13"/>
      <c r="OJ453" s="13"/>
      <c r="OK453" s="13"/>
      <c r="OL453" s="13"/>
      <c r="OM453" s="13"/>
      <c r="ON453" s="13"/>
      <c r="OO453" s="13"/>
      <c r="OP453" s="13"/>
      <c r="OQ453" s="13"/>
      <c r="OR453" s="13"/>
      <c r="OS453" s="13"/>
      <c r="OT453" s="13"/>
      <c r="OU453" s="13"/>
      <c r="OV453" s="13"/>
      <c r="OW453" s="13"/>
      <c r="OX453" s="13"/>
      <c r="OY453" s="13"/>
      <c r="OZ453" s="13"/>
      <c r="PA453" s="13"/>
      <c r="PB453" s="13"/>
      <c r="PC453" s="13"/>
      <c r="PD453" s="13"/>
      <c r="PE453" s="13"/>
      <c r="PF453" s="13"/>
      <c r="PG453" s="13"/>
      <c r="PH453" s="13"/>
      <c r="PI453" s="13"/>
      <c r="PJ453" s="13"/>
      <c r="PK453" s="13"/>
      <c r="PL453" s="13"/>
      <c r="PM453" s="13"/>
      <c r="PN453" s="13"/>
      <c r="PO453" s="13"/>
      <c r="PP453" s="13"/>
      <c r="PQ453" s="13"/>
      <c r="PR453" s="13"/>
      <c r="PS453" s="13"/>
      <c r="PT453" s="13"/>
      <c r="PU453" s="13"/>
      <c r="PV453" s="13"/>
      <c r="PW453" s="13"/>
      <c r="PX453" s="13"/>
      <c r="PY453" s="13"/>
      <c r="PZ453" s="13"/>
      <c r="QA453" s="13"/>
      <c r="QB453" s="13"/>
      <c r="QC453" s="13"/>
      <c r="QD453" s="13"/>
      <c r="QE453" s="13"/>
      <c r="QF453" s="13"/>
      <c r="QG453" s="13"/>
      <c r="QH453" s="13"/>
      <c r="QI453" s="13"/>
      <c r="QJ453" s="13"/>
      <c r="QK453" s="13"/>
      <c r="QL453" s="13"/>
      <c r="QM453" s="13"/>
      <c r="QN453" s="13"/>
      <c r="QO453" s="13"/>
      <c r="QP453" s="13"/>
      <c r="QQ453" s="13"/>
      <c r="QR453" s="13"/>
      <c r="QS453" s="13"/>
      <c r="QT453" s="13"/>
      <c r="QU453" s="13"/>
      <c r="QV453" s="13"/>
      <c r="QW453" s="13"/>
      <c r="QX453" s="13"/>
      <c r="QY453" s="13"/>
      <c r="QZ453" s="13"/>
      <c r="RA453" s="13"/>
      <c r="RB453" s="13"/>
      <c r="RC453" s="13"/>
      <c r="RD453" s="13"/>
      <c r="RE453" s="13"/>
      <c r="RF453" s="13"/>
      <c r="RG453" s="13"/>
      <c r="RH453" s="13"/>
      <c r="RI453" s="13"/>
      <c r="RJ453" s="13"/>
      <c r="RK453" s="13"/>
      <c r="RL453" s="13"/>
      <c r="RM453" s="13"/>
      <c r="RN453" s="13"/>
      <c r="RO453" s="13"/>
      <c r="RP453" s="13"/>
      <c r="RQ453" s="13"/>
      <c r="RR453" s="13"/>
      <c r="RS453" s="13"/>
      <c r="RT453" s="13"/>
      <c r="RU453" s="13"/>
      <c r="RV453" s="13"/>
      <c r="RW453" s="13"/>
      <c r="RX453" s="13"/>
      <c r="RY453" s="13"/>
      <c r="RZ453" s="13"/>
      <c r="SA453" s="13"/>
      <c r="SB453" s="13"/>
      <c r="SC453" s="13"/>
      <c r="SD453" s="13"/>
      <c r="SE453" s="13"/>
      <c r="SF453" s="13"/>
      <c r="SG453" s="13"/>
      <c r="SH453" s="13"/>
      <c r="SI453" s="13"/>
      <c r="SJ453" s="13"/>
      <c r="SK453" s="13"/>
      <c r="SL453" s="13"/>
      <c r="SM453" s="13"/>
      <c r="SN453" s="13"/>
      <c r="SO453" s="13"/>
      <c r="SP453" s="13"/>
      <c r="SQ453" s="13"/>
      <c r="SR453" s="13"/>
      <c r="SS453" s="13"/>
      <c r="ST453" s="13"/>
      <c r="SU453" s="13"/>
      <c r="SV453" s="13"/>
      <c r="SW453" s="13"/>
      <c r="SX453" s="13"/>
      <c r="SY453" s="13"/>
      <c r="SZ453" s="13"/>
      <c r="TA453" s="13"/>
      <c r="TB453" s="13"/>
      <c r="TC453" s="13"/>
      <c r="TD453" s="13"/>
      <c r="TE453" s="13"/>
      <c r="TF453" s="13"/>
      <c r="TG453" s="13"/>
      <c r="TH453" s="13"/>
      <c r="TI453" s="13"/>
      <c r="TJ453" s="13"/>
      <c r="TK453" s="13"/>
      <c r="TL453" s="13"/>
      <c r="TM453" s="13"/>
      <c r="TN453" s="13"/>
      <c r="TO453" s="13"/>
      <c r="TP453" s="13"/>
      <c r="TQ453" s="13"/>
      <c r="TR453" s="13"/>
      <c r="TS453" s="13"/>
      <c r="TT453" s="13"/>
      <c r="TU453" s="13"/>
      <c r="TV453" s="13"/>
      <c r="TW453" s="13"/>
      <c r="TX453" s="13"/>
      <c r="TY453" s="13"/>
      <c r="TZ453" s="13"/>
      <c r="UA453" s="13"/>
      <c r="UB453" s="13"/>
      <c r="UC453" s="13"/>
      <c r="UD453" s="13"/>
      <c r="UE453" s="13"/>
      <c r="UF453" s="13"/>
      <c r="UG453" s="13"/>
      <c r="UH453" s="13"/>
      <c r="UI453" s="13"/>
      <c r="UJ453" s="13"/>
      <c r="UK453" s="13"/>
      <c r="UL453" s="13"/>
      <c r="UM453" s="13"/>
      <c r="UN453" s="13"/>
      <c r="UO453" s="13"/>
      <c r="UP453" s="13"/>
      <c r="UQ453" s="13"/>
      <c r="UR453" s="13"/>
      <c r="US453" s="13"/>
      <c r="UT453" s="13"/>
      <c r="UU453" s="13"/>
      <c r="UV453" s="13"/>
      <c r="UW453" s="13"/>
      <c r="UX453" s="13"/>
      <c r="UY453" s="13"/>
      <c r="UZ453" s="13"/>
      <c r="VA453" s="13"/>
      <c r="VB453" s="13"/>
      <c r="VC453" s="13"/>
      <c r="VD453" s="13"/>
      <c r="VE453" s="13"/>
      <c r="VF453" s="13"/>
      <c r="VG453" s="13"/>
      <c r="VH453" s="13"/>
      <c r="VI453" s="13"/>
      <c r="VJ453" s="13"/>
      <c r="VK453" s="13"/>
      <c r="VL453" s="13"/>
      <c r="VM453" s="13"/>
      <c r="VN453" s="13"/>
      <c r="VO453" s="13"/>
      <c r="VP453" s="13"/>
      <c r="VQ453" s="13"/>
      <c r="VR453" s="13"/>
      <c r="VS453" s="13"/>
      <c r="VT453" s="13"/>
      <c r="VU453" s="13"/>
      <c r="VV453" s="13"/>
      <c r="VW453" s="13"/>
      <c r="VX453" s="13"/>
      <c r="VY453" s="13"/>
      <c r="VZ453" s="13"/>
      <c r="WA453" s="13"/>
      <c r="WB453" s="13"/>
      <c r="WC453" s="13"/>
      <c r="WD453" s="13"/>
      <c r="WE453" s="13"/>
      <c r="WF453" s="13"/>
      <c r="WG453" s="13"/>
      <c r="WH453" s="13"/>
      <c r="WI453" s="13"/>
      <c r="WJ453" s="13"/>
      <c r="WK453" s="13"/>
      <c r="WL453" s="13"/>
      <c r="WM453" s="13"/>
      <c r="WN453" s="13"/>
      <c r="WO453" s="13"/>
      <c r="WP453" s="13"/>
      <c r="WQ453" s="13"/>
      <c r="WR453" s="13"/>
      <c r="WS453" s="13"/>
      <c r="WT453" s="13"/>
      <c r="WU453" s="13"/>
      <c r="WV453" s="13"/>
      <c r="WW453" s="13"/>
      <c r="WX453" s="13"/>
      <c r="WY453" s="13"/>
      <c r="WZ453" s="13"/>
      <c r="XA453" s="13"/>
      <c r="XB453" s="13"/>
      <c r="XC453" s="13"/>
      <c r="XD453" s="13"/>
      <c r="XE453" s="13"/>
      <c r="XF453" s="13"/>
      <c r="XG453" s="13"/>
      <c r="XH453" s="13"/>
      <c r="XI453" s="13"/>
      <c r="XJ453" s="13"/>
      <c r="XK453" s="13"/>
      <c r="XL453" s="13"/>
      <c r="XM453" s="13"/>
      <c r="XN453" s="13"/>
      <c r="XO453" s="13"/>
      <c r="XP453" s="13"/>
      <c r="XQ453" s="13"/>
      <c r="XR453" s="13"/>
      <c r="XS453" s="13"/>
      <c r="XT453" s="13"/>
      <c r="XU453" s="13"/>
      <c r="XV453" s="13"/>
      <c r="XW453" s="13"/>
      <c r="XX453" s="13"/>
      <c r="XY453" s="13"/>
      <c r="XZ453" s="13"/>
      <c r="YA453" s="13"/>
      <c r="YB453" s="13"/>
      <c r="YC453" s="13"/>
      <c r="YD453" s="13"/>
      <c r="YE453" s="13"/>
      <c r="YF453" s="13"/>
      <c r="YG453" s="13"/>
      <c r="YH453" s="13"/>
      <c r="YI453" s="13"/>
      <c r="YJ453" s="13"/>
      <c r="YK453" s="13"/>
      <c r="YL453" s="13"/>
      <c r="YM453" s="13"/>
      <c r="YN453" s="13"/>
      <c r="YO453" s="13"/>
      <c r="YP453" s="13"/>
      <c r="YQ453" s="13"/>
      <c r="YR453" s="13"/>
      <c r="YS453" s="13"/>
      <c r="YT453" s="13"/>
      <c r="YU453" s="13"/>
      <c r="YV453" s="13"/>
      <c r="YW453" s="13"/>
      <c r="YX453" s="13"/>
      <c r="YY453" s="13"/>
      <c r="YZ453" s="13"/>
      <c r="ZA453" s="13"/>
      <c r="ZB453" s="13"/>
      <c r="ZC453" s="13"/>
      <c r="ZD453" s="13"/>
      <c r="ZE453" s="13"/>
      <c r="ZF453" s="13"/>
      <c r="ZG453" s="13"/>
      <c r="ZH453" s="13"/>
      <c r="ZI453" s="13"/>
      <c r="ZJ453" s="13"/>
      <c r="ZK453" s="13"/>
      <c r="ZL453" s="13"/>
      <c r="ZM453" s="13"/>
      <c r="ZN453" s="13"/>
      <c r="ZO453" s="13"/>
      <c r="ZP453" s="13"/>
      <c r="ZQ453" s="13"/>
      <c r="ZR453" s="13"/>
      <c r="ZS453" s="13"/>
      <c r="ZT453" s="13"/>
      <c r="ZU453" s="13"/>
      <c r="ZV453" s="13"/>
      <c r="ZW453" s="13"/>
      <c r="ZX453" s="13"/>
      <c r="ZY453" s="13"/>
      <c r="ZZ453" s="13"/>
      <c r="AAA453" s="13"/>
      <c r="AAB453" s="13"/>
      <c r="AAC453" s="13"/>
      <c r="AAD453" s="13"/>
      <c r="AAE453" s="13"/>
      <c r="AAF453" s="13"/>
      <c r="AAG453" s="13"/>
      <c r="AAH453" s="13"/>
      <c r="AAI453" s="13"/>
      <c r="AAJ453" s="13"/>
      <c r="AAK453" s="13"/>
      <c r="AAL453" s="13"/>
      <c r="AAM453" s="13"/>
      <c r="AAN453" s="13"/>
      <c r="AAO453" s="13"/>
      <c r="AAP453" s="13"/>
      <c r="AAQ453" s="13"/>
      <c r="AAR453" s="13"/>
      <c r="AAS453" s="13"/>
      <c r="AAT453" s="13"/>
      <c r="AAU453" s="13"/>
      <c r="AAV453" s="13"/>
      <c r="AAW453" s="13"/>
      <c r="AAX453" s="13"/>
      <c r="AAY453" s="13"/>
      <c r="AAZ453" s="13"/>
      <c r="ABA453" s="13"/>
      <c r="ABB453" s="13"/>
      <c r="ABC453" s="13"/>
      <c r="ABD453" s="13"/>
      <c r="ABE453" s="13"/>
      <c r="ABF453" s="13"/>
      <c r="ABG453" s="13"/>
      <c r="ABH453" s="13"/>
      <c r="ABI453" s="13"/>
      <c r="ABJ453" s="13"/>
      <c r="ABK453" s="13"/>
      <c r="ABL453" s="13"/>
      <c r="ABM453" s="13"/>
      <c r="ABN453" s="13"/>
      <c r="ABO453" s="13"/>
      <c r="ABP453" s="13"/>
      <c r="ABQ453" s="13"/>
      <c r="ABR453" s="13"/>
      <c r="ABS453" s="13"/>
      <c r="ABT453" s="13"/>
      <c r="ABU453" s="13"/>
      <c r="ABV453" s="13"/>
      <c r="ABW453" s="13"/>
      <c r="ABX453" s="13"/>
      <c r="ABY453" s="13"/>
      <c r="ABZ453" s="13"/>
      <c r="ACA453" s="13"/>
      <c r="ACB453" s="13"/>
      <c r="ACC453" s="13"/>
      <c r="ACD453" s="13"/>
      <c r="ACE453" s="13"/>
      <c r="ACF453" s="13"/>
      <c r="ACG453" s="13"/>
      <c r="ACH453" s="13"/>
      <c r="ACI453" s="13"/>
      <c r="ACJ453" s="13"/>
      <c r="ACK453" s="13"/>
      <c r="ACL453" s="13"/>
      <c r="ACM453" s="13"/>
      <c r="ACN453" s="13"/>
      <c r="ACO453" s="13"/>
      <c r="ACP453" s="13"/>
      <c r="ACQ453" s="13"/>
      <c r="ACR453" s="13"/>
      <c r="ACS453" s="13"/>
      <c r="ACT453" s="13"/>
      <c r="ACU453" s="13"/>
      <c r="ACV453" s="13"/>
      <c r="ACW453" s="13"/>
      <c r="ACX453" s="13"/>
      <c r="ACY453" s="13"/>
      <c r="ACZ453" s="13"/>
      <c r="ADA453" s="13"/>
      <c r="ADB453" s="13"/>
      <c r="ADC453" s="13"/>
      <c r="ADD453" s="13"/>
      <c r="ADE453" s="13"/>
      <c r="ADF453" s="13"/>
      <c r="ADG453" s="13"/>
      <c r="ADH453" s="13"/>
      <c r="ADI453" s="13"/>
      <c r="ADJ453" s="13"/>
      <c r="ADK453" s="13"/>
      <c r="ADL453" s="13"/>
      <c r="ADM453" s="13"/>
      <c r="ADN453" s="13"/>
      <c r="ADO453" s="13"/>
      <c r="ADP453" s="13"/>
      <c r="ADQ453" s="13"/>
      <c r="ADR453" s="13"/>
      <c r="ADS453" s="13"/>
      <c r="ADT453" s="13"/>
      <c r="ADU453" s="13"/>
      <c r="ADV453" s="13"/>
      <c r="ADW453" s="13"/>
      <c r="ADX453" s="13"/>
      <c r="ADY453" s="13"/>
      <c r="ADZ453" s="13"/>
      <c r="AEA453" s="13"/>
      <c r="AEB453" s="13"/>
      <c r="AEC453" s="13"/>
      <c r="AED453" s="13"/>
      <c r="AEE453" s="13"/>
      <c r="AEF453" s="13"/>
      <c r="AEG453" s="13"/>
      <c r="AEH453" s="13"/>
      <c r="AEI453" s="13"/>
      <c r="AEJ453" s="13"/>
      <c r="AEK453" s="13"/>
      <c r="AEL453" s="13"/>
      <c r="AEM453" s="13"/>
      <c r="AEN453" s="13"/>
      <c r="AEO453" s="13"/>
      <c r="AEP453" s="13"/>
      <c r="AEQ453" s="13"/>
      <c r="AER453" s="13"/>
      <c r="AES453" s="13"/>
      <c r="AET453" s="13"/>
      <c r="AEU453" s="13"/>
      <c r="AEV453" s="13"/>
      <c r="AEW453" s="13"/>
      <c r="AEX453" s="13"/>
      <c r="AEY453" s="13"/>
      <c r="AEZ453" s="13"/>
      <c r="AFA453" s="13"/>
      <c r="AFB453" s="13"/>
      <c r="AFC453" s="13"/>
      <c r="AFD453" s="13"/>
      <c r="AFE453" s="13"/>
      <c r="AFF453" s="13"/>
      <c r="AFG453" s="13"/>
      <c r="AFH453" s="13"/>
      <c r="AFI453" s="13"/>
      <c r="AFJ453" s="13"/>
      <c r="AFK453" s="13"/>
      <c r="AFL453" s="13"/>
      <c r="AFM453" s="13"/>
      <c r="AFN453" s="13"/>
      <c r="AFO453" s="13"/>
      <c r="AFP453" s="13"/>
      <c r="AFQ453" s="13"/>
      <c r="AFR453" s="13"/>
      <c r="AFS453" s="13"/>
      <c r="AFT453" s="13"/>
      <c r="AFU453" s="13"/>
      <c r="AFV453" s="13"/>
      <c r="AFW453" s="13"/>
      <c r="AFX453" s="13"/>
      <c r="AFY453" s="13"/>
      <c r="AFZ453" s="13"/>
      <c r="AGA453" s="13"/>
      <c r="AGB453" s="13"/>
      <c r="AGC453" s="13"/>
      <c r="AGD453" s="13"/>
      <c r="AGE453" s="13"/>
      <c r="AGF453" s="13"/>
      <c r="AGG453" s="13"/>
      <c r="AGH453" s="13"/>
      <c r="AGI453" s="13"/>
      <c r="AGJ453" s="13"/>
      <c r="AGK453" s="13"/>
      <c r="AGL453" s="13"/>
      <c r="AGM453" s="13"/>
      <c r="AGN453" s="13"/>
      <c r="AGO453" s="13"/>
      <c r="AGP453" s="13"/>
      <c r="AGQ453" s="13"/>
      <c r="AGR453" s="13"/>
      <c r="AGS453" s="13"/>
      <c r="AGT453" s="13"/>
      <c r="AGU453" s="13"/>
      <c r="AGV453" s="13"/>
      <c r="AGW453" s="13"/>
      <c r="AGX453" s="13"/>
      <c r="AGY453" s="13"/>
      <c r="AGZ453" s="13"/>
      <c r="AHA453" s="13"/>
      <c r="AHB453" s="13"/>
      <c r="AHC453" s="13"/>
      <c r="AHD453" s="13"/>
      <c r="AHE453" s="13"/>
      <c r="AHF453" s="13"/>
      <c r="AHG453" s="13"/>
      <c r="AHH453" s="13"/>
      <c r="AHI453" s="13"/>
      <c r="AHJ453" s="13"/>
      <c r="AHK453" s="13"/>
      <c r="AHL453" s="13"/>
      <c r="AHM453" s="13"/>
      <c r="AHN453" s="13"/>
      <c r="AHO453" s="13"/>
      <c r="AHP453" s="13"/>
      <c r="AHQ453" s="13"/>
      <c r="AHR453" s="13"/>
      <c r="AHS453" s="13"/>
      <c r="AHT453" s="13"/>
      <c r="AHU453" s="13"/>
      <c r="AHV453" s="13"/>
      <c r="AHW453" s="13"/>
      <c r="AHX453" s="13"/>
      <c r="AHY453" s="13"/>
      <c r="AHZ453" s="13"/>
      <c r="AIA453" s="13"/>
      <c r="AIB453" s="13"/>
      <c r="AIC453" s="13"/>
      <c r="AID453" s="13"/>
      <c r="AIE453" s="13"/>
      <c r="AIF453" s="13"/>
      <c r="AIG453" s="13"/>
      <c r="AIH453" s="13"/>
      <c r="AII453" s="13"/>
      <c r="AIJ453" s="13"/>
      <c r="AIK453" s="13"/>
      <c r="AIL453" s="13"/>
      <c r="AIM453" s="13"/>
      <c r="AIN453" s="13"/>
      <c r="AIO453" s="13"/>
      <c r="AIP453" s="13"/>
      <c r="AIQ453" s="13"/>
      <c r="AIR453" s="13"/>
      <c r="AIS453" s="13"/>
      <c r="AIT453" s="13"/>
      <c r="AIU453" s="13"/>
      <c r="AIV453" s="13"/>
      <c r="AIW453" s="13"/>
      <c r="AIX453" s="13"/>
      <c r="AIY453" s="13"/>
      <c r="AIZ453" s="13"/>
      <c r="AJA453" s="13"/>
      <c r="AJB453" s="13"/>
      <c r="AJC453" s="13"/>
      <c r="AJD453" s="13"/>
      <c r="AJE453" s="13"/>
      <c r="AJF453" s="13"/>
      <c r="AJG453" s="13"/>
      <c r="AJH453" s="13"/>
      <c r="AJI453" s="13"/>
      <c r="AJJ453" s="13"/>
      <c r="AJK453" s="13"/>
      <c r="AJL453" s="13"/>
      <c r="AJM453" s="13"/>
      <c r="AJN453" s="13"/>
      <c r="AJO453" s="13"/>
      <c r="AJP453" s="13"/>
      <c r="AJQ453" s="13"/>
      <c r="AJR453" s="13"/>
      <c r="AJS453" s="13"/>
      <c r="AJT453" s="13"/>
      <c r="AJU453" s="13"/>
      <c r="AJV453" s="13"/>
      <c r="AJW453" s="13"/>
      <c r="AJX453" s="13"/>
      <c r="AJY453" s="13"/>
      <c r="AJZ453" s="13"/>
      <c r="AKA453" s="13"/>
      <c r="AKB453" s="13"/>
      <c r="AKC453" s="13"/>
      <c r="AKD453" s="13"/>
      <c r="AKE453" s="13"/>
      <c r="AKF453" s="13"/>
      <c r="AKG453" s="13"/>
      <c r="AKH453" s="13"/>
      <c r="AKI453" s="13"/>
      <c r="AKJ453" s="13"/>
      <c r="AKK453" s="13"/>
      <c r="AKL453" s="13"/>
      <c r="AKM453" s="13"/>
      <c r="AKN453" s="13"/>
      <c r="AKO453" s="13"/>
      <c r="AKP453" s="13"/>
      <c r="AKQ453" s="13"/>
      <c r="AKR453" s="13"/>
      <c r="AKS453" s="13"/>
      <c r="AKT453" s="13"/>
      <c r="AKU453" s="13"/>
      <c r="AKV453" s="13"/>
      <c r="AKW453" s="13"/>
      <c r="AKX453" s="13"/>
      <c r="AKY453" s="13"/>
      <c r="AKZ453" s="13"/>
      <c r="ALA453" s="13"/>
      <c r="ALB453" s="13"/>
      <c r="ALC453" s="13"/>
      <c r="ALD453" s="13"/>
      <c r="ALE453" s="13"/>
      <c r="ALF453" s="13"/>
      <c r="ALG453" s="13"/>
      <c r="ALH453" s="13"/>
      <c r="ALI453" s="13"/>
      <c r="ALJ453" s="13"/>
      <c r="ALK453" s="13"/>
      <c r="ALL453" s="13"/>
      <c r="ALM453" s="13"/>
      <c r="ALN453" s="13"/>
      <c r="ALO453" s="13"/>
      <c r="ALP453" s="13"/>
      <c r="ALQ453" s="13"/>
      <c r="ALR453" s="13"/>
      <c r="ALS453" s="13"/>
      <c r="ALT453" s="13"/>
      <c r="ALU453" s="13"/>
      <c r="ALV453" s="13"/>
      <c r="ALW453" s="13"/>
      <c r="ALX453" s="13"/>
      <c r="ALY453" s="13"/>
      <c r="ALZ453" s="13"/>
      <c r="AMA453" s="13"/>
      <c r="AMB453" s="13"/>
      <c r="AMC453" s="13"/>
      <c r="AMD453" s="13"/>
      <c r="AME453" s="13"/>
      <c r="AMF453" s="13"/>
      <c r="AMG453" s="13"/>
      <c r="AMH453" s="13"/>
      <c r="AMI453" s="13"/>
      <c r="AMJ453" s="13"/>
      <c r="AMK453" s="13"/>
      <c r="AML453" s="13"/>
      <c r="AMM453" s="13"/>
      <c r="AMN453" s="13"/>
      <c r="AMO453" s="13"/>
      <c r="AMP453" s="13"/>
      <c r="AMQ453" s="13"/>
      <c r="AMR453" s="13"/>
      <c r="AMS453" s="13"/>
      <c r="AMT453" s="13"/>
      <c r="AMU453" s="13"/>
      <c r="AMV453" s="13"/>
      <c r="AMW453" s="13"/>
      <c r="AMX453" s="13"/>
      <c r="AMY453" s="13"/>
      <c r="AMZ453" s="13"/>
      <c r="ANA453" s="13"/>
      <c r="ANB453" s="13"/>
      <c r="ANC453" s="13"/>
      <c r="AND453" s="13"/>
      <c r="ANE453" s="13"/>
      <c r="ANF453" s="13"/>
      <c r="ANG453" s="13"/>
      <c r="ANH453" s="13"/>
      <c r="ANI453" s="13"/>
      <c r="ANJ453" s="13"/>
      <c r="ANK453" s="13"/>
      <c r="ANL453" s="13"/>
      <c r="ANM453" s="13"/>
      <c r="ANN453" s="13"/>
      <c r="ANO453" s="13"/>
      <c r="ANP453" s="13"/>
      <c r="ANQ453" s="13"/>
      <c r="ANR453" s="13"/>
      <c r="ANS453" s="13"/>
      <c r="ANT453" s="13"/>
      <c r="ANU453" s="13"/>
      <c r="ANV453" s="13"/>
      <c r="ANW453" s="13"/>
      <c r="ANX453" s="13"/>
      <c r="ANY453" s="13"/>
      <c r="ANZ453" s="13"/>
      <c r="AOA453" s="13"/>
      <c r="AOB453" s="13"/>
      <c r="AOC453" s="13"/>
      <c r="AOD453" s="13"/>
      <c r="AOE453" s="13"/>
      <c r="AOF453" s="13"/>
      <c r="AOG453" s="13"/>
      <c r="AOH453" s="13"/>
      <c r="AOI453" s="13"/>
      <c r="AOJ453" s="13"/>
      <c r="AOK453" s="13"/>
      <c r="AOL453" s="13"/>
      <c r="AOM453" s="13"/>
      <c r="AON453" s="13"/>
      <c r="AOO453" s="13"/>
      <c r="AOP453" s="13"/>
      <c r="AOQ453" s="13"/>
      <c r="AOR453" s="13"/>
      <c r="AOS453" s="13"/>
      <c r="AOT453" s="13"/>
      <c r="AOU453" s="13"/>
      <c r="AOV453" s="13"/>
      <c r="AOW453" s="13"/>
      <c r="AOX453" s="13"/>
      <c r="AOY453" s="13"/>
      <c r="AOZ453" s="13"/>
      <c r="APA453" s="13"/>
      <c r="APB453" s="13"/>
      <c r="APC453" s="13"/>
      <c r="APD453" s="13"/>
      <c r="APE453" s="13"/>
      <c r="APF453" s="13"/>
      <c r="APG453" s="13"/>
      <c r="APH453" s="13"/>
      <c r="API453" s="13"/>
      <c r="APJ453" s="13"/>
      <c r="APK453" s="13"/>
      <c r="APL453" s="13"/>
      <c r="APM453" s="13"/>
      <c r="APN453" s="13"/>
      <c r="APO453" s="13"/>
      <c r="APP453" s="13"/>
      <c r="APQ453" s="13"/>
      <c r="APR453" s="13"/>
      <c r="APS453" s="13"/>
      <c r="APT453" s="13"/>
      <c r="APU453" s="13"/>
      <c r="APV453" s="13"/>
      <c r="APW453" s="13"/>
      <c r="APX453" s="13"/>
      <c r="APY453" s="13"/>
      <c r="APZ453" s="13"/>
      <c r="AQA453" s="13"/>
      <c r="AQB453" s="13"/>
      <c r="AQC453" s="13"/>
      <c r="AQD453" s="13"/>
      <c r="AQE453" s="13"/>
      <c r="AQF453" s="13"/>
      <c r="AQG453" s="13"/>
      <c r="AQH453" s="13"/>
      <c r="AQI453" s="13"/>
      <c r="AQJ453" s="13"/>
      <c r="AQK453" s="13"/>
      <c r="AQL453" s="13"/>
      <c r="AQM453" s="13"/>
      <c r="AQN453" s="13"/>
      <c r="AQO453" s="13"/>
      <c r="AQP453" s="13"/>
      <c r="AQQ453" s="13"/>
      <c r="AQR453" s="13"/>
      <c r="AQS453" s="13"/>
      <c r="AQT453" s="13"/>
      <c r="AQU453" s="13"/>
      <c r="AQV453" s="13"/>
      <c r="AQW453" s="13"/>
      <c r="AQX453" s="13"/>
      <c r="AQY453" s="13"/>
      <c r="AQZ453" s="13"/>
      <c r="ARA453" s="13"/>
      <c r="ARB453" s="13"/>
      <c r="ARC453" s="13"/>
      <c r="ARD453" s="13"/>
      <c r="ARE453" s="13"/>
      <c r="ARF453" s="13"/>
      <c r="ARG453" s="13"/>
      <c r="ARH453" s="13"/>
      <c r="ARI453" s="13"/>
      <c r="ARJ453" s="13"/>
      <c r="ARK453" s="13"/>
      <c r="ARL453" s="13"/>
      <c r="ARM453" s="13"/>
      <c r="ARN453" s="13"/>
      <c r="ARO453" s="13"/>
      <c r="ARP453" s="13"/>
      <c r="ARQ453" s="13"/>
      <c r="ARR453" s="13"/>
      <c r="ARS453" s="13"/>
      <c r="ART453" s="13"/>
      <c r="ARU453" s="13"/>
      <c r="ARV453" s="13"/>
      <c r="ARW453" s="13"/>
      <c r="ARX453" s="13"/>
      <c r="ARY453" s="13"/>
      <c r="ARZ453" s="13"/>
      <c r="ASA453" s="13"/>
      <c r="ASB453" s="13"/>
      <c r="ASC453" s="13"/>
      <c r="ASD453" s="13"/>
      <c r="ASE453" s="13"/>
      <c r="ASF453" s="13"/>
      <c r="ASG453" s="13"/>
      <c r="ASH453" s="13"/>
      <c r="ASI453" s="13"/>
      <c r="ASJ453" s="13"/>
      <c r="ASK453" s="13"/>
      <c r="ASL453" s="13"/>
      <c r="ASM453" s="13"/>
      <c r="ASN453" s="13"/>
      <c r="ASO453" s="13"/>
      <c r="ASP453" s="13"/>
      <c r="ASQ453" s="13"/>
      <c r="ASR453" s="13"/>
      <c r="ASS453" s="13"/>
      <c r="AST453" s="13"/>
      <c r="ASU453" s="13"/>
      <c r="ASV453" s="13"/>
      <c r="ASW453" s="13"/>
      <c r="ASX453" s="13"/>
      <c r="ASY453" s="13"/>
      <c r="ASZ453" s="13"/>
      <c r="ATA453" s="13"/>
      <c r="ATB453" s="13"/>
      <c r="ATC453" s="13"/>
      <c r="ATD453" s="13"/>
      <c r="ATE453" s="13"/>
      <c r="ATF453" s="13"/>
      <c r="ATG453" s="13"/>
      <c r="ATH453" s="13"/>
      <c r="ATI453" s="13"/>
      <c r="ATJ453" s="13"/>
      <c r="ATK453" s="13"/>
      <c r="ATL453" s="13"/>
      <c r="ATM453" s="13"/>
      <c r="ATN453" s="13"/>
      <c r="ATO453" s="13"/>
      <c r="ATP453" s="13"/>
      <c r="ATQ453" s="13"/>
      <c r="ATR453" s="13"/>
      <c r="ATS453" s="13"/>
      <c r="ATT453" s="13"/>
      <c r="ATU453" s="13"/>
      <c r="ATV453" s="13"/>
      <c r="ATW453" s="13"/>
      <c r="ATX453" s="13"/>
      <c r="ATY453" s="13"/>
      <c r="ATZ453" s="13"/>
      <c r="AUA453" s="13"/>
      <c r="AUB453" s="13"/>
      <c r="AUC453" s="13"/>
      <c r="AUD453" s="13"/>
      <c r="AUE453" s="13"/>
      <c r="AUF453" s="13"/>
      <c r="AUG453" s="13"/>
      <c r="AUH453" s="13"/>
      <c r="AUI453" s="13"/>
      <c r="AUJ453" s="13"/>
      <c r="AUK453" s="13"/>
      <c r="AUL453" s="13"/>
      <c r="AUM453" s="13"/>
      <c r="AUN453" s="13"/>
      <c r="AUO453" s="13"/>
      <c r="AUP453" s="13"/>
      <c r="AUQ453" s="13"/>
      <c r="AUR453" s="13"/>
      <c r="AUS453" s="13"/>
      <c r="AUT453" s="13"/>
      <c r="AUU453" s="13"/>
      <c r="AUV453" s="13"/>
      <c r="AUW453" s="13"/>
      <c r="AUX453" s="13"/>
      <c r="AUY453" s="13"/>
      <c r="AUZ453" s="13"/>
      <c r="AVA453" s="13"/>
      <c r="AVB453" s="13"/>
      <c r="AVC453" s="13"/>
      <c r="AVD453" s="13"/>
      <c r="AVE453" s="13"/>
      <c r="AVF453" s="13"/>
      <c r="AVG453" s="13"/>
      <c r="AVH453" s="13"/>
      <c r="AVI453" s="13"/>
      <c r="AVJ453" s="13"/>
      <c r="AVK453" s="13"/>
      <c r="AVL453" s="13"/>
      <c r="AVM453" s="13"/>
      <c r="AVN453" s="13"/>
      <c r="AVO453" s="13"/>
      <c r="AVP453" s="13"/>
      <c r="AVQ453" s="13"/>
      <c r="AVR453" s="13"/>
      <c r="AVS453" s="13"/>
      <c r="AVT453" s="13"/>
      <c r="AVU453" s="13"/>
      <c r="AVV453" s="13"/>
      <c r="AVW453" s="13"/>
      <c r="AVX453" s="13"/>
      <c r="AVY453" s="13"/>
      <c r="AVZ453" s="13"/>
      <c r="AWA453" s="13"/>
      <c r="AWB453" s="13"/>
      <c r="AWC453" s="13"/>
      <c r="AWD453" s="13"/>
      <c r="AWE453" s="13"/>
      <c r="AWF453" s="13"/>
      <c r="AWG453" s="13"/>
      <c r="AWH453" s="13"/>
      <c r="AWI453" s="13"/>
      <c r="AWJ453" s="13"/>
      <c r="AWK453" s="13"/>
      <c r="AWL453" s="13"/>
      <c r="AWM453" s="13"/>
      <c r="AWN453" s="13"/>
      <c r="AWO453" s="13"/>
      <c r="AWP453" s="13"/>
      <c r="AWQ453" s="13"/>
      <c r="AWR453" s="13"/>
      <c r="AWS453" s="13"/>
      <c r="AWT453" s="13"/>
      <c r="AWU453" s="13"/>
      <c r="AWV453" s="13"/>
      <c r="AWW453" s="13"/>
      <c r="AWX453" s="13"/>
      <c r="AWY453" s="13"/>
      <c r="AWZ453" s="13"/>
      <c r="AXA453" s="13"/>
      <c r="AXB453" s="13"/>
      <c r="AXC453" s="13"/>
      <c r="AXD453" s="13"/>
      <c r="AXE453" s="13"/>
      <c r="AXF453" s="13"/>
      <c r="AXG453" s="13"/>
      <c r="AXH453" s="13"/>
      <c r="AXI453" s="13"/>
      <c r="AXJ453" s="13"/>
      <c r="AXK453" s="13"/>
      <c r="AXL453" s="13"/>
      <c r="AXM453" s="13"/>
      <c r="AXN453" s="13"/>
      <c r="AXO453" s="13"/>
      <c r="AXP453" s="13"/>
      <c r="AXQ453" s="13"/>
      <c r="AXR453" s="13"/>
      <c r="AXS453" s="13"/>
      <c r="AXT453" s="13"/>
      <c r="AXU453" s="13"/>
      <c r="AXV453" s="13"/>
      <c r="AXW453" s="13"/>
      <c r="AXX453" s="13"/>
      <c r="AXY453" s="13"/>
      <c r="AXZ453" s="13"/>
      <c r="AYA453" s="13"/>
      <c r="AYB453" s="13"/>
      <c r="AYC453" s="13"/>
      <c r="AYD453" s="13"/>
      <c r="AYE453" s="13"/>
      <c r="AYF453" s="13"/>
      <c r="AYG453" s="13"/>
      <c r="AYH453" s="13"/>
      <c r="AYI453" s="13"/>
      <c r="AYJ453" s="13"/>
      <c r="AYK453" s="13"/>
      <c r="AYL453" s="13"/>
      <c r="AYM453" s="13"/>
      <c r="AYN453" s="13"/>
      <c r="AYO453" s="13"/>
      <c r="AYP453" s="13"/>
      <c r="AYQ453" s="13"/>
      <c r="AYR453" s="13"/>
      <c r="AYS453" s="13"/>
      <c r="AYT453" s="13"/>
      <c r="AYU453" s="13"/>
      <c r="AYV453" s="13"/>
      <c r="AYW453" s="13"/>
      <c r="AYX453" s="13"/>
      <c r="AYY453" s="13"/>
      <c r="AYZ453" s="13"/>
      <c r="AZA453" s="13"/>
      <c r="AZB453" s="13"/>
      <c r="AZC453" s="13"/>
      <c r="AZD453" s="13"/>
      <c r="AZE453" s="13"/>
      <c r="AZF453" s="13"/>
      <c r="AZG453" s="13"/>
      <c r="AZH453" s="13"/>
      <c r="AZI453" s="13"/>
      <c r="AZJ453" s="13"/>
      <c r="AZK453" s="13"/>
      <c r="AZL453" s="13"/>
      <c r="AZM453" s="13"/>
      <c r="AZN453" s="13"/>
      <c r="AZO453" s="13"/>
      <c r="AZP453" s="13"/>
      <c r="AZQ453" s="13"/>
      <c r="AZR453" s="13"/>
      <c r="AZS453" s="13"/>
      <c r="AZT453" s="13"/>
      <c r="AZU453" s="13"/>
      <c r="AZV453" s="13"/>
      <c r="AZW453" s="13"/>
      <c r="AZX453" s="13"/>
      <c r="AZY453" s="13"/>
      <c r="AZZ453" s="13"/>
      <c r="BAA453" s="13"/>
      <c r="BAB453" s="13"/>
      <c r="BAC453" s="13"/>
      <c r="BAD453" s="13"/>
      <c r="BAE453" s="13"/>
      <c r="BAF453" s="13"/>
      <c r="BAG453" s="13"/>
      <c r="BAH453" s="13"/>
      <c r="BAI453" s="13"/>
      <c r="BAJ453" s="13"/>
      <c r="BAK453" s="13"/>
      <c r="BAL453" s="13"/>
      <c r="BAM453" s="13"/>
      <c r="BAN453" s="13"/>
      <c r="BAO453" s="13"/>
      <c r="BAP453" s="13"/>
      <c r="BAQ453" s="13"/>
      <c r="BAR453" s="13"/>
      <c r="BAS453" s="13"/>
      <c r="BAT453" s="13"/>
      <c r="BAU453" s="13"/>
      <c r="BAV453" s="13"/>
      <c r="BAW453" s="13"/>
      <c r="BAX453" s="13"/>
      <c r="BAY453" s="13"/>
      <c r="BAZ453" s="13"/>
      <c r="BBA453" s="13"/>
      <c r="BBB453" s="13"/>
      <c r="BBC453" s="13"/>
      <c r="BBD453" s="13"/>
      <c r="BBE453" s="13"/>
      <c r="BBF453" s="13"/>
      <c r="BBG453" s="13"/>
      <c r="BBH453" s="13"/>
      <c r="BBI453" s="13"/>
      <c r="BBJ453" s="13"/>
      <c r="BBK453" s="13"/>
      <c r="BBL453" s="13"/>
      <c r="BBM453" s="13"/>
      <c r="BBN453" s="13"/>
      <c r="BBO453" s="13"/>
      <c r="BBP453" s="13"/>
      <c r="BBQ453" s="13"/>
      <c r="BBR453" s="13"/>
      <c r="BBS453" s="13"/>
      <c r="BBT453" s="13"/>
      <c r="BBU453" s="13"/>
      <c r="BBV453" s="13"/>
      <c r="BBW453" s="13"/>
      <c r="BBX453" s="13"/>
      <c r="BBY453" s="13"/>
      <c r="BBZ453" s="13"/>
      <c r="BCA453" s="13"/>
      <c r="BCB453" s="13"/>
      <c r="BCC453" s="13"/>
      <c r="BCD453" s="13"/>
      <c r="BCE453" s="13"/>
      <c r="BCF453" s="13"/>
      <c r="BCG453" s="13"/>
      <c r="BCH453" s="13"/>
      <c r="BCI453" s="13"/>
      <c r="BCJ453" s="13"/>
      <c r="BCK453" s="13"/>
      <c r="BCL453" s="13"/>
      <c r="BCM453" s="13"/>
      <c r="BCN453" s="13"/>
      <c r="BCO453" s="13"/>
      <c r="BCP453" s="13"/>
      <c r="BCQ453" s="13"/>
      <c r="BCR453" s="13"/>
      <c r="BCS453" s="13"/>
      <c r="BCT453" s="13"/>
      <c r="BCU453" s="13"/>
      <c r="BCV453" s="13"/>
      <c r="BCW453" s="13"/>
      <c r="BCX453" s="13"/>
      <c r="BCY453" s="13"/>
      <c r="BCZ453" s="13"/>
      <c r="BDA453" s="13"/>
      <c r="BDB453" s="13"/>
      <c r="BDC453" s="13"/>
      <c r="BDD453" s="13"/>
      <c r="BDE453" s="13"/>
      <c r="BDF453" s="13"/>
      <c r="BDG453" s="13"/>
      <c r="BDH453" s="13"/>
      <c r="BDI453" s="13"/>
      <c r="BDJ453" s="13"/>
      <c r="BDK453" s="13"/>
      <c r="BDL453" s="13"/>
      <c r="BDM453" s="13"/>
      <c r="BDN453" s="13"/>
      <c r="BDO453" s="13"/>
      <c r="BDP453" s="13"/>
      <c r="BDQ453" s="13"/>
      <c r="BDR453" s="13"/>
      <c r="BDS453" s="13"/>
      <c r="BDT453" s="13"/>
      <c r="BDU453" s="13"/>
      <c r="BDV453" s="13"/>
      <c r="BDW453" s="13"/>
      <c r="BDX453" s="13"/>
      <c r="BDY453" s="13"/>
      <c r="BDZ453" s="13"/>
      <c r="BEA453" s="13"/>
      <c r="BEB453" s="13"/>
      <c r="BEC453" s="13"/>
      <c r="BED453" s="13"/>
      <c r="BEE453" s="13"/>
      <c r="BEF453" s="13"/>
      <c r="BEG453" s="13"/>
      <c r="BEH453" s="13"/>
      <c r="BEI453" s="13"/>
      <c r="BEJ453" s="13"/>
      <c r="BEK453" s="13"/>
      <c r="BEL453" s="13"/>
      <c r="BEM453" s="13"/>
      <c r="BEN453" s="13"/>
      <c r="BEO453" s="13"/>
      <c r="BEP453" s="13"/>
      <c r="BEQ453" s="13"/>
      <c r="BER453" s="13"/>
      <c r="BES453" s="13"/>
      <c r="BET453" s="13"/>
      <c r="BEU453" s="13"/>
      <c r="BEV453" s="13"/>
      <c r="BEW453" s="13"/>
      <c r="BEX453" s="13"/>
      <c r="BEY453" s="13"/>
      <c r="BEZ453" s="13"/>
      <c r="BFA453" s="13"/>
      <c r="BFB453" s="13"/>
      <c r="BFC453" s="13"/>
      <c r="BFD453" s="13"/>
      <c r="BFE453" s="13"/>
      <c r="BFF453" s="13"/>
      <c r="BFG453" s="13"/>
      <c r="BFH453" s="13"/>
      <c r="BFI453" s="13"/>
      <c r="BFJ453" s="13"/>
      <c r="BFK453" s="13"/>
      <c r="BFL453" s="13"/>
      <c r="BFM453" s="13"/>
      <c r="BFN453" s="13"/>
      <c r="BFO453" s="13"/>
      <c r="BFP453" s="13"/>
      <c r="BFQ453" s="13"/>
      <c r="BFR453" s="13"/>
      <c r="BFS453" s="13"/>
      <c r="BFT453" s="13"/>
      <c r="BFU453" s="13"/>
      <c r="BFV453" s="13"/>
      <c r="BFW453" s="13"/>
      <c r="BFX453" s="13"/>
      <c r="BFY453" s="13"/>
      <c r="BFZ453" s="13"/>
      <c r="BGA453" s="13"/>
      <c r="BGB453" s="13"/>
      <c r="BGC453" s="13"/>
      <c r="BGD453" s="13"/>
      <c r="BGE453" s="13"/>
      <c r="BGF453" s="13"/>
      <c r="BGG453" s="13"/>
      <c r="BGH453" s="13"/>
      <c r="BGI453" s="13"/>
      <c r="BGJ453" s="13"/>
      <c r="BGK453" s="13"/>
      <c r="BGL453" s="13"/>
      <c r="BGM453" s="13"/>
      <c r="BGN453" s="13"/>
      <c r="BGO453" s="13"/>
      <c r="BGP453" s="13"/>
      <c r="BGQ453" s="13"/>
      <c r="BGR453" s="13"/>
      <c r="BGS453" s="13"/>
      <c r="BGT453" s="13"/>
      <c r="BGU453" s="13"/>
      <c r="BGV453" s="13"/>
      <c r="BGW453" s="13"/>
      <c r="BGX453" s="13"/>
      <c r="BGY453" s="13"/>
      <c r="BGZ453" s="13"/>
      <c r="BHA453" s="13"/>
      <c r="BHB453" s="13"/>
      <c r="BHC453" s="13"/>
      <c r="BHD453" s="13"/>
      <c r="BHE453" s="13"/>
      <c r="BHF453" s="13"/>
      <c r="BHG453" s="13"/>
      <c r="BHH453" s="13"/>
      <c r="BHI453" s="13"/>
      <c r="BHJ453" s="13"/>
      <c r="BHK453" s="13"/>
      <c r="BHL453" s="13"/>
      <c r="BHM453" s="13"/>
      <c r="BHN453" s="13"/>
      <c r="BHO453" s="13"/>
      <c r="BHP453" s="13"/>
      <c r="BHQ453" s="13"/>
      <c r="BHR453" s="13"/>
      <c r="BHS453" s="13"/>
      <c r="BHT453" s="13"/>
      <c r="BHU453" s="13"/>
      <c r="BHV453" s="13"/>
      <c r="BHW453" s="13"/>
      <c r="BHX453" s="13"/>
      <c r="BHY453" s="13"/>
      <c r="BHZ453" s="13"/>
      <c r="BIA453" s="13"/>
      <c r="BIB453" s="13"/>
      <c r="BIC453" s="13"/>
      <c r="BID453" s="13"/>
      <c r="BIE453" s="13"/>
      <c r="BIF453" s="13"/>
      <c r="BIG453" s="13"/>
      <c r="BIH453" s="13"/>
      <c r="BII453" s="13"/>
      <c r="BIJ453" s="13"/>
      <c r="BIK453" s="13"/>
      <c r="BIL453" s="13"/>
      <c r="BIM453" s="13"/>
      <c r="BIN453" s="13"/>
      <c r="BIO453" s="13"/>
      <c r="BIP453" s="13"/>
      <c r="BIQ453" s="13"/>
      <c r="BIR453" s="13"/>
      <c r="BIS453" s="13"/>
      <c r="BIT453" s="13"/>
      <c r="BIU453" s="13"/>
      <c r="BIV453" s="13"/>
      <c r="BIW453" s="13"/>
      <c r="BIX453" s="13"/>
      <c r="BIY453" s="13"/>
      <c r="BIZ453" s="13"/>
      <c r="BJA453" s="13"/>
      <c r="BJB453" s="13"/>
      <c r="BJC453" s="13"/>
      <c r="BJD453" s="13"/>
      <c r="BJE453" s="13"/>
      <c r="BJF453" s="13"/>
      <c r="BJG453" s="13"/>
      <c r="BJH453" s="13"/>
      <c r="BJI453" s="13"/>
      <c r="BJJ453" s="13"/>
      <c r="BJK453" s="13"/>
      <c r="BJL453" s="13"/>
      <c r="BJM453" s="13"/>
      <c r="BJN453" s="13"/>
      <c r="BJO453" s="13"/>
      <c r="BJP453" s="13"/>
      <c r="BJQ453" s="13"/>
      <c r="BJR453" s="13"/>
      <c r="BJS453" s="13"/>
      <c r="BJT453" s="13"/>
      <c r="BJU453" s="13"/>
      <c r="BJV453" s="13"/>
      <c r="BJW453" s="13"/>
      <c r="BJX453" s="13"/>
      <c r="BJY453" s="13"/>
      <c r="BJZ453" s="13"/>
      <c r="BKA453" s="13"/>
      <c r="BKB453" s="13"/>
      <c r="BKC453" s="13"/>
      <c r="BKD453" s="13"/>
      <c r="BKE453" s="13"/>
      <c r="BKF453" s="13"/>
      <c r="BKG453" s="13"/>
      <c r="BKH453" s="13"/>
      <c r="BKI453" s="13"/>
      <c r="BKJ453" s="13"/>
      <c r="BKK453" s="13"/>
      <c r="BKL453" s="13"/>
      <c r="BKM453" s="13"/>
      <c r="BKN453" s="13"/>
      <c r="BKO453" s="13"/>
      <c r="BKP453" s="13"/>
      <c r="BKQ453" s="13"/>
      <c r="BKR453" s="13"/>
      <c r="BKS453" s="13"/>
      <c r="BKT453" s="13"/>
      <c r="BKU453" s="13"/>
      <c r="BKV453" s="13"/>
      <c r="BKW453" s="13"/>
      <c r="BKX453" s="13"/>
      <c r="BKY453" s="13"/>
      <c r="BKZ453" s="13"/>
      <c r="BLA453" s="13"/>
      <c r="BLB453" s="13"/>
      <c r="BLC453" s="13"/>
      <c r="BLD453" s="13"/>
      <c r="BLE453" s="13"/>
      <c r="BLF453" s="13"/>
      <c r="BLG453" s="13"/>
      <c r="BLH453" s="13"/>
      <c r="BLI453" s="13"/>
      <c r="BLJ453" s="13"/>
      <c r="BLK453" s="13"/>
      <c r="BLL453" s="13"/>
      <c r="BLM453" s="13"/>
      <c r="BLN453" s="13"/>
      <c r="BLO453" s="13"/>
      <c r="BLP453" s="13"/>
      <c r="BLQ453" s="13"/>
      <c r="BLR453" s="13"/>
      <c r="BLS453" s="13"/>
      <c r="BLT453" s="13"/>
      <c r="BLU453" s="13"/>
      <c r="BLV453" s="13"/>
      <c r="BLW453" s="13"/>
      <c r="BLX453" s="13"/>
      <c r="BLY453" s="13"/>
      <c r="BLZ453" s="13"/>
      <c r="BMA453" s="13"/>
      <c r="BMB453" s="13"/>
      <c r="BMC453" s="13"/>
      <c r="BMD453" s="13"/>
      <c r="BME453" s="13"/>
      <c r="BMF453" s="13"/>
      <c r="BMG453" s="13"/>
      <c r="BMH453" s="13"/>
      <c r="BMI453" s="13"/>
      <c r="BMJ453" s="13"/>
      <c r="BMK453" s="13"/>
      <c r="BML453" s="13"/>
      <c r="BMM453" s="13"/>
      <c r="BMN453" s="13"/>
      <c r="BMO453" s="13"/>
      <c r="BMP453" s="13"/>
      <c r="BMQ453" s="13"/>
      <c r="BMR453" s="13"/>
      <c r="BMS453" s="13"/>
      <c r="BMT453" s="13"/>
      <c r="BMU453" s="13"/>
      <c r="BMV453" s="13"/>
      <c r="BMW453" s="13"/>
      <c r="BMX453" s="13"/>
      <c r="BMY453" s="13"/>
      <c r="BMZ453" s="13"/>
      <c r="BNA453" s="13"/>
      <c r="BNB453" s="13"/>
      <c r="BNC453" s="13"/>
      <c r="BND453" s="13"/>
      <c r="BNE453" s="13"/>
      <c r="BNF453" s="13"/>
      <c r="BNG453" s="13"/>
      <c r="BNH453" s="13"/>
      <c r="BNI453" s="13"/>
      <c r="BNJ453" s="13"/>
      <c r="BNK453" s="13"/>
      <c r="BNL453" s="13"/>
      <c r="BNM453" s="13"/>
      <c r="BNN453" s="13"/>
      <c r="BNO453" s="13"/>
      <c r="BNP453" s="13"/>
      <c r="BNQ453" s="13"/>
      <c r="BNR453" s="13"/>
      <c r="BNS453" s="13"/>
      <c r="BNT453" s="13"/>
      <c r="BNU453" s="13"/>
      <c r="BNV453" s="13"/>
      <c r="BNW453" s="13"/>
      <c r="BNX453" s="13"/>
      <c r="BNY453" s="13"/>
      <c r="BNZ453" s="13"/>
      <c r="BOA453" s="13"/>
      <c r="BOB453" s="13"/>
      <c r="BOC453" s="13"/>
      <c r="BOD453" s="13"/>
      <c r="BOE453" s="13"/>
      <c r="BOF453" s="13"/>
      <c r="BOG453" s="13"/>
      <c r="BOH453" s="13"/>
      <c r="BOI453" s="13"/>
      <c r="BOJ453" s="13"/>
      <c r="BOK453" s="13"/>
      <c r="BOL453" s="13"/>
      <c r="BOM453" s="13"/>
      <c r="BON453" s="13"/>
      <c r="BOO453" s="13"/>
      <c r="BOP453" s="13"/>
      <c r="BOQ453" s="13"/>
      <c r="BOR453" s="13"/>
      <c r="BOS453" s="13"/>
      <c r="BOT453" s="13"/>
      <c r="BOU453" s="13"/>
      <c r="BOV453" s="13"/>
      <c r="BOW453" s="13"/>
      <c r="BOX453" s="13"/>
      <c r="BOY453" s="13"/>
      <c r="BOZ453" s="13"/>
      <c r="BPA453" s="13"/>
      <c r="BPB453" s="13"/>
      <c r="BPC453" s="13"/>
      <c r="BPD453" s="13"/>
      <c r="BPE453" s="13"/>
      <c r="BPF453" s="13"/>
      <c r="BPG453" s="13"/>
      <c r="BPH453" s="13"/>
      <c r="BPI453" s="13"/>
      <c r="BPJ453" s="13"/>
      <c r="BPK453" s="13"/>
      <c r="BPL453" s="13"/>
      <c r="BPM453" s="13"/>
      <c r="BPN453" s="13"/>
      <c r="BPO453" s="13"/>
      <c r="BPP453" s="13"/>
      <c r="BPQ453" s="13"/>
      <c r="BPR453" s="13"/>
      <c r="BPS453" s="13"/>
      <c r="BPT453" s="13"/>
      <c r="BPU453" s="13"/>
      <c r="BPV453" s="13"/>
      <c r="BPW453" s="13"/>
      <c r="BPX453" s="13"/>
      <c r="BPY453" s="13"/>
      <c r="BPZ453" s="13"/>
      <c r="BQA453" s="13"/>
      <c r="BQB453" s="13"/>
      <c r="BQC453" s="13"/>
      <c r="BQD453" s="13"/>
      <c r="BQE453" s="13"/>
      <c r="BQF453" s="13"/>
      <c r="BQG453" s="13"/>
      <c r="BQH453" s="13"/>
      <c r="BQI453" s="13"/>
      <c r="BQJ453" s="13"/>
      <c r="BQK453" s="13"/>
      <c r="BQL453" s="13"/>
      <c r="BQM453" s="13"/>
      <c r="BQN453" s="13"/>
      <c r="BQO453" s="13"/>
      <c r="BQP453" s="13"/>
      <c r="BQQ453" s="13"/>
      <c r="BQR453" s="13"/>
      <c r="BQS453" s="13"/>
      <c r="BQT453" s="13"/>
      <c r="BQU453" s="13"/>
      <c r="BQV453" s="13"/>
      <c r="BQW453" s="13"/>
      <c r="BQX453" s="13"/>
      <c r="BQY453" s="13"/>
      <c r="BQZ453" s="13"/>
      <c r="BRA453" s="13"/>
      <c r="BRB453" s="13"/>
      <c r="BRC453" s="13"/>
      <c r="BRD453" s="13"/>
      <c r="BRE453" s="13"/>
      <c r="BRF453" s="13"/>
      <c r="BRG453" s="13"/>
      <c r="BRH453" s="13"/>
      <c r="BRI453" s="13"/>
      <c r="BRJ453" s="13"/>
      <c r="BRK453" s="13"/>
      <c r="BRL453" s="13"/>
      <c r="BRM453" s="13"/>
      <c r="BRN453" s="13"/>
      <c r="BRO453" s="13"/>
      <c r="BRP453" s="13"/>
      <c r="BRQ453" s="13"/>
      <c r="BRR453" s="13"/>
      <c r="BRS453" s="13"/>
      <c r="BRT453" s="13"/>
      <c r="BRU453" s="13"/>
      <c r="BRV453" s="13"/>
      <c r="BRW453" s="13"/>
      <c r="BRX453" s="13"/>
      <c r="BRY453" s="13"/>
      <c r="BRZ453" s="13"/>
      <c r="BSA453" s="13"/>
      <c r="BSB453" s="13"/>
      <c r="BSC453" s="13"/>
      <c r="BSD453" s="13"/>
      <c r="BSE453" s="13"/>
      <c r="BSF453" s="13"/>
      <c r="BSG453" s="13"/>
      <c r="BSH453" s="13"/>
      <c r="BSI453" s="13"/>
      <c r="BSJ453" s="13"/>
      <c r="BSK453" s="13"/>
      <c r="BSL453" s="13"/>
      <c r="BSM453" s="13"/>
      <c r="BSN453" s="13"/>
      <c r="BSO453" s="13"/>
      <c r="BSP453" s="13"/>
      <c r="BSQ453" s="13"/>
      <c r="BSR453" s="13"/>
      <c r="BSS453" s="13"/>
      <c r="BST453" s="13"/>
      <c r="BSU453" s="13"/>
      <c r="BSV453" s="13"/>
      <c r="BSW453" s="13"/>
      <c r="BSX453" s="13"/>
      <c r="BSY453" s="13"/>
      <c r="BSZ453" s="13"/>
      <c r="BTA453" s="13"/>
    </row>
    <row r="454" spans="1:1873" s="23" customFormat="1" x14ac:dyDescent="0.2">
      <c r="A454" s="25"/>
      <c r="B454" s="223"/>
      <c r="C454" s="223"/>
      <c r="D454" s="223"/>
      <c r="E454" s="241"/>
      <c r="F454" s="241"/>
      <c r="G454" s="242"/>
      <c r="H454" s="242"/>
      <c r="I454" s="223"/>
      <c r="J454" s="223"/>
      <c r="K454" s="223"/>
      <c r="L454" s="223"/>
      <c r="M454" s="243"/>
      <c r="N454" s="223"/>
      <c r="O454" s="29"/>
      <c r="P454" s="243"/>
      <c r="Q454" s="223"/>
      <c r="R454" s="243"/>
      <c r="S454" s="223"/>
      <c r="T454" s="243"/>
      <c r="U454" s="223"/>
      <c r="V454" s="223"/>
      <c r="W454" s="243"/>
      <c r="X454" s="223"/>
      <c r="Y454" s="223"/>
      <c r="Z454" s="223"/>
      <c r="AA454" s="551"/>
      <c r="AB454" s="243"/>
      <c r="AC454" s="223"/>
      <c r="AD454" s="223"/>
      <c r="AE454" s="223"/>
      <c r="AF454" s="223"/>
      <c r="AG454" s="223"/>
      <c r="AH454" s="223"/>
      <c r="AI454" s="223"/>
      <c r="AJ454" s="223"/>
      <c r="AK454" s="223"/>
      <c r="AL454" s="223"/>
      <c r="AM454" s="223"/>
      <c r="AN454" s="223"/>
      <c r="AO454" s="223"/>
      <c r="AP454" s="223"/>
      <c r="AQ454" s="223"/>
      <c r="AR454" s="223"/>
      <c r="AS454" s="223"/>
      <c r="AT454" s="223"/>
      <c r="AU454" s="223"/>
      <c r="AV454" s="223"/>
      <c r="AW454" s="223"/>
      <c r="AX454" s="223"/>
      <c r="AY454" s="223"/>
      <c r="AZ454" s="223"/>
      <c r="BA454" s="223"/>
      <c r="BB454" s="223"/>
      <c r="BC454" s="223"/>
      <c r="BD454" s="223"/>
      <c r="BE454" s="223"/>
      <c r="BF454" s="223"/>
      <c r="BG454" s="223"/>
      <c r="BH454" s="223"/>
      <c r="BI454" s="223"/>
      <c r="BJ454" s="223"/>
      <c r="BK454" s="223"/>
      <c r="BL454" s="223"/>
      <c r="BM454" s="223"/>
      <c r="BN454" s="223"/>
      <c r="BO454" s="223"/>
      <c r="BP454" s="223"/>
      <c r="BQ454" s="223"/>
      <c r="BR454" s="223"/>
      <c r="BS454" s="242">
        <v>-9999</v>
      </c>
      <c r="BT454" s="223"/>
      <c r="BU454" s="223"/>
      <c r="BV454" s="223"/>
      <c r="BW454" s="223"/>
      <c r="BX454" s="223"/>
      <c r="BY454" s="223"/>
      <c r="BZ454" s="332"/>
      <c r="CA454" s="332"/>
      <c r="CB454" s="247"/>
      <c r="CC454" s="241"/>
      <c r="CD454" s="242"/>
      <c r="CE454" s="342" t="s">
        <v>1576</v>
      </c>
      <c r="CF454" s="342" t="s">
        <v>1575</v>
      </c>
      <c r="CG454" s="84"/>
    </row>
    <row r="455" spans="1:1873" s="23" customFormat="1" x14ac:dyDescent="0.2">
      <c r="A455" s="32" t="s">
        <v>785</v>
      </c>
      <c r="B455" s="223" t="s">
        <v>68</v>
      </c>
      <c r="C455" s="404" t="s">
        <v>1447</v>
      </c>
      <c r="D455" s="223" t="s">
        <v>619</v>
      </c>
      <c r="E455" s="241" t="s">
        <v>1449</v>
      </c>
      <c r="F455" s="241">
        <v>1</v>
      </c>
      <c r="G455" s="242">
        <v>2</v>
      </c>
      <c r="H455" s="242">
        <v>2</v>
      </c>
      <c r="I455" s="223" t="s">
        <v>954</v>
      </c>
      <c r="J455" s="223">
        <v>1973</v>
      </c>
      <c r="K455" s="223" t="s">
        <v>957</v>
      </c>
      <c r="L455" s="223">
        <v>1977</v>
      </c>
      <c r="M455" s="243">
        <v>-9999</v>
      </c>
      <c r="N455" s="223">
        <v>-9999</v>
      </c>
      <c r="O455" s="29"/>
      <c r="P455" s="285">
        <f>+T455*G455</f>
        <v>3.6</v>
      </c>
      <c r="Q455" s="223">
        <v>-9999</v>
      </c>
      <c r="R455" s="243"/>
      <c r="S455" s="223"/>
      <c r="T455" s="243">
        <v>1.8</v>
      </c>
      <c r="U455" s="223">
        <v>-9999</v>
      </c>
      <c r="V455" s="223"/>
      <c r="W455" s="244">
        <f>+P455-P454</f>
        <v>3.6</v>
      </c>
      <c r="X455" s="223">
        <v>-9999</v>
      </c>
      <c r="Y455" s="223"/>
      <c r="Z455" s="223" t="s">
        <v>787</v>
      </c>
      <c r="AA455" s="442">
        <v>27778</v>
      </c>
      <c r="AB455" s="243">
        <v>-9999</v>
      </c>
      <c r="AC455" s="223">
        <v>-9999</v>
      </c>
      <c r="AD455" s="404">
        <f>0.015*10000</f>
        <v>150</v>
      </c>
      <c r="AE455" s="404" t="s">
        <v>1953</v>
      </c>
      <c r="AF455" s="223">
        <v>1</v>
      </c>
      <c r="AG455" s="223">
        <v>2</v>
      </c>
      <c r="AH455" s="223" t="s">
        <v>623</v>
      </c>
      <c r="AI455" s="223">
        <v>-9999</v>
      </c>
      <c r="AJ455" s="223">
        <v>-9999</v>
      </c>
      <c r="AK455" s="223" t="s">
        <v>626</v>
      </c>
      <c r="AL455" s="223" t="s">
        <v>653</v>
      </c>
      <c r="AM455" s="223">
        <v>-9999</v>
      </c>
      <c r="AN455" s="223" t="s">
        <v>626</v>
      </c>
      <c r="AO455" s="223" t="s">
        <v>69</v>
      </c>
      <c r="AP455" s="223" t="s">
        <v>70</v>
      </c>
      <c r="AQ455" s="223" t="s">
        <v>626</v>
      </c>
      <c r="AR455" s="223">
        <f>112*G455</f>
        <v>224</v>
      </c>
      <c r="AS455" s="223" t="s">
        <v>224</v>
      </c>
      <c r="AT455" s="223" t="s">
        <v>790</v>
      </c>
      <c r="AU455" s="223">
        <v>0</v>
      </c>
      <c r="AV455" s="223">
        <v>-9999</v>
      </c>
      <c r="AW455" s="223">
        <v>-9999</v>
      </c>
      <c r="AX455" s="223">
        <v>0</v>
      </c>
      <c r="AY455" s="223">
        <v>-9999</v>
      </c>
      <c r="AZ455" s="223" t="s">
        <v>790</v>
      </c>
      <c r="BA455" s="223" t="s">
        <v>71</v>
      </c>
      <c r="BB455" s="223" t="s">
        <v>626</v>
      </c>
      <c r="BC455" s="223" t="s">
        <v>791</v>
      </c>
      <c r="BD455" s="223" t="s">
        <v>72</v>
      </c>
      <c r="BE455" s="223"/>
      <c r="BF455" s="223"/>
      <c r="BG455" s="223">
        <v>-9999</v>
      </c>
      <c r="BH455" s="223">
        <v>-9999</v>
      </c>
      <c r="BI455" s="223">
        <v>-9999</v>
      </c>
      <c r="BJ455" s="223">
        <v>-9999</v>
      </c>
      <c r="BK455" s="223">
        <v>-9999</v>
      </c>
      <c r="BL455" s="223">
        <v>-9999</v>
      </c>
      <c r="BM455" s="223">
        <v>-9999</v>
      </c>
      <c r="BN455" s="223">
        <v>-9999</v>
      </c>
      <c r="BO455" s="223">
        <v>-9999</v>
      </c>
      <c r="BP455" s="223">
        <v>-9999</v>
      </c>
      <c r="BQ455" s="223">
        <v>-9999</v>
      </c>
      <c r="BR455" s="223">
        <v>-9999</v>
      </c>
      <c r="BS455" s="242">
        <v>-9999</v>
      </c>
      <c r="BT455" s="223">
        <v>-9999</v>
      </c>
      <c r="BU455" s="223">
        <v>-9999</v>
      </c>
      <c r="BV455" s="223">
        <v>-9999</v>
      </c>
      <c r="BW455" s="223"/>
      <c r="BX455" s="223">
        <v>-9999</v>
      </c>
      <c r="BY455" s="223">
        <v>-9999</v>
      </c>
      <c r="BZ455" s="332">
        <v>-9999</v>
      </c>
      <c r="CA455" s="332" t="s">
        <v>797</v>
      </c>
      <c r="CB455" s="247"/>
      <c r="CC455" s="241">
        <v>1</v>
      </c>
      <c r="CD455" s="242">
        <v>2</v>
      </c>
      <c r="CE455" s="292">
        <v>1.8</v>
      </c>
      <c r="CF455" s="292">
        <v>3.6</v>
      </c>
      <c r="CG455" s="84">
        <v>2</v>
      </c>
    </row>
    <row r="456" spans="1:1873" s="23" customFormat="1" x14ac:dyDescent="0.2">
      <c r="A456" s="32" t="s">
        <v>785</v>
      </c>
      <c r="B456" s="223" t="s">
        <v>68</v>
      </c>
      <c r="C456" s="404" t="s">
        <v>1447</v>
      </c>
      <c r="D456" s="223" t="s">
        <v>619</v>
      </c>
      <c r="E456" s="241" t="s">
        <v>1449</v>
      </c>
      <c r="F456" s="241">
        <v>1</v>
      </c>
      <c r="G456" s="242">
        <v>3</v>
      </c>
      <c r="H456" s="242">
        <v>3</v>
      </c>
      <c r="I456" s="223" t="s">
        <v>954</v>
      </c>
      <c r="J456" s="223">
        <v>1973</v>
      </c>
      <c r="K456" s="223" t="s">
        <v>957</v>
      </c>
      <c r="L456" s="223">
        <v>1977</v>
      </c>
      <c r="M456" s="243">
        <v>-9999</v>
      </c>
      <c r="N456" s="223">
        <v>-9999</v>
      </c>
      <c r="O456" s="29"/>
      <c r="P456" s="285">
        <f>+T456*G456</f>
        <v>14.700000000000001</v>
      </c>
      <c r="Q456" s="223">
        <v>-9999</v>
      </c>
      <c r="R456" s="243"/>
      <c r="S456" s="223"/>
      <c r="T456" s="243">
        <v>4.9000000000000004</v>
      </c>
      <c r="U456" s="223">
        <v>-9999</v>
      </c>
      <c r="V456" s="223"/>
      <c r="W456" s="244">
        <f>+P456-P455</f>
        <v>11.100000000000001</v>
      </c>
      <c r="X456" s="223">
        <v>-9999</v>
      </c>
      <c r="Y456" s="223"/>
      <c r="Z456" s="223" t="s">
        <v>787</v>
      </c>
      <c r="AA456" s="442">
        <v>27778</v>
      </c>
      <c r="AB456" s="243">
        <v>-9999</v>
      </c>
      <c r="AC456" s="223">
        <v>-9999</v>
      </c>
      <c r="AD456" s="404">
        <f t="shared" ref="AD456:AD458" si="21">0.015*10000</f>
        <v>150</v>
      </c>
      <c r="AE456" s="404" t="s">
        <v>1953</v>
      </c>
      <c r="AF456" s="223">
        <v>1</v>
      </c>
      <c r="AG456" s="223">
        <v>2</v>
      </c>
      <c r="AH456" s="223" t="s">
        <v>623</v>
      </c>
      <c r="AI456" s="223">
        <v>-9999</v>
      </c>
      <c r="AJ456" s="223">
        <v>-9999</v>
      </c>
      <c r="AK456" s="223" t="s">
        <v>626</v>
      </c>
      <c r="AL456" s="223" t="s">
        <v>653</v>
      </c>
      <c r="AM456" s="223">
        <v>-9999</v>
      </c>
      <c r="AN456" s="223" t="s">
        <v>626</v>
      </c>
      <c r="AO456" s="223" t="s">
        <v>69</v>
      </c>
      <c r="AP456" s="223" t="s">
        <v>70</v>
      </c>
      <c r="AQ456" s="223" t="s">
        <v>626</v>
      </c>
      <c r="AR456" s="223">
        <f>112+AR455</f>
        <v>336</v>
      </c>
      <c r="AS456" s="223" t="s">
        <v>224</v>
      </c>
      <c r="AT456" s="223" t="s">
        <v>790</v>
      </c>
      <c r="AU456" s="223">
        <v>0</v>
      </c>
      <c r="AV456" s="223">
        <v>-9999</v>
      </c>
      <c r="AW456" s="223">
        <v>-9999</v>
      </c>
      <c r="AX456" s="223">
        <v>0</v>
      </c>
      <c r="AY456" s="223">
        <v>-9999</v>
      </c>
      <c r="AZ456" s="223" t="s">
        <v>790</v>
      </c>
      <c r="BA456" s="223" t="s">
        <v>71</v>
      </c>
      <c r="BB456" s="223" t="s">
        <v>626</v>
      </c>
      <c r="BC456" s="223" t="s">
        <v>791</v>
      </c>
      <c r="BD456" s="223" t="s">
        <v>72</v>
      </c>
      <c r="BE456" s="223"/>
      <c r="BF456" s="223"/>
      <c r="BG456" s="223">
        <v>-9999</v>
      </c>
      <c r="BH456" s="223">
        <v>-9999</v>
      </c>
      <c r="BI456" s="223">
        <v>-9999</v>
      </c>
      <c r="BJ456" s="223">
        <v>-9999</v>
      </c>
      <c r="BK456" s="223">
        <v>-9999</v>
      </c>
      <c r="BL456" s="223">
        <v>-9999</v>
      </c>
      <c r="BM456" s="223">
        <v>-9999</v>
      </c>
      <c r="BN456" s="223">
        <v>-9999</v>
      </c>
      <c r="BO456" s="223">
        <v>-9999</v>
      </c>
      <c r="BP456" s="223">
        <v>-9999</v>
      </c>
      <c r="BQ456" s="223">
        <v>-9999</v>
      </c>
      <c r="BR456" s="223">
        <v>-9999</v>
      </c>
      <c r="BS456" s="242">
        <v>-9999</v>
      </c>
      <c r="BT456" s="223">
        <v>-9999</v>
      </c>
      <c r="BU456" s="223">
        <v>-9999</v>
      </c>
      <c r="BV456" s="223">
        <v>-9999</v>
      </c>
      <c r="BW456" s="223"/>
      <c r="BX456" s="223">
        <v>-9999</v>
      </c>
      <c r="BY456" s="223">
        <v>-9999</v>
      </c>
      <c r="BZ456" s="332">
        <v>-9999</v>
      </c>
      <c r="CA456" s="332" t="s">
        <v>797</v>
      </c>
      <c r="CB456" s="247"/>
      <c r="CC456" s="241">
        <v>1</v>
      </c>
      <c r="CD456" s="242">
        <v>3</v>
      </c>
      <c r="CE456" s="292">
        <v>4.9000000000000004</v>
      </c>
      <c r="CF456" s="292">
        <v>11.100000000000001</v>
      </c>
      <c r="CG456" s="84">
        <v>3</v>
      </c>
    </row>
    <row r="457" spans="1:1873" s="23" customFormat="1" x14ac:dyDescent="0.2">
      <c r="A457" s="32" t="s">
        <v>785</v>
      </c>
      <c r="B457" s="223" t="s">
        <v>68</v>
      </c>
      <c r="C457" s="404" t="s">
        <v>1447</v>
      </c>
      <c r="D457" s="223" t="s">
        <v>619</v>
      </c>
      <c r="E457" s="241" t="s">
        <v>1449</v>
      </c>
      <c r="F457" s="241">
        <v>1</v>
      </c>
      <c r="G457" s="242">
        <v>4</v>
      </c>
      <c r="H457" s="242">
        <v>4</v>
      </c>
      <c r="I457" s="223" t="s">
        <v>954</v>
      </c>
      <c r="J457" s="223">
        <v>1973</v>
      </c>
      <c r="K457" s="223" t="s">
        <v>957</v>
      </c>
      <c r="L457" s="223">
        <v>1977</v>
      </c>
      <c r="M457" s="243">
        <v>-9999</v>
      </c>
      <c r="N457" s="223">
        <v>-9999</v>
      </c>
      <c r="O457" s="29"/>
      <c r="P457" s="285">
        <f>+T457*G457</f>
        <v>31.2</v>
      </c>
      <c r="Q457" s="223">
        <v>-9999</v>
      </c>
      <c r="R457" s="243"/>
      <c r="S457" s="223"/>
      <c r="T457" s="243">
        <v>7.8</v>
      </c>
      <c r="U457" s="223">
        <v>-9999</v>
      </c>
      <c r="V457" s="223"/>
      <c r="W457" s="244">
        <f>+P457-P456</f>
        <v>16.5</v>
      </c>
      <c r="X457" s="223">
        <v>-9999</v>
      </c>
      <c r="Y457" s="223"/>
      <c r="Z457" s="223" t="s">
        <v>787</v>
      </c>
      <c r="AA457" s="442">
        <v>27778</v>
      </c>
      <c r="AB457" s="243">
        <v>-9999</v>
      </c>
      <c r="AC457" s="223">
        <v>-9999</v>
      </c>
      <c r="AD457" s="404">
        <f t="shared" si="21"/>
        <v>150</v>
      </c>
      <c r="AE457" s="404" t="s">
        <v>1953</v>
      </c>
      <c r="AF457" s="223">
        <v>1</v>
      </c>
      <c r="AG457" s="223">
        <v>2</v>
      </c>
      <c r="AH457" s="223" t="s">
        <v>623</v>
      </c>
      <c r="AI457" s="223">
        <v>-9999</v>
      </c>
      <c r="AJ457" s="223">
        <v>-9999</v>
      </c>
      <c r="AK457" s="223" t="s">
        <v>626</v>
      </c>
      <c r="AL457" s="223" t="s">
        <v>653</v>
      </c>
      <c r="AM457" s="223">
        <v>-9999</v>
      </c>
      <c r="AN457" s="223" t="s">
        <v>626</v>
      </c>
      <c r="AO457" s="223" t="s">
        <v>69</v>
      </c>
      <c r="AP457" s="223" t="s">
        <v>70</v>
      </c>
      <c r="AQ457" s="223" t="s">
        <v>626</v>
      </c>
      <c r="AR457" s="223">
        <f>112+AR456</f>
        <v>448</v>
      </c>
      <c r="AS457" s="223" t="s">
        <v>224</v>
      </c>
      <c r="AT457" s="223" t="s">
        <v>790</v>
      </c>
      <c r="AU457" s="223">
        <v>0</v>
      </c>
      <c r="AV457" s="223">
        <v>-9999</v>
      </c>
      <c r="AW457" s="223">
        <v>-9999</v>
      </c>
      <c r="AX457" s="223">
        <v>0</v>
      </c>
      <c r="AY457" s="223">
        <v>-9999</v>
      </c>
      <c r="AZ457" s="223" t="s">
        <v>790</v>
      </c>
      <c r="BA457" s="223" t="s">
        <v>71</v>
      </c>
      <c r="BB457" s="223" t="s">
        <v>626</v>
      </c>
      <c r="BC457" s="223" t="s">
        <v>791</v>
      </c>
      <c r="BD457" s="223" t="s">
        <v>72</v>
      </c>
      <c r="BE457" s="223"/>
      <c r="BF457" s="223"/>
      <c r="BG457" s="223">
        <v>-9999</v>
      </c>
      <c r="BH457" s="223">
        <v>-9999</v>
      </c>
      <c r="BI457" s="223">
        <v>-9999</v>
      </c>
      <c r="BJ457" s="223">
        <v>-9999</v>
      </c>
      <c r="BK457" s="223">
        <v>-9999</v>
      </c>
      <c r="BL457" s="223">
        <v>-9999</v>
      </c>
      <c r="BM457" s="223">
        <v>-9999</v>
      </c>
      <c r="BN457" s="223">
        <v>-9999</v>
      </c>
      <c r="BO457" s="223">
        <v>-9999</v>
      </c>
      <c r="BP457" s="223">
        <v>-9999</v>
      </c>
      <c r="BQ457" s="223">
        <v>-9999</v>
      </c>
      <c r="BR457" s="223">
        <v>-9999</v>
      </c>
      <c r="BS457" s="242">
        <v>-9999</v>
      </c>
      <c r="BT457" s="223">
        <v>-9999</v>
      </c>
      <c r="BU457" s="223">
        <v>-9999</v>
      </c>
      <c r="BV457" s="223">
        <v>-9999</v>
      </c>
      <c r="BW457" s="223"/>
      <c r="BX457" s="223">
        <v>-9999</v>
      </c>
      <c r="BY457" s="223">
        <v>-9999</v>
      </c>
      <c r="BZ457" s="332">
        <v>-9999</v>
      </c>
      <c r="CA457" s="332" t="s">
        <v>797</v>
      </c>
      <c r="CB457" s="247"/>
      <c r="CC457" s="241">
        <v>1</v>
      </c>
      <c r="CD457" s="242">
        <v>4</v>
      </c>
      <c r="CE457" s="292">
        <v>7.8</v>
      </c>
      <c r="CF457" s="292">
        <v>16.5</v>
      </c>
      <c r="CG457" s="84">
        <v>4</v>
      </c>
    </row>
    <row r="458" spans="1:1873" s="23" customFormat="1" x14ac:dyDescent="0.2">
      <c r="A458" s="32" t="s">
        <v>785</v>
      </c>
      <c r="B458" s="223" t="s">
        <v>68</v>
      </c>
      <c r="C458" s="404" t="s">
        <v>1447</v>
      </c>
      <c r="D458" s="223" t="s">
        <v>619</v>
      </c>
      <c r="E458" s="241" t="s">
        <v>1449</v>
      </c>
      <c r="F458" s="241">
        <v>1</v>
      </c>
      <c r="G458" s="242">
        <v>5</v>
      </c>
      <c r="H458" s="242">
        <v>5</v>
      </c>
      <c r="I458" s="223" t="s">
        <v>954</v>
      </c>
      <c r="J458" s="223">
        <v>1973</v>
      </c>
      <c r="K458" s="223" t="s">
        <v>957</v>
      </c>
      <c r="L458" s="223">
        <v>1977</v>
      </c>
      <c r="M458" s="243">
        <v>-9999</v>
      </c>
      <c r="N458" s="223">
        <v>-9999</v>
      </c>
      <c r="O458" s="29"/>
      <c r="P458" s="285">
        <f>+T458*G458</f>
        <v>45</v>
      </c>
      <c r="Q458" s="223">
        <v>-9999</v>
      </c>
      <c r="R458" s="243"/>
      <c r="S458" s="223"/>
      <c r="T458" s="243">
        <v>9</v>
      </c>
      <c r="U458" s="223">
        <v>-9999</v>
      </c>
      <c r="V458" s="223"/>
      <c r="W458" s="244">
        <f>+P458-P457</f>
        <v>13.8</v>
      </c>
      <c r="X458" s="223">
        <v>-9999</v>
      </c>
      <c r="Y458" s="223"/>
      <c r="Z458" s="223" t="s">
        <v>787</v>
      </c>
      <c r="AA458" s="442">
        <v>27778</v>
      </c>
      <c r="AB458" s="243">
        <v>-9999</v>
      </c>
      <c r="AC458" s="223">
        <v>-9999</v>
      </c>
      <c r="AD458" s="404">
        <f t="shared" si="21"/>
        <v>150</v>
      </c>
      <c r="AE458" s="404" t="s">
        <v>1953</v>
      </c>
      <c r="AF458" s="223">
        <v>1</v>
      </c>
      <c r="AG458" s="223">
        <v>2</v>
      </c>
      <c r="AH458" s="223" t="s">
        <v>623</v>
      </c>
      <c r="AI458" s="223">
        <v>-9999</v>
      </c>
      <c r="AJ458" s="223">
        <v>-9999</v>
      </c>
      <c r="AK458" s="223" t="s">
        <v>626</v>
      </c>
      <c r="AL458" s="223" t="s">
        <v>653</v>
      </c>
      <c r="AM458" s="223">
        <v>-9999</v>
      </c>
      <c r="AN458" s="223" t="s">
        <v>626</v>
      </c>
      <c r="AO458" s="223" t="s">
        <v>69</v>
      </c>
      <c r="AP458" s="223" t="s">
        <v>70</v>
      </c>
      <c r="AQ458" s="223" t="s">
        <v>626</v>
      </c>
      <c r="AR458" s="223">
        <f>112+AR457</f>
        <v>560</v>
      </c>
      <c r="AS458" s="223" t="s">
        <v>224</v>
      </c>
      <c r="AT458" s="223" t="s">
        <v>790</v>
      </c>
      <c r="AU458" s="223">
        <v>0</v>
      </c>
      <c r="AV458" s="223">
        <v>-9999</v>
      </c>
      <c r="AW458" s="223">
        <v>-9999</v>
      </c>
      <c r="AX458" s="223">
        <v>0</v>
      </c>
      <c r="AY458" s="223">
        <v>-9999</v>
      </c>
      <c r="AZ458" s="223" t="s">
        <v>790</v>
      </c>
      <c r="BA458" s="223" t="s">
        <v>71</v>
      </c>
      <c r="BB458" s="223" t="s">
        <v>626</v>
      </c>
      <c r="BC458" s="223" t="s">
        <v>791</v>
      </c>
      <c r="BD458" s="223" t="s">
        <v>72</v>
      </c>
      <c r="BE458" s="223"/>
      <c r="BF458" s="223"/>
      <c r="BG458" s="223">
        <v>-9999</v>
      </c>
      <c r="BH458" s="223">
        <v>-9999</v>
      </c>
      <c r="BI458" s="223">
        <v>-9999</v>
      </c>
      <c r="BJ458" s="223">
        <v>-9999</v>
      </c>
      <c r="BK458" s="223">
        <v>-9999</v>
      </c>
      <c r="BL458" s="223">
        <v>-9999</v>
      </c>
      <c r="BM458" s="223">
        <v>-9999</v>
      </c>
      <c r="BN458" s="223">
        <v>-9999</v>
      </c>
      <c r="BO458" s="223">
        <v>-9999</v>
      </c>
      <c r="BP458" s="223">
        <v>-9999</v>
      </c>
      <c r="BQ458" s="223">
        <v>-9999</v>
      </c>
      <c r="BR458" s="223">
        <v>-9999</v>
      </c>
      <c r="BS458" s="242">
        <v>-9999</v>
      </c>
      <c r="BT458" s="223">
        <v>-9999</v>
      </c>
      <c r="BU458" s="223">
        <v>-9999</v>
      </c>
      <c r="BV458" s="223">
        <v>-9999</v>
      </c>
      <c r="BW458" s="223"/>
      <c r="BX458" s="223">
        <v>-9999</v>
      </c>
      <c r="BY458" s="223">
        <v>-9999</v>
      </c>
      <c r="BZ458" s="332">
        <v>-9999</v>
      </c>
      <c r="CA458" s="332" t="s">
        <v>797</v>
      </c>
      <c r="CB458" s="247"/>
      <c r="CC458" s="241">
        <v>1</v>
      </c>
      <c r="CD458" s="242">
        <v>5</v>
      </c>
      <c r="CE458" s="401">
        <v>9</v>
      </c>
      <c r="CF458" s="292">
        <v>13.8</v>
      </c>
      <c r="CG458" s="84">
        <v>5</v>
      </c>
      <c r="CH458" s="479"/>
    </row>
    <row r="459" spans="1:1873" s="23" customFormat="1" x14ac:dyDescent="0.2">
      <c r="A459" s="25"/>
      <c r="B459" s="223"/>
      <c r="C459" s="223"/>
      <c r="D459" s="223"/>
      <c r="E459" s="241"/>
      <c r="F459" s="241"/>
      <c r="G459" s="242"/>
      <c r="H459" s="242"/>
      <c r="I459" s="223"/>
      <c r="J459" s="223"/>
      <c r="K459" s="223"/>
      <c r="L459" s="223"/>
      <c r="M459" s="243"/>
      <c r="N459" s="223"/>
      <c r="O459" s="29"/>
      <c r="P459" s="243"/>
      <c r="Q459" s="223"/>
      <c r="R459" s="243"/>
      <c r="S459" s="223"/>
      <c r="T459" s="243"/>
      <c r="U459" s="223"/>
      <c r="V459" s="223"/>
      <c r="W459" s="243"/>
      <c r="X459" s="223"/>
      <c r="Y459" s="223"/>
      <c r="Z459" s="223"/>
      <c r="AA459" s="442"/>
      <c r="AB459" s="243"/>
      <c r="AC459" s="223"/>
      <c r="AD459" s="223"/>
      <c r="AE459" s="223"/>
      <c r="AF459" s="223"/>
      <c r="AG459" s="223"/>
      <c r="AH459" s="223"/>
      <c r="AI459" s="223"/>
      <c r="AJ459" s="223"/>
      <c r="AK459" s="223"/>
      <c r="AL459" s="223"/>
      <c r="AM459" s="223"/>
      <c r="AN459" s="223"/>
      <c r="AO459" s="223"/>
      <c r="AP459" s="223"/>
      <c r="AQ459" s="223"/>
      <c r="AR459" s="223"/>
      <c r="AS459" s="223"/>
      <c r="AT459" s="223"/>
      <c r="AU459" s="223"/>
      <c r="AV459" s="223"/>
      <c r="AW459" s="223"/>
      <c r="AX459" s="223"/>
      <c r="AY459" s="223"/>
      <c r="AZ459" s="223"/>
      <c r="BA459" s="223"/>
      <c r="BB459" s="223"/>
      <c r="BC459" s="223"/>
      <c r="BD459" s="223"/>
      <c r="BE459" s="223"/>
      <c r="BF459" s="223"/>
      <c r="BG459" s="223"/>
      <c r="BH459" s="223"/>
      <c r="BI459" s="223"/>
      <c r="BJ459" s="223"/>
      <c r="BK459" s="223"/>
      <c r="BL459" s="223"/>
      <c r="BM459" s="223"/>
      <c r="BN459" s="223"/>
      <c r="BO459" s="223"/>
      <c r="BP459" s="223"/>
      <c r="BQ459" s="223"/>
      <c r="BR459" s="223"/>
      <c r="BS459" s="242"/>
      <c r="BT459" s="223"/>
      <c r="BU459" s="223"/>
      <c r="BV459" s="223"/>
      <c r="BW459" s="223"/>
      <c r="BX459" s="223"/>
      <c r="BY459" s="223"/>
      <c r="BZ459" s="332"/>
      <c r="CA459" s="332"/>
      <c r="CB459" s="247"/>
      <c r="CC459" s="241"/>
      <c r="CD459" s="242"/>
      <c r="CE459" s="342" t="s">
        <v>1576</v>
      </c>
      <c r="CF459" s="342" t="s">
        <v>1575</v>
      </c>
      <c r="CG459" s="84"/>
    </row>
    <row r="460" spans="1:1873" s="23" customFormat="1" x14ac:dyDescent="0.2">
      <c r="A460" s="32" t="s">
        <v>785</v>
      </c>
      <c r="B460" s="223" t="s">
        <v>68</v>
      </c>
      <c r="C460" s="404" t="s">
        <v>1439</v>
      </c>
      <c r="D460" s="223" t="s">
        <v>619</v>
      </c>
      <c r="E460" s="241" t="s">
        <v>1449</v>
      </c>
      <c r="F460" s="241">
        <v>1</v>
      </c>
      <c r="G460" s="242">
        <v>2</v>
      </c>
      <c r="H460" s="242">
        <v>2</v>
      </c>
      <c r="I460" s="223" t="s">
        <v>954</v>
      </c>
      <c r="J460" s="223">
        <v>1973</v>
      </c>
      <c r="K460" s="223" t="s">
        <v>957</v>
      </c>
      <c r="L460" s="223">
        <v>1977</v>
      </c>
      <c r="M460" s="243">
        <v>-9999</v>
      </c>
      <c r="N460" s="223">
        <v>-9999</v>
      </c>
      <c r="O460" s="29"/>
      <c r="P460" s="285">
        <f>+T460*G460</f>
        <v>2.2000000000000002</v>
      </c>
      <c r="Q460" s="223">
        <v>-9999</v>
      </c>
      <c r="R460" s="243"/>
      <c r="S460" s="223"/>
      <c r="T460" s="243">
        <v>1.1000000000000001</v>
      </c>
      <c r="U460" s="223">
        <v>-9999</v>
      </c>
      <c r="V460" s="223"/>
      <c r="W460" s="244">
        <f>+P460-P459</f>
        <v>2.2000000000000002</v>
      </c>
      <c r="X460" s="223">
        <v>-9999</v>
      </c>
      <c r="Y460" s="223"/>
      <c r="Z460" s="223" t="s">
        <v>67</v>
      </c>
      <c r="AA460" s="441">
        <v>6719</v>
      </c>
      <c r="AB460" s="243">
        <v>-9999</v>
      </c>
      <c r="AC460" s="223">
        <v>-9999</v>
      </c>
      <c r="AD460" s="223">
        <f>0.059*10000</f>
        <v>590</v>
      </c>
      <c r="AE460" s="404" t="s">
        <v>1953</v>
      </c>
      <c r="AF460" s="223">
        <v>1</v>
      </c>
      <c r="AG460" s="223">
        <v>2</v>
      </c>
      <c r="AH460" s="223" t="s">
        <v>623</v>
      </c>
      <c r="AI460" s="223">
        <v>-9999</v>
      </c>
      <c r="AJ460" s="223">
        <v>-9999</v>
      </c>
      <c r="AK460" s="223" t="s">
        <v>626</v>
      </c>
      <c r="AL460" s="223" t="s">
        <v>653</v>
      </c>
      <c r="AM460" s="223">
        <v>-9999</v>
      </c>
      <c r="AN460" s="223" t="s">
        <v>626</v>
      </c>
      <c r="AO460" s="223" t="s">
        <v>69</v>
      </c>
      <c r="AP460" s="223" t="s">
        <v>70</v>
      </c>
      <c r="AQ460" s="223" t="s">
        <v>626</v>
      </c>
      <c r="AR460" s="223">
        <f>112*2</f>
        <v>224</v>
      </c>
      <c r="AS460" s="223" t="s">
        <v>224</v>
      </c>
      <c r="AT460" s="223" t="s">
        <v>790</v>
      </c>
      <c r="AU460" s="223">
        <v>0</v>
      </c>
      <c r="AV460" s="223">
        <v>-9999</v>
      </c>
      <c r="AW460" s="223">
        <v>-9999</v>
      </c>
      <c r="AX460" s="223">
        <v>0</v>
      </c>
      <c r="AY460" s="223">
        <v>-9999</v>
      </c>
      <c r="AZ460" s="223" t="s">
        <v>790</v>
      </c>
      <c r="BA460" s="223" t="s">
        <v>71</v>
      </c>
      <c r="BB460" s="223" t="s">
        <v>626</v>
      </c>
      <c r="BC460" s="223" t="s">
        <v>791</v>
      </c>
      <c r="BD460" s="223" t="s">
        <v>72</v>
      </c>
      <c r="BE460" s="223"/>
      <c r="BF460" s="223"/>
      <c r="BG460" s="223">
        <v>-9999</v>
      </c>
      <c r="BH460" s="223">
        <v>-9999</v>
      </c>
      <c r="BI460" s="223">
        <v>-9999</v>
      </c>
      <c r="BJ460" s="223">
        <v>-9999</v>
      </c>
      <c r="BK460" s="223">
        <v>-9999</v>
      </c>
      <c r="BL460" s="223">
        <v>-9999</v>
      </c>
      <c r="BM460" s="223">
        <v>-9999</v>
      </c>
      <c r="BN460" s="223">
        <v>-9999</v>
      </c>
      <c r="BO460" s="223">
        <v>-9999</v>
      </c>
      <c r="BP460" s="223">
        <v>-9999</v>
      </c>
      <c r="BQ460" s="223">
        <v>-9999</v>
      </c>
      <c r="BR460" s="223">
        <v>-9999</v>
      </c>
      <c r="BS460" s="242">
        <v>-9999</v>
      </c>
      <c r="BT460" s="223">
        <v>-9999</v>
      </c>
      <c r="BU460" s="223">
        <v>-9999</v>
      </c>
      <c r="BV460" s="223">
        <v>-9999</v>
      </c>
      <c r="BW460" s="223"/>
      <c r="BX460" s="223">
        <v>-9999</v>
      </c>
      <c r="BY460" s="223">
        <v>-9999</v>
      </c>
      <c r="BZ460" s="332">
        <v>-9999</v>
      </c>
      <c r="CA460" s="332" t="s">
        <v>797</v>
      </c>
      <c r="CB460" s="247"/>
      <c r="CC460" s="241">
        <v>1</v>
      </c>
      <c r="CD460" s="242">
        <v>2</v>
      </c>
      <c r="CE460" s="292">
        <v>1.1000000000000001</v>
      </c>
      <c r="CF460" s="292">
        <v>2.2000000000000002</v>
      </c>
      <c r="CG460" s="84">
        <v>2</v>
      </c>
    </row>
    <row r="461" spans="1:1873" s="23" customFormat="1" x14ac:dyDescent="0.2">
      <c r="A461" s="32" t="s">
        <v>785</v>
      </c>
      <c r="B461" s="223" t="s">
        <v>68</v>
      </c>
      <c r="C461" s="404" t="s">
        <v>1439</v>
      </c>
      <c r="D461" s="223" t="s">
        <v>619</v>
      </c>
      <c r="E461" s="241" t="s">
        <v>1449</v>
      </c>
      <c r="F461" s="241">
        <v>1</v>
      </c>
      <c r="G461" s="242">
        <v>3</v>
      </c>
      <c r="H461" s="242">
        <v>3</v>
      </c>
      <c r="I461" s="223" t="s">
        <v>954</v>
      </c>
      <c r="J461" s="223">
        <v>1973</v>
      </c>
      <c r="K461" s="223" t="s">
        <v>957</v>
      </c>
      <c r="L461" s="223">
        <v>1977</v>
      </c>
      <c r="M461" s="243">
        <v>-9999</v>
      </c>
      <c r="N461" s="223">
        <v>-9999</v>
      </c>
      <c r="O461" s="29"/>
      <c r="P461" s="285">
        <f>+T461*G461</f>
        <v>6.6000000000000005</v>
      </c>
      <c r="Q461" s="223">
        <v>-9999</v>
      </c>
      <c r="R461" s="243"/>
      <c r="S461" s="223"/>
      <c r="T461" s="243">
        <v>2.2000000000000002</v>
      </c>
      <c r="U461" s="223">
        <v>-9999</v>
      </c>
      <c r="V461" s="223"/>
      <c r="W461" s="244">
        <f>+P461-P460</f>
        <v>4.4000000000000004</v>
      </c>
      <c r="X461" s="223">
        <v>-9999</v>
      </c>
      <c r="Y461" s="223"/>
      <c r="Z461" s="223" t="s">
        <v>67</v>
      </c>
      <c r="AA461" s="441">
        <v>6719</v>
      </c>
      <c r="AB461" s="243">
        <v>-9999</v>
      </c>
      <c r="AC461" s="223">
        <v>-9999</v>
      </c>
      <c r="AD461" s="223">
        <f t="shared" ref="AD461:AD463" si="22">0.059*10000</f>
        <v>590</v>
      </c>
      <c r="AE461" s="404" t="s">
        <v>1953</v>
      </c>
      <c r="AF461" s="223">
        <v>1</v>
      </c>
      <c r="AG461" s="223">
        <v>2</v>
      </c>
      <c r="AH461" s="223" t="s">
        <v>623</v>
      </c>
      <c r="AI461" s="223">
        <v>-9999</v>
      </c>
      <c r="AJ461" s="223">
        <v>-9999</v>
      </c>
      <c r="AK461" s="223" t="s">
        <v>626</v>
      </c>
      <c r="AL461" s="223" t="s">
        <v>653</v>
      </c>
      <c r="AM461" s="223">
        <v>-9999</v>
      </c>
      <c r="AN461" s="223" t="s">
        <v>626</v>
      </c>
      <c r="AO461" s="223" t="s">
        <v>69</v>
      </c>
      <c r="AP461" s="223" t="s">
        <v>70</v>
      </c>
      <c r="AQ461" s="223" t="s">
        <v>626</v>
      </c>
      <c r="AR461" s="223">
        <f>112+AR460</f>
        <v>336</v>
      </c>
      <c r="AS461" s="223" t="s">
        <v>224</v>
      </c>
      <c r="AT461" s="223" t="s">
        <v>790</v>
      </c>
      <c r="AU461" s="223">
        <v>0</v>
      </c>
      <c r="AV461" s="223">
        <v>-9999</v>
      </c>
      <c r="AW461" s="223">
        <v>-9999</v>
      </c>
      <c r="AX461" s="223">
        <v>0</v>
      </c>
      <c r="AY461" s="223">
        <v>-9999</v>
      </c>
      <c r="AZ461" s="223" t="s">
        <v>790</v>
      </c>
      <c r="BA461" s="223" t="s">
        <v>71</v>
      </c>
      <c r="BB461" s="223" t="s">
        <v>626</v>
      </c>
      <c r="BC461" s="223" t="s">
        <v>791</v>
      </c>
      <c r="BD461" s="223" t="s">
        <v>72</v>
      </c>
      <c r="BE461" s="223"/>
      <c r="BF461" s="223"/>
      <c r="BG461" s="223">
        <v>-9999</v>
      </c>
      <c r="BH461" s="223">
        <v>-9999</v>
      </c>
      <c r="BI461" s="223">
        <v>-9999</v>
      </c>
      <c r="BJ461" s="223">
        <v>-9999</v>
      </c>
      <c r="BK461" s="223">
        <v>-9999</v>
      </c>
      <c r="BL461" s="223">
        <v>-9999</v>
      </c>
      <c r="BM461" s="223">
        <v>-9999</v>
      </c>
      <c r="BN461" s="223">
        <v>-9999</v>
      </c>
      <c r="BO461" s="223">
        <v>-9999</v>
      </c>
      <c r="BP461" s="223">
        <v>-9999</v>
      </c>
      <c r="BQ461" s="223">
        <v>-9999</v>
      </c>
      <c r="BR461" s="223">
        <v>-9999</v>
      </c>
      <c r="BS461" s="242">
        <v>-9999</v>
      </c>
      <c r="BT461" s="223">
        <v>-9999</v>
      </c>
      <c r="BU461" s="223">
        <v>-9999</v>
      </c>
      <c r="BV461" s="223">
        <v>-9999</v>
      </c>
      <c r="BW461" s="223"/>
      <c r="BX461" s="223">
        <v>-9999</v>
      </c>
      <c r="BY461" s="223">
        <v>-9999</v>
      </c>
      <c r="BZ461" s="332">
        <v>-9999</v>
      </c>
      <c r="CA461" s="332" t="s">
        <v>797</v>
      </c>
      <c r="CB461" s="247"/>
      <c r="CC461" s="241">
        <v>1</v>
      </c>
      <c r="CD461" s="242">
        <v>3</v>
      </c>
      <c r="CE461" s="292">
        <v>2.2000000000000002</v>
      </c>
      <c r="CF461" s="292">
        <v>4.4000000000000004</v>
      </c>
      <c r="CG461" s="84">
        <v>3</v>
      </c>
    </row>
    <row r="462" spans="1:1873" s="23" customFormat="1" x14ac:dyDescent="0.2">
      <c r="A462" s="32" t="s">
        <v>785</v>
      </c>
      <c r="B462" s="223" t="s">
        <v>68</v>
      </c>
      <c r="C462" s="404" t="s">
        <v>1439</v>
      </c>
      <c r="D462" s="223" t="s">
        <v>619</v>
      </c>
      <c r="E462" s="241" t="s">
        <v>1449</v>
      </c>
      <c r="F462" s="241">
        <v>1</v>
      </c>
      <c r="G462" s="242">
        <v>4</v>
      </c>
      <c r="H462" s="242">
        <v>4</v>
      </c>
      <c r="I462" s="223" t="s">
        <v>954</v>
      </c>
      <c r="J462" s="223">
        <v>1973</v>
      </c>
      <c r="K462" s="223" t="s">
        <v>957</v>
      </c>
      <c r="L462" s="223">
        <v>1977</v>
      </c>
      <c r="M462" s="243">
        <v>-9999</v>
      </c>
      <c r="N462" s="223">
        <v>-9999</v>
      </c>
      <c r="O462" s="29"/>
      <c r="P462" s="285">
        <f>+T462*G462</f>
        <v>20.8</v>
      </c>
      <c r="Q462" s="223">
        <v>-9999</v>
      </c>
      <c r="R462" s="243"/>
      <c r="S462" s="223"/>
      <c r="T462" s="243">
        <v>5.2</v>
      </c>
      <c r="U462" s="223">
        <v>-9999</v>
      </c>
      <c r="V462" s="223"/>
      <c r="W462" s="244">
        <f>+P462-P461</f>
        <v>14.2</v>
      </c>
      <c r="X462" s="223">
        <v>-9999</v>
      </c>
      <c r="Y462" s="223"/>
      <c r="Z462" s="223" t="s">
        <v>67</v>
      </c>
      <c r="AA462" s="441">
        <v>6719</v>
      </c>
      <c r="AB462" s="243">
        <v>-9999</v>
      </c>
      <c r="AC462" s="223">
        <v>-9999</v>
      </c>
      <c r="AD462" s="223">
        <f t="shared" si="22"/>
        <v>590</v>
      </c>
      <c r="AE462" s="404" t="s">
        <v>1953</v>
      </c>
      <c r="AF462" s="223">
        <v>1</v>
      </c>
      <c r="AG462" s="223">
        <v>2</v>
      </c>
      <c r="AH462" s="223" t="s">
        <v>623</v>
      </c>
      <c r="AI462" s="223">
        <v>-9999</v>
      </c>
      <c r="AJ462" s="223">
        <v>-9999</v>
      </c>
      <c r="AK462" s="223" t="s">
        <v>626</v>
      </c>
      <c r="AL462" s="223" t="s">
        <v>653</v>
      </c>
      <c r="AM462" s="223">
        <v>-9999</v>
      </c>
      <c r="AN462" s="223" t="s">
        <v>626</v>
      </c>
      <c r="AO462" s="223" t="s">
        <v>69</v>
      </c>
      <c r="AP462" s="223" t="s">
        <v>70</v>
      </c>
      <c r="AQ462" s="223" t="s">
        <v>626</v>
      </c>
      <c r="AR462" s="223">
        <f>112+AR461</f>
        <v>448</v>
      </c>
      <c r="AS462" s="223" t="s">
        <v>224</v>
      </c>
      <c r="AT462" s="223" t="s">
        <v>790</v>
      </c>
      <c r="AU462" s="223">
        <v>0</v>
      </c>
      <c r="AV462" s="223">
        <v>-9999</v>
      </c>
      <c r="AW462" s="223">
        <v>-9999</v>
      </c>
      <c r="AX462" s="223">
        <v>0</v>
      </c>
      <c r="AY462" s="223">
        <v>-9999</v>
      </c>
      <c r="AZ462" s="223" t="s">
        <v>790</v>
      </c>
      <c r="BA462" s="223" t="s">
        <v>71</v>
      </c>
      <c r="BB462" s="223" t="s">
        <v>626</v>
      </c>
      <c r="BC462" s="223" t="s">
        <v>791</v>
      </c>
      <c r="BD462" s="223" t="s">
        <v>72</v>
      </c>
      <c r="BE462" s="223"/>
      <c r="BF462" s="223"/>
      <c r="BG462" s="223">
        <v>-9999</v>
      </c>
      <c r="BH462" s="223">
        <v>-9999</v>
      </c>
      <c r="BI462" s="223">
        <v>-9999</v>
      </c>
      <c r="BJ462" s="223">
        <v>-9999</v>
      </c>
      <c r="BK462" s="223">
        <v>-9999</v>
      </c>
      <c r="BL462" s="223">
        <v>-9999</v>
      </c>
      <c r="BM462" s="223">
        <v>-9999</v>
      </c>
      <c r="BN462" s="223">
        <v>-9999</v>
      </c>
      <c r="BO462" s="223">
        <v>-9999</v>
      </c>
      <c r="BP462" s="223">
        <v>-9999</v>
      </c>
      <c r="BQ462" s="223">
        <v>-9999</v>
      </c>
      <c r="BR462" s="223">
        <v>-9999</v>
      </c>
      <c r="BS462" s="242">
        <v>-9999</v>
      </c>
      <c r="BT462" s="223">
        <v>-9999</v>
      </c>
      <c r="BU462" s="223">
        <v>-9999</v>
      </c>
      <c r="BV462" s="223">
        <v>-9999</v>
      </c>
      <c r="BW462" s="223"/>
      <c r="BX462" s="223">
        <v>-9999</v>
      </c>
      <c r="BY462" s="223">
        <v>-9999</v>
      </c>
      <c r="BZ462" s="332">
        <v>-9999</v>
      </c>
      <c r="CA462" s="332" t="s">
        <v>797</v>
      </c>
      <c r="CB462" s="247"/>
      <c r="CC462" s="241">
        <v>1</v>
      </c>
      <c r="CD462" s="242">
        <v>4</v>
      </c>
      <c r="CE462" s="292">
        <v>5.2</v>
      </c>
      <c r="CF462" s="292">
        <v>14.2</v>
      </c>
      <c r="CG462" s="84">
        <v>4</v>
      </c>
    </row>
    <row r="463" spans="1:1873" s="23" customFormat="1" x14ac:dyDescent="0.2">
      <c r="A463" s="32" t="s">
        <v>785</v>
      </c>
      <c r="B463" s="223" t="s">
        <v>68</v>
      </c>
      <c r="C463" s="404" t="s">
        <v>1439</v>
      </c>
      <c r="D463" s="223" t="s">
        <v>619</v>
      </c>
      <c r="E463" s="241" t="s">
        <v>1449</v>
      </c>
      <c r="F463" s="241">
        <v>1</v>
      </c>
      <c r="G463" s="242">
        <v>5</v>
      </c>
      <c r="H463" s="242">
        <v>5</v>
      </c>
      <c r="I463" s="223" t="s">
        <v>954</v>
      </c>
      <c r="J463" s="223">
        <v>1973</v>
      </c>
      <c r="K463" s="223" t="s">
        <v>957</v>
      </c>
      <c r="L463" s="223">
        <v>1977</v>
      </c>
      <c r="M463" s="243">
        <v>-9999</v>
      </c>
      <c r="N463" s="223">
        <v>-9999</v>
      </c>
      <c r="O463" s="29"/>
      <c r="P463" s="285">
        <f>+T463*G463</f>
        <v>33.5</v>
      </c>
      <c r="Q463" s="223">
        <v>-9999</v>
      </c>
      <c r="R463" s="243"/>
      <c r="S463" s="223"/>
      <c r="T463" s="243">
        <v>6.7</v>
      </c>
      <c r="U463" s="223">
        <v>-9999</v>
      </c>
      <c r="V463" s="223"/>
      <c r="W463" s="244">
        <f>+P463-P462</f>
        <v>12.7</v>
      </c>
      <c r="X463" s="223">
        <v>-9999</v>
      </c>
      <c r="Y463" s="223"/>
      <c r="Z463" s="223" t="s">
        <v>67</v>
      </c>
      <c r="AA463" s="441">
        <v>6719</v>
      </c>
      <c r="AB463" s="243">
        <v>-9999</v>
      </c>
      <c r="AC463" s="223">
        <v>-9999</v>
      </c>
      <c r="AD463" s="223">
        <f t="shared" si="22"/>
        <v>590</v>
      </c>
      <c r="AE463" s="404" t="s">
        <v>1953</v>
      </c>
      <c r="AF463" s="223">
        <v>1</v>
      </c>
      <c r="AG463" s="223">
        <v>2</v>
      </c>
      <c r="AH463" s="223" t="s">
        <v>623</v>
      </c>
      <c r="AI463" s="223">
        <v>-9999</v>
      </c>
      <c r="AJ463" s="223">
        <v>-9999</v>
      </c>
      <c r="AK463" s="223" t="s">
        <v>626</v>
      </c>
      <c r="AL463" s="223" t="s">
        <v>653</v>
      </c>
      <c r="AM463" s="223">
        <v>-9999</v>
      </c>
      <c r="AN463" s="223" t="s">
        <v>626</v>
      </c>
      <c r="AO463" s="223" t="s">
        <v>69</v>
      </c>
      <c r="AP463" s="223" t="s">
        <v>70</v>
      </c>
      <c r="AQ463" s="223" t="s">
        <v>626</v>
      </c>
      <c r="AR463" s="223">
        <f>112+AR462</f>
        <v>560</v>
      </c>
      <c r="AS463" s="223" t="s">
        <v>224</v>
      </c>
      <c r="AT463" s="223" t="s">
        <v>790</v>
      </c>
      <c r="AU463" s="223">
        <v>0</v>
      </c>
      <c r="AV463" s="223">
        <v>-9999</v>
      </c>
      <c r="AW463" s="223">
        <v>-9999</v>
      </c>
      <c r="AX463" s="223">
        <v>0</v>
      </c>
      <c r="AY463" s="223">
        <v>-9999</v>
      </c>
      <c r="AZ463" s="223" t="s">
        <v>790</v>
      </c>
      <c r="BA463" s="223" t="s">
        <v>71</v>
      </c>
      <c r="BB463" s="223" t="s">
        <v>626</v>
      </c>
      <c r="BC463" s="223" t="s">
        <v>791</v>
      </c>
      <c r="BD463" s="223" t="s">
        <v>72</v>
      </c>
      <c r="BE463" s="223"/>
      <c r="BF463" s="223"/>
      <c r="BG463" s="223">
        <v>-9999</v>
      </c>
      <c r="BH463" s="223">
        <v>-9999</v>
      </c>
      <c r="BI463" s="223">
        <v>-9999</v>
      </c>
      <c r="BJ463" s="223">
        <v>-9999</v>
      </c>
      <c r="BK463" s="223">
        <v>-9999</v>
      </c>
      <c r="BL463" s="223">
        <v>-9999</v>
      </c>
      <c r="BM463" s="223">
        <v>-9999</v>
      </c>
      <c r="BN463" s="223">
        <v>-9999</v>
      </c>
      <c r="BO463" s="223">
        <v>-9999</v>
      </c>
      <c r="BP463" s="223">
        <v>-9999</v>
      </c>
      <c r="BQ463" s="223">
        <v>-9999</v>
      </c>
      <c r="BR463" s="223">
        <v>-9999</v>
      </c>
      <c r="BS463" s="242">
        <v>-9999</v>
      </c>
      <c r="BT463" s="223">
        <v>-9999</v>
      </c>
      <c r="BU463" s="223">
        <v>-9999</v>
      </c>
      <c r="BV463" s="223">
        <v>-9999</v>
      </c>
      <c r="BW463" s="223"/>
      <c r="BX463" s="223">
        <v>-9999</v>
      </c>
      <c r="BY463" s="223">
        <v>-9999</v>
      </c>
      <c r="BZ463" s="332">
        <v>-9999</v>
      </c>
      <c r="CA463" s="332" t="s">
        <v>797</v>
      </c>
      <c r="CB463" s="247"/>
      <c r="CC463" s="241">
        <v>1</v>
      </c>
      <c r="CD463" s="242">
        <v>5</v>
      </c>
      <c r="CE463" s="292">
        <v>6.7</v>
      </c>
      <c r="CF463" s="292">
        <v>12.7</v>
      </c>
      <c r="CG463" s="84">
        <v>5</v>
      </c>
    </row>
    <row r="464" spans="1:1873" s="23" customFormat="1" x14ac:dyDescent="0.2">
      <c r="A464" s="29"/>
      <c r="B464" s="29"/>
      <c r="C464" s="29"/>
      <c r="D464" s="29"/>
      <c r="E464" s="66"/>
      <c r="F464" s="66"/>
      <c r="G464" s="29"/>
      <c r="H464" s="30"/>
      <c r="I464" s="29"/>
      <c r="J464" s="29"/>
      <c r="K464" s="29"/>
      <c r="L464" s="29"/>
      <c r="M464" s="31"/>
      <c r="N464" s="29"/>
      <c r="O464" s="29"/>
      <c r="P464" s="31"/>
      <c r="Q464" s="29"/>
      <c r="R464" s="31"/>
      <c r="S464" s="29"/>
      <c r="T464" s="31"/>
      <c r="U464" s="29"/>
      <c r="V464" s="29"/>
      <c r="W464" s="31"/>
      <c r="X464" s="29"/>
      <c r="Y464" s="29"/>
      <c r="Z464" s="29"/>
      <c r="AA464" s="379"/>
      <c r="AB464" s="31"/>
      <c r="AC464" s="29"/>
      <c r="AD464" s="29"/>
      <c r="AE464" s="29"/>
      <c r="AF464" s="29"/>
      <c r="AG464" s="29"/>
      <c r="AH464" s="29"/>
      <c r="AI464" s="29"/>
      <c r="AJ464" s="29"/>
      <c r="AK464" s="29"/>
      <c r="AL464" s="29"/>
      <c r="AM464" s="29"/>
      <c r="AN464" s="29"/>
      <c r="AO464" s="29"/>
      <c r="AP464" s="29"/>
      <c r="AQ464" s="29"/>
      <c r="AR464" s="29"/>
      <c r="AS464" s="29"/>
      <c r="AT464" s="29"/>
      <c r="AU464" s="29"/>
      <c r="AV464" s="29"/>
      <c r="AW464" s="29"/>
      <c r="AX464" s="29"/>
      <c r="AY464" s="29"/>
      <c r="AZ464" s="29"/>
      <c r="BA464" s="29"/>
      <c r="BB464" s="29"/>
      <c r="BC464" s="29"/>
      <c r="BD464" s="29"/>
      <c r="BE464" s="29"/>
      <c r="BF464" s="29"/>
      <c r="BG464" s="29"/>
      <c r="BH464" s="29"/>
      <c r="BI464" s="29"/>
      <c r="BJ464" s="29"/>
      <c r="BK464" s="29"/>
      <c r="BL464" s="29"/>
      <c r="BM464" s="29"/>
      <c r="BN464" s="29"/>
      <c r="BO464" s="29"/>
      <c r="BP464" s="29"/>
      <c r="BQ464" s="29"/>
      <c r="BR464" s="29"/>
      <c r="BS464" s="30"/>
      <c r="BT464" s="29"/>
      <c r="BU464" s="29"/>
      <c r="BV464" s="29"/>
      <c r="BW464" s="29"/>
      <c r="BX464" s="29"/>
      <c r="BY464" s="29"/>
      <c r="BZ464" s="98"/>
      <c r="CA464" s="98"/>
      <c r="CC464" s="66"/>
      <c r="CD464" s="29"/>
      <c r="CE464" s="342" t="s">
        <v>1576</v>
      </c>
      <c r="CF464" s="342" t="s">
        <v>1575</v>
      </c>
      <c r="CG464" s="30"/>
    </row>
    <row r="465" spans="1:1873" s="23" customFormat="1" x14ac:dyDescent="0.2">
      <c r="A465" s="223" t="s">
        <v>785</v>
      </c>
      <c r="B465" s="223" t="s">
        <v>786</v>
      </c>
      <c r="C465" s="223" t="s">
        <v>293</v>
      </c>
      <c r="D465" s="223" t="s">
        <v>619</v>
      </c>
      <c r="E465" s="241" t="s">
        <v>1438</v>
      </c>
      <c r="F465" s="241">
        <v>1</v>
      </c>
      <c r="G465" s="223">
        <v>3</v>
      </c>
      <c r="H465" s="242">
        <v>3</v>
      </c>
      <c r="I465" s="223" t="s">
        <v>954</v>
      </c>
      <c r="J465" s="223">
        <v>1977</v>
      </c>
      <c r="K465" s="223" t="s">
        <v>957</v>
      </c>
      <c r="L465" s="223">
        <v>1979</v>
      </c>
      <c r="M465" s="243">
        <v>-9999</v>
      </c>
      <c r="N465" s="223">
        <v>-9999</v>
      </c>
      <c r="O465" s="29"/>
      <c r="P465" s="285">
        <f t="shared" ref="P465:P470" si="23">+T465*G465</f>
        <v>17.399999999999999</v>
      </c>
      <c r="Q465" s="223">
        <v>-9999</v>
      </c>
      <c r="R465" s="243"/>
      <c r="S465" s="223"/>
      <c r="T465" s="243">
        <v>5.8</v>
      </c>
      <c r="U465" s="243">
        <v>1.4</v>
      </c>
      <c r="V465" s="243"/>
      <c r="W465" s="244">
        <f t="shared" ref="W465:W470" si="24">+P465-P464</f>
        <v>17.399999999999999</v>
      </c>
      <c r="X465" s="223">
        <v>-9999</v>
      </c>
      <c r="Y465" s="223"/>
      <c r="Z465" s="223" t="s">
        <v>787</v>
      </c>
      <c r="AA465" s="442">
        <v>27778</v>
      </c>
      <c r="AB465" s="243">
        <v>-9999</v>
      </c>
      <c r="AC465" s="223">
        <v>-9999</v>
      </c>
      <c r="AD465" s="223">
        <f>0.19*10000</f>
        <v>1900</v>
      </c>
      <c r="AE465" s="404" t="s">
        <v>1954</v>
      </c>
      <c r="AF465" s="223">
        <v>16</v>
      </c>
      <c r="AG465" s="240" t="s">
        <v>283</v>
      </c>
      <c r="AH465" s="223" t="s">
        <v>623</v>
      </c>
      <c r="AI465" s="223">
        <v>-9999</v>
      </c>
      <c r="AJ465" s="223">
        <v>-9999</v>
      </c>
      <c r="AK465" s="223" t="s">
        <v>631</v>
      </c>
      <c r="AL465" s="223">
        <v>-9999</v>
      </c>
      <c r="AM465" s="223">
        <v>-9999</v>
      </c>
      <c r="AN465" s="223" t="s">
        <v>626</v>
      </c>
      <c r="AO465" s="223" t="s">
        <v>788</v>
      </c>
      <c r="AP465" s="223" t="s">
        <v>789</v>
      </c>
      <c r="AQ465" s="223" t="s">
        <v>626</v>
      </c>
      <c r="AR465" s="223">
        <f>112*G465</f>
        <v>336</v>
      </c>
      <c r="AS465" s="223" t="s">
        <v>723</v>
      </c>
      <c r="AT465" s="223" t="s">
        <v>790</v>
      </c>
      <c r="AU465" s="223">
        <v>0</v>
      </c>
      <c r="AV465" s="223">
        <v>-9999</v>
      </c>
      <c r="AW465" s="223">
        <v>-9999</v>
      </c>
      <c r="AX465" s="223">
        <v>0</v>
      </c>
      <c r="AY465" s="223">
        <v>-9999</v>
      </c>
      <c r="AZ465" s="223" t="s">
        <v>790</v>
      </c>
      <c r="BA465" s="223">
        <v>-9999</v>
      </c>
      <c r="BB465" s="223" t="s">
        <v>626</v>
      </c>
      <c r="BC465" s="223" t="s">
        <v>791</v>
      </c>
      <c r="BD465" s="223" t="s">
        <v>792</v>
      </c>
      <c r="BE465" s="223"/>
      <c r="BF465" s="223">
        <v>-9999</v>
      </c>
      <c r="BG465" s="223">
        <v>-9999</v>
      </c>
      <c r="BH465" s="223">
        <v>-9999</v>
      </c>
      <c r="BI465" s="223">
        <v>-9999</v>
      </c>
      <c r="BJ465" s="223">
        <v>-9999</v>
      </c>
      <c r="BK465" s="223">
        <v>-9999</v>
      </c>
      <c r="BL465" s="223">
        <v>-9999</v>
      </c>
      <c r="BM465" s="223">
        <v>-9999</v>
      </c>
      <c r="BN465" s="223">
        <v>-9999</v>
      </c>
      <c r="BO465" s="223">
        <v>-9999</v>
      </c>
      <c r="BP465" s="223">
        <v>-9999</v>
      </c>
      <c r="BQ465" s="223">
        <v>-9999</v>
      </c>
      <c r="BR465" s="223">
        <v>-9999</v>
      </c>
      <c r="BS465" s="242">
        <v>-9999</v>
      </c>
      <c r="BT465" s="223">
        <v>-9999</v>
      </c>
      <c r="BU465" s="223">
        <v>-9999</v>
      </c>
      <c r="BV465" s="223">
        <v>-9999</v>
      </c>
      <c r="BW465" s="223"/>
      <c r="BX465" s="223">
        <v>-9999</v>
      </c>
      <c r="BY465" s="223">
        <v>-9999</v>
      </c>
      <c r="BZ465" s="223">
        <v>-9999</v>
      </c>
      <c r="CA465" s="332">
        <v>-9999</v>
      </c>
      <c r="CB465" s="247"/>
      <c r="CC465" s="83">
        <v>1</v>
      </c>
      <c r="CD465" s="32">
        <v>3</v>
      </c>
      <c r="CE465" s="292">
        <v>5.8</v>
      </c>
      <c r="CF465" s="292">
        <v>17.399999999999999</v>
      </c>
      <c r="CG465" s="84">
        <v>3</v>
      </c>
    </row>
    <row r="466" spans="1:1873" s="23" customFormat="1" x14ac:dyDescent="0.2">
      <c r="A466" s="223" t="s">
        <v>785</v>
      </c>
      <c r="B466" s="223" t="s">
        <v>786</v>
      </c>
      <c r="C466" s="223" t="s">
        <v>293</v>
      </c>
      <c r="D466" s="223" t="s">
        <v>619</v>
      </c>
      <c r="E466" s="241" t="s">
        <v>1438</v>
      </c>
      <c r="F466" s="241">
        <v>1</v>
      </c>
      <c r="G466" s="223">
        <v>4</v>
      </c>
      <c r="H466" s="242">
        <v>4</v>
      </c>
      <c r="I466" s="223" t="s">
        <v>954</v>
      </c>
      <c r="J466" s="223">
        <v>1977</v>
      </c>
      <c r="K466" s="223" t="s">
        <v>957</v>
      </c>
      <c r="L466" s="223">
        <v>1980</v>
      </c>
      <c r="M466" s="243">
        <v>-9999</v>
      </c>
      <c r="N466" s="223">
        <v>-9999</v>
      </c>
      <c r="O466" s="29"/>
      <c r="P466" s="285">
        <f t="shared" si="23"/>
        <v>36</v>
      </c>
      <c r="Q466" s="223">
        <v>-9999</v>
      </c>
      <c r="R466" s="243"/>
      <c r="S466" s="223"/>
      <c r="T466" s="243">
        <v>9</v>
      </c>
      <c r="U466" s="243">
        <v>1.5</v>
      </c>
      <c r="V466" s="243"/>
      <c r="W466" s="244">
        <f t="shared" si="24"/>
        <v>18.600000000000001</v>
      </c>
      <c r="X466" s="223">
        <v>-9999</v>
      </c>
      <c r="Y466" s="223"/>
      <c r="Z466" s="223" t="s">
        <v>787</v>
      </c>
      <c r="AA466" s="442">
        <v>27778</v>
      </c>
      <c r="AB466" s="243">
        <v>-9999</v>
      </c>
      <c r="AC466" s="223">
        <v>-9999</v>
      </c>
      <c r="AD466" s="223">
        <f t="shared" ref="AD466:AD523" si="25">0.19*10000</f>
        <v>1900</v>
      </c>
      <c r="AE466" s="404" t="s">
        <v>1954</v>
      </c>
      <c r="AF466" s="223">
        <v>16</v>
      </c>
      <c r="AG466" s="240" t="s">
        <v>283</v>
      </c>
      <c r="AH466" s="223" t="s">
        <v>623</v>
      </c>
      <c r="AI466" s="223">
        <v>-9999</v>
      </c>
      <c r="AJ466" s="223">
        <v>-9999</v>
      </c>
      <c r="AK466" s="223" t="s">
        <v>631</v>
      </c>
      <c r="AL466" s="223">
        <v>-9999</v>
      </c>
      <c r="AM466" s="223">
        <v>-9999</v>
      </c>
      <c r="AN466" s="223" t="s">
        <v>626</v>
      </c>
      <c r="AO466" s="223" t="s">
        <v>788</v>
      </c>
      <c r="AP466" s="223" t="s">
        <v>789</v>
      </c>
      <c r="AQ466" s="223" t="s">
        <v>626</v>
      </c>
      <c r="AR466" s="223">
        <f>110+AR465</f>
        <v>446</v>
      </c>
      <c r="AS466" s="223" t="s">
        <v>723</v>
      </c>
      <c r="AT466" s="223" t="s">
        <v>790</v>
      </c>
      <c r="AU466" s="223">
        <v>0</v>
      </c>
      <c r="AV466" s="223">
        <v>-9999</v>
      </c>
      <c r="AW466" s="223">
        <v>-9999</v>
      </c>
      <c r="AX466" s="223">
        <v>0</v>
      </c>
      <c r="AY466" s="223">
        <v>-9999</v>
      </c>
      <c r="AZ466" s="223" t="s">
        <v>790</v>
      </c>
      <c r="BA466" s="223">
        <v>-9999</v>
      </c>
      <c r="BB466" s="223" t="s">
        <v>626</v>
      </c>
      <c r="BC466" s="223" t="s">
        <v>791</v>
      </c>
      <c r="BD466" s="223" t="s">
        <v>792</v>
      </c>
      <c r="BE466" s="223"/>
      <c r="BF466" s="223">
        <v>-9999</v>
      </c>
      <c r="BG466" s="223">
        <v>-9999</v>
      </c>
      <c r="BH466" s="223">
        <v>-9999</v>
      </c>
      <c r="BI466" s="223">
        <v>-9999</v>
      </c>
      <c r="BJ466" s="223">
        <v>-9999</v>
      </c>
      <c r="BK466" s="223">
        <v>-9999</v>
      </c>
      <c r="BL466" s="223">
        <v>-9999</v>
      </c>
      <c r="BM466" s="223">
        <v>-9999</v>
      </c>
      <c r="BN466" s="223">
        <v>-9999</v>
      </c>
      <c r="BO466" s="223">
        <v>-9999</v>
      </c>
      <c r="BP466" s="223">
        <v>-9999</v>
      </c>
      <c r="BQ466" s="223">
        <v>-9999</v>
      </c>
      <c r="BR466" s="223">
        <v>-9999</v>
      </c>
      <c r="BS466" s="242">
        <v>-9999</v>
      </c>
      <c r="BT466" s="223">
        <v>-9999</v>
      </c>
      <c r="BU466" s="223">
        <v>-9999</v>
      </c>
      <c r="BV466" s="223">
        <v>-9999</v>
      </c>
      <c r="BW466" s="223"/>
      <c r="BX466" s="223">
        <v>-9999</v>
      </c>
      <c r="BY466" s="223">
        <v>-9999</v>
      </c>
      <c r="BZ466" s="223">
        <v>-9999</v>
      </c>
      <c r="CA466" s="332">
        <v>-9999</v>
      </c>
      <c r="CB466" s="247"/>
      <c r="CC466" s="83">
        <v>1</v>
      </c>
      <c r="CD466" s="32">
        <v>4</v>
      </c>
      <c r="CE466" s="292">
        <v>9</v>
      </c>
      <c r="CF466" s="292">
        <v>18.600000000000001</v>
      </c>
      <c r="CG466" s="84">
        <v>4</v>
      </c>
    </row>
    <row r="467" spans="1:1873" s="23" customFormat="1" x14ac:dyDescent="0.2">
      <c r="A467" s="223" t="s">
        <v>785</v>
      </c>
      <c r="B467" s="223" t="s">
        <v>786</v>
      </c>
      <c r="C467" s="223" t="s">
        <v>293</v>
      </c>
      <c r="D467" s="223" t="s">
        <v>619</v>
      </c>
      <c r="E467" s="241" t="s">
        <v>1438</v>
      </c>
      <c r="F467" s="241">
        <v>1</v>
      </c>
      <c r="G467" s="223">
        <v>5</v>
      </c>
      <c r="H467" s="242">
        <v>5</v>
      </c>
      <c r="I467" s="223" t="s">
        <v>954</v>
      </c>
      <c r="J467" s="223">
        <v>1977</v>
      </c>
      <c r="K467" s="223" t="s">
        <v>957</v>
      </c>
      <c r="L467" s="223">
        <v>1981</v>
      </c>
      <c r="M467" s="243">
        <v>-9999</v>
      </c>
      <c r="N467" s="223">
        <v>-9999</v>
      </c>
      <c r="O467" s="29"/>
      <c r="P467" s="285">
        <f t="shared" si="23"/>
        <v>50.5</v>
      </c>
      <c r="Q467" s="223">
        <v>-9999</v>
      </c>
      <c r="R467" s="243"/>
      <c r="S467" s="223"/>
      <c r="T467" s="243">
        <v>10.1</v>
      </c>
      <c r="U467" s="243">
        <v>1.8</v>
      </c>
      <c r="V467" s="243"/>
      <c r="W467" s="244">
        <f t="shared" si="24"/>
        <v>14.5</v>
      </c>
      <c r="X467" s="223">
        <v>-9999</v>
      </c>
      <c r="Y467" s="223"/>
      <c r="Z467" s="223" t="s">
        <v>787</v>
      </c>
      <c r="AA467" s="442">
        <v>27778</v>
      </c>
      <c r="AB467" s="243">
        <v>-9999</v>
      </c>
      <c r="AC467" s="223">
        <v>-9999</v>
      </c>
      <c r="AD467" s="223">
        <f t="shared" si="25"/>
        <v>1900</v>
      </c>
      <c r="AE467" s="404" t="s">
        <v>1954</v>
      </c>
      <c r="AF467" s="223">
        <v>16</v>
      </c>
      <c r="AG467" s="240" t="s">
        <v>283</v>
      </c>
      <c r="AH467" s="223" t="s">
        <v>623</v>
      </c>
      <c r="AI467" s="223">
        <v>-9999</v>
      </c>
      <c r="AJ467" s="223">
        <v>-9999</v>
      </c>
      <c r="AK467" s="223" t="s">
        <v>631</v>
      </c>
      <c r="AL467" s="223">
        <v>-9999</v>
      </c>
      <c r="AM467" s="223">
        <v>-9999</v>
      </c>
      <c r="AN467" s="223" t="s">
        <v>626</v>
      </c>
      <c r="AO467" s="223" t="s">
        <v>788</v>
      </c>
      <c r="AP467" s="223" t="s">
        <v>789</v>
      </c>
      <c r="AQ467" s="223" t="s">
        <v>626</v>
      </c>
      <c r="AR467" s="223">
        <f>110+AR466</f>
        <v>556</v>
      </c>
      <c r="AS467" s="223" t="s">
        <v>723</v>
      </c>
      <c r="AT467" s="223" t="s">
        <v>790</v>
      </c>
      <c r="AU467" s="223">
        <v>0</v>
      </c>
      <c r="AV467" s="223">
        <v>-9999</v>
      </c>
      <c r="AW467" s="223">
        <v>-9999</v>
      </c>
      <c r="AX467" s="223">
        <v>0</v>
      </c>
      <c r="AY467" s="223">
        <v>-9999</v>
      </c>
      <c r="AZ467" s="223" t="s">
        <v>790</v>
      </c>
      <c r="BA467" s="223">
        <v>-9999</v>
      </c>
      <c r="BB467" s="223" t="s">
        <v>626</v>
      </c>
      <c r="BC467" s="223" t="s">
        <v>791</v>
      </c>
      <c r="BD467" s="223" t="s">
        <v>792</v>
      </c>
      <c r="BE467" s="223"/>
      <c r="BF467" s="223">
        <v>-9999</v>
      </c>
      <c r="BG467" s="223">
        <v>-9999</v>
      </c>
      <c r="BH467" s="223">
        <v>-9999</v>
      </c>
      <c r="BI467" s="223">
        <v>-9999</v>
      </c>
      <c r="BJ467" s="223">
        <v>-9999</v>
      </c>
      <c r="BK467" s="223">
        <v>-9999</v>
      </c>
      <c r="BL467" s="223">
        <v>-9999</v>
      </c>
      <c r="BM467" s="223">
        <v>-9999</v>
      </c>
      <c r="BN467" s="223">
        <v>-9999</v>
      </c>
      <c r="BO467" s="223">
        <v>-9999</v>
      </c>
      <c r="BP467" s="223">
        <v>-9999</v>
      </c>
      <c r="BQ467" s="223">
        <v>-9999</v>
      </c>
      <c r="BR467" s="223">
        <v>-9999</v>
      </c>
      <c r="BS467" s="242">
        <v>-9999</v>
      </c>
      <c r="BT467" s="223">
        <v>-9999</v>
      </c>
      <c r="BU467" s="223">
        <v>-9999</v>
      </c>
      <c r="BV467" s="223">
        <v>-9999</v>
      </c>
      <c r="BW467" s="223"/>
      <c r="BX467" s="223">
        <v>-9999</v>
      </c>
      <c r="BY467" s="223">
        <v>-9999</v>
      </c>
      <c r="BZ467" s="223">
        <v>-9999</v>
      </c>
      <c r="CA467" s="332">
        <v>-9999</v>
      </c>
      <c r="CB467" s="247"/>
      <c r="CC467" s="83">
        <v>1</v>
      </c>
      <c r="CD467" s="32">
        <v>5</v>
      </c>
      <c r="CE467" s="292">
        <v>10.1</v>
      </c>
      <c r="CF467" s="292">
        <v>14.5</v>
      </c>
      <c r="CG467" s="84">
        <v>5</v>
      </c>
    </row>
    <row r="468" spans="1:1873" s="199" customFormat="1" x14ac:dyDescent="0.2">
      <c r="A468" s="249" t="s">
        <v>785</v>
      </c>
      <c r="B468" s="249" t="s">
        <v>786</v>
      </c>
      <c r="C468" s="249" t="s">
        <v>293</v>
      </c>
      <c r="D468" s="249" t="s">
        <v>619</v>
      </c>
      <c r="E468" s="250" t="s">
        <v>1437</v>
      </c>
      <c r="F468" s="250">
        <v>1</v>
      </c>
      <c r="G468" s="249">
        <v>6</v>
      </c>
      <c r="H468" s="251">
        <v>6</v>
      </c>
      <c r="I468" s="249" t="s">
        <v>954</v>
      </c>
      <c r="J468" s="249">
        <v>1977</v>
      </c>
      <c r="K468" s="249" t="s">
        <v>957</v>
      </c>
      <c r="L468" s="249">
        <v>1982</v>
      </c>
      <c r="M468" s="253">
        <v>-9999</v>
      </c>
      <c r="N468" s="249">
        <v>-9999</v>
      </c>
      <c r="O468" s="18"/>
      <c r="P468" s="558">
        <f t="shared" si="23"/>
        <v>64.800000000000011</v>
      </c>
      <c r="Q468" s="249">
        <v>-9999</v>
      </c>
      <c r="R468" s="253"/>
      <c r="S468" s="249"/>
      <c r="T468" s="253">
        <v>10.8</v>
      </c>
      <c r="U468" s="253">
        <v>2.2999999999999998</v>
      </c>
      <c r="V468" s="253"/>
      <c r="W468" s="284">
        <f t="shared" si="24"/>
        <v>14.300000000000011</v>
      </c>
      <c r="X468" s="249">
        <v>-9999</v>
      </c>
      <c r="Y468" s="249"/>
      <c r="Z468" s="249" t="s">
        <v>787</v>
      </c>
      <c r="AA468" s="447">
        <v>27778</v>
      </c>
      <c r="AB468" s="253">
        <v>-9999</v>
      </c>
      <c r="AC468" s="249">
        <v>-9999</v>
      </c>
      <c r="AD468" s="223">
        <f t="shared" si="25"/>
        <v>1900</v>
      </c>
      <c r="AE468" s="249" t="s">
        <v>1954</v>
      </c>
      <c r="AF468" s="249">
        <v>16</v>
      </c>
      <c r="AG468" s="283" t="s">
        <v>283</v>
      </c>
      <c r="AH468" s="249" t="s">
        <v>623</v>
      </c>
      <c r="AI468" s="249">
        <v>-9999</v>
      </c>
      <c r="AJ468" s="249">
        <v>-9999</v>
      </c>
      <c r="AK468" s="249" t="s">
        <v>631</v>
      </c>
      <c r="AL468" s="249">
        <v>-9999</v>
      </c>
      <c r="AM468" s="249">
        <v>-9999</v>
      </c>
      <c r="AN468" s="249" t="s">
        <v>626</v>
      </c>
      <c r="AO468" s="249" t="s">
        <v>788</v>
      </c>
      <c r="AP468" s="249" t="s">
        <v>789</v>
      </c>
      <c r="AQ468" s="249" t="s">
        <v>626</v>
      </c>
      <c r="AR468" s="249">
        <f>110+AR467</f>
        <v>666</v>
      </c>
      <c r="AS468" s="249" t="s">
        <v>723</v>
      </c>
      <c r="AT468" s="249" t="s">
        <v>790</v>
      </c>
      <c r="AU468" s="249">
        <v>0</v>
      </c>
      <c r="AV468" s="249">
        <v>-9999</v>
      </c>
      <c r="AW468" s="249">
        <v>-9999</v>
      </c>
      <c r="AX468" s="249">
        <v>0</v>
      </c>
      <c r="AY468" s="249">
        <v>-9999</v>
      </c>
      <c r="AZ468" s="249" t="s">
        <v>790</v>
      </c>
      <c r="BA468" s="249">
        <v>-9999</v>
      </c>
      <c r="BB468" s="249" t="s">
        <v>626</v>
      </c>
      <c r="BC468" s="249" t="s">
        <v>791</v>
      </c>
      <c r="BD468" s="249" t="s">
        <v>792</v>
      </c>
      <c r="BE468" s="249"/>
      <c r="BF468" s="249">
        <v>-9999</v>
      </c>
      <c r="BG468" s="249">
        <v>-9999</v>
      </c>
      <c r="BH468" s="249">
        <v>-9999</v>
      </c>
      <c r="BI468" s="249">
        <v>-9999</v>
      </c>
      <c r="BJ468" s="249">
        <v>-9999</v>
      </c>
      <c r="BK468" s="249">
        <v>-9999</v>
      </c>
      <c r="BL468" s="249">
        <v>-9999</v>
      </c>
      <c r="BM468" s="249">
        <v>-9999</v>
      </c>
      <c r="BN468" s="249">
        <v>-9999</v>
      </c>
      <c r="BO468" s="249">
        <v>-9999</v>
      </c>
      <c r="BP468" s="249">
        <v>-9999</v>
      </c>
      <c r="BQ468" s="249">
        <v>-9999</v>
      </c>
      <c r="BR468" s="249">
        <v>-9999</v>
      </c>
      <c r="BS468" s="251">
        <v>-9999</v>
      </c>
      <c r="BT468" s="249">
        <v>-9999</v>
      </c>
      <c r="BU468" s="249">
        <v>-9999</v>
      </c>
      <c r="BV468" s="249">
        <v>-9999</v>
      </c>
      <c r="BW468" s="249"/>
      <c r="BX468" s="249">
        <v>-9999</v>
      </c>
      <c r="BY468" s="249">
        <v>-9999</v>
      </c>
      <c r="BZ468" s="249">
        <v>-9999</v>
      </c>
      <c r="CA468" s="331">
        <v>-9999</v>
      </c>
      <c r="CB468" s="254"/>
      <c r="CC468" s="200">
        <v>1</v>
      </c>
      <c r="CD468" s="193">
        <v>6</v>
      </c>
      <c r="CE468" s="395">
        <v>10.8</v>
      </c>
      <c r="CF468" s="99">
        <v>14.300000000000011</v>
      </c>
      <c r="CG468" s="195">
        <v>6</v>
      </c>
      <c r="CH468" s="437" t="s">
        <v>1757</v>
      </c>
      <c r="CI468" s="13"/>
      <c r="CJ468" s="13"/>
      <c r="CK468" s="13"/>
      <c r="CL468" s="13"/>
      <c r="CM468" s="13"/>
      <c r="CN468" s="13"/>
      <c r="CO468" s="13"/>
      <c r="CP468" s="13"/>
      <c r="CQ468" s="13"/>
      <c r="CR468" s="13"/>
      <c r="CS468" s="13"/>
      <c r="CT468" s="13"/>
      <c r="CU468" s="13"/>
      <c r="CV468" s="13"/>
      <c r="CW468" s="13"/>
      <c r="CX468" s="13"/>
      <c r="CY468" s="13"/>
      <c r="CZ468" s="13"/>
      <c r="DA468" s="13"/>
      <c r="DB468" s="13"/>
      <c r="DC468" s="13"/>
      <c r="DD468" s="13"/>
      <c r="DE468" s="13"/>
      <c r="DF468" s="13"/>
      <c r="DG468" s="13"/>
      <c r="DH468" s="13"/>
      <c r="DI468" s="13"/>
      <c r="DJ468" s="13"/>
      <c r="DK468" s="13"/>
      <c r="DL468" s="13"/>
      <c r="DM468" s="13"/>
      <c r="DN468" s="13"/>
      <c r="DO468" s="13"/>
      <c r="DP468" s="13"/>
      <c r="DQ468" s="13"/>
      <c r="DR468" s="13"/>
      <c r="DS468" s="13"/>
      <c r="DT468" s="13"/>
      <c r="DU468" s="13"/>
      <c r="DV468" s="13"/>
      <c r="DW468" s="13"/>
      <c r="DX468" s="13"/>
      <c r="DY468" s="13"/>
      <c r="DZ468" s="13"/>
      <c r="EA468" s="13"/>
      <c r="EB468" s="13"/>
      <c r="EC468" s="13"/>
      <c r="ED468" s="13"/>
      <c r="EE468" s="13"/>
      <c r="EF468" s="13"/>
      <c r="EG468" s="13"/>
      <c r="EH468" s="13"/>
      <c r="EI468" s="13"/>
      <c r="EJ468" s="13"/>
      <c r="EK468" s="13"/>
      <c r="EL468" s="13"/>
      <c r="EM468" s="13"/>
      <c r="EN468" s="13"/>
      <c r="EO468" s="13"/>
      <c r="EP468" s="13"/>
      <c r="EQ468" s="13"/>
      <c r="ER468" s="13"/>
      <c r="ES468" s="13"/>
      <c r="ET468" s="13"/>
      <c r="EU468" s="13"/>
      <c r="EV468" s="13"/>
      <c r="EW468" s="13"/>
      <c r="EX468" s="13"/>
      <c r="EY468" s="13"/>
      <c r="EZ468" s="13"/>
      <c r="FA468" s="13"/>
      <c r="FB468" s="13"/>
      <c r="FC468" s="13"/>
      <c r="FD468" s="13"/>
      <c r="FE468" s="13"/>
      <c r="FF468" s="13"/>
      <c r="FG468" s="13"/>
      <c r="FH468" s="13"/>
      <c r="FI468" s="13"/>
      <c r="FJ468" s="13"/>
      <c r="FK468" s="13"/>
      <c r="FL468" s="13"/>
      <c r="FM468" s="13"/>
      <c r="FN468" s="13"/>
      <c r="FO468" s="13"/>
      <c r="FP468" s="13"/>
      <c r="FQ468" s="13"/>
      <c r="FR468" s="13"/>
      <c r="FS468" s="13"/>
      <c r="FT468" s="13"/>
      <c r="FU468" s="13"/>
      <c r="FV468" s="13"/>
      <c r="FW468" s="13"/>
      <c r="FX468" s="13"/>
      <c r="FY468" s="13"/>
      <c r="FZ468" s="13"/>
      <c r="GA468" s="13"/>
      <c r="GB468" s="13"/>
      <c r="GC468" s="13"/>
      <c r="GD468" s="13"/>
      <c r="GE468" s="13"/>
      <c r="GF468" s="13"/>
      <c r="GG468" s="13"/>
      <c r="GH468" s="13"/>
      <c r="GI468" s="13"/>
      <c r="GJ468" s="13"/>
      <c r="GK468" s="13"/>
      <c r="GL468" s="13"/>
      <c r="GM468" s="13"/>
      <c r="GN468" s="13"/>
      <c r="GO468" s="13"/>
      <c r="GP468" s="13"/>
      <c r="GQ468" s="13"/>
      <c r="GR468" s="13"/>
      <c r="GS468" s="13"/>
      <c r="GT468" s="13"/>
      <c r="GU468" s="13"/>
      <c r="GV468" s="13"/>
      <c r="GW468" s="13"/>
      <c r="GX468" s="13"/>
      <c r="GY468" s="13"/>
      <c r="GZ468" s="13"/>
      <c r="HA468" s="13"/>
      <c r="HB468" s="13"/>
      <c r="HC468" s="13"/>
      <c r="HD468" s="13"/>
      <c r="HE468" s="13"/>
      <c r="HF468" s="13"/>
      <c r="HG468" s="13"/>
      <c r="HH468" s="13"/>
      <c r="HI468" s="13"/>
      <c r="HJ468" s="13"/>
      <c r="HK468" s="13"/>
      <c r="HL468" s="13"/>
      <c r="HM468" s="13"/>
      <c r="HN468" s="13"/>
      <c r="HO468" s="13"/>
      <c r="HP468" s="13"/>
      <c r="HQ468" s="13"/>
      <c r="HR468" s="13"/>
      <c r="HS468" s="13"/>
      <c r="HT468" s="13"/>
      <c r="HU468" s="13"/>
      <c r="HV468" s="13"/>
      <c r="HW468" s="13"/>
      <c r="HX468" s="13"/>
      <c r="HY468" s="13"/>
      <c r="HZ468" s="13"/>
      <c r="IA468" s="13"/>
      <c r="IB468" s="13"/>
      <c r="IC468" s="13"/>
      <c r="ID468" s="13"/>
      <c r="IE468" s="13"/>
      <c r="IF468" s="13"/>
      <c r="IG468" s="13"/>
      <c r="IH468" s="13"/>
      <c r="II468" s="13"/>
      <c r="IJ468" s="13"/>
      <c r="IK468" s="13"/>
      <c r="IL468" s="13"/>
      <c r="IM468" s="13"/>
      <c r="IN468" s="13"/>
      <c r="IO468" s="13"/>
      <c r="IP468" s="13"/>
      <c r="IQ468" s="13"/>
      <c r="IR468" s="13"/>
      <c r="IS468" s="13"/>
      <c r="IT468" s="13"/>
      <c r="IU468" s="13"/>
      <c r="IV468" s="13"/>
      <c r="IW468" s="13"/>
      <c r="IX468" s="13"/>
      <c r="IY468" s="13"/>
      <c r="IZ468" s="13"/>
      <c r="JA468" s="13"/>
      <c r="JB468" s="13"/>
      <c r="JC468" s="13"/>
      <c r="JD468" s="13"/>
      <c r="JE468" s="13"/>
      <c r="JF468" s="13"/>
      <c r="JG468" s="13"/>
      <c r="JH468" s="13"/>
      <c r="JI468" s="13"/>
      <c r="JJ468" s="13"/>
      <c r="JK468" s="13"/>
      <c r="JL468" s="13"/>
      <c r="JM468" s="13"/>
      <c r="JN468" s="13"/>
      <c r="JO468" s="13"/>
      <c r="JP468" s="13"/>
      <c r="JQ468" s="13"/>
      <c r="JR468" s="13"/>
      <c r="JS468" s="13"/>
      <c r="JT468" s="13"/>
      <c r="JU468" s="13"/>
      <c r="JV468" s="13"/>
      <c r="JW468" s="13"/>
      <c r="JX468" s="13"/>
      <c r="JY468" s="13"/>
      <c r="JZ468" s="13"/>
      <c r="KA468" s="13"/>
      <c r="KB468" s="13"/>
      <c r="KC468" s="13"/>
      <c r="KD468" s="13"/>
      <c r="KE468" s="13"/>
      <c r="KF468" s="13"/>
      <c r="KG468" s="13"/>
      <c r="KH468" s="13"/>
      <c r="KI468" s="13"/>
      <c r="KJ468" s="13"/>
      <c r="KK468" s="13"/>
      <c r="KL468" s="13"/>
      <c r="KM468" s="13"/>
      <c r="KN468" s="13"/>
      <c r="KO468" s="13"/>
      <c r="KP468" s="13"/>
      <c r="KQ468" s="13"/>
      <c r="KR468" s="13"/>
      <c r="KS468" s="13"/>
      <c r="KT468" s="13"/>
      <c r="KU468" s="13"/>
      <c r="KV468" s="13"/>
      <c r="KW468" s="13"/>
      <c r="KX468" s="13"/>
      <c r="KY468" s="13"/>
      <c r="KZ468" s="13"/>
      <c r="LA468" s="13"/>
      <c r="LB468" s="13"/>
      <c r="LC468" s="13"/>
      <c r="LD468" s="13"/>
      <c r="LE468" s="13"/>
      <c r="LF468" s="13"/>
      <c r="LG468" s="13"/>
      <c r="LH468" s="13"/>
      <c r="LI468" s="13"/>
      <c r="LJ468" s="13"/>
      <c r="LK468" s="13"/>
      <c r="LL468" s="13"/>
      <c r="LM468" s="13"/>
      <c r="LN468" s="13"/>
      <c r="LO468" s="13"/>
      <c r="LP468" s="13"/>
      <c r="LQ468" s="13"/>
      <c r="LR468" s="13"/>
      <c r="LS468" s="13"/>
      <c r="LT468" s="13"/>
      <c r="LU468" s="13"/>
      <c r="LV468" s="13"/>
      <c r="LW468" s="13"/>
      <c r="LX468" s="13"/>
      <c r="LY468" s="13"/>
      <c r="LZ468" s="13"/>
      <c r="MA468" s="13"/>
      <c r="MB468" s="13"/>
      <c r="MC468" s="13"/>
      <c r="MD468" s="13"/>
      <c r="ME468" s="13"/>
      <c r="MF468" s="13"/>
      <c r="MG468" s="13"/>
      <c r="MH468" s="13"/>
      <c r="MI468" s="13"/>
      <c r="MJ468" s="13"/>
      <c r="MK468" s="13"/>
      <c r="ML468" s="13"/>
      <c r="MM468" s="13"/>
      <c r="MN468" s="13"/>
      <c r="MO468" s="13"/>
      <c r="MP468" s="13"/>
      <c r="MQ468" s="13"/>
      <c r="MR468" s="13"/>
      <c r="MS468" s="13"/>
      <c r="MT468" s="13"/>
      <c r="MU468" s="13"/>
      <c r="MV468" s="13"/>
      <c r="MW468" s="13"/>
      <c r="MX468" s="13"/>
      <c r="MY468" s="13"/>
      <c r="MZ468" s="13"/>
      <c r="NA468" s="13"/>
      <c r="NB468" s="13"/>
      <c r="NC468" s="13"/>
      <c r="ND468" s="13"/>
      <c r="NE468" s="13"/>
      <c r="NF468" s="13"/>
      <c r="NG468" s="13"/>
      <c r="NH468" s="13"/>
      <c r="NI468" s="13"/>
      <c r="NJ468" s="13"/>
      <c r="NK468" s="13"/>
      <c r="NL468" s="13"/>
      <c r="NM468" s="13"/>
      <c r="NN468" s="13"/>
      <c r="NO468" s="13"/>
      <c r="NP468" s="13"/>
      <c r="NQ468" s="13"/>
      <c r="NR468" s="13"/>
      <c r="NS468" s="13"/>
      <c r="NT468" s="13"/>
      <c r="NU468" s="13"/>
      <c r="NV468" s="13"/>
      <c r="NW468" s="13"/>
      <c r="NX468" s="13"/>
      <c r="NY468" s="13"/>
      <c r="NZ468" s="13"/>
      <c r="OA468" s="13"/>
      <c r="OB468" s="13"/>
      <c r="OC468" s="13"/>
      <c r="OD468" s="13"/>
      <c r="OE468" s="13"/>
      <c r="OF468" s="13"/>
      <c r="OG468" s="13"/>
      <c r="OH468" s="13"/>
      <c r="OI468" s="13"/>
      <c r="OJ468" s="13"/>
      <c r="OK468" s="13"/>
      <c r="OL468" s="13"/>
      <c r="OM468" s="13"/>
      <c r="ON468" s="13"/>
      <c r="OO468" s="13"/>
      <c r="OP468" s="13"/>
      <c r="OQ468" s="13"/>
      <c r="OR468" s="13"/>
      <c r="OS468" s="13"/>
      <c r="OT468" s="13"/>
      <c r="OU468" s="13"/>
      <c r="OV468" s="13"/>
      <c r="OW468" s="13"/>
      <c r="OX468" s="13"/>
      <c r="OY468" s="13"/>
      <c r="OZ468" s="13"/>
      <c r="PA468" s="13"/>
      <c r="PB468" s="13"/>
      <c r="PC468" s="13"/>
      <c r="PD468" s="13"/>
      <c r="PE468" s="13"/>
      <c r="PF468" s="13"/>
      <c r="PG468" s="13"/>
      <c r="PH468" s="13"/>
      <c r="PI468" s="13"/>
      <c r="PJ468" s="13"/>
      <c r="PK468" s="13"/>
      <c r="PL468" s="13"/>
      <c r="PM468" s="13"/>
      <c r="PN468" s="13"/>
      <c r="PO468" s="13"/>
      <c r="PP468" s="13"/>
      <c r="PQ468" s="13"/>
      <c r="PR468" s="13"/>
      <c r="PS468" s="13"/>
      <c r="PT468" s="13"/>
      <c r="PU468" s="13"/>
      <c r="PV468" s="13"/>
      <c r="PW468" s="13"/>
      <c r="PX468" s="13"/>
      <c r="PY468" s="13"/>
      <c r="PZ468" s="13"/>
      <c r="QA468" s="13"/>
      <c r="QB468" s="13"/>
      <c r="QC468" s="13"/>
      <c r="QD468" s="13"/>
      <c r="QE468" s="13"/>
      <c r="QF468" s="13"/>
      <c r="QG468" s="13"/>
      <c r="QH468" s="13"/>
      <c r="QI468" s="13"/>
      <c r="QJ468" s="13"/>
      <c r="QK468" s="13"/>
      <c r="QL468" s="13"/>
      <c r="QM468" s="13"/>
      <c r="QN468" s="13"/>
      <c r="QO468" s="13"/>
      <c r="QP468" s="13"/>
      <c r="QQ468" s="13"/>
      <c r="QR468" s="13"/>
      <c r="QS468" s="13"/>
      <c r="QT468" s="13"/>
      <c r="QU468" s="13"/>
      <c r="QV468" s="13"/>
      <c r="QW468" s="13"/>
      <c r="QX468" s="13"/>
      <c r="QY468" s="13"/>
      <c r="QZ468" s="13"/>
      <c r="RA468" s="13"/>
      <c r="RB468" s="13"/>
      <c r="RC468" s="13"/>
      <c r="RD468" s="13"/>
      <c r="RE468" s="13"/>
      <c r="RF468" s="13"/>
      <c r="RG468" s="13"/>
      <c r="RH468" s="13"/>
      <c r="RI468" s="13"/>
      <c r="RJ468" s="13"/>
      <c r="RK468" s="13"/>
      <c r="RL468" s="13"/>
      <c r="RM468" s="13"/>
      <c r="RN468" s="13"/>
      <c r="RO468" s="13"/>
      <c r="RP468" s="13"/>
      <c r="RQ468" s="13"/>
      <c r="RR468" s="13"/>
      <c r="RS468" s="13"/>
      <c r="RT468" s="13"/>
      <c r="RU468" s="13"/>
      <c r="RV468" s="13"/>
      <c r="RW468" s="13"/>
      <c r="RX468" s="13"/>
      <c r="RY468" s="13"/>
      <c r="RZ468" s="13"/>
      <c r="SA468" s="13"/>
      <c r="SB468" s="13"/>
      <c r="SC468" s="13"/>
      <c r="SD468" s="13"/>
      <c r="SE468" s="13"/>
      <c r="SF468" s="13"/>
      <c r="SG468" s="13"/>
      <c r="SH468" s="13"/>
      <c r="SI468" s="13"/>
      <c r="SJ468" s="13"/>
      <c r="SK468" s="13"/>
      <c r="SL468" s="13"/>
      <c r="SM468" s="13"/>
      <c r="SN468" s="13"/>
      <c r="SO468" s="13"/>
      <c r="SP468" s="13"/>
      <c r="SQ468" s="13"/>
      <c r="SR468" s="13"/>
      <c r="SS468" s="13"/>
      <c r="ST468" s="13"/>
      <c r="SU468" s="13"/>
      <c r="SV468" s="13"/>
      <c r="SW468" s="13"/>
      <c r="SX468" s="13"/>
      <c r="SY468" s="13"/>
      <c r="SZ468" s="13"/>
      <c r="TA468" s="13"/>
      <c r="TB468" s="13"/>
      <c r="TC468" s="13"/>
      <c r="TD468" s="13"/>
      <c r="TE468" s="13"/>
      <c r="TF468" s="13"/>
      <c r="TG468" s="13"/>
      <c r="TH468" s="13"/>
      <c r="TI468" s="13"/>
      <c r="TJ468" s="13"/>
      <c r="TK468" s="13"/>
      <c r="TL468" s="13"/>
      <c r="TM468" s="13"/>
      <c r="TN468" s="13"/>
      <c r="TO468" s="13"/>
      <c r="TP468" s="13"/>
      <c r="TQ468" s="13"/>
      <c r="TR468" s="13"/>
      <c r="TS468" s="13"/>
      <c r="TT468" s="13"/>
      <c r="TU468" s="13"/>
      <c r="TV468" s="13"/>
      <c r="TW468" s="13"/>
      <c r="TX468" s="13"/>
      <c r="TY468" s="13"/>
      <c r="TZ468" s="13"/>
      <c r="UA468" s="13"/>
      <c r="UB468" s="13"/>
      <c r="UC468" s="13"/>
      <c r="UD468" s="13"/>
      <c r="UE468" s="13"/>
      <c r="UF468" s="13"/>
      <c r="UG468" s="13"/>
      <c r="UH468" s="13"/>
      <c r="UI468" s="13"/>
      <c r="UJ468" s="13"/>
      <c r="UK468" s="13"/>
      <c r="UL468" s="13"/>
      <c r="UM468" s="13"/>
      <c r="UN468" s="13"/>
      <c r="UO468" s="13"/>
      <c r="UP468" s="13"/>
      <c r="UQ468" s="13"/>
      <c r="UR468" s="13"/>
      <c r="US468" s="13"/>
      <c r="UT468" s="13"/>
      <c r="UU468" s="13"/>
      <c r="UV468" s="13"/>
      <c r="UW468" s="13"/>
      <c r="UX468" s="13"/>
      <c r="UY468" s="13"/>
      <c r="UZ468" s="13"/>
      <c r="VA468" s="13"/>
      <c r="VB468" s="13"/>
      <c r="VC468" s="13"/>
      <c r="VD468" s="13"/>
      <c r="VE468" s="13"/>
      <c r="VF468" s="13"/>
      <c r="VG468" s="13"/>
      <c r="VH468" s="13"/>
      <c r="VI468" s="13"/>
      <c r="VJ468" s="13"/>
      <c r="VK468" s="13"/>
      <c r="VL468" s="13"/>
      <c r="VM468" s="13"/>
      <c r="VN468" s="13"/>
      <c r="VO468" s="13"/>
      <c r="VP468" s="13"/>
      <c r="VQ468" s="13"/>
      <c r="VR468" s="13"/>
      <c r="VS468" s="13"/>
      <c r="VT468" s="13"/>
      <c r="VU468" s="13"/>
      <c r="VV468" s="13"/>
      <c r="VW468" s="13"/>
      <c r="VX468" s="13"/>
      <c r="VY468" s="13"/>
      <c r="VZ468" s="13"/>
      <c r="WA468" s="13"/>
      <c r="WB468" s="13"/>
      <c r="WC468" s="13"/>
      <c r="WD468" s="13"/>
      <c r="WE468" s="13"/>
      <c r="WF468" s="13"/>
      <c r="WG468" s="13"/>
      <c r="WH468" s="13"/>
      <c r="WI468" s="13"/>
      <c r="WJ468" s="13"/>
      <c r="WK468" s="13"/>
      <c r="WL468" s="13"/>
      <c r="WM468" s="13"/>
      <c r="WN468" s="13"/>
      <c r="WO468" s="13"/>
      <c r="WP468" s="13"/>
      <c r="WQ468" s="13"/>
      <c r="WR468" s="13"/>
      <c r="WS468" s="13"/>
      <c r="WT468" s="13"/>
      <c r="WU468" s="13"/>
      <c r="WV468" s="13"/>
      <c r="WW468" s="13"/>
      <c r="WX468" s="13"/>
      <c r="WY468" s="13"/>
      <c r="WZ468" s="13"/>
      <c r="XA468" s="13"/>
      <c r="XB468" s="13"/>
      <c r="XC468" s="13"/>
      <c r="XD468" s="13"/>
      <c r="XE468" s="13"/>
      <c r="XF468" s="13"/>
      <c r="XG468" s="13"/>
      <c r="XH468" s="13"/>
      <c r="XI468" s="13"/>
      <c r="XJ468" s="13"/>
      <c r="XK468" s="13"/>
      <c r="XL468" s="13"/>
      <c r="XM468" s="13"/>
      <c r="XN468" s="13"/>
      <c r="XO468" s="13"/>
      <c r="XP468" s="13"/>
      <c r="XQ468" s="13"/>
      <c r="XR468" s="13"/>
      <c r="XS468" s="13"/>
      <c r="XT468" s="13"/>
      <c r="XU468" s="13"/>
      <c r="XV468" s="13"/>
      <c r="XW468" s="13"/>
      <c r="XX468" s="13"/>
      <c r="XY468" s="13"/>
      <c r="XZ468" s="13"/>
      <c r="YA468" s="13"/>
      <c r="YB468" s="13"/>
      <c r="YC468" s="13"/>
      <c r="YD468" s="13"/>
      <c r="YE468" s="13"/>
      <c r="YF468" s="13"/>
      <c r="YG468" s="13"/>
      <c r="YH468" s="13"/>
      <c r="YI468" s="13"/>
      <c r="YJ468" s="13"/>
      <c r="YK468" s="13"/>
      <c r="YL468" s="13"/>
      <c r="YM468" s="13"/>
      <c r="YN468" s="13"/>
      <c r="YO468" s="13"/>
      <c r="YP468" s="13"/>
      <c r="YQ468" s="13"/>
      <c r="YR468" s="13"/>
      <c r="YS468" s="13"/>
      <c r="YT468" s="13"/>
      <c r="YU468" s="13"/>
      <c r="YV468" s="13"/>
      <c r="YW468" s="13"/>
      <c r="YX468" s="13"/>
      <c r="YY468" s="13"/>
      <c r="YZ468" s="13"/>
      <c r="ZA468" s="13"/>
      <c r="ZB468" s="13"/>
      <c r="ZC468" s="13"/>
      <c r="ZD468" s="13"/>
      <c r="ZE468" s="13"/>
      <c r="ZF468" s="13"/>
      <c r="ZG468" s="13"/>
      <c r="ZH468" s="13"/>
      <c r="ZI468" s="13"/>
      <c r="ZJ468" s="13"/>
      <c r="ZK468" s="13"/>
      <c r="ZL468" s="13"/>
      <c r="ZM468" s="13"/>
      <c r="ZN468" s="13"/>
      <c r="ZO468" s="13"/>
      <c r="ZP468" s="13"/>
      <c r="ZQ468" s="13"/>
      <c r="ZR468" s="13"/>
      <c r="ZS468" s="13"/>
      <c r="ZT468" s="13"/>
      <c r="ZU468" s="13"/>
      <c r="ZV468" s="13"/>
      <c r="ZW468" s="13"/>
      <c r="ZX468" s="13"/>
      <c r="ZY468" s="13"/>
      <c r="ZZ468" s="13"/>
      <c r="AAA468" s="13"/>
      <c r="AAB468" s="13"/>
      <c r="AAC468" s="13"/>
      <c r="AAD468" s="13"/>
      <c r="AAE468" s="13"/>
      <c r="AAF468" s="13"/>
      <c r="AAG468" s="13"/>
      <c r="AAH468" s="13"/>
      <c r="AAI468" s="13"/>
      <c r="AAJ468" s="13"/>
      <c r="AAK468" s="13"/>
      <c r="AAL468" s="13"/>
      <c r="AAM468" s="13"/>
      <c r="AAN468" s="13"/>
      <c r="AAO468" s="13"/>
      <c r="AAP468" s="13"/>
      <c r="AAQ468" s="13"/>
      <c r="AAR468" s="13"/>
      <c r="AAS468" s="13"/>
      <c r="AAT468" s="13"/>
      <c r="AAU468" s="13"/>
      <c r="AAV468" s="13"/>
      <c r="AAW468" s="13"/>
      <c r="AAX468" s="13"/>
      <c r="AAY468" s="13"/>
      <c r="AAZ468" s="13"/>
      <c r="ABA468" s="13"/>
      <c r="ABB468" s="13"/>
      <c r="ABC468" s="13"/>
      <c r="ABD468" s="13"/>
      <c r="ABE468" s="13"/>
      <c r="ABF468" s="13"/>
      <c r="ABG468" s="13"/>
      <c r="ABH468" s="13"/>
      <c r="ABI468" s="13"/>
      <c r="ABJ468" s="13"/>
      <c r="ABK468" s="13"/>
      <c r="ABL468" s="13"/>
      <c r="ABM468" s="13"/>
      <c r="ABN468" s="13"/>
      <c r="ABO468" s="13"/>
      <c r="ABP468" s="13"/>
      <c r="ABQ468" s="13"/>
      <c r="ABR468" s="13"/>
      <c r="ABS468" s="13"/>
      <c r="ABT468" s="13"/>
      <c r="ABU468" s="13"/>
      <c r="ABV468" s="13"/>
      <c r="ABW468" s="13"/>
      <c r="ABX468" s="13"/>
      <c r="ABY468" s="13"/>
      <c r="ABZ468" s="13"/>
      <c r="ACA468" s="13"/>
      <c r="ACB468" s="13"/>
      <c r="ACC468" s="13"/>
      <c r="ACD468" s="13"/>
      <c r="ACE468" s="13"/>
      <c r="ACF468" s="13"/>
      <c r="ACG468" s="13"/>
      <c r="ACH468" s="13"/>
      <c r="ACI468" s="13"/>
      <c r="ACJ468" s="13"/>
      <c r="ACK468" s="13"/>
      <c r="ACL468" s="13"/>
      <c r="ACM468" s="13"/>
      <c r="ACN468" s="13"/>
      <c r="ACO468" s="13"/>
      <c r="ACP468" s="13"/>
      <c r="ACQ468" s="13"/>
      <c r="ACR468" s="13"/>
      <c r="ACS468" s="13"/>
      <c r="ACT468" s="13"/>
      <c r="ACU468" s="13"/>
      <c r="ACV468" s="13"/>
      <c r="ACW468" s="13"/>
      <c r="ACX468" s="13"/>
      <c r="ACY468" s="13"/>
      <c r="ACZ468" s="13"/>
      <c r="ADA468" s="13"/>
      <c r="ADB468" s="13"/>
      <c r="ADC468" s="13"/>
      <c r="ADD468" s="13"/>
      <c r="ADE468" s="13"/>
      <c r="ADF468" s="13"/>
      <c r="ADG468" s="13"/>
      <c r="ADH468" s="13"/>
      <c r="ADI468" s="13"/>
      <c r="ADJ468" s="13"/>
      <c r="ADK468" s="13"/>
      <c r="ADL468" s="13"/>
      <c r="ADM468" s="13"/>
      <c r="ADN468" s="13"/>
      <c r="ADO468" s="13"/>
      <c r="ADP468" s="13"/>
      <c r="ADQ468" s="13"/>
      <c r="ADR468" s="13"/>
      <c r="ADS468" s="13"/>
      <c r="ADT468" s="13"/>
      <c r="ADU468" s="13"/>
      <c r="ADV468" s="13"/>
      <c r="ADW468" s="13"/>
      <c r="ADX468" s="13"/>
      <c r="ADY468" s="13"/>
      <c r="ADZ468" s="13"/>
      <c r="AEA468" s="13"/>
      <c r="AEB468" s="13"/>
      <c r="AEC468" s="13"/>
      <c r="AED468" s="13"/>
      <c r="AEE468" s="13"/>
      <c r="AEF468" s="13"/>
      <c r="AEG468" s="13"/>
      <c r="AEH468" s="13"/>
      <c r="AEI468" s="13"/>
      <c r="AEJ468" s="13"/>
      <c r="AEK468" s="13"/>
      <c r="AEL468" s="13"/>
      <c r="AEM468" s="13"/>
      <c r="AEN468" s="13"/>
      <c r="AEO468" s="13"/>
      <c r="AEP468" s="13"/>
      <c r="AEQ468" s="13"/>
      <c r="AER468" s="13"/>
      <c r="AES468" s="13"/>
      <c r="AET468" s="13"/>
      <c r="AEU468" s="13"/>
      <c r="AEV468" s="13"/>
      <c r="AEW468" s="13"/>
      <c r="AEX468" s="13"/>
      <c r="AEY468" s="13"/>
      <c r="AEZ468" s="13"/>
      <c r="AFA468" s="13"/>
      <c r="AFB468" s="13"/>
      <c r="AFC468" s="13"/>
      <c r="AFD468" s="13"/>
      <c r="AFE468" s="13"/>
      <c r="AFF468" s="13"/>
      <c r="AFG468" s="13"/>
      <c r="AFH468" s="13"/>
      <c r="AFI468" s="13"/>
      <c r="AFJ468" s="13"/>
      <c r="AFK468" s="13"/>
      <c r="AFL468" s="13"/>
      <c r="AFM468" s="13"/>
      <c r="AFN468" s="13"/>
      <c r="AFO468" s="13"/>
      <c r="AFP468" s="13"/>
      <c r="AFQ468" s="13"/>
      <c r="AFR468" s="13"/>
      <c r="AFS468" s="13"/>
      <c r="AFT468" s="13"/>
      <c r="AFU468" s="13"/>
      <c r="AFV468" s="13"/>
      <c r="AFW468" s="13"/>
      <c r="AFX468" s="13"/>
      <c r="AFY468" s="13"/>
      <c r="AFZ468" s="13"/>
      <c r="AGA468" s="13"/>
      <c r="AGB468" s="13"/>
      <c r="AGC468" s="13"/>
      <c r="AGD468" s="13"/>
      <c r="AGE468" s="13"/>
      <c r="AGF468" s="13"/>
      <c r="AGG468" s="13"/>
      <c r="AGH468" s="13"/>
      <c r="AGI468" s="13"/>
      <c r="AGJ468" s="13"/>
      <c r="AGK468" s="13"/>
      <c r="AGL468" s="13"/>
      <c r="AGM468" s="13"/>
      <c r="AGN468" s="13"/>
      <c r="AGO468" s="13"/>
      <c r="AGP468" s="13"/>
      <c r="AGQ468" s="13"/>
      <c r="AGR468" s="13"/>
      <c r="AGS468" s="13"/>
      <c r="AGT468" s="13"/>
      <c r="AGU468" s="13"/>
      <c r="AGV468" s="13"/>
      <c r="AGW468" s="13"/>
      <c r="AGX468" s="13"/>
      <c r="AGY468" s="13"/>
      <c r="AGZ468" s="13"/>
      <c r="AHA468" s="13"/>
      <c r="AHB468" s="13"/>
      <c r="AHC468" s="13"/>
      <c r="AHD468" s="13"/>
      <c r="AHE468" s="13"/>
      <c r="AHF468" s="13"/>
      <c r="AHG468" s="13"/>
      <c r="AHH468" s="13"/>
      <c r="AHI468" s="13"/>
      <c r="AHJ468" s="13"/>
      <c r="AHK468" s="13"/>
      <c r="AHL468" s="13"/>
      <c r="AHM468" s="13"/>
      <c r="AHN468" s="13"/>
      <c r="AHO468" s="13"/>
      <c r="AHP468" s="13"/>
      <c r="AHQ468" s="13"/>
      <c r="AHR468" s="13"/>
      <c r="AHS468" s="13"/>
      <c r="AHT468" s="13"/>
      <c r="AHU468" s="13"/>
      <c r="AHV468" s="13"/>
      <c r="AHW468" s="13"/>
      <c r="AHX468" s="13"/>
      <c r="AHY468" s="13"/>
      <c r="AHZ468" s="13"/>
      <c r="AIA468" s="13"/>
      <c r="AIB468" s="13"/>
      <c r="AIC468" s="13"/>
      <c r="AID468" s="13"/>
      <c r="AIE468" s="13"/>
      <c r="AIF468" s="13"/>
      <c r="AIG468" s="13"/>
      <c r="AIH468" s="13"/>
      <c r="AII468" s="13"/>
      <c r="AIJ468" s="13"/>
      <c r="AIK468" s="13"/>
      <c r="AIL468" s="13"/>
      <c r="AIM468" s="13"/>
      <c r="AIN468" s="13"/>
      <c r="AIO468" s="13"/>
      <c r="AIP468" s="13"/>
      <c r="AIQ468" s="13"/>
      <c r="AIR468" s="13"/>
      <c r="AIS468" s="13"/>
      <c r="AIT468" s="13"/>
      <c r="AIU468" s="13"/>
      <c r="AIV468" s="13"/>
      <c r="AIW468" s="13"/>
      <c r="AIX468" s="13"/>
      <c r="AIY468" s="13"/>
      <c r="AIZ468" s="13"/>
      <c r="AJA468" s="13"/>
      <c r="AJB468" s="13"/>
      <c r="AJC468" s="13"/>
      <c r="AJD468" s="13"/>
      <c r="AJE468" s="13"/>
      <c r="AJF468" s="13"/>
      <c r="AJG468" s="13"/>
      <c r="AJH468" s="13"/>
      <c r="AJI468" s="13"/>
      <c r="AJJ468" s="13"/>
      <c r="AJK468" s="13"/>
      <c r="AJL468" s="13"/>
      <c r="AJM468" s="13"/>
      <c r="AJN468" s="13"/>
      <c r="AJO468" s="13"/>
      <c r="AJP468" s="13"/>
      <c r="AJQ468" s="13"/>
      <c r="AJR468" s="13"/>
      <c r="AJS468" s="13"/>
      <c r="AJT468" s="13"/>
      <c r="AJU468" s="13"/>
      <c r="AJV468" s="13"/>
      <c r="AJW468" s="13"/>
      <c r="AJX468" s="13"/>
      <c r="AJY468" s="13"/>
      <c r="AJZ468" s="13"/>
      <c r="AKA468" s="13"/>
      <c r="AKB468" s="13"/>
      <c r="AKC468" s="13"/>
      <c r="AKD468" s="13"/>
      <c r="AKE468" s="13"/>
      <c r="AKF468" s="13"/>
      <c r="AKG468" s="13"/>
      <c r="AKH468" s="13"/>
      <c r="AKI468" s="13"/>
      <c r="AKJ468" s="13"/>
      <c r="AKK468" s="13"/>
      <c r="AKL468" s="13"/>
      <c r="AKM468" s="13"/>
      <c r="AKN468" s="13"/>
      <c r="AKO468" s="13"/>
      <c r="AKP468" s="13"/>
      <c r="AKQ468" s="13"/>
      <c r="AKR468" s="13"/>
      <c r="AKS468" s="13"/>
      <c r="AKT468" s="13"/>
      <c r="AKU468" s="13"/>
      <c r="AKV468" s="13"/>
      <c r="AKW468" s="13"/>
      <c r="AKX468" s="13"/>
      <c r="AKY468" s="13"/>
      <c r="AKZ468" s="13"/>
      <c r="ALA468" s="13"/>
      <c r="ALB468" s="13"/>
      <c r="ALC468" s="13"/>
      <c r="ALD468" s="13"/>
      <c r="ALE468" s="13"/>
      <c r="ALF468" s="13"/>
      <c r="ALG468" s="13"/>
      <c r="ALH468" s="13"/>
      <c r="ALI468" s="13"/>
      <c r="ALJ468" s="13"/>
      <c r="ALK468" s="13"/>
      <c r="ALL468" s="13"/>
      <c r="ALM468" s="13"/>
      <c r="ALN468" s="13"/>
      <c r="ALO468" s="13"/>
      <c r="ALP468" s="13"/>
      <c r="ALQ468" s="13"/>
      <c r="ALR468" s="13"/>
      <c r="ALS468" s="13"/>
      <c r="ALT468" s="13"/>
      <c r="ALU468" s="13"/>
      <c r="ALV468" s="13"/>
      <c r="ALW468" s="13"/>
      <c r="ALX468" s="13"/>
      <c r="ALY468" s="13"/>
      <c r="ALZ468" s="13"/>
      <c r="AMA468" s="13"/>
      <c r="AMB468" s="13"/>
      <c r="AMC468" s="13"/>
      <c r="AMD468" s="13"/>
      <c r="AME468" s="13"/>
      <c r="AMF468" s="13"/>
      <c r="AMG468" s="13"/>
      <c r="AMH468" s="13"/>
      <c r="AMI468" s="13"/>
      <c r="AMJ468" s="13"/>
      <c r="AMK468" s="13"/>
      <c r="AML468" s="13"/>
      <c r="AMM468" s="13"/>
      <c r="AMN468" s="13"/>
      <c r="AMO468" s="13"/>
      <c r="AMP468" s="13"/>
      <c r="AMQ468" s="13"/>
      <c r="AMR468" s="13"/>
      <c r="AMS468" s="13"/>
      <c r="AMT468" s="13"/>
      <c r="AMU468" s="13"/>
      <c r="AMV468" s="13"/>
      <c r="AMW468" s="13"/>
      <c r="AMX468" s="13"/>
      <c r="AMY468" s="13"/>
      <c r="AMZ468" s="13"/>
      <c r="ANA468" s="13"/>
      <c r="ANB468" s="13"/>
      <c r="ANC468" s="13"/>
      <c r="AND468" s="13"/>
      <c r="ANE468" s="13"/>
      <c r="ANF468" s="13"/>
      <c r="ANG468" s="13"/>
      <c r="ANH468" s="13"/>
      <c r="ANI468" s="13"/>
      <c r="ANJ468" s="13"/>
      <c r="ANK468" s="13"/>
      <c r="ANL468" s="13"/>
      <c r="ANM468" s="13"/>
      <c r="ANN468" s="13"/>
      <c r="ANO468" s="13"/>
      <c r="ANP468" s="13"/>
      <c r="ANQ468" s="13"/>
      <c r="ANR468" s="13"/>
      <c r="ANS468" s="13"/>
      <c r="ANT468" s="13"/>
      <c r="ANU468" s="13"/>
      <c r="ANV468" s="13"/>
      <c r="ANW468" s="13"/>
      <c r="ANX468" s="13"/>
      <c r="ANY468" s="13"/>
      <c r="ANZ468" s="13"/>
      <c r="AOA468" s="13"/>
      <c r="AOB468" s="13"/>
      <c r="AOC468" s="13"/>
      <c r="AOD468" s="13"/>
      <c r="AOE468" s="13"/>
      <c r="AOF468" s="13"/>
      <c r="AOG468" s="13"/>
      <c r="AOH468" s="13"/>
      <c r="AOI468" s="13"/>
      <c r="AOJ468" s="13"/>
      <c r="AOK468" s="13"/>
      <c r="AOL468" s="13"/>
      <c r="AOM468" s="13"/>
      <c r="AON468" s="13"/>
      <c r="AOO468" s="13"/>
      <c r="AOP468" s="13"/>
      <c r="AOQ468" s="13"/>
      <c r="AOR468" s="13"/>
      <c r="AOS468" s="13"/>
      <c r="AOT468" s="13"/>
      <c r="AOU468" s="13"/>
      <c r="AOV468" s="13"/>
      <c r="AOW468" s="13"/>
      <c r="AOX468" s="13"/>
      <c r="AOY468" s="13"/>
      <c r="AOZ468" s="13"/>
      <c r="APA468" s="13"/>
      <c r="APB468" s="13"/>
      <c r="APC468" s="13"/>
      <c r="APD468" s="13"/>
      <c r="APE468" s="13"/>
      <c r="APF468" s="13"/>
      <c r="APG468" s="13"/>
      <c r="APH468" s="13"/>
      <c r="API468" s="13"/>
      <c r="APJ468" s="13"/>
      <c r="APK468" s="13"/>
      <c r="APL468" s="13"/>
      <c r="APM468" s="13"/>
      <c r="APN468" s="13"/>
      <c r="APO468" s="13"/>
      <c r="APP468" s="13"/>
      <c r="APQ468" s="13"/>
      <c r="APR468" s="13"/>
      <c r="APS468" s="13"/>
      <c r="APT468" s="13"/>
      <c r="APU468" s="13"/>
      <c r="APV468" s="13"/>
      <c r="APW468" s="13"/>
      <c r="APX468" s="13"/>
      <c r="APY468" s="13"/>
      <c r="APZ468" s="13"/>
      <c r="AQA468" s="13"/>
      <c r="AQB468" s="13"/>
      <c r="AQC468" s="13"/>
      <c r="AQD468" s="13"/>
      <c r="AQE468" s="13"/>
      <c r="AQF468" s="13"/>
      <c r="AQG468" s="13"/>
      <c r="AQH468" s="13"/>
      <c r="AQI468" s="13"/>
      <c r="AQJ468" s="13"/>
      <c r="AQK468" s="13"/>
      <c r="AQL468" s="13"/>
      <c r="AQM468" s="13"/>
      <c r="AQN468" s="13"/>
      <c r="AQO468" s="13"/>
      <c r="AQP468" s="13"/>
      <c r="AQQ468" s="13"/>
      <c r="AQR468" s="13"/>
      <c r="AQS468" s="13"/>
      <c r="AQT468" s="13"/>
      <c r="AQU468" s="13"/>
      <c r="AQV468" s="13"/>
      <c r="AQW468" s="13"/>
      <c r="AQX468" s="13"/>
      <c r="AQY468" s="13"/>
      <c r="AQZ468" s="13"/>
      <c r="ARA468" s="13"/>
      <c r="ARB468" s="13"/>
      <c r="ARC468" s="13"/>
      <c r="ARD468" s="13"/>
      <c r="ARE468" s="13"/>
      <c r="ARF468" s="13"/>
      <c r="ARG468" s="13"/>
      <c r="ARH468" s="13"/>
      <c r="ARI468" s="13"/>
      <c r="ARJ468" s="13"/>
      <c r="ARK468" s="13"/>
      <c r="ARL468" s="13"/>
      <c r="ARM468" s="13"/>
      <c r="ARN468" s="13"/>
      <c r="ARO468" s="13"/>
      <c r="ARP468" s="13"/>
      <c r="ARQ468" s="13"/>
      <c r="ARR468" s="13"/>
      <c r="ARS468" s="13"/>
      <c r="ART468" s="13"/>
      <c r="ARU468" s="13"/>
      <c r="ARV468" s="13"/>
      <c r="ARW468" s="13"/>
      <c r="ARX468" s="13"/>
      <c r="ARY468" s="13"/>
      <c r="ARZ468" s="13"/>
      <c r="ASA468" s="13"/>
      <c r="ASB468" s="13"/>
      <c r="ASC468" s="13"/>
      <c r="ASD468" s="13"/>
      <c r="ASE468" s="13"/>
      <c r="ASF468" s="13"/>
      <c r="ASG468" s="13"/>
      <c r="ASH468" s="13"/>
      <c r="ASI468" s="13"/>
      <c r="ASJ468" s="13"/>
      <c r="ASK468" s="13"/>
      <c r="ASL468" s="13"/>
      <c r="ASM468" s="13"/>
      <c r="ASN468" s="13"/>
      <c r="ASO468" s="13"/>
      <c r="ASP468" s="13"/>
      <c r="ASQ468" s="13"/>
      <c r="ASR468" s="13"/>
      <c r="ASS468" s="13"/>
      <c r="AST468" s="13"/>
      <c r="ASU468" s="13"/>
      <c r="ASV468" s="13"/>
      <c r="ASW468" s="13"/>
      <c r="ASX468" s="13"/>
      <c r="ASY468" s="13"/>
      <c r="ASZ468" s="13"/>
      <c r="ATA468" s="13"/>
      <c r="ATB468" s="13"/>
      <c r="ATC468" s="13"/>
      <c r="ATD468" s="13"/>
      <c r="ATE468" s="13"/>
      <c r="ATF468" s="13"/>
      <c r="ATG468" s="13"/>
      <c r="ATH468" s="13"/>
      <c r="ATI468" s="13"/>
      <c r="ATJ468" s="13"/>
      <c r="ATK468" s="13"/>
      <c r="ATL468" s="13"/>
      <c r="ATM468" s="13"/>
      <c r="ATN468" s="13"/>
      <c r="ATO468" s="13"/>
      <c r="ATP468" s="13"/>
      <c r="ATQ468" s="13"/>
      <c r="ATR468" s="13"/>
      <c r="ATS468" s="13"/>
      <c r="ATT468" s="13"/>
      <c r="ATU468" s="13"/>
      <c r="ATV468" s="13"/>
      <c r="ATW468" s="13"/>
      <c r="ATX468" s="13"/>
      <c r="ATY468" s="13"/>
      <c r="ATZ468" s="13"/>
      <c r="AUA468" s="13"/>
      <c r="AUB468" s="13"/>
      <c r="AUC468" s="13"/>
      <c r="AUD468" s="13"/>
      <c r="AUE468" s="13"/>
      <c r="AUF468" s="13"/>
      <c r="AUG468" s="13"/>
      <c r="AUH468" s="13"/>
      <c r="AUI468" s="13"/>
      <c r="AUJ468" s="13"/>
      <c r="AUK468" s="13"/>
      <c r="AUL468" s="13"/>
      <c r="AUM468" s="13"/>
      <c r="AUN468" s="13"/>
      <c r="AUO468" s="13"/>
      <c r="AUP468" s="13"/>
      <c r="AUQ468" s="13"/>
      <c r="AUR468" s="13"/>
      <c r="AUS468" s="13"/>
      <c r="AUT468" s="13"/>
      <c r="AUU468" s="13"/>
      <c r="AUV468" s="13"/>
      <c r="AUW468" s="13"/>
      <c r="AUX468" s="13"/>
      <c r="AUY468" s="13"/>
      <c r="AUZ468" s="13"/>
      <c r="AVA468" s="13"/>
      <c r="AVB468" s="13"/>
      <c r="AVC468" s="13"/>
      <c r="AVD468" s="13"/>
      <c r="AVE468" s="13"/>
      <c r="AVF468" s="13"/>
      <c r="AVG468" s="13"/>
      <c r="AVH468" s="13"/>
      <c r="AVI468" s="13"/>
      <c r="AVJ468" s="13"/>
      <c r="AVK468" s="13"/>
      <c r="AVL468" s="13"/>
      <c r="AVM468" s="13"/>
      <c r="AVN468" s="13"/>
      <c r="AVO468" s="13"/>
      <c r="AVP468" s="13"/>
      <c r="AVQ468" s="13"/>
      <c r="AVR468" s="13"/>
      <c r="AVS468" s="13"/>
      <c r="AVT468" s="13"/>
      <c r="AVU468" s="13"/>
      <c r="AVV468" s="13"/>
      <c r="AVW468" s="13"/>
      <c r="AVX468" s="13"/>
      <c r="AVY468" s="13"/>
      <c r="AVZ468" s="13"/>
      <c r="AWA468" s="13"/>
      <c r="AWB468" s="13"/>
      <c r="AWC468" s="13"/>
      <c r="AWD468" s="13"/>
      <c r="AWE468" s="13"/>
      <c r="AWF468" s="13"/>
      <c r="AWG468" s="13"/>
      <c r="AWH468" s="13"/>
      <c r="AWI468" s="13"/>
      <c r="AWJ468" s="13"/>
      <c r="AWK468" s="13"/>
      <c r="AWL468" s="13"/>
      <c r="AWM468" s="13"/>
      <c r="AWN468" s="13"/>
      <c r="AWO468" s="13"/>
      <c r="AWP468" s="13"/>
      <c r="AWQ468" s="13"/>
      <c r="AWR468" s="13"/>
      <c r="AWS468" s="13"/>
      <c r="AWT468" s="13"/>
      <c r="AWU468" s="13"/>
      <c r="AWV468" s="13"/>
      <c r="AWW468" s="13"/>
      <c r="AWX468" s="13"/>
      <c r="AWY468" s="13"/>
      <c r="AWZ468" s="13"/>
      <c r="AXA468" s="13"/>
      <c r="AXB468" s="13"/>
      <c r="AXC468" s="13"/>
      <c r="AXD468" s="13"/>
      <c r="AXE468" s="13"/>
      <c r="AXF468" s="13"/>
      <c r="AXG468" s="13"/>
      <c r="AXH468" s="13"/>
      <c r="AXI468" s="13"/>
      <c r="AXJ468" s="13"/>
      <c r="AXK468" s="13"/>
      <c r="AXL468" s="13"/>
      <c r="AXM468" s="13"/>
      <c r="AXN468" s="13"/>
      <c r="AXO468" s="13"/>
      <c r="AXP468" s="13"/>
      <c r="AXQ468" s="13"/>
      <c r="AXR468" s="13"/>
      <c r="AXS468" s="13"/>
      <c r="AXT468" s="13"/>
      <c r="AXU468" s="13"/>
      <c r="AXV468" s="13"/>
      <c r="AXW468" s="13"/>
      <c r="AXX468" s="13"/>
      <c r="AXY468" s="13"/>
      <c r="AXZ468" s="13"/>
      <c r="AYA468" s="13"/>
      <c r="AYB468" s="13"/>
      <c r="AYC468" s="13"/>
      <c r="AYD468" s="13"/>
      <c r="AYE468" s="13"/>
      <c r="AYF468" s="13"/>
      <c r="AYG468" s="13"/>
      <c r="AYH468" s="13"/>
      <c r="AYI468" s="13"/>
      <c r="AYJ468" s="13"/>
      <c r="AYK468" s="13"/>
      <c r="AYL468" s="13"/>
      <c r="AYM468" s="13"/>
      <c r="AYN468" s="13"/>
      <c r="AYO468" s="13"/>
      <c r="AYP468" s="13"/>
      <c r="AYQ468" s="13"/>
      <c r="AYR468" s="13"/>
      <c r="AYS468" s="13"/>
      <c r="AYT468" s="13"/>
      <c r="AYU468" s="13"/>
      <c r="AYV468" s="13"/>
      <c r="AYW468" s="13"/>
      <c r="AYX468" s="13"/>
      <c r="AYY468" s="13"/>
      <c r="AYZ468" s="13"/>
      <c r="AZA468" s="13"/>
      <c r="AZB468" s="13"/>
      <c r="AZC468" s="13"/>
      <c r="AZD468" s="13"/>
      <c r="AZE468" s="13"/>
      <c r="AZF468" s="13"/>
      <c r="AZG468" s="13"/>
      <c r="AZH468" s="13"/>
      <c r="AZI468" s="13"/>
      <c r="AZJ468" s="13"/>
      <c r="AZK468" s="13"/>
      <c r="AZL468" s="13"/>
      <c r="AZM468" s="13"/>
      <c r="AZN468" s="13"/>
      <c r="AZO468" s="13"/>
      <c r="AZP468" s="13"/>
      <c r="AZQ468" s="13"/>
      <c r="AZR468" s="13"/>
      <c r="AZS468" s="13"/>
      <c r="AZT468" s="13"/>
      <c r="AZU468" s="13"/>
      <c r="AZV468" s="13"/>
      <c r="AZW468" s="13"/>
      <c r="AZX468" s="13"/>
      <c r="AZY468" s="13"/>
      <c r="AZZ468" s="13"/>
      <c r="BAA468" s="13"/>
      <c r="BAB468" s="13"/>
      <c r="BAC468" s="13"/>
      <c r="BAD468" s="13"/>
      <c r="BAE468" s="13"/>
      <c r="BAF468" s="13"/>
      <c r="BAG468" s="13"/>
      <c r="BAH468" s="13"/>
      <c r="BAI468" s="13"/>
      <c r="BAJ468" s="13"/>
      <c r="BAK468" s="13"/>
      <c r="BAL468" s="13"/>
      <c r="BAM468" s="13"/>
      <c r="BAN468" s="13"/>
      <c r="BAO468" s="13"/>
      <c r="BAP468" s="13"/>
      <c r="BAQ468" s="13"/>
      <c r="BAR468" s="13"/>
      <c r="BAS468" s="13"/>
      <c r="BAT468" s="13"/>
      <c r="BAU468" s="13"/>
      <c r="BAV468" s="13"/>
      <c r="BAW468" s="13"/>
      <c r="BAX468" s="13"/>
      <c r="BAY468" s="13"/>
      <c r="BAZ468" s="13"/>
      <c r="BBA468" s="13"/>
      <c r="BBB468" s="13"/>
      <c r="BBC468" s="13"/>
      <c r="BBD468" s="13"/>
      <c r="BBE468" s="13"/>
      <c r="BBF468" s="13"/>
      <c r="BBG468" s="13"/>
      <c r="BBH468" s="13"/>
      <c r="BBI468" s="13"/>
      <c r="BBJ468" s="13"/>
      <c r="BBK468" s="13"/>
      <c r="BBL468" s="13"/>
      <c r="BBM468" s="13"/>
      <c r="BBN468" s="13"/>
      <c r="BBO468" s="13"/>
      <c r="BBP468" s="13"/>
      <c r="BBQ468" s="13"/>
      <c r="BBR468" s="13"/>
      <c r="BBS468" s="13"/>
      <c r="BBT468" s="13"/>
      <c r="BBU468" s="13"/>
      <c r="BBV468" s="13"/>
      <c r="BBW468" s="13"/>
      <c r="BBX468" s="13"/>
      <c r="BBY468" s="13"/>
      <c r="BBZ468" s="13"/>
      <c r="BCA468" s="13"/>
      <c r="BCB468" s="13"/>
      <c r="BCC468" s="13"/>
      <c r="BCD468" s="13"/>
      <c r="BCE468" s="13"/>
      <c r="BCF468" s="13"/>
      <c r="BCG468" s="13"/>
      <c r="BCH468" s="13"/>
      <c r="BCI468" s="13"/>
      <c r="BCJ468" s="13"/>
      <c r="BCK468" s="13"/>
      <c r="BCL468" s="13"/>
      <c r="BCM468" s="13"/>
      <c r="BCN468" s="13"/>
      <c r="BCO468" s="13"/>
      <c r="BCP468" s="13"/>
      <c r="BCQ468" s="13"/>
      <c r="BCR468" s="13"/>
      <c r="BCS468" s="13"/>
      <c r="BCT468" s="13"/>
      <c r="BCU468" s="13"/>
      <c r="BCV468" s="13"/>
      <c r="BCW468" s="13"/>
      <c r="BCX468" s="13"/>
      <c r="BCY468" s="13"/>
      <c r="BCZ468" s="13"/>
      <c r="BDA468" s="13"/>
      <c r="BDB468" s="13"/>
      <c r="BDC468" s="13"/>
      <c r="BDD468" s="13"/>
      <c r="BDE468" s="13"/>
      <c r="BDF468" s="13"/>
      <c r="BDG468" s="13"/>
      <c r="BDH468" s="13"/>
      <c r="BDI468" s="13"/>
      <c r="BDJ468" s="13"/>
      <c r="BDK468" s="13"/>
      <c r="BDL468" s="13"/>
      <c r="BDM468" s="13"/>
      <c r="BDN468" s="13"/>
      <c r="BDO468" s="13"/>
      <c r="BDP468" s="13"/>
      <c r="BDQ468" s="13"/>
      <c r="BDR468" s="13"/>
      <c r="BDS468" s="13"/>
      <c r="BDT468" s="13"/>
      <c r="BDU468" s="13"/>
      <c r="BDV468" s="13"/>
      <c r="BDW468" s="13"/>
      <c r="BDX468" s="13"/>
      <c r="BDY468" s="13"/>
      <c r="BDZ468" s="13"/>
      <c r="BEA468" s="13"/>
      <c r="BEB468" s="13"/>
      <c r="BEC468" s="13"/>
      <c r="BED468" s="13"/>
      <c r="BEE468" s="13"/>
      <c r="BEF468" s="13"/>
      <c r="BEG468" s="13"/>
      <c r="BEH468" s="13"/>
      <c r="BEI468" s="13"/>
      <c r="BEJ468" s="13"/>
      <c r="BEK468" s="13"/>
      <c r="BEL468" s="13"/>
      <c r="BEM468" s="13"/>
      <c r="BEN468" s="13"/>
      <c r="BEO468" s="13"/>
      <c r="BEP468" s="13"/>
      <c r="BEQ468" s="13"/>
      <c r="BER468" s="13"/>
      <c r="BES468" s="13"/>
      <c r="BET468" s="13"/>
      <c r="BEU468" s="13"/>
      <c r="BEV468" s="13"/>
      <c r="BEW468" s="13"/>
      <c r="BEX468" s="13"/>
      <c r="BEY468" s="13"/>
      <c r="BEZ468" s="13"/>
      <c r="BFA468" s="13"/>
      <c r="BFB468" s="13"/>
      <c r="BFC468" s="13"/>
      <c r="BFD468" s="13"/>
      <c r="BFE468" s="13"/>
      <c r="BFF468" s="13"/>
      <c r="BFG468" s="13"/>
      <c r="BFH468" s="13"/>
      <c r="BFI468" s="13"/>
      <c r="BFJ468" s="13"/>
      <c r="BFK468" s="13"/>
      <c r="BFL468" s="13"/>
      <c r="BFM468" s="13"/>
      <c r="BFN468" s="13"/>
      <c r="BFO468" s="13"/>
      <c r="BFP468" s="13"/>
      <c r="BFQ468" s="13"/>
      <c r="BFR468" s="13"/>
      <c r="BFS468" s="13"/>
      <c r="BFT468" s="13"/>
      <c r="BFU468" s="13"/>
      <c r="BFV468" s="13"/>
      <c r="BFW468" s="13"/>
      <c r="BFX468" s="13"/>
      <c r="BFY468" s="13"/>
      <c r="BFZ468" s="13"/>
      <c r="BGA468" s="13"/>
      <c r="BGB468" s="13"/>
      <c r="BGC468" s="13"/>
      <c r="BGD468" s="13"/>
      <c r="BGE468" s="13"/>
      <c r="BGF468" s="13"/>
      <c r="BGG468" s="13"/>
      <c r="BGH468" s="13"/>
      <c r="BGI468" s="13"/>
      <c r="BGJ468" s="13"/>
      <c r="BGK468" s="13"/>
      <c r="BGL468" s="13"/>
      <c r="BGM468" s="13"/>
      <c r="BGN468" s="13"/>
      <c r="BGO468" s="13"/>
      <c r="BGP468" s="13"/>
      <c r="BGQ468" s="13"/>
      <c r="BGR468" s="13"/>
      <c r="BGS468" s="13"/>
      <c r="BGT468" s="13"/>
      <c r="BGU468" s="13"/>
      <c r="BGV468" s="13"/>
      <c r="BGW468" s="13"/>
      <c r="BGX468" s="13"/>
      <c r="BGY468" s="13"/>
      <c r="BGZ468" s="13"/>
      <c r="BHA468" s="13"/>
      <c r="BHB468" s="13"/>
      <c r="BHC468" s="13"/>
      <c r="BHD468" s="13"/>
      <c r="BHE468" s="13"/>
      <c r="BHF468" s="13"/>
      <c r="BHG468" s="13"/>
      <c r="BHH468" s="13"/>
      <c r="BHI468" s="13"/>
      <c r="BHJ468" s="13"/>
      <c r="BHK468" s="13"/>
      <c r="BHL468" s="13"/>
      <c r="BHM468" s="13"/>
      <c r="BHN468" s="13"/>
      <c r="BHO468" s="13"/>
      <c r="BHP468" s="13"/>
      <c r="BHQ468" s="13"/>
      <c r="BHR468" s="13"/>
      <c r="BHS468" s="13"/>
      <c r="BHT468" s="13"/>
      <c r="BHU468" s="13"/>
      <c r="BHV468" s="13"/>
      <c r="BHW468" s="13"/>
      <c r="BHX468" s="13"/>
      <c r="BHY468" s="13"/>
      <c r="BHZ468" s="13"/>
      <c r="BIA468" s="13"/>
      <c r="BIB468" s="13"/>
      <c r="BIC468" s="13"/>
      <c r="BID468" s="13"/>
      <c r="BIE468" s="13"/>
      <c r="BIF468" s="13"/>
      <c r="BIG468" s="13"/>
      <c r="BIH468" s="13"/>
      <c r="BII468" s="13"/>
      <c r="BIJ468" s="13"/>
      <c r="BIK468" s="13"/>
      <c r="BIL468" s="13"/>
      <c r="BIM468" s="13"/>
      <c r="BIN468" s="13"/>
      <c r="BIO468" s="13"/>
      <c r="BIP468" s="13"/>
      <c r="BIQ468" s="13"/>
      <c r="BIR468" s="13"/>
      <c r="BIS468" s="13"/>
      <c r="BIT468" s="13"/>
      <c r="BIU468" s="13"/>
      <c r="BIV468" s="13"/>
      <c r="BIW468" s="13"/>
      <c r="BIX468" s="13"/>
      <c r="BIY468" s="13"/>
      <c r="BIZ468" s="13"/>
      <c r="BJA468" s="13"/>
      <c r="BJB468" s="13"/>
      <c r="BJC468" s="13"/>
      <c r="BJD468" s="13"/>
      <c r="BJE468" s="13"/>
      <c r="BJF468" s="13"/>
      <c r="BJG468" s="13"/>
      <c r="BJH468" s="13"/>
      <c r="BJI468" s="13"/>
      <c r="BJJ468" s="13"/>
      <c r="BJK468" s="13"/>
      <c r="BJL468" s="13"/>
      <c r="BJM468" s="13"/>
      <c r="BJN468" s="13"/>
      <c r="BJO468" s="13"/>
      <c r="BJP468" s="13"/>
      <c r="BJQ468" s="13"/>
      <c r="BJR468" s="13"/>
      <c r="BJS468" s="13"/>
      <c r="BJT468" s="13"/>
      <c r="BJU468" s="13"/>
      <c r="BJV468" s="13"/>
      <c r="BJW468" s="13"/>
      <c r="BJX468" s="13"/>
      <c r="BJY468" s="13"/>
      <c r="BJZ468" s="13"/>
      <c r="BKA468" s="13"/>
      <c r="BKB468" s="13"/>
      <c r="BKC468" s="13"/>
      <c r="BKD468" s="13"/>
      <c r="BKE468" s="13"/>
      <c r="BKF468" s="13"/>
      <c r="BKG468" s="13"/>
      <c r="BKH468" s="13"/>
      <c r="BKI468" s="13"/>
      <c r="BKJ468" s="13"/>
      <c r="BKK468" s="13"/>
      <c r="BKL468" s="13"/>
      <c r="BKM468" s="13"/>
      <c r="BKN468" s="13"/>
      <c r="BKO468" s="13"/>
      <c r="BKP468" s="13"/>
      <c r="BKQ468" s="13"/>
      <c r="BKR468" s="13"/>
      <c r="BKS468" s="13"/>
      <c r="BKT468" s="13"/>
      <c r="BKU468" s="13"/>
      <c r="BKV468" s="13"/>
      <c r="BKW468" s="13"/>
      <c r="BKX468" s="13"/>
      <c r="BKY468" s="13"/>
      <c r="BKZ468" s="13"/>
      <c r="BLA468" s="13"/>
      <c r="BLB468" s="13"/>
      <c r="BLC468" s="13"/>
      <c r="BLD468" s="13"/>
      <c r="BLE468" s="13"/>
      <c r="BLF468" s="13"/>
      <c r="BLG468" s="13"/>
      <c r="BLH468" s="13"/>
      <c r="BLI468" s="13"/>
      <c r="BLJ468" s="13"/>
      <c r="BLK468" s="13"/>
      <c r="BLL468" s="13"/>
      <c r="BLM468" s="13"/>
      <c r="BLN468" s="13"/>
      <c r="BLO468" s="13"/>
      <c r="BLP468" s="13"/>
      <c r="BLQ468" s="13"/>
      <c r="BLR468" s="13"/>
      <c r="BLS468" s="13"/>
      <c r="BLT468" s="13"/>
      <c r="BLU468" s="13"/>
      <c r="BLV468" s="13"/>
      <c r="BLW468" s="13"/>
      <c r="BLX468" s="13"/>
      <c r="BLY468" s="13"/>
      <c r="BLZ468" s="13"/>
      <c r="BMA468" s="13"/>
      <c r="BMB468" s="13"/>
      <c r="BMC468" s="13"/>
      <c r="BMD468" s="13"/>
      <c r="BME468" s="13"/>
      <c r="BMF468" s="13"/>
      <c r="BMG468" s="13"/>
      <c r="BMH468" s="13"/>
      <c r="BMI468" s="13"/>
      <c r="BMJ468" s="13"/>
      <c r="BMK468" s="13"/>
      <c r="BML468" s="13"/>
      <c r="BMM468" s="13"/>
      <c r="BMN468" s="13"/>
      <c r="BMO468" s="13"/>
      <c r="BMP468" s="13"/>
      <c r="BMQ468" s="13"/>
      <c r="BMR468" s="13"/>
      <c r="BMS468" s="13"/>
      <c r="BMT468" s="13"/>
      <c r="BMU468" s="13"/>
      <c r="BMV468" s="13"/>
      <c r="BMW468" s="13"/>
      <c r="BMX468" s="13"/>
      <c r="BMY468" s="13"/>
      <c r="BMZ468" s="13"/>
      <c r="BNA468" s="13"/>
      <c r="BNB468" s="13"/>
      <c r="BNC468" s="13"/>
      <c r="BND468" s="13"/>
      <c r="BNE468" s="13"/>
      <c r="BNF468" s="13"/>
      <c r="BNG468" s="13"/>
      <c r="BNH468" s="13"/>
      <c r="BNI468" s="13"/>
      <c r="BNJ468" s="13"/>
      <c r="BNK468" s="13"/>
      <c r="BNL468" s="13"/>
      <c r="BNM468" s="13"/>
      <c r="BNN468" s="13"/>
      <c r="BNO468" s="13"/>
      <c r="BNP468" s="13"/>
      <c r="BNQ468" s="13"/>
      <c r="BNR468" s="13"/>
      <c r="BNS468" s="13"/>
      <c r="BNT468" s="13"/>
      <c r="BNU468" s="13"/>
      <c r="BNV468" s="13"/>
      <c r="BNW468" s="13"/>
      <c r="BNX468" s="13"/>
      <c r="BNY468" s="13"/>
      <c r="BNZ468" s="13"/>
      <c r="BOA468" s="13"/>
      <c r="BOB468" s="13"/>
      <c r="BOC468" s="13"/>
      <c r="BOD468" s="13"/>
      <c r="BOE468" s="13"/>
      <c r="BOF468" s="13"/>
      <c r="BOG468" s="13"/>
      <c r="BOH468" s="13"/>
      <c r="BOI468" s="13"/>
      <c r="BOJ468" s="13"/>
      <c r="BOK468" s="13"/>
      <c r="BOL468" s="13"/>
      <c r="BOM468" s="13"/>
      <c r="BON468" s="13"/>
      <c r="BOO468" s="13"/>
      <c r="BOP468" s="13"/>
      <c r="BOQ468" s="13"/>
      <c r="BOR468" s="13"/>
      <c r="BOS468" s="13"/>
      <c r="BOT468" s="13"/>
      <c r="BOU468" s="13"/>
      <c r="BOV468" s="13"/>
      <c r="BOW468" s="13"/>
      <c r="BOX468" s="13"/>
      <c r="BOY468" s="13"/>
      <c r="BOZ468" s="13"/>
      <c r="BPA468" s="13"/>
      <c r="BPB468" s="13"/>
      <c r="BPC468" s="13"/>
      <c r="BPD468" s="13"/>
      <c r="BPE468" s="13"/>
      <c r="BPF468" s="13"/>
      <c r="BPG468" s="13"/>
      <c r="BPH468" s="13"/>
      <c r="BPI468" s="13"/>
      <c r="BPJ468" s="13"/>
      <c r="BPK468" s="13"/>
      <c r="BPL468" s="13"/>
      <c r="BPM468" s="13"/>
      <c r="BPN468" s="13"/>
      <c r="BPO468" s="13"/>
      <c r="BPP468" s="13"/>
      <c r="BPQ468" s="13"/>
      <c r="BPR468" s="13"/>
      <c r="BPS468" s="13"/>
      <c r="BPT468" s="13"/>
      <c r="BPU468" s="13"/>
      <c r="BPV468" s="13"/>
      <c r="BPW468" s="13"/>
      <c r="BPX468" s="13"/>
      <c r="BPY468" s="13"/>
      <c r="BPZ468" s="13"/>
      <c r="BQA468" s="13"/>
      <c r="BQB468" s="13"/>
      <c r="BQC468" s="13"/>
      <c r="BQD468" s="13"/>
      <c r="BQE468" s="13"/>
      <c r="BQF468" s="13"/>
      <c r="BQG468" s="13"/>
      <c r="BQH468" s="13"/>
      <c r="BQI468" s="13"/>
      <c r="BQJ468" s="13"/>
      <c r="BQK468" s="13"/>
      <c r="BQL468" s="13"/>
      <c r="BQM468" s="13"/>
      <c r="BQN468" s="13"/>
      <c r="BQO468" s="13"/>
      <c r="BQP468" s="13"/>
      <c r="BQQ468" s="13"/>
      <c r="BQR468" s="13"/>
      <c r="BQS468" s="13"/>
      <c r="BQT468" s="13"/>
      <c r="BQU468" s="13"/>
      <c r="BQV468" s="13"/>
      <c r="BQW468" s="13"/>
      <c r="BQX468" s="13"/>
      <c r="BQY468" s="13"/>
      <c r="BQZ468" s="13"/>
      <c r="BRA468" s="13"/>
      <c r="BRB468" s="13"/>
      <c r="BRC468" s="13"/>
      <c r="BRD468" s="13"/>
      <c r="BRE468" s="13"/>
      <c r="BRF468" s="13"/>
      <c r="BRG468" s="13"/>
      <c r="BRH468" s="13"/>
      <c r="BRI468" s="13"/>
      <c r="BRJ468" s="13"/>
      <c r="BRK468" s="13"/>
      <c r="BRL468" s="13"/>
      <c r="BRM468" s="13"/>
      <c r="BRN468" s="13"/>
      <c r="BRO468" s="13"/>
      <c r="BRP468" s="13"/>
      <c r="BRQ468" s="13"/>
      <c r="BRR468" s="13"/>
      <c r="BRS468" s="13"/>
      <c r="BRT468" s="13"/>
      <c r="BRU468" s="13"/>
      <c r="BRV468" s="13"/>
      <c r="BRW468" s="13"/>
      <c r="BRX468" s="13"/>
      <c r="BRY468" s="13"/>
      <c r="BRZ468" s="13"/>
      <c r="BSA468" s="13"/>
      <c r="BSB468" s="13"/>
      <c r="BSC468" s="13"/>
      <c r="BSD468" s="13"/>
      <c r="BSE468" s="13"/>
      <c r="BSF468" s="13"/>
      <c r="BSG468" s="13"/>
      <c r="BSH468" s="13"/>
      <c r="BSI468" s="13"/>
      <c r="BSJ468" s="13"/>
      <c r="BSK468" s="13"/>
      <c r="BSL468" s="13"/>
      <c r="BSM468" s="13"/>
      <c r="BSN468" s="13"/>
      <c r="BSO468" s="13"/>
      <c r="BSP468" s="13"/>
      <c r="BSQ468" s="13"/>
      <c r="BSR468" s="13"/>
      <c r="BSS468" s="13"/>
      <c r="BST468" s="13"/>
      <c r="BSU468" s="13"/>
      <c r="BSV468" s="13"/>
      <c r="BSW468" s="13"/>
      <c r="BSX468" s="13"/>
      <c r="BSY468" s="13"/>
      <c r="BSZ468" s="13"/>
      <c r="BTA468" s="13"/>
    </row>
    <row r="469" spans="1:1873" s="23" customFormat="1" x14ac:dyDescent="0.2">
      <c r="A469" s="223" t="s">
        <v>785</v>
      </c>
      <c r="B469" s="223" t="s">
        <v>786</v>
      </c>
      <c r="C469" s="223" t="s">
        <v>293</v>
      </c>
      <c r="D469" s="223" t="s">
        <v>619</v>
      </c>
      <c r="E469" s="241" t="s">
        <v>1438</v>
      </c>
      <c r="F469" s="241">
        <v>1</v>
      </c>
      <c r="G469" s="223">
        <v>7</v>
      </c>
      <c r="H469" s="242">
        <v>7</v>
      </c>
      <c r="I469" s="223" t="s">
        <v>954</v>
      </c>
      <c r="J469" s="223">
        <v>1977</v>
      </c>
      <c r="K469" s="223" t="s">
        <v>957</v>
      </c>
      <c r="L469" s="223">
        <v>1983</v>
      </c>
      <c r="M469" s="243">
        <v>-9999</v>
      </c>
      <c r="N469" s="223">
        <v>-9999</v>
      </c>
      <c r="O469" s="29"/>
      <c r="P469" s="285">
        <f t="shared" si="23"/>
        <v>70.7</v>
      </c>
      <c r="Q469" s="223">
        <v>-9999</v>
      </c>
      <c r="R469" s="243"/>
      <c r="S469" s="223"/>
      <c r="T469" s="243">
        <v>10.1</v>
      </c>
      <c r="U469" s="243">
        <v>2.4</v>
      </c>
      <c r="V469" s="243"/>
      <c r="W469" s="244">
        <f t="shared" si="24"/>
        <v>5.8999999999999915</v>
      </c>
      <c r="X469" s="223">
        <v>-9999</v>
      </c>
      <c r="Y469" s="223"/>
      <c r="Z469" s="223" t="s">
        <v>787</v>
      </c>
      <c r="AA469" s="442">
        <v>27778</v>
      </c>
      <c r="AB469" s="243">
        <v>-9999</v>
      </c>
      <c r="AC469" s="223">
        <v>-9999</v>
      </c>
      <c r="AD469" s="223">
        <f t="shared" si="25"/>
        <v>1900</v>
      </c>
      <c r="AE469" s="404" t="s">
        <v>1954</v>
      </c>
      <c r="AF469" s="223">
        <v>16</v>
      </c>
      <c r="AG469" s="240" t="s">
        <v>283</v>
      </c>
      <c r="AH469" s="223" t="s">
        <v>623</v>
      </c>
      <c r="AI469" s="223">
        <v>-9999</v>
      </c>
      <c r="AJ469" s="223">
        <v>-9999</v>
      </c>
      <c r="AK469" s="223" t="s">
        <v>631</v>
      </c>
      <c r="AL469" s="223">
        <v>-9999</v>
      </c>
      <c r="AM469" s="223">
        <v>-9999</v>
      </c>
      <c r="AN469" s="223" t="s">
        <v>626</v>
      </c>
      <c r="AO469" s="223" t="s">
        <v>788</v>
      </c>
      <c r="AP469" s="223" t="s">
        <v>789</v>
      </c>
      <c r="AQ469" s="223" t="s">
        <v>626</v>
      </c>
      <c r="AR469" s="223">
        <f>110+AR468</f>
        <v>776</v>
      </c>
      <c r="AS469" s="223" t="s">
        <v>723</v>
      </c>
      <c r="AT469" s="223" t="s">
        <v>790</v>
      </c>
      <c r="AU469" s="223">
        <v>0</v>
      </c>
      <c r="AV469" s="223">
        <v>-9999</v>
      </c>
      <c r="AW469" s="223">
        <v>-9999</v>
      </c>
      <c r="AX469" s="223">
        <v>0</v>
      </c>
      <c r="AY469" s="223">
        <v>-9999</v>
      </c>
      <c r="AZ469" s="223" t="s">
        <v>790</v>
      </c>
      <c r="BA469" s="223">
        <v>-9999</v>
      </c>
      <c r="BB469" s="223" t="s">
        <v>626</v>
      </c>
      <c r="BC469" s="223" t="s">
        <v>791</v>
      </c>
      <c r="BD469" s="223" t="s">
        <v>792</v>
      </c>
      <c r="BE469" s="223"/>
      <c r="BF469" s="223">
        <v>-9999</v>
      </c>
      <c r="BG469" s="223">
        <v>-9999</v>
      </c>
      <c r="BH469" s="223">
        <v>-9999</v>
      </c>
      <c r="BI469" s="223">
        <v>-9999</v>
      </c>
      <c r="BJ469" s="223">
        <v>-9999</v>
      </c>
      <c r="BK469" s="223">
        <v>-9999</v>
      </c>
      <c r="BL469" s="223">
        <v>-9999</v>
      </c>
      <c r="BM469" s="223">
        <v>-9999</v>
      </c>
      <c r="BN469" s="223">
        <v>-9999</v>
      </c>
      <c r="BO469" s="223">
        <v>-9999</v>
      </c>
      <c r="BP469" s="223">
        <v>-9999</v>
      </c>
      <c r="BQ469" s="223">
        <v>-9999</v>
      </c>
      <c r="BR469" s="223">
        <v>-9999</v>
      </c>
      <c r="BS469" s="242">
        <v>-9999</v>
      </c>
      <c r="BT469" s="223">
        <v>-9999</v>
      </c>
      <c r="BU469" s="223">
        <v>-9999</v>
      </c>
      <c r="BV469" s="223">
        <v>-9999</v>
      </c>
      <c r="BW469" s="223"/>
      <c r="BX469" s="223">
        <v>-9999</v>
      </c>
      <c r="BY469" s="223">
        <v>-9999</v>
      </c>
      <c r="BZ469" s="223">
        <v>-9999</v>
      </c>
      <c r="CA469" s="332">
        <v>-9999</v>
      </c>
      <c r="CB469" s="247"/>
      <c r="CC469" s="83">
        <v>1</v>
      </c>
      <c r="CD469" s="32">
        <v>7</v>
      </c>
      <c r="CE469" s="292">
        <v>10.1</v>
      </c>
      <c r="CF469" s="292">
        <v>5.8999999999999915</v>
      </c>
      <c r="CG469" s="84">
        <v>7</v>
      </c>
    </row>
    <row r="470" spans="1:1873" s="23" customFormat="1" x14ac:dyDescent="0.2">
      <c r="A470" s="223" t="s">
        <v>785</v>
      </c>
      <c r="B470" s="223" t="s">
        <v>786</v>
      </c>
      <c r="C470" s="223" t="s">
        <v>293</v>
      </c>
      <c r="D470" s="223" t="s">
        <v>619</v>
      </c>
      <c r="E470" s="241" t="s">
        <v>1438</v>
      </c>
      <c r="F470" s="241">
        <v>1</v>
      </c>
      <c r="G470" s="223">
        <v>8</v>
      </c>
      <c r="H470" s="242">
        <v>8</v>
      </c>
      <c r="I470" s="223" t="s">
        <v>954</v>
      </c>
      <c r="J470" s="223">
        <v>1977</v>
      </c>
      <c r="K470" s="223" t="s">
        <v>957</v>
      </c>
      <c r="L470" s="223">
        <v>1984</v>
      </c>
      <c r="M470" s="243">
        <v>-9999</v>
      </c>
      <c r="N470" s="223">
        <v>-9999</v>
      </c>
      <c r="O470" s="29"/>
      <c r="P470" s="285">
        <f t="shared" si="23"/>
        <v>72</v>
      </c>
      <c r="Q470" s="223">
        <v>-9999</v>
      </c>
      <c r="R470" s="243"/>
      <c r="S470" s="223"/>
      <c r="T470" s="243">
        <v>9</v>
      </c>
      <c r="U470" s="243">
        <v>2.2999999999999998</v>
      </c>
      <c r="V470" s="243"/>
      <c r="W470" s="244">
        <f t="shared" si="24"/>
        <v>1.2999999999999972</v>
      </c>
      <c r="X470" s="223">
        <v>-9999</v>
      </c>
      <c r="Y470" s="223"/>
      <c r="Z470" s="223" t="s">
        <v>787</v>
      </c>
      <c r="AA470" s="442">
        <v>27778</v>
      </c>
      <c r="AB470" s="243">
        <v>-9999</v>
      </c>
      <c r="AC470" s="223">
        <v>-9999</v>
      </c>
      <c r="AD470" s="223">
        <f t="shared" si="25"/>
        <v>1900</v>
      </c>
      <c r="AE470" s="404" t="s">
        <v>1954</v>
      </c>
      <c r="AF470" s="223">
        <v>16</v>
      </c>
      <c r="AG470" s="240" t="s">
        <v>283</v>
      </c>
      <c r="AH470" s="223" t="s">
        <v>623</v>
      </c>
      <c r="AI470" s="223">
        <v>-9999</v>
      </c>
      <c r="AJ470" s="223">
        <v>-9999</v>
      </c>
      <c r="AK470" s="223" t="s">
        <v>631</v>
      </c>
      <c r="AL470" s="223">
        <v>-9999</v>
      </c>
      <c r="AM470" s="223">
        <v>-9999</v>
      </c>
      <c r="AN470" s="223" t="s">
        <v>626</v>
      </c>
      <c r="AO470" s="223" t="s">
        <v>788</v>
      </c>
      <c r="AP470" s="223" t="s">
        <v>789</v>
      </c>
      <c r="AQ470" s="223" t="s">
        <v>626</v>
      </c>
      <c r="AR470" s="223">
        <f>110+AR469</f>
        <v>886</v>
      </c>
      <c r="AS470" s="223" t="s">
        <v>723</v>
      </c>
      <c r="AT470" s="223" t="s">
        <v>790</v>
      </c>
      <c r="AU470" s="223">
        <v>0</v>
      </c>
      <c r="AV470" s="223">
        <v>-9999</v>
      </c>
      <c r="AW470" s="223">
        <v>-9999</v>
      </c>
      <c r="AX470" s="223">
        <v>0</v>
      </c>
      <c r="AY470" s="223">
        <v>-9999</v>
      </c>
      <c r="AZ470" s="223" t="s">
        <v>790</v>
      </c>
      <c r="BA470" s="223">
        <v>-9999</v>
      </c>
      <c r="BB470" s="223" t="s">
        <v>626</v>
      </c>
      <c r="BC470" s="223" t="s">
        <v>791</v>
      </c>
      <c r="BD470" s="223" t="s">
        <v>792</v>
      </c>
      <c r="BE470" s="223"/>
      <c r="BF470" s="223">
        <v>-9999</v>
      </c>
      <c r="BG470" s="223">
        <v>-9999</v>
      </c>
      <c r="BH470" s="223">
        <v>-9999</v>
      </c>
      <c r="BI470" s="223">
        <v>-9999</v>
      </c>
      <c r="BJ470" s="223">
        <v>-9999</v>
      </c>
      <c r="BK470" s="223">
        <v>-9999</v>
      </c>
      <c r="BL470" s="223">
        <v>-9999</v>
      </c>
      <c r="BM470" s="223">
        <v>-9999</v>
      </c>
      <c r="BN470" s="223">
        <v>-9999</v>
      </c>
      <c r="BO470" s="223">
        <v>-9999</v>
      </c>
      <c r="BP470" s="223">
        <v>-9999</v>
      </c>
      <c r="BQ470" s="223">
        <v>-9999</v>
      </c>
      <c r="BR470" s="223">
        <v>-9999</v>
      </c>
      <c r="BS470" s="242">
        <v>-9999</v>
      </c>
      <c r="BT470" s="223">
        <v>-9999</v>
      </c>
      <c r="BU470" s="223">
        <v>-9999</v>
      </c>
      <c r="BV470" s="223">
        <v>-9999</v>
      </c>
      <c r="BW470" s="223"/>
      <c r="BX470" s="223">
        <v>-9999</v>
      </c>
      <c r="BY470" s="223">
        <v>-9999</v>
      </c>
      <c r="BZ470" s="223">
        <v>-9999</v>
      </c>
      <c r="CA470" s="332">
        <v>-9999</v>
      </c>
      <c r="CB470" s="247"/>
      <c r="CC470" s="83">
        <v>1</v>
      </c>
      <c r="CD470" s="32">
        <v>8</v>
      </c>
      <c r="CE470" s="292">
        <v>9</v>
      </c>
      <c r="CF470" s="292">
        <v>1.2999999999999972</v>
      </c>
      <c r="CG470" s="84">
        <v>8</v>
      </c>
    </row>
    <row r="471" spans="1:1873" s="23" customFormat="1" x14ac:dyDescent="0.2">
      <c r="A471" s="240"/>
      <c r="B471" s="223"/>
      <c r="C471" s="223"/>
      <c r="D471" s="223"/>
      <c r="E471" s="241"/>
      <c r="F471" s="241"/>
      <c r="G471" s="223"/>
      <c r="H471" s="242"/>
      <c r="I471" s="223"/>
      <c r="J471" s="223"/>
      <c r="K471" s="223"/>
      <c r="L471" s="223"/>
      <c r="M471" s="243"/>
      <c r="N471" s="223"/>
      <c r="O471" s="29"/>
      <c r="P471" s="243"/>
      <c r="Q471" s="223"/>
      <c r="R471" s="243"/>
      <c r="S471" s="223"/>
      <c r="T471" s="243"/>
      <c r="U471" s="243"/>
      <c r="V471" s="243"/>
      <c r="W471" s="243"/>
      <c r="X471" s="223"/>
      <c r="Y471" s="223"/>
      <c r="Z471" s="223"/>
      <c r="AA471" s="442"/>
      <c r="AB471" s="243"/>
      <c r="AC471" s="223"/>
      <c r="AD471" s="223"/>
      <c r="AE471" s="223"/>
      <c r="AF471" s="223"/>
      <c r="AG471" s="240"/>
      <c r="AH471" s="223"/>
      <c r="AI471" s="223"/>
      <c r="AJ471" s="223"/>
      <c r="AK471" s="223"/>
      <c r="AL471" s="223"/>
      <c r="AM471" s="223"/>
      <c r="AN471" s="223"/>
      <c r="AO471" s="223"/>
      <c r="AP471" s="223"/>
      <c r="AQ471" s="223"/>
      <c r="AR471" s="223"/>
      <c r="AS471" s="223"/>
      <c r="AT471" s="223"/>
      <c r="AU471" s="223"/>
      <c r="AV471" s="223"/>
      <c r="AW471" s="223"/>
      <c r="AX471" s="223"/>
      <c r="AY471" s="223"/>
      <c r="AZ471" s="223"/>
      <c r="BA471" s="223"/>
      <c r="BB471" s="223"/>
      <c r="BC471" s="223"/>
      <c r="BD471" s="223"/>
      <c r="BE471" s="223"/>
      <c r="BF471" s="223"/>
      <c r="BG471" s="223"/>
      <c r="BH471" s="223"/>
      <c r="BI471" s="223"/>
      <c r="BJ471" s="223"/>
      <c r="BK471" s="223"/>
      <c r="BL471" s="223"/>
      <c r="BM471" s="223"/>
      <c r="BN471" s="223"/>
      <c r="BO471" s="223"/>
      <c r="BP471" s="223"/>
      <c r="BQ471" s="223"/>
      <c r="BR471" s="223"/>
      <c r="BS471" s="242"/>
      <c r="BT471" s="223"/>
      <c r="BU471" s="223"/>
      <c r="BV471" s="223"/>
      <c r="BW471" s="223"/>
      <c r="BX471" s="223"/>
      <c r="BY471" s="223"/>
      <c r="BZ471" s="223"/>
      <c r="CA471" s="332"/>
      <c r="CB471" s="247"/>
      <c r="CC471" s="83"/>
      <c r="CD471" s="32"/>
      <c r="CE471" s="342" t="s">
        <v>1576</v>
      </c>
      <c r="CF471" s="342" t="s">
        <v>1575</v>
      </c>
      <c r="CG471" s="84"/>
    </row>
    <row r="472" spans="1:1873" s="23" customFormat="1" x14ac:dyDescent="0.2">
      <c r="A472" s="223" t="s">
        <v>785</v>
      </c>
      <c r="B472" s="223" t="s">
        <v>786</v>
      </c>
      <c r="C472" s="223" t="s">
        <v>294</v>
      </c>
      <c r="D472" s="223" t="s">
        <v>619</v>
      </c>
      <c r="E472" s="241" t="s">
        <v>1438</v>
      </c>
      <c r="F472" s="241">
        <v>1</v>
      </c>
      <c r="G472" s="223">
        <v>3</v>
      </c>
      <c r="H472" s="242">
        <v>3</v>
      </c>
      <c r="I472" s="223" t="s">
        <v>954</v>
      </c>
      <c r="J472" s="223">
        <v>1977</v>
      </c>
      <c r="K472" s="223" t="s">
        <v>957</v>
      </c>
      <c r="L472" s="223">
        <v>1979</v>
      </c>
      <c r="M472" s="243">
        <v>-9999</v>
      </c>
      <c r="N472" s="223">
        <v>-9999</v>
      </c>
      <c r="O472" s="29"/>
      <c r="P472" s="285">
        <f>+T472*G472</f>
        <v>13.200000000000001</v>
      </c>
      <c r="Q472" s="223">
        <v>-9999</v>
      </c>
      <c r="R472" s="243"/>
      <c r="S472" s="223"/>
      <c r="T472" s="243">
        <v>4.4000000000000004</v>
      </c>
      <c r="U472" s="243">
        <v>0.9</v>
      </c>
      <c r="V472" s="243"/>
      <c r="W472" s="243">
        <v>-9999</v>
      </c>
      <c r="X472" s="223">
        <v>-9999</v>
      </c>
      <c r="Y472" s="223"/>
      <c r="Z472" s="223" t="s">
        <v>67</v>
      </c>
      <c r="AA472" s="441">
        <v>6719</v>
      </c>
      <c r="AB472" s="243">
        <v>-9999</v>
      </c>
      <c r="AC472" s="223">
        <v>-9999</v>
      </c>
      <c r="AD472" s="223">
        <f t="shared" si="25"/>
        <v>1900</v>
      </c>
      <c r="AE472" s="404" t="s">
        <v>1955</v>
      </c>
      <c r="AF472" s="223">
        <v>16</v>
      </c>
      <c r="AG472" s="240" t="s">
        <v>283</v>
      </c>
      <c r="AH472" s="223" t="s">
        <v>623</v>
      </c>
      <c r="AI472" s="223">
        <v>-9999</v>
      </c>
      <c r="AJ472" s="223">
        <v>-9999</v>
      </c>
      <c r="AK472" s="223" t="s">
        <v>631</v>
      </c>
      <c r="AL472" s="223">
        <v>-9999</v>
      </c>
      <c r="AM472" s="223">
        <v>-9999</v>
      </c>
      <c r="AN472" s="223" t="s">
        <v>626</v>
      </c>
      <c r="AO472" s="223" t="s">
        <v>788</v>
      </c>
      <c r="AP472" s="223" t="s">
        <v>789</v>
      </c>
      <c r="AQ472" s="223" t="s">
        <v>626</v>
      </c>
      <c r="AR472" s="223">
        <f>112*G472</f>
        <v>336</v>
      </c>
      <c r="AS472" s="223" t="s">
        <v>723</v>
      </c>
      <c r="AT472" s="223" t="s">
        <v>790</v>
      </c>
      <c r="AU472" s="223">
        <v>0</v>
      </c>
      <c r="AV472" s="223">
        <v>-9999</v>
      </c>
      <c r="AW472" s="223">
        <v>-9999</v>
      </c>
      <c r="AX472" s="223">
        <v>0</v>
      </c>
      <c r="AY472" s="223">
        <v>-9999</v>
      </c>
      <c r="AZ472" s="223" t="s">
        <v>790</v>
      </c>
      <c r="BA472" s="223">
        <v>-9999</v>
      </c>
      <c r="BB472" s="223" t="s">
        <v>626</v>
      </c>
      <c r="BC472" s="223" t="s">
        <v>791</v>
      </c>
      <c r="BD472" s="223" t="s">
        <v>792</v>
      </c>
      <c r="BE472" s="223"/>
      <c r="BF472" s="223">
        <v>-9999</v>
      </c>
      <c r="BG472" s="223">
        <v>-9999</v>
      </c>
      <c r="BH472" s="223">
        <v>-9999</v>
      </c>
      <c r="BI472" s="223">
        <v>-9999</v>
      </c>
      <c r="BJ472" s="223">
        <v>-9999</v>
      </c>
      <c r="BK472" s="223">
        <v>-9999</v>
      </c>
      <c r="BL472" s="223">
        <v>-9999</v>
      </c>
      <c r="BM472" s="223">
        <v>-9999</v>
      </c>
      <c r="BN472" s="223">
        <v>-9999</v>
      </c>
      <c r="BO472" s="223">
        <v>-9999</v>
      </c>
      <c r="BP472" s="223">
        <v>-9999</v>
      </c>
      <c r="BQ472" s="223">
        <v>-9999</v>
      </c>
      <c r="BR472" s="223">
        <v>-9999</v>
      </c>
      <c r="BS472" s="242">
        <v>-9999</v>
      </c>
      <c r="BT472" s="223">
        <v>-9999</v>
      </c>
      <c r="BU472" s="223">
        <v>-9999</v>
      </c>
      <c r="BV472" s="223">
        <v>-9999</v>
      </c>
      <c r="BW472" s="223"/>
      <c r="BX472" s="223">
        <v>-9999</v>
      </c>
      <c r="BY472" s="223">
        <v>-9999</v>
      </c>
      <c r="BZ472" s="223">
        <v>-9999</v>
      </c>
      <c r="CA472" s="332">
        <v>-9999</v>
      </c>
      <c r="CB472" s="247"/>
      <c r="CC472" s="83">
        <v>1</v>
      </c>
      <c r="CD472" s="32">
        <v>3</v>
      </c>
      <c r="CE472" s="292">
        <v>4.4000000000000004</v>
      </c>
      <c r="CF472" s="292">
        <v>-9999</v>
      </c>
      <c r="CG472" s="84">
        <v>3</v>
      </c>
    </row>
    <row r="473" spans="1:1873" s="23" customFormat="1" x14ac:dyDescent="0.2">
      <c r="A473" s="223" t="s">
        <v>785</v>
      </c>
      <c r="B473" s="223" t="s">
        <v>786</v>
      </c>
      <c r="C473" s="223" t="s">
        <v>294</v>
      </c>
      <c r="D473" s="223" t="s">
        <v>619</v>
      </c>
      <c r="E473" s="241" t="s">
        <v>1438</v>
      </c>
      <c r="F473" s="241">
        <v>1</v>
      </c>
      <c r="G473" s="223">
        <v>4</v>
      </c>
      <c r="H473" s="242">
        <v>4</v>
      </c>
      <c r="I473" s="223" t="s">
        <v>954</v>
      </c>
      <c r="J473" s="223">
        <v>1977</v>
      </c>
      <c r="K473" s="223" t="s">
        <v>957</v>
      </c>
      <c r="L473" s="223">
        <v>1980</v>
      </c>
      <c r="M473" s="243">
        <v>-9999</v>
      </c>
      <c r="N473" s="223">
        <v>-9999</v>
      </c>
      <c r="O473" s="29"/>
      <c r="P473" s="285">
        <f>+T473*G473</f>
        <v>28</v>
      </c>
      <c r="Q473" s="223">
        <v>-9999</v>
      </c>
      <c r="R473" s="243"/>
      <c r="S473" s="223"/>
      <c r="T473" s="243">
        <v>7</v>
      </c>
      <c r="U473" s="243">
        <v>1.1000000000000001</v>
      </c>
      <c r="V473" s="243"/>
      <c r="W473" s="244">
        <f>+P473-P472</f>
        <v>14.799999999999999</v>
      </c>
      <c r="X473" s="223">
        <v>-9999</v>
      </c>
      <c r="Y473" s="223"/>
      <c r="Z473" s="223" t="s">
        <v>67</v>
      </c>
      <c r="AA473" s="441">
        <v>6719</v>
      </c>
      <c r="AB473" s="243">
        <v>-9999</v>
      </c>
      <c r="AC473" s="223">
        <v>-9999</v>
      </c>
      <c r="AD473" s="223">
        <f t="shared" si="25"/>
        <v>1900</v>
      </c>
      <c r="AE473" s="404" t="s">
        <v>1955</v>
      </c>
      <c r="AF473" s="223">
        <v>16</v>
      </c>
      <c r="AG473" s="240" t="s">
        <v>283</v>
      </c>
      <c r="AH473" s="223" t="s">
        <v>623</v>
      </c>
      <c r="AI473" s="223">
        <v>-9999</v>
      </c>
      <c r="AJ473" s="223">
        <v>-9999</v>
      </c>
      <c r="AK473" s="223" t="s">
        <v>631</v>
      </c>
      <c r="AL473" s="223">
        <v>-9999</v>
      </c>
      <c r="AM473" s="223">
        <v>-9999</v>
      </c>
      <c r="AN473" s="223" t="s">
        <v>626</v>
      </c>
      <c r="AO473" s="223" t="s">
        <v>788</v>
      </c>
      <c r="AP473" s="223" t="s">
        <v>789</v>
      </c>
      <c r="AQ473" s="223" t="s">
        <v>626</v>
      </c>
      <c r="AR473" s="223">
        <f>110+AR472</f>
        <v>446</v>
      </c>
      <c r="AS473" s="223" t="s">
        <v>723</v>
      </c>
      <c r="AT473" s="223" t="s">
        <v>790</v>
      </c>
      <c r="AU473" s="223">
        <v>0</v>
      </c>
      <c r="AV473" s="223">
        <v>-9999</v>
      </c>
      <c r="AW473" s="223">
        <v>-9999</v>
      </c>
      <c r="AX473" s="223">
        <v>0</v>
      </c>
      <c r="AY473" s="223">
        <v>-9999</v>
      </c>
      <c r="AZ473" s="223" t="s">
        <v>790</v>
      </c>
      <c r="BA473" s="223">
        <v>-9999</v>
      </c>
      <c r="BB473" s="223" t="s">
        <v>626</v>
      </c>
      <c r="BC473" s="223" t="s">
        <v>791</v>
      </c>
      <c r="BD473" s="223" t="s">
        <v>792</v>
      </c>
      <c r="BE473" s="223"/>
      <c r="BF473" s="223">
        <v>-9999</v>
      </c>
      <c r="BG473" s="223">
        <v>-9999</v>
      </c>
      <c r="BH473" s="223">
        <v>-9999</v>
      </c>
      <c r="BI473" s="223">
        <v>-9999</v>
      </c>
      <c r="BJ473" s="223">
        <v>-9999</v>
      </c>
      <c r="BK473" s="223">
        <v>-9999</v>
      </c>
      <c r="BL473" s="223">
        <v>-9999</v>
      </c>
      <c r="BM473" s="223">
        <v>-9999</v>
      </c>
      <c r="BN473" s="223">
        <v>-9999</v>
      </c>
      <c r="BO473" s="223">
        <v>-9999</v>
      </c>
      <c r="BP473" s="223">
        <v>-9999</v>
      </c>
      <c r="BQ473" s="223">
        <v>-9999</v>
      </c>
      <c r="BR473" s="223">
        <v>-9999</v>
      </c>
      <c r="BS473" s="242">
        <v>-9999</v>
      </c>
      <c r="BT473" s="223">
        <v>-9999</v>
      </c>
      <c r="BU473" s="223">
        <v>-9999</v>
      </c>
      <c r="BV473" s="223">
        <v>-9999</v>
      </c>
      <c r="BW473" s="223"/>
      <c r="BX473" s="223">
        <v>-9999</v>
      </c>
      <c r="BY473" s="223">
        <v>-9999</v>
      </c>
      <c r="BZ473" s="223">
        <v>-9999</v>
      </c>
      <c r="CA473" s="332">
        <v>-9999</v>
      </c>
      <c r="CB473" s="247"/>
      <c r="CC473" s="83">
        <v>1</v>
      </c>
      <c r="CD473" s="32">
        <v>4</v>
      </c>
      <c r="CE473" s="292">
        <v>7</v>
      </c>
      <c r="CF473" s="292">
        <v>14.799999999999999</v>
      </c>
      <c r="CG473" s="84">
        <v>4</v>
      </c>
    </row>
    <row r="474" spans="1:1873" s="23" customFormat="1" x14ac:dyDescent="0.2">
      <c r="A474" s="223"/>
      <c r="B474" s="223"/>
      <c r="C474" s="223"/>
      <c r="D474" s="223"/>
      <c r="E474" s="241"/>
      <c r="F474" s="241"/>
      <c r="G474" s="223"/>
      <c r="H474" s="242"/>
      <c r="I474" s="223"/>
      <c r="J474" s="223"/>
      <c r="K474" s="223"/>
      <c r="L474" s="223"/>
      <c r="M474" s="243"/>
      <c r="N474" s="223"/>
      <c r="O474" s="29"/>
      <c r="P474" s="243"/>
      <c r="Q474" s="223"/>
      <c r="R474" s="243"/>
      <c r="S474" s="223"/>
      <c r="T474" s="243"/>
      <c r="U474" s="243"/>
      <c r="V474" s="243"/>
      <c r="W474" s="243"/>
      <c r="X474" s="223"/>
      <c r="Y474" s="223"/>
      <c r="Z474" s="223"/>
      <c r="AA474" s="442"/>
      <c r="AB474" s="243"/>
      <c r="AC474" s="223"/>
      <c r="AD474" s="223"/>
      <c r="AE474" s="223"/>
      <c r="AF474" s="223"/>
      <c r="AG474" s="240"/>
      <c r="AH474" s="223"/>
      <c r="AI474" s="223"/>
      <c r="AJ474" s="223"/>
      <c r="AK474" s="223"/>
      <c r="AL474" s="223"/>
      <c r="AM474" s="223"/>
      <c r="AN474" s="223"/>
      <c r="AO474" s="223"/>
      <c r="AP474" s="223"/>
      <c r="AQ474" s="223"/>
      <c r="AR474" s="223"/>
      <c r="AS474" s="223"/>
      <c r="AT474" s="223"/>
      <c r="AU474" s="223"/>
      <c r="AV474" s="223"/>
      <c r="AW474" s="223"/>
      <c r="AX474" s="223"/>
      <c r="AY474" s="223"/>
      <c r="AZ474" s="223"/>
      <c r="BA474" s="223"/>
      <c r="BB474" s="223"/>
      <c r="BC474" s="223"/>
      <c r="BD474" s="223"/>
      <c r="BE474" s="223"/>
      <c r="BF474" s="223"/>
      <c r="BG474" s="223"/>
      <c r="BH474" s="223"/>
      <c r="BI474" s="223"/>
      <c r="BJ474" s="223"/>
      <c r="BK474" s="223"/>
      <c r="BL474" s="223"/>
      <c r="BM474" s="223"/>
      <c r="BN474" s="223"/>
      <c r="BO474" s="223"/>
      <c r="BP474" s="223"/>
      <c r="BQ474" s="223"/>
      <c r="BR474" s="223"/>
      <c r="BS474" s="242"/>
      <c r="BT474" s="223"/>
      <c r="BU474" s="223"/>
      <c r="BV474" s="223"/>
      <c r="BW474" s="223"/>
      <c r="BX474" s="223"/>
      <c r="BY474" s="223"/>
      <c r="BZ474" s="223"/>
      <c r="CA474" s="332"/>
      <c r="CB474" s="247"/>
      <c r="CC474" s="83"/>
      <c r="CD474" s="32"/>
      <c r="CE474" s="342" t="s">
        <v>1576</v>
      </c>
      <c r="CF474" s="342" t="s">
        <v>1575</v>
      </c>
      <c r="CG474" s="84"/>
    </row>
    <row r="475" spans="1:1873" s="23" customFormat="1" x14ac:dyDescent="0.2">
      <c r="A475" s="223" t="s">
        <v>785</v>
      </c>
      <c r="B475" s="223" t="s">
        <v>786</v>
      </c>
      <c r="C475" s="223" t="s">
        <v>295</v>
      </c>
      <c r="D475" s="223" t="s">
        <v>619</v>
      </c>
      <c r="E475" s="241" t="s">
        <v>1438</v>
      </c>
      <c r="F475" s="241">
        <v>1</v>
      </c>
      <c r="G475" s="223">
        <v>3</v>
      </c>
      <c r="H475" s="242">
        <v>3</v>
      </c>
      <c r="I475" s="223" t="s">
        <v>954</v>
      </c>
      <c r="J475" s="223">
        <v>1977</v>
      </c>
      <c r="K475" s="223" t="s">
        <v>957</v>
      </c>
      <c r="L475" s="223">
        <v>1979</v>
      </c>
      <c r="M475" s="243">
        <v>-9999</v>
      </c>
      <c r="N475" s="223">
        <v>-9999</v>
      </c>
      <c r="O475" s="29"/>
      <c r="P475" s="285">
        <f t="shared" ref="P475:P480" si="26">+T475*G475</f>
        <v>8.1000000000000014</v>
      </c>
      <c r="Q475" s="223">
        <v>-9999</v>
      </c>
      <c r="R475" s="243"/>
      <c r="S475" s="223"/>
      <c r="T475" s="243">
        <v>2.7</v>
      </c>
      <c r="U475" s="243">
        <v>0.6</v>
      </c>
      <c r="V475" s="243"/>
      <c r="W475" s="244">
        <f t="shared" ref="W475:W480" si="27">+P475-P474</f>
        <v>8.1000000000000014</v>
      </c>
      <c r="X475" s="223">
        <v>-9999</v>
      </c>
      <c r="Y475" s="223"/>
      <c r="Z475" s="223" t="s">
        <v>73</v>
      </c>
      <c r="AA475" s="441">
        <v>3086</v>
      </c>
      <c r="AB475" s="243">
        <v>-9999</v>
      </c>
      <c r="AC475" s="223">
        <v>-9999</v>
      </c>
      <c r="AD475" s="223">
        <f t="shared" si="25"/>
        <v>1900</v>
      </c>
      <c r="AE475" s="404" t="s">
        <v>280</v>
      </c>
      <c r="AF475" s="223">
        <v>16</v>
      </c>
      <c r="AG475" s="240" t="s">
        <v>283</v>
      </c>
      <c r="AH475" s="223" t="s">
        <v>623</v>
      </c>
      <c r="AI475" s="223">
        <v>-9999</v>
      </c>
      <c r="AJ475" s="223">
        <v>-9999</v>
      </c>
      <c r="AK475" s="223" t="s">
        <v>631</v>
      </c>
      <c r="AL475" s="223">
        <v>-9999</v>
      </c>
      <c r="AM475" s="223">
        <v>-9999</v>
      </c>
      <c r="AN475" s="223" t="s">
        <v>626</v>
      </c>
      <c r="AO475" s="223" t="s">
        <v>788</v>
      </c>
      <c r="AP475" s="223" t="s">
        <v>789</v>
      </c>
      <c r="AQ475" s="223" t="s">
        <v>626</v>
      </c>
      <c r="AR475" s="223">
        <f>112*G475</f>
        <v>336</v>
      </c>
      <c r="AS475" s="223" t="s">
        <v>723</v>
      </c>
      <c r="AT475" s="223" t="s">
        <v>790</v>
      </c>
      <c r="AU475" s="223">
        <v>0</v>
      </c>
      <c r="AV475" s="223">
        <v>-9999</v>
      </c>
      <c r="AW475" s="223">
        <v>-9999</v>
      </c>
      <c r="AX475" s="223">
        <v>0</v>
      </c>
      <c r="AY475" s="223">
        <v>-9999</v>
      </c>
      <c r="AZ475" s="223" t="s">
        <v>790</v>
      </c>
      <c r="BA475" s="223">
        <v>-9999</v>
      </c>
      <c r="BB475" s="223" t="s">
        <v>626</v>
      </c>
      <c r="BC475" s="223" t="s">
        <v>791</v>
      </c>
      <c r="BD475" s="223" t="s">
        <v>792</v>
      </c>
      <c r="BE475" s="223"/>
      <c r="BF475" s="223">
        <v>-9999</v>
      </c>
      <c r="BG475" s="223">
        <v>-9999</v>
      </c>
      <c r="BH475" s="223">
        <v>-9999</v>
      </c>
      <c r="BI475" s="223">
        <v>-9999</v>
      </c>
      <c r="BJ475" s="223">
        <v>-9999</v>
      </c>
      <c r="BK475" s="223">
        <v>-9999</v>
      </c>
      <c r="BL475" s="223">
        <v>-9999</v>
      </c>
      <c r="BM475" s="223">
        <v>-9999</v>
      </c>
      <c r="BN475" s="223">
        <v>-9999</v>
      </c>
      <c r="BO475" s="223">
        <v>-9999</v>
      </c>
      <c r="BP475" s="223">
        <v>-9999</v>
      </c>
      <c r="BQ475" s="223">
        <v>-9999</v>
      </c>
      <c r="BR475" s="223">
        <v>-9999</v>
      </c>
      <c r="BS475" s="242">
        <v>-9999</v>
      </c>
      <c r="BT475" s="223">
        <v>-9999</v>
      </c>
      <c r="BU475" s="223">
        <v>-9999</v>
      </c>
      <c r="BV475" s="223">
        <v>-9999</v>
      </c>
      <c r="BW475" s="223"/>
      <c r="BX475" s="223">
        <v>-9999</v>
      </c>
      <c r="BY475" s="223">
        <v>-9999</v>
      </c>
      <c r="BZ475" s="223">
        <v>-9999</v>
      </c>
      <c r="CA475" s="332">
        <v>-9999</v>
      </c>
      <c r="CB475" s="247"/>
      <c r="CC475" s="83">
        <v>1</v>
      </c>
      <c r="CD475" s="32">
        <v>3</v>
      </c>
      <c r="CE475" s="292">
        <v>2.7</v>
      </c>
      <c r="CF475" s="292">
        <v>8.1000000000000014</v>
      </c>
      <c r="CG475" s="84">
        <v>3</v>
      </c>
    </row>
    <row r="476" spans="1:1873" s="23" customFormat="1" x14ac:dyDescent="0.2">
      <c r="A476" s="223" t="s">
        <v>785</v>
      </c>
      <c r="B476" s="223" t="s">
        <v>786</v>
      </c>
      <c r="C476" s="223" t="s">
        <v>295</v>
      </c>
      <c r="D476" s="223" t="s">
        <v>619</v>
      </c>
      <c r="E476" s="241" t="s">
        <v>1438</v>
      </c>
      <c r="F476" s="241">
        <v>1</v>
      </c>
      <c r="G476" s="223">
        <v>4</v>
      </c>
      <c r="H476" s="242">
        <v>4</v>
      </c>
      <c r="I476" s="223" t="s">
        <v>954</v>
      </c>
      <c r="J476" s="223">
        <v>1977</v>
      </c>
      <c r="K476" s="223" t="s">
        <v>957</v>
      </c>
      <c r="L476" s="223">
        <v>1980</v>
      </c>
      <c r="M476" s="243">
        <v>-9999</v>
      </c>
      <c r="N476" s="223">
        <v>-9999</v>
      </c>
      <c r="O476" s="29"/>
      <c r="P476" s="285">
        <f t="shared" si="26"/>
        <v>21.6</v>
      </c>
      <c r="Q476" s="223">
        <v>-9999</v>
      </c>
      <c r="R476" s="243"/>
      <c r="S476" s="223"/>
      <c r="T476" s="243">
        <v>5.4</v>
      </c>
      <c r="U476" s="243">
        <v>0.9</v>
      </c>
      <c r="V476" s="243"/>
      <c r="W476" s="244">
        <f t="shared" si="27"/>
        <v>13.5</v>
      </c>
      <c r="X476" s="223">
        <v>-9999</v>
      </c>
      <c r="Y476" s="223"/>
      <c r="Z476" s="223" t="s">
        <v>73</v>
      </c>
      <c r="AA476" s="441">
        <v>3086</v>
      </c>
      <c r="AB476" s="243">
        <v>-9999</v>
      </c>
      <c r="AC476" s="223">
        <v>-9999</v>
      </c>
      <c r="AD476" s="223">
        <f t="shared" si="25"/>
        <v>1900</v>
      </c>
      <c r="AE476" s="404" t="s">
        <v>280</v>
      </c>
      <c r="AF476" s="223">
        <v>16</v>
      </c>
      <c r="AG476" s="240" t="s">
        <v>283</v>
      </c>
      <c r="AH476" s="223" t="s">
        <v>623</v>
      </c>
      <c r="AI476" s="223">
        <v>-9999</v>
      </c>
      <c r="AJ476" s="223">
        <v>-9999</v>
      </c>
      <c r="AK476" s="223" t="s">
        <v>631</v>
      </c>
      <c r="AL476" s="223">
        <v>-9999</v>
      </c>
      <c r="AM476" s="223">
        <v>-9999</v>
      </c>
      <c r="AN476" s="223" t="s">
        <v>626</v>
      </c>
      <c r="AO476" s="223" t="s">
        <v>788</v>
      </c>
      <c r="AP476" s="223" t="s">
        <v>789</v>
      </c>
      <c r="AQ476" s="223" t="s">
        <v>626</v>
      </c>
      <c r="AR476" s="223">
        <f>110+AR475</f>
        <v>446</v>
      </c>
      <c r="AS476" s="223" t="s">
        <v>723</v>
      </c>
      <c r="AT476" s="223" t="s">
        <v>790</v>
      </c>
      <c r="AU476" s="223">
        <v>0</v>
      </c>
      <c r="AV476" s="223">
        <v>-9999</v>
      </c>
      <c r="AW476" s="223">
        <v>-9999</v>
      </c>
      <c r="AX476" s="223">
        <v>0</v>
      </c>
      <c r="AY476" s="223">
        <v>-9999</v>
      </c>
      <c r="AZ476" s="223" t="s">
        <v>790</v>
      </c>
      <c r="BA476" s="223">
        <v>-9999</v>
      </c>
      <c r="BB476" s="223" t="s">
        <v>626</v>
      </c>
      <c r="BC476" s="223" t="s">
        <v>791</v>
      </c>
      <c r="BD476" s="223" t="s">
        <v>792</v>
      </c>
      <c r="BE476" s="223"/>
      <c r="BF476" s="223">
        <v>-9999</v>
      </c>
      <c r="BG476" s="223">
        <v>-9999</v>
      </c>
      <c r="BH476" s="223">
        <v>-9999</v>
      </c>
      <c r="BI476" s="223">
        <v>-9999</v>
      </c>
      <c r="BJ476" s="223">
        <v>-9999</v>
      </c>
      <c r="BK476" s="223">
        <v>-9999</v>
      </c>
      <c r="BL476" s="223">
        <v>-9999</v>
      </c>
      <c r="BM476" s="223">
        <v>-9999</v>
      </c>
      <c r="BN476" s="223">
        <v>-9999</v>
      </c>
      <c r="BO476" s="223">
        <v>-9999</v>
      </c>
      <c r="BP476" s="223">
        <v>-9999</v>
      </c>
      <c r="BQ476" s="223">
        <v>-9999</v>
      </c>
      <c r="BR476" s="223">
        <v>-9999</v>
      </c>
      <c r="BS476" s="242">
        <v>-9999</v>
      </c>
      <c r="BT476" s="223">
        <v>-9999</v>
      </c>
      <c r="BU476" s="223">
        <v>-9999</v>
      </c>
      <c r="BV476" s="223">
        <v>-9999</v>
      </c>
      <c r="BW476" s="223"/>
      <c r="BX476" s="223">
        <v>-9999</v>
      </c>
      <c r="BY476" s="223">
        <v>-9999</v>
      </c>
      <c r="BZ476" s="223">
        <v>-9999</v>
      </c>
      <c r="CA476" s="332">
        <v>-9999</v>
      </c>
      <c r="CB476" s="247"/>
      <c r="CC476" s="83">
        <v>1</v>
      </c>
      <c r="CD476" s="32">
        <v>4</v>
      </c>
      <c r="CE476" s="292">
        <v>5.4</v>
      </c>
      <c r="CF476" s="292">
        <v>13.5</v>
      </c>
      <c r="CG476" s="84">
        <v>4</v>
      </c>
    </row>
    <row r="477" spans="1:1873" s="23" customFormat="1" x14ac:dyDescent="0.2">
      <c r="A477" s="223" t="s">
        <v>785</v>
      </c>
      <c r="B477" s="223" t="s">
        <v>786</v>
      </c>
      <c r="C477" s="223" t="s">
        <v>295</v>
      </c>
      <c r="D477" s="223" t="s">
        <v>619</v>
      </c>
      <c r="E477" s="241" t="s">
        <v>1438</v>
      </c>
      <c r="F477" s="241">
        <v>1</v>
      </c>
      <c r="G477" s="223">
        <v>5</v>
      </c>
      <c r="H477" s="242">
        <v>5</v>
      </c>
      <c r="I477" s="223" t="s">
        <v>954</v>
      </c>
      <c r="J477" s="223">
        <v>1977</v>
      </c>
      <c r="K477" s="223" t="s">
        <v>957</v>
      </c>
      <c r="L477" s="223">
        <v>1981</v>
      </c>
      <c r="M477" s="243">
        <v>-9999</v>
      </c>
      <c r="N477" s="223">
        <v>-9999</v>
      </c>
      <c r="O477" s="29"/>
      <c r="P477" s="285">
        <f t="shared" si="26"/>
        <v>23.5</v>
      </c>
      <c r="Q477" s="223">
        <v>-9999</v>
      </c>
      <c r="R477" s="243"/>
      <c r="S477" s="223"/>
      <c r="T477" s="243">
        <v>4.7</v>
      </c>
      <c r="U477" s="243">
        <v>2.2999999999999998</v>
      </c>
      <c r="V477" s="243"/>
      <c r="W477" s="244">
        <f t="shared" si="27"/>
        <v>1.8999999999999986</v>
      </c>
      <c r="X477" s="223">
        <v>-9999</v>
      </c>
      <c r="Y477" s="223"/>
      <c r="Z477" s="223" t="s">
        <v>73</v>
      </c>
      <c r="AA477" s="441">
        <v>3086</v>
      </c>
      <c r="AB477" s="243">
        <v>-9999</v>
      </c>
      <c r="AC477" s="223">
        <v>-9999</v>
      </c>
      <c r="AD477" s="223">
        <f t="shared" si="25"/>
        <v>1900</v>
      </c>
      <c r="AE477" s="404" t="s">
        <v>280</v>
      </c>
      <c r="AF477" s="223">
        <v>16</v>
      </c>
      <c r="AG477" s="240" t="s">
        <v>283</v>
      </c>
      <c r="AH477" s="223" t="s">
        <v>623</v>
      </c>
      <c r="AI477" s="223">
        <v>-9999</v>
      </c>
      <c r="AJ477" s="223">
        <v>-9999</v>
      </c>
      <c r="AK477" s="223" t="s">
        <v>631</v>
      </c>
      <c r="AL477" s="223">
        <v>-9999</v>
      </c>
      <c r="AM477" s="223">
        <v>-9999</v>
      </c>
      <c r="AN477" s="223" t="s">
        <v>626</v>
      </c>
      <c r="AO477" s="223" t="s">
        <v>788</v>
      </c>
      <c r="AP477" s="223" t="s">
        <v>789</v>
      </c>
      <c r="AQ477" s="223" t="s">
        <v>626</v>
      </c>
      <c r="AR477" s="223">
        <f>110+AR476</f>
        <v>556</v>
      </c>
      <c r="AS477" s="223" t="s">
        <v>723</v>
      </c>
      <c r="AT477" s="223" t="s">
        <v>790</v>
      </c>
      <c r="AU477" s="223">
        <v>0</v>
      </c>
      <c r="AV477" s="223">
        <v>-9999</v>
      </c>
      <c r="AW477" s="223">
        <v>-9999</v>
      </c>
      <c r="AX477" s="223">
        <v>0</v>
      </c>
      <c r="AY477" s="223">
        <v>-9999</v>
      </c>
      <c r="AZ477" s="223" t="s">
        <v>790</v>
      </c>
      <c r="BA477" s="223">
        <v>-9999</v>
      </c>
      <c r="BB477" s="223" t="s">
        <v>626</v>
      </c>
      <c r="BC477" s="223" t="s">
        <v>791</v>
      </c>
      <c r="BD477" s="223" t="s">
        <v>792</v>
      </c>
      <c r="BE477" s="223"/>
      <c r="BF477" s="223">
        <v>-9999</v>
      </c>
      <c r="BG477" s="223">
        <v>-9999</v>
      </c>
      <c r="BH477" s="223">
        <v>-9999</v>
      </c>
      <c r="BI477" s="223">
        <v>-9999</v>
      </c>
      <c r="BJ477" s="223">
        <v>-9999</v>
      </c>
      <c r="BK477" s="223">
        <v>-9999</v>
      </c>
      <c r="BL477" s="223">
        <v>-9999</v>
      </c>
      <c r="BM477" s="223">
        <v>-9999</v>
      </c>
      <c r="BN477" s="223">
        <v>-9999</v>
      </c>
      <c r="BO477" s="223">
        <v>-9999</v>
      </c>
      <c r="BP477" s="223">
        <v>-9999</v>
      </c>
      <c r="BQ477" s="223">
        <v>-9999</v>
      </c>
      <c r="BR477" s="223">
        <v>-9999</v>
      </c>
      <c r="BS477" s="242">
        <v>-9999</v>
      </c>
      <c r="BT477" s="223">
        <v>-9999</v>
      </c>
      <c r="BU477" s="223">
        <v>-9999</v>
      </c>
      <c r="BV477" s="223">
        <v>-9999</v>
      </c>
      <c r="BW477" s="223"/>
      <c r="BX477" s="223">
        <v>-9999</v>
      </c>
      <c r="BY477" s="223">
        <v>-9999</v>
      </c>
      <c r="BZ477" s="223">
        <v>-9999</v>
      </c>
      <c r="CA477" s="332">
        <v>-9999</v>
      </c>
      <c r="CB477" s="247"/>
      <c r="CC477" s="83">
        <v>1</v>
      </c>
      <c r="CD477" s="32">
        <v>5</v>
      </c>
      <c r="CE477" s="292">
        <v>4.7</v>
      </c>
      <c r="CF477" s="292">
        <v>1.8999999999999986</v>
      </c>
      <c r="CG477" s="84">
        <v>5</v>
      </c>
    </row>
    <row r="478" spans="1:1873" s="23" customFormat="1" x14ac:dyDescent="0.2">
      <c r="A478" s="223" t="s">
        <v>785</v>
      </c>
      <c r="B478" s="223" t="s">
        <v>786</v>
      </c>
      <c r="C478" s="223" t="s">
        <v>295</v>
      </c>
      <c r="D478" s="223" t="s">
        <v>619</v>
      </c>
      <c r="E478" s="241" t="s">
        <v>1438</v>
      </c>
      <c r="F478" s="241">
        <v>1</v>
      </c>
      <c r="G478" s="223">
        <v>6</v>
      </c>
      <c r="H478" s="242">
        <v>6</v>
      </c>
      <c r="I478" s="223" t="s">
        <v>954</v>
      </c>
      <c r="J478" s="223">
        <v>1977</v>
      </c>
      <c r="K478" s="223" t="s">
        <v>957</v>
      </c>
      <c r="L478" s="223">
        <v>1982</v>
      </c>
      <c r="M478" s="243">
        <v>-9999</v>
      </c>
      <c r="N478" s="223">
        <v>-9999</v>
      </c>
      <c r="O478" s="29"/>
      <c r="P478" s="285">
        <f t="shared" si="26"/>
        <v>34.799999999999997</v>
      </c>
      <c r="Q478" s="223">
        <v>-9999</v>
      </c>
      <c r="R478" s="243"/>
      <c r="S478" s="223"/>
      <c r="T478" s="243">
        <v>5.8</v>
      </c>
      <c r="U478" s="243">
        <v>2.4</v>
      </c>
      <c r="V478" s="243"/>
      <c r="W478" s="244">
        <f t="shared" si="27"/>
        <v>11.299999999999997</v>
      </c>
      <c r="X478" s="223">
        <v>-9999</v>
      </c>
      <c r="Y478" s="223"/>
      <c r="Z478" s="223" t="s">
        <v>73</v>
      </c>
      <c r="AA478" s="441">
        <v>3086</v>
      </c>
      <c r="AB478" s="243">
        <v>-9999</v>
      </c>
      <c r="AC478" s="223">
        <v>-9999</v>
      </c>
      <c r="AD478" s="223">
        <f t="shared" si="25"/>
        <v>1900</v>
      </c>
      <c r="AE478" s="404" t="s">
        <v>280</v>
      </c>
      <c r="AF478" s="223">
        <v>16</v>
      </c>
      <c r="AG478" s="240" t="s">
        <v>283</v>
      </c>
      <c r="AH478" s="223" t="s">
        <v>623</v>
      </c>
      <c r="AI478" s="223">
        <v>-9999</v>
      </c>
      <c r="AJ478" s="223">
        <v>-9999</v>
      </c>
      <c r="AK478" s="223" t="s">
        <v>631</v>
      </c>
      <c r="AL478" s="223">
        <v>-9999</v>
      </c>
      <c r="AM478" s="223">
        <v>-9999</v>
      </c>
      <c r="AN478" s="223" t="s">
        <v>626</v>
      </c>
      <c r="AO478" s="223" t="s">
        <v>788</v>
      </c>
      <c r="AP478" s="223" t="s">
        <v>789</v>
      </c>
      <c r="AQ478" s="223" t="s">
        <v>626</v>
      </c>
      <c r="AR478" s="223">
        <f>110+AR477</f>
        <v>666</v>
      </c>
      <c r="AS478" s="223" t="s">
        <v>723</v>
      </c>
      <c r="AT478" s="223" t="s">
        <v>790</v>
      </c>
      <c r="AU478" s="223">
        <v>0</v>
      </c>
      <c r="AV478" s="223">
        <v>-9999</v>
      </c>
      <c r="AW478" s="223">
        <v>-9999</v>
      </c>
      <c r="AX478" s="223">
        <v>0</v>
      </c>
      <c r="AY478" s="223">
        <v>-9999</v>
      </c>
      <c r="AZ478" s="223" t="s">
        <v>790</v>
      </c>
      <c r="BA478" s="223">
        <v>-9999</v>
      </c>
      <c r="BB478" s="223" t="s">
        <v>626</v>
      </c>
      <c r="BC478" s="223" t="s">
        <v>791</v>
      </c>
      <c r="BD478" s="223" t="s">
        <v>792</v>
      </c>
      <c r="BE478" s="223"/>
      <c r="BF478" s="223">
        <v>-9999</v>
      </c>
      <c r="BG478" s="223">
        <v>-9999</v>
      </c>
      <c r="BH478" s="223">
        <v>-9999</v>
      </c>
      <c r="BI478" s="223">
        <v>-9999</v>
      </c>
      <c r="BJ478" s="223">
        <v>-9999</v>
      </c>
      <c r="BK478" s="223">
        <v>-9999</v>
      </c>
      <c r="BL478" s="223">
        <v>-9999</v>
      </c>
      <c r="BM478" s="223">
        <v>-9999</v>
      </c>
      <c r="BN478" s="223">
        <v>-9999</v>
      </c>
      <c r="BO478" s="223">
        <v>-9999</v>
      </c>
      <c r="BP478" s="223">
        <v>-9999</v>
      </c>
      <c r="BQ478" s="223">
        <v>-9999</v>
      </c>
      <c r="BR478" s="223">
        <v>-9999</v>
      </c>
      <c r="BS478" s="242">
        <v>-9999</v>
      </c>
      <c r="BT478" s="223">
        <v>-9999</v>
      </c>
      <c r="BU478" s="223">
        <v>-9999</v>
      </c>
      <c r="BV478" s="223">
        <v>-9999</v>
      </c>
      <c r="BW478" s="223"/>
      <c r="BX478" s="223">
        <v>-9999</v>
      </c>
      <c r="BY478" s="223">
        <v>-9999</v>
      </c>
      <c r="BZ478" s="223">
        <v>-9999</v>
      </c>
      <c r="CA478" s="332">
        <v>-9999</v>
      </c>
      <c r="CB478" s="247"/>
      <c r="CC478" s="83">
        <v>1</v>
      </c>
      <c r="CD478" s="32">
        <v>6</v>
      </c>
      <c r="CE478" s="292">
        <v>5.8</v>
      </c>
      <c r="CF478" s="292">
        <v>11.299999999999997</v>
      </c>
      <c r="CG478" s="84">
        <v>6</v>
      </c>
    </row>
    <row r="479" spans="1:1873" s="23" customFormat="1" x14ac:dyDescent="0.2">
      <c r="A479" s="223" t="s">
        <v>785</v>
      </c>
      <c r="B479" s="223" t="s">
        <v>786</v>
      </c>
      <c r="C479" s="223" t="s">
        <v>295</v>
      </c>
      <c r="D479" s="223" t="s">
        <v>619</v>
      </c>
      <c r="E479" s="241" t="s">
        <v>1438</v>
      </c>
      <c r="F479" s="241">
        <v>1</v>
      </c>
      <c r="G479" s="223">
        <v>7</v>
      </c>
      <c r="H479" s="242">
        <v>7</v>
      </c>
      <c r="I479" s="223" t="s">
        <v>954</v>
      </c>
      <c r="J479" s="223">
        <v>1977</v>
      </c>
      <c r="K479" s="223" t="s">
        <v>957</v>
      </c>
      <c r="L479" s="223">
        <v>1983</v>
      </c>
      <c r="M479" s="243">
        <v>-9999</v>
      </c>
      <c r="N479" s="223">
        <v>-9999</v>
      </c>
      <c r="O479" s="29"/>
      <c r="P479" s="285">
        <f t="shared" si="26"/>
        <v>42.699999999999996</v>
      </c>
      <c r="Q479" s="223">
        <v>-9999</v>
      </c>
      <c r="R479" s="243"/>
      <c r="S479" s="223"/>
      <c r="T479" s="243">
        <v>6.1</v>
      </c>
      <c r="U479" s="243">
        <v>2.7</v>
      </c>
      <c r="V479" s="243"/>
      <c r="W479" s="244">
        <f t="shared" si="27"/>
        <v>7.8999999999999986</v>
      </c>
      <c r="X479" s="223">
        <v>-9999</v>
      </c>
      <c r="Y479" s="223"/>
      <c r="Z479" s="223" t="s">
        <v>73</v>
      </c>
      <c r="AA479" s="441">
        <v>3086</v>
      </c>
      <c r="AB479" s="243">
        <v>-9999</v>
      </c>
      <c r="AC479" s="223">
        <v>-9999</v>
      </c>
      <c r="AD479" s="223">
        <f t="shared" si="25"/>
        <v>1900</v>
      </c>
      <c r="AE479" s="404" t="s">
        <v>280</v>
      </c>
      <c r="AF479" s="223">
        <v>16</v>
      </c>
      <c r="AG479" s="240" t="s">
        <v>283</v>
      </c>
      <c r="AH479" s="223" t="s">
        <v>623</v>
      </c>
      <c r="AI479" s="223">
        <v>-9999</v>
      </c>
      <c r="AJ479" s="223">
        <v>-9999</v>
      </c>
      <c r="AK479" s="223" t="s">
        <v>631</v>
      </c>
      <c r="AL479" s="223">
        <v>-9999</v>
      </c>
      <c r="AM479" s="223">
        <v>-9999</v>
      </c>
      <c r="AN479" s="223" t="s">
        <v>626</v>
      </c>
      <c r="AO479" s="223" t="s">
        <v>788</v>
      </c>
      <c r="AP479" s="223" t="s">
        <v>789</v>
      </c>
      <c r="AQ479" s="223" t="s">
        <v>626</v>
      </c>
      <c r="AR479" s="223">
        <f>110+AR478</f>
        <v>776</v>
      </c>
      <c r="AS479" s="223" t="s">
        <v>723</v>
      </c>
      <c r="AT479" s="223" t="s">
        <v>790</v>
      </c>
      <c r="AU479" s="223">
        <v>0</v>
      </c>
      <c r="AV479" s="223">
        <v>-9999</v>
      </c>
      <c r="AW479" s="223">
        <v>-9999</v>
      </c>
      <c r="AX479" s="223">
        <v>0</v>
      </c>
      <c r="AY479" s="223">
        <v>-9999</v>
      </c>
      <c r="AZ479" s="223" t="s">
        <v>790</v>
      </c>
      <c r="BA479" s="223">
        <v>-9999</v>
      </c>
      <c r="BB479" s="223" t="s">
        <v>626</v>
      </c>
      <c r="BC479" s="223" t="s">
        <v>791</v>
      </c>
      <c r="BD479" s="223" t="s">
        <v>792</v>
      </c>
      <c r="BE479" s="223"/>
      <c r="BF479" s="223">
        <v>-9999</v>
      </c>
      <c r="BG479" s="223">
        <v>-9999</v>
      </c>
      <c r="BH479" s="223">
        <v>-9999</v>
      </c>
      <c r="BI479" s="223">
        <v>-9999</v>
      </c>
      <c r="BJ479" s="223">
        <v>-9999</v>
      </c>
      <c r="BK479" s="223">
        <v>-9999</v>
      </c>
      <c r="BL479" s="223">
        <v>-9999</v>
      </c>
      <c r="BM479" s="223">
        <v>-9999</v>
      </c>
      <c r="BN479" s="223">
        <v>-9999</v>
      </c>
      <c r="BO479" s="223">
        <v>-9999</v>
      </c>
      <c r="BP479" s="223">
        <v>-9999</v>
      </c>
      <c r="BQ479" s="223">
        <v>-9999</v>
      </c>
      <c r="BR479" s="223">
        <v>-9999</v>
      </c>
      <c r="BS479" s="242">
        <v>-9999</v>
      </c>
      <c r="BT479" s="223">
        <v>-9999</v>
      </c>
      <c r="BU479" s="223">
        <v>-9999</v>
      </c>
      <c r="BV479" s="223">
        <v>-9999</v>
      </c>
      <c r="BW479" s="223"/>
      <c r="BX479" s="223">
        <v>-9999</v>
      </c>
      <c r="BY479" s="223">
        <v>-9999</v>
      </c>
      <c r="BZ479" s="223">
        <v>-9999</v>
      </c>
      <c r="CA479" s="332">
        <v>-9999</v>
      </c>
      <c r="CB479" s="247"/>
      <c r="CC479" s="83">
        <v>1</v>
      </c>
      <c r="CD479" s="32">
        <v>7</v>
      </c>
      <c r="CE479" s="292">
        <v>6.1</v>
      </c>
      <c r="CF479" s="292">
        <v>7.8999999999999986</v>
      </c>
      <c r="CG479" s="84">
        <v>7</v>
      </c>
    </row>
    <row r="480" spans="1:1873" s="23" customFormat="1" x14ac:dyDescent="0.2">
      <c r="A480" s="223" t="s">
        <v>785</v>
      </c>
      <c r="B480" s="223" t="s">
        <v>786</v>
      </c>
      <c r="C480" s="223" t="s">
        <v>295</v>
      </c>
      <c r="D480" s="223" t="s">
        <v>619</v>
      </c>
      <c r="E480" s="241" t="s">
        <v>1438</v>
      </c>
      <c r="F480" s="241">
        <v>1</v>
      </c>
      <c r="G480" s="223">
        <v>8</v>
      </c>
      <c r="H480" s="242">
        <v>8</v>
      </c>
      <c r="I480" s="223" t="s">
        <v>954</v>
      </c>
      <c r="J480" s="223">
        <v>1977</v>
      </c>
      <c r="K480" s="223" t="s">
        <v>957</v>
      </c>
      <c r="L480" s="223">
        <v>1984</v>
      </c>
      <c r="M480" s="243">
        <v>-9999</v>
      </c>
      <c r="N480" s="223">
        <v>-9999</v>
      </c>
      <c r="O480" s="29"/>
      <c r="P480" s="285">
        <f t="shared" si="26"/>
        <v>48.8</v>
      </c>
      <c r="Q480" s="223">
        <v>-9999</v>
      </c>
      <c r="R480" s="243"/>
      <c r="S480" s="223"/>
      <c r="T480" s="243">
        <v>6.1</v>
      </c>
      <c r="U480" s="243">
        <v>2.4</v>
      </c>
      <c r="V480" s="243"/>
      <c r="W480" s="244">
        <f t="shared" si="27"/>
        <v>6.1000000000000014</v>
      </c>
      <c r="X480" s="223">
        <v>-9999</v>
      </c>
      <c r="Y480" s="223"/>
      <c r="Z480" s="223" t="s">
        <v>73</v>
      </c>
      <c r="AA480" s="441">
        <v>3086</v>
      </c>
      <c r="AB480" s="243">
        <v>-9999</v>
      </c>
      <c r="AC480" s="223">
        <v>-9999</v>
      </c>
      <c r="AD480" s="223">
        <f t="shared" si="25"/>
        <v>1900</v>
      </c>
      <c r="AE480" s="404" t="s">
        <v>280</v>
      </c>
      <c r="AF480" s="223">
        <v>16</v>
      </c>
      <c r="AG480" s="240" t="s">
        <v>283</v>
      </c>
      <c r="AH480" s="223" t="s">
        <v>623</v>
      </c>
      <c r="AI480" s="223">
        <v>-9999</v>
      </c>
      <c r="AJ480" s="223">
        <v>-9999</v>
      </c>
      <c r="AK480" s="223" t="s">
        <v>631</v>
      </c>
      <c r="AL480" s="223">
        <v>-9999</v>
      </c>
      <c r="AM480" s="223">
        <v>-9999</v>
      </c>
      <c r="AN480" s="223" t="s">
        <v>626</v>
      </c>
      <c r="AO480" s="223" t="s">
        <v>788</v>
      </c>
      <c r="AP480" s="223" t="s">
        <v>789</v>
      </c>
      <c r="AQ480" s="223" t="s">
        <v>626</v>
      </c>
      <c r="AR480" s="223">
        <f>110+AR479</f>
        <v>886</v>
      </c>
      <c r="AS480" s="223" t="s">
        <v>723</v>
      </c>
      <c r="AT480" s="223" t="s">
        <v>790</v>
      </c>
      <c r="AU480" s="223">
        <v>0</v>
      </c>
      <c r="AV480" s="223">
        <v>-9999</v>
      </c>
      <c r="AW480" s="223">
        <v>-9999</v>
      </c>
      <c r="AX480" s="223">
        <v>0</v>
      </c>
      <c r="AY480" s="223">
        <v>-9999</v>
      </c>
      <c r="AZ480" s="223" t="s">
        <v>790</v>
      </c>
      <c r="BA480" s="223">
        <v>-9999</v>
      </c>
      <c r="BB480" s="223" t="s">
        <v>626</v>
      </c>
      <c r="BC480" s="223" t="s">
        <v>791</v>
      </c>
      <c r="BD480" s="223" t="s">
        <v>792</v>
      </c>
      <c r="BE480" s="223"/>
      <c r="BF480" s="223">
        <v>-9999</v>
      </c>
      <c r="BG480" s="223">
        <v>-9999</v>
      </c>
      <c r="BH480" s="223">
        <v>-9999</v>
      </c>
      <c r="BI480" s="223">
        <v>-9999</v>
      </c>
      <c r="BJ480" s="223">
        <v>-9999</v>
      </c>
      <c r="BK480" s="223">
        <v>-9999</v>
      </c>
      <c r="BL480" s="223">
        <v>-9999</v>
      </c>
      <c r="BM480" s="223">
        <v>-9999</v>
      </c>
      <c r="BN480" s="223">
        <v>-9999</v>
      </c>
      <c r="BO480" s="223">
        <v>-9999</v>
      </c>
      <c r="BP480" s="223">
        <v>-9999</v>
      </c>
      <c r="BQ480" s="223">
        <v>-9999</v>
      </c>
      <c r="BR480" s="223">
        <v>-9999</v>
      </c>
      <c r="BS480" s="242">
        <v>-9999</v>
      </c>
      <c r="BT480" s="223">
        <v>-9999</v>
      </c>
      <c r="BU480" s="223">
        <v>-9999</v>
      </c>
      <c r="BV480" s="223">
        <v>-9999</v>
      </c>
      <c r="BW480" s="223"/>
      <c r="BX480" s="223">
        <v>-9999</v>
      </c>
      <c r="BY480" s="223">
        <v>-9999</v>
      </c>
      <c r="BZ480" s="223">
        <v>-9999</v>
      </c>
      <c r="CA480" s="332">
        <v>-9999</v>
      </c>
      <c r="CB480" s="247"/>
      <c r="CC480" s="83">
        <v>1</v>
      </c>
      <c r="CD480" s="32">
        <v>8</v>
      </c>
      <c r="CE480" s="394">
        <v>6.1</v>
      </c>
      <c r="CF480" s="292">
        <v>6.1000000000000014</v>
      </c>
      <c r="CG480" s="84">
        <v>8</v>
      </c>
      <c r="CH480" s="477"/>
    </row>
    <row r="481" spans="1:95" s="23" customFormat="1" x14ac:dyDescent="0.2">
      <c r="A481" s="29"/>
      <c r="B481" s="29"/>
      <c r="C481" s="29"/>
      <c r="D481" s="29"/>
      <c r="E481" s="66"/>
      <c r="F481" s="66"/>
      <c r="G481" s="29"/>
      <c r="H481" s="30"/>
      <c r="I481" s="29"/>
      <c r="J481" s="29"/>
      <c r="K481" s="29"/>
      <c r="L481" s="29"/>
      <c r="M481" s="31"/>
      <c r="N481" s="29"/>
      <c r="O481" s="29"/>
      <c r="P481" s="31"/>
      <c r="Q481" s="29"/>
      <c r="R481" s="31"/>
      <c r="S481" s="29"/>
      <c r="T481" s="31"/>
      <c r="U481" s="31"/>
      <c r="V481" s="31"/>
      <c r="W481" s="31"/>
      <c r="X481" s="29"/>
      <c r="Y481" s="29"/>
      <c r="Z481" s="29"/>
      <c r="AA481" s="379"/>
      <c r="AB481" s="31"/>
      <c r="AC481" s="29"/>
      <c r="AD481" s="29"/>
      <c r="AE481" s="29"/>
      <c r="AF481" s="29"/>
      <c r="AG481" s="29"/>
      <c r="AH481" s="29"/>
      <c r="AI481" s="29"/>
      <c r="AJ481" s="29"/>
      <c r="AK481" s="29"/>
      <c r="AL481" s="29"/>
      <c r="AM481" s="29"/>
      <c r="AN481" s="29"/>
      <c r="AO481" s="29"/>
      <c r="AP481" s="29"/>
      <c r="AQ481" s="29"/>
      <c r="AR481" s="29"/>
      <c r="AS481" s="29"/>
      <c r="AT481" s="29"/>
      <c r="AU481" s="29"/>
      <c r="AV481" s="29"/>
      <c r="AW481" s="29"/>
      <c r="AX481" s="29"/>
      <c r="AY481" s="29"/>
      <c r="AZ481" s="29"/>
      <c r="BA481" s="29"/>
      <c r="BB481" s="29"/>
      <c r="BC481" s="29"/>
      <c r="BD481" s="29"/>
      <c r="BE481" s="29"/>
      <c r="BF481" s="29"/>
      <c r="BG481" s="29"/>
      <c r="BH481" s="29"/>
      <c r="BI481" s="29"/>
      <c r="BJ481" s="29"/>
      <c r="BK481" s="29"/>
      <c r="BL481" s="29"/>
      <c r="BM481" s="29"/>
      <c r="BN481" s="29"/>
      <c r="BO481" s="29"/>
      <c r="BP481" s="29"/>
      <c r="BQ481" s="29"/>
      <c r="BR481" s="29"/>
      <c r="BS481" s="30"/>
      <c r="BT481" s="29"/>
      <c r="BU481" s="29"/>
      <c r="BV481" s="29"/>
      <c r="BW481" s="29"/>
      <c r="BX481" s="29"/>
      <c r="BY481" s="29"/>
      <c r="BZ481" s="29"/>
      <c r="CA481" s="98"/>
      <c r="CC481" s="66"/>
      <c r="CD481" s="29"/>
      <c r="CE481" s="342" t="s">
        <v>1576</v>
      </c>
      <c r="CF481" s="342" t="s">
        <v>1575</v>
      </c>
      <c r="CG481" s="30"/>
    </row>
    <row r="482" spans="1:95" s="23" customFormat="1" x14ac:dyDescent="0.2">
      <c r="A482" s="223" t="s">
        <v>785</v>
      </c>
      <c r="B482" s="223" t="s">
        <v>786</v>
      </c>
      <c r="C482" s="404" t="s">
        <v>1439</v>
      </c>
      <c r="D482" s="223" t="s">
        <v>619</v>
      </c>
      <c r="E482" s="241" t="s">
        <v>1449</v>
      </c>
      <c r="F482" s="241">
        <v>1</v>
      </c>
      <c r="G482" s="223">
        <v>3</v>
      </c>
      <c r="H482" s="242">
        <v>3</v>
      </c>
      <c r="I482" s="223" t="s">
        <v>954</v>
      </c>
      <c r="J482" s="223">
        <v>1977</v>
      </c>
      <c r="K482" s="223" t="s">
        <v>957</v>
      </c>
      <c r="L482" s="223">
        <v>1979</v>
      </c>
      <c r="M482" s="243">
        <v>-9999</v>
      </c>
      <c r="N482" s="223">
        <v>-9999</v>
      </c>
      <c r="O482" s="29"/>
      <c r="P482" s="285">
        <f t="shared" ref="P482:P491" si="28">+T482*G482</f>
        <v>9.3000000000000007</v>
      </c>
      <c r="Q482" s="223">
        <v>-9999</v>
      </c>
      <c r="R482" s="243"/>
      <c r="S482" s="223"/>
      <c r="T482" s="243">
        <v>3.1</v>
      </c>
      <c r="U482" s="243">
        <v>0.6</v>
      </c>
      <c r="V482" s="243"/>
      <c r="W482" s="244">
        <f t="shared" ref="W482:W491" si="29">+P482-P481</f>
        <v>9.3000000000000007</v>
      </c>
      <c r="X482" s="223">
        <v>-9999</v>
      </c>
      <c r="Y482" s="223"/>
      <c r="Z482" s="223" t="s">
        <v>67</v>
      </c>
      <c r="AA482" s="441">
        <v>6719</v>
      </c>
      <c r="AB482" s="243">
        <v>-9999</v>
      </c>
      <c r="AC482" s="223">
        <v>-9999</v>
      </c>
      <c r="AD482" s="223">
        <f t="shared" si="25"/>
        <v>1900</v>
      </c>
      <c r="AE482" s="404" t="s">
        <v>1955</v>
      </c>
      <c r="AF482" s="223">
        <v>16</v>
      </c>
      <c r="AG482" s="240" t="s">
        <v>283</v>
      </c>
      <c r="AH482" s="223" t="s">
        <v>623</v>
      </c>
      <c r="AI482" s="223">
        <v>-9999</v>
      </c>
      <c r="AJ482" s="223">
        <v>-9999</v>
      </c>
      <c r="AK482" s="223" t="s">
        <v>631</v>
      </c>
      <c r="AL482" s="223">
        <v>-9999</v>
      </c>
      <c r="AM482" s="223">
        <v>-9999</v>
      </c>
      <c r="AN482" s="223" t="s">
        <v>626</v>
      </c>
      <c r="AO482" s="223" t="s">
        <v>788</v>
      </c>
      <c r="AP482" s="223" t="s">
        <v>789</v>
      </c>
      <c r="AQ482" s="223" t="s">
        <v>626</v>
      </c>
      <c r="AR482" s="223">
        <f>112*G482</f>
        <v>336</v>
      </c>
      <c r="AS482" s="223" t="s">
        <v>723</v>
      </c>
      <c r="AT482" s="223" t="s">
        <v>790</v>
      </c>
      <c r="AU482" s="223">
        <v>0</v>
      </c>
      <c r="AV482" s="223">
        <v>-9999</v>
      </c>
      <c r="AW482" s="223">
        <v>-9999</v>
      </c>
      <c r="AX482" s="223">
        <v>0</v>
      </c>
      <c r="AY482" s="223">
        <v>-9999</v>
      </c>
      <c r="AZ482" s="223" t="s">
        <v>790</v>
      </c>
      <c r="BA482" s="223">
        <v>-9999</v>
      </c>
      <c r="BB482" s="223" t="s">
        <v>626</v>
      </c>
      <c r="BC482" s="223" t="s">
        <v>791</v>
      </c>
      <c r="BD482" s="223" t="s">
        <v>792</v>
      </c>
      <c r="BE482" s="223"/>
      <c r="BF482" s="223">
        <v>-9999</v>
      </c>
      <c r="BG482" s="223">
        <v>-9999</v>
      </c>
      <c r="BH482" s="223">
        <v>-9999</v>
      </c>
      <c r="BI482" s="223">
        <v>-9999</v>
      </c>
      <c r="BJ482" s="223">
        <v>-9999</v>
      </c>
      <c r="BK482" s="223">
        <v>-9999</v>
      </c>
      <c r="BL482" s="223">
        <v>-9999</v>
      </c>
      <c r="BM482" s="223">
        <v>-9999</v>
      </c>
      <c r="BN482" s="223">
        <v>-9999</v>
      </c>
      <c r="BO482" s="223">
        <v>-9999</v>
      </c>
      <c r="BP482" s="223">
        <v>-9999</v>
      </c>
      <c r="BQ482" s="223">
        <v>-9999</v>
      </c>
      <c r="BR482" s="223">
        <v>-9999</v>
      </c>
      <c r="BS482" s="242">
        <v>-9999</v>
      </c>
      <c r="BT482" s="223">
        <v>-9999</v>
      </c>
      <c r="BU482" s="223">
        <v>-9999</v>
      </c>
      <c r="BV482" s="223">
        <v>-9999</v>
      </c>
      <c r="BW482" s="223"/>
      <c r="BX482" s="223">
        <v>-9999</v>
      </c>
      <c r="BY482" s="223">
        <v>-9999</v>
      </c>
      <c r="BZ482" s="223">
        <v>-9999</v>
      </c>
      <c r="CA482" s="332">
        <v>-9999</v>
      </c>
      <c r="CB482" s="247"/>
      <c r="CC482" s="83">
        <v>1</v>
      </c>
      <c r="CD482" s="32">
        <v>3</v>
      </c>
      <c r="CE482" s="292">
        <v>3.1</v>
      </c>
      <c r="CF482" s="292">
        <v>9.3000000000000007</v>
      </c>
      <c r="CG482" s="84">
        <v>3</v>
      </c>
    </row>
    <row r="483" spans="1:95" s="23" customFormat="1" x14ac:dyDescent="0.2">
      <c r="A483" s="223" t="s">
        <v>785</v>
      </c>
      <c r="B483" s="223" t="s">
        <v>786</v>
      </c>
      <c r="C483" s="404" t="s">
        <v>1439</v>
      </c>
      <c r="D483" s="223" t="s">
        <v>619</v>
      </c>
      <c r="E483" s="241" t="s">
        <v>1449</v>
      </c>
      <c r="F483" s="241">
        <v>1</v>
      </c>
      <c r="G483" s="223">
        <v>4</v>
      </c>
      <c r="H483" s="242">
        <v>4</v>
      </c>
      <c r="I483" s="223" t="s">
        <v>954</v>
      </c>
      <c r="J483" s="223">
        <v>1977</v>
      </c>
      <c r="K483" s="223" t="s">
        <v>957</v>
      </c>
      <c r="L483" s="223">
        <v>1980</v>
      </c>
      <c r="M483" s="243">
        <v>-9999</v>
      </c>
      <c r="N483" s="223">
        <v>-9999</v>
      </c>
      <c r="O483" s="29"/>
      <c r="P483" s="285">
        <f t="shared" si="28"/>
        <v>24.4</v>
      </c>
      <c r="Q483" s="223">
        <v>-9999</v>
      </c>
      <c r="R483" s="243"/>
      <c r="S483" s="223"/>
      <c r="T483" s="243">
        <v>6.1</v>
      </c>
      <c r="U483" s="243">
        <v>0.9</v>
      </c>
      <c r="V483" s="243"/>
      <c r="W483" s="244">
        <f t="shared" si="29"/>
        <v>15.099999999999998</v>
      </c>
      <c r="X483" s="223">
        <v>-9999</v>
      </c>
      <c r="Y483" s="223"/>
      <c r="Z483" s="223" t="s">
        <v>67</v>
      </c>
      <c r="AA483" s="441">
        <v>6719</v>
      </c>
      <c r="AB483" s="243">
        <v>-9999</v>
      </c>
      <c r="AC483" s="223">
        <v>-9999</v>
      </c>
      <c r="AD483" s="223">
        <f t="shared" si="25"/>
        <v>1900</v>
      </c>
      <c r="AE483" s="404" t="s">
        <v>1955</v>
      </c>
      <c r="AF483" s="223">
        <v>16</v>
      </c>
      <c r="AG483" s="240" t="s">
        <v>283</v>
      </c>
      <c r="AH483" s="223" t="s">
        <v>623</v>
      </c>
      <c r="AI483" s="223">
        <v>-9999</v>
      </c>
      <c r="AJ483" s="223">
        <v>-9999</v>
      </c>
      <c r="AK483" s="223" t="s">
        <v>631</v>
      </c>
      <c r="AL483" s="223">
        <v>-9999</v>
      </c>
      <c r="AM483" s="223">
        <v>-9999</v>
      </c>
      <c r="AN483" s="223" t="s">
        <v>626</v>
      </c>
      <c r="AO483" s="223" t="s">
        <v>788</v>
      </c>
      <c r="AP483" s="223" t="s">
        <v>789</v>
      </c>
      <c r="AQ483" s="223" t="s">
        <v>626</v>
      </c>
      <c r="AR483" s="223">
        <f t="shared" ref="AR483:AR491" si="30">110+AR482</f>
        <v>446</v>
      </c>
      <c r="AS483" s="223" t="s">
        <v>723</v>
      </c>
      <c r="AT483" s="223" t="s">
        <v>790</v>
      </c>
      <c r="AU483" s="223">
        <v>0</v>
      </c>
      <c r="AV483" s="223">
        <v>-9999</v>
      </c>
      <c r="AW483" s="223">
        <v>-9999</v>
      </c>
      <c r="AX483" s="223">
        <v>0</v>
      </c>
      <c r="AY483" s="223">
        <v>-9999</v>
      </c>
      <c r="AZ483" s="223" t="s">
        <v>790</v>
      </c>
      <c r="BA483" s="223">
        <v>-9999</v>
      </c>
      <c r="BB483" s="223" t="s">
        <v>626</v>
      </c>
      <c r="BC483" s="223" t="s">
        <v>791</v>
      </c>
      <c r="BD483" s="223" t="s">
        <v>792</v>
      </c>
      <c r="BE483" s="223"/>
      <c r="BF483" s="223">
        <v>-9999</v>
      </c>
      <c r="BG483" s="223">
        <v>-9999</v>
      </c>
      <c r="BH483" s="223">
        <v>-9999</v>
      </c>
      <c r="BI483" s="223">
        <v>-9999</v>
      </c>
      <c r="BJ483" s="223">
        <v>-9999</v>
      </c>
      <c r="BK483" s="223">
        <v>-9999</v>
      </c>
      <c r="BL483" s="223">
        <v>-9999</v>
      </c>
      <c r="BM483" s="223">
        <v>-9999</v>
      </c>
      <c r="BN483" s="223">
        <v>-9999</v>
      </c>
      <c r="BO483" s="223">
        <v>-9999</v>
      </c>
      <c r="BP483" s="223">
        <v>-9999</v>
      </c>
      <c r="BQ483" s="223">
        <v>-9999</v>
      </c>
      <c r="BR483" s="223">
        <v>-9999</v>
      </c>
      <c r="BS483" s="242">
        <v>-9999</v>
      </c>
      <c r="BT483" s="223">
        <v>-9999</v>
      </c>
      <c r="BU483" s="223">
        <v>-9999</v>
      </c>
      <c r="BV483" s="223">
        <v>-9999</v>
      </c>
      <c r="BW483" s="223"/>
      <c r="BX483" s="223">
        <v>-9999</v>
      </c>
      <c r="BY483" s="223">
        <v>-9999</v>
      </c>
      <c r="BZ483" s="223">
        <v>-9999</v>
      </c>
      <c r="CA483" s="332">
        <v>-9999</v>
      </c>
      <c r="CB483" s="247"/>
      <c r="CC483" s="83">
        <v>1</v>
      </c>
      <c r="CD483" s="32">
        <v>4</v>
      </c>
      <c r="CE483" s="292">
        <v>6.1</v>
      </c>
      <c r="CF483" s="292">
        <v>15.099999999999998</v>
      </c>
      <c r="CG483" s="84">
        <v>4</v>
      </c>
    </row>
    <row r="484" spans="1:95" s="23" customFormat="1" x14ac:dyDescent="0.2">
      <c r="A484" s="223" t="s">
        <v>785</v>
      </c>
      <c r="B484" s="223" t="s">
        <v>786</v>
      </c>
      <c r="C484" s="404" t="s">
        <v>1439</v>
      </c>
      <c r="D484" s="223" t="s">
        <v>619</v>
      </c>
      <c r="E484" s="241" t="s">
        <v>1449</v>
      </c>
      <c r="F484" s="241">
        <v>1</v>
      </c>
      <c r="G484" s="223">
        <v>5</v>
      </c>
      <c r="H484" s="242">
        <v>5</v>
      </c>
      <c r="I484" s="223" t="s">
        <v>954</v>
      </c>
      <c r="J484" s="223">
        <v>1977</v>
      </c>
      <c r="K484" s="223" t="s">
        <v>957</v>
      </c>
      <c r="L484" s="223">
        <v>1981</v>
      </c>
      <c r="M484" s="243">
        <v>-9999</v>
      </c>
      <c r="N484" s="223">
        <v>-9999</v>
      </c>
      <c r="O484" s="29"/>
      <c r="P484" s="285">
        <f t="shared" si="28"/>
        <v>36</v>
      </c>
      <c r="Q484" s="223">
        <v>-9999</v>
      </c>
      <c r="R484" s="243"/>
      <c r="S484" s="223"/>
      <c r="T484" s="243">
        <v>7.2</v>
      </c>
      <c r="U484" s="243">
        <v>1.1000000000000001</v>
      </c>
      <c r="V484" s="243"/>
      <c r="W484" s="244">
        <f t="shared" si="29"/>
        <v>11.600000000000001</v>
      </c>
      <c r="X484" s="223">
        <v>-9999</v>
      </c>
      <c r="Y484" s="223"/>
      <c r="Z484" s="223" t="s">
        <v>67</v>
      </c>
      <c r="AA484" s="441">
        <v>6719</v>
      </c>
      <c r="AB484" s="243">
        <v>-9999</v>
      </c>
      <c r="AC484" s="223">
        <v>-9999</v>
      </c>
      <c r="AD484" s="223">
        <f t="shared" si="25"/>
        <v>1900</v>
      </c>
      <c r="AE484" s="404" t="s">
        <v>1955</v>
      </c>
      <c r="AF484" s="223">
        <v>16</v>
      </c>
      <c r="AG484" s="240" t="s">
        <v>283</v>
      </c>
      <c r="AH484" s="223" t="s">
        <v>623</v>
      </c>
      <c r="AI484" s="223">
        <v>-9999</v>
      </c>
      <c r="AJ484" s="223">
        <v>-9999</v>
      </c>
      <c r="AK484" s="223" t="s">
        <v>631</v>
      </c>
      <c r="AL484" s="223">
        <v>-9999</v>
      </c>
      <c r="AM484" s="223">
        <v>-9999</v>
      </c>
      <c r="AN484" s="223" t="s">
        <v>626</v>
      </c>
      <c r="AO484" s="223" t="s">
        <v>788</v>
      </c>
      <c r="AP484" s="223" t="s">
        <v>789</v>
      </c>
      <c r="AQ484" s="223" t="s">
        <v>626</v>
      </c>
      <c r="AR484" s="223">
        <f t="shared" si="30"/>
        <v>556</v>
      </c>
      <c r="AS484" s="223" t="s">
        <v>723</v>
      </c>
      <c r="AT484" s="223" t="s">
        <v>790</v>
      </c>
      <c r="AU484" s="223">
        <v>0</v>
      </c>
      <c r="AV484" s="223">
        <v>-9999</v>
      </c>
      <c r="AW484" s="223">
        <v>-9999</v>
      </c>
      <c r="AX484" s="223">
        <v>0</v>
      </c>
      <c r="AY484" s="223">
        <v>-9999</v>
      </c>
      <c r="AZ484" s="223" t="s">
        <v>790</v>
      </c>
      <c r="BA484" s="223">
        <v>-9999</v>
      </c>
      <c r="BB484" s="223" t="s">
        <v>626</v>
      </c>
      <c r="BC484" s="223" t="s">
        <v>791</v>
      </c>
      <c r="BD484" s="223" t="s">
        <v>792</v>
      </c>
      <c r="BE484" s="223"/>
      <c r="BF484" s="223">
        <v>-9999</v>
      </c>
      <c r="BG484" s="223">
        <v>-9999</v>
      </c>
      <c r="BH484" s="223">
        <v>-9999</v>
      </c>
      <c r="BI484" s="223">
        <v>-9999</v>
      </c>
      <c r="BJ484" s="223">
        <v>-9999</v>
      </c>
      <c r="BK484" s="223">
        <v>-9999</v>
      </c>
      <c r="BL484" s="223">
        <v>-9999</v>
      </c>
      <c r="BM484" s="223">
        <v>-9999</v>
      </c>
      <c r="BN484" s="223">
        <v>-9999</v>
      </c>
      <c r="BO484" s="223">
        <v>-9999</v>
      </c>
      <c r="BP484" s="223">
        <v>-9999</v>
      </c>
      <c r="BQ484" s="223">
        <v>-9999</v>
      </c>
      <c r="BR484" s="223">
        <v>-9999</v>
      </c>
      <c r="BS484" s="242">
        <v>-9999</v>
      </c>
      <c r="BT484" s="223">
        <v>-9999</v>
      </c>
      <c r="BU484" s="223">
        <v>-9999</v>
      </c>
      <c r="BV484" s="223">
        <v>-9999</v>
      </c>
      <c r="BW484" s="223"/>
      <c r="BX484" s="223">
        <v>-9999</v>
      </c>
      <c r="BY484" s="223">
        <v>-9999</v>
      </c>
      <c r="BZ484" s="223">
        <v>-9999</v>
      </c>
      <c r="CA484" s="332">
        <v>-9999</v>
      </c>
      <c r="CB484" s="247"/>
      <c r="CC484" s="83">
        <v>1</v>
      </c>
      <c r="CD484" s="32">
        <v>5</v>
      </c>
      <c r="CE484" s="292">
        <v>7.2</v>
      </c>
      <c r="CF484" s="292">
        <v>11.600000000000001</v>
      </c>
      <c r="CG484" s="84">
        <v>5</v>
      </c>
      <c r="CQ484" s="301" t="s">
        <v>1587</v>
      </c>
    </row>
    <row r="485" spans="1:95" s="23" customFormat="1" x14ac:dyDescent="0.2">
      <c r="A485" s="223" t="s">
        <v>785</v>
      </c>
      <c r="B485" s="223" t="s">
        <v>786</v>
      </c>
      <c r="C485" s="404" t="s">
        <v>1439</v>
      </c>
      <c r="D485" s="223" t="s">
        <v>619</v>
      </c>
      <c r="E485" s="241" t="s">
        <v>1449</v>
      </c>
      <c r="F485" s="241">
        <v>1</v>
      </c>
      <c r="G485" s="223">
        <v>6</v>
      </c>
      <c r="H485" s="242">
        <v>6</v>
      </c>
      <c r="I485" s="223" t="s">
        <v>954</v>
      </c>
      <c r="J485" s="223">
        <v>1977</v>
      </c>
      <c r="K485" s="223" t="s">
        <v>957</v>
      </c>
      <c r="L485" s="223">
        <v>1982</v>
      </c>
      <c r="M485" s="243">
        <v>-9999</v>
      </c>
      <c r="N485" s="223">
        <v>-9999</v>
      </c>
      <c r="O485" s="29"/>
      <c r="P485" s="285">
        <f t="shared" si="28"/>
        <v>48.599999999999994</v>
      </c>
      <c r="Q485" s="223">
        <v>-9999</v>
      </c>
      <c r="R485" s="243"/>
      <c r="S485" s="223"/>
      <c r="T485" s="243">
        <v>8.1</v>
      </c>
      <c r="U485" s="243">
        <v>1.4</v>
      </c>
      <c r="V485" s="243"/>
      <c r="W485" s="244">
        <f t="shared" si="29"/>
        <v>12.599999999999994</v>
      </c>
      <c r="X485" s="223">
        <v>-9999</v>
      </c>
      <c r="Y485" s="223"/>
      <c r="Z485" s="223" t="s">
        <v>67</v>
      </c>
      <c r="AA485" s="441">
        <v>6719</v>
      </c>
      <c r="AB485" s="243">
        <v>-9999</v>
      </c>
      <c r="AC485" s="223">
        <v>-9999</v>
      </c>
      <c r="AD485" s="223">
        <f t="shared" si="25"/>
        <v>1900</v>
      </c>
      <c r="AE485" s="404" t="s">
        <v>1955</v>
      </c>
      <c r="AF485" s="223">
        <v>16</v>
      </c>
      <c r="AG485" s="240" t="s">
        <v>283</v>
      </c>
      <c r="AH485" s="223" t="s">
        <v>623</v>
      </c>
      <c r="AI485" s="223">
        <v>-9999</v>
      </c>
      <c r="AJ485" s="223">
        <v>-9999</v>
      </c>
      <c r="AK485" s="223" t="s">
        <v>631</v>
      </c>
      <c r="AL485" s="223">
        <v>-9999</v>
      </c>
      <c r="AM485" s="223">
        <v>-9999</v>
      </c>
      <c r="AN485" s="223" t="s">
        <v>626</v>
      </c>
      <c r="AO485" s="223" t="s">
        <v>788</v>
      </c>
      <c r="AP485" s="223" t="s">
        <v>789</v>
      </c>
      <c r="AQ485" s="223" t="s">
        <v>626</v>
      </c>
      <c r="AR485" s="223">
        <f t="shared" si="30"/>
        <v>666</v>
      </c>
      <c r="AS485" s="223" t="s">
        <v>723</v>
      </c>
      <c r="AT485" s="223" t="s">
        <v>790</v>
      </c>
      <c r="AU485" s="223">
        <v>0</v>
      </c>
      <c r="AV485" s="223">
        <v>-9999</v>
      </c>
      <c r="AW485" s="223">
        <v>-9999</v>
      </c>
      <c r="AX485" s="223">
        <v>0</v>
      </c>
      <c r="AY485" s="223">
        <v>-9999</v>
      </c>
      <c r="AZ485" s="223" t="s">
        <v>790</v>
      </c>
      <c r="BA485" s="223">
        <v>-9999</v>
      </c>
      <c r="BB485" s="223" t="s">
        <v>626</v>
      </c>
      <c r="BC485" s="223" t="s">
        <v>791</v>
      </c>
      <c r="BD485" s="223" t="s">
        <v>792</v>
      </c>
      <c r="BE485" s="223"/>
      <c r="BF485" s="223">
        <v>-9999</v>
      </c>
      <c r="BG485" s="223">
        <v>-9999</v>
      </c>
      <c r="BH485" s="223">
        <v>-9999</v>
      </c>
      <c r="BI485" s="223">
        <v>-9999</v>
      </c>
      <c r="BJ485" s="223">
        <v>-9999</v>
      </c>
      <c r="BK485" s="223">
        <v>-9999</v>
      </c>
      <c r="BL485" s="223">
        <v>-9999</v>
      </c>
      <c r="BM485" s="223">
        <v>-9999</v>
      </c>
      <c r="BN485" s="223">
        <v>-9999</v>
      </c>
      <c r="BO485" s="223">
        <v>-9999</v>
      </c>
      <c r="BP485" s="223">
        <v>-9999</v>
      </c>
      <c r="BQ485" s="223">
        <v>-9999</v>
      </c>
      <c r="BR485" s="223">
        <v>-9999</v>
      </c>
      <c r="BS485" s="242">
        <v>-9999</v>
      </c>
      <c r="BT485" s="223">
        <v>-9999</v>
      </c>
      <c r="BU485" s="223">
        <v>-9999</v>
      </c>
      <c r="BV485" s="223">
        <v>-9999</v>
      </c>
      <c r="BW485" s="223"/>
      <c r="BX485" s="223">
        <v>-9999</v>
      </c>
      <c r="BY485" s="223">
        <v>-9999</v>
      </c>
      <c r="BZ485" s="223">
        <v>-9999</v>
      </c>
      <c r="CA485" s="332">
        <v>-9999</v>
      </c>
      <c r="CB485" s="247"/>
      <c r="CC485" s="83">
        <v>1</v>
      </c>
      <c r="CD485" s="32">
        <v>6</v>
      </c>
      <c r="CE485" s="292">
        <v>8.1</v>
      </c>
      <c r="CF485" s="292">
        <v>12.599999999999994</v>
      </c>
      <c r="CG485" s="84">
        <v>6</v>
      </c>
    </row>
    <row r="486" spans="1:95" s="23" customFormat="1" x14ac:dyDescent="0.2">
      <c r="A486" s="223" t="s">
        <v>785</v>
      </c>
      <c r="B486" s="223" t="s">
        <v>786</v>
      </c>
      <c r="C486" s="404" t="s">
        <v>1439</v>
      </c>
      <c r="D486" s="223" t="s">
        <v>619</v>
      </c>
      <c r="E486" s="241" t="s">
        <v>1449</v>
      </c>
      <c r="F486" s="241">
        <v>1</v>
      </c>
      <c r="G486" s="223">
        <v>7</v>
      </c>
      <c r="H486" s="242">
        <v>7</v>
      </c>
      <c r="I486" s="223" t="s">
        <v>954</v>
      </c>
      <c r="J486" s="223">
        <v>1977</v>
      </c>
      <c r="K486" s="223" t="s">
        <v>957</v>
      </c>
      <c r="L486" s="223">
        <v>1983</v>
      </c>
      <c r="M486" s="243">
        <v>-9999</v>
      </c>
      <c r="N486" s="223">
        <v>-9999</v>
      </c>
      <c r="O486" s="29"/>
      <c r="P486" s="285">
        <f t="shared" si="28"/>
        <v>56.699999999999996</v>
      </c>
      <c r="Q486" s="223">
        <v>-9999</v>
      </c>
      <c r="R486" s="243"/>
      <c r="S486" s="223"/>
      <c r="T486" s="243">
        <v>8.1</v>
      </c>
      <c r="U486" s="243">
        <v>1.5</v>
      </c>
      <c r="V486" s="243"/>
      <c r="W486" s="244">
        <f t="shared" si="29"/>
        <v>8.1000000000000014</v>
      </c>
      <c r="X486" s="223">
        <v>-9999</v>
      </c>
      <c r="Y486" s="223"/>
      <c r="Z486" s="223" t="s">
        <v>67</v>
      </c>
      <c r="AA486" s="441">
        <v>6719</v>
      </c>
      <c r="AB486" s="243">
        <v>-9999</v>
      </c>
      <c r="AC486" s="223">
        <v>-9999</v>
      </c>
      <c r="AD486" s="223">
        <f t="shared" si="25"/>
        <v>1900</v>
      </c>
      <c r="AE486" s="404" t="s">
        <v>1955</v>
      </c>
      <c r="AF486" s="223">
        <v>16</v>
      </c>
      <c r="AG486" s="240" t="s">
        <v>283</v>
      </c>
      <c r="AH486" s="223" t="s">
        <v>623</v>
      </c>
      <c r="AI486" s="223">
        <v>-9999</v>
      </c>
      <c r="AJ486" s="223">
        <v>-9999</v>
      </c>
      <c r="AK486" s="223" t="s">
        <v>631</v>
      </c>
      <c r="AL486" s="223">
        <v>-9999</v>
      </c>
      <c r="AM486" s="223">
        <v>-9999</v>
      </c>
      <c r="AN486" s="223" t="s">
        <v>626</v>
      </c>
      <c r="AO486" s="223" t="s">
        <v>788</v>
      </c>
      <c r="AP486" s="223" t="s">
        <v>789</v>
      </c>
      <c r="AQ486" s="223" t="s">
        <v>626</v>
      </c>
      <c r="AR486" s="223">
        <f t="shared" si="30"/>
        <v>776</v>
      </c>
      <c r="AS486" s="223" t="s">
        <v>723</v>
      </c>
      <c r="AT486" s="223" t="s">
        <v>790</v>
      </c>
      <c r="AU486" s="223">
        <v>0</v>
      </c>
      <c r="AV486" s="223">
        <v>-9999</v>
      </c>
      <c r="AW486" s="223">
        <v>-9999</v>
      </c>
      <c r="AX486" s="223">
        <v>0</v>
      </c>
      <c r="AY486" s="223">
        <v>-9999</v>
      </c>
      <c r="AZ486" s="223" t="s">
        <v>790</v>
      </c>
      <c r="BA486" s="223">
        <v>-9999</v>
      </c>
      <c r="BB486" s="223" t="s">
        <v>626</v>
      </c>
      <c r="BC486" s="223" t="s">
        <v>791</v>
      </c>
      <c r="BD486" s="223" t="s">
        <v>792</v>
      </c>
      <c r="BE486" s="223"/>
      <c r="BF486" s="223">
        <v>-9999</v>
      </c>
      <c r="BG486" s="223">
        <v>-9999</v>
      </c>
      <c r="BH486" s="223">
        <v>-9999</v>
      </c>
      <c r="BI486" s="223">
        <v>-9999</v>
      </c>
      <c r="BJ486" s="223">
        <v>-9999</v>
      </c>
      <c r="BK486" s="223">
        <v>-9999</v>
      </c>
      <c r="BL486" s="223">
        <v>-9999</v>
      </c>
      <c r="BM486" s="223">
        <v>-9999</v>
      </c>
      <c r="BN486" s="223">
        <v>-9999</v>
      </c>
      <c r="BO486" s="223">
        <v>-9999</v>
      </c>
      <c r="BP486" s="223">
        <v>-9999</v>
      </c>
      <c r="BQ486" s="223">
        <v>-9999</v>
      </c>
      <c r="BR486" s="223">
        <v>-9999</v>
      </c>
      <c r="BS486" s="242">
        <v>-9999</v>
      </c>
      <c r="BT486" s="223">
        <v>-9999</v>
      </c>
      <c r="BU486" s="223">
        <v>-9999</v>
      </c>
      <c r="BV486" s="223">
        <v>-9999</v>
      </c>
      <c r="BW486" s="223"/>
      <c r="BX486" s="223">
        <v>-9999</v>
      </c>
      <c r="BY486" s="223">
        <v>-9999</v>
      </c>
      <c r="BZ486" s="223">
        <v>-9999</v>
      </c>
      <c r="CA486" s="332">
        <v>-9999</v>
      </c>
      <c r="CB486" s="247"/>
      <c r="CC486" s="83">
        <v>1</v>
      </c>
      <c r="CD486" s="32">
        <v>7</v>
      </c>
      <c r="CE486" s="292">
        <v>8.1</v>
      </c>
      <c r="CF486" s="292">
        <v>8.1000000000000014</v>
      </c>
      <c r="CG486" s="84">
        <v>7</v>
      </c>
    </row>
    <row r="487" spans="1:95" s="23" customFormat="1" x14ac:dyDescent="0.2">
      <c r="A487" s="223" t="s">
        <v>785</v>
      </c>
      <c r="B487" s="223" t="s">
        <v>786</v>
      </c>
      <c r="C487" s="404" t="s">
        <v>1439</v>
      </c>
      <c r="D487" s="223" t="s">
        <v>619</v>
      </c>
      <c r="E487" s="241" t="s">
        <v>1449</v>
      </c>
      <c r="F487" s="241">
        <v>1</v>
      </c>
      <c r="G487" s="223">
        <v>8</v>
      </c>
      <c r="H487" s="242">
        <v>8</v>
      </c>
      <c r="I487" s="223" t="s">
        <v>954</v>
      </c>
      <c r="J487" s="223">
        <v>1977</v>
      </c>
      <c r="K487" s="223" t="s">
        <v>957</v>
      </c>
      <c r="L487" s="223">
        <v>1984</v>
      </c>
      <c r="M487" s="243">
        <v>-9999</v>
      </c>
      <c r="N487" s="223">
        <v>-9999</v>
      </c>
      <c r="O487" s="29"/>
      <c r="P487" s="285">
        <f t="shared" si="28"/>
        <v>62.4</v>
      </c>
      <c r="Q487" s="223">
        <v>-9999</v>
      </c>
      <c r="R487" s="243"/>
      <c r="S487" s="223"/>
      <c r="T487" s="243">
        <v>7.8</v>
      </c>
      <c r="U487" s="243">
        <v>1.8</v>
      </c>
      <c r="V487" s="243"/>
      <c r="W487" s="244">
        <f t="shared" si="29"/>
        <v>5.7000000000000028</v>
      </c>
      <c r="X487" s="223">
        <v>-9999</v>
      </c>
      <c r="Y487" s="223"/>
      <c r="Z487" s="223" t="s">
        <v>67</v>
      </c>
      <c r="AA487" s="441">
        <v>6719</v>
      </c>
      <c r="AB487" s="243">
        <v>-9999</v>
      </c>
      <c r="AC487" s="223">
        <v>-9999</v>
      </c>
      <c r="AD487" s="223">
        <f t="shared" si="25"/>
        <v>1900</v>
      </c>
      <c r="AE487" s="404" t="s">
        <v>1955</v>
      </c>
      <c r="AF487" s="223">
        <v>16</v>
      </c>
      <c r="AG487" s="240" t="s">
        <v>283</v>
      </c>
      <c r="AH487" s="223" t="s">
        <v>623</v>
      </c>
      <c r="AI487" s="223">
        <v>-9999</v>
      </c>
      <c r="AJ487" s="223">
        <v>-9999</v>
      </c>
      <c r="AK487" s="223" t="s">
        <v>631</v>
      </c>
      <c r="AL487" s="223">
        <v>-9999</v>
      </c>
      <c r="AM487" s="223">
        <v>-9999</v>
      </c>
      <c r="AN487" s="223" t="s">
        <v>626</v>
      </c>
      <c r="AO487" s="223" t="s">
        <v>788</v>
      </c>
      <c r="AP487" s="223" t="s">
        <v>789</v>
      </c>
      <c r="AQ487" s="223" t="s">
        <v>626</v>
      </c>
      <c r="AR487" s="223">
        <f t="shared" si="30"/>
        <v>886</v>
      </c>
      <c r="AS487" s="223" t="s">
        <v>723</v>
      </c>
      <c r="AT487" s="223" t="s">
        <v>790</v>
      </c>
      <c r="AU487" s="223">
        <v>0</v>
      </c>
      <c r="AV487" s="223">
        <v>-9999</v>
      </c>
      <c r="AW487" s="223">
        <v>-9999</v>
      </c>
      <c r="AX487" s="223">
        <v>0</v>
      </c>
      <c r="AY487" s="223">
        <v>-9999</v>
      </c>
      <c r="AZ487" s="223" t="s">
        <v>790</v>
      </c>
      <c r="BA487" s="223">
        <v>-9999</v>
      </c>
      <c r="BB487" s="223" t="s">
        <v>626</v>
      </c>
      <c r="BC487" s="223" t="s">
        <v>791</v>
      </c>
      <c r="BD487" s="223" t="s">
        <v>792</v>
      </c>
      <c r="BE487" s="223"/>
      <c r="BF487" s="223">
        <v>-9999</v>
      </c>
      <c r="BG487" s="223">
        <v>-9999</v>
      </c>
      <c r="BH487" s="223">
        <v>-9999</v>
      </c>
      <c r="BI487" s="223">
        <v>-9999</v>
      </c>
      <c r="BJ487" s="223">
        <v>-9999</v>
      </c>
      <c r="BK487" s="223">
        <v>-9999</v>
      </c>
      <c r="BL487" s="223">
        <v>-9999</v>
      </c>
      <c r="BM487" s="223">
        <v>-9999</v>
      </c>
      <c r="BN487" s="223">
        <v>-9999</v>
      </c>
      <c r="BO487" s="223">
        <v>-9999</v>
      </c>
      <c r="BP487" s="223">
        <v>-9999</v>
      </c>
      <c r="BQ487" s="223">
        <v>-9999</v>
      </c>
      <c r="BR487" s="223">
        <v>-9999</v>
      </c>
      <c r="BS487" s="242">
        <v>-9999</v>
      </c>
      <c r="BT487" s="223">
        <v>-9999</v>
      </c>
      <c r="BU487" s="223">
        <v>-9999</v>
      </c>
      <c r="BV487" s="223">
        <v>-9999</v>
      </c>
      <c r="BW487" s="223"/>
      <c r="BX487" s="223">
        <v>-9999</v>
      </c>
      <c r="BY487" s="223">
        <v>-9999</v>
      </c>
      <c r="BZ487" s="223">
        <v>-9999</v>
      </c>
      <c r="CA487" s="332">
        <v>-9999</v>
      </c>
      <c r="CB487" s="247"/>
      <c r="CC487" s="83">
        <v>1</v>
      </c>
      <c r="CD487" s="32">
        <v>8</v>
      </c>
      <c r="CE487" s="292">
        <v>7.8</v>
      </c>
      <c r="CF487" s="292">
        <v>5.7000000000000028</v>
      </c>
      <c r="CG487" s="84">
        <v>8</v>
      </c>
    </row>
    <row r="488" spans="1:95" s="23" customFormat="1" x14ac:dyDescent="0.2">
      <c r="A488" s="223" t="s">
        <v>785</v>
      </c>
      <c r="B488" s="223" t="s">
        <v>786</v>
      </c>
      <c r="C488" s="404" t="s">
        <v>1439</v>
      </c>
      <c r="D488" s="223" t="s">
        <v>619</v>
      </c>
      <c r="E488" s="241" t="s">
        <v>1449</v>
      </c>
      <c r="F488" s="241">
        <v>1</v>
      </c>
      <c r="G488" s="223">
        <v>9</v>
      </c>
      <c r="H488" s="242">
        <v>9</v>
      </c>
      <c r="I488" s="223" t="s">
        <v>954</v>
      </c>
      <c r="J488" s="223">
        <v>1977</v>
      </c>
      <c r="K488" s="223" t="s">
        <v>957</v>
      </c>
      <c r="L488" s="223">
        <v>1985</v>
      </c>
      <c r="M488" s="243">
        <v>-9999</v>
      </c>
      <c r="N488" s="223">
        <v>-9999</v>
      </c>
      <c r="O488" s="29"/>
      <c r="P488" s="285">
        <f t="shared" si="28"/>
        <v>74.7</v>
      </c>
      <c r="Q488" s="223">
        <v>-9999</v>
      </c>
      <c r="R488" s="243"/>
      <c r="S488" s="223"/>
      <c r="T488" s="243">
        <v>8.3000000000000007</v>
      </c>
      <c r="U488" s="243">
        <v>2</v>
      </c>
      <c r="V488" s="243"/>
      <c r="W488" s="244">
        <f t="shared" si="29"/>
        <v>12.300000000000004</v>
      </c>
      <c r="X488" s="223">
        <v>-9999</v>
      </c>
      <c r="Y488" s="223"/>
      <c r="Z488" s="223" t="s">
        <v>67</v>
      </c>
      <c r="AA488" s="441">
        <v>6719</v>
      </c>
      <c r="AB488" s="243">
        <v>-9999</v>
      </c>
      <c r="AC488" s="223">
        <v>-9999</v>
      </c>
      <c r="AD488" s="223">
        <f t="shared" si="25"/>
        <v>1900</v>
      </c>
      <c r="AE488" s="404" t="s">
        <v>1955</v>
      </c>
      <c r="AF488" s="223">
        <v>16</v>
      </c>
      <c r="AG488" s="240" t="s">
        <v>283</v>
      </c>
      <c r="AH488" s="223" t="s">
        <v>623</v>
      </c>
      <c r="AI488" s="223">
        <v>-9999</v>
      </c>
      <c r="AJ488" s="223">
        <v>-9999</v>
      </c>
      <c r="AK488" s="223" t="s">
        <v>631</v>
      </c>
      <c r="AL488" s="223">
        <v>-9999</v>
      </c>
      <c r="AM488" s="223">
        <v>-9999</v>
      </c>
      <c r="AN488" s="223" t="s">
        <v>626</v>
      </c>
      <c r="AO488" s="223" t="s">
        <v>788</v>
      </c>
      <c r="AP488" s="223" t="s">
        <v>789</v>
      </c>
      <c r="AQ488" s="223" t="s">
        <v>626</v>
      </c>
      <c r="AR488" s="223">
        <f t="shared" si="30"/>
        <v>996</v>
      </c>
      <c r="AS488" s="223" t="s">
        <v>723</v>
      </c>
      <c r="AT488" s="223" t="s">
        <v>790</v>
      </c>
      <c r="AU488" s="223">
        <v>0</v>
      </c>
      <c r="AV488" s="223">
        <v>-9999</v>
      </c>
      <c r="AW488" s="223">
        <v>-9999</v>
      </c>
      <c r="AX488" s="223">
        <v>0</v>
      </c>
      <c r="AY488" s="223">
        <v>-9999</v>
      </c>
      <c r="AZ488" s="223" t="s">
        <v>790</v>
      </c>
      <c r="BA488" s="223">
        <v>-9999</v>
      </c>
      <c r="BB488" s="223" t="s">
        <v>626</v>
      </c>
      <c r="BC488" s="223" t="s">
        <v>791</v>
      </c>
      <c r="BD488" s="223" t="s">
        <v>792</v>
      </c>
      <c r="BE488" s="223"/>
      <c r="BF488" s="223">
        <v>-9999</v>
      </c>
      <c r="BG488" s="223">
        <v>-9999</v>
      </c>
      <c r="BH488" s="223">
        <v>-9999</v>
      </c>
      <c r="BI488" s="223">
        <v>-9999</v>
      </c>
      <c r="BJ488" s="223">
        <v>-9999</v>
      </c>
      <c r="BK488" s="223">
        <v>-9999</v>
      </c>
      <c r="BL488" s="223">
        <v>-9999</v>
      </c>
      <c r="BM488" s="223">
        <v>-9999</v>
      </c>
      <c r="BN488" s="223">
        <v>-9999</v>
      </c>
      <c r="BO488" s="223">
        <v>-9999</v>
      </c>
      <c r="BP488" s="223">
        <v>-9999</v>
      </c>
      <c r="BQ488" s="223">
        <v>-9999</v>
      </c>
      <c r="BR488" s="223">
        <v>-9999</v>
      </c>
      <c r="BS488" s="242">
        <v>-9999</v>
      </c>
      <c r="BT488" s="223">
        <v>-9999</v>
      </c>
      <c r="BU488" s="223">
        <v>-9999</v>
      </c>
      <c r="BV488" s="223">
        <v>-9999</v>
      </c>
      <c r="BW488" s="223"/>
      <c r="BX488" s="223">
        <v>-9999</v>
      </c>
      <c r="BY488" s="223">
        <v>-9999</v>
      </c>
      <c r="BZ488" s="223">
        <v>-9999</v>
      </c>
      <c r="CA488" s="332">
        <v>-9999</v>
      </c>
      <c r="CB488" s="247"/>
      <c r="CC488" s="83">
        <v>1</v>
      </c>
      <c r="CD488" s="32">
        <v>9</v>
      </c>
      <c r="CE488" s="394">
        <v>8.3000000000000007</v>
      </c>
      <c r="CF488" s="292">
        <v>12.300000000000004</v>
      </c>
      <c r="CG488" s="84">
        <v>9</v>
      </c>
      <c r="CH488" s="477"/>
    </row>
    <row r="489" spans="1:95" s="23" customFormat="1" x14ac:dyDescent="0.2">
      <c r="A489" s="223" t="s">
        <v>785</v>
      </c>
      <c r="B489" s="223" t="s">
        <v>786</v>
      </c>
      <c r="C489" s="404" t="s">
        <v>1439</v>
      </c>
      <c r="D489" s="223" t="s">
        <v>619</v>
      </c>
      <c r="E489" s="241" t="s">
        <v>1449</v>
      </c>
      <c r="F489" s="241">
        <v>1</v>
      </c>
      <c r="G489" s="223">
        <v>10</v>
      </c>
      <c r="H489" s="242">
        <v>10</v>
      </c>
      <c r="I489" s="223" t="s">
        <v>954</v>
      </c>
      <c r="J489" s="223">
        <v>1977</v>
      </c>
      <c r="K489" s="223" t="s">
        <v>957</v>
      </c>
      <c r="L489" s="223">
        <v>1986</v>
      </c>
      <c r="M489" s="243">
        <v>-9999</v>
      </c>
      <c r="N489" s="223">
        <v>-9999</v>
      </c>
      <c r="O489" s="29"/>
      <c r="P489" s="285">
        <f t="shared" si="28"/>
        <v>81</v>
      </c>
      <c r="Q489" s="223">
        <v>-9999</v>
      </c>
      <c r="R489" s="243"/>
      <c r="S489" s="223"/>
      <c r="T489" s="243">
        <v>8.1</v>
      </c>
      <c r="U489" s="243">
        <v>2</v>
      </c>
      <c r="V489" s="243"/>
      <c r="W489" s="244">
        <f t="shared" si="29"/>
        <v>6.2999999999999972</v>
      </c>
      <c r="X489" s="223">
        <v>-9999</v>
      </c>
      <c r="Y489" s="223"/>
      <c r="Z489" s="223" t="s">
        <v>67</v>
      </c>
      <c r="AA489" s="441">
        <v>6719</v>
      </c>
      <c r="AB489" s="243">
        <v>-9999</v>
      </c>
      <c r="AC489" s="223">
        <v>-9999</v>
      </c>
      <c r="AD489" s="223">
        <f t="shared" si="25"/>
        <v>1900</v>
      </c>
      <c r="AE489" s="404" t="s">
        <v>1955</v>
      </c>
      <c r="AF489" s="223">
        <v>16</v>
      </c>
      <c r="AG489" s="240" t="s">
        <v>283</v>
      </c>
      <c r="AH489" s="223" t="s">
        <v>623</v>
      </c>
      <c r="AI489" s="223">
        <v>-9999</v>
      </c>
      <c r="AJ489" s="223">
        <v>-9999</v>
      </c>
      <c r="AK489" s="223" t="s">
        <v>631</v>
      </c>
      <c r="AL489" s="223">
        <v>-9999</v>
      </c>
      <c r="AM489" s="223">
        <v>-9999</v>
      </c>
      <c r="AN489" s="223" t="s">
        <v>626</v>
      </c>
      <c r="AO489" s="223" t="s">
        <v>788</v>
      </c>
      <c r="AP489" s="223" t="s">
        <v>789</v>
      </c>
      <c r="AQ489" s="223" t="s">
        <v>626</v>
      </c>
      <c r="AR489" s="223">
        <f t="shared" si="30"/>
        <v>1106</v>
      </c>
      <c r="AS489" s="223" t="s">
        <v>723</v>
      </c>
      <c r="AT489" s="223" t="s">
        <v>790</v>
      </c>
      <c r="AU489" s="223">
        <v>0</v>
      </c>
      <c r="AV489" s="223">
        <v>-9999</v>
      </c>
      <c r="AW489" s="223">
        <v>-9999</v>
      </c>
      <c r="AX489" s="223">
        <v>0</v>
      </c>
      <c r="AY489" s="223">
        <v>-9999</v>
      </c>
      <c r="AZ489" s="223" t="s">
        <v>790</v>
      </c>
      <c r="BA489" s="223">
        <v>-9999</v>
      </c>
      <c r="BB489" s="223" t="s">
        <v>626</v>
      </c>
      <c r="BC489" s="223" t="s">
        <v>791</v>
      </c>
      <c r="BD489" s="223" t="s">
        <v>792</v>
      </c>
      <c r="BE489" s="223"/>
      <c r="BF489" s="223">
        <v>-9999</v>
      </c>
      <c r="BG489" s="223">
        <v>-9999</v>
      </c>
      <c r="BH489" s="223">
        <v>-9999</v>
      </c>
      <c r="BI489" s="223">
        <v>-9999</v>
      </c>
      <c r="BJ489" s="223">
        <v>-9999</v>
      </c>
      <c r="BK489" s="223">
        <v>-9999</v>
      </c>
      <c r="BL489" s="223">
        <v>-9999</v>
      </c>
      <c r="BM489" s="223">
        <v>-9999</v>
      </c>
      <c r="BN489" s="223">
        <v>-9999</v>
      </c>
      <c r="BO489" s="223">
        <v>-9999</v>
      </c>
      <c r="BP489" s="223">
        <v>-9999</v>
      </c>
      <c r="BQ489" s="223">
        <v>-9999</v>
      </c>
      <c r="BR489" s="223">
        <v>-9999</v>
      </c>
      <c r="BS489" s="242">
        <v>-9999</v>
      </c>
      <c r="BT489" s="223">
        <v>-9999</v>
      </c>
      <c r="BU489" s="223">
        <v>-9999</v>
      </c>
      <c r="BV489" s="223">
        <v>-9999</v>
      </c>
      <c r="BW489" s="223"/>
      <c r="BX489" s="223">
        <v>-9999</v>
      </c>
      <c r="BY489" s="223">
        <v>-9999</v>
      </c>
      <c r="BZ489" s="223">
        <v>-9999</v>
      </c>
      <c r="CA489" s="332">
        <v>-9999</v>
      </c>
      <c r="CB489" s="247"/>
      <c r="CC489" s="83">
        <v>1</v>
      </c>
      <c r="CD489" s="32">
        <v>10</v>
      </c>
      <c r="CE489" s="292">
        <v>8.1</v>
      </c>
      <c r="CF489" s="292">
        <v>6.2999999999999972</v>
      </c>
      <c r="CG489" s="84">
        <v>10</v>
      </c>
    </row>
    <row r="490" spans="1:95" s="23" customFormat="1" x14ac:dyDescent="0.2">
      <c r="A490" s="223" t="s">
        <v>785</v>
      </c>
      <c r="B490" s="223" t="s">
        <v>786</v>
      </c>
      <c r="C490" s="404" t="s">
        <v>1439</v>
      </c>
      <c r="D490" s="223" t="s">
        <v>619</v>
      </c>
      <c r="E490" s="241" t="s">
        <v>1449</v>
      </c>
      <c r="F490" s="241">
        <v>1</v>
      </c>
      <c r="G490" s="223">
        <v>11</v>
      </c>
      <c r="H490" s="242">
        <v>11</v>
      </c>
      <c r="I490" s="223" t="s">
        <v>954</v>
      </c>
      <c r="J490" s="223">
        <v>1977</v>
      </c>
      <c r="K490" s="223" t="s">
        <v>957</v>
      </c>
      <c r="L490" s="223">
        <v>1987</v>
      </c>
      <c r="M490" s="243">
        <v>-9999</v>
      </c>
      <c r="N490" s="223">
        <v>-9999</v>
      </c>
      <c r="O490" s="29"/>
      <c r="P490" s="285">
        <f t="shared" si="28"/>
        <v>75.900000000000006</v>
      </c>
      <c r="Q490" s="223">
        <v>-9999</v>
      </c>
      <c r="R490" s="243"/>
      <c r="S490" s="223"/>
      <c r="T490" s="243">
        <v>6.9</v>
      </c>
      <c r="U490" s="243">
        <v>2.2999999999999998</v>
      </c>
      <c r="V490" s="243"/>
      <c r="W490" s="244">
        <f t="shared" si="29"/>
        <v>-5.0999999999999943</v>
      </c>
      <c r="X490" s="223">
        <v>-9999</v>
      </c>
      <c r="Y490" s="223"/>
      <c r="Z490" s="223" t="s">
        <v>67</v>
      </c>
      <c r="AA490" s="441">
        <v>6719</v>
      </c>
      <c r="AB490" s="243">
        <v>-9999</v>
      </c>
      <c r="AC490" s="223">
        <v>-9999</v>
      </c>
      <c r="AD490" s="223">
        <f t="shared" si="25"/>
        <v>1900</v>
      </c>
      <c r="AE490" s="404" t="s">
        <v>1955</v>
      </c>
      <c r="AF490" s="223">
        <v>16</v>
      </c>
      <c r="AG490" s="240" t="s">
        <v>283</v>
      </c>
      <c r="AH490" s="223" t="s">
        <v>623</v>
      </c>
      <c r="AI490" s="223">
        <v>-9999</v>
      </c>
      <c r="AJ490" s="223">
        <v>-9999</v>
      </c>
      <c r="AK490" s="223" t="s">
        <v>631</v>
      </c>
      <c r="AL490" s="223">
        <v>-9999</v>
      </c>
      <c r="AM490" s="223">
        <v>-9999</v>
      </c>
      <c r="AN490" s="223" t="s">
        <v>626</v>
      </c>
      <c r="AO490" s="223" t="s">
        <v>788</v>
      </c>
      <c r="AP490" s="223" t="s">
        <v>789</v>
      </c>
      <c r="AQ490" s="223" t="s">
        <v>626</v>
      </c>
      <c r="AR490" s="223">
        <f t="shared" si="30"/>
        <v>1216</v>
      </c>
      <c r="AS490" s="223" t="s">
        <v>723</v>
      </c>
      <c r="AT490" s="223" t="s">
        <v>790</v>
      </c>
      <c r="AU490" s="223">
        <v>0</v>
      </c>
      <c r="AV490" s="223">
        <v>-9999</v>
      </c>
      <c r="AW490" s="223">
        <v>-9999</v>
      </c>
      <c r="AX490" s="223">
        <v>0</v>
      </c>
      <c r="AY490" s="223">
        <v>-9999</v>
      </c>
      <c r="AZ490" s="223" t="s">
        <v>790</v>
      </c>
      <c r="BA490" s="223">
        <v>-9999</v>
      </c>
      <c r="BB490" s="223" t="s">
        <v>626</v>
      </c>
      <c r="BC490" s="223" t="s">
        <v>791</v>
      </c>
      <c r="BD490" s="223" t="s">
        <v>792</v>
      </c>
      <c r="BE490" s="223"/>
      <c r="BF490" s="223">
        <v>-9999</v>
      </c>
      <c r="BG490" s="223">
        <v>-9999</v>
      </c>
      <c r="BH490" s="223">
        <v>-9999</v>
      </c>
      <c r="BI490" s="223">
        <v>-9999</v>
      </c>
      <c r="BJ490" s="223">
        <v>-9999</v>
      </c>
      <c r="BK490" s="223">
        <v>-9999</v>
      </c>
      <c r="BL490" s="223">
        <v>-9999</v>
      </c>
      <c r="BM490" s="223">
        <v>-9999</v>
      </c>
      <c r="BN490" s="223">
        <v>-9999</v>
      </c>
      <c r="BO490" s="223">
        <v>-9999</v>
      </c>
      <c r="BP490" s="223">
        <v>-9999</v>
      </c>
      <c r="BQ490" s="223">
        <v>-9999</v>
      </c>
      <c r="BR490" s="223">
        <v>-9999</v>
      </c>
      <c r="BS490" s="242">
        <v>-9999</v>
      </c>
      <c r="BT490" s="223">
        <v>-9999</v>
      </c>
      <c r="BU490" s="223">
        <v>-9999</v>
      </c>
      <c r="BV490" s="223">
        <v>-9999</v>
      </c>
      <c r="BW490" s="223"/>
      <c r="BX490" s="223">
        <v>-9999</v>
      </c>
      <c r="BY490" s="223">
        <v>-9999</v>
      </c>
      <c r="BZ490" s="223">
        <v>-9999</v>
      </c>
      <c r="CA490" s="332">
        <v>-9999</v>
      </c>
      <c r="CB490" s="247"/>
      <c r="CC490" s="83">
        <v>1</v>
      </c>
      <c r="CD490" s="32">
        <v>11</v>
      </c>
      <c r="CE490" s="292">
        <v>6.9</v>
      </c>
      <c r="CF490" s="292">
        <v>-5.0999999999999943</v>
      </c>
      <c r="CG490" s="84">
        <v>11</v>
      </c>
    </row>
    <row r="491" spans="1:95" s="23" customFormat="1" x14ac:dyDescent="0.2">
      <c r="A491" s="223" t="s">
        <v>785</v>
      </c>
      <c r="B491" s="223" t="s">
        <v>786</v>
      </c>
      <c r="C491" s="404" t="s">
        <v>1439</v>
      </c>
      <c r="D491" s="223" t="s">
        <v>619</v>
      </c>
      <c r="E491" s="241" t="s">
        <v>1449</v>
      </c>
      <c r="F491" s="241">
        <v>1</v>
      </c>
      <c r="G491" s="223">
        <v>12</v>
      </c>
      <c r="H491" s="242">
        <v>12</v>
      </c>
      <c r="I491" s="223" t="s">
        <v>954</v>
      </c>
      <c r="J491" s="223">
        <v>1977</v>
      </c>
      <c r="K491" s="223" t="s">
        <v>957</v>
      </c>
      <c r="L491" s="223">
        <v>1988</v>
      </c>
      <c r="M491" s="243">
        <v>-9999</v>
      </c>
      <c r="N491" s="223">
        <v>-9999</v>
      </c>
      <c r="O491" s="29"/>
      <c r="P491" s="285">
        <f t="shared" si="28"/>
        <v>78</v>
      </c>
      <c r="Q491" s="223">
        <v>-9999</v>
      </c>
      <c r="R491" s="243"/>
      <c r="S491" s="223"/>
      <c r="T491" s="243">
        <v>6.5</v>
      </c>
      <c r="U491" s="243">
        <v>2.4</v>
      </c>
      <c r="V491" s="243"/>
      <c r="W491" s="244">
        <f t="shared" si="29"/>
        <v>2.0999999999999943</v>
      </c>
      <c r="X491" s="223">
        <v>-9999</v>
      </c>
      <c r="Y491" s="223"/>
      <c r="Z491" s="223" t="s">
        <v>67</v>
      </c>
      <c r="AA491" s="441">
        <v>6719</v>
      </c>
      <c r="AB491" s="243">
        <v>-9999</v>
      </c>
      <c r="AC491" s="223">
        <v>-9999</v>
      </c>
      <c r="AD491" s="223">
        <f t="shared" si="25"/>
        <v>1900</v>
      </c>
      <c r="AE491" s="404" t="s">
        <v>1955</v>
      </c>
      <c r="AF491" s="223">
        <v>16</v>
      </c>
      <c r="AG491" s="240" t="s">
        <v>283</v>
      </c>
      <c r="AH491" s="223" t="s">
        <v>623</v>
      </c>
      <c r="AI491" s="223">
        <v>-9999</v>
      </c>
      <c r="AJ491" s="223">
        <v>-9999</v>
      </c>
      <c r="AK491" s="223" t="s">
        <v>631</v>
      </c>
      <c r="AL491" s="223">
        <v>-9999</v>
      </c>
      <c r="AM491" s="223">
        <v>-9999</v>
      </c>
      <c r="AN491" s="223" t="s">
        <v>626</v>
      </c>
      <c r="AO491" s="223" t="s">
        <v>788</v>
      </c>
      <c r="AP491" s="223" t="s">
        <v>789</v>
      </c>
      <c r="AQ491" s="223" t="s">
        <v>626</v>
      </c>
      <c r="AR491" s="223">
        <f t="shared" si="30"/>
        <v>1326</v>
      </c>
      <c r="AS491" s="223" t="s">
        <v>723</v>
      </c>
      <c r="AT491" s="223" t="s">
        <v>790</v>
      </c>
      <c r="AU491" s="223">
        <v>0</v>
      </c>
      <c r="AV491" s="223">
        <v>-9999</v>
      </c>
      <c r="AW491" s="223">
        <v>-9999</v>
      </c>
      <c r="AX491" s="223">
        <v>0</v>
      </c>
      <c r="AY491" s="223">
        <v>-9999</v>
      </c>
      <c r="AZ491" s="223" t="s">
        <v>790</v>
      </c>
      <c r="BA491" s="223">
        <v>-9999</v>
      </c>
      <c r="BB491" s="223" t="s">
        <v>626</v>
      </c>
      <c r="BC491" s="223" t="s">
        <v>791</v>
      </c>
      <c r="BD491" s="223" t="s">
        <v>792</v>
      </c>
      <c r="BE491" s="223"/>
      <c r="BF491" s="223">
        <v>-9999</v>
      </c>
      <c r="BG491" s="223">
        <v>-9999</v>
      </c>
      <c r="BH491" s="223">
        <v>-9999</v>
      </c>
      <c r="BI491" s="223">
        <v>-9999</v>
      </c>
      <c r="BJ491" s="223">
        <v>-9999</v>
      </c>
      <c r="BK491" s="223">
        <v>-9999</v>
      </c>
      <c r="BL491" s="223">
        <v>-9999</v>
      </c>
      <c r="BM491" s="223">
        <v>-9999</v>
      </c>
      <c r="BN491" s="223">
        <v>-9999</v>
      </c>
      <c r="BO491" s="223">
        <v>-9999</v>
      </c>
      <c r="BP491" s="223">
        <v>-9999</v>
      </c>
      <c r="BQ491" s="223">
        <v>-9999</v>
      </c>
      <c r="BR491" s="223">
        <v>-9999</v>
      </c>
      <c r="BS491" s="242">
        <v>-9999</v>
      </c>
      <c r="BT491" s="223">
        <v>-9999</v>
      </c>
      <c r="BU491" s="223">
        <v>-9999</v>
      </c>
      <c r="BV491" s="223">
        <v>-9999</v>
      </c>
      <c r="BW491" s="223"/>
      <c r="BX491" s="223">
        <v>-9999</v>
      </c>
      <c r="BY491" s="223">
        <v>-9999</v>
      </c>
      <c r="BZ491" s="223">
        <v>-9999</v>
      </c>
      <c r="CA491" s="332">
        <v>-9999</v>
      </c>
      <c r="CB491" s="247"/>
      <c r="CC491" s="83">
        <v>1</v>
      </c>
      <c r="CD491" s="32">
        <v>12</v>
      </c>
      <c r="CE491" s="292">
        <v>6.5</v>
      </c>
      <c r="CF491" s="292">
        <v>2.0999999999999943</v>
      </c>
      <c r="CG491" s="84">
        <v>12</v>
      </c>
    </row>
    <row r="492" spans="1:95" s="23" customFormat="1" x14ac:dyDescent="0.2">
      <c r="A492" s="223"/>
      <c r="B492" s="223"/>
      <c r="C492" s="223"/>
      <c r="D492" s="223"/>
      <c r="E492" s="241"/>
      <c r="F492" s="241"/>
      <c r="G492" s="223"/>
      <c r="H492" s="242"/>
      <c r="I492" s="223"/>
      <c r="J492" s="223"/>
      <c r="K492" s="223"/>
      <c r="L492" s="223"/>
      <c r="M492" s="243"/>
      <c r="N492" s="223"/>
      <c r="O492" s="29"/>
      <c r="P492" s="243"/>
      <c r="Q492" s="223"/>
      <c r="R492" s="243"/>
      <c r="S492" s="223"/>
      <c r="T492" s="243"/>
      <c r="U492" s="243"/>
      <c r="V492" s="243"/>
      <c r="W492" s="243"/>
      <c r="X492" s="223"/>
      <c r="Y492" s="223"/>
      <c r="Z492" s="223"/>
      <c r="AA492" s="441"/>
      <c r="AB492" s="243"/>
      <c r="AC492" s="223"/>
      <c r="AD492" s="223"/>
      <c r="AE492" s="223"/>
      <c r="AF492" s="223"/>
      <c r="AG492" s="240"/>
      <c r="AH492" s="223"/>
      <c r="AI492" s="223"/>
      <c r="AJ492" s="223"/>
      <c r="AK492" s="223"/>
      <c r="AL492" s="223"/>
      <c r="AM492" s="223"/>
      <c r="AN492" s="223"/>
      <c r="AO492" s="223"/>
      <c r="AP492" s="223"/>
      <c r="AQ492" s="223"/>
      <c r="AR492" s="223"/>
      <c r="AS492" s="223"/>
      <c r="AT492" s="223"/>
      <c r="AU492" s="223"/>
      <c r="AV492" s="223"/>
      <c r="AW492" s="223"/>
      <c r="AX492" s="223"/>
      <c r="AY492" s="223"/>
      <c r="AZ492" s="223"/>
      <c r="BA492" s="223"/>
      <c r="BB492" s="223"/>
      <c r="BC492" s="223"/>
      <c r="BD492" s="223"/>
      <c r="BE492" s="223"/>
      <c r="BF492" s="223"/>
      <c r="BG492" s="223"/>
      <c r="BH492" s="223"/>
      <c r="BI492" s="223"/>
      <c r="BJ492" s="223"/>
      <c r="BK492" s="223"/>
      <c r="BL492" s="223"/>
      <c r="BM492" s="223"/>
      <c r="BN492" s="223"/>
      <c r="BO492" s="223"/>
      <c r="BP492" s="223"/>
      <c r="BQ492" s="223"/>
      <c r="BR492" s="223"/>
      <c r="BS492" s="242"/>
      <c r="BT492" s="223"/>
      <c r="BU492" s="223"/>
      <c r="BV492" s="223"/>
      <c r="BW492" s="223"/>
      <c r="BX492" s="223"/>
      <c r="BY492" s="223"/>
      <c r="BZ492" s="223"/>
      <c r="CA492" s="332"/>
      <c r="CB492" s="247"/>
      <c r="CC492" s="83"/>
      <c r="CD492" s="32"/>
      <c r="CE492" s="342" t="s">
        <v>1576</v>
      </c>
      <c r="CF492" s="342" t="s">
        <v>1575</v>
      </c>
      <c r="CG492" s="84"/>
    </row>
    <row r="493" spans="1:95" s="23" customFormat="1" x14ac:dyDescent="0.2">
      <c r="A493" s="223" t="s">
        <v>785</v>
      </c>
      <c r="B493" s="223" t="s">
        <v>786</v>
      </c>
      <c r="C493" s="404" t="s">
        <v>1440</v>
      </c>
      <c r="D493" s="223" t="s">
        <v>619</v>
      </c>
      <c r="E493" s="241" t="s">
        <v>1449</v>
      </c>
      <c r="F493" s="241">
        <v>1</v>
      </c>
      <c r="G493" s="223">
        <v>3</v>
      </c>
      <c r="H493" s="242">
        <v>3</v>
      </c>
      <c r="I493" s="223" t="s">
        <v>954</v>
      </c>
      <c r="J493" s="223">
        <v>1977</v>
      </c>
      <c r="K493" s="223" t="s">
        <v>957</v>
      </c>
      <c r="L493" s="223">
        <v>1979</v>
      </c>
      <c r="M493" s="243">
        <v>-9999</v>
      </c>
      <c r="N493" s="223">
        <v>-9999</v>
      </c>
      <c r="O493" s="29"/>
      <c r="P493" s="285">
        <f t="shared" ref="P493:P502" si="31">+T493*G493</f>
        <v>2.7</v>
      </c>
      <c r="Q493" s="223">
        <v>-9999</v>
      </c>
      <c r="R493" s="243"/>
      <c r="S493" s="223"/>
      <c r="T493" s="243">
        <v>0.9</v>
      </c>
      <c r="U493" s="243">
        <v>0.5</v>
      </c>
      <c r="V493" s="243"/>
      <c r="W493" s="244">
        <f t="shared" ref="W493:W502" si="32">+P493-P492</f>
        <v>2.7</v>
      </c>
      <c r="X493" s="223">
        <v>-9999</v>
      </c>
      <c r="Y493" s="223"/>
      <c r="Z493" s="223" t="s">
        <v>73</v>
      </c>
      <c r="AA493" s="441">
        <v>3086</v>
      </c>
      <c r="AB493" s="243">
        <v>-9999</v>
      </c>
      <c r="AC493" s="223">
        <v>-9999</v>
      </c>
      <c r="AD493" s="223">
        <f t="shared" si="25"/>
        <v>1900</v>
      </c>
      <c r="AE493" s="404" t="s">
        <v>280</v>
      </c>
      <c r="AF493" s="223">
        <v>16</v>
      </c>
      <c r="AG493" s="240" t="s">
        <v>283</v>
      </c>
      <c r="AH493" s="223" t="s">
        <v>623</v>
      </c>
      <c r="AI493" s="223">
        <v>-9999</v>
      </c>
      <c r="AJ493" s="223">
        <v>-9999</v>
      </c>
      <c r="AK493" s="223" t="s">
        <v>631</v>
      </c>
      <c r="AL493" s="223">
        <v>-9999</v>
      </c>
      <c r="AM493" s="223">
        <v>-9999</v>
      </c>
      <c r="AN493" s="223" t="s">
        <v>626</v>
      </c>
      <c r="AO493" s="223" t="s">
        <v>788</v>
      </c>
      <c r="AP493" s="223" t="s">
        <v>789</v>
      </c>
      <c r="AQ493" s="223" t="s">
        <v>626</v>
      </c>
      <c r="AR493" s="223">
        <f>112*G493</f>
        <v>336</v>
      </c>
      <c r="AS493" s="223" t="s">
        <v>723</v>
      </c>
      <c r="AT493" s="223" t="s">
        <v>790</v>
      </c>
      <c r="AU493" s="223">
        <v>0</v>
      </c>
      <c r="AV493" s="223">
        <v>-9999</v>
      </c>
      <c r="AW493" s="223">
        <v>-9999</v>
      </c>
      <c r="AX493" s="223">
        <v>0</v>
      </c>
      <c r="AY493" s="223">
        <v>-9999</v>
      </c>
      <c r="AZ493" s="223" t="s">
        <v>790</v>
      </c>
      <c r="BA493" s="223">
        <v>-9999</v>
      </c>
      <c r="BB493" s="223" t="s">
        <v>626</v>
      </c>
      <c r="BC493" s="223" t="s">
        <v>791</v>
      </c>
      <c r="BD493" s="223" t="s">
        <v>792</v>
      </c>
      <c r="BE493" s="223"/>
      <c r="BF493" s="223">
        <v>-9999</v>
      </c>
      <c r="BG493" s="223">
        <v>-9999</v>
      </c>
      <c r="BH493" s="223">
        <v>-9999</v>
      </c>
      <c r="BI493" s="223">
        <v>-9999</v>
      </c>
      <c r="BJ493" s="223">
        <v>-9999</v>
      </c>
      <c r="BK493" s="223">
        <v>-9999</v>
      </c>
      <c r="BL493" s="223">
        <v>-9999</v>
      </c>
      <c r="BM493" s="223">
        <v>-9999</v>
      </c>
      <c r="BN493" s="223">
        <v>-9999</v>
      </c>
      <c r="BO493" s="223">
        <v>-9999</v>
      </c>
      <c r="BP493" s="223">
        <v>-9999</v>
      </c>
      <c r="BQ493" s="223">
        <v>-9999</v>
      </c>
      <c r="BR493" s="223">
        <v>-9999</v>
      </c>
      <c r="BS493" s="242">
        <v>-9999</v>
      </c>
      <c r="BT493" s="223">
        <v>-9999</v>
      </c>
      <c r="BU493" s="223">
        <v>-9999</v>
      </c>
      <c r="BV493" s="223">
        <v>-9999</v>
      </c>
      <c r="BW493" s="223"/>
      <c r="BX493" s="223">
        <v>-9999</v>
      </c>
      <c r="BY493" s="223">
        <v>-9999</v>
      </c>
      <c r="BZ493" s="223">
        <v>-9999</v>
      </c>
      <c r="CA493" s="332">
        <v>-9999</v>
      </c>
      <c r="CB493" s="247"/>
      <c r="CC493" s="83">
        <v>1</v>
      </c>
      <c r="CD493" s="32">
        <v>3</v>
      </c>
      <c r="CE493" s="292">
        <v>0.9</v>
      </c>
      <c r="CF493" s="292">
        <v>2.7</v>
      </c>
      <c r="CG493" s="84">
        <v>3</v>
      </c>
    </row>
    <row r="494" spans="1:95" s="23" customFormat="1" x14ac:dyDescent="0.2">
      <c r="A494" s="223" t="s">
        <v>785</v>
      </c>
      <c r="B494" s="223" t="s">
        <v>786</v>
      </c>
      <c r="C494" s="404" t="s">
        <v>1440</v>
      </c>
      <c r="D494" s="223" t="s">
        <v>619</v>
      </c>
      <c r="E494" s="241" t="s">
        <v>1449</v>
      </c>
      <c r="F494" s="241">
        <v>1</v>
      </c>
      <c r="G494" s="223">
        <v>4</v>
      </c>
      <c r="H494" s="242">
        <v>4</v>
      </c>
      <c r="I494" s="223" t="s">
        <v>954</v>
      </c>
      <c r="J494" s="223">
        <v>1977</v>
      </c>
      <c r="K494" s="223" t="s">
        <v>957</v>
      </c>
      <c r="L494" s="223">
        <v>1980</v>
      </c>
      <c r="M494" s="243">
        <v>-9999</v>
      </c>
      <c r="N494" s="223">
        <v>-9999</v>
      </c>
      <c r="O494" s="29"/>
      <c r="P494" s="285">
        <f t="shared" si="31"/>
        <v>14.4</v>
      </c>
      <c r="Q494" s="223">
        <v>-9999</v>
      </c>
      <c r="R494" s="243"/>
      <c r="S494" s="223"/>
      <c r="T494" s="243">
        <v>3.6</v>
      </c>
      <c r="U494" s="243">
        <v>1.4</v>
      </c>
      <c r="V494" s="243"/>
      <c r="W494" s="244">
        <f t="shared" si="32"/>
        <v>11.7</v>
      </c>
      <c r="X494" s="223">
        <v>-9999</v>
      </c>
      <c r="Y494" s="223"/>
      <c r="Z494" s="223" t="s">
        <v>73</v>
      </c>
      <c r="AA494" s="441">
        <v>3086</v>
      </c>
      <c r="AB494" s="243">
        <v>-9999</v>
      </c>
      <c r="AC494" s="223">
        <v>-9999</v>
      </c>
      <c r="AD494" s="223">
        <f t="shared" si="25"/>
        <v>1900</v>
      </c>
      <c r="AE494" s="404" t="s">
        <v>280</v>
      </c>
      <c r="AF494" s="223">
        <v>16</v>
      </c>
      <c r="AG494" s="240" t="s">
        <v>283</v>
      </c>
      <c r="AH494" s="223" t="s">
        <v>623</v>
      </c>
      <c r="AI494" s="223">
        <v>-9999</v>
      </c>
      <c r="AJ494" s="223">
        <v>-9999</v>
      </c>
      <c r="AK494" s="223" t="s">
        <v>631</v>
      </c>
      <c r="AL494" s="223">
        <v>-9999</v>
      </c>
      <c r="AM494" s="223">
        <v>-9999</v>
      </c>
      <c r="AN494" s="223" t="s">
        <v>626</v>
      </c>
      <c r="AO494" s="223" t="s">
        <v>788</v>
      </c>
      <c r="AP494" s="223" t="s">
        <v>789</v>
      </c>
      <c r="AQ494" s="223" t="s">
        <v>626</v>
      </c>
      <c r="AR494" s="223">
        <f t="shared" ref="AR494:AR502" si="33">110+AR493</f>
        <v>446</v>
      </c>
      <c r="AS494" s="223" t="s">
        <v>723</v>
      </c>
      <c r="AT494" s="223" t="s">
        <v>790</v>
      </c>
      <c r="AU494" s="223">
        <v>0</v>
      </c>
      <c r="AV494" s="223">
        <v>-9999</v>
      </c>
      <c r="AW494" s="223">
        <v>-9999</v>
      </c>
      <c r="AX494" s="223">
        <v>0</v>
      </c>
      <c r="AY494" s="223">
        <v>-9999</v>
      </c>
      <c r="AZ494" s="223" t="s">
        <v>790</v>
      </c>
      <c r="BA494" s="223">
        <v>-9999</v>
      </c>
      <c r="BB494" s="223" t="s">
        <v>626</v>
      </c>
      <c r="BC494" s="223" t="s">
        <v>791</v>
      </c>
      <c r="BD494" s="223" t="s">
        <v>792</v>
      </c>
      <c r="BE494" s="223"/>
      <c r="BF494" s="223">
        <v>-9999</v>
      </c>
      <c r="BG494" s="223">
        <v>-9999</v>
      </c>
      <c r="BH494" s="223">
        <v>-9999</v>
      </c>
      <c r="BI494" s="223">
        <v>-9999</v>
      </c>
      <c r="BJ494" s="223">
        <v>-9999</v>
      </c>
      <c r="BK494" s="223">
        <v>-9999</v>
      </c>
      <c r="BL494" s="223">
        <v>-9999</v>
      </c>
      <c r="BM494" s="223">
        <v>-9999</v>
      </c>
      <c r="BN494" s="223">
        <v>-9999</v>
      </c>
      <c r="BO494" s="223">
        <v>-9999</v>
      </c>
      <c r="BP494" s="223">
        <v>-9999</v>
      </c>
      <c r="BQ494" s="223">
        <v>-9999</v>
      </c>
      <c r="BR494" s="223">
        <v>-9999</v>
      </c>
      <c r="BS494" s="242">
        <v>-9999</v>
      </c>
      <c r="BT494" s="223">
        <v>-9999</v>
      </c>
      <c r="BU494" s="223">
        <v>-9999</v>
      </c>
      <c r="BV494" s="223">
        <v>-9999</v>
      </c>
      <c r="BW494" s="223"/>
      <c r="BX494" s="223">
        <v>-9999</v>
      </c>
      <c r="BY494" s="223">
        <v>-9999</v>
      </c>
      <c r="BZ494" s="223">
        <v>-9999</v>
      </c>
      <c r="CA494" s="332">
        <v>-9999</v>
      </c>
      <c r="CB494" s="247"/>
      <c r="CC494" s="83">
        <v>1</v>
      </c>
      <c r="CD494" s="32">
        <v>4</v>
      </c>
      <c r="CE494" s="292">
        <v>3.6</v>
      </c>
      <c r="CF494" s="292">
        <v>11.7</v>
      </c>
      <c r="CG494" s="84">
        <v>4</v>
      </c>
    </row>
    <row r="495" spans="1:95" s="23" customFormat="1" x14ac:dyDescent="0.2">
      <c r="A495" s="223" t="s">
        <v>785</v>
      </c>
      <c r="B495" s="223" t="s">
        <v>786</v>
      </c>
      <c r="C495" s="404" t="s">
        <v>1440</v>
      </c>
      <c r="D495" s="223" t="s">
        <v>619</v>
      </c>
      <c r="E495" s="241" t="s">
        <v>1449</v>
      </c>
      <c r="F495" s="241">
        <v>1</v>
      </c>
      <c r="G495" s="223">
        <v>5</v>
      </c>
      <c r="H495" s="242">
        <v>5</v>
      </c>
      <c r="I495" s="223" t="s">
        <v>954</v>
      </c>
      <c r="J495" s="223">
        <v>1977</v>
      </c>
      <c r="K495" s="223" t="s">
        <v>957</v>
      </c>
      <c r="L495" s="223">
        <v>1981</v>
      </c>
      <c r="M495" s="243">
        <v>-9999</v>
      </c>
      <c r="N495" s="223">
        <v>-9999</v>
      </c>
      <c r="O495" s="29"/>
      <c r="P495" s="285">
        <f t="shared" si="31"/>
        <v>30.5</v>
      </c>
      <c r="Q495" s="223">
        <v>-9999</v>
      </c>
      <c r="R495" s="243"/>
      <c r="S495" s="223"/>
      <c r="T495" s="243">
        <v>6.1</v>
      </c>
      <c r="U495" s="243">
        <v>1.5</v>
      </c>
      <c r="V495" s="243"/>
      <c r="W495" s="244">
        <f t="shared" si="32"/>
        <v>16.100000000000001</v>
      </c>
      <c r="X495" s="223">
        <v>-9999</v>
      </c>
      <c r="Y495" s="223"/>
      <c r="Z495" s="223" t="s">
        <v>73</v>
      </c>
      <c r="AA495" s="441">
        <v>3086</v>
      </c>
      <c r="AB495" s="243">
        <v>-9999</v>
      </c>
      <c r="AC495" s="223">
        <v>-9999</v>
      </c>
      <c r="AD495" s="223">
        <f t="shared" si="25"/>
        <v>1900</v>
      </c>
      <c r="AE495" s="404" t="s">
        <v>280</v>
      </c>
      <c r="AF495" s="223">
        <v>16</v>
      </c>
      <c r="AG495" s="240" t="s">
        <v>283</v>
      </c>
      <c r="AH495" s="223" t="s">
        <v>623</v>
      </c>
      <c r="AI495" s="223">
        <v>-9999</v>
      </c>
      <c r="AJ495" s="223">
        <v>-9999</v>
      </c>
      <c r="AK495" s="223" t="s">
        <v>631</v>
      </c>
      <c r="AL495" s="223">
        <v>-9999</v>
      </c>
      <c r="AM495" s="223">
        <v>-9999</v>
      </c>
      <c r="AN495" s="223" t="s">
        <v>626</v>
      </c>
      <c r="AO495" s="223" t="s">
        <v>788</v>
      </c>
      <c r="AP495" s="223" t="s">
        <v>789</v>
      </c>
      <c r="AQ495" s="223" t="s">
        <v>626</v>
      </c>
      <c r="AR495" s="223">
        <f t="shared" si="33"/>
        <v>556</v>
      </c>
      <c r="AS495" s="223" t="s">
        <v>723</v>
      </c>
      <c r="AT495" s="223" t="s">
        <v>790</v>
      </c>
      <c r="AU495" s="223">
        <v>0</v>
      </c>
      <c r="AV495" s="223">
        <v>-9999</v>
      </c>
      <c r="AW495" s="223">
        <v>-9999</v>
      </c>
      <c r="AX495" s="223">
        <v>0</v>
      </c>
      <c r="AY495" s="223">
        <v>-9999</v>
      </c>
      <c r="AZ495" s="223" t="s">
        <v>790</v>
      </c>
      <c r="BA495" s="223">
        <v>-9999</v>
      </c>
      <c r="BB495" s="223" t="s">
        <v>626</v>
      </c>
      <c r="BC495" s="223" t="s">
        <v>791</v>
      </c>
      <c r="BD495" s="223" t="s">
        <v>792</v>
      </c>
      <c r="BE495" s="223"/>
      <c r="BF495" s="223">
        <v>-9999</v>
      </c>
      <c r="BG495" s="223">
        <v>-9999</v>
      </c>
      <c r="BH495" s="223">
        <v>-9999</v>
      </c>
      <c r="BI495" s="223">
        <v>-9999</v>
      </c>
      <c r="BJ495" s="223">
        <v>-9999</v>
      </c>
      <c r="BK495" s="223">
        <v>-9999</v>
      </c>
      <c r="BL495" s="223">
        <v>-9999</v>
      </c>
      <c r="BM495" s="223">
        <v>-9999</v>
      </c>
      <c r="BN495" s="223">
        <v>-9999</v>
      </c>
      <c r="BO495" s="223">
        <v>-9999</v>
      </c>
      <c r="BP495" s="223">
        <v>-9999</v>
      </c>
      <c r="BQ495" s="223">
        <v>-9999</v>
      </c>
      <c r="BR495" s="223">
        <v>-9999</v>
      </c>
      <c r="BS495" s="242">
        <v>-9999</v>
      </c>
      <c r="BT495" s="223">
        <v>-9999</v>
      </c>
      <c r="BU495" s="223">
        <v>-9999</v>
      </c>
      <c r="BV495" s="223">
        <v>-9999</v>
      </c>
      <c r="BW495" s="223"/>
      <c r="BX495" s="223">
        <v>-9999</v>
      </c>
      <c r="BY495" s="223">
        <v>-9999</v>
      </c>
      <c r="BZ495" s="223">
        <v>-9999</v>
      </c>
      <c r="CA495" s="332">
        <v>-9999</v>
      </c>
      <c r="CB495" s="247"/>
      <c r="CC495" s="83">
        <v>1</v>
      </c>
      <c r="CD495" s="32">
        <v>5</v>
      </c>
      <c r="CE495" s="292">
        <v>6.1</v>
      </c>
      <c r="CF495" s="292">
        <v>16.100000000000001</v>
      </c>
      <c r="CG495" s="84">
        <v>5</v>
      </c>
    </row>
    <row r="496" spans="1:95" s="23" customFormat="1" x14ac:dyDescent="0.2">
      <c r="A496" s="223" t="s">
        <v>785</v>
      </c>
      <c r="B496" s="223" t="s">
        <v>786</v>
      </c>
      <c r="C496" s="404" t="s">
        <v>1440</v>
      </c>
      <c r="D496" s="223" t="s">
        <v>619</v>
      </c>
      <c r="E496" s="241" t="s">
        <v>1449</v>
      </c>
      <c r="F496" s="241">
        <v>1</v>
      </c>
      <c r="G496" s="223">
        <v>6</v>
      </c>
      <c r="H496" s="242">
        <v>6</v>
      </c>
      <c r="I496" s="223" t="s">
        <v>954</v>
      </c>
      <c r="J496" s="223">
        <v>1977</v>
      </c>
      <c r="K496" s="223" t="s">
        <v>957</v>
      </c>
      <c r="L496" s="223">
        <v>1982</v>
      </c>
      <c r="M496" s="243">
        <v>-9999</v>
      </c>
      <c r="N496" s="223">
        <v>-9999</v>
      </c>
      <c r="O496" s="29"/>
      <c r="P496" s="285">
        <f t="shared" si="31"/>
        <v>39</v>
      </c>
      <c r="Q496" s="223">
        <v>-9999</v>
      </c>
      <c r="R496" s="243"/>
      <c r="S496" s="223"/>
      <c r="T496" s="243">
        <v>6.5</v>
      </c>
      <c r="U496" s="243">
        <v>1.1000000000000001</v>
      </c>
      <c r="V496" s="243"/>
      <c r="W496" s="244">
        <f t="shared" si="32"/>
        <v>8.5</v>
      </c>
      <c r="X496" s="223">
        <v>-9999</v>
      </c>
      <c r="Y496" s="223"/>
      <c r="Z496" s="223" t="s">
        <v>73</v>
      </c>
      <c r="AA496" s="441">
        <v>3086</v>
      </c>
      <c r="AB496" s="243">
        <v>-9999</v>
      </c>
      <c r="AC496" s="223">
        <v>-9999</v>
      </c>
      <c r="AD496" s="223">
        <f t="shared" si="25"/>
        <v>1900</v>
      </c>
      <c r="AE496" s="404" t="s">
        <v>280</v>
      </c>
      <c r="AF496" s="223">
        <v>16</v>
      </c>
      <c r="AG496" s="240" t="s">
        <v>283</v>
      </c>
      <c r="AH496" s="223" t="s">
        <v>623</v>
      </c>
      <c r="AI496" s="223">
        <v>-9999</v>
      </c>
      <c r="AJ496" s="223">
        <v>-9999</v>
      </c>
      <c r="AK496" s="223" t="s">
        <v>631</v>
      </c>
      <c r="AL496" s="223">
        <v>-9999</v>
      </c>
      <c r="AM496" s="223">
        <v>-9999</v>
      </c>
      <c r="AN496" s="223" t="s">
        <v>626</v>
      </c>
      <c r="AO496" s="223" t="s">
        <v>788</v>
      </c>
      <c r="AP496" s="223" t="s">
        <v>789</v>
      </c>
      <c r="AQ496" s="223" t="s">
        <v>626</v>
      </c>
      <c r="AR496" s="223">
        <f t="shared" si="33"/>
        <v>666</v>
      </c>
      <c r="AS496" s="223" t="s">
        <v>723</v>
      </c>
      <c r="AT496" s="223" t="s">
        <v>790</v>
      </c>
      <c r="AU496" s="223">
        <v>0</v>
      </c>
      <c r="AV496" s="223">
        <v>-9999</v>
      </c>
      <c r="AW496" s="223">
        <v>-9999</v>
      </c>
      <c r="AX496" s="223">
        <v>0</v>
      </c>
      <c r="AY496" s="223">
        <v>-9999</v>
      </c>
      <c r="AZ496" s="223" t="s">
        <v>790</v>
      </c>
      <c r="BA496" s="223">
        <v>-9999</v>
      </c>
      <c r="BB496" s="223" t="s">
        <v>626</v>
      </c>
      <c r="BC496" s="223" t="s">
        <v>791</v>
      </c>
      <c r="BD496" s="223" t="s">
        <v>792</v>
      </c>
      <c r="BE496" s="223"/>
      <c r="BF496" s="223">
        <v>-9999</v>
      </c>
      <c r="BG496" s="223">
        <v>-9999</v>
      </c>
      <c r="BH496" s="223">
        <v>-9999</v>
      </c>
      <c r="BI496" s="223">
        <v>-9999</v>
      </c>
      <c r="BJ496" s="223">
        <v>-9999</v>
      </c>
      <c r="BK496" s="223">
        <v>-9999</v>
      </c>
      <c r="BL496" s="223">
        <v>-9999</v>
      </c>
      <c r="BM496" s="223">
        <v>-9999</v>
      </c>
      <c r="BN496" s="223">
        <v>-9999</v>
      </c>
      <c r="BO496" s="223">
        <v>-9999</v>
      </c>
      <c r="BP496" s="223">
        <v>-9999</v>
      </c>
      <c r="BQ496" s="223">
        <v>-9999</v>
      </c>
      <c r="BR496" s="223">
        <v>-9999</v>
      </c>
      <c r="BS496" s="242">
        <v>-9999</v>
      </c>
      <c r="BT496" s="223">
        <v>-9999</v>
      </c>
      <c r="BU496" s="223">
        <v>-9999</v>
      </c>
      <c r="BV496" s="223">
        <v>-9999</v>
      </c>
      <c r="BW496" s="223"/>
      <c r="BX496" s="223">
        <v>-9999</v>
      </c>
      <c r="BY496" s="223">
        <v>-9999</v>
      </c>
      <c r="BZ496" s="223">
        <v>-9999</v>
      </c>
      <c r="CA496" s="332">
        <v>-9999</v>
      </c>
      <c r="CB496" s="247"/>
      <c r="CC496" s="83">
        <v>1</v>
      </c>
      <c r="CD496" s="32">
        <v>6</v>
      </c>
      <c r="CE496" s="292">
        <v>6.5</v>
      </c>
      <c r="CF496" s="292">
        <v>8.5</v>
      </c>
      <c r="CG496" s="84">
        <v>6</v>
      </c>
    </row>
    <row r="497" spans="1:1873" s="23" customFormat="1" x14ac:dyDescent="0.2">
      <c r="A497" s="223" t="s">
        <v>785</v>
      </c>
      <c r="B497" s="223" t="s">
        <v>786</v>
      </c>
      <c r="C497" s="404" t="s">
        <v>1440</v>
      </c>
      <c r="D497" s="223" t="s">
        <v>619</v>
      </c>
      <c r="E497" s="241" t="s">
        <v>1449</v>
      </c>
      <c r="F497" s="241">
        <v>1</v>
      </c>
      <c r="G497" s="223">
        <v>7</v>
      </c>
      <c r="H497" s="242">
        <v>7</v>
      </c>
      <c r="I497" s="223" t="s">
        <v>954</v>
      </c>
      <c r="J497" s="223">
        <v>1977</v>
      </c>
      <c r="K497" s="223" t="s">
        <v>957</v>
      </c>
      <c r="L497" s="223">
        <v>1983</v>
      </c>
      <c r="M497" s="243">
        <v>-9999</v>
      </c>
      <c r="N497" s="223">
        <v>-9999</v>
      </c>
      <c r="O497" s="29"/>
      <c r="P497" s="285">
        <f t="shared" si="31"/>
        <v>51.800000000000004</v>
      </c>
      <c r="Q497" s="223">
        <v>-9999</v>
      </c>
      <c r="R497" s="243"/>
      <c r="S497" s="223"/>
      <c r="T497" s="243">
        <v>7.4</v>
      </c>
      <c r="U497" s="243">
        <v>1.4</v>
      </c>
      <c r="V497" s="243"/>
      <c r="W497" s="244">
        <f t="shared" si="32"/>
        <v>12.800000000000004</v>
      </c>
      <c r="X497" s="223">
        <v>-9999</v>
      </c>
      <c r="Y497" s="223"/>
      <c r="Z497" s="223" t="s">
        <v>73</v>
      </c>
      <c r="AA497" s="441">
        <v>3086</v>
      </c>
      <c r="AB497" s="243">
        <v>-9999</v>
      </c>
      <c r="AC497" s="223">
        <v>-9999</v>
      </c>
      <c r="AD497" s="223">
        <f t="shared" si="25"/>
        <v>1900</v>
      </c>
      <c r="AE497" s="404" t="s">
        <v>280</v>
      </c>
      <c r="AF497" s="223">
        <v>16</v>
      </c>
      <c r="AG497" s="240" t="s">
        <v>283</v>
      </c>
      <c r="AH497" s="223" t="s">
        <v>623</v>
      </c>
      <c r="AI497" s="223">
        <v>-9999</v>
      </c>
      <c r="AJ497" s="223">
        <v>-9999</v>
      </c>
      <c r="AK497" s="223" t="s">
        <v>631</v>
      </c>
      <c r="AL497" s="223">
        <v>-9999</v>
      </c>
      <c r="AM497" s="223">
        <v>-9999</v>
      </c>
      <c r="AN497" s="223" t="s">
        <v>626</v>
      </c>
      <c r="AO497" s="223" t="s">
        <v>788</v>
      </c>
      <c r="AP497" s="223" t="s">
        <v>789</v>
      </c>
      <c r="AQ497" s="223" t="s">
        <v>626</v>
      </c>
      <c r="AR497" s="223">
        <f t="shared" si="33"/>
        <v>776</v>
      </c>
      <c r="AS497" s="223" t="s">
        <v>723</v>
      </c>
      <c r="AT497" s="223" t="s">
        <v>790</v>
      </c>
      <c r="AU497" s="223">
        <v>0</v>
      </c>
      <c r="AV497" s="223">
        <v>-9999</v>
      </c>
      <c r="AW497" s="223">
        <v>-9999</v>
      </c>
      <c r="AX497" s="223">
        <v>0</v>
      </c>
      <c r="AY497" s="223">
        <v>-9999</v>
      </c>
      <c r="AZ497" s="223" t="s">
        <v>790</v>
      </c>
      <c r="BA497" s="223">
        <v>-9999</v>
      </c>
      <c r="BB497" s="223" t="s">
        <v>626</v>
      </c>
      <c r="BC497" s="223" t="s">
        <v>791</v>
      </c>
      <c r="BD497" s="223" t="s">
        <v>792</v>
      </c>
      <c r="BE497" s="223"/>
      <c r="BF497" s="223">
        <v>-9999</v>
      </c>
      <c r="BG497" s="223">
        <v>-9999</v>
      </c>
      <c r="BH497" s="223">
        <v>-9999</v>
      </c>
      <c r="BI497" s="223">
        <v>-9999</v>
      </c>
      <c r="BJ497" s="223">
        <v>-9999</v>
      </c>
      <c r="BK497" s="223">
        <v>-9999</v>
      </c>
      <c r="BL497" s="223">
        <v>-9999</v>
      </c>
      <c r="BM497" s="223">
        <v>-9999</v>
      </c>
      <c r="BN497" s="223">
        <v>-9999</v>
      </c>
      <c r="BO497" s="223">
        <v>-9999</v>
      </c>
      <c r="BP497" s="223">
        <v>-9999</v>
      </c>
      <c r="BQ497" s="223">
        <v>-9999</v>
      </c>
      <c r="BR497" s="223">
        <v>-9999</v>
      </c>
      <c r="BS497" s="242">
        <v>-9999</v>
      </c>
      <c r="BT497" s="223">
        <v>-9999</v>
      </c>
      <c r="BU497" s="223">
        <v>-9999</v>
      </c>
      <c r="BV497" s="223">
        <v>-9999</v>
      </c>
      <c r="BW497" s="223"/>
      <c r="BX497" s="223">
        <v>-9999</v>
      </c>
      <c r="BY497" s="223">
        <v>-9999</v>
      </c>
      <c r="BZ497" s="223">
        <v>-9999</v>
      </c>
      <c r="CA497" s="332">
        <v>-9999</v>
      </c>
      <c r="CB497" s="247"/>
      <c r="CC497" s="83">
        <v>1</v>
      </c>
      <c r="CD497" s="32">
        <v>7</v>
      </c>
      <c r="CE497" s="292">
        <v>7.4</v>
      </c>
      <c r="CF497" s="292">
        <v>12.800000000000004</v>
      </c>
      <c r="CG497" s="84">
        <v>7</v>
      </c>
    </row>
    <row r="498" spans="1:1873" s="23" customFormat="1" x14ac:dyDescent="0.2">
      <c r="A498" s="223" t="s">
        <v>785</v>
      </c>
      <c r="B498" s="223" t="s">
        <v>786</v>
      </c>
      <c r="C498" s="404" t="s">
        <v>1440</v>
      </c>
      <c r="D498" s="223" t="s">
        <v>619</v>
      </c>
      <c r="E498" s="241" t="s">
        <v>1449</v>
      </c>
      <c r="F498" s="241">
        <v>1</v>
      </c>
      <c r="G498" s="223">
        <v>8</v>
      </c>
      <c r="H498" s="242">
        <v>8</v>
      </c>
      <c r="I498" s="223" t="s">
        <v>954</v>
      </c>
      <c r="J498" s="223">
        <v>1977</v>
      </c>
      <c r="K498" s="223" t="s">
        <v>957</v>
      </c>
      <c r="L498" s="223">
        <v>1984</v>
      </c>
      <c r="M498" s="243">
        <v>-9999</v>
      </c>
      <c r="N498" s="223">
        <v>-9999</v>
      </c>
      <c r="O498" s="29"/>
      <c r="P498" s="285">
        <f t="shared" si="31"/>
        <v>60.8</v>
      </c>
      <c r="Q498" s="223">
        <v>-9999</v>
      </c>
      <c r="R498" s="243"/>
      <c r="S498" s="223"/>
      <c r="T498" s="243">
        <v>7.6</v>
      </c>
      <c r="U498" s="243">
        <v>1.4</v>
      </c>
      <c r="V498" s="243"/>
      <c r="W498" s="244">
        <f t="shared" si="32"/>
        <v>8.9999999999999929</v>
      </c>
      <c r="X498" s="223">
        <v>-9999</v>
      </c>
      <c r="Y498" s="223"/>
      <c r="Z498" s="223" t="s">
        <v>73</v>
      </c>
      <c r="AA498" s="441">
        <v>3086</v>
      </c>
      <c r="AB498" s="243">
        <v>-9999</v>
      </c>
      <c r="AC498" s="223">
        <v>-9999</v>
      </c>
      <c r="AD498" s="223">
        <f t="shared" si="25"/>
        <v>1900</v>
      </c>
      <c r="AE498" s="404" t="s">
        <v>280</v>
      </c>
      <c r="AF498" s="223">
        <v>16</v>
      </c>
      <c r="AG498" s="240" t="s">
        <v>283</v>
      </c>
      <c r="AH498" s="223" t="s">
        <v>623</v>
      </c>
      <c r="AI498" s="223">
        <v>-9999</v>
      </c>
      <c r="AJ498" s="223">
        <v>-9999</v>
      </c>
      <c r="AK498" s="223" t="s">
        <v>631</v>
      </c>
      <c r="AL498" s="223">
        <v>-9999</v>
      </c>
      <c r="AM498" s="223">
        <v>-9999</v>
      </c>
      <c r="AN498" s="223" t="s">
        <v>626</v>
      </c>
      <c r="AO498" s="223" t="s">
        <v>788</v>
      </c>
      <c r="AP498" s="223" t="s">
        <v>789</v>
      </c>
      <c r="AQ498" s="223" t="s">
        <v>626</v>
      </c>
      <c r="AR498" s="223">
        <f t="shared" si="33"/>
        <v>886</v>
      </c>
      <c r="AS498" s="223" t="s">
        <v>723</v>
      </c>
      <c r="AT498" s="223" t="s">
        <v>790</v>
      </c>
      <c r="AU498" s="223">
        <v>0</v>
      </c>
      <c r="AV498" s="223">
        <v>-9999</v>
      </c>
      <c r="AW498" s="223">
        <v>-9999</v>
      </c>
      <c r="AX498" s="223">
        <v>0</v>
      </c>
      <c r="AY498" s="223">
        <v>-9999</v>
      </c>
      <c r="AZ498" s="223" t="s">
        <v>790</v>
      </c>
      <c r="BA498" s="223">
        <v>-9999</v>
      </c>
      <c r="BB498" s="223" t="s">
        <v>626</v>
      </c>
      <c r="BC498" s="223" t="s">
        <v>791</v>
      </c>
      <c r="BD498" s="223" t="s">
        <v>792</v>
      </c>
      <c r="BE498" s="223"/>
      <c r="BF498" s="223">
        <v>-9999</v>
      </c>
      <c r="BG498" s="223">
        <v>-9999</v>
      </c>
      <c r="BH498" s="223">
        <v>-9999</v>
      </c>
      <c r="BI498" s="223">
        <v>-9999</v>
      </c>
      <c r="BJ498" s="223">
        <v>-9999</v>
      </c>
      <c r="BK498" s="223">
        <v>-9999</v>
      </c>
      <c r="BL498" s="223">
        <v>-9999</v>
      </c>
      <c r="BM498" s="223">
        <v>-9999</v>
      </c>
      <c r="BN498" s="223">
        <v>-9999</v>
      </c>
      <c r="BO498" s="223">
        <v>-9999</v>
      </c>
      <c r="BP498" s="223">
        <v>-9999</v>
      </c>
      <c r="BQ498" s="223">
        <v>-9999</v>
      </c>
      <c r="BR498" s="223">
        <v>-9999</v>
      </c>
      <c r="BS498" s="242">
        <v>-9999</v>
      </c>
      <c r="BT498" s="223">
        <v>-9999</v>
      </c>
      <c r="BU498" s="223">
        <v>-9999</v>
      </c>
      <c r="BV498" s="223">
        <v>-9999</v>
      </c>
      <c r="BW498" s="223"/>
      <c r="BX498" s="223">
        <v>-9999</v>
      </c>
      <c r="BY498" s="223">
        <v>-9999</v>
      </c>
      <c r="BZ498" s="223">
        <v>-9999</v>
      </c>
      <c r="CA498" s="332">
        <v>-9999</v>
      </c>
      <c r="CB498" s="247"/>
      <c r="CC498" s="83">
        <v>1</v>
      </c>
      <c r="CD498" s="32">
        <v>8</v>
      </c>
      <c r="CE498" s="292">
        <v>7.6</v>
      </c>
      <c r="CF498" s="292">
        <v>8.9999999999999929</v>
      </c>
      <c r="CG498" s="84">
        <v>8</v>
      </c>
    </row>
    <row r="499" spans="1:1873" s="202" customFormat="1" x14ac:dyDescent="0.2">
      <c r="A499" s="404" t="s">
        <v>785</v>
      </c>
      <c r="B499" s="223" t="s">
        <v>786</v>
      </c>
      <c r="C499" s="404" t="s">
        <v>1440</v>
      </c>
      <c r="D499" s="223" t="s">
        <v>619</v>
      </c>
      <c r="E499" s="241" t="s">
        <v>1449</v>
      </c>
      <c r="F499" s="241">
        <v>1</v>
      </c>
      <c r="G499" s="223">
        <v>9</v>
      </c>
      <c r="H499" s="242">
        <v>9</v>
      </c>
      <c r="I499" s="223" t="s">
        <v>954</v>
      </c>
      <c r="J499" s="223">
        <v>1977</v>
      </c>
      <c r="K499" s="223" t="s">
        <v>957</v>
      </c>
      <c r="L499" s="223">
        <v>1985</v>
      </c>
      <c r="M499" s="243">
        <v>-9999</v>
      </c>
      <c r="N499" s="223">
        <v>-9999</v>
      </c>
      <c r="O499" s="29"/>
      <c r="P499" s="285">
        <f t="shared" si="31"/>
        <v>78.3</v>
      </c>
      <c r="Q499" s="223">
        <v>-9999</v>
      </c>
      <c r="R499" s="243"/>
      <c r="S499" s="223"/>
      <c r="T499" s="243">
        <v>8.6999999999999993</v>
      </c>
      <c r="U499" s="243">
        <v>1.4</v>
      </c>
      <c r="V499" s="243"/>
      <c r="W499" s="284">
        <f t="shared" si="32"/>
        <v>17.5</v>
      </c>
      <c r="X499" s="223">
        <v>-9999</v>
      </c>
      <c r="Y499" s="223"/>
      <c r="Z499" s="223" t="s">
        <v>73</v>
      </c>
      <c r="AA499" s="441">
        <v>3086</v>
      </c>
      <c r="AB499" s="243">
        <v>-9999</v>
      </c>
      <c r="AC499" s="223">
        <v>-9999</v>
      </c>
      <c r="AD499" s="223">
        <f t="shared" si="25"/>
        <v>1900</v>
      </c>
      <c r="AE499" s="404" t="s">
        <v>280</v>
      </c>
      <c r="AF499" s="223">
        <v>16</v>
      </c>
      <c r="AG499" s="240" t="s">
        <v>283</v>
      </c>
      <c r="AH499" s="223" t="s">
        <v>623</v>
      </c>
      <c r="AI499" s="223">
        <v>-9999</v>
      </c>
      <c r="AJ499" s="223">
        <v>-9999</v>
      </c>
      <c r="AK499" s="223" t="s">
        <v>631</v>
      </c>
      <c r="AL499" s="223">
        <v>-9999</v>
      </c>
      <c r="AM499" s="223">
        <v>-9999</v>
      </c>
      <c r="AN499" s="223" t="s">
        <v>626</v>
      </c>
      <c r="AO499" s="223" t="s">
        <v>788</v>
      </c>
      <c r="AP499" s="223" t="s">
        <v>789</v>
      </c>
      <c r="AQ499" s="223" t="s">
        <v>626</v>
      </c>
      <c r="AR499" s="223">
        <f t="shared" si="33"/>
        <v>996</v>
      </c>
      <c r="AS499" s="223" t="s">
        <v>723</v>
      </c>
      <c r="AT499" s="223" t="s">
        <v>790</v>
      </c>
      <c r="AU499" s="223">
        <v>0</v>
      </c>
      <c r="AV499" s="223">
        <v>-9999</v>
      </c>
      <c r="AW499" s="223">
        <v>-9999</v>
      </c>
      <c r="AX499" s="223">
        <v>0</v>
      </c>
      <c r="AY499" s="223">
        <v>-9999</v>
      </c>
      <c r="AZ499" s="223" t="s">
        <v>790</v>
      </c>
      <c r="BA499" s="223">
        <v>-9999</v>
      </c>
      <c r="BB499" s="223" t="s">
        <v>626</v>
      </c>
      <c r="BC499" s="223" t="s">
        <v>791</v>
      </c>
      <c r="BD499" s="223" t="s">
        <v>792</v>
      </c>
      <c r="BE499" s="223"/>
      <c r="BF499" s="223">
        <v>-9999</v>
      </c>
      <c r="BG499" s="223">
        <v>-9999</v>
      </c>
      <c r="BH499" s="223">
        <v>-9999</v>
      </c>
      <c r="BI499" s="223">
        <v>-9999</v>
      </c>
      <c r="BJ499" s="223">
        <v>-9999</v>
      </c>
      <c r="BK499" s="223">
        <v>-9999</v>
      </c>
      <c r="BL499" s="223">
        <v>-9999</v>
      </c>
      <c r="BM499" s="223">
        <v>-9999</v>
      </c>
      <c r="BN499" s="223">
        <v>-9999</v>
      </c>
      <c r="BO499" s="223">
        <v>-9999</v>
      </c>
      <c r="BP499" s="223">
        <v>-9999</v>
      </c>
      <c r="BQ499" s="223">
        <v>-9999</v>
      </c>
      <c r="BR499" s="223">
        <v>-9999</v>
      </c>
      <c r="BS499" s="242">
        <v>-9999</v>
      </c>
      <c r="BT499" s="223">
        <v>-9999</v>
      </c>
      <c r="BU499" s="223">
        <v>-9999</v>
      </c>
      <c r="BV499" s="223">
        <v>-9999</v>
      </c>
      <c r="BW499" s="223"/>
      <c r="BX499" s="223">
        <v>-9999</v>
      </c>
      <c r="BY499" s="223">
        <v>-9999</v>
      </c>
      <c r="BZ499" s="223">
        <v>-9999</v>
      </c>
      <c r="CA499" s="332">
        <v>-9999</v>
      </c>
      <c r="CB499" s="247"/>
      <c r="CC499" s="201">
        <v>1</v>
      </c>
      <c r="CD499" s="192">
        <v>9</v>
      </c>
      <c r="CE499" s="394">
        <v>8.6999999999999993</v>
      </c>
      <c r="CF499" s="292">
        <v>17.5</v>
      </c>
      <c r="CG499" s="196">
        <v>9</v>
      </c>
      <c r="CH499" s="438" t="s">
        <v>1757</v>
      </c>
      <c r="CI499" s="23"/>
      <c r="CJ499" s="23"/>
      <c r="CK499" s="23"/>
      <c r="CL499" s="23"/>
      <c r="CM499" s="23"/>
      <c r="CN499" s="23"/>
      <c r="CO499" s="23"/>
      <c r="CP499" s="23"/>
      <c r="CQ499" s="23"/>
      <c r="CR499" s="23"/>
      <c r="CS499" s="23"/>
      <c r="CT499" s="23"/>
      <c r="CU499" s="23"/>
      <c r="CV499" s="23"/>
      <c r="CW499" s="23"/>
      <c r="CX499" s="23"/>
      <c r="CY499" s="23"/>
      <c r="CZ499" s="23"/>
      <c r="DA499" s="23"/>
      <c r="DB499" s="23"/>
      <c r="DC499" s="23"/>
      <c r="DD499" s="23"/>
      <c r="DE499" s="23"/>
      <c r="DF499" s="23"/>
      <c r="DG499" s="23"/>
      <c r="DH499" s="23"/>
      <c r="DI499" s="23"/>
      <c r="DJ499" s="23"/>
      <c r="DK499" s="23"/>
      <c r="DL499" s="23"/>
      <c r="DM499" s="23"/>
      <c r="DN499" s="23"/>
      <c r="DO499" s="23"/>
      <c r="DP499" s="23"/>
      <c r="DQ499" s="23"/>
      <c r="DR499" s="23"/>
      <c r="DS499" s="23"/>
      <c r="DT499" s="23"/>
      <c r="DU499" s="23"/>
      <c r="DV499" s="23"/>
      <c r="DW499" s="23"/>
      <c r="DX499" s="23"/>
      <c r="DY499" s="23"/>
      <c r="DZ499" s="23"/>
      <c r="EA499" s="23"/>
      <c r="EB499" s="23"/>
      <c r="EC499" s="23"/>
      <c r="ED499" s="23"/>
      <c r="EE499" s="23"/>
      <c r="EF499" s="23"/>
      <c r="EG499" s="23"/>
      <c r="EH499" s="23"/>
      <c r="EI499" s="23"/>
      <c r="EJ499" s="23"/>
      <c r="EK499" s="23"/>
      <c r="EL499" s="23"/>
      <c r="EM499" s="23"/>
      <c r="EN499" s="23"/>
      <c r="EO499" s="23"/>
      <c r="EP499" s="23"/>
      <c r="EQ499" s="23"/>
      <c r="ER499" s="23"/>
      <c r="ES499" s="23"/>
      <c r="ET499" s="23"/>
      <c r="EU499" s="23"/>
      <c r="EV499" s="23"/>
      <c r="EW499" s="23"/>
      <c r="EX499" s="23"/>
      <c r="EY499" s="23"/>
      <c r="EZ499" s="23"/>
      <c r="FA499" s="23"/>
      <c r="FB499" s="23"/>
      <c r="FC499" s="23"/>
      <c r="FD499" s="23"/>
      <c r="FE499" s="23"/>
      <c r="FF499" s="23"/>
      <c r="FG499" s="23"/>
      <c r="FH499" s="23"/>
      <c r="FI499" s="23"/>
      <c r="FJ499" s="23"/>
      <c r="FK499" s="23"/>
      <c r="FL499" s="23"/>
      <c r="FM499" s="23"/>
      <c r="FN499" s="23"/>
      <c r="FO499" s="23"/>
      <c r="FP499" s="23"/>
      <c r="FQ499" s="23"/>
      <c r="FR499" s="23"/>
      <c r="FS499" s="23"/>
      <c r="FT499" s="23"/>
      <c r="FU499" s="23"/>
      <c r="FV499" s="23"/>
      <c r="FW499" s="23"/>
      <c r="FX499" s="23"/>
      <c r="FY499" s="23"/>
      <c r="FZ499" s="23"/>
      <c r="GA499" s="23"/>
      <c r="GB499" s="23"/>
      <c r="GC499" s="23"/>
      <c r="GD499" s="23"/>
      <c r="GE499" s="23"/>
      <c r="GF499" s="23"/>
      <c r="GG499" s="23"/>
      <c r="GH499" s="23"/>
      <c r="GI499" s="23"/>
      <c r="GJ499" s="23"/>
      <c r="GK499" s="23"/>
      <c r="GL499" s="23"/>
      <c r="GM499" s="23"/>
      <c r="GN499" s="23"/>
      <c r="GO499" s="23"/>
      <c r="GP499" s="23"/>
      <c r="GQ499" s="23"/>
      <c r="GR499" s="23"/>
      <c r="GS499" s="23"/>
      <c r="GT499" s="23"/>
      <c r="GU499" s="23"/>
      <c r="GV499" s="23"/>
      <c r="GW499" s="23"/>
      <c r="GX499" s="23"/>
      <c r="GY499" s="23"/>
      <c r="GZ499" s="23"/>
      <c r="HA499" s="23"/>
      <c r="HB499" s="23"/>
      <c r="HC499" s="23"/>
      <c r="HD499" s="23"/>
      <c r="HE499" s="23"/>
      <c r="HF499" s="23"/>
      <c r="HG499" s="23"/>
      <c r="HH499" s="23"/>
      <c r="HI499" s="23"/>
      <c r="HJ499" s="23"/>
      <c r="HK499" s="23"/>
      <c r="HL499" s="23"/>
      <c r="HM499" s="23"/>
      <c r="HN499" s="23"/>
      <c r="HO499" s="23"/>
      <c r="HP499" s="23"/>
      <c r="HQ499" s="23"/>
      <c r="HR499" s="23"/>
      <c r="HS499" s="23"/>
      <c r="HT499" s="23"/>
      <c r="HU499" s="23"/>
      <c r="HV499" s="23"/>
      <c r="HW499" s="23"/>
      <c r="HX499" s="23"/>
      <c r="HY499" s="23"/>
      <c r="HZ499" s="23"/>
      <c r="IA499" s="23"/>
      <c r="IB499" s="23"/>
      <c r="IC499" s="23"/>
      <c r="ID499" s="23"/>
      <c r="IE499" s="23"/>
      <c r="IF499" s="23"/>
      <c r="IG499" s="23"/>
      <c r="IH499" s="23"/>
      <c r="II499" s="23"/>
      <c r="IJ499" s="23"/>
      <c r="IK499" s="23"/>
      <c r="IL499" s="23"/>
      <c r="IM499" s="23"/>
      <c r="IN499" s="23"/>
      <c r="IO499" s="23"/>
      <c r="IP499" s="23"/>
      <c r="IQ499" s="23"/>
      <c r="IR499" s="23"/>
      <c r="IS499" s="23"/>
      <c r="IT499" s="23"/>
      <c r="IU499" s="23"/>
      <c r="IV499" s="23"/>
      <c r="IW499" s="23"/>
      <c r="IX499" s="23"/>
      <c r="IY499" s="23"/>
      <c r="IZ499" s="23"/>
      <c r="JA499" s="23"/>
      <c r="JB499" s="23"/>
      <c r="JC499" s="23"/>
      <c r="JD499" s="23"/>
      <c r="JE499" s="23"/>
      <c r="JF499" s="23"/>
      <c r="JG499" s="23"/>
      <c r="JH499" s="23"/>
      <c r="JI499" s="23"/>
      <c r="JJ499" s="23"/>
      <c r="JK499" s="23"/>
      <c r="JL499" s="23"/>
      <c r="JM499" s="23"/>
      <c r="JN499" s="23"/>
      <c r="JO499" s="23"/>
      <c r="JP499" s="23"/>
      <c r="JQ499" s="23"/>
      <c r="JR499" s="23"/>
      <c r="JS499" s="23"/>
      <c r="JT499" s="23"/>
      <c r="JU499" s="23"/>
      <c r="JV499" s="23"/>
      <c r="JW499" s="23"/>
      <c r="JX499" s="23"/>
      <c r="JY499" s="23"/>
      <c r="JZ499" s="23"/>
      <c r="KA499" s="23"/>
      <c r="KB499" s="23"/>
      <c r="KC499" s="23"/>
      <c r="KD499" s="23"/>
      <c r="KE499" s="23"/>
      <c r="KF499" s="23"/>
      <c r="KG499" s="23"/>
      <c r="KH499" s="23"/>
      <c r="KI499" s="23"/>
      <c r="KJ499" s="23"/>
      <c r="KK499" s="23"/>
      <c r="KL499" s="23"/>
      <c r="KM499" s="23"/>
      <c r="KN499" s="23"/>
      <c r="KO499" s="23"/>
      <c r="KP499" s="23"/>
      <c r="KQ499" s="23"/>
      <c r="KR499" s="23"/>
      <c r="KS499" s="23"/>
      <c r="KT499" s="23"/>
      <c r="KU499" s="23"/>
      <c r="KV499" s="23"/>
      <c r="KW499" s="23"/>
      <c r="KX499" s="23"/>
      <c r="KY499" s="23"/>
      <c r="KZ499" s="23"/>
      <c r="LA499" s="23"/>
      <c r="LB499" s="23"/>
      <c r="LC499" s="23"/>
      <c r="LD499" s="23"/>
      <c r="LE499" s="23"/>
      <c r="LF499" s="23"/>
      <c r="LG499" s="23"/>
      <c r="LH499" s="23"/>
      <c r="LI499" s="23"/>
      <c r="LJ499" s="23"/>
      <c r="LK499" s="23"/>
      <c r="LL499" s="23"/>
      <c r="LM499" s="23"/>
      <c r="LN499" s="23"/>
      <c r="LO499" s="23"/>
      <c r="LP499" s="23"/>
      <c r="LQ499" s="23"/>
      <c r="LR499" s="23"/>
      <c r="LS499" s="23"/>
      <c r="LT499" s="23"/>
      <c r="LU499" s="23"/>
      <c r="LV499" s="23"/>
      <c r="LW499" s="23"/>
      <c r="LX499" s="23"/>
      <c r="LY499" s="23"/>
      <c r="LZ499" s="23"/>
      <c r="MA499" s="23"/>
      <c r="MB499" s="23"/>
      <c r="MC499" s="23"/>
      <c r="MD499" s="23"/>
      <c r="ME499" s="23"/>
      <c r="MF499" s="23"/>
      <c r="MG499" s="23"/>
      <c r="MH499" s="23"/>
      <c r="MI499" s="23"/>
      <c r="MJ499" s="23"/>
      <c r="MK499" s="23"/>
      <c r="ML499" s="23"/>
      <c r="MM499" s="23"/>
      <c r="MN499" s="23"/>
      <c r="MO499" s="23"/>
      <c r="MP499" s="23"/>
      <c r="MQ499" s="23"/>
      <c r="MR499" s="23"/>
      <c r="MS499" s="23"/>
      <c r="MT499" s="23"/>
      <c r="MU499" s="23"/>
      <c r="MV499" s="23"/>
      <c r="MW499" s="23"/>
      <c r="MX499" s="23"/>
      <c r="MY499" s="23"/>
      <c r="MZ499" s="23"/>
      <c r="NA499" s="23"/>
      <c r="NB499" s="23"/>
      <c r="NC499" s="23"/>
      <c r="ND499" s="23"/>
      <c r="NE499" s="23"/>
      <c r="NF499" s="23"/>
      <c r="NG499" s="23"/>
      <c r="NH499" s="23"/>
      <c r="NI499" s="23"/>
      <c r="NJ499" s="23"/>
      <c r="NK499" s="23"/>
      <c r="NL499" s="23"/>
      <c r="NM499" s="23"/>
      <c r="NN499" s="23"/>
      <c r="NO499" s="23"/>
      <c r="NP499" s="23"/>
      <c r="NQ499" s="23"/>
      <c r="NR499" s="23"/>
      <c r="NS499" s="23"/>
      <c r="NT499" s="23"/>
      <c r="NU499" s="23"/>
      <c r="NV499" s="23"/>
      <c r="NW499" s="23"/>
      <c r="NX499" s="23"/>
      <c r="NY499" s="23"/>
      <c r="NZ499" s="23"/>
      <c r="OA499" s="23"/>
      <c r="OB499" s="23"/>
      <c r="OC499" s="23"/>
      <c r="OD499" s="23"/>
      <c r="OE499" s="23"/>
      <c r="OF499" s="23"/>
      <c r="OG499" s="23"/>
      <c r="OH499" s="23"/>
      <c r="OI499" s="23"/>
      <c r="OJ499" s="23"/>
      <c r="OK499" s="23"/>
      <c r="OL499" s="23"/>
      <c r="OM499" s="23"/>
      <c r="ON499" s="23"/>
      <c r="OO499" s="23"/>
      <c r="OP499" s="23"/>
      <c r="OQ499" s="23"/>
      <c r="OR499" s="23"/>
      <c r="OS499" s="23"/>
      <c r="OT499" s="23"/>
      <c r="OU499" s="23"/>
      <c r="OV499" s="23"/>
      <c r="OW499" s="23"/>
      <c r="OX499" s="23"/>
      <c r="OY499" s="23"/>
      <c r="OZ499" s="23"/>
      <c r="PA499" s="23"/>
      <c r="PB499" s="23"/>
      <c r="PC499" s="23"/>
      <c r="PD499" s="23"/>
      <c r="PE499" s="23"/>
      <c r="PF499" s="23"/>
      <c r="PG499" s="23"/>
      <c r="PH499" s="23"/>
      <c r="PI499" s="23"/>
      <c r="PJ499" s="23"/>
      <c r="PK499" s="23"/>
      <c r="PL499" s="23"/>
      <c r="PM499" s="23"/>
      <c r="PN499" s="23"/>
      <c r="PO499" s="23"/>
      <c r="PP499" s="23"/>
      <c r="PQ499" s="23"/>
      <c r="PR499" s="23"/>
      <c r="PS499" s="23"/>
      <c r="PT499" s="23"/>
      <c r="PU499" s="23"/>
      <c r="PV499" s="23"/>
      <c r="PW499" s="23"/>
      <c r="PX499" s="23"/>
      <c r="PY499" s="23"/>
      <c r="PZ499" s="23"/>
      <c r="QA499" s="23"/>
      <c r="QB499" s="23"/>
      <c r="QC499" s="23"/>
      <c r="QD499" s="23"/>
      <c r="QE499" s="23"/>
      <c r="QF499" s="23"/>
      <c r="QG499" s="23"/>
      <c r="QH499" s="23"/>
      <c r="QI499" s="23"/>
      <c r="QJ499" s="23"/>
      <c r="QK499" s="23"/>
      <c r="QL499" s="23"/>
      <c r="QM499" s="23"/>
      <c r="QN499" s="23"/>
      <c r="QO499" s="23"/>
      <c r="QP499" s="23"/>
      <c r="QQ499" s="23"/>
      <c r="QR499" s="23"/>
      <c r="QS499" s="23"/>
      <c r="QT499" s="23"/>
      <c r="QU499" s="23"/>
      <c r="QV499" s="23"/>
      <c r="QW499" s="23"/>
      <c r="QX499" s="23"/>
      <c r="QY499" s="23"/>
      <c r="QZ499" s="23"/>
      <c r="RA499" s="23"/>
      <c r="RB499" s="23"/>
      <c r="RC499" s="23"/>
      <c r="RD499" s="23"/>
      <c r="RE499" s="23"/>
      <c r="RF499" s="23"/>
      <c r="RG499" s="23"/>
      <c r="RH499" s="23"/>
      <c r="RI499" s="23"/>
      <c r="RJ499" s="23"/>
      <c r="RK499" s="23"/>
      <c r="RL499" s="23"/>
      <c r="RM499" s="23"/>
      <c r="RN499" s="23"/>
      <c r="RO499" s="23"/>
      <c r="RP499" s="23"/>
      <c r="RQ499" s="23"/>
      <c r="RR499" s="23"/>
      <c r="RS499" s="23"/>
      <c r="RT499" s="23"/>
      <c r="RU499" s="23"/>
      <c r="RV499" s="23"/>
      <c r="RW499" s="23"/>
      <c r="RX499" s="23"/>
      <c r="RY499" s="23"/>
      <c r="RZ499" s="23"/>
      <c r="SA499" s="23"/>
      <c r="SB499" s="23"/>
      <c r="SC499" s="23"/>
      <c r="SD499" s="23"/>
      <c r="SE499" s="23"/>
      <c r="SF499" s="23"/>
      <c r="SG499" s="23"/>
      <c r="SH499" s="23"/>
      <c r="SI499" s="23"/>
      <c r="SJ499" s="23"/>
      <c r="SK499" s="23"/>
      <c r="SL499" s="23"/>
      <c r="SM499" s="23"/>
      <c r="SN499" s="23"/>
      <c r="SO499" s="23"/>
      <c r="SP499" s="23"/>
      <c r="SQ499" s="23"/>
      <c r="SR499" s="23"/>
      <c r="SS499" s="23"/>
      <c r="ST499" s="23"/>
      <c r="SU499" s="23"/>
      <c r="SV499" s="23"/>
      <c r="SW499" s="23"/>
      <c r="SX499" s="23"/>
      <c r="SY499" s="23"/>
      <c r="SZ499" s="23"/>
      <c r="TA499" s="23"/>
      <c r="TB499" s="23"/>
      <c r="TC499" s="23"/>
      <c r="TD499" s="23"/>
      <c r="TE499" s="23"/>
      <c r="TF499" s="23"/>
      <c r="TG499" s="23"/>
      <c r="TH499" s="23"/>
      <c r="TI499" s="23"/>
      <c r="TJ499" s="23"/>
      <c r="TK499" s="23"/>
      <c r="TL499" s="23"/>
      <c r="TM499" s="23"/>
      <c r="TN499" s="23"/>
      <c r="TO499" s="23"/>
      <c r="TP499" s="23"/>
      <c r="TQ499" s="23"/>
      <c r="TR499" s="23"/>
      <c r="TS499" s="23"/>
      <c r="TT499" s="23"/>
      <c r="TU499" s="23"/>
      <c r="TV499" s="23"/>
      <c r="TW499" s="23"/>
      <c r="TX499" s="23"/>
      <c r="TY499" s="23"/>
      <c r="TZ499" s="23"/>
      <c r="UA499" s="23"/>
      <c r="UB499" s="23"/>
      <c r="UC499" s="23"/>
      <c r="UD499" s="23"/>
      <c r="UE499" s="23"/>
      <c r="UF499" s="23"/>
      <c r="UG499" s="23"/>
      <c r="UH499" s="23"/>
      <c r="UI499" s="23"/>
      <c r="UJ499" s="23"/>
      <c r="UK499" s="23"/>
      <c r="UL499" s="23"/>
      <c r="UM499" s="23"/>
      <c r="UN499" s="23"/>
      <c r="UO499" s="23"/>
      <c r="UP499" s="23"/>
      <c r="UQ499" s="23"/>
      <c r="UR499" s="23"/>
      <c r="US499" s="23"/>
      <c r="UT499" s="23"/>
      <c r="UU499" s="23"/>
      <c r="UV499" s="23"/>
      <c r="UW499" s="23"/>
      <c r="UX499" s="23"/>
      <c r="UY499" s="23"/>
      <c r="UZ499" s="23"/>
      <c r="VA499" s="23"/>
      <c r="VB499" s="23"/>
      <c r="VC499" s="23"/>
      <c r="VD499" s="23"/>
      <c r="VE499" s="23"/>
      <c r="VF499" s="23"/>
      <c r="VG499" s="23"/>
      <c r="VH499" s="23"/>
      <c r="VI499" s="23"/>
      <c r="VJ499" s="23"/>
      <c r="VK499" s="23"/>
      <c r="VL499" s="23"/>
      <c r="VM499" s="23"/>
      <c r="VN499" s="23"/>
      <c r="VO499" s="23"/>
      <c r="VP499" s="23"/>
      <c r="VQ499" s="23"/>
      <c r="VR499" s="23"/>
      <c r="VS499" s="23"/>
      <c r="VT499" s="23"/>
      <c r="VU499" s="23"/>
      <c r="VV499" s="23"/>
      <c r="VW499" s="23"/>
      <c r="VX499" s="23"/>
      <c r="VY499" s="23"/>
      <c r="VZ499" s="23"/>
      <c r="WA499" s="23"/>
      <c r="WB499" s="23"/>
      <c r="WC499" s="23"/>
      <c r="WD499" s="23"/>
      <c r="WE499" s="23"/>
      <c r="WF499" s="23"/>
      <c r="WG499" s="23"/>
      <c r="WH499" s="23"/>
      <c r="WI499" s="23"/>
      <c r="WJ499" s="23"/>
      <c r="WK499" s="23"/>
      <c r="WL499" s="23"/>
      <c r="WM499" s="23"/>
      <c r="WN499" s="23"/>
      <c r="WO499" s="23"/>
      <c r="WP499" s="23"/>
      <c r="WQ499" s="23"/>
      <c r="WR499" s="23"/>
      <c r="WS499" s="23"/>
      <c r="WT499" s="23"/>
      <c r="WU499" s="23"/>
      <c r="WV499" s="23"/>
      <c r="WW499" s="23"/>
      <c r="WX499" s="23"/>
      <c r="WY499" s="23"/>
      <c r="WZ499" s="23"/>
      <c r="XA499" s="23"/>
      <c r="XB499" s="23"/>
      <c r="XC499" s="23"/>
      <c r="XD499" s="23"/>
      <c r="XE499" s="23"/>
      <c r="XF499" s="23"/>
      <c r="XG499" s="23"/>
      <c r="XH499" s="23"/>
      <c r="XI499" s="23"/>
      <c r="XJ499" s="23"/>
      <c r="XK499" s="23"/>
      <c r="XL499" s="23"/>
      <c r="XM499" s="23"/>
      <c r="XN499" s="23"/>
      <c r="XO499" s="23"/>
      <c r="XP499" s="23"/>
      <c r="XQ499" s="23"/>
      <c r="XR499" s="23"/>
      <c r="XS499" s="23"/>
      <c r="XT499" s="23"/>
      <c r="XU499" s="23"/>
      <c r="XV499" s="23"/>
      <c r="XW499" s="23"/>
      <c r="XX499" s="23"/>
      <c r="XY499" s="23"/>
      <c r="XZ499" s="23"/>
      <c r="YA499" s="23"/>
      <c r="YB499" s="23"/>
      <c r="YC499" s="23"/>
      <c r="YD499" s="23"/>
      <c r="YE499" s="23"/>
      <c r="YF499" s="23"/>
      <c r="YG499" s="23"/>
      <c r="YH499" s="23"/>
      <c r="YI499" s="23"/>
      <c r="YJ499" s="23"/>
      <c r="YK499" s="23"/>
      <c r="YL499" s="23"/>
      <c r="YM499" s="23"/>
      <c r="YN499" s="23"/>
      <c r="YO499" s="23"/>
      <c r="YP499" s="23"/>
      <c r="YQ499" s="23"/>
      <c r="YR499" s="23"/>
      <c r="YS499" s="23"/>
      <c r="YT499" s="23"/>
      <c r="YU499" s="23"/>
      <c r="YV499" s="23"/>
      <c r="YW499" s="23"/>
      <c r="YX499" s="23"/>
      <c r="YY499" s="23"/>
      <c r="YZ499" s="23"/>
      <c r="ZA499" s="23"/>
      <c r="ZB499" s="23"/>
      <c r="ZC499" s="23"/>
      <c r="ZD499" s="23"/>
      <c r="ZE499" s="23"/>
      <c r="ZF499" s="23"/>
      <c r="ZG499" s="23"/>
      <c r="ZH499" s="23"/>
      <c r="ZI499" s="23"/>
      <c r="ZJ499" s="23"/>
      <c r="ZK499" s="23"/>
      <c r="ZL499" s="23"/>
      <c r="ZM499" s="23"/>
      <c r="ZN499" s="23"/>
      <c r="ZO499" s="23"/>
      <c r="ZP499" s="23"/>
      <c r="ZQ499" s="23"/>
      <c r="ZR499" s="23"/>
      <c r="ZS499" s="23"/>
      <c r="ZT499" s="23"/>
      <c r="ZU499" s="23"/>
      <c r="ZV499" s="23"/>
      <c r="ZW499" s="23"/>
      <c r="ZX499" s="23"/>
      <c r="ZY499" s="23"/>
      <c r="ZZ499" s="23"/>
      <c r="AAA499" s="23"/>
      <c r="AAB499" s="23"/>
      <c r="AAC499" s="23"/>
      <c r="AAD499" s="23"/>
      <c r="AAE499" s="23"/>
      <c r="AAF499" s="23"/>
      <c r="AAG499" s="23"/>
      <c r="AAH499" s="23"/>
      <c r="AAI499" s="23"/>
      <c r="AAJ499" s="23"/>
      <c r="AAK499" s="23"/>
      <c r="AAL499" s="23"/>
      <c r="AAM499" s="23"/>
      <c r="AAN499" s="23"/>
      <c r="AAO499" s="23"/>
      <c r="AAP499" s="23"/>
      <c r="AAQ499" s="23"/>
      <c r="AAR499" s="23"/>
      <c r="AAS499" s="23"/>
      <c r="AAT499" s="23"/>
      <c r="AAU499" s="23"/>
      <c r="AAV499" s="23"/>
      <c r="AAW499" s="23"/>
      <c r="AAX499" s="23"/>
      <c r="AAY499" s="23"/>
      <c r="AAZ499" s="23"/>
      <c r="ABA499" s="23"/>
      <c r="ABB499" s="23"/>
      <c r="ABC499" s="23"/>
      <c r="ABD499" s="23"/>
      <c r="ABE499" s="23"/>
      <c r="ABF499" s="23"/>
      <c r="ABG499" s="23"/>
      <c r="ABH499" s="23"/>
      <c r="ABI499" s="23"/>
      <c r="ABJ499" s="23"/>
      <c r="ABK499" s="23"/>
      <c r="ABL499" s="23"/>
      <c r="ABM499" s="23"/>
      <c r="ABN499" s="23"/>
      <c r="ABO499" s="23"/>
      <c r="ABP499" s="23"/>
      <c r="ABQ499" s="23"/>
      <c r="ABR499" s="23"/>
      <c r="ABS499" s="23"/>
      <c r="ABT499" s="23"/>
      <c r="ABU499" s="23"/>
      <c r="ABV499" s="23"/>
      <c r="ABW499" s="23"/>
      <c r="ABX499" s="23"/>
      <c r="ABY499" s="23"/>
      <c r="ABZ499" s="23"/>
      <c r="ACA499" s="23"/>
      <c r="ACB499" s="23"/>
      <c r="ACC499" s="23"/>
      <c r="ACD499" s="23"/>
      <c r="ACE499" s="23"/>
      <c r="ACF499" s="23"/>
      <c r="ACG499" s="23"/>
      <c r="ACH499" s="23"/>
      <c r="ACI499" s="23"/>
      <c r="ACJ499" s="23"/>
      <c r="ACK499" s="23"/>
      <c r="ACL499" s="23"/>
      <c r="ACM499" s="23"/>
      <c r="ACN499" s="23"/>
      <c r="ACO499" s="23"/>
      <c r="ACP499" s="23"/>
      <c r="ACQ499" s="23"/>
      <c r="ACR499" s="23"/>
      <c r="ACS499" s="23"/>
      <c r="ACT499" s="23"/>
      <c r="ACU499" s="23"/>
      <c r="ACV499" s="23"/>
      <c r="ACW499" s="23"/>
      <c r="ACX499" s="23"/>
      <c r="ACY499" s="23"/>
      <c r="ACZ499" s="23"/>
      <c r="ADA499" s="23"/>
      <c r="ADB499" s="23"/>
      <c r="ADC499" s="23"/>
      <c r="ADD499" s="23"/>
      <c r="ADE499" s="23"/>
      <c r="ADF499" s="23"/>
      <c r="ADG499" s="23"/>
      <c r="ADH499" s="23"/>
      <c r="ADI499" s="23"/>
      <c r="ADJ499" s="23"/>
      <c r="ADK499" s="23"/>
      <c r="ADL499" s="23"/>
      <c r="ADM499" s="23"/>
      <c r="ADN499" s="23"/>
      <c r="ADO499" s="23"/>
      <c r="ADP499" s="23"/>
      <c r="ADQ499" s="23"/>
      <c r="ADR499" s="23"/>
      <c r="ADS499" s="23"/>
      <c r="ADT499" s="23"/>
      <c r="ADU499" s="23"/>
      <c r="ADV499" s="23"/>
      <c r="ADW499" s="23"/>
      <c r="ADX499" s="23"/>
      <c r="ADY499" s="23"/>
      <c r="ADZ499" s="23"/>
      <c r="AEA499" s="23"/>
      <c r="AEB499" s="23"/>
      <c r="AEC499" s="23"/>
      <c r="AED499" s="23"/>
      <c r="AEE499" s="23"/>
      <c r="AEF499" s="23"/>
      <c r="AEG499" s="23"/>
      <c r="AEH499" s="23"/>
      <c r="AEI499" s="23"/>
      <c r="AEJ499" s="23"/>
      <c r="AEK499" s="23"/>
      <c r="AEL499" s="23"/>
      <c r="AEM499" s="23"/>
      <c r="AEN499" s="23"/>
      <c r="AEO499" s="23"/>
      <c r="AEP499" s="23"/>
      <c r="AEQ499" s="23"/>
      <c r="AER499" s="23"/>
      <c r="AES499" s="23"/>
      <c r="AET499" s="23"/>
      <c r="AEU499" s="23"/>
      <c r="AEV499" s="23"/>
      <c r="AEW499" s="23"/>
      <c r="AEX499" s="23"/>
      <c r="AEY499" s="23"/>
      <c r="AEZ499" s="23"/>
      <c r="AFA499" s="23"/>
      <c r="AFB499" s="23"/>
      <c r="AFC499" s="23"/>
      <c r="AFD499" s="23"/>
      <c r="AFE499" s="23"/>
      <c r="AFF499" s="23"/>
      <c r="AFG499" s="23"/>
      <c r="AFH499" s="23"/>
      <c r="AFI499" s="23"/>
      <c r="AFJ499" s="23"/>
      <c r="AFK499" s="23"/>
      <c r="AFL499" s="23"/>
      <c r="AFM499" s="23"/>
      <c r="AFN499" s="23"/>
      <c r="AFO499" s="23"/>
      <c r="AFP499" s="23"/>
      <c r="AFQ499" s="23"/>
      <c r="AFR499" s="23"/>
      <c r="AFS499" s="23"/>
      <c r="AFT499" s="23"/>
      <c r="AFU499" s="23"/>
      <c r="AFV499" s="23"/>
      <c r="AFW499" s="23"/>
      <c r="AFX499" s="23"/>
      <c r="AFY499" s="23"/>
      <c r="AFZ499" s="23"/>
      <c r="AGA499" s="23"/>
      <c r="AGB499" s="23"/>
      <c r="AGC499" s="23"/>
      <c r="AGD499" s="23"/>
      <c r="AGE499" s="23"/>
      <c r="AGF499" s="23"/>
      <c r="AGG499" s="23"/>
      <c r="AGH499" s="23"/>
      <c r="AGI499" s="23"/>
      <c r="AGJ499" s="23"/>
      <c r="AGK499" s="23"/>
      <c r="AGL499" s="23"/>
      <c r="AGM499" s="23"/>
      <c r="AGN499" s="23"/>
      <c r="AGO499" s="23"/>
      <c r="AGP499" s="23"/>
      <c r="AGQ499" s="23"/>
      <c r="AGR499" s="23"/>
      <c r="AGS499" s="23"/>
      <c r="AGT499" s="23"/>
      <c r="AGU499" s="23"/>
      <c r="AGV499" s="23"/>
      <c r="AGW499" s="23"/>
      <c r="AGX499" s="23"/>
      <c r="AGY499" s="23"/>
      <c r="AGZ499" s="23"/>
      <c r="AHA499" s="23"/>
      <c r="AHB499" s="23"/>
      <c r="AHC499" s="23"/>
      <c r="AHD499" s="23"/>
      <c r="AHE499" s="23"/>
      <c r="AHF499" s="23"/>
      <c r="AHG499" s="23"/>
      <c r="AHH499" s="23"/>
      <c r="AHI499" s="23"/>
      <c r="AHJ499" s="23"/>
      <c r="AHK499" s="23"/>
      <c r="AHL499" s="23"/>
      <c r="AHM499" s="23"/>
      <c r="AHN499" s="23"/>
      <c r="AHO499" s="23"/>
      <c r="AHP499" s="23"/>
      <c r="AHQ499" s="23"/>
      <c r="AHR499" s="23"/>
      <c r="AHS499" s="23"/>
      <c r="AHT499" s="23"/>
      <c r="AHU499" s="23"/>
      <c r="AHV499" s="23"/>
      <c r="AHW499" s="23"/>
      <c r="AHX499" s="23"/>
      <c r="AHY499" s="23"/>
      <c r="AHZ499" s="23"/>
      <c r="AIA499" s="23"/>
      <c r="AIB499" s="23"/>
      <c r="AIC499" s="23"/>
      <c r="AID499" s="23"/>
      <c r="AIE499" s="23"/>
      <c r="AIF499" s="23"/>
      <c r="AIG499" s="23"/>
      <c r="AIH499" s="23"/>
      <c r="AII499" s="23"/>
      <c r="AIJ499" s="23"/>
      <c r="AIK499" s="23"/>
      <c r="AIL499" s="23"/>
      <c r="AIM499" s="23"/>
      <c r="AIN499" s="23"/>
      <c r="AIO499" s="23"/>
      <c r="AIP499" s="23"/>
      <c r="AIQ499" s="23"/>
      <c r="AIR499" s="23"/>
      <c r="AIS499" s="23"/>
      <c r="AIT499" s="23"/>
      <c r="AIU499" s="23"/>
      <c r="AIV499" s="23"/>
      <c r="AIW499" s="23"/>
      <c r="AIX499" s="23"/>
      <c r="AIY499" s="23"/>
      <c r="AIZ499" s="23"/>
      <c r="AJA499" s="23"/>
      <c r="AJB499" s="23"/>
      <c r="AJC499" s="23"/>
      <c r="AJD499" s="23"/>
      <c r="AJE499" s="23"/>
      <c r="AJF499" s="23"/>
      <c r="AJG499" s="23"/>
      <c r="AJH499" s="23"/>
      <c r="AJI499" s="23"/>
      <c r="AJJ499" s="23"/>
      <c r="AJK499" s="23"/>
      <c r="AJL499" s="23"/>
      <c r="AJM499" s="23"/>
      <c r="AJN499" s="23"/>
      <c r="AJO499" s="23"/>
      <c r="AJP499" s="23"/>
      <c r="AJQ499" s="23"/>
      <c r="AJR499" s="23"/>
      <c r="AJS499" s="23"/>
      <c r="AJT499" s="23"/>
      <c r="AJU499" s="23"/>
      <c r="AJV499" s="23"/>
      <c r="AJW499" s="23"/>
      <c r="AJX499" s="23"/>
      <c r="AJY499" s="23"/>
      <c r="AJZ499" s="23"/>
      <c r="AKA499" s="23"/>
      <c r="AKB499" s="23"/>
      <c r="AKC499" s="23"/>
      <c r="AKD499" s="23"/>
      <c r="AKE499" s="23"/>
      <c r="AKF499" s="23"/>
      <c r="AKG499" s="23"/>
      <c r="AKH499" s="23"/>
      <c r="AKI499" s="23"/>
      <c r="AKJ499" s="23"/>
      <c r="AKK499" s="23"/>
      <c r="AKL499" s="23"/>
      <c r="AKM499" s="23"/>
      <c r="AKN499" s="23"/>
      <c r="AKO499" s="23"/>
      <c r="AKP499" s="23"/>
      <c r="AKQ499" s="23"/>
      <c r="AKR499" s="23"/>
      <c r="AKS499" s="23"/>
      <c r="AKT499" s="23"/>
      <c r="AKU499" s="23"/>
      <c r="AKV499" s="23"/>
      <c r="AKW499" s="23"/>
      <c r="AKX499" s="23"/>
      <c r="AKY499" s="23"/>
      <c r="AKZ499" s="23"/>
      <c r="ALA499" s="23"/>
      <c r="ALB499" s="23"/>
      <c r="ALC499" s="23"/>
      <c r="ALD499" s="23"/>
      <c r="ALE499" s="23"/>
      <c r="ALF499" s="23"/>
      <c r="ALG499" s="23"/>
      <c r="ALH499" s="23"/>
      <c r="ALI499" s="23"/>
      <c r="ALJ499" s="23"/>
      <c r="ALK499" s="23"/>
      <c r="ALL499" s="23"/>
      <c r="ALM499" s="23"/>
      <c r="ALN499" s="23"/>
      <c r="ALO499" s="23"/>
      <c r="ALP499" s="23"/>
      <c r="ALQ499" s="23"/>
      <c r="ALR499" s="23"/>
      <c r="ALS499" s="23"/>
      <c r="ALT499" s="23"/>
      <c r="ALU499" s="23"/>
      <c r="ALV499" s="23"/>
      <c r="ALW499" s="23"/>
      <c r="ALX499" s="23"/>
      <c r="ALY499" s="23"/>
      <c r="ALZ499" s="23"/>
      <c r="AMA499" s="23"/>
      <c r="AMB499" s="23"/>
      <c r="AMC499" s="23"/>
      <c r="AMD499" s="23"/>
      <c r="AME499" s="23"/>
      <c r="AMF499" s="23"/>
      <c r="AMG499" s="23"/>
      <c r="AMH499" s="23"/>
      <c r="AMI499" s="23"/>
      <c r="AMJ499" s="23"/>
      <c r="AMK499" s="23"/>
      <c r="AML499" s="23"/>
      <c r="AMM499" s="23"/>
      <c r="AMN499" s="23"/>
      <c r="AMO499" s="23"/>
      <c r="AMP499" s="23"/>
      <c r="AMQ499" s="23"/>
      <c r="AMR499" s="23"/>
      <c r="AMS499" s="23"/>
      <c r="AMT499" s="23"/>
      <c r="AMU499" s="23"/>
      <c r="AMV499" s="23"/>
      <c r="AMW499" s="23"/>
      <c r="AMX499" s="23"/>
      <c r="AMY499" s="23"/>
      <c r="AMZ499" s="23"/>
      <c r="ANA499" s="23"/>
      <c r="ANB499" s="23"/>
      <c r="ANC499" s="23"/>
      <c r="AND499" s="23"/>
      <c r="ANE499" s="23"/>
      <c r="ANF499" s="23"/>
      <c r="ANG499" s="23"/>
      <c r="ANH499" s="23"/>
      <c r="ANI499" s="23"/>
      <c r="ANJ499" s="23"/>
      <c r="ANK499" s="23"/>
      <c r="ANL499" s="23"/>
      <c r="ANM499" s="23"/>
      <c r="ANN499" s="23"/>
      <c r="ANO499" s="23"/>
      <c r="ANP499" s="23"/>
      <c r="ANQ499" s="23"/>
      <c r="ANR499" s="23"/>
      <c r="ANS499" s="23"/>
      <c r="ANT499" s="23"/>
      <c r="ANU499" s="23"/>
      <c r="ANV499" s="23"/>
      <c r="ANW499" s="23"/>
      <c r="ANX499" s="23"/>
      <c r="ANY499" s="23"/>
      <c r="ANZ499" s="23"/>
      <c r="AOA499" s="23"/>
      <c r="AOB499" s="23"/>
      <c r="AOC499" s="23"/>
      <c r="AOD499" s="23"/>
      <c r="AOE499" s="23"/>
      <c r="AOF499" s="23"/>
      <c r="AOG499" s="23"/>
      <c r="AOH499" s="23"/>
      <c r="AOI499" s="23"/>
      <c r="AOJ499" s="23"/>
      <c r="AOK499" s="23"/>
      <c r="AOL499" s="23"/>
      <c r="AOM499" s="23"/>
      <c r="AON499" s="23"/>
      <c r="AOO499" s="23"/>
      <c r="AOP499" s="23"/>
      <c r="AOQ499" s="23"/>
      <c r="AOR499" s="23"/>
      <c r="AOS499" s="23"/>
      <c r="AOT499" s="23"/>
      <c r="AOU499" s="23"/>
      <c r="AOV499" s="23"/>
      <c r="AOW499" s="23"/>
      <c r="AOX499" s="23"/>
      <c r="AOY499" s="23"/>
      <c r="AOZ499" s="23"/>
      <c r="APA499" s="23"/>
      <c r="APB499" s="23"/>
      <c r="APC499" s="23"/>
      <c r="APD499" s="23"/>
      <c r="APE499" s="23"/>
      <c r="APF499" s="23"/>
      <c r="APG499" s="23"/>
      <c r="APH499" s="23"/>
      <c r="API499" s="23"/>
      <c r="APJ499" s="23"/>
      <c r="APK499" s="23"/>
      <c r="APL499" s="23"/>
      <c r="APM499" s="23"/>
      <c r="APN499" s="23"/>
      <c r="APO499" s="23"/>
      <c r="APP499" s="23"/>
      <c r="APQ499" s="23"/>
      <c r="APR499" s="23"/>
      <c r="APS499" s="23"/>
      <c r="APT499" s="23"/>
      <c r="APU499" s="23"/>
      <c r="APV499" s="23"/>
      <c r="APW499" s="23"/>
      <c r="APX499" s="23"/>
      <c r="APY499" s="23"/>
      <c r="APZ499" s="23"/>
      <c r="AQA499" s="23"/>
      <c r="AQB499" s="23"/>
      <c r="AQC499" s="23"/>
      <c r="AQD499" s="23"/>
      <c r="AQE499" s="23"/>
      <c r="AQF499" s="23"/>
      <c r="AQG499" s="23"/>
      <c r="AQH499" s="23"/>
      <c r="AQI499" s="23"/>
      <c r="AQJ499" s="23"/>
      <c r="AQK499" s="23"/>
      <c r="AQL499" s="23"/>
      <c r="AQM499" s="23"/>
      <c r="AQN499" s="23"/>
      <c r="AQO499" s="23"/>
      <c r="AQP499" s="23"/>
      <c r="AQQ499" s="23"/>
      <c r="AQR499" s="23"/>
      <c r="AQS499" s="23"/>
      <c r="AQT499" s="23"/>
      <c r="AQU499" s="23"/>
      <c r="AQV499" s="23"/>
      <c r="AQW499" s="23"/>
      <c r="AQX499" s="23"/>
      <c r="AQY499" s="23"/>
      <c r="AQZ499" s="23"/>
      <c r="ARA499" s="23"/>
      <c r="ARB499" s="23"/>
      <c r="ARC499" s="23"/>
      <c r="ARD499" s="23"/>
      <c r="ARE499" s="23"/>
      <c r="ARF499" s="23"/>
      <c r="ARG499" s="23"/>
      <c r="ARH499" s="23"/>
      <c r="ARI499" s="23"/>
      <c r="ARJ499" s="23"/>
      <c r="ARK499" s="23"/>
      <c r="ARL499" s="23"/>
      <c r="ARM499" s="23"/>
      <c r="ARN499" s="23"/>
      <c r="ARO499" s="23"/>
      <c r="ARP499" s="23"/>
      <c r="ARQ499" s="23"/>
      <c r="ARR499" s="23"/>
      <c r="ARS499" s="23"/>
      <c r="ART499" s="23"/>
      <c r="ARU499" s="23"/>
      <c r="ARV499" s="23"/>
      <c r="ARW499" s="23"/>
      <c r="ARX499" s="23"/>
      <c r="ARY499" s="23"/>
      <c r="ARZ499" s="23"/>
      <c r="ASA499" s="23"/>
      <c r="ASB499" s="23"/>
      <c r="ASC499" s="23"/>
      <c r="ASD499" s="23"/>
      <c r="ASE499" s="23"/>
      <c r="ASF499" s="23"/>
      <c r="ASG499" s="23"/>
      <c r="ASH499" s="23"/>
      <c r="ASI499" s="23"/>
      <c r="ASJ499" s="23"/>
      <c r="ASK499" s="23"/>
      <c r="ASL499" s="23"/>
      <c r="ASM499" s="23"/>
      <c r="ASN499" s="23"/>
      <c r="ASO499" s="23"/>
      <c r="ASP499" s="23"/>
      <c r="ASQ499" s="23"/>
      <c r="ASR499" s="23"/>
      <c r="ASS499" s="23"/>
      <c r="AST499" s="23"/>
      <c r="ASU499" s="23"/>
      <c r="ASV499" s="23"/>
      <c r="ASW499" s="23"/>
      <c r="ASX499" s="23"/>
      <c r="ASY499" s="23"/>
      <c r="ASZ499" s="23"/>
      <c r="ATA499" s="23"/>
      <c r="ATB499" s="23"/>
      <c r="ATC499" s="23"/>
      <c r="ATD499" s="23"/>
      <c r="ATE499" s="23"/>
      <c r="ATF499" s="23"/>
      <c r="ATG499" s="23"/>
      <c r="ATH499" s="23"/>
      <c r="ATI499" s="23"/>
      <c r="ATJ499" s="23"/>
      <c r="ATK499" s="23"/>
      <c r="ATL499" s="23"/>
      <c r="ATM499" s="23"/>
      <c r="ATN499" s="23"/>
      <c r="ATO499" s="23"/>
      <c r="ATP499" s="23"/>
      <c r="ATQ499" s="23"/>
      <c r="ATR499" s="23"/>
      <c r="ATS499" s="23"/>
      <c r="ATT499" s="23"/>
      <c r="ATU499" s="23"/>
      <c r="ATV499" s="23"/>
      <c r="ATW499" s="23"/>
      <c r="ATX499" s="23"/>
      <c r="ATY499" s="23"/>
      <c r="ATZ499" s="23"/>
      <c r="AUA499" s="23"/>
      <c r="AUB499" s="23"/>
      <c r="AUC499" s="23"/>
      <c r="AUD499" s="23"/>
      <c r="AUE499" s="23"/>
      <c r="AUF499" s="23"/>
      <c r="AUG499" s="23"/>
      <c r="AUH499" s="23"/>
      <c r="AUI499" s="23"/>
      <c r="AUJ499" s="23"/>
      <c r="AUK499" s="23"/>
      <c r="AUL499" s="23"/>
      <c r="AUM499" s="23"/>
      <c r="AUN499" s="23"/>
      <c r="AUO499" s="23"/>
      <c r="AUP499" s="23"/>
      <c r="AUQ499" s="23"/>
      <c r="AUR499" s="23"/>
      <c r="AUS499" s="23"/>
      <c r="AUT499" s="23"/>
      <c r="AUU499" s="23"/>
      <c r="AUV499" s="23"/>
      <c r="AUW499" s="23"/>
      <c r="AUX499" s="23"/>
      <c r="AUY499" s="23"/>
      <c r="AUZ499" s="23"/>
      <c r="AVA499" s="23"/>
      <c r="AVB499" s="23"/>
      <c r="AVC499" s="23"/>
      <c r="AVD499" s="23"/>
      <c r="AVE499" s="23"/>
      <c r="AVF499" s="23"/>
      <c r="AVG499" s="23"/>
      <c r="AVH499" s="23"/>
      <c r="AVI499" s="23"/>
      <c r="AVJ499" s="23"/>
      <c r="AVK499" s="23"/>
      <c r="AVL499" s="23"/>
      <c r="AVM499" s="23"/>
      <c r="AVN499" s="23"/>
      <c r="AVO499" s="23"/>
      <c r="AVP499" s="23"/>
      <c r="AVQ499" s="23"/>
      <c r="AVR499" s="23"/>
      <c r="AVS499" s="23"/>
      <c r="AVT499" s="23"/>
      <c r="AVU499" s="23"/>
      <c r="AVV499" s="23"/>
      <c r="AVW499" s="23"/>
      <c r="AVX499" s="23"/>
      <c r="AVY499" s="23"/>
      <c r="AVZ499" s="23"/>
      <c r="AWA499" s="23"/>
      <c r="AWB499" s="23"/>
      <c r="AWC499" s="23"/>
      <c r="AWD499" s="23"/>
      <c r="AWE499" s="23"/>
      <c r="AWF499" s="23"/>
      <c r="AWG499" s="23"/>
      <c r="AWH499" s="23"/>
      <c r="AWI499" s="23"/>
      <c r="AWJ499" s="23"/>
      <c r="AWK499" s="23"/>
      <c r="AWL499" s="23"/>
      <c r="AWM499" s="23"/>
      <c r="AWN499" s="23"/>
      <c r="AWO499" s="23"/>
      <c r="AWP499" s="23"/>
      <c r="AWQ499" s="23"/>
      <c r="AWR499" s="23"/>
      <c r="AWS499" s="23"/>
      <c r="AWT499" s="23"/>
      <c r="AWU499" s="23"/>
      <c r="AWV499" s="23"/>
      <c r="AWW499" s="23"/>
      <c r="AWX499" s="23"/>
      <c r="AWY499" s="23"/>
      <c r="AWZ499" s="23"/>
      <c r="AXA499" s="23"/>
      <c r="AXB499" s="23"/>
      <c r="AXC499" s="23"/>
      <c r="AXD499" s="23"/>
      <c r="AXE499" s="23"/>
      <c r="AXF499" s="23"/>
      <c r="AXG499" s="23"/>
      <c r="AXH499" s="23"/>
      <c r="AXI499" s="23"/>
      <c r="AXJ499" s="23"/>
      <c r="AXK499" s="23"/>
      <c r="AXL499" s="23"/>
      <c r="AXM499" s="23"/>
      <c r="AXN499" s="23"/>
      <c r="AXO499" s="23"/>
      <c r="AXP499" s="23"/>
      <c r="AXQ499" s="23"/>
      <c r="AXR499" s="23"/>
      <c r="AXS499" s="23"/>
      <c r="AXT499" s="23"/>
      <c r="AXU499" s="23"/>
      <c r="AXV499" s="23"/>
      <c r="AXW499" s="23"/>
      <c r="AXX499" s="23"/>
      <c r="AXY499" s="23"/>
      <c r="AXZ499" s="23"/>
      <c r="AYA499" s="23"/>
      <c r="AYB499" s="23"/>
      <c r="AYC499" s="23"/>
      <c r="AYD499" s="23"/>
      <c r="AYE499" s="23"/>
      <c r="AYF499" s="23"/>
      <c r="AYG499" s="23"/>
      <c r="AYH499" s="23"/>
      <c r="AYI499" s="23"/>
      <c r="AYJ499" s="23"/>
      <c r="AYK499" s="23"/>
      <c r="AYL499" s="23"/>
      <c r="AYM499" s="23"/>
      <c r="AYN499" s="23"/>
      <c r="AYO499" s="23"/>
      <c r="AYP499" s="23"/>
      <c r="AYQ499" s="23"/>
      <c r="AYR499" s="23"/>
      <c r="AYS499" s="23"/>
      <c r="AYT499" s="23"/>
      <c r="AYU499" s="23"/>
      <c r="AYV499" s="23"/>
      <c r="AYW499" s="23"/>
      <c r="AYX499" s="23"/>
      <c r="AYY499" s="23"/>
      <c r="AYZ499" s="23"/>
      <c r="AZA499" s="23"/>
      <c r="AZB499" s="23"/>
      <c r="AZC499" s="23"/>
      <c r="AZD499" s="23"/>
      <c r="AZE499" s="23"/>
      <c r="AZF499" s="23"/>
      <c r="AZG499" s="23"/>
      <c r="AZH499" s="23"/>
      <c r="AZI499" s="23"/>
      <c r="AZJ499" s="23"/>
      <c r="AZK499" s="23"/>
      <c r="AZL499" s="23"/>
      <c r="AZM499" s="23"/>
      <c r="AZN499" s="23"/>
      <c r="AZO499" s="23"/>
      <c r="AZP499" s="23"/>
      <c r="AZQ499" s="23"/>
      <c r="AZR499" s="23"/>
      <c r="AZS499" s="23"/>
      <c r="AZT499" s="23"/>
      <c r="AZU499" s="23"/>
      <c r="AZV499" s="23"/>
      <c r="AZW499" s="23"/>
      <c r="AZX499" s="23"/>
      <c r="AZY499" s="23"/>
      <c r="AZZ499" s="23"/>
      <c r="BAA499" s="23"/>
      <c r="BAB499" s="23"/>
      <c r="BAC499" s="23"/>
      <c r="BAD499" s="23"/>
      <c r="BAE499" s="23"/>
      <c r="BAF499" s="23"/>
      <c r="BAG499" s="23"/>
      <c r="BAH499" s="23"/>
      <c r="BAI499" s="23"/>
      <c r="BAJ499" s="23"/>
      <c r="BAK499" s="23"/>
      <c r="BAL499" s="23"/>
      <c r="BAM499" s="23"/>
      <c r="BAN499" s="23"/>
      <c r="BAO499" s="23"/>
      <c r="BAP499" s="23"/>
      <c r="BAQ499" s="23"/>
      <c r="BAR499" s="23"/>
      <c r="BAS499" s="23"/>
      <c r="BAT499" s="23"/>
      <c r="BAU499" s="23"/>
      <c r="BAV499" s="23"/>
      <c r="BAW499" s="23"/>
      <c r="BAX499" s="23"/>
      <c r="BAY499" s="23"/>
      <c r="BAZ499" s="23"/>
      <c r="BBA499" s="23"/>
      <c r="BBB499" s="23"/>
      <c r="BBC499" s="23"/>
      <c r="BBD499" s="23"/>
      <c r="BBE499" s="23"/>
      <c r="BBF499" s="23"/>
      <c r="BBG499" s="23"/>
      <c r="BBH499" s="23"/>
      <c r="BBI499" s="23"/>
      <c r="BBJ499" s="23"/>
      <c r="BBK499" s="23"/>
      <c r="BBL499" s="23"/>
      <c r="BBM499" s="23"/>
      <c r="BBN499" s="23"/>
      <c r="BBO499" s="23"/>
      <c r="BBP499" s="23"/>
      <c r="BBQ499" s="23"/>
      <c r="BBR499" s="23"/>
      <c r="BBS499" s="23"/>
      <c r="BBT499" s="23"/>
      <c r="BBU499" s="23"/>
      <c r="BBV499" s="23"/>
      <c r="BBW499" s="23"/>
      <c r="BBX499" s="23"/>
      <c r="BBY499" s="23"/>
      <c r="BBZ499" s="23"/>
      <c r="BCA499" s="23"/>
      <c r="BCB499" s="23"/>
      <c r="BCC499" s="23"/>
      <c r="BCD499" s="23"/>
      <c r="BCE499" s="23"/>
      <c r="BCF499" s="23"/>
      <c r="BCG499" s="23"/>
      <c r="BCH499" s="23"/>
      <c r="BCI499" s="23"/>
      <c r="BCJ499" s="23"/>
      <c r="BCK499" s="23"/>
      <c r="BCL499" s="23"/>
      <c r="BCM499" s="23"/>
      <c r="BCN499" s="23"/>
      <c r="BCO499" s="23"/>
      <c r="BCP499" s="23"/>
      <c r="BCQ499" s="23"/>
      <c r="BCR499" s="23"/>
      <c r="BCS499" s="23"/>
      <c r="BCT499" s="23"/>
      <c r="BCU499" s="23"/>
      <c r="BCV499" s="23"/>
      <c r="BCW499" s="23"/>
      <c r="BCX499" s="23"/>
      <c r="BCY499" s="23"/>
      <c r="BCZ499" s="23"/>
      <c r="BDA499" s="23"/>
      <c r="BDB499" s="23"/>
      <c r="BDC499" s="23"/>
      <c r="BDD499" s="23"/>
      <c r="BDE499" s="23"/>
      <c r="BDF499" s="23"/>
      <c r="BDG499" s="23"/>
      <c r="BDH499" s="23"/>
      <c r="BDI499" s="23"/>
      <c r="BDJ499" s="23"/>
      <c r="BDK499" s="23"/>
      <c r="BDL499" s="23"/>
      <c r="BDM499" s="23"/>
      <c r="BDN499" s="23"/>
      <c r="BDO499" s="23"/>
      <c r="BDP499" s="23"/>
      <c r="BDQ499" s="23"/>
      <c r="BDR499" s="23"/>
      <c r="BDS499" s="23"/>
      <c r="BDT499" s="23"/>
      <c r="BDU499" s="23"/>
      <c r="BDV499" s="23"/>
      <c r="BDW499" s="23"/>
      <c r="BDX499" s="23"/>
      <c r="BDY499" s="23"/>
      <c r="BDZ499" s="23"/>
      <c r="BEA499" s="23"/>
      <c r="BEB499" s="23"/>
      <c r="BEC499" s="23"/>
      <c r="BED499" s="23"/>
      <c r="BEE499" s="23"/>
      <c r="BEF499" s="23"/>
      <c r="BEG499" s="23"/>
      <c r="BEH499" s="23"/>
      <c r="BEI499" s="23"/>
      <c r="BEJ499" s="23"/>
      <c r="BEK499" s="23"/>
      <c r="BEL499" s="23"/>
      <c r="BEM499" s="23"/>
      <c r="BEN499" s="23"/>
      <c r="BEO499" s="23"/>
      <c r="BEP499" s="23"/>
      <c r="BEQ499" s="23"/>
      <c r="BER499" s="23"/>
      <c r="BES499" s="23"/>
      <c r="BET499" s="23"/>
      <c r="BEU499" s="23"/>
      <c r="BEV499" s="23"/>
      <c r="BEW499" s="23"/>
      <c r="BEX499" s="23"/>
      <c r="BEY499" s="23"/>
      <c r="BEZ499" s="23"/>
      <c r="BFA499" s="23"/>
      <c r="BFB499" s="23"/>
      <c r="BFC499" s="23"/>
      <c r="BFD499" s="23"/>
      <c r="BFE499" s="23"/>
      <c r="BFF499" s="23"/>
      <c r="BFG499" s="23"/>
      <c r="BFH499" s="23"/>
      <c r="BFI499" s="23"/>
      <c r="BFJ499" s="23"/>
      <c r="BFK499" s="23"/>
      <c r="BFL499" s="23"/>
      <c r="BFM499" s="23"/>
      <c r="BFN499" s="23"/>
      <c r="BFO499" s="23"/>
      <c r="BFP499" s="23"/>
      <c r="BFQ499" s="23"/>
      <c r="BFR499" s="23"/>
      <c r="BFS499" s="23"/>
      <c r="BFT499" s="23"/>
      <c r="BFU499" s="23"/>
      <c r="BFV499" s="23"/>
      <c r="BFW499" s="23"/>
      <c r="BFX499" s="23"/>
      <c r="BFY499" s="23"/>
      <c r="BFZ499" s="23"/>
      <c r="BGA499" s="23"/>
      <c r="BGB499" s="23"/>
      <c r="BGC499" s="23"/>
      <c r="BGD499" s="23"/>
      <c r="BGE499" s="23"/>
      <c r="BGF499" s="23"/>
      <c r="BGG499" s="23"/>
      <c r="BGH499" s="23"/>
      <c r="BGI499" s="23"/>
      <c r="BGJ499" s="23"/>
      <c r="BGK499" s="23"/>
      <c r="BGL499" s="23"/>
      <c r="BGM499" s="23"/>
      <c r="BGN499" s="23"/>
      <c r="BGO499" s="23"/>
      <c r="BGP499" s="23"/>
      <c r="BGQ499" s="23"/>
      <c r="BGR499" s="23"/>
      <c r="BGS499" s="23"/>
      <c r="BGT499" s="23"/>
      <c r="BGU499" s="23"/>
      <c r="BGV499" s="23"/>
      <c r="BGW499" s="23"/>
      <c r="BGX499" s="23"/>
      <c r="BGY499" s="23"/>
      <c r="BGZ499" s="23"/>
      <c r="BHA499" s="23"/>
      <c r="BHB499" s="23"/>
      <c r="BHC499" s="23"/>
      <c r="BHD499" s="23"/>
      <c r="BHE499" s="23"/>
      <c r="BHF499" s="23"/>
      <c r="BHG499" s="23"/>
      <c r="BHH499" s="23"/>
      <c r="BHI499" s="23"/>
      <c r="BHJ499" s="23"/>
      <c r="BHK499" s="23"/>
      <c r="BHL499" s="23"/>
      <c r="BHM499" s="23"/>
      <c r="BHN499" s="23"/>
      <c r="BHO499" s="23"/>
      <c r="BHP499" s="23"/>
      <c r="BHQ499" s="23"/>
      <c r="BHR499" s="23"/>
      <c r="BHS499" s="23"/>
      <c r="BHT499" s="23"/>
      <c r="BHU499" s="23"/>
      <c r="BHV499" s="23"/>
      <c r="BHW499" s="23"/>
      <c r="BHX499" s="23"/>
      <c r="BHY499" s="23"/>
      <c r="BHZ499" s="23"/>
      <c r="BIA499" s="23"/>
      <c r="BIB499" s="23"/>
      <c r="BIC499" s="23"/>
      <c r="BID499" s="23"/>
      <c r="BIE499" s="23"/>
      <c r="BIF499" s="23"/>
      <c r="BIG499" s="23"/>
      <c r="BIH499" s="23"/>
      <c r="BII499" s="23"/>
      <c r="BIJ499" s="23"/>
      <c r="BIK499" s="23"/>
      <c r="BIL499" s="23"/>
      <c r="BIM499" s="23"/>
      <c r="BIN499" s="23"/>
      <c r="BIO499" s="23"/>
      <c r="BIP499" s="23"/>
      <c r="BIQ499" s="23"/>
      <c r="BIR499" s="23"/>
      <c r="BIS499" s="23"/>
      <c r="BIT499" s="23"/>
      <c r="BIU499" s="23"/>
      <c r="BIV499" s="23"/>
      <c r="BIW499" s="23"/>
      <c r="BIX499" s="23"/>
      <c r="BIY499" s="23"/>
      <c r="BIZ499" s="23"/>
      <c r="BJA499" s="23"/>
      <c r="BJB499" s="23"/>
      <c r="BJC499" s="23"/>
      <c r="BJD499" s="23"/>
      <c r="BJE499" s="23"/>
      <c r="BJF499" s="23"/>
      <c r="BJG499" s="23"/>
      <c r="BJH499" s="23"/>
      <c r="BJI499" s="23"/>
      <c r="BJJ499" s="23"/>
      <c r="BJK499" s="23"/>
      <c r="BJL499" s="23"/>
      <c r="BJM499" s="23"/>
      <c r="BJN499" s="23"/>
      <c r="BJO499" s="23"/>
      <c r="BJP499" s="23"/>
      <c r="BJQ499" s="23"/>
      <c r="BJR499" s="23"/>
      <c r="BJS499" s="23"/>
      <c r="BJT499" s="23"/>
      <c r="BJU499" s="23"/>
      <c r="BJV499" s="23"/>
      <c r="BJW499" s="23"/>
      <c r="BJX499" s="23"/>
      <c r="BJY499" s="23"/>
      <c r="BJZ499" s="23"/>
      <c r="BKA499" s="23"/>
      <c r="BKB499" s="23"/>
      <c r="BKC499" s="23"/>
      <c r="BKD499" s="23"/>
      <c r="BKE499" s="23"/>
      <c r="BKF499" s="23"/>
      <c r="BKG499" s="23"/>
      <c r="BKH499" s="23"/>
      <c r="BKI499" s="23"/>
      <c r="BKJ499" s="23"/>
      <c r="BKK499" s="23"/>
      <c r="BKL499" s="23"/>
      <c r="BKM499" s="23"/>
      <c r="BKN499" s="23"/>
      <c r="BKO499" s="23"/>
      <c r="BKP499" s="23"/>
      <c r="BKQ499" s="23"/>
      <c r="BKR499" s="23"/>
      <c r="BKS499" s="23"/>
      <c r="BKT499" s="23"/>
      <c r="BKU499" s="23"/>
      <c r="BKV499" s="23"/>
      <c r="BKW499" s="23"/>
      <c r="BKX499" s="23"/>
      <c r="BKY499" s="23"/>
      <c r="BKZ499" s="23"/>
      <c r="BLA499" s="23"/>
      <c r="BLB499" s="23"/>
      <c r="BLC499" s="23"/>
      <c r="BLD499" s="23"/>
      <c r="BLE499" s="23"/>
      <c r="BLF499" s="23"/>
      <c r="BLG499" s="23"/>
      <c r="BLH499" s="23"/>
      <c r="BLI499" s="23"/>
      <c r="BLJ499" s="23"/>
      <c r="BLK499" s="23"/>
      <c r="BLL499" s="23"/>
      <c r="BLM499" s="23"/>
      <c r="BLN499" s="23"/>
      <c r="BLO499" s="23"/>
      <c r="BLP499" s="23"/>
      <c r="BLQ499" s="23"/>
      <c r="BLR499" s="23"/>
      <c r="BLS499" s="23"/>
      <c r="BLT499" s="23"/>
      <c r="BLU499" s="23"/>
      <c r="BLV499" s="23"/>
      <c r="BLW499" s="23"/>
      <c r="BLX499" s="23"/>
      <c r="BLY499" s="23"/>
      <c r="BLZ499" s="23"/>
      <c r="BMA499" s="23"/>
      <c r="BMB499" s="23"/>
      <c r="BMC499" s="23"/>
      <c r="BMD499" s="23"/>
      <c r="BME499" s="23"/>
      <c r="BMF499" s="23"/>
      <c r="BMG499" s="23"/>
      <c r="BMH499" s="23"/>
      <c r="BMI499" s="23"/>
      <c r="BMJ499" s="23"/>
      <c r="BMK499" s="23"/>
      <c r="BML499" s="23"/>
      <c r="BMM499" s="23"/>
      <c r="BMN499" s="23"/>
      <c r="BMO499" s="23"/>
      <c r="BMP499" s="23"/>
      <c r="BMQ499" s="23"/>
      <c r="BMR499" s="23"/>
      <c r="BMS499" s="23"/>
      <c r="BMT499" s="23"/>
      <c r="BMU499" s="23"/>
      <c r="BMV499" s="23"/>
      <c r="BMW499" s="23"/>
      <c r="BMX499" s="23"/>
      <c r="BMY499" s="23"/>
      <c r="BMZ499" s="23"/>
      <c r="BNA499" s="23"/>
      <c r="BNB499" s="23"/>
      <c r="BNC499" s="23"/>
      <c r="BND499" s="23"/>
      <c r="BNE499" s="23"/>
      <c r="BNF499" s="23"/>
      <c r="BNG499" s="23"/>
      <c r="BNH499" s="23"/>
      <c r="BNI499" s="23"/>
      <c r="BNJ499" s="23"/>
      <c r="BNK499" s="23"/>
      <c r="BNL499" s="23"/>
      <c r="BNM499" s="23"/>
      <c r="BNN499" s="23"/>
      <c r="BNO499" s="23"/>
      <c r="BNP499" s="23"/>
      <c r="BNQ499" s="23"/>
      <c r="BNR499" s="23"/>
      <c r="BNS499" s="23"/>
      <c r="BNT499" s="23"/>
      <c r="BNU499" s="23"/>
      <c r="BNV499" s="23"/>
      <c r="BNW499" s="23"/>
      <c r="BNX499" s="23"/>
      <c r="BNY499" s="23"/>
      <c r="BNZ499" s="23"/>
      <c r="BOA499" s="23"/>
      <c r="BOB499" s="23"/>
      <c r="BOC499" s="23"/>
      <c r="BOD499" s="23"/>
      <c r="BOE499" s="23"/>
      <c r="BOF499" s="23"/>
      <c r="BOG499" s="23"/>
      <c r="BOH499" s="23"/>
      <c r="BOI499" s="23"/>
      <c r="BOJ499" s="23"/>
      <c r="BOK499" s="23"/>
      <c r="BOL499" s="23"/>
      <c r="BOM499" s="23"/>
      <c r="BON499" s="23"/>
      <c r="BOO499" s="23"/>
      <c r="BOP499" s="23"/>
      <c r="BOQ499" s="23"/>
      <c r="BOR499" s="23"/>
      <c r="BOS499" s="23"/>
      <c r="BOT499" s="23"/>
      <c r="BOU499" s="23"/>
      <c r="BOV499" s="23"/>
      <c r="BOW499" s="23"/>
      <c r="BOX499" s="23"/>
      <c r="BOY499" s="23"/>
      <c r="BOZ499" s="23"/>
      <c r="BPA499" s="23"/>
      <c r="BPB499" s="23"/>
      <c r="BPC499" s="23"/>
      <c r="BPD499" s="23"/>
      <c r="BPE499" s="23"/>
      <c r="BPF499" s="23"/>
      <c r="BPG499" s="23"/>
      <c r="BPH499" s="23"/>
      <c r="BPI499" s="23"/>
      <c r="BPJ499" s="23"/>
      <c r="BPK499" s="23"/>
      <c r="BPL499" s="23"/>
      <c r="BPM499" s="23"/>
      <c r="BPN499" s="23"/>
      <c r="BPO499" s="23"/>
      <c r="BPP499" s="23"/>
      <c r="BPQ499" s="23"/>
      <c r="BPR499" s="23"/>
      <c r="BPS499" s="23"/>
      <c r="BPT499" s="23"/>
      <c r="BPU499" s="23"/>
      <c r="BPV499" s="23"/>
      <c r="BPW499" s="23"/>
      <c r="BPX499" s="23"/>
      <c r="BPY499" s="23"/>
      <c r="BPZ499" s="23"/>
      <c r="BQA499" s="23"/>
      <c r="BQB499" s="23"/>
      <c r="BQC499" s="23"/>
      <c r="BQD499" s="23"/>
      <c r="BQE499" s="23"/>
      <c r="BQF499" s="23"/>
      <c r="BQG499" s="23"/>
      <c r="BQH499" s="23"/>
      <c r="BQI499" s="23"/>
      <c r="BQJ499" s="23"/>
      <c r="BQK499" s="23"/>
      <c r="BQL499" s="23"/>
      <c r="BQM499" s="23"/>
      <c r="BQN499" s="23"/>
      <c r="BQO499" s="23"/>
      <c r="BQP499" s="23"/>
      <c r="BQQ499" s="23"/>
      <c r="BQR499" s="23"/>
      <c r="BQS499" s="23"/>
      <c r="BQT499" s="23"/>
      <c r="BQU499" s="23"/>
      <c r="BQV499" s="23"/>
      <c r="BQW499" s="23"/>
      <c r="BQX499" s="23"/>
      <c r="BQY499" s="23"/>
      <c r="BQZ499" s="23"/>
      <c r="BRA499" s="23"/>
      <c r="BRB499" s="23"/>
      <c r="BRC499" s="23"/>
      <c r="BRD499" s="23"/>
      <c r="BRE499" s="23"/>
      <c r="BRF499" s="23"/>
      <c r="BRG499" s="23"/>
      <c r="BRH499" s="23"/>
      <c r="BRI499" s="23"/>
      <c r="BRJ499" s="23"/>
      <c r="BRK499" s="23"/>
      <c r="BRL499" s="23"/>
      <c r="BRM499" s="23"/>
      <c r="BRN499" s="23"/>
      <c r="BRO499" s="23"/>
      <c r="BRP499" s="23"/>
      <c r="BRQ499" s="23"/>
      <c r="BRR499" s="23"/>
      <c r="BRS499" s="23"/>
      <c r="BRT499" s="23"/>
      <c r="BRU499" s="23"/>
      <c r="BRV499" s="23"/>
      <c r="BRW499" s="23"/>
      <c r="BRX499" s="23"/>
      <c r="BRY499" s="23"/>
      <c r="BRZ499" s="23"/>
      <c r="BSA499" s="23"/>
      <c r="BSB499" s="23"/>
      <c r="BSC499" s="23"/>
      <c r="BSD499" s="23"/>
      <c r="BSE499" s="23"/>
      <c r="BSF499" s="23"/>
      <c r="BSG499" s="23"/>
      <c r="BSH499" s="23"/>
      <c r="BSI499" s="23"/>
      <c r="BSJ499" s="23"/>
      <c r="BSK499" s="23"/>
      <c r="BSL499" s="23"/>
      <c r="BSM499" s="23"/>
      <c r="BSN499" s="23"/>
      <c r="BSO499" s="23"/>
      <c r="BSP499" s="23"/>
      <c r="BSQ499" s="23"/>
      <c r="BSR499" s="23"/>
      <c r="BSS499" s="23"/>
      <c r="BST499" s="23"/>
      <c r="BSU499" s="23"/>
      <c r="BSV499" s="23"/>
      <c r="BSW499" s="23"/>
      <c r="BSX499" s="23"/>
      <c r="BSY499" s="23"/>
      <c r="BSZ499" s="23"/>
      <c r="BTA499" s="23"/>
    </row>
    <row r="500" spans="1:1873" s="23" customFormat="1" x14ac:dyDescent="0.2">
      <c r="A500" s="223" t="s">
        <v>785</v>
      </c>
      <c r="B500" s="223" t="s">
        <v>786</v>
      </c>
      <c r="C500" s="404" t="s">
        <v>1440</v>
      </c>
      <c r="D500" s="223" t="s">
        <v>619</v>
      </c>
      <c r="E500" s="241" t="s">
        <v>1449</v>
      </c>
      <c r="F500" s="241">
        <v>1</v>
      </c>
      <c r="G500" s="223">
        <v>10</v>
      </c>
      <c r="H500" s="242">
        <v>10</v>
      </c>
      <c r="I500" s="223" t="s">
        <v>954</v>
      </c>
      <c r="J500" s="223">
        <v>1977</v>
      </c>
      <c r="K500" s="223" t="s">
        <v>957</v>
      </c>
      <c r="L500" s="223">
        <v>1986</v>
      </c>
      <c r="M500" s="243">
        <v>-9999</v>
      </c>
      <c r="N500" s="223">
        <v>-9999</v>
      </c>
      <c r="O500" s="29"/>
      <c r="P500" s="285">
        <f t="shared" si="31"/>
        <v>85</v>
      </c>
      <c r="Q500" s="223">
        <v>-9999</v>
      </c>
      <c r="R500" s="243"/>
      <c r="S500" s="223"/>
      <c r="T500" s="243">
        <v>8.5</v>
      </c>
      <c r="U500" s="243">
        <v>1.4</v>
      </c>
      <c r="V500" s="243"/>
      <c r="W500" s="244">
        <f t="shared" si="32"/>
        <v>6.7000000000000028</v>
      </c>
      <c r="X500" s="223">
        <v>-9999</v>
      </c>
      <c r="Y500" s="223"/>
      <c r="Z500" s="223" t="s">
        <v>73</v>
      </c>
      <c r="AA500" s="441">
        <v>3086</v>
      </c>
      <c r="AB500" s="243">
        <v>-9999</v>
      </c>
      <c r="AC500" s="223">
        <v>-9999</v>
      </c>
      <c r="AD500" s="223">
        <f t="shared" si="25"/>
        <v>1900</v>
      </c>
      <c r="AE500" s="404" t="s">
        <v>280</v>
      </c>
      <c r="AF500" s="223">
        <v>16</v>
      </c>
      <c r="AG500" s="240" t="s">
        <v>283</v>
      </c>
      <c r="AH500" s="223" t="s">
        <v>623</v>
      </c>
      <c r="AI500" s="223">
        <v>-9999</v>
      </c>
      <c r="AJ500" s="223">
        <v>-9999</v>
      </c>
      <c r="AK500" s="223" t="s">
        <v>631</v>
      </c>
      <c r="AL500" s="223">
        <v>-9999</v>
      </c>
      <c r="AM500" s="223">
        <v>-9999</v>
      </c>
      <c r="AN500" s="223" t="s">
        <v>626</v>
      </c>
      <c r="AO500" s="223" t="s">
        <v>788</v>
      </c>
      <c r="AP500" s="223" t="s">
        <v>789</v>
      </c>
      <c r="AQ500" s="223" t="s">
        <v>626</v>
      </c>
      <c r="AR500" s="223">
        <f t="shared" si="33"/>
        <v>1106</v>
      </c>
      <c r="AS500" s="223" t="s">
        <v>723</v>
      </c>
      <c r="AT500" s="223" t="s">
        <v>790</v>
      </c>
      <c r="AU500" s="223">
        <v>0</v>
      </c>
      <c r="AV500" s="223">
        <v>-9999</v>
      </c>
      <c r="AW500" s="223">
        <v>-9999</v>
      </c>
      <c r="AX500" s="223">
        <v>0</v>
      </c>
      <c r="AY500" s="223">
        <v>-9999</v>
      </c>
      <c r="AZ500" s="223" t="s">
        <v>790</v>
      </c>
      <c r="BA500" s="223">
        <v>-9999</v>
      </c>
      <c r="BB500" s="223" t="s">
        <v>626</v>
      </c>
      <c r="BC500" s="223" t="s">
        <v>791</v>
      </c>
      <c r="BD500" s="223" t="s">
        <v>792</v>
      </c>
      <c r="BE500" s="223"/>
      <c r="BF500" s="223">
        <v>-9999</v>
      </c>
      <c r="BG500" s="223">
        <v>-9999</v>
      </c>
      <c r="BH500" s="223">
        <v>-9999</v>
      </c>
      <c r="BI500" s="223">
        <v>-9999</v>
      </c>
      <c r="BJ500" s="223">
        <v>-9999</v>
      </c>
      <c r="BK500" s="223">
        <v>-9999</v>
      </c>
      <c r="BL500" s="223">
        <v>-9999</v>
      </c>
      <c r="BM500" s="223">
        <v>-9999</v>
      </c>
      <c r="BN500" s="223">
        <v>-9999</v>
      </c>
      <c r="BO500" s="223">
        <v>-9999</v>
      </c>
      <c r="BP500" s="223">
        <v>-9999</v>
      </c>
      <c r="BQ500" s="223">
        <v>-9999</v>
      </c>
      <c r="BR500" s="223">
        <v>-9999</v>
      </c>
      <c r="BS500" s="242">
        <v>-9999</v>
      </c>
      <c r="BT500" s="223">
        <v>-9999</v>
      </c>
      <c r="BU500" s="223">
        <v>-9999</v>
      </c>
      <c r="BV500" s="223">
        <v>-9999</v>
      </c>
      <c r="BW500" s="223"/>
      <c r="BX500" s="223">
        <v>-9999</v>
      </c>
      <c r="BY500" s="223">
        <v>-9999</v>
      </c>
      <c r="BZ500" s="223">
        <v>-9999</v>
      </c>
      <c r="CA500" s="332">
        <v>-9999</v>
      </c>
      <c r="CB500" s="247"/>
      <c r="CC500" s="83">
        <v>1</v>
      </c>
      <c r="CD500" s="32">
        <v>10</v>
      </c>
      <c r="CE500" s="292">
        <v>8.5</v>
      </c>
      <c r="CF500" s="292">
        <v>6.7000000000000028</v>
      </c>
      <c r="CG500" s="84">
        <v>10</v>
      </c>
    </row>
    <row r="501" spans="1:1873" s="23" customFormat="1" x14ac:dyDescent="0.2">
      <c r="A501" s="223" t="s">
        <v>785</v>
      </c>
      <c r="B501" s="223" t="s">
        <v>786</v>
      </c>
      <c r="C501" s="404" t="s">
        <v>1440</v>
      </c>
      <c r="D501" s="223" t="s">
        <v>619</v>
      </c>
      <c r="E501" s="241" t="s">
        <v>1449</v>
      </c>
      <c r="F501" s="241">
        <v>1</v>
      </c>
      <c r="G501" s="223">
        <v>11</v>
      </c>
      <c r="H501" s="242">
        <v>11</v>
      </c>
      <c r="I501" s="223" t="s">
        <v>954</v>
      </c>
      <c r="J501" s="223">
        <v>1977</v>
      </c>
      <c r="K501" s="223" t="s">
        <v>957</v>
      </c>
      <c r="L501" s="223">
        <v>1987</v>
      </c>
      <c r="M501" s="243">
        <v>-9999</v>
      </c>
      <c r="N501" s="223">
        <v>-9999</v>
      </c>
      <c r="O501" s="29"/>
      <c r="P501" s="285">
        <f t="shared" si="31"/>
        <v>91.300000000000011</v>
      </c>
      <c r="Q501" s="223">
        <v>-9999</v>
      </c>
      <c r="R501" s="243"/>
      <c r="S501" s="223"/>
      <c r="T501" s="243">
        <v>8.3000000000000007</v>
      </c>
      <c r="U501" s="243">
        <v>1.1000000000000001</v>
      </c>
      <c r="V501" s="243"/>
      <c r="W501" s="244">
        <f t="shared" si="32"/>
        <v>6.3000000000000114</v>
      </c>
      <c r="X501" s="223">
        <v>-9999</v>
      </c>
      <c r="Y501" s="223"/>
      <c r="Z501" s="223" t="s">
        <v>73</v>
      </c>
      <c r="AA501" s="441">
        <v>3086</v>
      </c>
      <c r="AB501" s="243">
        <v>-9999</v>
      </c>
      <c r="AC501" s="223">
        <v>-9999</v>
      </c>
      <c r="AD501" s="223">
        <f t="shared" si="25"/>
        <v>1900</v>
      </c>
      <c r="AE501" s="404" t="s">
        <v>280</v>
      </c>
      <c r="AF501" s="223">
        <v>16</v>
      </c>
      <c r="AG501" s="240" t="s">
        <v>283</v>
      </c>
      <c r="AH501" s="223" t="s">
        <v>623</v>
      </c>
      <c r="AI501" s="223">
        <v>-9999</v>
      </c>
      <c r="AJ501" s="223">
        <v>-9999</v>
      </c>
      <c r="AK501" s="223" t="s">
        <v>631</v>
      </c>
      <c r="AL501" s="223">
        <v>-9999</v>
      </c>
      <c r="AM501" s="223">
        <v>-9999</v>
      </c>
      <c r="AN501" s="223" t="s">
        <v>626</v>
      </c>
      <c r="AO501" s="223" t="s">
        <v>788</v>
      </c>
      <c r="AP501" s="223" t="s">
        <v>789</v>
      </c>
      <c r="AQ501" s="223" t="s">
        <v>626</v>
      </c>
      <c r="AR501" s="223">
        <f t="shared" si="33"/>
        <v>1216</v>
      </c>
      <c r="AS501" s="223" t="s">
        <v>723</v>
      </c>
      <c r="AT501" s="223" t="s">
        <v>790</v>
      </c>
      <c r="AU501" s="223">
        <v>0</v>
      </c>
      <c r="AV501" s="223">
        <v>-9999</v>
      </c>
      <c r="AW501" s="223">
        <v>-9999</v>
      </c>
      <c r="AX501" s="223">
        <v>0</v>
      </c>
      <c r="AY501" s="223">
        <v>-9999</v>
      </c>
      <c r="AZ501" s="223" t="s">
        <v>790</v>
      </c>
      <c r="BA501" s="223">
        <v>-9999</v>
      </c>
      <c r="BB501" s="223" t="s">
        <v>626</v>
      </c>
      <c r="BC501" s="223" t="s">
        <v>791</v>
      </c>
      <c r="BD501" s="223" t="s">
        <v>792</v>
      </c>
      <c r="BE501" s="223"/>
      <c r="BF501" s="223">
        <v>-9999</v>
      </c>
      <c r="BG501" s="223">
        <v>-9999</v>
      </c>
      <c r="BH501" s="223">
        <v>-9999</v>
      </c>
      <c r="BI501" s="223">
        <v>-9999</v>
      </c>
      <c r="BJ501" s="223">
        <v>-9999</v>
      </c>
      <c r="BK501" s="223">
        <v>-9999</v>
      </c>
      <c r="BL501" s="223">
        <v>-9999</v>
      </c>
      <c r="BM501" s="223">
        <v>-9999</v>
      </c>
      <c r="BN501" s="223">
        <v>-9999</v>
      </c>
      <c r="BO501" s="223">
        <v>-9999</v>
      </c>
      <c r="BP501" s="223">
        <v>-9999</v>
      </c>
      <c r="BQ501" s="223">
        <v>-9999</v>
      </c>
      <c r="BR501" s="223">
        <v>-9999</v>
      </c>
      <c r="BS501" s="242">
        <v>-9999</v>
      </c>
      <c r="BT501" s="223">
        <v>-9999</v>
      </c>
      <c r="BU501" s="223">
        <v>-9999</v>
      </c>
      <c r="BV501" s="223">
        <v>-9999</v>
      </c>
      <c r="BW501" s="223"/>
      <c r="BX501" s="223">
        <v>-9999</v>
      </c>
      <c r="BY501" s="223">
        <v>-9999</v>
      </c>
      <c r="BZ501" s="223">
        <v>-9999</v>
      </c>
      <c r="CA501" s="332">
        <v>-9999</v>
      </c>
      <c r="CB501" s="247"/>
      <c r="CC501" s="83">
        <v>1</v>
      </c>
      <c r="CD501" s="32">
        <v>11</v>
      </c>
      <c r="CE501" s="292">
        <v>8.3000000000000007</v>
      </c>
      <c r="CF501" s="292">
        <v>6.3000000000000114</v>
      </c>
      <c r="CG501" s="84">
        <v>11</v>
      </c>
    </row>
    <row r="502" spans="1:1873" s="23" customFormat="1" x14ac:dyDescent="0.2">
      <c r="A502" s="223" t="s">
        <v>785</v>
      </c>
      <c r="B502" s="223" t="s">
        <v>786</v>
      </c>
      <c r="C502" s="404" t="s">
        <v>1440</v>
      </c>
      <c r="D502" s="223" t="s">
        <v>619</v>
      </c>
      <c r="E502" s="241" t="s">
        <v>1449</v>
      </c>
      <c r="F502" s="241">
        <v>1</v>
      </c>
      <c r="G502" s="223">
        <v>12</v>
      </c>
      <c r="H502" s="242">
        <v>12</v>
      </c>
      <c r="I502" s="223" t="s">
        <v>954</v>
      </c>
      <c r="J502" s="223">
        <v>1977</v>
      </c>
      <c r="K502" s="223" t="s">
        <v>957</v>
      </c>
      <c r="L502" s="223">
        <v>1988</v>
      </c>
      <c r="M502" s="243">
        <v>-9999</v>
      </c>
      <c r="N502" s="223">
        <v>-9999</v>
      </c>
      <c r="O502" s="29"/>
      <c r="P502" s="285">
        <f t="shared" si="31"/>
        <v>99.600000000000009</v>
      </c>
      <c r="Q502" s="223">
        <v>-9999</v>
      </c>
      <c r="R502" s="243"/>
      <c r="S502" s="223"/>
      <c r="T502" s="243">
        <v>8.3000000000000007</v>
      </c>
      <c r="U502" s="243">
        <v>1.4</v>
      </c>
      <c r="V502" s="243"/>
      <c r="W502" s="244">
        <f t="shared" si="32"/>
        <v>8.2999999999999972</v>
      </c>
      <c r="X502" s="223">
        <v>-9999</v>
      </c>
      <c r="Y502" s="223"/>
      <c r="Z502" s="223" t="s">
        <v>73</v>
      </c>
      <c r="AA502" s="441">
        <v>3086</v>
      </c>
      <c r="AB502" s="243">
        <v>-9999</v>
      </c>
      <c r="AC502" s="223">
        <v>-9999</v>
      </c>
      <c r="AD502" s="223">
        <f t="shared" si="25"/>
        <v>1900</v>
      </c>
      <c r="AE502" s="404" t="s">
        <v>280</v>
      </c>
      <c r="AF502" s="223">
        <v>16</v>
      </c>
      <c r="AG502" s="240" t="s">
        <v>283</v>
      </c>
      <c r="AH502" s="223" t="s">
        <v>623</v>
      </c>
      <c r="AI502" s="223">
        <v>-9999</v>
      </c>
      <c r="AJ502" s="223">
        <v>-9999</v>
      </c>
      <c r="AK502" s="223" t="s">
        <v>631</v>
      </c>
      <c r="AL502" s="223">
        <v>-9999</v>
      </c>
      <c r="AM502" s="223">
        <v>-9999</v>
      </c>
      <c r="AN502" s="223" t="s">
        <v>626</v>
      </c>
      <c r="AO502" s="223" t="s">
        <v>788</v>
      </c>
      <c r="AP502" s="223" t="s">
        <v>789</v>
      </c>
      <c r="AQ502" s="223" t="s">
        <v>626</v>
      </c>
      <c r="AR502" s="223">
        <f t="shared" si="33"/>
        <v>1326</v>
      </c>
      <c r="AS502" s="223" t="s">
        <v>723</v>
      </c>
      <c r="AT502" s="223" t="s">
        <v>790</v>
      </c>
      <c r="AU502" s="223">
        <v>0</v>
      </c>
      <c r="AV502" s="223">
        <v>-9999</v>
      </c>
      <c r="AW502" s="223">
        <v>-9999</v>
      </c>
      <c r="AX502" s="223">
        <v>0</v>
      </c>
      <c r="AY502" s="223">
        <v>-9999</v>
      </c>
      <c r="AZ502" s="223" t="s">
        <v>790</v>
      </c>
      <c r="BA502" s="223">
        <v>-9999</v>
      </c>
      <c r="BB502" s="223" t="s">
        <v>626</v>
      </c>
      <c r="BC502" s="223" t="s">
        <v>791</v>
      </c>
      <c r="BD502" s="223" t="s">
        <v>792</v>
      </c>
      <c r="BE502" s="223"/>
      <c r="BF502" s="223">
        <v>-9999</v>
      </c>
      <c r="BG502" s="223">
        <v>-9999</v>
      </c>
      <c r="BH502" s="223">
        <v>-9999</v>
      </c>
      <c r="BI502" s="223">
        <v>-9999</v>
      </c>
      <c r="BJ502" s="223">
        <v>-9999</v>
      </c>
      <c r="BK502" s="223">
        <v>-9999</v>
      </c>
      <c r="BL502" s="223">
        <v>-9999</v>
      </c>
      <c r="BM502" s="223">
        <v>-9999</v>
      </c>
      <c r="BN502" s="223">
        <v>-9999</v>
      </c>
      <c r="BO502" s="223">
        <v>-9999</v>
      </c>
      <c r="BP502" s="223">
        <v>-9999</v>
      </c>
      <c r="BQ502" s="223">
        <v>-9999</v>
      </c>
      <c r="BR502" s="223">
        <v>-9999</v>
      </c>
      <c r="BS502" s="242">
        <v>-9999</v>
      </c>
      <c r="BT502" s="223">
        <v>-9999</v>
      </c>
      <c r="BU502" s="223">
        <v>-9999</v>
      </c>
      <c r="BV502" s="223">
        <v>-9999</v>
      </c>
      <c r="BW502" s="223"/>
      <c r="BX502" s="223">
        <v>-9999</v>
      </c>
      <c r="BY502" s="223">
        <v>-9999</v>
      </c>
      <c r="BZ502" s="223">
        <v>-9999</v>
      </c>
      <c r="CA502" s="332">
        <v>-9999</v>
      </c>
      <c r="CB502" s="247"/>
      <c r="CC502" s="83">
        <v>1</v>
      </c>
      <c r="CD502" s="32">
        <v>12</v>
      </c>
      <c r="CE502" s="292">
        <v>8.3000000000000007</v>
      </c>
      <c r="CF502" s="292">
        <v>8.2999999999999972</v>
      </c>
      <c r="CG502" s="84">
        <v>12</v>
      </c>
    </row>
    <row r="503" spans="1:1873" s="159" customFormat="1" x14ac:dyDescent="0.2">
      <c r="A503" s="71"/>
      <c r="B503" s="71"/>
      <c r="C503" s="71"/>
      <c r="D503" s="71"/>
      <c r="E503" s="158"/>
      <c r="F503" s="158"/>
      <c r="G503" s="71"/>
      <c r="H503" s="115"/>
      <c r="I503" s="29"/>
      <c r="J503" s="71"/>
      <c r="K503" s="29"/>
      <c r="L503" s="71"/>
      <c r="M503" s="70"/>
      <c r="N503" s="71"/>
      <c r="O503" s="71"/>
      <c r="P503" s="70"/>
      <c r="Q503" s="71"/>
      <c r="R503" s="70"/>
      <c r="S503" s="71"/>
      <c r="T503" s="70"/>
      <c r="U503" s="70"/>
      <c r="V503" s="70"/>
      <c r="W503" s="70"/>
      <c r="X503" s="71"/>
      <c r="Y503" s="71"/>
      <c r="Z503" s="71"/>
      <c r="AA503" s="275"/>
      <c r="AB503" s="70"/>
      <c r="AC503" s="71"/>
      <c r="AD503" s="29"/>
      <c r="AE503" s="71"/>
      <c r="AF503" s="71"/>
      <c r="AG503" s="71"/>
      <c r="AH503" s="71"/>
      <c r="AI503" s="71"/>
      <c r="AJ503" s="71"/>
      <c r="AK503" s="71"/>
      <c r="AL503" s="71"/>
      <c r="AM503" s="71"/>
      <c r="AN503" s="71"/>
      <c r="AO503" s="71"/>
      <c r="AP503" s="71"/>
      <c r="AQ503" s="71"/>
      <c r="AR503" s="71"/>
      <c r="AS503" s="71"/>
      <c r="AT503" s="71"/>
      <c r="AU503" s="71"/>
      <c r="AV503" s="71"/>
      <c r="AW503" s="71"/>
      <c r="AX503" s="71"/>
      <c r="AY503" s="71"/>
      <c r="AZ503" s="71"/>
      <c r="BA503" s="71"/>
      <c r="BB503" s="71"/>
      <c r="BC503" s="71"/>
      <c r="BD503" s="71"/>
      <c r="BE503" s="71"/>
      <c r="BF503" s="71"/>
      <c r="BG503" s="71"/>
      <c r="BH503" s="71"/>
      <c r="BI503" s="71"/>
      <c r="BJ503" s="71"/>
      <c r="BK503" s="71"/>
      <c r="BL503" s="71"/>
      <c r="BM503" s="71"/>
      <c r="BN503" s="71"/>
      <c r="BO503" s="71"/>
      <c r="BP503" s="71"/>
      <c r="BQ503" s="71"/>
      <c r="BR503" s="71"/>
      <c r="BS503" s="115"/>
      <c r="BT503" s="71"/>
      <c r="BU503" s="71"/>
      <c r="BV503" s="71"/>
      <c r="BW503" s="71"/>
      <c r="BX503" s="71"/>
      <c r="BY503" s="71"/>
      <c r="BZ503" s="71"/>
      <c r="CA503" s="330"/>
      <c r="CC503" s="158"/>
      <c r="CD503" s="71"/>
      <c r="CE503" s="342" t="s">
        <v>1576</v>
      </c>
      <c r="CF503" s="342" t="s">
        <v>1575</v>
      </c>
      <c r="CG503" s="115"/>
    </row>
    <row r="504" spans="1:1873" s="23" customFormat="1" x14ac:dyDescent="0.2">
      <c r="A504" s="32" t="s">
        <v>785</v>
      </c>
      <c r="B504" s="223" t="s">
        <v>786</v>
      </c>
      <c r="C504" s="404" t="s">
        <v>1441</v>
      </c>
      <c r="D504" s="223" t="s">
        <v>619</v>
      </c>
      <c r="E504" s="241" t="s">
        <v>1446</v>
      </c>
      <c r="F504" s="241">
        <v>1</v>
      </c>
      <c r="G504" s="223">
        <v>3</v>
      </c>
      <c r="H504" s="242">
        <v>3</v>
      </c>
      <c r="I504" s="223" t="s">
        <v>954</v>
      </c>
      <c r="J504" s="223">
        <v>1977</v>
      </c>
      <c r="K504" s="223" t="s">
        <v>957</v>
      </c>
      <c r="L504" s="223">
        <v>1979</v>
      </c>
      <c r="M504" s="243">
        <v>-9999</v>
      </c>
      <c r="N504" s="223">
        <v>-9999</v>
      </c>
      <c r="O504" s="29"/>
      <c r="P504" s="285">
        <f t="shared" ref="P504:P509" si="34">+T504*G504</f>
        <v>6</v>
      </c>
      <c r="Q504" s="223">
        <v>-9999</v>
      </c>
      <c r="R504" s="243"/>
      <c r="S504" s="223"/>
      <c r="T504" s="243">
        <v>2</v>
      </c>
      <c r="U504" s="243">
        <v>0.6</v>
      </c>
      <c r="V504" s="243"/>
      <c r="W504" s="244">
        <f t="shared" ref="W504:W509" si="35">+P504-P503</f>
        <v>6</v>
      </c>
      <c r="X504" s="223">
        <v>-9999</v>
      </c>
      <c r="Y504" s="223"/>
      <c r="Z504" s="223" t="s">
        <v>67</v>
      </c>
      <c r="AA504" s="441">
        <v>6719</v>
      </c>
      <c r="AB504" s="243">
        <v>-9999</v>
      </c>
      <c r="AC504" s="223">
        <v>-9999</v>
      </c>
      <c r="AD504" s="223">
        <f t="shared" si="25"/>
        <v>1900</v>
      </c>
      <c r="AE504" s="404" t="s">
        <v>1955</v>
      </c>
      <c r="AF504" s="223">
        <v>16</v>
      </c>
      <c r="AG504" s="240" t="s">
        <v>283</v>
      </c>
      <c r="AH504" s="223" t="s">
        <v>623</v>
      </c>
      <c r="AI504" s="223">
        <v>-9999</v>
      </c>
      <c r="AJ504" s="223">
        <v>-9999</v>
      </c>
      <c r="AK504" s="223" t="s">
        <v>631</v>
      </c>
      <c r="AL504" s="223">
        <v>-9999</v>
      </c>
      <c r="AM504" s="223">
        <v>-9999</v>
      </c>
      <c r="AN504" s="223" t="s">
        <v>626</v>
      </c>
      <c r="AO504" s="223" t="s">
        <v>788</v>
      </c>
      <c r="AP504" s="223" t="s">
        <v>789</v>
      </c>
      <c r="AQ504" s="223" t="s">
        <v>626</v>
      </c>
      <c r="AR504" s="223">
        <f>112*G504</f>
        <v>336</v>
      </c>
      <c r="AS504" s="223" t="s">
        <v>723</v>
      </c>
      <c r="AT504" s="223" t="s">
        <v>790</v>
      </c>
      <c r="AU504" s="223">
        <v>0</v>
      </c>
      <c r="AV504" s="223">
        <v>-9999</v>
      </c>
      <c r="AW504" s="223">
        <v>-9999</v>
      </c>
      <c r="AX504" s="223">
        <v>0</v>
      </c>
      <c r="AY504" s="223">
        <v>-9999</v>
      </c>
      <c r="AZ504" s="223" t="s">
        <v>790</v>
      </c>
      <c r="BA504" s="223">
        <v>-9999</v>
      </c>
      <c r="BB504" s="223" t="s">
        <v>626</v>
      </c>
      <c r="BC504" s="223" t="s">
        <v>791</v>
      </c>
      <c r="BD504" s="223" t="s">
        <v>792</v>
      </c>
      <c r="BE504" s="223"/>
      <c r="BF504" s="223">
        <v>-9999</v>
      </c>
      <c r="BG504" s="223">
        <v>-9999</v>
      </c>
      <c r="BH504" s="223">
        <v>-9999</v>
      </c>
      <c r="BI504" s="223">
        <v>-9999</v>
      </c>
      <c r="BJ504" s="223">
        <v>-9999</v>
      </c>
      <c r="BK504" s="223">
        <v>-9999</v>
      </c>
      <c r="BL504" s="223">
        <v>-9999</v>
      </c>
      <c r="BM504" s="223">
        <v>-9999</v>
      </c>
      <c r="BN504" s="223">
        <v>-9999</v>
      </c>
      <c r="BO504" s="223">
        <v>-9999</v>
      </c>
      <c r="BP504" s="223">
        <v>-9999</v>
      </c>
      <c r="BQ504" s="223">
        <v>-9999</v>
      </c>
      <c r="BR504" s="223">
        <v>-9999</v>
      </c>
      <c r="BS504" s="242">
        <v>-9999</v>
      </c>
      <c r="BT504" s="223">
        <v>-9999</v>
      </c>
      <c r="BU504" s="223">
        <v>-9999</v>
      </c>
      <c r="BV504" s="223">
        <v>-9999</v>
      </c>
      <c r="BW504" s="223"/>
      <c r="BX504" s="223">
        <v>-9999</v>
      </c>
      <c r="BY504" s="223">
        <v>-9999</v>
      </c>
      <c r="BZ504" s="223">
        <v>-9999</v>
      </c>
      <c r="CA504" s="332">
        <v>-9999</v>
      </c>
      <c r="CB504" s="247"/>
      <c r="CC504" s="83">
        <v>1</v>
      </c>
      <c r="CD504" s="32">
        <v>3</v>
      </c>
      <c r="CE504" s="292">
        <v>2</v>
      </c>
      <c r="CF504" s="292">
        <v>6</v>
      </c>
      <c r="CG504" s="84">
        <v>3</v>
      </c>
    </row>
    <row r="505" spans="1:1873" s="23" customFormat="1" x14ac:dyDescent="0.2">
      <c r="A505" s="32" t="s">
        <v>785</v>
      </c>
      <c r="B505" s="223" t="s">
        <v>786</v>
      </c>
      <c r="C505" s="404" t="s">
        <v>1441</v>
      </c>
      <c r="D505" s="223" t="s">
        <v>619</v>
      </c>
      <c r="E505" s="241" t="s">
        <v>1446</v>
      </c>
      <c r="F505" s="241">
        <v>1</v>
      </c>
      <c r="G505" s="223">
        <v>4</v>
      </c>
      <c r="H505" s="242">
        <v>4</v>
      </c>
      <c r="I505" s="223" t="s">
        <v>954</v>
      </c>
      <c r="J505" s="223">
        <v>1977</v>
      </c>
      <c r="K505" s="223" t="s">
        <v>957</v>
      </c>
      <c r="L505" s="223">
        <v>1980</v>
      </c>
      <c r="M505" s="243">
        <v>-9999</v>
      </c>
      <c r="N505" s="223">
        <v>-9999</v>
      </c>
      <c r="O505" s="29"/>
      <c r="P505" s="285">
        <f t="shared" si="34"/>
        <v>16</v>
      </c>
      <c r="Q505" s="223">
        <v>-9999</v>
      </c>
      <c r="R505" s="243"/>
      <c r="S505" s="223"/>
      <c r="T505" s="243">
        <v>4</v>
      </c>
      <c r="U505" s="243">
        <v>1.1000000000000001</v>
      </c>
      <c r="V505" s="243"/>
      <c r="W505" s="244">
        <f t="shared" si="35"/>
        <v>10</v>
      </c>
      <c r="X505" s="223">
        <v>-9999</v>
      </c>
      <c r="Y505" s="223"/>
      <c r="Z505" s="223" t="s">
        <v>67</v>
      </c>
      <c r="AA505" s="441">
        <v>6719</v>
      </c>
      <c r="AB505" s="243">
        <v>-9999</v>
      </c>
      <c r="AC505" s="223">
        <v>-9999</v>
      </c>
      <c r="AD505" s="223">
        <f t="shared" si="25"/>
        <v>1900</v>
      </c>
      <c r="AE505" s="404" t="s">
        <v>1955</v>
      </c>
      <c r="AF505" s="223">
        <v>16</v>
      </c>
      <c r="AG505" s="240" t="s">
        <v>283</v>
      </c>
      <c r="AH505" s="223" t="s">
        <v>623</v>
      </c>
      <c r="AI505" s="223">
        <v>-9999</v>
      </c>
      <c r="AJ505" s="223">
        <v>-9999</v>
      </c>
      <c r="AK505" s="223" t="s">
        <v>631</v>
      </c>
      <c r="AL505" s="223">
        <v>-9999</v>
      </c>
      <c r="AM505" s="223">
        <v>-9999</v>
      </c>
      <c r="AN505" s="223" t="s">
        <v>626</v>
      </c>
      <c r="AO505" s="223" t="s">
        <v>788</v>
      </c>
      <c r="AP505" s="223" t="s">
        <v>789</v>
      </c>
      <c r="AQ505" s="223" t="s">
        <v>626</v>
      </c>
      <c r="AR505" s="223">
        <f>110+AR504</f>
        <v>446</v>
      </c>
      <c r="AS505" s="223" t="s">
        <v>723</v>
      </c>
      <c r="AT505" s="223" t="s">
        <v>790</v>
      </c>
      <c r="AU505" s="223">
        <v>0</v>
      </c>
      <c r="AV505" s="223">
        <v>-9999</v>
      </c>
      <c r="AW505" s="223">
        <v>-9999</v>
      </c>
      <c r="AX505" s="223">
        <v>0</v>
      </c>
      <c r="AY505" s="223">
        <v>-9999</v>
      </c>
      <c r="AZ505" s="223" t="s">
        <v>790</v>
      </c>
      <c r="BA505" s="223">
        <v>-9999</v>
      </c>
      <c r="BB505" s="223" t="s">
        <v>626</v>
      </c>
      <c r="BC505" s="223" t="s">
        <v>791</v>
      </c>
      <c r="BD505" s="223" t="s">
        <v>792</v>
      </c>
      <c r="BE505" s="223"/>
      <c r="BF505" s="223">
        <v>-9999</v>
      </c>
      <c r="BG505" s="223">
        <v>-9999</v>
      </c>
      <c r="BH505" s="223">
        <v>-9999</v>
      </c>
      <c r="BI505" s="223">
        <v>-9999</v>
      </c>
      <c r="BJ505" s="223">
        <v>-9999</v>
      </c>
      <c r="BK505" s="223">
        <v>-9999</v>
      </c>
      <c r="BL505" s="223">
        <v>-9999</v>
      </c>
      <c r="BM505" s="223">
        <v>-9999</v>
      </c>
      <c r="BN505" s="223">
        <v>-9999</v>
      </c>
      <c r="BO505" s="223">
        <v>-9999</v>
      </c>
      <c r="BP505" s="223">
        <v>-9999</v>
      </c>
      <c r="BQ505" s="223">
        <v>-9999</v>
      </c>
      <c r="BR505" s="223">
        <v>-9999</v>
      </c>
      <c r="BS505" s="242">
        <v>-9999</v>
      </c>
      <c r="BT505" s="223">
        <v>-9999</v>
      </c>
      <c r="BU505" s="223">
        <v>-9999</v>
      </c>
      <c r="BV505" s="223">
        <v>-9999</v>
      </c>
      <c r="BW505" s="223"/>
      <c r="BX505" s="223">
        <v>-9999</v>
      </c>
      <c r="BY505" s="223">
        <v>-9999</v>
      </c>
      <c r="BZ505" s="223">
        <v>-9999</v>
      </c>
      <c r="CA505" s="332">
        <v>-9999</v>
      </c>
      <c r="CB505" s="247"/>
      <c r="CC505" s="83">
        <v>1</v>
      </c>
      <c r="CD505" s="32">
        <v>4</v>
      </c>
      <c r="CE505" s="292">
        <v>4</v>
      </c>
      <c r="CF505" s="292">
        <v>10</v>
      </c>
      <c r="CG505" s="84">
        <v>4</v>
      </c>
    </row>
    <row r="506" spans="1:1873" s="23" customFormat="1" x14ac:dyDescent="0.2">
      <c r="A506" s="32" t="s">
        <v>785</v>
      </c>
      <c r="B506" s="223" t="s">
        <v>786</v>
      </c>
      <c r="C506" s="404" t="s">
        <v>1441</v>
      </c>
      <c r="D506" s="223" t="s">
        <v>619</v>
      </c>
      <c r="E506" s="241" t="s">
        <v>1446</v>
      </c>
      <c r="F506" s="241">
        <v>1</v>
      </c>
      <c r="G506" s="223">
        <v>5</v>
      </c>
      <c r="H506" s="242">
        <v>5</v>
      </c>
      <c r="I506" s="223" t="s">
        <v>954</v>
      </c>
      <c r="J506" s="223">
        <v>1977</v>
      </c>
      <c r="K506" s="223" t="s">
        <v>957</v>
      </c>
      <c r="L506" s="223">
        <v>1981</v>
      </c>
      <c r="M506" s="243">
        <v>-9999</v>
      </c>
      <c r="N506" s="223">
        <v>-9999</v>
      </c>
      <c r="O506" s="29"/>
      <c r="P506" s="285">
        <f t="shared" si="34"/>
        <v>22</v>
      </c>
      <c r="Q506" s="223">
        <v>-9999</v>
      </c>
      <c r="R506" s="243"/>
      <c r="S506" s="223"/>
      <c r="T506" s="243">
        <v>4.4000000000000004</v>
      </c>
      <c r="U506" s="243">
        <v>1.1000000000000001</v>
      </c>
      <c r="V506" s="243"/>
      <c r="W506" s="244">
        <f t="shared" si="35"/>
        <v>6</v>
      </c>
      <c r="X506" s="223">
        <v>-9999</v>
      </c>
      <c r="Y506" s="223"/>
      <c r="Z506" s="223" t="s">
        <v>67</v>
      </c>
      <c r="AA506" s="441">
        <v>6719</v>
      </c>
      <c r="AB506" s="243">
        <v>-9999</v>
      </c>
      <c r="AC506" s="223">
        <v>-9999</v>
      </c>
      <c r="AD506" s="223">
        <f t="shared" si="25"/>
        <v>1900</v>
      </c>
      <c r="AE506" s="404" t="s">
        <v>1955</v>
      </c>
      <c r="AF506" s="223">
        <v>16</v>
      </c>
      <c r="AG506" s="240" t="s">
        <v>283</v>
      </c>
      <c r="AH506" s="223" t="s">
        <v>623</v>
      </c>
      <c r="AI506" s="223">
        <v>-9999</v>
      </c>
      <c r="AJ506" s="223">
        <v>-9999</v>
      </c>
      <c r="AK506" s="223" t="s">
        <v>631</v>
      </c>
      <c r="AL506" s="223">
        <v>-9999</v>
      </c>
      <c r="AM506" s="223">
        <v>-9999</v>
      </c>
      <c r="AN506" s="223" t="s">
        <v>626</v>
      </c>
      <c r="AO506" s="223" t="s">
        <v>788</v>
      </c>
      <c r="AP506" s="223" t="s">
        <v>789</v>
      </c>
      <c r="AQ506" s="223" t="s">
        <v>626</v>
      </c>
      <c r="AR506" s="223">
        <f>110+AR505</f>
        <v>556</v>
      </c>
      <c r="AS506" s="223" t="s">
        <v>723</v>
      </c>
      <c r="AT506" s="223" t="s">
        <v>790</v>
      </c>
      <c r="AU506" s="223">
        <v>0</v>
      </c>
      <c r="AV506" s="223">
        <v>-9999</v>
      </c>
      <c r="AW506" s="223">
        <v>-9999</v>
      </c>
      <c r="AX506" s="223">
        <v>0</v>
      </c>
      <c r="AY506" s="223">
        <v>-9999</v>
      </c>
      <c r="AZ506" s="223" t="s">
        <v>790</v>
      </c>
      <c r="BA506" s="223">
        <v>-9999</v>
      </c>
      <c r="BB506" s="223" t="s">
        <v>626</v>
      </c>
      <c r="BC506" s="223" t="s">
        <v>791</v>
      </c>
      <c r="BD506" s="223" t="s">
        <v>792</v>
      </c>
      <c r="BE506" s="223"/>
      <c r="BF506" s="223">
        <v>-9999</v>
      </c>
      <c r="BG506" s="223">
        <v>-9999</v>
      </c>
      <c r="BH506" s="223">
        <v>-9999</v>
      </c>
      <c r="BI506" s="223">
        <v>-9999</v>
      </c>
      <c r="BJ506" s="223">
        <v>-9999</v>
      </c>
      <c r="BK506" s="223">
        <v>-9999</v>
      </c>
      <c r="BL506" s="223">
        <v>-9999</v>
      </c>
      <c r="BM506" s="223">
        <v>-9999</v>
      </c>
      <c r="BN506" s="223">
        <v>-9999</v>
      </c>
      <c r="BO506" s="223">
        <v>-9999</v>
      </c>
      <c r="BP506" s="223">
        <v>-9999</v>
      </c>
      <c r="BQ506" s="223">
        <v>-9999</v>
      </c>
      <c r="BR506" s="223">
        <v>-9999</v>
      </c>
      <c r="BS506" s="242">
        <v>-9999</v>
      </c>
      <c r="BT506" s="223">
        <v>-9999</v>
      </c>
      <c r="BU506" s="223">
        <v>-9999</v>
      </c>
      <c r="BV506" s="223">
        <v>-9999</v>
      </c>
      <c r="BW506" s="223"/>
      <c r="BX506" s="223">
        <v>-9999</v>
      </c>
      <c r="BY506" s="223">
        <v>-9999</v>
      </c>
      <c r="BZ506" s="223">
        <v>-9999</v>
      </c>
      <c r="CA506" s="332">
        <v>-9999</v>
      </c>
      <c r="CB506" s="247"/>
      <c r="CC506" s="83">
        <v>1</v>
      </c>
      <c r="CD506" s="32">
        <v>5</v>
      </c>
      <c r="CE506" s="292">
        <v>4.4000000000000004</v>
      </c>
      <c r="CF506" s="292">
        <v>6</v>
      </c>
      <c r="CG506" s="84">
        <v>5</v>
      </c>
    </row>
    <row r="507" spans="1:1873" s="23" customFormat="1" x14ac:dyDescent="0.2">
      <c r="A507" s="32" t="s">
        <v>785</v>
      </c>
      <c r="B507" s="223" t="s">
        <v>786</v>
      </c>
      <c r="C507" s="404" t="s">
        <v>1441</v>
      </c>
      <c r="D507" s="223" t="s">
        <v>619</v>
      </c>
      <c r="E507" s="241" t="s">
        <v>1446</v>
      </c>
      <c r="F507" s="241">
        <v>1</v>
      </c>
      <c r="G507" s="223">
        <v>6</v>
      </c>
      <c r="H507" s="242">
        <v>6</v>
      </c>
      <c r="I507" s="223" t="s">
        <v>954</v>
      </c>
      <c r="J507" s="223">
        <v>1977</v>
      </c>
      <c r="K507" s="223" t="s">
        <v>957</v>
      </c>
      <c r="L507" s="223">
        <v>1982</v>
      </c>
      <c r="M507" s="243">
        <v>-9999</v>
      </c>
      <c r="N507" s="223">
        <v>-9999</v>
      </c>
      <c r="O507" s="29"/>
      <c r="P507" s="285">
        <f t="shared" si="34"/>
        <v>33.599999999999994</v>
      </c>
      <c r="Q507" s="223">
        <v>-9999</v>
      </c>
      <c r="R507" s="243"/>
      <c r="S507" s="223"/>
      <c r="T507" s="243">
        <v>5.6</v>
      </c>
      <c r="U507" s="243">
        <v>1.5</v>
      </c>
      <c r="V507" s="243"/>
      <c r="W507" s="244">
        <f t="shared" si="35"/>
        <v>11.599999999999994</v>
      </c>
      <c r="X507" s="223">
        <v>-9999</v>
      </c>
      <c r="Y507" s="223"/>
      <c r="Z507" s="223" t="s">
        <v>67</v>
      </c>
      <c r="AA507" s="441">
        <v>6719</v>
      </c>
      <c r="AB507" s="243">
        <v>-9999</v>
      </c>
      <c r="AC507" s="223">
        <v>-9999</v>
      </c>
      <c r="AD507" s="223">
        <f t="shared" si="25"/>
        <v>1900</v>
      </c>
      <c r="AE507" s="404" t="s">
        <v>1955</v>
      </c>
      <c r="AF507" s="223">
        <v>16</v>
      </c>
      <c r="AG507" s="240" t="s">
        <v>283</v>
      </c>
      <c r="AH507" s="223" t="s">
        <v>623</v>
      </c>
      <c r="AI507" s="223">
        <v>-9999</v>
      </c>
      <c r="AJ507" s="223">
        <v>-9999</v>
      </c>
      <c r="AK507" s="223" t="s">
        <v>631</v>
      </c>
      <c r="AL507" s="223">
        <v>-9999</v>
      </c>
      <c r="AM507" s="223">
        <v>-9999</v>
      </c>
      <c r="AN507" s="223" t="s">
        <v>626</v>
      </c>
      <c r="AO507" s="223" t="s">
        <v>788</v>
      </c>
      <c r="AP507" s="223" t="s">
        <v>789</v>
      </c>
      <c r="AQ507" s="223" t="s">
        <v>626</v>
      </c>
      <c r="AR507" s="223">
        <f>110+AR506</f>
        <v>666</v>
      </c>
      <c r="AS507" s="223" t="s">
        <v>723</v>
      </c>
      <c r="AT507" s="223" t="s">
        <v>790</v>
      </c>
      <c r="AU507" s="223">
        <v>0</v>
      </c>
      <c r="AV507" s="223">
        <v>-9999</v>
      </c>
      <c r="AW507" s="223">
        <v>-9999</v>
      </c>
      <c r="AX507" s="223">
        <v>0</v>
      </c>
      <c r="AY507" s="223">
        <v>-9999</v>
      </c>
      <c r="AZ507" s="223" t="s">
        <v>790</v>
      </c>
      <c r="BA507" s="223">
        <v>-9999</v>
      </c>
      <c r="BB507" s="223" t="s">
        <v>626</v>
      </c>
      <c r="BC507" s="223" t="s">
        <v>791</v>
      </c>
      <c r="BD507" s="223" t="s">
        <v>792</v>
      </c>
      <c r="BE507" s="223"/>
      <c r="BF507" s="223">
        <v>-9999</v>
      </c>
      <c r="BG507" s="223">
        <v>-9999</v>
      </c>
      <c r="BH507" s="223">
        <v>-9999</v>
      </c>
      <c r="BI507" s="223">
        <v>-9999</v>
      </c>
      <c r="BJ507" s="223">
        <v>-9999</v>
      </c>
      <c r="BK507" s="223">
        <v>-9999</v>
      </c>
      <c r="BL507" s="223">
        <v>-9999</v>
      </c>
      <c r="BM507" s="223">
        <v>-9999</v>
      </c>
      <c r="BN507" s="223">
        <v>-9999</v>
      </c>
      <c r="BO507" s="223">
        <v>-9999</v>
      </c>
      <c r="BP507" s="223">
        <v>-9999</v>
      </c>
      <c r="BQ507" s="223">
        <v>-9999</v>
      </c>
      <c r="BR507" s="223">
        <v>-9999</v>
      </c>
      <c r="BS507" s="242">
        <v>-9999</v>
      </c>
      <c r="BT507" s="223">
        <v>-9999</v>
      </c>
      <c r="BU507" s="223">
        <v>-9999</v>
      </c>
      <c r="BV507" s="223">
        <v>-9999</v>
      </c>
      <c r="BW507" s="223"/>
      <c r="BX507" s="223">
        <v>-9999</v>
      </c>
      <c r="BY507" s="223">
        <v>-9999</v>
      </c>
      <c r="BZ507" s="223">
        <v>-9999</v>
      </c>
      <c r="CA507" s="332">
        <v>-9999</v>
      </c>
      <c r="CB507" s="247"/>
      <c r="CC507" s="83">
        <v>1</v>
      </c>
      <c r="CD507" s="32">
        <v>6</v>
      </c>
      <c r="CE507" s="292">
        <v>5.6</v>
      </c>
      <c r="CF507" s="292">
        <v>11.599999999999994</v>
      </c>
      <c r="CG507" s="84">
        <v>6</v>
      </c>
    </row>
    <row r="508" spans="1:1873" s="23" customFormat="1" x14ac:dyDescent="0.2">
      <c r="A508" s="32" t="s">
        <v>785</v>
      </c>
      <c r="B508" s="223" t="s">
        <v>786</v>
      </c>
      <c r="C508" s="404" t="s">
        <v>1441</v>
      </c>
      <c r="D508" s="223" t="s">
        <v>619</v>
      </c>
      <c r="E508" s="241" t="s">
        <v>1446</v>
      </c>
      <c r="F508" s="241">
        <v>1</v>
      </c>
      <c r="G508" s="223">
        <v>7</v>
      </c>
      <c r="H508" s="242">
        <v>7</v>
      </c>
      <c r="I508" s="223" t="s">
        <v>954</v>
      </c>
      <c r="J508" s="223">
        <v>1977</v>
      </c>
      <c r="K508" s="223" t="s">
        <v>957</v>
      </c>
      <c r="L508" s="223">
        <v>1983</v>
      </c>
      <c r="M508" s="243">
        <v>-9999</v>
      </c>
      <c r="N508" s="223">
        <v>-9999</v>
      </c>
      <c r="O508" s="29"/>
      <c r="P508" s="285">
        <f t="shared" si="34"/>
        <v>40.6</v>
      </c>
      <c r="Q508" s="223">
        <v>-9999</v>
      </c>
      <c r="R508" s="243"/>
      <c r="S508" s="223"/>
      <c r="T508" s="243">
        <v>5.8</v>
      </c>
      <c r="U508" s="243">
        <v>2</v>
      </c>
      <c r="V508" s="243"/>
      <c r="W508" s="244">
        <f t="shared" si="35"/>
        <v>7.0000000000000071</v>
      </c>
      <c r="X508" s="223">
        <v>-9999</v>
      </c>
      <c r="Y508" s="223"/>
      <c r="Z508" s="223" t="s">
        <v>67</v>
      </c>
      <c r="AA508" s="441">
        <v>6719</v>
      </c>
      <c r="AB508" s="243">
        <v>-9999</v>
      </c>
      <c r="AC508" s="223">
        <v>-9999</v>
      </c>
      <c r="AD508" s="223">
        <f t="shared" si="25"/>
        <v>1900</v>
      </c>
      <c r="AE508" s="404" t="s">
        <v>1955</v>
      </c>
      <c r="AF508" s="223">
        <v>16</v>
      </c>
      <c r="AG508" s="240" t="s">
        <v>283</v>
      </c>
      <c r="AH508" s="223" t="s">
        <v>623</v>
      </c>
      <c r="AI508" s="223">
        <v>-9999</v>
      </c>
      <c r="AJ508" s="223">
        <v>-9999</v>
      </c>
      <c r="AK508" s="223" t="s">
        <v>631</v>
      </c>
      <c r="AL508" s="223">
        <v>-9999</v>
      </c>
      <c r="AM508" s="223">
        <v>-9999</v>
      </c>
      <c r="AN508" s="223" t="s">
        <v>626</v>
      </c>
      <c r="AO508" s="223" t="s">
        <v>788</v>
      </c>
      <c r="AP508" s="223" t="s">
        <v>789</v>
      </c>
      <c r="AQ508" s="223" t="s">
        <v>626</v>
      </c>
      <c r="AR508" s="223">
        <f>110+AR507</f>
        <v>776</v>
      </c>
      <c r="AS508" s="223" t="s">
        <v>723</v>
      </c>
      <c r="AT508" s="223" t="s">
        <v>790</v>
      </c>
      <c r="AU508" s="223">
        <v>0</v>
      </c>
      <c r="AV508" s="223">
        <v>-9999</v>
      </c>
      <c r="AW508" s="223">
        <v>-9999</v>
      </c>
      <c r="AX508" s="223">
        <v>0</v>
      </c>
      <c r="AY508" s="223">
        <v>-9999</v>
      </c>
      <c r="AZ508" s="223" t="s">
        <v>790</v>
      </c>
      <c r="BA508" s="223">
        <v>-9999</v>
      </c>
      <c r="BB508" s="223" t="s">
        <v>626</v>
      </c>
      <c r="BC508" s="223" t="s">
        <v>791</v>
      </c>
      <c r="BD508" s="223" t="s">
        <v>792</v>
      </c>
      <c r="BE508" s="223"/>
      <c r="BF508" s="223">
        <v>-9999</v>
      </c>
      <c r="BG508" s="223">
        <v>-9999</v>
      </c>
      <c r="BH508" s="223">
        <v>-9999</v>
      </c>
      <c r="BI508" s="223">
        <v>-9999</v>
      </c>
      <c r="BJ508" s="223">
        <v>-9999</v>
      </c>
      <c r="BK508" s="223">
        <v>-9999</v>
      </c>
      <c r="BL508" s="223">
        <v>-9999</v>
      </c>
      <c r="BM508" s="223">
        <v>-9999</v>
      </c>
      <c r="BN508" s="223">
        <v>-9999</v>
      </c>
      <c r="BO508" s="223">
        <v>-9999</v>
      </c>
      <c r="BP508" s="223">
        <v>-9999</v>
      </c>
      <c r="BQ508" s="223">
        <v>-9999</v>
      </c>
      <c r="BR508" s="223">
        <v>-9999</v>
      </c>
      <c r="BS508" s="242">
        <v>-9999</v>
      </c>
      <c r="BT508" s="223">
        <v>-9999</v>
      </c>
      <c r="BU508" s="223">
        <v>-9999</v>
      </c>
      <c r="BV508" s="223">
        <v>-9999</v>
      </c>
      <c r="BW508" s="223"/>
      <c r="BX508" s="223">
        <v>-9999</v>
      </c>
      <c r="BY508" s="223">
        <v>-9999</v>
      </c>
      <c r="BZ508" s="223">
        <v>-9999</v>
      </c>
      <c r="CA508" s="332">
        <v>-9999</v>
      </c>
      <c r="CB508" s="247"/>
      <c r="CC508" s="83">
        <v>1</v>
      </c>
      <c r="CD508" s="32">
        <v>7</v>
      </c>
      <c r="CE508" s="292">
        <v>5.8</v>
      </c>
      <c r="CF508" s="292">
        <v>7.0000000000000071</v>
      </c>
      <c r="CG508" s="84">
        <v>7</v>
      </c>
    </row>
    <row r="509" spans="1:1873" s="23" customFormat="1" x14ac:dyDescent="0.2">
      <c r="A509" s="32" t="s">
        <v>785</v>
      </c>
      <c r="B509" s="223" t="s">
        <v>786</v>
      </c>
      <c r="C509" s="404" t="s">
        <v>1441</v>
      </c>
      <c r="D509" s="223" t="s">
        <v>619</v>
      </c>
      <c r="E509" s="241" t="s">
        <v>1446</v>
      </c>
      <c r="F509" s="241">
        <v>1</v>
      </c>
      <c r="G509" s="223">
        <v>8</v>
      </c>
      <c r="H509" s="242">
        <v>8</v>
      </c>
      <c r="I509" s="223" t="s">
        <v>954</v>
      </c>
      <c r="J509" s="223">
        <v>1977</v>
      </c>
      <c r="K509" s="223" t="s">
        <v>957</v>
      </c>
      <c r="L509" s="223">
        <v>1984</v>
      </c>
      <c r="M509" s="243">
        <v>-9999</v>
      </c>
      <c r="N509" s="223">
        <v>-9999</v>
      </c>
      <c r="O509" s="29"/>
      <c r="P509" s="285">
        <f t="shared" si="34"/>
        <v>50.4</v>
      </c>
      <c r="Q509" s="223">
        <v>-9999</v>
      </c>
      <c r="R509" s="243"/>
      <c r="S509" s="223"/>
      <c r="T509" s="243">
        <v>6.3</v>
      </c>
      <c r="U509" s="243">
        <v>2.7</v>
      </c>
      <c r="V509" s="243"/>
      <c r="W509" s="244">
        <f t="shared" si="35"/>
        <v>9.7999999999999972</v>
      </c>
      <c r="X509" s="223">
        <v>-9999</v>
      </c>
      <c r="Y509" s="223"/>
      <c r="Z509" s="223" t="s">
        <v>67</v>
      </c>
      <c r="AA509" s="441">
        <v>6719</v>
      </c>
      <c r="AB509" s="243">
        <v>-9999</v>
      </c>
      <c r="AC509" s="223">
        <v>-9999</v>
      </c>
      <c r="AD509" s="223">
        <f t="shared" si="25"/>
        <v>1900</v>
      </c>
      <c r="AE509" s="404" t="s">
        <v>1955</v>
      </c>
      <c r="AF509" s="223">
        <v>16</v>
      </c>
      <c r="AG509" s="240" t="s">
        <v>283</v>
      </c>
      <c r="AH509" s="223" t="s">
        <v>623</v>
      </c>
      <c r="AI509" s="223">
        <v>-9999</v>
      </c>
      <c r="AJ509" s="223">
        <v>-9999</v>
      </c>
      <c r="AK509" s="223" t="s">
        <v>631</v>
      </c>
      <c r="AL509" s="223">
        <v>-9999</v>
      </c>
      <c r="AM509" s="223">
        <v>-9999</v>
      </c>
      <c r="AN509" s="223" t="s">
        <v>626</v>
      </c>
      <c r="AO509" s="223" t="s">
        <v>788</v>
      </c>
      <c r="AP509" s="223" t="s">
        <v>789</v>
      </c>
      <c r="AQ509" s="223" t="s">
        <v>626</v>
      </c>
      <c r="AR509" s="223">
        <f>110+AR508</f>
        <v>886</v>
      </c>
      <c r="AS509" s="223" t="s">
        <v>723</v>
      </c>
      <c r="AT509" s="223" t="s">
        <v>790</v>
      </c>
      <c r="AU509" s="223">
        <v>0</v>
      </c>
      <c r="AV509" s="223">
        <v>-9999</v>
      </c>
      <c r="AW509" s="223">
        <v>-9999</v>
      </c>
      <c r="AX509" s="223">
        <v>0</v>
      </c>
      <c r="AY509" s="223">
        <v>-9999</v>
      </c>
      <c r="AZ509" s="223" t="s">
        <v>790</v>
      </c>
      <c r="BA509" s="223">
        <v>-9999</v>
      </c>
      <c r="BB509" s="223" t="s">
        <v>626</v>
      </c>
      <c r="BC509" s="223" t="s">
        <v>791</v>
      </c>
      <c r="BD509" s="223" t="s">
        <v>792</v>
      </c>
      <c r="BE509" s="223"/>
      <c r="BF509" s="223">
        <v>-9999</v>
      </c>
      <c r="BG509" s="223">
        <v>-9999</v>
      </c>
      <c r="BH509" s="223">
        <v>-9999</v>
      </c>
      <c r="BI509" s="223">
        <v>-9999</v>
      </c>
      <c r="BJ509" s="223">
        <v>-9999</v>
      </c>
      <c r="BK509" s="223">
        <v>-9999</v>
      </c>
      <c r="BL509" s="223">
        <v>-9999</v>
      </c>
      <c r="BM509" s="223">
        <v>-9999</v>
      </c>
      <c r="BN509" s="223">
        <v>-9999</v>
      </c>
      <c r="BO509" s="223">
        <v>-9999</v>
      </c>
      <c r="BP509" s="223">
        <v>-9999</v>
      </c>
      <c r="BQ509" s="223">
        <v>-9999</v>
      </c>
      <c r="BR509" s="223">
        <v>-9999</v>
      </c>
      <c r="BS509" s="242">
        <v>-9999</v>
      </c>
      <c r="BT509" s="223">
        <v>-9999</v>
      </c>
      <c r="BU509" s="223">
        <v>-9999</v>
      </c>
      <c r="BV509" s="223">
        <v>-9999</v>
      </c>
      <c r="BW509" s="223"/>
      <c r="BX509" s="223">
        <v>-9999</v>
      </c>
      <c r="BY509" s="223">
        <v>-9999</v>
      </c>
      <c r="BZ509" s="223">
        <v>-9999</v>
      </c>
      <c r="CA509" s="332">
        <v>-9999</v>
      </c>
      <c r="CB509" s="247"/>
      <c r="CC509" s="83">
        <v>1</v>
      </c>
      <c r="CD509" s="32">
        <v>8</v>
      </c>
      <c r="CE509" s="292">
        <v>6.3</v>
      </c>
      <c r="CF509" s="292">
        <v>9.7999999999999972</v>
      </c>
      <c r="CG509" s="84">
        <v>8</v>
      </c>
    </row>
    <row r="510" spans="1:1873" s="23" customFormat="1" x14ac:dyDescent="0.2">
      <c r="A510" s="32"/>
      <c r="B510" s="223"/>
      <c r="C510" s="223"/>
      <c r="D510" s="223"/>
      <c r="E510" s="241"/>
      <c r="F510" s="241"/>
      <c r="G510" s="223"/>
      <c r="H510" s="242"/>
      <c r="I510" s="223"/>
      <c r="J510" s="223"/>
      <c r="K510" s="223"/>
      <c r="L510" s="223"/>
      <c r="M510" s="243"/>
      <c r="N510" s="223"/>
      <c r="O510" s="29"/>
      <c r="P510" s="243"/>
      <c r="Q510" s="223"/>
      <c r="R510" s="243"/>
      <c r="S510" s="223"/>
      <c r="T510" s="243"/>
      <c r="U510" s="243"/>
      <c r="V510" s="243"/>
      <c r="W510" s="243"/>
      <c r="X510" s="223"/>
      <c r="Y510" s="223"/>
      <c r="Z510" s="223"/>
      <c r="AA510" s="441"/>
      <c r="AB510" s="243"/>
      <c r="AC510" s="223"/>
      <c r="AD510" s="223"/>
      <c r="AE510" s="223"/>
      <c r="AF510" s="223"/>
      <c r="AG510" s="240"/>
      <c r="AH510" s="223"/>
      <c r="AI510" s="223"/>
      <c r="AJ510" s="223"/>
      <c r="AK510" s="223"/>
      <c r="AL510" s="223"/>
      <c r="AM510" s="223"/>
      <c r="AN510" s="223"/>
      <c r="AO510" s="223"/>
      <c r="AP510" s="223"/>
      <c r="AQ510" s="223"/>
      <c r="AR510" s="223"/>
      <c r="AS510" s="223"/>
      <c r="AT510" s="223"/>
      <c r="AU510" s="223"/>
      <c r="AV510" s="223"/>
      <c r="AW510" s="223"/>
      <c r="AX510" s="223"/>
      <c r="AY510" s="223"/>
      <c r="AZ510" s="223"/>
      <c r="BA510" s="223"/>
      <c r="BB510" s="223"/>
      <c r="BC510" s="223"/>
      <c r="BD510" s="223"/>
      <c r="BE510" s="223"/>
      <c r="BF510" s="223"/>
      <c r="BG510" s="223"/>
      <c r="BH510" s="223"/>
      <c r="BI510" s="223"/>
      <c r="BJ510" s="223"/>
      <c r="BK510" s="223"/>
      <c r="BL510" s="223"/>
      <c r="BM510" s="223"/>
      <c r="BN510" s="223"/>
      <c r="BO510" s="223"/>
      <c r="BP510" s="223"/>
      <c r="BQ510" s="223"/>
      <c r="BR510" s="223"/>
      <c r="BS510" s="242"/>
      <c r="BT510" s="223"/>
      <c r="BU510" s="223"/>
      <c r="BV510" s="223"/>
      <c r="BW510" s="223"/>
      <c r="BX510" s="223"/>
      <c r="BY510" s="223"/>
      <c r="BZ510" s="223"/>
      <c r="CA510" s="332"/>
      <c r="CB510" s="247"/>
      <c r="CC510" s="83"/>
      <c r="CD510" s="32"/>
      <c r="CE510" s="342" t="s">
        <v>1576</v>
      </c>
      <c r="CF510" s="342" t="s">
        <v>1575</v>
      </c>
      <c r="CG510" s="84"/>
    </row>
    <row r="511" spans="1:1873" s="23" customFormat="1" x14ac:dyDescent="0.2">
      <c r="A511" s="32" t="s">
        <v>785</v>
      </c>
      <c r="B511" s="223" t="s">
        <v>786</v>
      </c>
      <c r="C511" s="404" t="s">
        <v>1442</v>
      </c>
      <c r="D511" s="223" t="s">
        <v>619</v>
      </c>
      <c r="E511" s="241" t="s">
        <v>1446</v>
      </c>
      <c r="F511" s="241">
        <v>1</v>
      </c>
      <c r="G511" s="223">
        <v>3</v>
      </c>
      <c r="H511" s="242">
        <v>3</v>
      </c>
      <c r="I511" s="223" t="s">
        <v>954</v>
      </c>
      <c r="J511" s="223">
        <v>1977</v>
      </c>
      <c r="K511" s="223" t="s">
        <v>957</v>
      </c>
      <c r="L511" s="223">
        <v>1979</v>
      </c>
      <c r="M511" s="243">
        <v>-9999</v>
      </c>
      <c r="N511" s="223">
        <v>-9999</v>
      </c>
      <c r="O511" s="29"/>
      <c r="P511" s="285">
        <f t="shared" ref="P511:P516" si="36">+T511*G511</f>
        <v>1.5</v>
      </c>
      <c r="Q511" s="223">
        <v>-9999</v>
      </c>
      <c r="R511" s="243"/>
      <c r="S511" s="223"/>
      <c r="T511" s="243">
        <v>0.5</v>
      </c>
      <c r="U511" s="243">
        <v>0.3</v>
      </c>
      <c r="V511" s="243"/>
      <c r="W511" s="244"/>
      <c r="X511" s="223">
        <v>-9999</v>
      </c>
      <c r="Y511" s="223"/>
      <c r="Z511" s="223" t="s">
        <v>73</v>
      </c>
      <c r="AA511" s="441">
        <v>3086</v>
      </c>
      <c r="AB511" s="243">
        <v>-9999</v>
      </c>
      <c r="AC511" s="223">
        <v>-9999</v>
      </c>
      <c r="AD511" s="223">
        <f t="shared" si="25"/>
        <v>1900</v>
      </c>
      <c r="AE511" s="404" t="s">
        <v>280</v>
      </c>
      <c r="AF511" s="223">
        <v>16</v>
      </c>
      <c r="AG511" s="240" t="s">
        <v>283</v>
      </c>
      <c r="AH511" s="223" t="s">
        <v>623</v>
      </c>
      <c r="AI511" s="223">
        <v>-9999</v>
      </c>
      <c r="AJ511" s="223">
        <v>-9999</v>
      </c>
      <c r="AK511" s="223" t="s">
        <v>631</v>
      </c>
      <c r="AL511" s="223">
        <v>-9999</v>
      </c>
      <c r="AM511" s="223">
        <v>-9999</v>
      </c>
      <c r="AN511" s="223" t="s">
        <v>626</v>
      </c>
      <c r="AO511" s="223" t="s">
        <v>788</v>
      </c>
      <c r="AP511" s="223" t="s">
        <v>789</v>
      </c>
      <c r="AQ511" s="223" t="s">
        <v>626</v>
      </c>
      <c r="AR511" s="223">
        <f t="shared" ref="AR511:AR516" si="37">110+AR510</f>
        <v>110</v>
      </c>
      <c r="AS511" s="223" t="s">
        <v>723</v>
      </c>
      <c r="AT511" s="223" t="s">
        <v>790</v>
      </c>
      <c r="AU511" s="223">
        <v>0</v>
      </c>
      <c r="AV511" s="223">
        <v>-9999</v>
      </c>
      <c r="AW511" s="223">
        <v>-9999</v>
      </c>
      <c r="AX511" s="223">
        <v>0</v>
      </c>
      <c r="AY511" s="223">
        <v>-9999</v>
      </c>
      <c r="AZ511" s="223" t="s">
        <v>790</v>
      </c>
      <c r="BA511" s="223">
        <v>-9999</v>
      </c>
      <c r="BB511" s="223" t="s">
        <v>626</v>
      </c>
      <c r="BC511" s="223" t="s">
        <v>791</v>
      </c>
      <c r="BD511" s="223" t="s">
        <v>792</v>
      </c>
      <c r="BE511" s="223"/>
      <c r="BF511" s="223">
        <v>-9999</v>
      </c>
      <c r="BG511" s="223">
        <v>-9999</v>
      </c>
      <c r="BH511" s="223">
        <v>-9999</v>
      </c>
      <c r="BI511" s="223">
        <v>-9999</v>
      </c>
      <c r="BJ511" s="223">
        <v>-9999</v>
      </c>
      <c r="BK511" s="223">
        <v>-9999</v>
      </c>
      <c r="BL511" s="223">
        <v>-9999</v>
      </c>
      <c r="BM511" s="223">
        <v>-9999</v>
      </c>
      <c r="BN511" s="223">
        <v>-9999</v>
      </c>
      <c r="BO511" s="223">
        <v>-9999</v>
      </c>
      <c r="BP511" s="223">
        <v>-9999</v>
      </c>
      <c r="BQ511" s="223">
        <v>-9999</v>
      </c>
      <c r="BR511" s="223">
        <v>-9999</v>
      </c>
      <c r="BS511" s="242">
        <v>-9999</v>
      </c>
      <c r="BT511" s="223">
        <v>-9999</v>
      </c>
      <c r="BU511" s="223">
        <v>-9999</v>
      </c>
      <c r="BV511" s="223">
        <v>-9999</v>
      </c>
      <c r="BW511" s="223"/>
      <c r="BX511" s="223">
        <v>-9999</v>
      </c>
      <c r="BY511" s="223">
        <v>-9999</v>
      </c>
      <c r="BZ511" s="223">
        <v>-9999</v>
      </c>
      <c r="CA511" s="332">
        <v>-9999</v>
      </c>
      <c r="CB511" s="247"/>
      <c r="CC511" s="83">
        <v>1</v>
      </c>
      <c r="CD511" s="32">
        <v>3</v>
      </c>
      <c r="CE511" s="292">
        <v>0.5</v>
      </c>
      <c r="CF511" s="292">
        <v>1.5</v>
      </c>
      <c r="CG511" s="84">
        <v>3</v>
      </c>
    </row>
    <row r="512" spans="1:1873" s="23" customFormat="1" x14ac:dyDescent="0.2">
      <c r="A512" s="32" t="s">
        <v>785</v>
      </c>
      <c r="B512" s="223" t="s">
        <v>786</v>
      </c>
      <c r="C512" s="404" t="s">
        <v>1442</v>
      </c>
      <c r="D512" s="223" t="s">
        <v>619</v>
      </c>
      <c r="E512" s="241" t="s">
        <v>1446</v>
      </c>
      <c r="F512" s="241">
        <v>1</v>
      </c>
      <c r="G512" s="223">
        <v>4</v>
      </c>
      <c r="H512" s="242">
        <v>4</v>
      </c>
      <c r="I512" s="223" t="s">
        <v>954</v>
      </c>
      <c r="J512" s="223">
        <v>1977</v>
      </c>
      <c r="K512" s="223" t="s">
        <v>957</v>
      </c>
      <c r="L512" s="223">
        <v>1980</v>
      </c>
      <c r="M512" s="243">
        <v>-9999</v>
      </c>
      <c r="N512" s="223">
        <v>-9999</v>
      </c>
      <c r="O512" s="29"/>
      <c r="P512" s="285">
        <f t="shared" si="36"/>
        <v>6</v>
      </c>
      <c r="Q512" s="223">
        <v>-9999</v>
      </c>
      <c r="R512" s="243"/>
      <c r="S512" s="223"/>
      <c r="T512" s="243">
        <v>1.5</v>
      </c>
      <c r="U512" s="243">
        <v>0.5</v>
      </c>
      <c r="V512" s="243"/>
      <c r="W512" s="244">
        <f>+P512-P511</f>
        <v>4.5</v>
      </c>
      <c r="X512" s="223">
        <v>-9999</v>
      </c>
      <c r="Y512" s="223"/>
      <c r="Z512" s="223" t="s">
        <v>73</v>
      </c>
      <c r="AA512" s="441">
        <v>3086</v>
      </c>
      <c r="AB512" s="243">
        <v>-9999</v>
      </c>
      <c r="AC512" s="223">
        <v>-9999</v>
      </c>
      <c r="AD512" s="223">
        <f t="shared" si="25"/>
        <v>1900</v>
      </c>
      <c r="AE512" s="404" t="s">
        <v>280</v>
      </c>
      <c r="AF512" s="223">
        <v>16</v>
      </c>
      <c r="AG512" s="240" t="s">
        <v>283</v>
      </c>
      <c r="AH512" s="223" t="s">
        <v>623</v>
      </c>
      <c r="AI512" s="223">
        <v>-9999</v>
      </c>
      <c r="AJ512" s="223">
        <v>-9999</v>
      </c>
      <c r="AK512" s="223" t="s">
        <v>631</v>
      </c>
      <c r="AL512" s="223">
        <v>-9999</v>
      </c>
      <c r="AM512" s="223">
        <v>-9999</v>
      </c>
      <c r="AN512" s="223" t="s">
        <v>626</v>
      </c>
      <c r="AO512" s="223" t="s">
        <v>788</v>
      </c>
      <c r="AP512" s="223" t="s">
        <v>789</v>
      </c>
      <c r="AQ512" s="223" t="s">
        <v>626</v>
      </c>
      <c r="AR512" s="223">
        <f t="shared" si="37"/>
        <v>220</v>
      </c>
      <c r="AS512" s="223" t="s">
        <v>723</v>
      </c>
      <c r="AT512" s="223" t="s">
        <v>790</v>
      </c>
      <c r="AU512" s="223">
        <v>0</v>
      </c>
      <c r="AV512" s="223">
        <v>-9999</v>
      </c>
      <c r="AW512" s="223">
        <v>-9999</v>
      </c>
      <c r="AX512" s="223">
        <v>0</v>
      </c>
      <c r="AY512" s="223">
        <v>-9999</v>
      </c>
      <c r="AZ512" s="223" t="s">
        <v>790</v>
      </c>
      <c r="BA512" s="223">
        <v>-9999</v>
      </c>
      <c r="BB512" s="223" t="s">
        <v>626</v>
      </c>
      <c r="BC512" s="223" t="s">
        <v>791</v>
      </c>
      <c r="BD512" s="223" t="s">
        <v>792</v>
      </c>
      <c r="BE512" s="223"/>
      <c r="BF512" s="223">
        <v>-9999</v>
      </c>
      <c r="BG512" s="223">
        <v>-9999</v>
      </c>
      <c r="BH512" s="223">
        <v>-9999</v>
      </c>
      <c r="BI512" s="223">
        <v>-9999</v>
      </c>
      <c r="BJ512" s="223">
        <v>-9999</v>
      </c>
      <c r="BK512" s="223">
        <v>-9999</v>
      </c>
      <c r="BL512" s="223">
        <v>-9999</v>
      </c>
      <c r="BM512" s="223">
        <v>-9999</v>
      </c>
      <c r="BN512" s="223">
        <v>-9999</v>
      </c>
      <c r="BO512" s="223">
        <v>-9999</v>
      </c>
      <c r="BP512" s="223">
        <v>-9999</v>
      </c>
      <c r="BQ512" s="223">
        <v>-9999</v>
      </c>
      <c r="BR512" s="223">
        <v>-9999</v>
      </c>
      <c r="BS512" s="242">
        <v>-9999</v>
      </c>
      <c r="BT512" s="223">
        <v>-9999</v>
      </c>
      <c r="BU512" s="223">
        <v>-9999</v>
      </c>
      <c r="BV512" s="223">
        <v>-9999</v>
      </c>
      <c r="BW512" s="223"/>
      <c r="BX512" s="223">
        <v>-9999</v>
      </c>
      <c r="BY512" s="223">
        <v>-9999</v>
      </c>
      <c r="BZ512" s="223">
        <v>-9999</v>
      </c>
      <c r="CA512" s="332">
        <v>-9999</v>
      </c>
      <c r="CB512" s="247"/>
      <c r="CC512" s="83">
        <v>1</v>
      </c>
      <c r="CD512" s="32">
        <v>4</v>
      </c>
      <c r="CE512" s="292">
        <v>1.5</v>
      </c>
      <c r="CF512" s="292">
        <v>4.5</v>
      </c>
      <c r="CG512" s="84">
        <v>4</v>
      </c>
    </row>
    <row r="513" spans="1:86" s="23" customFormat="1" x14ac:dyDescent="0.2">
      <c r="A513" s="32" t="s">
        <v>785</v>
      </c>
      <c r="B513" s="223" t="s">
        <v>786</v>
      </c>
      <c r="C513" s="404" t="s">
        <v>1442</v>
      </c>
      <c r="D513" s="223" t="s">
        <v>619</v>
      </c>
      <c r="E513" s="241" t="s">
        <v>1446</v>
      </c>
      <c r="F513" s="241">
        <v>1</v>
      </c>
      <c r="G513" s="223">
        <v>5</v>
      </c>
      <c r="H513" s="242">
        <v>5</v>
      </c>
      <c r="I513" s="223" t="s">
        <v>954</v>
      </c>
      <c r="J513" s="223">
        <v>1977</v>
      </c>
      <c r="K513" s="223" t="s">
        <v>957</v>
      </c>
      <c r="L513" s="223">
        <v>1981</v>
      </c>
      <c r="M513" s="243">
        <v>-9999</v>
      </c>
      <c r="N513" s="223">
        <v>-9999</v>
      </c>
      <c r="O513" s="29"/>
      <c r="P513" s="285">
        <f t="shared" si="36"/>
        <v>12</v>
      </c>
      <c r="Q513" s="223">
        <v>-9999</v>
      </c>
      <c r="R513" s="243"/>
      <c r="S513" s="223"/>
      <c r="T513" s="243">
        <v>2.4</v>
      </c>
      <c r="U513" s="243">
        <v>0.6</v>
      </c>
      <c r="V513" s="243"/>
      <c r="W513" s="244">
        <f>+P513-P512</f>
        <v>6</v>
      </c>
      <c r="X513" s="223">
        <v>-9999</v>
      </c>
      <c r="Y513" s="223"/>
      <c r="Z513" s="223" t="s">
        <v>73</v>
      </c>
      <c r="AA513" s="441">
        <v>3086</v>
      </c>
      <c r="AB513" s="243">
        <v>-9999</v>
      </c>
      <c r="AC513" s="223">
        <v>-9999</v>
      </c>
      <c r="AD513" s="223">
        <f t="shared" si="25"/>
        <v>1900</v>
      </c>
      <c r="AE513" s="404" t="s">
        <v>280</v>
      </c>
      <c r="AF513" s="223">
        <v>16</v>
      </c>
      <c r="AG513" s="240" t="s">
        <v>283</v>
      </c>
      <c r="AH513" s="223" t="s">
        <v>623</v>
      </c>
      <c r="AI513" s="223">
        <v>-9999</v>
      </c>
      <c r="AJ513" s="223">
        <v>-9999</v>
      </c>
      <c r="AK513" s="223" t="s">
        <v>631</v>
      </c>
      <c r="AL513" s="223">
        <v>-9999</v>
      </c>
      <c r="AM513" s="223">
        <v>-9999</v>
      </c>
      <c r="AN513" s="223" t="s">
        <v>626</v>
      </c>
      <c r="AO513" s="223" t="s">
        <v>788</v>
      </c>
      <c r="AP513" s="223" t="s">
        <v>789</v>
      </c>
      <c r="AQ513" s="223" t="s">
        <v>626</v>
      </c>
      <c r="AR513" s="223">
        <f t="shared" si="37"/>
        <v>330</v>
      </c>
      <c r="AS513" s="223" t="s">
        <v>723</v>
      </c>
      <c r="AT513" s="223" t="s">
        <v>790</v>
      </c>
      <c r="AU513" s="223">
        <v>0</v>
      </c>
      <c r="AV513" s="223">
        <v>-9999</v>
      </c>
      <c r="AW513" s="223">
        <v>-9999</v>
      </c>
      <c r="AX513" s="223">
        <v>0</v>
      </c>
      <c r="AY513" s="223">
        <v>-9999</v>
      </c>
      <c r="AZ513" s="223" t="s">
        <v>790</v>
      </c>
      <c r="BA513" s="223">
        <v>-9999</v>
      </c>
      <c r="BB513" s="223" t="s">
        <v>626</v>
      </c>
      <c r="BC513" s="223" t="s">
        <v>791</v>
      </c>
      <c r="BD513" s="223" t="s">
        <v>792</v>
      </c>
      <c r="BE513" s="223"/>
      <c r="BF513" s="223">
        <v>-9999</v>
      </c>
      <c r="BG513" s="223">
        <v>-9999</v>
      </c>
      <c r="BH513" s="223">
        <v>-9999</v>
      </c>
      <c r="BI513" s="223">
        <v>-9999</v>
      </c>
      <c r="BJ513" s="223">
        <v>-9999</v>
      </c>
      <c r="BK513" s="223">
        <v>-9999</v>
      </c>
      <c r="BL513" s="223">
        <v>-9999</v>
      </c>
      <c r="BM513" s="223">
        <v>-9999</v>
      </c>
      <c r="BN513" s="223">
        <v>-9999</v>
      </c>
      <c r="BO513" s="223">
        <v>-9999</v>
      </c>
      <c r="BP513" s="223">
        <v>-9999</v>
      </c>
      <c r="BQ513" s="223">
        <v>-9999</v>
      </c>
      <c r="BR513" s="223">
        <v>-9999</v>
      </c>
      <c r="BS513" s="242">
        <v>-9999</v>
      </c>
      <c r="BT513" s="223">
        <v>-9999</v>
      </c>
      <c r="BU513" s="223">
        <v>-9999</v>
      </c>
      <c r="BV513" s="223">
        <v>-9999</v>
      </c>
      <c r="BW513" s="223"/>
      <c r="BX513" s="223">
        <v>-9999</v>
      </c>
      <c r="BY513" s="223">
        <v>-9999</v>
      </c>
      <c r="BZ513" s="223">
        <v>-9999</v>
      </c>
      <c r="CA513" s="332">
        <v>-9999</v>
      </c>
      <c r="CB513" s="247"/>
      <c r="CC513" s="83">
        <v>1</v>
      </c>
      <c r="CD513" s="32">
        <v>5</v>
      </c>
      <c r="CE513" s="292">
        <v>2.4</v>
      </c>
      <c r="CF513" s="292">
        <v>6</v>
      </c>
      <c r="CG513" s="84">
        <v>5</v>
      </c>
    </row>
    <row r="514" spans="1:86" s="23" customFormat="1" x14ac:dyDescent="0.2">
      <c r="A514" s="32" t="s">
        <v>785</v>
      </c>
      <c r="B514" s="223" t="s">
        <v>786</v>
      </c>
      <c r="C514" s="404" t="s">
        <v>1442</v>
      </c>
      <c r="D514" s="223" t="s">
        <v>619</v>
      </c>
      <c r="E514" s="241" t="s">
        <v>1446</v>
      </c>
      <c r="F514" s="241">
        <v>1</v>
      </c>
      <c r="G514" s="223">
        <v>6</v>
      </c>
      <c r="H514" s="242">
        <v>6</v>
      </c>
      <c r="I514" s="223" t="s">
        <v>954</v>
      </c>
      <c r="J514" s="223">
        <v>1977</v>
      </c>
      <c r="K514" s="223" t="s">
        <v>957</v>
      </c>
      <c r="L514" s="223">
        <v>1982</v>
      </c>
      <c r="M514" s="243">
        <v>-9999</v>
      </c>
      <c r="N514" s="223">
        <v>-9999</v>
      </c>
      <c r="O514" s="29"/>
      <c r="P514" s="285">
        <f t="shared" si="36"/>
        <v>24</v>
      </c>
      <c r="Q514" s="223">
        <v>-9999</v>
      </c>
      <c r="R514" s="243"/>
      <c r="S514" s="223"/>
      <c r="T514" s="243">
        <v>4</v>
      </c>
      <c r="U514" s="243">
        <v>0.9</v>
      </c>
      <c r="V514" s="243"/>
      <c r="W514" s="244">
        <f>+P514-P513</f>
        <v>12</v>
      </c>
      <c r="X514" s="223">
        <v>-9999</v>
      </c>
      <c r="Y514" s="223"/>
      <c r="Z514" s="223" t="s">
        <v>73</v>
      </c>
      <c r="AA514" s="441">
        <v>3086</v>
      </c>
      <c r="AB514" s="243">
        <v>-9999</v>
      </c>
      <c r="AC514" s="223">
        <v>-9999</v>
      </c>
      <c r="AD514" s="223">
        <f t="shared" si="25"/>
        <v>1900</v>
      </c>
      <c r="AE514" s="404" t="s">
        <v>280</v>
      </c>
      <c r="AF514" s="223">
        <v>16</v>
      </c>
      <c r="AG514" s="240" t="s">
        <v>283</v>
      </c>
      <c r="AH514" s="223" t="s">
        <v>623</v>
      </c>
      <c r="AI514" s="223">
        <v>-9999</v>
      </c>
      <c r="AJ514" s="223">
        <v>-9999</v>
      </c>
      <c r="AK514" s="223" t="s">
        <v>631</v>
      </c>
      <c r="AL514" s="223">
        <v>-9999</v>
      </c>
      <c r="AM514" s="223">
        <v>-9999</v>
      </c>
      <c r="AN514" s="223" t="s">
        <v>626</v>
      </c>
      <c r="AO514" s="223" t="s">
        <v>788</v>
      </c>
      <c r="AP514" s="223" t="s">
        <v>789</v>
      </c>
      <c r="AQ514" s="223" t="s">
        <v>626</v>
      </c>
      <c r="AR514" s="223">
        <f t="shared" si="37"/>
        <v>440</v>
      </c>
      <c r="AS514" s="223" t="s">
        <v>723</v>
      </c>
      <c r="AT514" s="223" t="s">
        <v>790</v>
      </c>
      <c r="AU514" s="223">
        <v>0</v>
      </c>
      <c r="AV514" s="223">
        <v>-9999</v>
      </c>
      <c r="AW514" s="223">
        <v>-9999</v>
      </c>
      <c r="AX514" s="223">
        <v>0</v>
      </c>
      <c r="AY514" s="223">
        <v>-9999</v>
      </c>
      <c r="AZ514" s="223" t="s">
        <v>790</v>
      </c>
      <c r="BA514" s="223">
        <v>-9999</v>
      </c>
      <c r="BB514" s="223" t="s">
        <v>626</v>
      </c>
      <c r="BC514" s="223" t="s">
        <v>791</v>
      </c>
      <c r="BD514" s="223" t="s">
        <v>792</v>
      </c>
      <c r="BE514" s="223"/>
      <c r="BF514" s="223">
        <v>-9999</v>
      </c>
      <c r="BG514" s="223">
        <v>-9999</v>
      </c>
      <c r="BH514" s="223">
        <v>-9999</v>
      </c>
      <c r="BI514" s="223">
        <v>-9999</v>
      </c>
      <c r="BJ514" s="223">
        <v>-9999</v>
      </c>
      <c r="BK514" s="223">
        <v>-9999</v>
      </c>
      <c r="BL514" s="223">
        <v>-9999</v>
      </c>
      <c r="BM514" s="223">
        <v>-9999</v>
      </c>
      <c r="BN514" s="223">
        <v>-9999</v>
      </c>
      <c r="BO514" s="223">
        <v>-9999</v>
      </c>
      <c r="BP514" s="223">
        <v>-9999</v>
      </c>
      <c r="BQ514" s="223">
        <v>-9999</v>
      </c>
      <c r="BR514" s="223">
        <v>-9999</v>
      </c>
      <c r="BS514" s="242">
        <v>-9999</v>
      </c>
      <c r="BT514" s="223">
        <v>-9999</v>
      </c>
      <c r="BU514" s="223">
        <v>-9999</v>
      </c>
      <c r="BV514" s="223">
        <v>-9999</v>
      </c>
      <c r="BW514" s="223"/>
      <c r="BX514" s="223">
        <v>-9999</v>
      </c>
      <c r="BY514" s="223">
        <v>-9999</v>
      </c>
      <c r="BZ514" s="223">
        <v>-9999</v>
      </c>
      <c r="CA514" s="332">
        <v>-9999</v>
      </c>
      <c r="CB514" s="247"/>
      <c r="CC514" s="83">
        <v>1</v>
      </c>
      <c r="CD514" s="32">
        <v>6</v>
      </c>
      <c r="CE514" s="292">
        <v>4</v>
      </c>
      <c r="CF514" s="292">
        <v>12</v>
      </c>
      <c r="CG514" s="84">
        <v>6</v>
      </c>
    </row>
    <row r="515" spans="1:86" s="23" customFormat="1" x14ac:dyDescent="0.2">
      <c r="A515" s="32" t="s">
        <v>785</v>
      </c>
      <c r="B515" s="223" t="s">
        <v>786</v>
      </c>
      <c r="C515" s="404" t="s">
        <v>1442</v>
      </c>
      <c r="D515" s="223" t="s">
        <v>619</v>
      </c>
      <c r="E515" s="241" t="s">
        <v>1446</v>
      </c>
      <c r="F515" s="241">
        <v>1</v>
      </c>
      <c r="G515" s="223">
        <v>7</v>
      </c>
      <c r="H515" s="242">
        <v>7</v>
      </c>
      <c r="I515" s="223" t="s">
        <v>954</v>
      </c>
      <c r="J515" s="223">
        <v>1977</v>
      </c>
      <c r="K515" s="223" t="s">
        <v>957</v>
      </c>
      <c r="L515" s="223">
        <v>1983</v>
      </c>
      <c r="M515" s="243">
        <v>-9999</v>
      </c>
      <c r="N515" s="223">
        <v>-9999</v>
      </c>
      <c r="O515" s="29"/>
      <c r="P515" s="285">
        <f t="shared" si="36"/>
        <v>32.9</v>
      </c>
      <c r="Q515" s="223">
        <v>-9999</v>
      </c>
      <c r="R515" s="243"/>
      <c r="S515" s="223"/>
      <c r="T515" s="243">
        <v>4.7</v>
      </c>
      <c r="U515" s="243">
        <v>1.1000000000000001</v>
      </c>
      <c r="V515" s="243"/>
      <c r="W515" s="244">
        <f>+P515-P514</f>
        <v>8.8999999999999986</v>
      </c>
      <c r="X515" s="223">
        <v>-9999</v>
      </c>
      <c r="Y515" s="223"/>
      <c r="Z515" s="223" t="s">
        <v>73</v>
      </c>
      <c r="AA515" s="441">
        <v>3086</v>
      </c>
      <c r="AB515" s="243">
        <v>-9999</v>
      </c>
      <c r="AC515" s="223">
        <v>-9999</v>
      </c>
      <c r="AD515" s="223">
        <f t="shared" si="25"/>
        <v>1900</v>
      </c>
      <c r="AE515" s="404" t="s">
        <v>280</v>
      </c>
      <c r="AF515" s="223">
        <v>16</v>
      </c>
      <c r="AG515" s="240" t="s">
        <v>283</v>
      </c>
      <c r="AH515" s="223" t="s">
        <v>623</v>
      </c>
      <c r="AI515" s="223">
        <v>-9999</v>
      </c>
      <c r="AJ515" s="223">
        <v>-9999</v>
      </c>
      <c r="AK515" s="223" t="s">
        <v>631</v>
      </c>
      <c r="AL515" s="223">
        <v>-9999</v>
      </c>
      <c r="AM515" s="223">
        <v>-9999</v>
      </c>
      <c r="AN515" s="223" t="s">
        <v>626</v>
      </c>
      <c r="AO515" s="223" t="s">
        <v>788</v>
      </c>
      <c r="AP515" s="223" t="s">
        <v>789</v>
      </c>
      <c r="AQ515" s="223" t="s">
        <v>626</v>
      </c>
      <c r="AR515" s="223">
        <f t="shared" si="37"/>
        <v>550</v>
      </c>
      <c r="AS515" s="223" t="s">
        <v>723</v>
      </c>
      <c r="AT515" s="223" t="s">
        <v>790</v>
      </c>
      <c r="AU515" s="223">
        <v>0</v>
      </c>
      <c r="AV515" s="223">
        <v>-9999</v>
      </c>
      <c r="AW515" s="223">
        <v>-9999</v>
      </c>
      <c r="AX515" s="223">
        <v>0</v>
      </c>
      <c r="AY515" s="223">
        <v>-9999</v>
      </c>
      <c r="AZ515" s="223" t="s">
        <v>790</v>
      </c>
      <c r="BA515" s="223">
        <v>-9999</v>
      </c>
      <c r="BB515" s="223" t="s">
        <v>626</v>
      </c>
      <c r="BC515" s="223" t="s">
        <v>791</v>
      </c>
      <c r="BD515" s="223" t="s">
        <v>792</v>
      </c>
      <c r="BE515" s="223"/>
      <c r="BF515" s="223">
        <v>-9999</v>
      </c>
      <c r="BG515" s="223">
        <v>-9999</v>
      </c>
      <c r="BH515" s="223">
        <v>-9999</v>
      </c>
      <c r="BI515" s="223">
        <v>-9999</v>
      </c>
      <c r="BJ515" s="223">
        <v>-9999</v>
      </c>
      <c r="BK515" s="223">
        <v>-9999</v>
      </c>
      <c r="BL515" s="223">
        <v>-9999</v>
      </c>
      <c r="BM515" s="223">
        <v>-9999</v>
      </c>
      <c r="BN515" s="223">
        <v>-9999</v>
      </c>
      <c r="BO515" s="223">
        <v>-9999</v>
      </c>
      <c r="BP515" s="223">
        <v>-9999</v>
      </c>
      <c r="BQ515" s="223">
        <v>-9999</v>
      </c>
      <c r="BR515" s="223">
        <v>-9999</v>
      </c>
      <c r="BS515" s="242">
        <v>-9999</v>
      </c>
      <c r="BT515" s="223">
        <v>-9999</v>
      </c>
      <c r="BU515" s="223">
        <v>-9999</v>
      </c>
      <c r="BV515" s="223">
        <v>-9999</v>
      </c>
      <c r="BW515" s="223"/>
      <c r="BX515" s="223">
        <v>-9999</v>
      </c>
      <c r="BY515" s="223">
        <v>-9999</v>
      </c>
      <c r="BZ515" s="223">
        <v>-9999</v>
      </c>
      <c r="CA515" s="332">
        <v>-9999</v>
      </c>
      <c r="CB515" s="247"/>
      <c r="CC515" s="83">
        <v>1</v>
      </c>
      <c r="CD515" s="32">
        <v>7</v>
      </c>
      <c r="CE515" s="292">
        <v>4.7</v>
      </c>
      <c r="CF515" s="292">
        <v>8.8999999999999986</v>
      </c>
      <c r="CG515" s="84">
        <v>7</v>
      </c>
    </row>
    <row r="516" spans="1:86" s="23" customFormat="1" x14ac:dyDescent="0.2">
      <c r="A516" s="32" t="s">
        <v>785</v>
      </c>
      <c r="B516" s="223" t="s">
        <v>786</v>
      </c>
      <c r="C516" s="404" t="s">
        <v>1442</v>
      </c>
      <c r="D516" s="223" t="s">
        <v>619</v>
      </c>
      <c r="E516" s="241" t="s">
        <v>1446</v>
      </c>
      <c r="F516" s="241">
        <v>1</v>
      </c>
      <c r="G516" s="223">
        <v>8</v>
      </c>
      <c r="H516" s="242">
        <v>8</v>
      </c>
      <c r="I516" s="223" t="s">
        <v>954</v>
      </c>
      <c r="J516" s="223">
        <v>1977</v>
      </c>
      <c r="K516" s="223" t="s">
        <v>957</v>
      </c>
      <c r="L516" s="223">
        <v>1984</v>
      </c>
      <c r="M516" s="243">
        <v>-9999</v>
      </c>
      <c r="N516" s="223">
        <v>-9999</v>
      </c>
      <c r="O516" s="29"/>
      <c r="P516" s="285">
        <f t="shared" si="36"/>
        <v>44.8</v>
      </c>
      <c r="Q516" s="223">
        <v>-9999</v>
      </c>
      <c r="R516" s="243"/>
      <c r="S516" s="223"/>
      <c r="T516" s="243">
        <v>5.6</v>
      </c>
      <c r="U516" s="243">
        <v>1.5</v>
      </c>
      <c r="V516" s="243"/>
      <c r="W516" s="244">
        <f>+P516-P515</f>
        <v>11.899999999999999</v>
      </c>
      <c r="X516" s="223">
        <v>-9999</v>
      </c>
      <c r="Y516" s="223"/>
      <c r="Z516" s="223" t="s">
        <v>73</v>
      </c>
      <c r="AA516" s="441">
        <v>3086</v>
      </c>
      <c r="AB516" s="243">
        <v>-9999</v>
      </c>
      <c r="AC516" s="223">
        <v>-9999</v>
      </c>
      <c r="AD516" s="223">
        <f t="shared" si="25"/>
        <v>1900</v>
      </c>
      <c r="AE516" s="404" t="s">
        <v>280</v>
      </c>
      <c r="AF516" s="223">
        <v>16</v>
      </c>
      <c r="AG516" s="240" t="s">
        <v>283</v>
      </c>
      <c r="AH516" s="223" t="s">
        <v>623</v>
      </c>
      <c r="AI516" s="223">
        <v>-9999</v>
      </c>
      <c r="AJ516" s="223">
        <v>-9999</v>
      </c>
      <c r="AK516" s="223" t="s">
        <v>631</v>
      </c>
      <c r="AL516" s="223">
        <v>-9999</v>
      </c>
      <c r="AM516" s="223">
        <v>-9999</v>
      </c>
      <c r="AN516" s="223" t="s">
        <v>626</v>
      </c>
      <c r="AO516" s="223" t="s">
        <v>788</v>
      </c>
      <c r="AP516" s="223" t="s">
        <v>789</v>
      </c>
      <c r="AQ516" s="223" t="s">
        <v>626</v>
      </c>
      <c r="AR516" s="223">
        <f t="shared" si="37"/>
        <v>660</v>
      </c>
      <c r="AS516" s="223" t="s">
        <v>723</v>
      </c>
      <c r="AT516" s="223" t="s">
        <v>790</v>
      </c>
      <c r="AU516" s="223">
        <v>0</v>
      </c>
      <c r="AV516" s="223">
        <v>-9999</v>
      </c>
      <c r="AW516" s="223">
        <v>-9999</v>
      </c>
      <c r="AX516" s="223">
        <v>0</v>
      </c>
      <c r="AY516" s="223">
        <v>-9999</v>
      </c>
      <c r="AZ516" s="223" t="s">
        <v>790</v>
      </c>
      <c r="BA516" s="223">
        <v>-9999</v>
      </c>
      <c r="BB516" s="223" t="s">
        <v>626</v>
      </c>
      <c r="BC516" s="223" t="s">
        <v>791</v>
      </c>
      <c r="BD516" s="223" t="s">
        <v>792</v>
      </c>
      <c r="BE516" s="223"/>
      <c r="BF516" s="223">
        <v>-9999</v>
      </c>
      <c r="BG516" s="223">
        <v>-9999</v>
      </c>
      <c r="BH516" s="223">
        <v>-9999</v>
      </c>
      <c r="BI516" s="223">
        <v>-9999</v>
      </c>
      <c r="BJ516" s="223">
        <v>-9999</v>
      </c>
      <c r="BK516" s="223">
        <v>-9999</v>
      </c>
      <c r="BL516" s="223">
        <v>-9999</v>
      </c>
      <c r="BM516" s="223">
        <v>-9999</v>
      </c>
      <c r="BN516" s="223">
        <v>-9999</v>
      </c>
      <c r="BO516" s="223">
        <v>-9999</v>
      </c>
      <c r="BP516" s="223">
        <v>-9999</v>
      </c>
      <c r="BQ516" s="223">
        <v>-9999</v>
      </c>
      <c r="BR516" s="223">
        <v>-9999</v>
      </c>
      <c r="BS516" s="242">
        <v>-9999</v>
      </c>
      <c r="BT516" s="223">
        <v>-9999</v>
      </c>
      <c r="BU516" s="223">
        <v>-9999</v>
      </c>
      <c r="BV516" s="223">
        <v>-9999</v>
      </c>
      <c r="BW516" s="223"/>
      <c r="BX516" s="223">
        <v>-9999</v>
      </c>
      <c r="BY516" s="223">
        <v>-9999</v>
      </c>
      <c r="BZ516" s="223">
        <v>-9999</v>
      </c>
      <c r="CA516" s="332">
        <v>-9999</v>
      </c>
      <c r="CB516" s="247"/>
      <c r="CC516" s="83">
        <v>1</v>
      </c>
      <c r="CD516" s="32">
        <v>8</v>
      </c>
      <c r="CE516" s="292">
        <v>5.6</v>
      </c>
      <c r="CF516" s="292">
        <v>11.899999999999999</v>
      </c>
      <c r="CG516" s="84">
        <v>8</v>
      </c>
    </row>
    <row r="517" spans="1:86" s="23" customFormat="1" x14ac:dyDescent="0.2">
      <c r="A517" s="29"/>
      <c r="B517" s="29"/>
      <c r="C517" s="29"/>
      <c r="D517" s="29"/>
      <c r="E517" s="66"/>
      <c r="F517" s="66"/>
      <c r="G517" s="29"/>
      <c r="H517" s="30"/>
      <c r="I517" s="29"/>
      <c r="J517" s="29"/>
      <c r="K517" s="29"/>
      <c r="L517" s="29"/>
      <c r="M517" s="31"/>
      <c r="N517" s="29"/>
      <c r="O517" s="29"/>
      <c r="P517" s="31"/>
      <c r="Q517" s="29"/>
      <c r="R517" s="31"/>
      <c r="S517" s="29"/>
      <c r="T517" s="31"/>
      <c r="U517" s="31"/>
      <c r="V517" s="31"/>
      <c r="W517" s="31"/>
      <c r="X517" s="29"/>
      <c r="Y517" s="29"/>
      <c r="Z517" s="29"/>
      <c r="AA517" s="275"/>
      <c r="AB517" s="31"/>
      <c r="AC517" s="29"/>
      <c r="AD517" s="29"/>
      <c r="AE517" s="29"/>
      <c r="AF517" s="29"/>
      <c r="AG517" s="1"/>
      <c r="AH517" s="29"/>
      <c r="AI517" s="29"/>
      <c r="AJ517" s="29"/>
      <c r="AK517" s="29"/>
      <c r="AL517" s="29"/>
      <c r="AM517" s="29"/>
      <c r="AN517" s="29"/>
      <c r="AO517" s="29"/>
      <c r="AP517" s="29"/>
      <c r="AQ517" s="29"/>
      <c r="AR517" s="29"/>
      <c r="AS517" s="29"/>
      <c r="AT517" s="29"/>
      <c r="AU517" s="29"/>
      <c r="AV517" s="29"/>
      <c r="AW517" s="29"/>
      <c r="AX517" s="29"/>
      <c r="AY517" s="29"/>
      <c r="AZ517" s="29"/>
      <c r="BA517" s="29"/>
      <c r="BB517" s="29"/>
      <c r="BC517" s="29"/>
      <c r="BD517" s="29"/>
      <c r="BE517" s="29"/>
      <c r="BF517" s="29"/>
      <c r="BG517" s="29"/>
      <c r="BH517" s="29"/>
      <c r="BI517" s="29"/>
      <c r="BJ517" s="29"/>
      <c r="BK517" s="29"/>
      <c r="BL517" s="29"/>
      <c r="BM517" s="29"/>
      <c r="BN517" s="29"/>
      <c r="BO517" s="29"/>
      <c r="BP517" s="29"/>
      <c r="BQ517" s="29"/>
      <c r="BR517" s="29"/>
      <c r="BS517" s="30"/>
      <c r="BT517" s="29"/>
      <c r="BU517" s="29"/>
      <c r="BV517" s="29"/>
      <c r="BW517" s="29"/>
      <c r="BX517" s="29"/>
      <c r="BY517" s="29"/>
      <c r="BZ517" s="29"/>
      <c r="CA517" s="98"/>
      <c r="CC517" s="66"/>
      <c r="CD517" s="29"/>
      <c r="CE517" s="342" t="s">
        <v>1576</v>
      </c>
      <c r="CF517" s="342" t="s">
        <v>1575</v>
      </c>
      <c r="CG517" s="30"/>
    </row>
    <row r="518" spans="1:86" s="23" customFormat="1" x14ac:dyDescent="0.2">
      <c r="A518" s="32" t="s">
        <v>785</v>
      </c>
      <c r="B518" s="223" t="s">
        <v>786</v>
      </c>
      <c r="C518" s="404" t="s">
        <v>1440</v>
      </c>
      <c r="D518" s="223" t="s">
        <v>619</v>
      </c>
      <c r="E518" s="241" t="s">
        <v>1445</v>
      </c>
      <c r="F518" s="241">
        <v>1</v>
      </c>
      <c r="G518" s="223">
        <v>3</v>
      </c>
      <c r="H518" s="242">
        <v>3</v>
      </c>
      <c r="I518" s="223" t="s">
        <v>954</v>
      </c>
      <c r="J518" s="223">
        <v>1977</v>
      </c>
      <c r="K518" s="223" t="s">
        <v>957</v>
      </c>
      <c r="L518" s="223">
        <v>1979</v>
      </c>
      <c r="M518" s="243">
        <v>-9999</v>
      </c>
      <c r="N518" s="223">
        <v>-9999</v>
      </c>
      <c r="O518" s="29"/>
      <c r="P518" s="285">
        <f t="shared" ref="P518:P523" si="38">+T518*G518</f>
        <v>1.5</v>
      </c>
      <c r="Q518" s="223">
        <v>-9999</v>
      </c>
      <c r="R518" s="243"/>
      <c r="S518" s="223"/>
      <c r="T518" s="243">
        <v>0.5</v>
      </c>
      <c r="U518" s="243">
        <v>0.3</v>
      </c>
      <c r="V518" s="243"/>
      <c r="W518" s="244"/>
      <c r="X518" s="223">
        <v>-9999</v>
      </c>
      <c r="Y518" s="223"/>
      <c r="Z518" s="223" t="s">
        <v>73</v>
      </c>
      <c r="AA518" s="441">
        <v>3086</v>
      </c>
      <c r="AB518" s="243">
        <v>-9999</v>
      </c>
      <c r="AC518" s="223">
        <v>-9999</v>
      </c>
      <c r="AD518" s="223">
        <f t="shared" si="25"/>
        <v>1900</v>
      </c>
      <c r="AE518" s="404" t="s">
        <v>280</v>
      </c>
      <c r="AF518" s="223">
        <v>16</v>
      </c>
      <c r="AG518" s="240" t="s">
        <v>283</v>
      </c>
      <c r="AH518" s="223" t="s">
        <v>623</v>
      </c>
      <c r="AI518" s="223">
        <v>-9999</v>
      </c>
      <c r="AJ518" s="223">
        <v>-9999</v>
      </c>
      <c r="AK518" s="223" t="s">
        <v>631</v>
      </c>
      <c r="AL518" s="223">
        <v>-9999</v>
      </c>
      <c r="AM518" s="223">
        <v>-9999</v>
      </c>
      <c r="AN518" s="223" t="s">
        <v>626</v>
      </c>
      <c r="AO518" s="223" t="s">
        <v>788</v>
      </c>
      <c r="AP518" s="223" t="s">
        <v>789</v>
      </c>
      <c r="AQ518" s="223" t="s">
        <v>626</v>
      </c>
      <c r="AR518" s="223">
        <f>112*G518</f>
        <v>336</v>
      </c>
      <c r="AS518" s="223" t="s">
        <v>723</v>
      </c>
      <c r="AT518" s="223" t="s">
        <v>790</v>
      </c>
      <c r="AU518" s="223">
        <v>0</v>
      </c>
      <c r="AV518" s="223">
        <v>-9999</v>
      </c>
      <c r="AW518" s="223">
        <v>-9999</v>
      </c>
      <c r="AX518" s="223">
        <v>0</v>
      </c>
      <c r="AY518" s="223">
        <v>-9999</v>
      </c>
      <c r="AZ518" s="223" t="s">
        <v>790</v>
      </c>
      <c r="BA518" s="223">
        <v>-9999</v>
      </c>
      <c r="BB518" s="223" t="s">
        <v>626</v>
      </c>
      <c r="BC518" s="223" t="s">
        <v>791</v>
      </c>
      <c r="BD518" s="223" t="s">
        <v>792</v>
      </c>
      <c r="BE518" s="223"/>
      <c r="BF518" s="223">
        <v>-9999</v>
      </c>
      <c r="BG518" s="223">
        <v>-9999</v>
      </c>
      <c r="BH518" s="223">
        <v>-9999</v>
      </c>
      <c r="BI518" s="223">
        <v>-9999</v>
      </c>
      <c r="BJ518" s="223">
        <v>-9999</v>
      </c>
      <c r="BK518" s="223">
        <v>-9999</v>
      </c>
      <c r="BL518" s="223">
        <v>-9999</v>
      </c>
      <c r="BM518" s="223">
        <v>-9999</v>
      </c>
      <c r="BN518" s="223">
        <v>-9999</v>
      </c>
      <c r="BO518" s="223">
        <v>-9999</v>
      </c>
      <c r="BP518" s="223">
        <v>-9999</v>
      </c>
      <c r="BQ518" s="223">
        <v>-9999</v>
      </c>
      <c r="BR518" s="223">
        <v>-9999</v>
      </c>
      <c r="BS518" s="242">
        <v>-9999</v>
      </c>
      <c r="BT518" s="223">
        <v>-9999</v>
      </c>
      <c r="BU518" s="223">
        <v>-9999</v>
      </c>
      <c r="BV518" s="223">
        <v>-9999</v>
      </c>
      <c r="BW518" s="223"/>
      <c r="BX518" s="223">
        <v>-9999</v>
      </c>
      <c r="BY518" s="223">
        <v>-9999</v>
      </c>
      <c r="BZ518" s="223">
        <v>-9999</v>
      </c>
      <c r="CA518" s="332">
        <v>-9999</v>
      </c>
      <c r="CB518" s="247"/>
      <c r="CC518" s="83">
        <v>1</v>
      </c>
      <c r="CD518" s="32">
        <v>3</v>
      </c>
      <c r="CE518" s="292">
        <v>0.5</v>
      </c>
      <c r="CF518" s="292"/>
      <c r="CG518" s="84">
        <v>3</v>
      </c>
    </row>
    <row r="519" spans="1:86" s="23" customFormat="1" x14ac:dyDescent="0.2">
      <c r="A519" s="32" t="s">
        <v>785</v>
      </c>
      <c r="B519" s="223" t="s">
        <v>786</v>
      </c>
      <c r="C519" s="404" t="s">
        <v>1440</v>
      </c>
      <c r="D519" s="223" t="s">
        <v>619</v>
      </c>
      <c r="E519" s="241" t="s">
        <v>1445</v>
      </c>
      <c r="F519" s="241">
        <v>1</v>
      </c>
      <c r="G519" s="223">
        <v>4</v>
      </c>
      <c r="H519" s="242">
        <v>4</v>
      </c>
      <c r="I519" s="223" t="s">
        <v>954</v>
      </c>
      <c r="J519" s="223">
        <v>1977</v>
      </c>
      <c r="K519" s="223" t="s">
        <v>957</v>
      </c>
      <c r="L519" s="223">
        <v>1980</v>
      </c>
      <c r="M519" s="243">
        <v>-9999</v>
      </c>
      <c r="N519" s="223">
        <v>-9999</v>
      </c>
      <c r="O519" s="29"/>
      <c r="P519" s="285">
        <f t="shared" si="38"/>
        <v>5.6</v>
      </c>
      <c r="Q519" s="223">
        <v>-9999</v>
      </c>
      <c r="R519" s="243"/>
      <c r="S519" s="223"/>
      <c r="T519" s="243">
        <v>1.4</v>
      </c>
      <c r="U519" s="243">
        <v>0.5</v>
      </c>
      <c r="V519" s="243"/>
      <c r="W519" s="244">
        <f>+P519-P518</f>
        <v>4.0999999999999996</v>
      </c>
      <c r="X519" s="223">
        <v>-9999</v>
      </c>
      <c r="Y519" s="223"/>
      <c r="Z519" s="223" t="s">
        <v>73</v>
      </c>
      <c r="AA519" s="441">
        <v>3086</v>
      </c>
      <c r="AB519" s="243">
        <v>-9999</v>
      </c>
      <c r="AC519" s="223">
        <v>-9999</v>
      </c>
      <c r="AD519" s="223">
        <f t="shared" si="25"/>
        <v>1900</v>
      </c>
      <c r="AE519" s="404" t="s">
        <v>280</v>
      </c>
      <c r="AF519" s="223">
        <v>16</v>
      </c>
      <c r="AG519" s="240" t="s">
        <v>283</v>
      </c>
      <c r="AH519" s="223" t="s">
        <v>623</v>
      </c>
      <c r="AI519" s="223">
        <v>-9999</v>
      </c>
      <c r="AJ519" s="223">
        <v>-9999</v>
      </c>
      <c r="AK519" s="223" t="s">
        <v>631</v>
      </c>
      <c r="AL519" s="223">
        <v>-9999</v>
      </c>
      <c r="AM519" s="223">
        <v>-9999</v>
      </c>
      <c r="AN519" s="223" t="s">
        <v>626</v>
      </c>
      <c r="AO519" s="223" t="s">
        <v>788</v>
      </c>
      <c r="AP519" s="223" t="s">
        <v>789</v>
      </c>
      <c r="AQ519" s="223" t="s">
        <v>626</v>
      </c>
      <c r="AR519" s="223">
        <f>110+AR518</f>
        <v>446</v>
      </c>
      <c r="AS519" s="223" t="s">
        <v>723</v>
      </c>
      <c r="AT519" s="223" t="s">
        <v>790</v>
      </c>
      <c r="AU519" s="223">
        <v>0</v>
      </c>
      <c r="AV519" s="223">
        <v>-9999</v>
      </c>
      <c r="AW519" s="223">
        <v>-9999</v>
      </c>
      <c r="AX519" s="223">
        <v>0</v>
      </c>
      <c r="AY519" s="223">
        <v>-9999</v>
      </c>
      <c r="AZ519" s="223" t="s">
        <v>790</v>
      </c>
      <c r="BA519" s="223">
        <v>-9999</v>
      </c>
      <c r="BB519" s="223" t="s">
        <v>626</v>
      </c>
      <c r="BC519" s="223" t="s">
        <v>791</v>
      </c>
      <c r="BD519" s="223" t="s">
        <v>792</v>
      </c>
      <c r="BE519" s="223"/>
      <c r="BF519" s="223">
        <v>-9999</v>
      </c>
      <c r="BG519" s="223">
        <v>-9999</v>
      </c>
      <c r="BH519" s="223">
        <v>-9999</v>
      </c>
      <c r="BI519" s="223">
        <v>-9999</v>
      </c>
      <c r="BJ519" s="223">
        <v>-9999</v>
      </c>
      <c r="BK519" s="223">
        <v>-9999</v>
      </c>
      <c r="BL519" s="223">
        <v>-9999</v>
      </c>
      <c r="BM519" s="223">
        <v>-9999</v>
      </c>
      <c r="BN519" s="223">
        <v>-9999</v>
      </c>
      <c r="BO519" s="223">
        <v>-9999</v>
      </c>
      <c r="BP519" s="223">
        <v>-9999</v>
      </c>
      <c r="BQ519" s="223">
        <v>-9999</v>
      </c>
      <c r="BR519" s="223">
        <v>-9999</v>
      </c>
      <c r="BS519" s="242">
        <v>-9999</v>
      </c>
      <c r="BT519" s="223">
        <v>-9999</v>
      </c>
      <c r="BU519" s="223">
        <v>-9999</v>
      </c>
      <c r="BV519" s="223">
        <v>-9999</v>
      </c>
      <c r="BW519" s="223"/>
      <c r="BX519" s="223">
        <v>-9999</v>
      </c>
      <c r="BY519" s="223">
        <v>-9999</v>
      </c>
      <c r="BZ519" s="223">
        <v>-9999</v>
      </c>
      <c r="CA519" s="332">
        <v>-9999</v>
      </c>
      <c r="CB519" s="247"/>
      <c r="CC519" s="83">
        <v>1</v>
      </c>
      <c r="CD519" s="32">
        <v>4</v>
      </c>
      <c r="CE519" s="292">
        <v>1.4</v>
      </c>
      <c r="CF519" s="292">
        <v>4.0999999999999996</v>
      </c>
      <c r="CG519" s="84">
        <v>4</v>
      </c>
    </row>
    <row r="520" spans="1:86" s="23" customFormat="1" x14ac:dyDescent="0.2">
      <c r="A520" s="32" t="s">
        <v>785</v>
      </c>
      <c r="B520" s="223" t="s">
        <v>786</v>
      </c>
      <c r="C520" s="404" t="s">
        <v>1440</v>
      </c>
      <c r="D520" s="223" t="s">
        <v>619</v>
      </c>
      <c r="E520" s="241" t="s">
        <v>1445</v>
      </c>
      <c r="F520" s="241">
        <v>1</v>
      </c>
      <c r="G520" s="223">
        <v>5</v>
      </c>
      <c r="H520" s="242">
        <v>5</v>
      </c>
      <c r="I520" s="223" t="s">
        <v>954</v>
      </c>
      <c r="J520" s="223">
        <v>1977</v>
      </c>
      <c r="K520" s="223" t="s">
        <v>957</v>
      </c>
      <c r="L520" s="223">
        <v>1981</v>
      </c>
      <c r="M520" s="243">
        <v>-9999</v>
      </c>
      <c r="N520" s="223">
        <v>-9999</v>
      </c>
      <c r="O520" s="29"/>
      <c r="P520" s="285">
        <f t="shared" si="38"/>
        <v>10</v>
      </c>
      <c r="Q520" s="223">
        <v>-9999</v>
      </c>
      <c r="R520" s="243"/>
      <c r="S520" s="223"/>
      <c r="T520" s="243">
        <v>2</v>
      </c>
      <c r="U520" s="243">
        <v>0.6</v>
      </c>
      <c r="V520" s="243"/>
      <c r="W520" s="244">
        <f>+P520-P519</f>
        <v>4.4000000000000004</v>
      </c>
      <c r="X520" s="223">
        <v>-9999</v>
      </c>
      <c r="Y520" s="223"/>
      <c r="Z520" s="223" t="s">
        <v>73</v>
      </c>
      <c r="AA520" s="441">
        <v>3086</v>
      </c>
      <c r="AB520" s="243">
        <v>-9999</v>
      </c>
      <c r="AC520" s="223">
        <v>-9999</v>
      </c>
      <c r="AD520" s="223">
        <f t="shared" si="25"/>
        <v>1900</v>
      </c>
      <c r="AE520" s="404" t="s">
        <v>280</v>
      </c>
      <c r="AF520" s="223">
        <v>16</v>
      </c>
      <c r="AG520" s="240" t="s">
        <v>283</v>
      </c>
      <c r="AH520" s="223" t="s">
        <v>623</v>
      </c>
      <c r="AI520" s="223">
        <v>-9999</v>
      </c>
      <c r="AJ520" s="223">
        <v>-9999</v>
      </c>
      <c r="AK520" s="223" t="s">
        <v>631</v>
      </c>
      <c r="AL520" s="223">
        <v>-9999</v>
      </c>
      <c r="AM520" s="223">
        <v>-9999</v>
      </c>
      <c r="AN520" s="223" t="s">
        <v>626</v>
      </c>
      <c r="AO520" s="223" t="s">
        <v>788</v>
      </c>
      <c r="AP520" s="223" t="s">
        <v>789</v>
      </c>
      <c r="AQ520" s="223" t="s">
        <v>626</v>
      </c>
      <c r="AR520" s="223">
        <f>110+AR519</f>
        <v>556</v>
      </c>
      <c r="AS520" s="223" t="s">
        <v>723</v>
      </c>
      <c r="AT520" s="223" t="s">
        <v>790</v>
      </c>
      <c r="AU520" s="223">
        <v>0</v>
      </c>
      <c r="AV520" s="223">
        <v>-9999</v>
      </c>
      <c r="AW520" s="223">
        <v>-9999</v>
      </c>
      <c r="AX520" s="223">
        <v>0</v>
      </c>
      <c r="AY520" s="223">
        <v>-9999</v>
      </c>
      <c r="AZ520" s="223" t="s">
        <v>790</v>
      </c>
      <c r="BA520" s="223">
        <v>-9999</v>
      </c>
      <c r="BB520" s="223" t="s">
        <v>626</v>
      </c>
      <c r="BC520" s="223" t="s">
        <v>791</v>
      </c>
      <c r="BD520" s="223" t="s">
        <v>792</v>
      </c>
      <c r="BE520" s="223"/>
      <c r="BF520" s="223">
        <v>-9999</v>
      </c>
      <c r="BG520" s="223">
        <v>-9999</v>
      </c>
      <c r="BH520" s="223">
        <v>-9999</v>
      </c>
      <c r="BI520" s="223">
        <v>-9999</v>
      </c>
      <c r="BJ520" s="223">
        <v>-9999</v>
      </c>
      <c r="BK520" s="223">
        <v>-9999</v>
      </c>
      <c r="BL520" s="223">
        <v>-9999</v>
      </c>
      <c r="BM520" s="223">
        <v>-9999</v>
      </c>
      <c r="BN520" s="223">
        <v>-9999</v>
      </c>
      <c r="BO520" s="223">
        <v>-9999</v>
      </c>
      <c r="BP520" s="223">
        <v>-9999</v>
      </c>
      <c r="BQ520" s="223">
        <v>-9999</v>
      </c>
      <c r="BR520" s="223">
        <v>-9999</v>
      </c>
      <c r="BS520" s="242">
        <v>-9999</v>
      </c>
      <c r="BT520" s="223">
        <v>-9999</v>
      </c>
      <c r="BU520" s="223">
        <v>-9999</v>
      </c>
      <c r="BV520" s="223">
        <v>-9999</v>
      </c>
      <c r="BW520" s="223"/>
      <c r="BX520" s="223">
        <v>-9999</v>
      </c>
      <c r="BY520" s="223">
        <v>-9999</v>
      </c>
      <c r="BZ520" s="223">
        <v>-9999</v>
      </c>
      <c r="CA520" s="332">
        <v>-9999</v>
      </c>
      <c r="CB520" s="247"/>
      <c r="CC520" s="83">
        <v>1</v>
      </c>
      <c r="CD520" s="32">
        <v>5</v>
      </c>
      <c r="CE520" s="292">
        <v>2</v>
      </c>
      <c r="CF520" s="292">
        <v>4.4000000000000004</v>
      </c>
      <c r="CG520" s="84">
        <v>5</v>
      </c>
    </row>
    <row r="521" spans="1:86" s="23" customFormat="1" x14ac:dyDescent="0.2">
      <c r="A521" s="32" t="s">
        <v>785</v>
      </c>
      <c r="B521" s="223" t="s">
        <v>786</v>
      </c>
      <c r="C521" s="404" t="s">
        <v>1440</v>
      </c>
      <c r="D521" s="223" t="s">
        <v>619</v>
      </c>
      <c r="E521" s="241" t="s">
        <v>1445</v>
      </c>
      <c r="F521" s="241">
        <v>1</v>
      </c>
      <c r="G521" s="223">
        <v>6</v>
      </c>
      <c r="H521" s="242">
        <v>6</v>
      </c>
      <c r="I521" s="223" t="s">
        <v>954</v>
      </c>
      <c r="J521" s="223">
        <v>1977</v>
      </c>
      <c r="K521" s="223" t="s">
        <v>957</v>
      </c>
      <c r="L521" s="223">
        <v>1982</v>
      </c>
      <c r="M521" s="243">
        <v>-9999</v>
      </c>
      <c r="N521" s="223">
        <v>-9999</v>
      </c>
      <c r="O521" s="29"/>
      <c r="P521" s="285">
        <f t="shared" si="38"/>
        <v>20.399999999999999</v>
      </c>
      <c r="Q521" s="223">
        <v>-9999</v>
      </c>
      <c r="R521" s="243"/>
      <c r="S521" s="223"/>
      <c r="T521" s="243">
        <v>3.4</v>
      </c>
      <c r="U521" s="243">
        <v>1.1000000000000001</v>
      </c>
      <c r="V521" s="243"/>
      <c r="W521" s="244">
        <f>+P521-P520</f>
        <v>10.399999999999999</v>
      </c>
      <c r="X521" s="223">
        <v>-9999</v>
      </c>
      <c r="Y521" s="223"/>
      <c r="Z521" s="223" t="s">
        <v>73</v>
      </c>
      <c r="AA521" s="441">
        <v>3086</v>
      </c>
      <c r="AB521" s="243">
        <v>-9999</v>
      </c>
      <c r="AC521" s="223">
        <v>-9999</v>
      </c>
      <c r="AD521" s="223">
        <f t="shared" si="25"/>
        <v>1900</v>
      </c>
      <c r="AE521" s="404" t="s">
        <v>280</v>
      </c>
      <c r="AF521" s="223">
        <v>16</v>
      </c>
      <c r="AG521" s="240" t="s">
        <v>283</v>
      </c>
      <c r="AH521" s="223" t="s">
        <v>623</v>
      </c>
      <c r="AI521" s="223">
        <v>-9999</v>
      </c>
      <c r="AJ521" s="223">
        <v>-9999</v>
      </c>
      <c r="AK521" s="223" t="s">
        <v>631</v>
      </c>
      <c r="AL521" s="223">
        <v>-9999</v>
      </c>
      <c r="AM521" s="223">
        <v>-9999</v>
      </c>
      <c r="AN521" s="223" t="s">
        <v>626</v>
      </c>
      <c r="AO521" s="223" t="s">
        <v>788</v>
      </c>
      <c r="AP521" s="223" t="s">
        <v>789</v>
      </c>
      <c r="AQ521" s="223" t="s">
        <v>626</v>
      </c>
      <c r="AR521" s="223">
        <f>110+AR520</f>
        <v>666</v>
      </c>
      <c r="AS521" s="223" t="s">
        <v>723</v>
      </c>
      <c r="AT521" s="223" t="s">
        <v>790</v>
      </c>
      <c r="AU521" s="223">
        <v>0</v>
      </c>
      <c r="AV521" s="223">
        <v>-9999</v>
      </c>
      <c r="AW521" s="223">
        <v>-9999</v>
      </c>
      <c r="AX521" s="223">
        <v>0</v>
      </c>
      <c r="AY521" s="223">
        <v>-9999</v>
      </c>
      <c r="AZ521" s="223" t="s">
        <v>790</v>
      </c>
      <c r="BA521" s="223">
        <v>-9999</v>
      </c>
      <c r="BB521" s="223" t="s">
        <v>626</v>
      </c>
      <c r="BC521" s="223" t="s">
        <v>791</v>
      </c>
      <c r="BD521" s="223" t="s">
        <v>792</v>
      </c>
      <c r="BE521" s="223"/>
      <c r="BF521" s="223">
        <v>-9999</v>
      </c>
      <c r="BG521" s="223">
        <v>-9999</v>
      </c>
      <c r="BH521" s="223">
        <v>-9999</v>
      </c>
      <c r="BI521" s="223">
        <v>-9999</v>
      </c>
      <c r="BJ521" s="223">
        <v>-9999</v>
      </c>
      <c r="BK521" s="223">
        <v>-9999</v>
      </c>
      <c r="BL521" s="223">
        <v>-9999</v>
      </c>
      <c r="BM521" s="223">
        <v>-9999</v>
      </c>
      <c r="BN521" s="223">
        <v>-9999</v>
      </c>
      <c r="BO521" s="223">
        <v>-9999</v>
      </c>
      <c r="BP521" s="223">
        <v>-9999</v>
      </c>
      <c r="BQ521" s="223">
        <v>-9999</v>
      </c>
      <c r="BR521" s="223">
        <v>-9999</v>
      </c>
      <c r="BS521" s="242">
        <v>-9999</v>
      </c>
      <c r="BT521" s="223">
        <v>-9999</v>
      </c>
      <c r="BU521" s="223">
        <v>-9999</v>
      </c>
      <c r="BV521" s="223">
        <v>-9999</v>
      </c>
      <c r="BW521" s="223"/>
      <c r="BX521" s="223">
        <v>-9999</v>
      </c>
      <c r="BY521" s="223">
        <v>-9999</v>
      </c>
      <c r="BZ521" s="223">
        <v>-9999</v>
      </c>
      <c r="CA521" s="332">
        <v>-9999</v>
      </c>
      <c r="CB521" s="247"/>
      <c r="CC521" s="83">
        <v>1</v>
      </c>
      <c r="CD521" s="32">
        <v>6</v>
      </c>
      <c r="CE521" s="292">
        <v>3.4</v>
      </c>
      <c r="CF521" s="292">
        <v>10.399999999999999</v>
      </c>
      <c r="CG521" s="84">
        <v>6</v>
      </c>
    </row>
    <row r="522" spans="1:86" s="23" customFormat="1" x14ac:dyDescent="0.2">
      <c r="A522" s="32" t="s">
        <v>785</v>
      </c>
      <c r="B522" s="223" t="s">
        <v>786</v>
      </c>
      <c r="C522" s="404" t="s">
        <v>1440</v>
      </c>
      <c r="D522" s="223" t="s">
        <v>619</v>
      </c>
      <c r="E522" s="241" t="s">
        <v>1445</v>
      </c>
      <c r="F522" s="241">
        <v>1</v>
      </c>
      <c r="G522" s="223">
        <v>7</v>
      </c>
      <c r="H522" s="242">
        <v>7</v>
      </c>
      <c r="I522" s="223" t="s">
        <v>954</v>
      </c>
      <c r="J522" s="223">
        <v>1977</v>
      </c>
      <c r="K522" s="223" t="s">
        <v>957</v>
      </c>
      <c r="L522" s="223">
        <v>1983</v>
      </c>
      <c r="M522" s="243">
        <v>-9999</v>
      </c>
      <c r="N522" s="223">
        <v>-9999</v>
      </c>
      <c r="O522" s="29"/>
      <c r="P522" s="285">
        <f t="shared" si="38"/>
        <v>28</v>
      </c>
      <c r="Q522" s="223">
        <v>-9999</v>
      </c>
      <c r="R522" s="243"/>
      <c r="S522" s="223"/>
      <c r="T522" s="243">
        <v>4</v>
      </c>
      <c r="U522" s="243">
        <v>1.1000000000000001</v>
      </c>
      <c r="V522" s="243"/>
      <c r="W522" s="244">
        <f>+P522-P521</f>
        <v>7.6000000000000014</v>
      </c>
      <c r="X522" s="223">
        <v>-9999</v>
      </c>
      <c r="Y522" s="223"/>
      <c r="Z522" s="223" t="s">
        <v>73</v>
      </c>
      <c r="AA522" s="441">
        <v>3086</v>
      </c>
      <c r="AB522" s="243">
        <v>-9999</v>
      </c>
      <c r="AC522" s="223">
        <v>-9999</v>
      </c>
      <c r="AD522" s="223">
        <f t="shared" si="25"/>
        <v>1900</v>
      </c>
      <c r="AE522" s="404" t="s">
        <v>280</v>
      </c>
      <c r="AF522" s="223">
        <v>16</v>
      </c>
      <c r="AG522" s="240" t="s">
        <v>283</v>
      </c>
      <c r="AH522" s="223" t="s">
        <v>623</v>
      </c>
      <c r="AI522" s="223">
        <v>-9999</v>
      </c>
      <c r="AJ522" s="223">
        <v>-9999</v>
      </c>
      <c r="AK522" s="223" t="s">
        <v>631</v>
      </c>
      <c r="AL522" s="223">
        <v>-9999</v>
      </c>
      <c r="AM522" s="223">
        <v>-9999</v>
      </c>
      <c r="AN522" s="223" t="s">
        <v>626</v>
      </c>
      <c r="AO522" s="223" t="s">
        <v>788</v>
      </c>
      <c r="AP522" s="223" t="s">
        <v>789</v>
      </c>
      <c r="AQ522" s="223" t="s">
        <v>626</v>
      </c>
      <c r="AR522" s="223">
        <f>110+AR521</f>
        <v>776</v>
      </c>
      <c r="AS522" s="223" t="s">
        <v>723</v>
      </c>
      <c r="AT522" s="223" t="s">
        <v>790</v>
      </c>
      <c r="AU522" s="223">
        <v>0</v>
      </c>
      <c r="AV522" s="223">
        <v>-9999</v>
      </c>
      <c r="AW522" s="223">
        <v>-9999</v>
      </c>
      <c r="AX522" s="223">
        <v>0</v>
      </c>
      <c r="AY522" s="223">
        <v>-9999</v>
      </c>
      <c r="AZ522" s="223" t="s">
        <v>790</v>
      </c>
      <c r="BA522" s="223">
        <v>-9999</v>
      </c>
      <c r="BB522" s="223" t="s">
        <v>626</v>
      </c>
      <c r="BC522" s="223" t="s">
        <v>791</v>
      </c>
      <c r="BD522" s="223" t="s">
        <v>792</v>
      </c>
      <c r="BE522" s="223"/>
      <c r="BF522" s="223">
        <v>-9999</v>
      </c>
      <c r="BG522" s="223">
        <v>-9999</v>
      </c>
      <c r="BH522" s="223">
        <v>-9999</v>
      </c>
      <c r="BI522" s="223">
        <v>-9999</v>
      </c>
      <c r="BJ522" s="223">
        <v>-9999</v>
      </c>
      <c r="BK522" s="223">
        <v>-9999</v>
      </c>
      <c r="BL522" s="223">
        <v>-9999</v>
      </c>
      <c r="BM522" s="223">
        <v>-9999</v>
      </c>
      <c r="BN522" s="223">
        <v>-9999</v>
      </c>
      <c r="BO522" s="223">
        <v>-9999</v>
      </c>
      <c r="BP522" s="223">
        <v>-9999</v>
      </c>
      <c r="BQ522" s="223">
        <v>-9999</v>
      </c>
      <c r="BR522" s="223">
        <v>-9999</v>
      </c>
      <c r="BS522" s="242">
        <v>-9999</v>
      </c>
      <c r="BT522" s="223">
        <v>-9999</v>
      </c>
      <c r="BU522" s="223">
        <v>-9999</v>
      </c>
      <c r="BV522" s="223">
        <v>-9999</v>
      </c>
      <c r="BW522" s="223"/>
      <c r="BX522" s="223">
        <v>-9999</v>
      </c>
      <c r="BY522" s="223">
        <v>-9999</v>
      </c>
      <c r="BZ522" s="223">
        <v>-9999</v>
      </c>
      <c r="CA522" s="332">
        <v>-9999</v>
      </c>
      <c r="CB522" s="247"/>
      <c r="CC522" s="83">
        <v>1</v>
      </c>
      <c r="CD522" s="32">
        <v>7</v>
      </c>
      <c r="CE522" s="292">
        <v>4</v>
      </c>
      <c r="CF522" s="292">
        <v>7.6000000000000014</v>
      </c>
      <c r="CG522" s="84">
        <v>7</v>
      </c>
    </row>
    <row r="523" spans="1:86" s="23" customFormat="1" x14ac:dyDescent="0.2">
      <c r="A523" s="32" t="s">
        <v>785</v>
      </c>
      <c r="B523" s="223" t="s">
        <v>786</v>
      </c>
      <c r="C523" s="404" t="s">
        <v>1440</v>
      </c>
      <c r="D523" s="223" t="s">
        <v>619</v>
      </c>
      <c r="E523" s="241" t="s">
        <v>1445</v>
      </c>
      <c r="F523" s="241">
        <v>1</v>
      </c>
      <c r="G523" s="223">
        <v>8</v>
      </c>
      <c r="H523" s="242">
        <v>8</v>
      </c>
      <c r="I523" s="223" t="s">
        <v>954</v>
      </c>
      <c r="J523" s="223">
        <v>1977</v>
      </c>
      <c r="K523" s="223" t="s">
        <v>957</v>
      </c>
      <c r="L523" s="223">
        <v>1984</v>
      </c>
      <c r="M523" s="243">
        <v>-9999</v>
      </c>
      <c r="N523" s="223">
        <v>-9999</v>
      </c>
      <c r="O523" s="29"/>
      <c r="P523" s="285">
        <f t="shared" si="38"/>
        <v>39.200000000000003</v>
      </c>
      <c r="Q523" s="223">
        <v>-9999</v>
      </c>
      <c r="R523" s="243"/>
      <c r="S523" s="223"/>
      <c r="T523" s="243">
        <v>4.9000000000000004</v>
      </c>
      <c r="U523" s="243">
        <v>1.1000000000000001</v>
      </c>
      <c r="V523" s="243"/>
      <c r="W523" s="244">
        <f>+P523-P522</f>
        <v>11.200000000000003</v>
      </c>
      <c r="X523" s="223">
        <v>-9999</v>
      </c>
      <c r="Y523" s="223"/>
      <c r="Z523" s="223" t="s">
        <v>73</v>
      </c>
      <c r="AA523" s="441">
        <v>3086</v>
      </c>
      <c r="AB523" s="243">
        <v>-9999</v>
      </c>
      <c r="AC523" s="223">
        <v>-9999</v>
      </c>
      <c r="AD523" s="223">
        <f t="shared" si="25"/>
        <v>1900</v>
      </c>
      <c r="AE523" s="404" t="s">
        <v>280</v>
      </c>
      <c r="AF523" s="223">
        <v>16</v>
      </c>
      <c r="AG523" s="240" t="s">
        <v>283</v>
      </c>
      <c r="AH523" s="223" t="s">
        <v>623</v>
      </c>
      <c r="AI523" s="223">
        <v>-9999</v>
      </c>
      <c r="AJ523" s="223">
        <v>-9999</v>
      </c>
      <c r="AK523" s="223" t="s">
        <v>631</v>
      </c>
      <c r="AL523" s="223">
        <v>-9999</v>
      </c>
      <c r="AM523" s="223">
        <v>-9999</v>
      </c>
      <c r="AN523" s="223" t="s">
        <v>626</v>
      </c>
      <c r="AO523" s="223" t="s">
        <v>788</v>
      </c>
      <c r="AP523" s="223" t="s">
        <v>789</v>
      </c>
      <c r="AQ523" s="223" t="s">
        <v>626</v>
      </c>
      <c r="AR523" s="223">
        <f>110+AR522</f>
        <v>886</v>
      </c>
      <c r="AS523" s="223" t="s">
        <v>723</v>
      </c>
      <c r="AT523" s="223" t="s">
        <v>790</v>
      </c>
      <c r="AU523" s="223">
        <v>0</v>
      </c>
      <c r="AV523" s="223">
        <v>-9999</v>
      </c>
      <c r="AW523" s="223">
        <v>-9999</v>
      </c>
      <c r="AX523" s="223">
        <v>0</v>
      </c>
      <c r="AY523" s="223">
        <v>-9999</v>
      </c>
      <c r="AZ523" s="223" t="s">
        <v>790</v>
      </c>
      <c r="BA523" s="223">
        <v>-9999</v>
      </c>
      <c r="BB523" s="223" t="s">
        <v>626</v>
      </c>
      <c r="BC523" s="223" t="s">
        <v>791</v>
      </c>
      <c r="BD523" s="223" t="s">
        <v>792</v>
      </c>
      <c r="BE523" s="223"/>
      <c r="BF523" s="223">
        <v>-9999</v>
      </c>
      <c r="BG523" s="223">
        <v>-9999</v>
      </c>
      <c r="BH523" s="223">
        <v>-9999</v>
      </c>
      <c r="BI523" s="223">
        <v>-9999</v>
      </c>
      <c r="BJ523" s="223">
        <v>-9999</v>
      </c>
      <c r="BK523" s="223">
        <v>-9999</v>
      </c>
      <c r="BL523" s="223">
        <v>-9999</v>
      </c>
      <c r="BM523" s="223">
        <v>-9999</v>
      </c>
      <c r="BN523" s="223">
        <v>-9999</v>
      </c>
      <c r="BO523" s="223">
        <v>-9999</v>
      </c>
      <c r="BP523" s="223">
        <v>-9999</v>
      </c>
      <c r="BQ523" s="223">
        <v>-9999</v>
      </c>
      <c r="BR523" s="223">
        <v>-9999</v>
      </c>
      <c r="BS523" s="242">
        <v>-9999</v>
      </c>
      <c r="BT523" s="223">
        <v>-9999</v>
      </c>
      <c r="BU523" s="223">
        <v>-9999</v>
      </c>
      <c r="BV523" s="223">
        <v>-9999</v>
      </c>
      <c r="BW523" s="223"/>
      <c r="BX523" s="223">
        <v>-9999</v>
      </c>
      <c r="BY523" s="223">
        <v>-9999</v>
      </c>
      <c r="BZ523" s="223">
        <v>-9999</v>
      </c>
      <c r="CA523" s="332">
        <v>-9999</v>
      </c>
      <c r="CB523" s="247"/>
      <c r="CC523" s="83">
        <v>1</v>
      </c>
      <c r="CD523" s="32">
        <v>8</v>
      </c>
      <c r="CE523" s="292">
        <v>4.9000000000000004</v>
      </c>
      <c r="CF523" s="292">
        <v>11.200000000000003</v>
      </c>
      <c r="CG523" s="84">
        <v>8</v>
      </c>
    </row>
    <row r="524" spans="1:86" s="23" customFormat="1" x14ac:dyDescent="0.2">
      <c r="A524" s="29"/>
      <c r="B524" s="29"/>
      <c r="C524" s="29"/>
      <c r="D524" s="29"/>
      <c r="E524" s="66"/>
      <c r="F524" s="66"/>
      <c r="G524" s="29"/>
      <c r="H524" s="30"/>
      <c r="I524" s="29"/>
      <c r="J524" s="29"/>
      <c r="K524" s="29"/>
      <c r="L524" s="29"/>
      <c r="M524" s="31"/>
      <c r="N524" s="29"/>
      <c r="O524" s="29"/>
      <c r="P524" s="31"/>
      <c r="Q524" s="29"/>
      <c r="R524" s="31"/>
      <c r="S524" s="29"/>
      <c r="T524" s="31"/>
      <c r="U524" s="31"/>
      <c r="V524" s="31"/>
      <c r="W524" s="31"/>
      <c r="X524" s="29"/>
      <c r="Y524" s="29"/>
      <c r="Z524" s="29"/>
      <c r="AA524" s="29"/>
      <c r="AB524" s="31"/>
      <c r="AC524" s="29"/>
      <c r="AD524" s="29"/>
      <c r="AE524" s="29"/>
      <c r="AF524" s="29"/>
      <c r="AG524" s="29"/>
      <c r="AH524" s="29"/>
      <c r="AI524" s="29"/>
      <c r="AJ524" s="29"/>
      <c r="AK524" s="29"/>
      <c r="AL524" s="29"/>
      <c r="AM524" s="29"/>
      <c r="AN524" s="29"/>
      <c r="AO524" s="29"/>
      <c r="AP524" s="29"/>
      <c r="AQ524" s="29"/>
      <c r="AR524" s="29"/>
      <c r="AS524" s="29"/>
      <c r="AT524" s="29"/>
      <c r="AU524" s="29"/>
      <c r="AV524" s="29"/>
      <c r="AW524" s="29"/>
      <c r="AX524" s="29"/>
      <c r="AY524" s="29"/>
      <c r="AZ524" s="29"/>
      <c r="BA524" s="29"/>
      <c r="BB524" s="29"/>
      <c r="BC524" s="29"/>
      <c r="BD524" s="29"/>
      <c r="BE524" s="29"/>
      <c r="BF524" s="29"/>
      <c r="BG524" s="29"/>
      <c r="BH524" s="29"/>
      <c r="BI524" s="29"/>
      <c r="BJ524" s="29"/>
      <c r="BK524" s="29"/>
      <c r="BL524" s="29"/>
      <c r="BM524" s="29"/>
      <c r="BN524" s="29"/>
      <c r="BO524" s="29"/>
      <c r="BP524" s="29"/>
      <c r="BQ524" s="29"/>
      <c r="BR524" s="29"/>
      <c r="BS524" s="30"/>
      <c r="BT524" s="29"/>
      <c r="BU524" s="29"/>
      <c r="BV524" s="29"/>
      <c r="BW524" s="29"/>
      <c r="BX524" s="29"/>
      <c r="BY524" s="29"/>
      <c r="BZ524" s="29"/>
      <c r="CA524" s="98"/>
      <c r="CC524" s="66"/>
      <c r="CD524" s="29"/>
      <c r="CE524" s="342" t="s">
        <v>1576</v>
      </c>
      <c r="CF524" s="342" t="s">
        <v>1575</v>
      </c>
      <c r="CG524" s="30"/>
    </row>
    <row r="525" spans="1:86" s="23" customFormat="1" x14ac:dyDescent="0.2">
      <c r="A525" s="223" t="s">
        <v>785</v>
      </c>
      <c r="B525" s="223" t="s">
        <v>786</v>
      </c>
      <c r="C525" s="223" t="s">
        <v>1024</v>
      </c>
      <c r="D525" s="223" t="s">
        <v>619</v>
      </c>
      <c r="E525" s="241" t="s">
        <v>1444</v>
      </c>
      <c r="F525" s="241">
        <v>1</v>
      </c>
      <c r="G525" s="223">
        <v>3</v>
      </c>
      <c r="H525" s="242">
        <v>3</v>
      </c>
      <c r="I525" s="223" t="s">
        <v>954</v>
      </c>
      <c r="J525" s="223">
        <v>1981</v>
      </c>
      <c r="K525" s="223" t="s">
        <v>957</v>
      </c>
      <c r="L525" s="223">
        <v>1983</v>
      </c>
      <c r="M525" s="243">
        <v>-9999</v>
      </c>
      <c r="N525" s="223">
        <v>-9999</v>
      </c>
      <c r="O525" s="29"/>
      <c r="P525" s="285">
        <f t="shared" ref="P525:P530" si="39">+T525*G525</f>
        <v>20.100000000000001</v>
      </c>
      <c r="Q525" s="223">
        <v>-9999</v>
      </c>
      <c r="R525" s="243"/>
      <c r="S525" s="223"/>
      <c r="T525" s="243">
        <v>6.7</v>
      </c>
      <c r="U525" s="243">
        <v>1.3</v>
      </c>
      <c r="V525" s="243"/>
      <c r="W525" s="244"/>
      <c r="X525" s="223">
        <v>-9999</v>
      </c>
      <c r="Y525" s="223"/>
      <c r="Z525" s="223" t="s">
        <v>74</v>
      </c>
      <c r="AA525" s="248">
        <v>14286</v>
      </c>
      <c r="AB525" s="243">
        <v>1</v>
      </c>
      <c r="AC525" s="223">
        <v>-9999</v>
      </c>
      <c r="AD525" s="223">
        <f>0.04*10000</f>
        <v>400</v>
      </c>
      <c r="AE525" s="404" t="s">
        <v>1956</v>
      </c>
      <c r="AF525" s="223">
        <v>4</v>
      </c>
      <c r="AG525" s="223">
        <v>2</v>
      </c>
      <c r="AH525" s="223" t="s">
        <v>623</v>
      </c>
      <c r="AI525" s="223">
        <v>-9999</v>
      </c>
      <c r="AJ525" s="223">
        <v>-9999</v>
      </c>
      <c r="AK525" s="223" t="s">
        <v>626</v>
      </c>
      <c r="AL525" s="223" t="s">
        <v>653</v>
      </c>
      <c r="AM525" s="223">
        <v>-9999</v>
      </c>
      <c r="AN525" s="223" t="s">
        <v>626</v>
      </c>
      <c r="AO525" s="223">
        <v>-9999</v>
      </c>
      <c r="AP525" s="223" t="s">
        <v>789</v>
      </c>
      <c r="AQ525" s="223" t="s">
        <v>631</v>
      </c>
      <c r="AR525" s="223">
        <v>0</v>
      </c>
      <c r="AS525" s="223">
        <v>-9999</v>
      </c>
      <c r="AT525" s="223">
        <v>-9999</v>
      </c>
      <c r="AU525" s="223">
        <v>0</v>
      </c>
      <c r="AV525" s="223">
        <v>-9999</v>
      </c>
      <c r="AW525" s="223">
        <v>-9999</v>
      </c>
      <c r="AX525" s="223">
        <v>0</v>
      </c>
      <c r="AY525" s="223">
        <v>-9999</v>
      </c>
      <c r="AZ525" s="223">
        <v>-9999</v>
      </c>
      <c r="BA525" s="223" t="s">
        <v>794</v>
      </c>
      <c r="BB525" s="223" t="s">
        <v>626</v>
      </c>
      <c r="BC525" s="223" t="s">
        <v>795</v>
      </c>
      <c r="BD525" s="223" t="s">
        <v>796</v>
      </c>
      <c r="BE525" s="223"/>
      <c r="BF525" s="223"/>
      <c r="BG525" s="223"/>
      <c r="BH525" s="223">
        <v>-9999</v>
      </c>
      <c r="BI525" s="223">
        <v>-9999</v>
      </c>
      <c r="BJ525" s="223">
        <v>-9999</v>
      </c>
      <c r="BK525" s="223">
        <v>-9999</v>
      </c>
      <c r="BL525" s="223">
        <v>-9999</v>
      </c>
      <c r="BM525" s="223">
        <v>-9999</v>
      </c>
      <c r="BN525" s="223">
        <v>-9999</v>
      </c>
      <c r="BO525" s="223">
        <v>-9999</v>
      </c>
      <c r="BP525" s="223">
        <v>-9999</v>
      </c>
      <c r="BQ525" s="223">
        <v>-9999</v>
      </c>
      <c r="BR525" s="223">
        <v>-9999</v>
      </c>
      <c r="BS525" s="242">
        <v>-9999</v>
      </c>
      <c r="BT525" s="223">
        <v>-9999</v>
      </c>
      <c r="BU525" s="223">
        <v>-9999</v>
      </c>
      <c r="BV525" s="223">
        <v>-9999</v>
      </c>
      <c r="BW525" s="223"/>
      <c r="BX525" s="223">
        <v>-9999</v>
      </c>
      <c r="BY525" s="223">
        <v>-9999</v>
      </c>
      <c r="BZ525" s="223">
        <v>-9999</v>
      </c>
      <c r="CA525" s="332" t="s">
        <v>797</v>
      </c>
      <c r="CB525" s="247"/>
      <c r="CC525" s="83">
        <v>1</v>
      </c>
      <c r="CD525" s="32">
        <v>3</v>
      </c>
      <c r="CE525" s="292">
        <v>6.7</v>
      </c>
      <c r="CF525" s="292"/>
      <c r="CG525" s="84">
        <v>3</v>
      </c>
    </row>
    <row r="526" spans="1:86" s="23" customFormat="1" x14ac:dyDescent="0.2">
      <c r="A526" s="223" t="s">
        <v>785</v>
      </c>
      <c r="B526" s="223" t="s">
        <v>786</v>
      </c>
      <c r="C526" s="223" t="s">
        <v>1024</v>
      </c>
      <c r="D526" s="223" t="s">
        <v>619</v>
      </c>
      <c r="E526" s="241" t="s">
        <v>1444</v>
      </c>
      <c r="F526" s="241">
        <v>1</v>
      </c>
      <c r="G526" s="223">
        <v>4</v>
      </c>
      <c r="H526" s="242">
        <v>4</v>
      </c>
      <c r="I526" s="223" t="s">
        <v>954</v>
      </c>
      <c r="J526" s="223">
        <v>1981</v>
      </c>
      <c r="K526" s="223" t="s">
        <v>957</v>
      </c>
      <c r="L526" s="223">
        <v>1984</v>
      </c>
      <c r="M526" s="243">
        <v>-9999</v>
      </c>
      <c r="N526" s="223">
        <v>-9999</v>
      </c>
      <c r="O526" s="29"/>
      <c r="P526" s="285">
        <f t="shared" si="39"/>
        <v>36</v>
      </c>
      <c r="Q526" s="223">
        <v>-9999</v>
      </c>
      <c r="R526" s="243"/>
      <c r="S526" s="223"/>
      <c r="T526" s="243">
        <v>9</v>
      </c>
      <c r="U526" s="243">
        <v>1.6</v>
      </c>
      <c r="V526" s="243"/>
      <c r="W526" s="244">
        <f>+P526-P525</f>
        <v>15.899999999999999</v>
      </c>
      <c r="X526" s="223">
        <v>-9999</v>
      </c>
      <c r="Y526" s="223"/>
      <c r="Z526" s="223" t="s">
        <v>74</v>
      </c>
      <c r="AA526" s="248">
        <v>14286</v>
      </c>
      <c r="AB526" s="285">
        <v>0.99</v>
      </c>
      <c r="AC526" s="223">
        <v>-9999</v>
      </c>
      <c r="AD526" s="223">
        <f t="shared" ref="AD526:AD589" si="40">0.04*10000</f>
        <v>400</v>
      </c>
      <c r="AE526" s="404" t="s">
        <v>1956</v>
      </c>
      <c r="AF526" s="223">
        <v>4</v>
      </c>
      <c r="AG526" s="223">
        <v>2</v>
      </c>
      <c r="AH526" s="223" t="s">
        <v>623</v>
      </c>
      <c r="AI526" s="223">
        <v>-9999</v>
      </c>
      <c r="AJ526" s="223">
        <v>-9999</v>
      </c>
      <c r="AK526" s="223" t="s">
        <v>626</v>
      </c>
      <c r="AL526" s="223" t="s">
        <v>653</v>
      </c>
      <c r="AM526" s="223">
        <v>-9999</v>
      </c>
      <c r="AN526" s="223" t="s">
        <v>626</v>
      </c>
      <c r="AO526" s="223">
        <v>-9999</v>
      </c>
      <c r="AP526" s="223" t="s">
        <v>789</v>
      </c>
      <c r="AQ526" s="223" t="s">
        <v>631</v>
      </c>
      <c r="AR526" s="223">
        <v>0</v>
      </c>
      <c r="AS526" s="223">
        <v>-9999</v>
      </c>
      <c r="AT526" s="223">
        <v>-9999</v>
      </c>
      <c r="AU526" s="223">
        <v>0</v>
      </c>
      <c r="AV526" s="223">
        <v>-9999</v>
      </c>
      <c r="AW526" s="223">
        <v>-9999</v>
      </c>
      <c r="AX526" s="223">
        <v>0</v>
      </c>
      <c r="AY526" s="223">
        <v>-9999</v>
      </c>
      <c r="AZ526" s="223">
        <v>-9999</v>
      </c>
      <c r="BA526" s="223" t="s">
        <v>794</v>
      </c>
      <c r="BB526" s="223" t="s">
        <v>626</v>
      </c>
      <c r="BC526" s="223" t="s">
        <v>795</v>
      </c>
      <c r="BD526" s="223" t="s">
        <v>796</v>
      </c>
      <c r="BE526" s="223"/>
      <c r="BF526" s="223"/>
      <c r="BG526" s="223"/>
      <c r="BH526" s="223">
        <v>-9999</v>
      </c>
      <c r="BI526" s="223">
        <v>-9999</v>
      </c>
      <c r="BJ526" s="223">
        <v>-9999</v>
      </c>
      <c r="BK526" s="223">
        <v>-9999</v>
      </c>
      <c r="BL526" s="223">
        <v>-9999</v>
      </c>
      <c r="BM526" s="223">
        <v>-9999</v>
      </c>
      <c r="BN526" s="223">
        <v>-9999</v>
      </c>
      <c r="BO526" s="223">
        <v>-9999</v>
      </c>
      <c r="BP526" s="223">
        <v>-9999</v>
      </c>
      <c r="BQ526" s="223">
        <v>-9999</v>
      </c>
      <c r="BR526" s="223">
        <v>-9999</v>
      </c>
      <c r="BS526" s="242">
        <v>-9999</v>
      </c>
      <c r="BT526" s="223">
        <v>-9999</v>
      </c>
      <c r="BU526" s="223">
        <v>-9999</v>
      </c>
      <c r="BV526" s="223">
        <v>-9999</v>
      </c>
      <c r="BW526" s="223"/>
      <c r="BX526" s="223">
        <v>-9999</v>
      </c>
      <c r="BY526" s="223">
        <v>-9999</v>
      </c>
      <c r="BZ526" s="223">
        <v>-9999</v>
      </c>
      <c r="CA526" s="332" t="s">
        <v>797</v>
      </c>
      <c r="CB526" s="247"/>
      <c r="CC526" s="83">
        <v>1</v>
      </c>
      <c r="CD526" s="32">
        <v>4</v>
      </c>
      <c r="CE526" s="292">
        <v>9</v>
      </c>
      <c r="CF526" s="292">
        <v>15.899999999999999</v>
      </c>
      <c r="CG526" s="84">
        <v>4</v>
      </c>
    </row>
    <row r="527" spans="1:86" s="23" customFormat="1" x14ac:dyDescent="0.2">
      <c r="A527" s="223" t="s">
        <v>785</v>
      </c>
      <c r="B527" s="223" t="s">
        <v>786</v>
      </c>
      <c r="C527" s="223" t="s">
        <v>1024</v>
      </c>
      <c r="D527" s="223" t="s">
        <v>619</v>
      </c>
      <c r="E527" s="241" t="s">
        <v>1444</v>
      </c>
      <c r="F527" s="241">
        <v>1</v>
      </c>
      <c r="G527" s="223">
        <v>5</v>
      </c>
      <c r="H527" s="242">
        <v>5</v>
      </c>
      <c r="I527" s="223" t="s">
        <v>954</v>
      </c>
      <c r="J527" s="223">
        <v>1981</v>
      </c>
      <c r="K527" s="223" t="s">
        <v>957</v>
      </c>
      <c r="L527" s="223">
        <v>1985</v>
      </c>
      <c r="M527" s="243">
        <v>-9999</v>
      </c>
      <c r="N527" s="223">
        <v>-9999</v>
      </c>
      <c r="O527" s="29"/>
      <c r="P527" s="285">
        <f t="shared" si="39"/>
        <v>48</v>
      </c>
      <c r="Q527" s="223">
        <v>-9999</v>
      </c>
      <c r="R527" s="243"/>
      <c r="S527" s="223"/>
      <c r="T527" s="243">
        <v>9.6</v>
      </c>
      <c r="U527" s="243">
        <v>1.3</v>
      </c>
      <c r="V527" s="243"/>
      <c r="W527" s="244">
        <f>+P527-P526</f>
        <v>12</v>
      </c>
      <c r="X527" s="223">
        <v>-9999</v>
      </c>
      <c r="Y527" s="223"/>
      <c r="Z527" s="223" t="s">
        <v>74</v>
      </c>
      <c r="AA527" s="248">
        <v>14286</v>
      </c>
      <c r="AB527" s="285">
        <v>0.97</v>
      </c>
      <c r="AC527" s="223">
        <v>-9999</v>
      </c>
      <c r="AD527" s="223">
        <f t="shared" si="40"/>
        <v>400</v>
      </c>
      <c r="AE527" s="404" t="s">
        <v>1956</v>
      </c>
      <c r="AF527" s="223">
        <v>4</v>
      </c>
      <c r="AG527" s="223">
        <v>2</v>
      </c>
      <c r="AH527" s="223" t="s">
        <v>623</v>
      </c>
      <c r="AI527" s="223">
        <v>-9999</v>
      </c>
      <c r="AJ527" s="223">
        <v>-9999</v>
      </c>
      <c r="AK527" s="223" t="s">
        <v>626</v>
      </c>
      <c r="AL527" s="223" t="s">
        <v>653</v>
      </c>
      <c r="AM527" s="223">
        <v>-9999</v>
      </c>
      <c r="AN527" s="223" t="s">
        <v>626</v>
      </c>
      <c r="AO527" s="223">
        <v>-9999</v>
      </c>
      <c r="AP527" s="223" t="s">
        <v>789</v>
      </c>
      <c r="AQ527" s="223" t="s">
        <v>631</v>
      </c>
      <c r="AR527" s="223">
        <v>0</v>
      </c>
      <c r="AS527" s="223">
        <v>-9999</v>
      </c>
      <c r="AT527" s="223">
        <v>-9999</v>
      </c>
      <c r="AU527" s="223">
        <v>0</v>
      </c>
      <c r="AV527" s="223">
        <v>-9999</v>
      </c>
      <c r="AW527" s="223">
        <v>-9999</v>
      </c>
      <c r="AX527" s="223">
        <v>0</v>
      </c>
      <c r="AY527" s="223">
        <v>-9999</v>
      </c>
      <c r="AZ527" s="223">
        <v>-9999</v>
      </c>
      <c r="BA527" s="223" t="s">
        <v>794</v>
      </c>
      <c r="BB527" s="223" t="s">
        <v>626</v>
      </c>
      <c r="BC527" s="223" t="s">
        <v>795</v>
      </c>
      <c r="BD527" s="223" t="s">
        <v>796</v>
      </c>
      <c r="BE527" s="223"/>
      <c r="BF527" s="223"/>
      <c r="BG527" s="223"/>
      <c r="BH527" s="223">
        <v>-9999</v>
      </c>
      <c r="BI527" s="223">
        <v>-9999</v>
      </c>
      <c r="BJ527" s="223">
        <v>-9999</v>
      </c>
      <c r="BK527" s="223">
        <v>-9999</v>
      </c>
      <c r="BL527" s="223">
        <v>-9999</v>
      </c>
      <c r="BM527" s="223">
        <v>-9999</v>
      </c>
      <c r="BN527" s="223">
        <v>-9999</v>
      </c>
      <c r="BO527" s="223">
        <v>-9999</v>
      </c>
      <c r="BP527" s="223">
        <v>-9999</v>
      </c>
      <c r="BQ527" s="223">
        <v>-9999</v>
      </c>
      <c r="BR527" s="223">
        <v>-9999</v>
      </c>
      <c r="BS527" s="242">
        <v>-9999</v>
      </c>
      <c r="BT527" s="223">
        <v>-9999</v>
      </c>
      <c r="BU527" s="223">
        <v>-9999</v>
      </c>
      <c r="BV527" s="223">
        <v>-9999</v>
      </c>
      <c r="BW527" s="223"/>
      <c r="BX527" s="223">
        <v>-9999</v>
      </c>
      <c r="BY527" s="223">
        <v>-9999</v>
      </c>
      <c r="BZ527" s="223">
        <v>-9999</v>
      </c>
      <c r="CA527" s="332" t="s">
        <v>797</v>
      </c>
      <c r="CB527" s="247"/>
      <c r="CC527" s="83">
        <v>1</v>
      </c>
      <c r="CD527" s="32">
        <v>5</v>
      </c>
      <c r="CE527" s="292">
        <v>9.6</v>
      </c>
      <c r="CF527" s="292">
        <v>12</v>
      </c>
      <c r="CG527" s="84">
        <v>5</v>
      </c>
    </row>
    <row r="528" spans="1:86" s="13" customFormat="1" x14ac:dyDescent="0.2">
      <c r="A528" s="249" t="s">
        <v>785</v>
      </c>
      <c r="B528" s="249" t="s">
        <v>786</v>
      </c>
      <c r="C528" s="249" t="s">
        <v>1024</v>
      </c>
      <c r="D528" s="249" t="s">
        <v>619</v>
      </c>
      <c r="E528" s="250" t="s">
        <v>1444</v>
      </c>
      <c r="F528" s="250">
        <v>1</v>
      </c>
      <c r="G528" s="249">
        <v>6</v>
      </c>
      <c r="H528" s="251">
        <v>6</v>
      </c>
      <c r="I528" s="249" t="s">
        <v>954</v>
      </c>
      <c r="J528" s="249">
        <v>1981</v>
      </c>
      <c r="K528" s="249" t="s">
        <v>957</v>
      </c>
      <c r="L528" s="249">
        <v>1986</v>
      </c>
      <c r="M528" s="253">
        <v>-9999</v>
      </c>
      <c r="N528" s="249">
        <v>-9999</v>
      </c>
      <c r="O528" s="18"/>
      <c r="P528" s="558">
        <f t="shared" si="39"/>
        <v>60.599999999999994</v>
      </c>
      <c r="Q528" s="249">
        <v>-9999</v>
      </c>
      <c r="R528" s="253"/>
      <c r="S528" s="249"/>
      <c r="T528" s="253">
        <v>10.1</v>
      </c>
      <c r="U528" s="253">
        <v>0.4</v>
      </c>
      <c r="V528" s="253"/>
      <c r="W528" s="284">
        <f>+P528-P527</f>
        <v>12.599999999999994</v>
      </c>
      <c r="X528" s="249">
        <v>-9999</v>
      </c>
      <c r="Y528" s="249"/>
      <c r="Z528" s="249" t="s">
        <v>74</v>
      </c>
      <c r="AA528" s="559">
        <v>14286</v>
      </c>
      <c r="AB528" s="253">
        <v>0.95</v>
      </c>
      <c r="AC528" s="249">
        <v>-9999</v>
      </c>
      <c r="AD528" s="223">
        <f t="shared" si="40"/>
        <v>400</v>
      </c>
      <c r="AE528" s="249" t="s">
        <v>1956</v>
      </c>
      <c r="AF528" s="249">
        <v>4</v>
      </c>
      <c r="AG528" s="249">
        <v>2</v>
      </c>
      <c r="AH528" s="249" t="s">
        <v>623</v>
      </c>
      <c r="AI528" s="249">
        <v>-9999</v>
      </c>
      <c r="AJ528" s="249">
        <v>-9999</v>
      </c>
      <c r="AK528" s="249" t="s">
        <v>626</v>
      </c>
      <c r="AL528" s="249" t="s">
        <v>653</v>
      </c>
      <c r="AM528" s="249">
        <v>-9999</v>
      </c>
      <c r="AN528" s="249" t="s">
        <v>626</v>
      </c>
      <c r="AO528" s="249">
        <v>-9999</v>
      </c>
      <c r="AP528" s="249" t="s">
        <v>789</v>
      </c>
      <c r="AQ528" s="249" t="s">
        <v>631</v>
      </c>
      <c r="AR528" s="249">
        <v>0</v>
      </c>
      <c r="AS528" s="249">
        <v>-9999</v>
      </c>
      <c r="AT528" s="249">
        <v>-9999</v>
      </c>
      <c r="AU528" s="249">
        <v>0</v>
      </c>
      <c r="AV528" s="249">
        <v>-9999</v>
      </c>
      <c r="AW528" s="249">
        <v>-9999</v>
      </c>
      <c r="AX528" s="249">
        <v>0</v>
      </c>
      <c r="AY528" s="249">
        <v>-9999</v>
      </c>
      <c r="AZ528" s="249">
        <v>-9999</v>
      </c>
      <c r="BA528" s="249" t="s">
        <v>794</v>
      </c>
      <c r="BB528" s="249" t="s">
        <v>626</v>
      </c>
      <c r="BC528" s="249" t="s">
        <v>795</v>
      </c>
      <c r="BD528" s="249" t="s">
        <v>796</v>
      </c>
      <c r="BE528" s="249"/>
      <c r="BF528" s="249"/>
      <c r="BG528" s="249"/>
      <c r="BH528" s="249">
        <v>-9999</v>
      </c>
      <c r="BI528" s="249">
        <v>-9999</v>
      </c>
      <c r="BJ528" s="249">
        <v>-9999</v>
      </c>
      <c r="BK528" s="249">
        <v>-9999</v>
      </c>
      <c r="BL528" s="249">
        <v>-9999</v>
      </c>
      <c r="BM528" s="249">
        <v>-9999</v>
      </c>
      <c r="BN528" s="249">
        <v>-9999</v>
      </c>
      <c r="BO528" s="249">
        <v>-9999</v>
      </c>
      <c r="BP528" s="249">
        <v>-9999</v>
      </c>
      <c r="BQ528" s="249">
        <v>-9999</v>
      </c>
      <c r="BR528" s="249">
        <v>-9999</v>
      </c>
      <c r="BS528" s="251">
        <v>-9999</v>
      </c>
      <c r="BT528" s="249">
        <v>-9999</v>
      </c>
      <c r="BU528" s="249">
        <v>-9999</v>
      </c>
      <c r="BV528" s="249">
        <v>-9999</v>
      </c>
      <c r="BW528" s="249"/>
      <c r="BX528" s="249">
        <v>-9999</v>
      </c>
      <c r="BY528" s="249">
        <v>-9999</v>
      </c>
      <c r="BZ528" s="249">
        <v>-9999</v>
      </c>
      <c r="CA528" s="331" t="s">
        <v>797</v>
      </c>
      <c r="CB528" s="254"/>
      <c r="CC528" s="27">
        <v>1</v>
      </c>
      <c r="CD528" s="26">
        <v>6</v>
      </c>
      <c r="CE528" s="395">
        <v>10.1</v>
      </c>
      <c r="CF528" s="99">
        <v>12.599999999999994</v>
      </c>
      <c r="CG528" s="28">
        <v>6</v>
      </c>
      <c r="CH528" s="437"/>
    </row>
    <row r="529" spans="1:1873" s="23" customFormat="1" x14ac:dyDescent="0.2">
      <c r="A529" s="223" t="s">
        <v>785</v>
      </c>
      <c r="B529" s="223" t="s">
        <v>786</v>
      </c>
      <c r="C529" s="223" t="s">
        <v>1024</v>
      </c>
      <c r="D529" s="223" t="s">
        <v>619</v>
      </c>
      <c r="E529" s="241" t="s">
        <v>1444</v>
      </c>
      <c r="F529" s="241">
        <v>1</v>
      </c>
      <c r="G529" s="223">
        <v>7</v>
      </c>
      <c r="H529" s="242">
        <v>7</v>
      </c>
      <c r="I529" s="223" t="s">
        <v>954</v>
      </c>
      <c r="J529" s="223">
        <v>1981</v>
      </c>
      <c r="K529" s="223" t="s">
        <v>957</v>
      </c>
      <c r="L529" s="223">
        <v>1987</v>
      </c>
      <c r="M529" s="243">
        <v>-9999</v>
      </c>
      <c r="N529" s="223">
        <v>-9999</v>
      </c>
      <c r="O529" s="29"/>
      <c r="P529" s="285">
        <f t="shared" si="39"/>
        <v>67.2</v>
      </c>
      <c r="Q529" s="223">
        <v>-9999</v>
      </c>
      <c r="R529" s="243"/>
      <c r="S529" s="223"/>
      <c r="T529" s="243">
        <v>9.6</v>
      </c>
      <c r="U529" s="243">
        <v>0.9</v>
      </c>
      <c r="V529" s="243"/>
      <c r="W529" s="244">
        <f>+P529-P528</f>
        <v>6.6000000000000085</v>
      </c>
      <c r="X529" s="223">
        <v>-9999</v>
      </c>
      <c r="Y529" s="223"/>
      <c r="Z529" s="223" t="s">
        <v>74</v>
      </c>
      <c r="AA529" s="248">
        <v>14286</v>
      </c>
      <c r="AB529" s="243">
        <v>0.92</v>
      </c>
      <c r="AC529" s="223">
        <v>-9999</v>
      </c>
      <c r="AD529" s="223">
        <f t="shared" si="40"/>
        <v>400</v>
      </c>
      <c r="AE529" s="404" t="s">
        <v>1956</v>
      </c>
      <c r="AF529" s="223">
        <v>4</v>
      </c>
      <c r="AG529" s="223">
        <v>2</v>
      </c>
      <c r="AH529" s="223" t="s">
        <v>623</v>
      </c>
      <c r="AI529" s="223">
        <v>-9999</v>
      </c>
      <c r="AJ529" s="223">
        <v>-9999</v>
      </c>
      <c r="AK529" s="223" t="s">
        <v>626</v>
      </c>
      <c r="AL529" s="223" t="s">
        <v>653</v>
      </c>
      <c r="AM529" s="223">
        <v>-9999</v>
      </c>
      <c r="AN529" s="223" t="s">
        <v>626</v>
      </c>
      <c r="AO529" s="223">
        <v>-9999</v>
      </c>
      <c r="AP529" s="223" t="s">
        <v>789</v>
      </c>
      <c r="AQ529" s="223" t="s">
        <v>631</v>
      </c>
      <c r="AR529" s="223">
        <v>0</v>
      </c>
      <c r="AS529" s="223">
        <v>-9999</v>
      </c>
      <c r="AT529" s="223">
        <v>-9999</v>
      </c>
      <c r="AU529" s="223">
        <v>0</v>
      </c>
      <c r="AV529" s="223">
        <v>-9999</v>
      </c>
      <c r="AW529" s="223">
        <v>-9999</v>
      </c>
      <c r="AX529" s="223">
        <v>0</v>
      </c>
      <c r="AY529" s="223">
        <v>-9999</v>
      </c>
      <c r="AZ529" s="223">
        <v>-9999</v>
      </c>
      <c r="BA529" s="223" t="s">
        <v>794</v>
      </c>
      <c r="BB529" s="223" t="s">
        <v>626</v>
      </c>
      <c r="BC529" s="223" t="s">
        <v>795</v>
      </c>
      <c r="BD529" s="223" t="s">
        <v>796</v>
      </c>
      <c r="BE529" s="223"/>
      <c r="BF529" s="223"/>
      <c r="BG529" s="223"/>
      <c r="BH529" s="223">
        <v>-9999</v>
      </c>
      <c r="BI529" s="223">
        <v>-9999</v>
      </c>
      <c r="BJ529" s="223">
        <v>-9999</v>
      </c>
      <c r="BK529" s="223">
        <v>-9999</v>
      </c>
      <c r="BL529" s="223">
        <v>-9999</v>
      </c>
      <c r="BM529" s="223">
        <v>-9999</v>
      </c>
      <c r="BN529" s="223">
        <v>-9999</v>
      </c>
      <c r="BO529" s="223">
        <v>-9999</v>
      </c>
      <c r="BP529" s="223">
        <v>-9999</v>
      </c>
      <c r="BQ529" s="223">
        <v>-9999</v>
      </c>
      <c r="BR529" s="223">
        <v>-9999</v>
      </c>
      <c r="BS529" s="242">
        <v>-9999</v>
      </c>
      <c r="BT529" s="223">
        <v>-9999</v>
      </c>
      <c r="BU529" s="223">
        <v>-9999</v>
      </c>
      <c r="BV529" s="223">
        <v>-9999</v>
      </c>
      <c r="BW529" s="223"/>
      <c r="BX529" s="223">
        <v>-9999</v>
      </c>
      <c r="BY529" s="223">
        <v>-9999</v>
      </c>
      <c r="BZ529" s="223">
        <v>-9999</v>
      </c>
      <c r="CA529" s="332" t="s">
        <v>797</v>
      </c>
      <c r="CB529" s="247"/>
      <c r="CC529" s="83">
        <v>1</v>
      </c>
      <c r="CD529" s="32">
        <v>7</v>
      </c>
      <c r="CE529" s="292">
        <v>9.6</v>
      </c>
      <c r="CF529" s="292">
        <v>6.6000000000000085</v>
      </c>
      <c r="CG529" s="84">
        <v>7</v>
      </c>
    </row>
    <row r="530" spans="1:1873" s="23" customFormat="1" x14ac:dyDescent="0.2">
      <c r="A530" s="223" t="s">
        <v>785</v>
      </c>
      <c r="B530" s="223" t="s">
        <v>786</v>
      </c>
      <c r="C530" s="223" t="s">
        <v>1024</v>
      </c>
      <c r="D530" s="223" t="s">
        <v>619</v>
      </c>
      <c r="E530" s="241" t="s">
        <v>1444</v>
      </c>
      <c r="F530" s="241">
        <v>1</v>
      </c>
      <c r="G530" s="223">
        <v>8</v>
      </c>
      <c r="H530" s="242">
        <v>8</v>
      </c>
      <c r="I530" s="223" t="s">
        <v>954</v>
      </c>
      <c r="J530" s="223">
        <v>1981</v>
      </c>
      <c r="K530" s="223" t="s">
        <v>957</v>
      </c>
      <c r="L530" s="223">
        <v>1988</v>
      </c>
      <c r="M530" s="243">
        <v>-9999</v>
      </c>
      <c r="N530" s="223">
        <v>-9999</v>
      </c>
      <c r="O530" s="29"/>
      <c r="P530" s="285">
        <f t="shared" si="39"/>
        <v>64.8</v>
      </c>
      <c r="Q530" s="223">
        <v>-9999</v>
      </c>
      <c r="R530" s="243"/>
      <c r="S530" s="223"/>
      <c r="T530" s="243">
        <v>8.1</v>
      </c>
      <c r="U530" s="243">
        <v>0.9</v>
      </c>
      <c r="V530" s="243"/>
      <c r="W530" s="244">
        <f>+P530-P529</f>
        <v>-2.4000000000000057</v>
      </c>
      <c r="X530" s="223">
        <v>-9999</v>
      </c>
      <c r="Y530" s="223"/>
      <c r="Z530" s="223" t="s">
        <v>74</v>
      </c>
      <c r="AA530" s="248">
        <v>14286</v>
      </c>
      <c r="AB530" s="243">
        <v>0.79</v>
      </c>
      <c r="AC530" s="223">
        <v>-9999</v>
      </c>
      <c r="AD530" s="223">
        <f t="shared" si="40"/>
        <v>400</v>
      </c>
      <c r="AE530" s="404" t="s">
        <v>1956</v>
      </c>
      <c r="AF530" s="223">
        <v>4</v>
      </c>
      <c r="AG530" s="223">
        <v>2</v>
      </c>
      <c r="AH530" s="223" t="s">
        <v>623</v>
      </c>
      <c r="AI530" s="223">
        <v>-9999</v>
      </c>
      <c r="AJ530" s="223">
        <v>-9999</v>
      </c>
      <c r="AK530" s="223" t="s">
        <v>626</v>
      </c>
      <c r="AL530" s="223" t="s">
        <v>653</v>
      </c>
      <c r="AM530" s="223">
        <v>-9999</v>
      </c>
      <c r="AN530" s="223" t="s">
        <v>626</v>
      </c>
      <c r="AO530" s="223">
        <v>-9999</v>
      </c>
      <c r="AP530" s="223" t="s">
        <v>789</v>
      </c>
      <c r="AQ530" s="223" t="s">
        <v>631</v>
      </c>
      <c r="AR530" s="223">
        <v>0</v>
      </c>
      <c r="AS530" s="223">
        <v>-9999</v>
      </c>
      <c r="AT530" s="223">
        <v>-9999</v>
      </c>
      <c r="AU530" s="223">
        <v>0</v>
      </c>
      <c r="AV530" s="223">
        <v>-9999</v>
      </c>
      <c r="AW530" s="223">
        <v>-9999</v>
      </c>
      <c r="AX530" s="223">
        <v>0</v>
      </c>
      <c r="AY530" s="223">
        <v>-9999</v>
      </c>
      <c r="AZ530" s="223">
        <v>-9999</v>
      </c>
      <c r="BA530" s="223" t="s">
        <v>794</v>
      </c>
      <c r="BB530" s="223" t="s">
        <v>626</v>
      </c>
      <c r="BC530" s="223" t="s">
        <v>795</v>
      </c>
      <c r="BD530" s="223" t="s">
        <v>796</v>
      </c>
      <c r="BE530" s="223"/>
      <c r="BF530" s="223"/>
      <c r="BG530" s="223"/>
      <c r="BH530" s="223">
        <v>-9999</v>
      </c>
      <c r="BI530" s="223">
        <v>-9999</v>
      </c>
      <c r="BJ530" s="223">
        <v>-9999</v>
      </c>
      <c r="BK530" s="223">
        <v>-9999</v>
      </c>
      <c r="BL530" s="223">
        <v>-9999</v>
      </c>
      <c r="BM530" s="223">
        <v>-9999</v>
      </c>
      <c r="BN530" s="223">
        <v>-9999</v>
      </c>
      <c r="BO530" s="223">
        <v>-9999</v>
      </c>
      <c r="BP530" s="223">
        <v>-9999</v>
      </c>
      <c r="BQ530" s="223">
        <v>-9999</v>
      </c>
      <c r="BR530" s="223">
        <v>-9999</v>
      </c>
      <c r="BS530" s="242">
        <v>-9999</v>
      </c>
      <c r="BT530" s="223">
        <v>-9999</v>
      </c>
      <c r="BU530" s="223">
        <v>-9999</v>
      </c>
      <c r="BV530" s="223">
        <v>-9999</v>
      </c>
      <c r="BW530" s="223"/>
      <c r="BX530" s="223">
        <v>-9999</v>
      </c>
      <c r="BY530" s="223">
        <v>-9999</v>
      </c>
      <c r="BZ530" s="223">
        <v>-9999</v>
      </c>
      <c r="CA530" s="332" t="s">
        <v>797</v>
      </c>
      <c r="CB530" s="247"/>
      <c r="CC530" s="83">
        <v>1</v>
      </c>
      <c r="CD530" s="32">
        <v>8</v>
      </c>
      <c r="CE530" s="292">
        <v>8.1</v>
      </c>
      <c r="CF530" s="292">
        <v>-2.4000000000000057</v>
      </c>
      <c r="CG530" s="84">
        <v>8</v>
      </c>
    </row>
    <row r="531" spans="1:1873" s="23" customFormat="1" x14ac:dyDescent="0.2">
      <c r="A531" s="223"/>
      <c r="B531" s="223"/>
      <c r="C531" s="223"/>
      <c r="D531" s="223"/>
      <c r="E531" s="241"/>
      <c r="F531" s="241"/>
      <c r="G531" s="223"/>
      <c r="H531" s="242"/>
      <c r="I531" s="223"/>
      <c r="J531" s="223"/>
      <c r="K531" s="223"/>
      <c r="L531" s="223"/>
      <c r="M531" s="243"/>
      <c r="N531" s="223"/>
      <c r="O531" s="29"/>
      <c r="P531" s="243"/>
      <c r="Q531" s="223"/>
      <c r="R531" s="243"/>
      <c r="S531" s="223"/>
      <c r="T531" s="243"/>
      <c r="U531" s="243"/>
      <c r="V531" s="243"/>
      <c r="W531" s="243"/>
      <c r="X531" s="223"/>
      <c r="Y531" s="223"/>
      <c r="Z531" s="223"/>
      <c r="AA531" s="248"/>
      <c r="AB531" s="243"/>
      <c r="AC531" s="223"/>
      <c r="AD531" s="223"/>
      <c r="AE531" s="223"/>
      <c r="AF531" s="223"/>
      <c r="AG531" s="223"/>
      <c r="AH531" s="223"/>
      <c r="AI531" s="223"/>
      <c r="AJ531" s="223"/>
      <c r="AK531" s="223"/>
      <c r="AL531" s="223"/>
      <c r="AM531" s="223"/>
      <c r="AN531" s="223"/>
      <c r="AO531" s="223"/>
      <c r="AP531" s="223"/>
      <c r="AQ531" s="223"/>
      <c r="AR531" s="223"/>
      <c r="AS531" s="223"/>
      <c r="AT531" s="223"/>
      <c r="AU531" s="223"/>
      <c r="AV531" s="223"/>
      <c r="AW531" s="223"/>
      <c r="AX531" s="223"/>
      <c r="AY531" s="223"/>
      <c r="AZ531" s="223"/>
      <c r="BA531" s="223"/>
      <c r="BB531" s="223"/>
      <c r="BC531" s="223"/>
      <c r="BD531" s="223"/>
      <c r="BE531" s="223"/>
      <c r="BF531" s="223"/>
      <c r="BG531" s="223"/>
      <c r="BH531" s="223"/>
      <c r="BI531" s="223"/>
      <c r="BJ531" s="223"/>
      <c r="BK531" s="223"/>
      <c r="BL531" s="223"/>
      <c r="BM531" s="223"/>
      <c r="BN531" s="223"/>
      <c r="BO531" s="223"/>
      <c r="BP531" s="223"/>
      <c r="BQ531" s="223"/>
      <c r="BR531" s="223"/>
      <c r="BS531" s="242"/>
      <c r="BT531" s="223"/>
      <c r="BU531" s="223"/>
      <c r="BV531" s="223"/>
      <c r="BW531" s="223"/>
      <c r="BX531" s="223"/>
      <c r="BY531" s="223"/>
      <c r="BZ531" s="223"/>
      <c r="CA531" s="332"/>
      <c r="CB531" s="247"/>
      <c r="CC531" s="83"/>
      <c r="CD531" s="32"/>
      <c r="CE531" s="342" t="s">
        <v>1576</v>
      </c>
      <c r="CF531" s="342" t="s">
        <v>1575</v>
      </c>
      <c r="CG531" s="84"/>
    </row>
    <row r="532" spans="1:1873" s="23" customFormat="1" x14ac:dyDescent="0.2">
      <c r="A532" s="223" t="s">
        <v>785</v>
      </c>
      <c r="B532" s="223" t="s">
        <v>786</v>
      </c>
      <c r="C532" s="223" t="s">
        <v>1025</v>
      </c>
      <c r="D532" s="223" t="s">
        <v>619</v>
      </c>
      <c r="E532" s="241" t="s">
        <v>1444</v>
      </c>
      <c r="F532" s="241">
        <v>1</v>
      </c>
      <c r="G532" s="223">
        <v>3</v>
      </c>
      <c r="H532" s="242">
        <v>3</v>
      </c>
      <c r="I532" s="223" t="s">
        <v>954</v>
      </c>
      <c r="J532" s="223">
        <v>1981</v>
      </c>
      <c r="K532" s="223" t="s">
        <v>957</v>
      </c>
      <c r="L532" s="223">
        <v>1983</v>
      </c>
      <c r="M532" s="243">
        <v>-9999</v>
      </c>
      <c r="N532" s="223">
        <v>-9999</v>
      </c>
      <c r="O532" s="29"/>
      <c r="P532" s="285">
        <f t="shared" ref="P532:P537" si="41">+T532*G532</f>
        <v>19.5</v>
      </c>
      <c r="Q532" s="223">
        <v>-9999</v>
      </c>
      <c r="R532" s="243"/>
      <c r="S532" s="223"/>
      <c r="T532" s="243">
        <v>6.5</v>
      </c>
      <c r="U532" s="243">
        <v>1.1000000000000001</v>
      </c>
      <c r="V532" s="243"/>
      <c r="W532" s="244"/>
      <c r="X532" s="223">
        <v>-9999</v>
      </c>
      <c r="Y532" s="223"/>
      <c r="Z532" s="223" t="s">
        <v>793</v>
      </c>
      <c r="AA532" s="248">
        <v>10000</v>
      </c>
      <c r="AB532" s="243">
        <v>1</v>
      </c>
      <c r="AC532" s="223">
        <v>-9999</v>
      </c>
      <c r="AD532" s="223">
        <f t="shared" si="40"/>
        <v>400</v>
      </c>
      <c r="AE532" s="404" t="s">
        <v>1957</v>
      </c>
      <c r="AF532" s="223">
        <v>4</v>
      </c>
      <c r="AG532" s="223">
        <v>2</v>
      </c>
      <c r="AH532" s="223" t="s">
        <v>623</v>
      </c>
      <c r="AI532" s="223">
        <v>-9999</v>
      </c>
      <c r="AJ532" s="223">
        <v>-9999</v>
      </c>
      <c r="AK532" s="223" t="s">
        <v>626</v>
      </c>
      <c r="AL532" s="223" t="s">
        <v>653</v>
      </c>
      <c r="AM532" s="223">
        <v>-9999</v>
      </c>
      <c r="AN532" s="223" t="s">
        <v>626</v>
      </c>
      <c r="AO532" s="223">
        <v>-9999</v>
      </c>
      <c r="AP532" s="223" t="s">
        <v>789</v>
      </c>
      <c r="AQ532" s="223" t="s">
        <v>631</v>
      </c>
      <c r="AR532" s="223">
        <v>0</v>
      </c>
      <c r="AS532" s="223">
        <v>-9999</v>
      </c>
      <c r="AT532" s="223">
        <v>-9999</v>
      </c>
      <c r="AU532" s="223">
        <v>0</v>
      </c>
      <c r="AV532" s="223">
        <v>-9999</v>
      </c>
      <c r="AW532" s="223">
        <v>-9999</v>
      </c>
      <c r="AX532" s="223">
        <v>0</v>
      </c>
      <c r="AY532" s="223">
        <v>-9999</v>
      </c>
      <c r="AZ532" s="223">
        <v>-9999</v>
      </c>
      <c r="BA532" s="223" t="s">
        <v>794</v>
      </c>
      <c r="BB532" s="223" t="s">
        <v>626</v>
      </c>
      <c r="BC532" s="223" t="s">
        <v>795</v>
      </c>
      <c r="BD532" s="223" t="s">
        <v>796</v>
      </c>
      <c r="BE532" s="223"/>
      <c r="BF532" s="223"/>
      <c r="BG532" s="223"/>
      <c r="BH532" s="223">
        <v>-9999</v>
      </c>
      <c r="BI532" s="223">
        <v>-9999</v>
      </c>
      <c r="BJ532" s="223">
        <v>-9999</v>
      </c>
      <c r="BK532" s="223">
        <v>-9999</v>
      </c>
      <c r="BL532" s="223">
        <v>-9999</v>
      </c>
      <c r="BM532" s="223">
        <v>-9999</v>
      </c>
      <c r="BN532" s="223">
        <v>-9999</v>
      </c>
      <c r="BO532" s="223">
        <v>-9999</v>
      </c>
      <c r="BP532" s="223">
        <v>-9999</v>
      </c>
      <c r="BQ532" s="223">
        <v>-9999</v>
      </c>
      <c r="BR532" s="223">
        <v>-9999</v>
      </c>
      <c r="BS532" s="242">
        <v>-9999</v>
      </c>
      <c r="BT532" s="223">
        <v>-9999</v>
      </c>
      <c r="BU532" s="223">
        <v>-9999</v>
      </c>
      <c r="BV532" s="223">
        <v>-9999</v>
      </c>
      <c r="BW532" s="223"/>
      <c r="BX532" s="223">
        <v>-9999</v>
      </c>
      <c r="BY532" s="223">
        <v>-9999</v>
      </c>
      <c r="BZ532" s="223">
        <v>-9999</v>
      </c>
      <c r="CA532" s="332" t="s">
        <v>797</v>
      </c>
      <c r="CB532" s="247"/>
      <c r="CC532" s="83">
        <v>1</v>
      </c>
      <c r="CD532" s="32">
        <v>3</v>
      </c>
      <c r="CE532" s="292">
        <v>6.5</v>
      </c>
      <c r="CF532" s="292"/>
      <c r="CG532" s="84">
        <v>3</v>
      </c>
    </row>
    <row r="533" spans="1:1873" s="23" customFormat="1" x14ac:dyDescent="0.2">
      <c r="A533" s="223" t="s">
        <v>785</v>
      </c>
      <c r="B533" s="223" t="s">
        <v>786</v>
      </c>
      <c r="C533" s="223" t="s">
        <v>1025</v>
      </c>
      <c r="D533" s="223" t="s">
        <v>619</v>
      </c>
      <c r="E533" s="241" t="s">
        <v>1444</v>
      </c>
      <c r="F533" s="241">
        <v>1</v>
      </c>
      <c r="G533" s="223">
        <v>4</v>
      </c>
      <c r="H533" s="242">
        <v>4</v>
      </c>
      <c r="I533" s="223" t="s">
        <v>954</v>
      </c>
      <c r="J533" s="223">
        <v>1981</v>
      </c>
      <c r="K533" s="223" t="s">
        <v>957</v>
      </c>
      <c r="L533" s="223">
        <v>1984</v>
      </c>
      <c r="M533" s="243">
        <v>-9999</v>
      </c>
      <c r="N533" s="223">
        <v>-9999</v>
      </c>
      <c r="O533" s="29"/>
      <c r="P533" s="285">
        <f t="shared" si="41"/>
        <v>39.6</v>
      </c>
      <c r="Q533" s="223">
        <v>-9999</v>
      </c>
      <c r="R533" s="243"/>
      <c r="S533" s="223"/>
      <c r="T533" s="243">
        <v>9.9</v>
      </c>
      <c r="U533" s="243">
        <v>2.2000000000000002</v>
      </c>
      <c r="V533" s="243"/>
      <c r="W533" s="244">
        <f>+P533-P532</f>
        <v>20.100000000000001</v>
      </c>
      <c r="X533" s="223">
        <v>-9999</v>
      </c>
      <c r="Y533" s="223"/>
      <c r="Z533" s="223" t="s">
        <v>793</v>
      </c>
      <c r="AA533" s="248">
        <v>10000</v>
      </c>
      <c r="AB533" s="285">
        <v>0.99</v>
      </c>
      <c r="AC533" s="223">
        <v>-9999</v>
      </c>
      <c r="AD533" s="223">
        <f t="shared" si="40"/>
        <v>400</v>
      </c>
      <c r="AE533" s="404" t="s">
        <v>1957</v>
      </c>
      <c r="AF533" s="223">
        <v>4</v>
      </c>
      <c r="AG533" s="223">
        <v>2</v>
      </c>
      <c r="AH533" s="223" t="s">
        <v>623</v>
      </c>
      <c r="AI533" s="223">
        <v>-9999</v>
      </c>
      <c r="AJ533" s="223">
        <v>-9999</v>
      </c>
      <c r="AK533" s="223" t="s">
        <v>626</v>
      </c>
      <c r="AL533" s="223" t="s">
        <v>653</v>
      </c>
      <c r="AM533" s="223">
        <v>-9999</v>
      </c>
      <c r="AN533" s="223" t="s">
        <v>626</v>
      </c>
      <c r="AO533" s="223">
        <v>-9999</v>
      </c>
      <c r="AP533" s="223" t="s">
        <v>789</v>
      </c>
      <c r="AQ533" s="223" t="s">
        <v>631</v>
      </c>
      <c r="AR533" s="223">
        <v>0</v>
      </c>
      <c r="AS533" s="223">
        <v>-9999</v>
      </c>
      <c r="AT533" s="223">
        <v>-9999</v>
      </c>
      <c r="AU533" s="223">
        <v>0</v>
      </c>
      <c r="AV533" s="223">
        <v>-9999</v>
      </c>
      <c r="AW533" s="223">
        <v>-9999</v>
      </c>
      <c r="AX533" s="223">
        <v>0</v>
      </c>
      <c r="AY533" s="223">
        <v>-9999</v>
      </c>
      <c r="AZ533" s="223">
        <v>-9999</v>
      </c>
      <c r="BA533" s="223" t="s">
        <v>794</v>
      </c>
      <c r="BB533" s="223" t="s">
        <v>626</v>
      </c>
      <c r="BC533" s="223" t="s">
        <v>795</v>
      </c>
      <c r="BD533" s="223" t="s">
        <v>796</v>
      </c>
      <c r="BE533" s="223"/>
      <c r="BF533" s="223"/>
      <c r="BG533" s="223"/>
      <c r="BH533" s="223">
        <v>-9999</v>
      </c>
      <c r="BI533" s="223">
        <v>-9999</v>
      </c>
      <c r="BJ533" s="223">
        <v>-9999</v>
      </c>
      <c r="BK533" s="223">
        <v>-9999</v>
      </c>
      <c r="BL533" s="223">
        <v>-9999</v>
      </c>
      <c r="BM533" s="223">
        <v>-9999</v>
      </c>
      <c r="BN533" s="223">
        <v>-9999</v>
      </c>
      <c r="BO533" s="223">
        <v>-9999</v>
      </c>
      <c r="BP533" s="223">
        <v>-9999</v>
      </c>
      <c r="BQ533" s="223">
        <v>-9999</v>
      </c>
      <c r="BR533" s="223">
        <v>-9999</v>
      </c>
      <c r="BS533" s="242">
        <v>-9999</v>
      </c>
      <c r="BT533" s="223">
        <v>-9999</v>
      </c>
      <c r="BU533" s="223">
        <v>-9999</v>
      </c>
      <c r="BV533" s="223">
        <v>-9999</v>
      </c>
      <c r="BW533" s="223"/>
      <c r="BX533" s="223">
        <v>-9999</v>
      </c>
      <c r="BY533" s="223">
        <v>-9999</v>
      </c>
      <c r="BZ533" s="223">
        <v>-9999</v>
      </c>
      <c r="CA533" s="332" t="s">
        <v>797</v>
      </c>
      <c r="CB533" s="247"/>
      <c r="CC533" s="83">
        <v>1</v>
      </c>
      <c r="CD533" s="32">
        <v>4</v>
      </c>
      <c r="CE533" s="292">
        <v>9.9</v>
      </c>
      <c r="CF533" s="292">
        <v>20.100000000000001</v>
      </c>
      <c r="CG533" s="84">
        <v>4</v>
      </c>
    </row>
    <row r="534" spans="1:1873" s="23" customFormat="1" x14ac:dyDescent="0.2">
      <c r="A534" s="223" t="s">
        <v>785</v>
      </c>
      <c r="B534" s="223" t="s">
        <v>786</v>
      </c>
      <c r="C534" s="223" t="s">
        <v>1025</v>
      </c>
      <c r="D534" s="223" t="s">
        <v>619</v>
      </c>
      <c r="E534" s="241" t="s">
        <v>1444</v>
      </c>
      <c r="F534" s="241">
        <v>1</v>
      </c>
      <c r="G534" s="223">
        <v>5</v>
      </c>
      <c r="H534" s="242">
        <v>5</v>
      </c>
      <c r="I534" s="223" t="s">
        <v>954</v>
      </c>
      <c r="J534" s="223">
        <v>1981</v>
      </c>
      <c r="K534" s="223" t="s">
        <v>957</v>
      </c>
      <c r="L534" s="223">
        <v>1985</v>
      </c>
      <c r="M534" s="243">
        <v>-9999</v>
      </c>
      <c r="N534" s="223">
        <v>-9999</v>
      </c>
      <c r="O534" s="29"/>
      <c r="P534" s="285">
        <f t="shared" si="41"/>
        <v>54.5</v>
      </c>
      <c r="Q534" s="223">
        <v>-9999</v>
      </c>
      <c r="R534" s="243"/>
      <c r="S534" s="223"/>
      <c r="T534" s="243">
        <v>10.9</v>
      </c>
      <c r="U534" s="243">
        <v>1.1000000000000001</v>
      </c>
      <c r="V534" s="243"/>
      <c r="W534" s="244">
        <f>+P534-P533</f>
        <v>14.899999999999999</v>
      </c>
      <c r="X534" s="223">
        <v>-9999</v>
      </c>
      <c r="Y534" s="223"/>
      <c r="Z534" s="223" t="s">
        <v>793</v>
      </c>
      <c r="AA534" s="248">
        <v>10000</v>
      </c>
      <c r="AB534" s="285">
        <v>0.97</v>
      </c>
      <c r="AC534" s="223">
        <v>-9999</v>
      </c>
      <c r="AD534" s="223">
        <f t="shared" si="40"/>
        <v>400</v>
      </c>
      <c r="AE534" s="404" t="s">
        <v>1957</v>
      </c>
      <c r="AF534" s="223">
        <v>4</v>
      </c>
      <c r="AG534" s="223">
        <v>2</v>
      </c>
      <c r="AH534" s="223" t="s">
        <v>623</v>
      </c>
      <c r="AI534" s="223">
        <v>-9999</v>
      </c>
      <c r="AJ534" s="223">
        <v>-9999</v>
      </c>
      <c r="AK534" s="223" t="s">
        <v>626</v>
      </c>
      <c r="AL534" s="223" t="s">
        <v>653</v>
      </c>
      <c r="AM534" s="223">
        <v>-9999</v>
      </c>
      <c r="AN534" s="223" t="s">
        <v>626</v>
      </c>
      <c r="AO534" s="223">
        <v>-9999</v>
      </c>
      <c r="AP534" s="223" t="s">
        <v>789</v>
      </c>
      <c r="AQ534" s="223" t="s">
        <v>631</v>
      </c>
      <c r="AR534" s="223">
        <v>0</v>
      </c>
      <c r="AS534" s="223">
        <v>-9999</v>
      </c>
      <c r="AT534" s="223">
        <v>-9999</v>
      </c>
      <c r="AU534" s="223">
        <v>0</v>
      </c>
      <c r="AV534" s="223">
        <v>-9999</v>
      </c>
      <c r="AW534" s="223">
        <v>-9999</v>
      </c>
      <c r="AX534" s="223">
        <v>0</v>
      </c>
      <c r="AY534" s="223">
        <v>-9999</v>
      </c>
      <c r="AZ534" s="223">
        <v>-9999</v>
      </c>
      <c r="BA534" s="223" t="s">
        <v>794</v>
      </c>
      <c r="BB534" s="223" t="s">
        <v>626</v>
      </c>
      <c r="BC534" s="223" t="s">
        <v>795</v>
      </c>
      <c r="BD534" s="223" t="s">
        <v>796</v>
      </c>
      <c r="BE534" s="223"/>
      <c r="BF534" s="223"/>
      <c r="BG534" s="223"/>
      <c r="BH534" s="223">
        <v>-9999</v>
      </c>
      <c r="BI534" s="223">
        <v>-9999</v>
      </c>
      <c r="BJ534" s="223">
        <v>-9999</v>
      </c>
      <c r="BK534" s="223">
        <v>-9999</v>
      </c>
      <c r="BL534" s="223">
        <v>-9999</v>
      </c>
      <c r="BM534" s="223">
        <v>-9999</v>
      </c>
      <c r="BN534" s="223">
        <v>-9999</v>
      </c>
      <c r="BO534" s="223">
        <v>-9999</v>
      </c>
      <c r="BP534" s="223">
        <v>-9999</v>
      </c>
      <c r="BQ534" s="223">
        <v>-9999</v>
      </c>
      <c r="BR534" s="223">
        <v>-9999</v>
      </c>
      <c r="BS534" s="242">
        <v>-9999</v>
      </c>
      <c r="BT534" s="223">
        <v>-9999</v>
      </c>
      <c r="BU534" s="223">
        <v>-9999</v>
      </c>
      <c r="BV534" s="223">
        <v>-9999</v>
      </c>
      <c r="BW534" s="223"/>
      <c r="BX534" s="223">
        <v>-9999</v>
      </c>
      <c r="BY534" s="223">
        <v>-9999</v>
      </c>
      <c r="BZ534" s="223">
        <v>-9999</v>
      </c>
      <c r="CA534" s="332" t="s">
        <v>797</v>
      </c>
      <c r="CB534" s="247"/>
      <c r="CC534" s="83">
        <v>1</v>
      </c>
      <c r="CD534" s="32">
        <v>5</v>
      </c>
      <c r="CE534" s="292">
        <v>10.9</v>
      </c>
      <c r="CF534" s="292">
        <v>14.899999999999999</v>
      </c>
      <c r="CG534" s="84">
        <v>5</v>
      </c>
    </row>
    <row r="535" spans="1:1873" s="199" customFormat="1" x14ac:dyDescent="0.2">
      <c r="A535" s="249" t="s">
        <v>785</v>
      </c>
      <c r="B535" s="249" t="s">
        <v>786</v>
      </c>
      <c r="C535" s="249" t="s">
        <v>1025</v>
      </c>
      <c r="D535" s="249" t="s">
        <v>619</v>
      </c>
      <c r="E535" s="250" t="s">
        <v>1444</v>
      </c>
      <c r="F535" s="250">
        <v>1</v>
      </c>
      <c r="G535" s="249">
        <v>6</v>
      </c>
      <c r="H535" s="251">
        <v>6</v>
      </c>
      <c r="I535" s="249" t="s">
        <v>954</v>
      </c>
      <c r="J535" s="249">
        <v>1981</v>
      </c>
      <c r="K535" s="249" t="s">
        <v>957</v>
      </c>
      <c r="L535" s="249">
        <v>1986</v>
      </c>
      <c r="M535" s="253">
        <v>-9999</v>
      </c>
      <c r="N535" s="249">
        <v>-9999</v>
      </c>
      <c r="O535" s="18"/>
      <c r="P535" s="253">
        <f t="shared" si="41"/>
        <v>76.800000000000011</v>
      </c>
      <c r="Q535" s="249">
        <v>-9999</v>
      </c>
      <c r="R535" s="253"/>
      <c r="S535" s="249"/>
      <c r="T535" s="253">
        <v>12.8</v>
      </c>
      <c r="U535" s="253">
        <v>2</v>
      </c>
      <c r="V535" s="253"/>
      <c r="W535" s="284">
        <f>+P535-P534</f>
        <v>22.300000000000011</v>
      </c>
      <c r="X535" s="249">
        <v>-9999</v>
      </c>
      <c r="Y535" s="249"/>
      <c r="Z535" s="249" t="s">
        <v>793</v>
      </c>
      <c r="AA535" s="559">
        <v>10000</v>
      </c>
      <c r="AB535" s="253">
        <v>0.95</v>
      </c>
      <c r="AC535" s="249">
        <v>-9999</v>
      </c>
      <c r="AD535" s="223">
        <f t="shared" si="40"/>
        <v>400</v>
      </c>
      <c r="AE535" s="249" t="s">
        <v>1957</v>
      </c>
      <c r="AF535" s="249">
        <v>4</v>
      </c>
      <c r="AG535" s="249">
        <v>2</v>
      </c>
      <c r="AH535" s="249" t="s">
        <v>623</v>
      </c>
      <c r="AI535" s="249">
        <v>-9999</v>
      </c>
      <c r="AJ535" s="249">
        <v>-9999</v>
      </c>
      <c r="AK535" s="249" t="s">
        <v>626</v>
      </c>
      <c r="AL535" s="249" t="s">
        <v>653</v>
      </c>
      <c r="AM535" s="249">
        <v>-9999</v>
      </c>
      <c r="AN535" s="249" t="s">
        <v>626</v>
      </c>
      <c r="AO535" s="249">
        <v>-9999</v>
      </c>
      <c r="AP535" s="249" t="s">
        <v>789</v>
      </c>
      <c r="AQ535" s="249" t="s">
        <v>631</v>
      </c>
      <c r="AR535" s="249">
        <v>0</v>
      </c>
      <c r="AS535" s="249">
        <v>-9999</v>
      </c>
      <c r="AT535" s="249">
        <v>-9999</v>
      </c>
      <c r="AU535" s="249">
        <v>0</v>
      </c>
      <c r="AV535" s="249">
        <v>-9999</v>
      </c>
      <c r="AW535" s="249">
        <v>-9999</v>
      </c>
      <c r="AX535" s="249">
        <v>0</v>
      </c>
      <c r="AY535" s="249">
        <v>-9999</v>
      </c>
      <c r="AZ535" s="249">
        <v>-9999</v>
      </c>
      <c r="BA535" s="249" t="s">
        <v>794</v>
      </c>
      <c r="BB535" s="249" t="s">
        <v>626</v>
      </c>
      <c r="BC535" s="249" t="s">
        <v>795</v>
      </c>
      <c r="BD535" s="249" t="s">
        <v>796</v>
      </c>
      <c r="BE535" s="249"/>
      <c r="BF535" s="249"/>
      <c r="BG535" s="249"/>
      <c r="BH535" s="249">
        <v>-9999</v>
      </c>
      <c r="BI535" s="249">
        <v>-9999</v>
      </c>
      <c r="BJ535" s="249">
        <v>-9999</v>
      </c>
      <c r="BK535" s="249">
        <v>-9999</v>
      </c>
      <c r="BL535" s="249">
        <v>-9999</v>
      </c>
      <c r="BM535" s="249">
        <v>-9999</v>
      </c>
      <c r="BN535" s="249">
        <v>-9999</v>
      </c>
      <c r="BO535" s="249">
        <v>-9999</v>
      </c>
      <c r="BP535" s="249">
        <v>-9999</v>
      </c>
      <c r="BQ535" s="249">
        <v>-9999</v>
      </c>
      <c r="BR535" s="249">
        <v>-9999</v>
      </c>
      <c r="BS535" s="251">
        <v>-9999</v>
      </c>
      <c r="BT535" s="249">
        <v>-9999</v>
      </c>
      <c r="BU535" s="249">
        <v>-9999</v>
      </c>
      <c r="BV535" s="249">
        <v>-9999</v>
      </c>
      <c r="BW535" s="249"/>
      <c r="BX535" s="249">
        <v>-9999</v>
      </c>
      <c r="BY535" s="249">
        <v>-9999</v>
      </c>
      <c r="BZ535" s="249">
        <v>-9999</v>
      </c>
      <c r="CA535" s="331" t="s">
        <v>797</v>
      </c>
      <c r="CB535" s="254"/>
      <c r="CC535" s="200">
        <v>1</v>
      </c>
      <c r="CD535" s="193">
        <v>6</v>
      </c>
      <c r="CE535" s="395">
        <v>12.8</v>
      </c>
      <c r="CF535" s="99">
        <v>22.300000000000011</v>
      </c>
      <c r="CG535" s="195">
        <v>6</v>
      </c>
      <c r="CH535" s="437" t="s">
        <v>1757</v>
      </c>
      <c r="CI535" s="13"/>
      <c r="CJ535" s="13"/>
      <c r="CK535" s="13"/>
      <c r="CL535" s="13"/>
      <c r="CM535" s="13"/>
      <c r="CN535" s="13"/>
      <c r="CO535" s="13"/>
      <c r="CP535" s="13"/>
      <c r="CQ535" s="13"/>
      <c r="CR535" s="13"/>
      <c r="CS535" s="13"/>
      <c r="CT535" s="13"/>
      <c r="CU535" s="13"/>
      <c r="CV535" s="13"/>
      <c r="CW535" s="13"/>
      <c r="CX535" s="13"/>
      <c r="CY535" s="13"/>
      <c r="CZ535" s="13"/>
      <c r="DA535" s="13"/>
      <c r="DB535" s="13"/>
      <c r="DC535" s="13"/>
      <c r="DD535" s="13"/>
      <c r="DE535" s="13"/>
      <c r="DF535" s="13"/>
      <c r="DG535" s="13"/>
      <c r="DH535" s="13"/>
      <c r="DI535" s="13"/>
      <c r="DJ535" s="13"/>
      <c r="DK535" s="13"/>
      <c r="DL535" s="13"/>
      <c r="DM535" s="13"/>
      <c r="DN535" s="13"/>
      <c r="DO535" s="13"/>
      <c r="DP535" s="13"/>
      <c r="DQ535" s="13"/>
      <c r="DR535" s="13"/>
      <c r="DS535" s="13"/>
      <c r="DT535" s="13"/>
      <c r="DU535" s="13"/>
      <c r="DV535" s="13"/>
      <c r="DW535" s="13"/>
      <c r="DX535" s="13"/>
      <c r="DY535" s="13"/>
      <c r="DZ535" s="13"/>
      <c r="EA535" s="13"/>
      <c r="EB535" s="13"/>
      <c r="EC535" s="13"/>
      <c r="ED535" s="13"/>
      <c r="EE535" s="13"/>
      <c r="EF535" s="13"/>
      <c r="EG535" s="13"/>
      <c r="EH535" s="13"/>
      <c r="EI535" s="13"/>
      <c r="EJ535" s="13"/>
      <c r="EK535" s="13"/>
      <c r="EL535" s="13"/>
      <c r="EM535" s="13"/>
      <c r="EN535" s="13"/>
      <c r="EO535" s="13"/>
      <c r="EP535" s="13"/>
      <c r="EQ535" s="13"/>
      <c r="ER535" s="13"/>
      <c r="ES535" s="13"/>
      <c r="ET535" s="13"/>
      <c r="EU535" s="13"/>
      <c r="EV535" s="13"/>
      <c r="EW535" s="13"/>
      <c r="EX535" s="13"/>
      <c r="EY535" s="13"/>
      <c r="EZ535" s="13"/>
      <c r="FA535" s="13"/>
      <c r="FB535" s="13"/>
      <c r="FC535" s="13"/>
      <c r="FD535" s="13"/>
      <c r="FE535" s="13"/>
      <c r="FF535" s="13"/>
      <c r="FG535" s="13"/>
      <c r="FH535" s="13"/>
      <c r="FI535" s="13"/>
      <c r="FJ535" s="13"/>
      <c r="FK535" s="13"/>
      <c r="FL535" s="13"/>
      <c r="FM535" s="13"/>
      <c r="FN535" s="13"/>
      <c r="FO535" s="13"/>
      <c r="FP535" s="13"/>
      <c r="FQ535" s="13"/>
      <c r="FR535" s="13"/>
      <c r="FS535" s="13"/>
      <c r="FT535" s="13"/>
      <c r="FU535" s="13"/>
      <c r="FV535" s="13"/>
      <c r="FW535" s="13"/>
      <c r="FX535" s="13"/>
      <c r="FY535" s="13"/>
      <c r="FZ535" s="13"/>
      <c r="GA535" s="13"/>
      <c r="GB535" s="13"/>
      <c r="GC535" s="13"/>
      <c r="GD535" s="13"/>
      <c r="GE535" s="13"/>
      <c r="GF535" s="13"/>
      <c r="GG535" s="13"/>
      <c r="GH535" s="13"/>
      <c r="GI535" s="13"/>
      <c r="GJ535" s="13"/>
      <c r="GK535" s="13"/>
      <c r="GL535" s="13"/>
      <c r="GM535" s="13"/>
      <c r="GN535" s="13"/>
      <c r="GO535" s="13"/>
      <c r="GP535" s="13"/>
      <c r="GQ535" s="13"/>
      <c r="GR535" s="13"/>
      <c r="GS535" s="13"/>
      <c r="GT535" s="13"/>
      <c r="GU535" s="13"/>
      <c r="GV535" s="13"/>
      <c r="GW535" s="13"/>
      <c r="GX535" s="13"/>
      <c r="GY535" s="13"/>
      <c r="GZ535" s="13"/>
      <c r="HA535" s="13"/>
      <c r="HB535" s="13"/>
      <c r="HC535" s="13"/>
      <c r="HD535" s="13"/>
      <c r="HE535" s="13"/>
      <c r="HF535" s="13"/>
      <c r="HG535" s="13"/>
      <c r="HH535" s="13"/>
      <c r="HI535" s="13"/>
      <c r="HJ535" s="13"/>
      <c r="HK535" s="13"/>
      <c r="HL535" s="13"/>
      <c r="HM535" s="13"/>
      <c r="HN535" s="13"/>
      <c r="HO535" s="13"/>
      <c r="HP535" s="13"/>
      <c r="HQ535" s="13"/>
      <c r="HR535" s="13"/>
      <c r="HS535" s="13"/>
      <c r="HT535" s="13"/>
      <c r="HU535" s="13"/>
      <c r="HV535" s="13"/>
      <c r="HW535" s="13"/>
      <c r="HX535" s="13"/>
      <c r="HY535" s="13"/>
      <c r="HZ535" s="13"/>
      <c r="IA535" s="13"/>
      <c r="IB535" s="13"/>
      <c r="IC535" s="13"/>
      <c r="ID535" s="13"/>
      <c r="IE535" s="13"/>
      <c r="IF535" s="13"/>
      <c r="IG535" s="13"/>
      <c r="IH535" s="13"/>
      <c r="II535" s="13"/>
      <c r="IJ535" s="13"/>
      <c r="IK535" s="13"/>
      <c r="IL535" s="13"/>
      <c r="IM535" s="13"/>
      <c r="IN535" s="13"/>
      <c r="IO535" s="13"/>
      <c r="IP535" s="13"/>
      <c r="IQ535" s="13"/>
      <c r="IR535" s="13"/>
      <c r="IS535" s="13"/>
      <c r="IT535" s="13"/>
      <c r="IU535" s="13"/>
      <c r="IV535" s="13"/>
      <c r="IW535" s="13"/>
      <c r="IX535" s="13"/>
      <c r="IY535" s="13"/>
      <c r="IZ535" s="13"/>
      <c r="JA535" s="13"/>
      <c r="JB535" s="13"/>
      <c r="JC535" s="13"/>
      <c r="JD535" s="13"/>
      <c r="JE535" s="13"/>
      <c r="JF535" s="13"/>
      <c r="JG535" s="13"/>
      <c r="JH535" s="13"/>
      <c r="JI535" s="13"/>
      <c r="JJ535" s="13"/>
      <c r="JK535" s="13"/>
      <c r="JL535" s="13"/>
      <c r="JM535" s="13"/>
      <c r="JN535" s="13"/>
      <c r="JO535" s="13"/>
      <c r="JP535" s="13"/>
      <c r="JQ535" s="13"/>
      <c r="JR535" s="13"/>
      <c r="JS535" s="13"/>
      <c r="JT535" s="13"/>
      <c r="JU535" s="13"/>
      <c r="JV535" s="13"/>
      <c r="JW535" s="13"/>
      <c r="JX535" s="13"/>
      <c r="JY535" s="13"/>
      <c r="JZ535" s="13"/>
      <c r="KA535" s="13"/>
      <c r="KB535" s="13"/>
      <c r="KC535" s="13"/>
      <c r="KD535" s="13"/>
      <c r="KE535" s="13"/>
      <c r="KF535" s="13"/>
      <c r="KG535" s="13"/>
      <c r="KH535" s="13"/>
      <c r="KI535" s="13"/>
      <c r="KJ535" s="13"/>
      <c r="KK535" s="13"/>
      <c r="KL535" s="13"/>
      <c r="KM535" s="13"/>
      <c r="KN535" s="13"/>
      <c r="KO535" s="13"/>
      <c r="KP535" s="13"/>
      <c r="KQ535" s="13"/>
      <c r="KR535" s="13"/>
      <c r="KS535" s="13"/>
      <c r="KT535" s="13"/>
      <c r="KU535" s="13"/>
      <c r="KV535" s="13"/>
      <c r="KW535" s="13"/>
      <c r="KX535" s="13"/>
      <c r="KY535" s="13"/>
      <c r="KZ535" s="13"/>
      <c r="LA535" s="13"/>
      <c r="LB535" s="13"/>
      <c r="LC535" s="13"/>
      <c r="LD535" s="13"/>
      <c r="LE535" s="13"/>
      <c r="LF535" s="13"/>
      <c r="LG535" s="13"/>
      <c r="LH535" s="13"/>
      <c r="LI535" s="13"/>
      <c r="LJ535" s="13"/>
      <c r="LK535" s="13"/>
      <c r="LL535" s="13"/>
      <c r="LM535" s="13"/>
      <c r="LN535" s="13"/>
      <c r="LO535" s="13"/>
      <c r="LP535" s="13"/>
      <c r="LQ535" s="13"/>
      <c r="LR535" s="13"/>
      <c r="LS535" s="13"/>
      <c r="LT535" s="13"/>
      <c r="LU535" s="13"/>
      <c r="LV535" s="13"/>
      <c r="LW535" s="13"/>
      <c r="LX535" s="13"/>
      <c r="LY535" s="13"/>
      <c r="LZ535" s="13"/>
      <c r="MA535" s="13"/>
      <c r="MB535" s="13"/>
      <c r="MC535" s="13"/>
      <c r="MD535" s="13"/>
      <c r="ME535" s="13"/>
      <c r="MF535" s="13"/>
      <c r="MG535" s="13"/>
      <c r="MH535" s="13"/>
      <c r="MI535" s="13"/>
      <c r="MJ535" s="13"/>
      <c r="MK535" s="13"/>
      <c r="ML535" s="13"/>
      <c r="MM535" s="13"/>
      <c r="MN535" s="13"/>
      <c r="MO535" s="13"/>
      <c r="MP535" s="13"/>
      <c r="MQ535" s="13"/>
      <c r="MR535" s="13"/>
      <c r="MS535" s="13"/>
      <c r="MT535" s="13"/>
      <c r="MU535" s="13"/>
      <c r="MV535" s="13"/>
      <c r="MW535" s="13"/>
      <c r="MX535" s="13"/>
      <c r="MY535" s="13"/>
      <c r="MZ535" s="13"/>
      <c r="NA535" s="13"/>
      <c r="NB535" s="13"/>
      <c r="NC535" s="13"/>
      <c r="ND535" s="13"/>
      <c r="NE535" s="13"/>
      <c r="NF535" s="13"/>
      <c r="NG535" s="13"/>
      <c r="NH535" s="13"/>
      <c r="NI535" s="13"/>
      <c r="NJ535" s="13"/>
      <c r="NK535" s="13"/>
      <c r="NL535" s="13"/>
      <c r="NM535" s="13"/>
      <c r="NN535" s="13"/>
      <c r="NO535" s="13"/>
      <c r="NP535" s="13"/>
      <c r="NQ535" s="13"/>
      <c r="NR535" s="13"/>
      <c r="NS535" s="13"/>
      <c r="NT535" s="13"/>
      <c r="NU535" s="13"/>
      <c r="NV535" s="13"/>
      <c r="NW535" s="13"/>
      <c r="NX535" s="13"/>
      <c r="NY535" s="13"/>
      <c r="NZ535" s="13"/>
      <c r="OA535" s="13"/>
      <c r="OB535" s="13"/>
      <c r="OC535" s="13"/>
      <c r="OD535" s="13"/>
      <c r="OE535" s="13"/>
      <c r="OF535" s="13"/>
      <c r="OG535" s="13"/>
      <c r="OH535" s="13"/>
      <c r="OI535" s="13"/>
      <c r="OJ535" s="13"/>
      <c r="OK535" s="13"/>
      <c r="OL535" s="13"/>
      <c r="OM535" s="13"/>
      <c r="ON535" s="13"/>
      <c r="OO535" s="13"/>
      <c r="OP535" s="13"/>
      <c r="OQ535" s="13"/>
      <c r="OR535" s="13"/>
      <c r="OS535" s="13"/>
      <c r="OT535" s="13"/>
      <c r="OU535" s="13"/>
      <c r="OV535" s="13"/>
      <c r="OW535" s="13"/>
      <c r="OX535" s="13"/>
      <c r="OY535" s="13"/>
      <c r="OZ535" s="13"/>
      <c r="PA535" s="13"/>
      <c r="PB535" s="13"/>
      <c r="PC535" s="13"/>
      <c r="PD535" s="13"/>
      <c r="PE535" s="13"/>
      <c r="PF535" s="13"/>
      <c r="PG535" s="13"/>
      <c r="PH535" s="13"/>
      <c r="PI535" s="13"/>
      <c r="PJ535" s="13"/>
      <c r="PK535" s="13"/>
      <c r="PL535" s="13"/>
      <c r="PM535" s="13"/>
      <c r="PN535" s="13"/>
      <c r="PO535" s="13"/>
      <c r="PP535" s="13"/>
      <c r="PQ535" s="13"/>
      <c r="PR535" s="13"/>
      <c r="PS535" s="13"/>
      <c r="PT535" s="13"/>
      <c r="PU535" s="13"/>
      <c r="PV535" s="13"/>
      <c r="PW535" s="13"/>
      <c r="PX535" s="13"/>
      <c r="PY535" s="13"/>
      <c r="PZ535" s="13"/>
      <c r="QA535" s="13"/>
      <c r="QB535" s="13"/>
      <c r="QC535" s="13"/>
      <c r="QD535" s="13"/>
      <c r="QE535" s="13"/>
      <c r="QF535" s="13"/>
      <c r="QG535" s="13"/>
      <c r="QH535" s="13"/>
      <c r="QI535" s="13"/>
      <c r="QJ535" s="13"/>
      <c r="QK535" s="13"/>
      <c r="QL535" s="13"/>
      <c r="QM535" s="13"/>
      <c r="QN535" s="13"/>
      <c r="QO535" s="13"/>
      <c r="QP535" s="13"/>
      <c r="QQ535" s="13"/>
      <c r="QR535" s="13"/>
      <c r="QS535" s="13"/>
      <c r="QT535" s="13"/>
      <c r="QU535" s="13"/>
      <c r="QV535" s="13"/>
      <c r="QW535" s="13"/>
      <c r="QX535" s="13"/>
      <c r="QY535" s="13"/>
      <c r="QZ535" s="13"/>
      <c r="RA535" s="13"/>
      <c r="RB535" s="13"/>
      <c r="RC535" s="13"/>
      <c r="RD535" s="13"/>
      <c r="RE535" s="13"/>
      <c r="RF535" s="13"/>
      <c r="RG535" s="13"/>
      <c r="RH535" s="13"/>
      <c r="RI535" s="13"/>
      <c r="RJ535" s="13"/>
      <c r="RK535" s="13"/>
      <c r="RL535" s="13"/>
      <c r="RM535" s="13"/>
      <c r="RN535" s="13"/>
      <c r="RO535" s="13"/>
      <c r="RP535" s="13"/>
      <c r="RQ535" s="13"/>
      <c r="RR535" s="13"/>
      <c r="RS535" s="13"/>
      <c r="RT535" s="13"/>
      <c r="RU535" s="13"/>
      <c r="RV535" s="13"/>
      <c r="RW535" s="13"/>
      <c r="RX535" s="13"/>
      <c r="RY535" s="13"/>
      <c r="RZ535" s="13"/>
      <c r="SA535" s="13"/>
      <c r="SB535" s="13"/>
      <c r="SC535" s="13"/>
      <c r="SD535" s="13"/>
      <c r="SE535" s="13"/>
      <c r="SF535" s="13"/>
      <c r="SG535" s="13"/>
      <c r="SH535" s="13"/>
      <c r="SI535" s="13"/>
      <c r="SJ535" s="13"/>
      <c r="SK535" s="13"/>
      <c r="SL535" s="13"/>
      <c r="SM535" s="13"/>
      <c r="SN535" s="13"/>
      <c r="SO535" s="13"/>
      <c r="SP535" s="13"/>
      <c r="SQ535" s="13"/>
      <c r="SR535" s="13"/>
      <c r="SS535" s="13"/>
      <c r="ST535" s="13"/>
      <c r="SU535" s="13"/>
      <c r="SV535" s="13"/>
      <c r="SW535" s="13"/>
      <c r="SX535" s="13"/>
      <c r="SY535" s="13"/>
      <c r="SZ535" s="13"/>
      <c r="TA535" s="13"/>
      <c r="TB535" s="13"/>
      <c r="TC535" s="13"/>
      <c r="TD535" s="13"/>
      <c r="TE535" s="13"/>
      <c r="TF535" s="13"/>
      <c r="TG535" s="13"/>
      <c r="TH535" s="13"/>
      <c r="TI535" s="13"/>
      <c r="TJ535" s="13"/>
      <c r="TK535" s="13"/>
      <c r="TL535" s="13"/>
      <c r="TM535" s="13"/>
      <c r="TN535" s="13"/>
      <c r="TO535" s="13"/>
      <c r="TP535" s="13"/>
      <c r="TQ535" s="13"/>
      <c r="TR535" s="13"/>
      <c r="TS535" s="13"/>
      <c r="TT535" s="13"/>
      <c r="TU535" s="13"/>
      <c r="TV535" s="13"/>
      <c r="TW535" s="13"/>
      <c r="TX535" s="13"/>
      <c r="TY535" s="13"/>
      <c r="TZ535" s="13"/>
      <c r="UA535" s="13"/>
      <c r="UB535" s="13"/>
      <c r="UC535" s="13"/>
      <c r="UD535" s="13"/>
      <c r="UE535" s="13"/>
      <c r="UF535" s="13"/>
      <c r="UG535" s="13"/>
      <c r="UH535" s="13"/>
      <c r="UI535" s="13"/>
      <c r="UJ535" s="13"/>
      <c r="UK535" s="13"/>
      <c r="UL535" s="13"/>
      <c r="UM535" s="13"/>
      <c r="UN535" s="13"/>
      <c r="UO535" s="13"/>
      <c r="UP535" s="13"/>
      <c r="UQ535" s="13"/>
      <c r="UR535" s="13"/>
      <c r="US535" s="13"/>
      <c r="UT535" s="13"/>
      <c r="UU535" s="13"/>
      <c r="UV535" s="13"/>
      <c r="UW535" s="13"/>
      <c r="UX535" s="13"/>
      <c r="UY535" s="13"/>
      <c r="UZ535" s="13"/>
      <c r="VA535" s="13"/>
      <c r="VB535" s="13"/>
      <c r="VC535" s="13"/>
      <c r="VD535" s="13"/>
      <c r="VE535" s="13"/>
      <c r="VF535" s="13"/>
      <c r="VG535" s="13"/>
      <c r="VH535" s="13"/>
      <c r="VI535" s="13"/>
      <c r="VJ535" s="13"/>
      <c r="VK535" s="13"/>
      <c r="VL535" s="13"/>
      <c r="VM535" s="13"/>
      <c r="VN535" s="13"/>
      <c r="VO535" s="13"/>
      <c r="VP535" s="13"/>
      <c r="VQ535" s="13"/>
      <c r="VR535" s="13"/>
      <c r="VS535" s="13"/>
      <c r="VT535" s="13"/>
      <c r="VU535" s="13"/>
      <c r="VV535" s="13"/>
      <c r="VW535" s="13"/>
      <c r="VX535" s="13"/>
      <c r="VY535" s="13"/>
      <c r="VZ535" s="13"/>
      <c r="WA535" s="13"/>
      <c r="WB535" s="13"/>
      <c r="WC535" s="13"/>
      <c r="WD535" s="13"/>
      <c r="WE535" s="13"/>
      <c r="WF535" s="13"/>
      <c r="WG535" s="13"/>
      <c r="WH535" s="13"/>
      <c r="WI535" s="13"/>
      <c r="WJ535" s="13"/>
      <c r="WK535" s="13"/>
      <c r="WL535" s="13"/>
      <c r="WM535" s="13"/>
      <c r="WN535" s="13"/>
      <c r="WO535" s="13"/>
      <c r="WP535" s="13"/>
      <c r="WQ535" s="13"/>
      <c r="WR535" s="13"/>
      <c r="WS535" s="13"/>
      <c r="WT535" s="13"/>
      <c r="WU535" s="13"/>
      <c r="WV535" s="13"/>
      <c r="WW535" s="13"/>
      <c r="WX535" s="13"/>
      <c r="WY535" s="13"/>
      <c r="WZ535" s="13"/>
      <c r="XA535" s="13"/>
      <c r="XB535" s="13"/>
      <c r="XC535" s="13"/>
      <c r="XD535" s="13"/>
      <c r="XE535" s="13"/>
      <c r="XF535" s="13"/>
      <c r="XG535" s="13"/>
      <c r="XH535" s="13"/>
      <c r="XI535" s="13"/>
      <c r="XJ535" s="13"/>
      <c r="XK535" s="13"/>
      <c r="XL535" s="13"/>
      <c r="XM535" s="13"/>
      <c r="XN535" s="13"/>
      <c r="XO535" s="13"/>
      <c r="XP535" s="13"/>
      <c r="XQ535" s="13"/>
      <c r="XR535" s="13"/>
      <c r="XS535" s="13"/>
      <c r="XT535" s="13"/>
      <c r="XU535" s="13"/>
      <c r="XV535" s="13"/>
      <c r="XW535" s="13"/>
      <c r="XX535" s="13"/>
      <c r="XY535" s="13"/>
      <c r="XZ535" s="13"/>
      <c r="YA535" s="13"/>
      <c r="YB535" s="13"/>
      <c r="YC535" s="13"/>
      <c r="YD535" s="13"/>
      <c r="YE535" s="13"/>
      <c r="YF535" s="13"/>
      <c r="YG535" s="13"/>
      <c r="YH535" s="13"/>
      <c r="YI535" s="13"/>
      <c r="YJ535" s="13"/>
      <c r="YK535" s="13"/>
      <c r="YL535" s="13"/>
      <c r="YM535" s="13"/>
      <c r="YN535" s="13"/>
      <c r="YO535" s="13"/>
      <c r="YP535" s="13"/>
      <c r="YQ535" s="13"/>
      <c r="YR535" s="13"/>
      <c r="YS535" s="13"/>
      <c r="YT535" s="13"/>
      <c r="YU535" s="13"/>
      <c r="YV535" s="13"/>
      <c r="YW535" s="13"/>
      <c r="YX535" s="13"/>
      <c r="YY535" s="13"/>
      <c r="YZ535" s="13"/>
      <c r="ZA535" s="13"/>
      <c r="ZB535" s="13"/>
      <c r="ZC535" s="13"/>
      <c r="ZD535" s="13"/>
      <c r="ZE535" s="13"/>
      <c r="ZF535" s="13"/>
      <c r="ZG535" s="13"/>
      <c r="ZH535" s="13"/>
      <c r="ZI535" s="13"/>
      <c r="ZJ535" s="13"/>
      <c r="ZK535" s="13"/>
      <c r="ZL535" s="13"/>
      <c r="ZM535" s="13"/>
      <c r="ZN535" s="13"/>
      <c r="ZO535" s="13"/>
      <c r="ZP535" s="13"/>
      <c r="ZQ535" s="13"/>
      <c r="ZR535" s="13"/>
      <c r="ZS535" s="13"/>
      <c r="ZT535" s="13"/>
      <c r="ZU535" s="13"/>
      <c r="ZV535" s="13"/>
      <c r="ZW535" s="13"/>
      <c r="ZX535" s="13"/>
      <c r="ZY535" s="13"/>
      <c r="ZZ535" s="13"/>
      <c r="AAA535" s="13"/>
      <c r="AAB535" s="13"/>
      <c r="AAC535" s="13"/>
      <c r="AAD535" s="13"/>
      <c r="AAE535" s="13"/>
      <c r="AAF535" s="13"/>
      <c r="AAG535" s="13"/>
      <c r="AAH535" s="13"/>
      <c r="AAI535" s="13"/>
      <c r="AAJ535" s="13"/>
      <c r="AAK535" s="13"/>
      <c r="AAL535" s="13"/>
      <c r="AAM535" s="13"/>
      <c r="AAN535" s="13"/>
      <c r="AAO535" s="13"/>
      <c r="AAP535" s="13"/>
      <c r="AAQ535" s="13"/>
      <c r="AAR535" s="13"/>
      <c r="AAS535" s="13"/>
      <c r="AAT535" s="13"/>
      <c r="AAU535" s="13"/>
      <c r="AAV535" s="13"/>
      <c r="AAW535" s="13"/>
      <c r="AAX535" s="13"/>
      <c r="AAY535" s="13"/>
      <c r="AAZ535" s="13"/>
      <c r="ABA535" s="13"/>
      <c r="ABB535" s="13"/>
      <c r="ABC535" s="13"/>
      <c r="ABD535" s="13"/>
      <c r="ABE535" s="13"/>
      <c r="ABF535" s="13"/>
      <c r="ABG535" s="13"/>
      <c r="ABH535" s="13"/>
      <c r="ABI535" s="13"/>
      <c r="ABJ535" s="13"/>
      <c r="ABK535" s="13"/>
      <c r="ABL535" s="13"/>
      <c r="ABM535" s="13"/>
      <c r="ABN535" s="13"/>
      <c r="ABO535" s="13"/>
      <c r="ABP535" s="13"/>
      <c r="ABQ535" s="13"/>
      <c r="ABR535" s="13"/>
      <c r="ABS535" s="13"/>
      <c r="ABT535" s="13"/>
      <c r="ABU535" s="13"/>
      <c r="ABV535" s="13"/>
      <c r="ABW535" s="13"/>
      <c r="ABX535" s="13"/>
      <c r="ABY535" s="13"/>
      <c r="ABZ535" s="13"/>
      <c r="ACA535" s="13"/>
      <c r="ACB535" s="13"/>
      <c r="ACC535" s="13"/>
      <c r="ACD535" s="13"/>
      <c r="ACE535" s="13"/>
      <c r="ACF535" s="13"/>
      <c r="ACG535" s="13"/>
      <c r="ACH535" s="13"/>
      <c r="ACI535" s="13"/>
      <c r="ACJ535" s="13"/>
      <c r="ACK535" s="13"/>
      <c r="ACL535" s="13"/>
      <c r="ACM535" s="13"/>
      <c r="ACN535" s="13"/>
      <c r="ACO535" s="13"/>
      <c r="ACP535" s="13"/>
      <c r="ACQ535" s="13"/>
      <c r="ACR535" s="13"/>
      <c r="ACS535" s="13"/>
      <c r="ACT535" s="13"/>
      <c r="ACU535" s="13"/>
      <c r="ACV535" s="13"/>
      <c r="ACW535" s="13"/>
      <c r="ACX535" s="13"/>
      <c r="ACY535" s="13"/>
      <c r="ACZ535" s="13"/>
      <c r="ADA535" s="13"/>
      <c r="ADB535" s="13"/>
      <c r="ADC535" s="13"/>
      <c r="ADD535" s="13"/>
      <c r="ADE535" s="13"/>
      <c r="ADF535" s="13"/>
      <c r="ADG535" s="13"/>
      <c r="ADH535" s="13"/>
      <c r="ADI535" s="13"/>
      <c r="ADJ535" s="13"/>
      <c r="ADK535" s="13"/>
      <c r="ADL535" s="13"/>
      <c r="ADM535" s="13"/>
      <c r="ADN535" s="13"/>
      <c r="ADO535" s="13"/>
      <c r="ADP535" s="13"/>
      <c r="ADQ535" s="13"/>
      <c r="ADR535" s="13"/>
      <c r="ADS535" s="13"/>
      <c r="ADT535" s="13"/>
      <c r="ADU535" s="13"/>
      <c r="ADV535" s="13"/>
      <c r="ADW535" s="13"/>
      <c r="ADX535" s="13"/>
      <c r="ADY535" s="13"/>
      <c r="ADZ535" s="13"/>
      <c r="AEA535" s="13"/>
      <c r="AEB535" s="13"/>
      <c r="AEC535" s="13"/>
      <c r="AED535" s="13"/>
      <c r="AEE535" s="13"/>
      <c r="AEF535" s="13"/>
      <c r="AEG535" s="13"/>
      <c r="AEH535" s="13"/>
      <c r="AEI535" s="13"/>
      <c r="AEJ535" s="13"/>
      <c r="AEK535" s="13"/>
      <c r="AEL535" s="13"/>
      <c r="AEM535" s="13"/>
      <c r="AEN535" s="13"/>
      <c r="AEO535" s="13"/>
      <c r="AEP535" s="13"/>
      <c r="AEQ535" s="13"/>
      <c r="AER535" s="13"/>
      <c r="AES535" s="13"/>
      <c r="AET535" s="13"/>
      <c r="AEU535" s="13"/>
      <c r="AEV535" s="13"/>
      <c r="AEW535" s="13"/>
      <c r="AEX535" s="13"/>
      <c r="AEY535" s="13"/>
      <c r="AEZ535" s="13"/>
      <c r="AFA535" s="13"/>
      <c r="AFB535" s="13"/>
      <c r="AFC535" s="13"/>
      <c r="AFD535" s="13"/>
      <c r="AFE535" s="13"/>
      <c r="AFF535" s="13"/>
      <c r="AFG535" s="13"/>
      <c r="AFH535" s="13"/>
      <c r="AFI535" s="13"/>
      <c r="AFJ535" s="13"/>
      <c r="AFK535" s="13"/>
      <c r="AFL535" s="13"/>
      <c r="AFM535" s="13"/>
      <c r="AFN535" s="13"/>
      <c r="AFO535" s="13"/>
      <c r="AFP535" s="13"/>
      <c r="AFQ535" s="13"/>
      <c r="AFR535" s="13"/>
      <c r="AFS535" s="13"/>
      <c r="AFT535" s="13"/>
      <c r="AFU535" s="13"/>
      <c r="AFV535" s="13"/>
      <c r="AFW535" s="13"/>
      <c r="AFX535" s="13"/>
      <c r="AFY535" s="13"/>
      <c r="AFZ535" s="13"/>
      <c r="AGA535" s="13"/>
      <c r="AGB535" s="13"/>
      <c r="AGC535" s="13"/>
      <c r="AGD535" s="13"/>
      <c r="AGE535" s="13"/>
      <c r="AGF535" s="13"/>
      <c r="AGG535" s="13"/>
      <c r="AGH535" s="13"/>
      <c r="AGI535" s="13"/>
      <c r="AGJ535" s="13"/>
      <c r="AGK535" s="13"/>
      <c r="AGL535" s="13"/>
      <c r="AGM535" s="13"/>
      <c r="AGN535" s="13"/>
      <c r="AGO535" s="13"/>
      <c r="AGP535" s="13"/>
      <c r="AGQ535" s="13"/>
      <c r="AGR535" s="13"/>
      <c r="AGS535" s="13"/>
      <c r="AGT535" s="13"/>
      <c r="AGU535" s="13"/>
      <c r="AGV535" s="13"/>
      <c r="AGW535" s="13"/>
      <c r="AGX535" s="13"/>
      <c r="AGY535" s="13"/>
      <c r="AGZ535" s="13"/>
      <c r="AHA535" s="13"/>
      <c r="AHB535" s="13"/>
      <c r="AHC535" s="13"/>
      <c r="AHD535" s="13"/>
      <c r="AHE535" s="13"/>
      <c r="AHF535" s="13"/>
      <c r="AHG535" s="13"/>
      <c r="AHH535" s="13"/>
      <c r="AHI535" s="13"/>
      <c r="AHJ535" s="13"/>
      <c r="AHK535" s="13"/>
      <c r="AHL535" s="13"/>
      <c r="AHM535" s="13"/>
      <c r="AHN535" s="13"/>
      <c r="AHO535" s="13"/>
      <c r="AHP535" s="13"/>
      <c r="AHQ535" s="13"/>
      <c r="AHR535" s="13"/>
      <c r="AHS535" s="13"/>
      <c r="AHT535" s="13"/>
      <c r="AHU535" s="13"/>
      <c r="AHV535" s="13"/>
      <c r="AHW535" s="13"/>
      <c r="AHX535" s="13"/>
      <c r="AHY535" s="13"/>
      <c r="AHZ535" s="13"/>
      <c r="AIA535" s="13"/>
      <c r="AIB535" s="13"/>
      <c r="AIC535" s="13"/>
      <c r="AID535" s="13"/>
      <c r="AIE535" s="13"/>
      <c r="AIF535" s="13"/>
      <c r="AIG535" s="13"/>
      <c r="AIH535" s="13"/>
      <c r="AII535" s="13"/>
      <c r="AIJ535" s="13"/>
      <c r="AIK535" s="13"/>
      <c r="AIL535" s="13"/>
      <c r="AIM535" s="13"/>
      <c r="AIN535" s="13"/>
      <c r="AIO535" s="13"/>
      <c r="AIP535" s="13"/>
      <c r="AIQ535" s="13"/>
      <c r="AIR535" s="13"/>
      <c r="AIS535" s="13"/>
      <c r="AIT535" s="13"/>
      <c r="AIU535" s="13"/>
      <c r="AIV535" s="13"/>
      <c r="AIW535" s="13"/>
      <c r="AIX535" s="13"/>
      <c r="AIY535" s="13"/>
      <c r="AIZ535" s="13"/>
      <c r="AJA535" s="13"/>
      <c r="AJB535" s="13"/>
      <c r="AJC535" s="13"/>
      <c r="AJD535" s="13"/>
      <c r="AJE535" s="13"/>
      <c r="AJF535" s="13"/>
      <c r="AJG535" s="13"/>
      <c r="AJH535" s="13"/>
      <c r="AJI535" s="13"/>
      <c r="AJJ535" s="13"/>
      <c r="AJK535" s="13"/>
      <c r="AJL535" s="13"/>
      <c r="AJM535" s="13"/>
      <c r="AJN535" s="13"/>
      <c r="AJO535" s="13"/>
      <c r="AJP535" s="13"/>
      <c r="AJQ535" s="13"/>
      <c r="AJR535" s="13"/>
      <c r="AJS535" s="13"/>
      <c r="AJT535" s="13"/>
      <c r="AJU535" s="13"/>
      <c r="AJV535" s="13"/>
      <c r="AJW535" s="13"/>
      <c r="AJX535" s="13"/>
      <c r="AJY535" s="13"/>
      <c r="AJZ535" s="13"/>
      <c r="AKA535" s="13"/>
      <c r="AKB535" s="13"/>
      <c r="AKC535" s="13"/>
      <c r="AKD535" s="13"/>
      <c r="AKE535" s="13"/>
      <c r="AKF535" s="13"/>
      <c r="AKG535" s="13"/>
      <c r="AKH535" s="13"/>
      <c r="AKI535" s="13"/>
      <c r="AKJ535" s="13"/>
      <c r="AKK535" s="13"/>
      <c r="AKL535" s="13"/>
      <c r="AKM535" s="13"/>
      <c r="AKN535" s="13"/>
      <c r="AKO535" s="13"/>
      <c r="AKP535" s="13"/>
      <c r="AKQ535" s="13"/>
      <c r="AKR535" s="13"/>
      <c r="AKS535" s="13"/>
      <c r="AKT535" s="13"/>
      <c r="AKU535" s="13"/>
      <c r="AKV535" s="13"/>
      <c r="AKW535" s="13"/>
      <c r="AKX535" s="13"/>
      <c r="AKY535" s="13"/>
      <c r="AKZ535" s="13"/>
      <c r="ALA535" s="13"/>
      <c r="ALB535" s="13"/>
      <c r="ALC535" s="13"/>
      <c r="ALD535" s="13"/>
      <c r="ALE535" s="13"/>
      <c r="ALF535" s="13"/>
      <c r="ALG535" s="13"/>
      <c r="ALH535" s="13"/>
      <c r="ALI535" s="13"/>
      <c r="ALJ535" s="13"/>
      <c r="ALK535" s="13"/>
      <c r="ALL535" s="13"/>
      <c r="ALM535" s="13"/>
      <c r="ALN535" s="13"/>
      <c r="ALO535" s="13"/>
      <c r="ALP535" s="13"/>
      <c r="ALQ535" s="13"/>
      <c r="ALR535" s="13"/>
      <c r="ALS535" s="13"/>
      <c r="ALT535" s="13"/>
      <c r="ALU535" s="13"/>
      <c r="ALV535" s="13"/>
      <c r="ALW535" s="13"/>
      <c r="ALX535" s="13"/>
      <c r="ALY535" s="13"/>
      <c r="ALZ535" s="13"/>
      <c r="AMA535" s="13"/>
      <c r="AMB535" s="13"/>
      <c r="AMC535" s="13"/>
      <c r="AMD535" s="13"/>
      <c r="AME535" s="13"/>
      <c r="AMF535" s="13"/>
      <c r="AMG535" s="13"/>
      <c r="AMH535" s="13"/>
      <c r="AMI535" s="13"/>
      <c r="AMJ535" s="13"/>
      <c r="AMK535" s="13"/>
      <c r="AML535" s="13"/>
      <c r="AMM535" s="13"/>
      <c r="AMN535" s="13"/>
      <c r="AMO535" s="13"/>
      <c r="AMP535" s="13"/>
      <c r="AMQ535" s="13"/>
      <c r="AMR535" s="13"/>
      <c r="AMS535" s="13"/>
      <c r="AMT535" s="13"/>
      <c r="AMU535" s="13"/>
      <c r="AMV535" s="13"/>
      <c r="AMW535" s="13"/>
      <c r="AMX535" s="13"/>
      <c r="AMY535" s="13"/>
      <c r="AMZ535" s="13"/>
      <c r="ANA535" s="13"/>
      <c r="ANB535" s="13"/>
      <c r="ANC535" s="13"/>
      <c r="AND535" s="13"/>
      <c r="ANE535" s="13"/>
      <c r="ANF535" s="13"/>
      <c r="ANG535" s="13"/>
      <c r="ANH535" s="13"/>
      <c r="ANI535" s="13"/>
      <c r="ANJ535" s="13"/>
      <c r="ANK535" s="13"/>
      <c r="ANL535" s="13"/>
      <c r="ANM535" s="13"/>
      <c r="ANN535" s="13"/>
      <c r="ANO535" s="13"/>
      <c r="ANP535" s="13"/>
      <c r="ANQ535" s="13"/>
      <c r="ANR535" s="13"/>
      <c r="ANS535" s="13"/>
      <c r="ANT535" s="13"/>
      <c r="ANU535" s="13"/>
      <c r="ANV535" s="13"/>
      <c r="ANW535" s="13"/>
      <c r="ANX535" s="13"/>
      <c r="ANY535" s="13"/>
      <c r="ANZ535" s="13"/>
      <c r="AOA535" s="13"/>
      <c r="AOB535" s="13"/>
      <c r="AOC535" s="13"/>
      <c r="AOD535" s="13"/>
      <c r="AOE535" s="13"/>
      <c r="AOF535" s="13"/>
      <c r="AOG535" s="13"/>
      <c r="AOH535" s="13"/>
      <c r="AOI535" s="13"/>
      <c r="AOJ535" s="13"/>
      <c r="AOK535" s="13"/>
      <c r="AOL535" s="13"/>
      <c r="AOM535" s="13"/>
      <c r="AON535" s="13"/>
      <c r="AOO535" s="13"/>
      <c r="AOP535" s="13"/>
      <c r="AOQ535" s="13"/>
      <c r="AOR535" s="13"/>
      <c r="AOS535" s="13"/>
      <c r="AOT535" s="13"/>
      <c r="AOU535" s="13"/>
      <c r="AOV535" s="13"/>
      <c r="AOW535" s="13"/>
      <c r="AOX535" s="13"/>
      <c r="AOY535" s="13"/>
      <c r="AOZ535" s="13"/>
      <c r="APA535" s="13"/>
      <c r="APB535" s="13"/>
      <c r="APC535" s="13"/>
      <c r="APD535" s="13"/>
      <c r="APE535" s="13"/>
      <c r="APF535" s="13"/>
      <c r="APG535" s="13"/>
      <c r="APH535" s="13"/>
      <c r="API535" s="13"/>
      <c r="APJ535" s="13"/>
      <c r="APK535" s="13"/>
      <c r="APL535" s="13"/>
      <c r="APM535" s="13"/>
      <c r="APN535" s="13"/>
      <c r="APO535" s="13"/>
      <c r="APP535" s="13"/>
      <c r="APQ535" s="13"/>
      <c r="APR535" s="13"/>
      <c r="APS535" s="13"/>
      <c r="APT535" s="13"/>
      <c r="APU535" s="13"/>
      <c r="APV535" s="13"/>
      <c r="APW535" s="13"/>
      <c r="APX535" s="13"/>
      <c r="APY535" s="13"/>
      <c r="APZ535" s="13"/>
      <c r="AQA535" s="13"/>
      <c r="AQB535" s="13"/>
      <c r="AQC535" s="13"/>
      <c r="AQD535" s="13"/>
      <c r="AQE535" s="13"/>
      <c r="AQF535" s="13"/>
      <c r="AQG535" s="13"/>
      <c r="AQH535" s="13"/>
      <c r="AQI535" s="13"/>
      <c r="AQJ535" s="13"/>
      <c r="AQK535" s="13"/>
      <c r="AQL535" s="13"/>
      <c r="AQM535" s="13"/>
      <c r="AQN535" s="13"/>
      <c r="AQO535" s="13"/>
      <c r="AQP535" s="13"/>
      <c r="AQQ535" s="13"/>
      <c r="AQR535" s="13"/>
      <c r="AQS535" s="13"/>
      <c r="AQT535" s="13"/>
      <c r="AQU535" s="13"/>
      <c r="AQV535" s="13"/>
      <c r="AQW535" s="13"/>
      <c r="AQX535" s="13"/>
      <c r="AQY535" s="13"/>
      <c r="AQZ535" s="13"/>
      <c r="ARA535" s="13"/>
      <c r="ARB535" s="13"/>
      <c r="ARC535" s="13"/>
      <c r="ARD535" s="13"/>
      <c r="ARE535" s="13"/>
      <c r="ARF535" s="13"/>
      <c r="ARG535" s="13"/>
      <c r="ARH535" s="13"/>
      <c r="ARI535" s="13"/>
      <c r="ARJ535" s="13"/>
      <c r="ARK535" s="13"/>
      <c r="ARL535" s="13"/>
      <c r="ARM535" s="13"/>
      <c r="ARN535" s="13"/>
      <c r="ARO535" s="13"/>
      <c r="ARP535" s="13"/>
      <c r="ARQ535" s="13"/>
      <c r="ARR535" s="13"/>
      <c r="ARS535" s="13"/>
      <c r="ART535" s="13"/>
      <c r="ARU535" s="13"/>
      <c r="ARV535" s="13"/>
      <c r="ARW535" s="13"/>
      <c r="ARX535" s="13"/>
      <c r="ARY535" s="13"/>
      <c r="ARZ535" s="13"/>
      <c r="ASA535" s="13"/>
      <c r="ASB535" s="13"/>
      <c r="ASC535" s="13"/>
      <c r="ASD535" s="13"/>
      <c r="ASE535" s="13"/>
      <c r="ASF535" s="13"/>
      <c r="ASG535" s="13"/>
      <c r="ASH535" s="13"/>
      <c r="ASI535" s="13"/>
      <c r="ASJ535" s="13"/>
      <c r="ASK535" s="13"/>
      <c r="ASL535" s="13"/>
      <c r="ASM535" s="13"/>
      <c r="ASN535" s="13"/>
      <c r="ASO535" s="13"/>
      <c r="ASP535" s="13"/>
      <c r="ASQ535" s="13"/>
      <c r="ASR535" s="13"/>
      <c r="ASS535" s="13"/>
      <c r="AST535" s="13"/>
      <c r="ASU535" s="13"/>
      <c r="ASV535" s="13"/>
      <c r="ASW535" s="13"/>
      <c r="ASX535" s="13"/>
      <c r="ASY535" s="13"/>
      <c r="ASZ535" s="13"/>
      <c r="ATA535" s="13"/>
      <c r="ATB535" s="13"/>
      <c r="ATC535" s="13"/>
      <c r="ATD535" s="13"/>
      <c r="ATE535" s="13"/>
      <c r="ATF535" s="13"/>
      <c r="ATG535" s="13"/>
      <c r="ATH535" s="13"/>
      <c r="ATI535" s="13"/>
      <c r="ATJ535" s="13"/>
      <c r="ATK535" s="13"/>
      <c r="ATL535" s="13"/>
      <c r="ATM535" s="13"/>
      <c r="ATN535" s="13"/>
      <c r="ATO535" s="13"/>
      <c r="ATP535" s="13"/>
      <c r="ATQ535" s="13"/>
      <c r="ATR535" s="13"/>
      <c r="ATS535" s="13"/>
      <c r="ATT535" s="13"/>
      <c r="ATU535" s="13"/>
      <c r="ATV535" s="13"/>
      <c r="ATW535" s="13"/>
      <c r="ATX535" s="13"/>
      <c r="ATY535" s="13"/>
      <c r="ATZ535" s="13"/>
      <c r="AUA535" s="13"/>
      <c r="AUB535" s="13"/>
      <c r="AUC535" s="13"/>
      <c r="AUD535" s="13"/>
      <c r="AUE535" s="13"/>
      <c r="AUF535" s="13"/>
      <c r="AUG535" s="13"/>
      <c r="AUH535" s="13"/>
      <c r="AUI535" s="13"/>
      <c r="AUJ535" s="13"/>
      <c r="AUK535" s="13"/>
      <c r="AUL535" s="13"/>
      <c r="AUM535" s="13"/>
      <c r="AUN535" s="13"/>
      <c r="AUO535" s="13"/>
      <c r="AUP535" s="13"/>
      <c r="AUQ535" s="13"/>
      <c r="AUR535" s="13"/>
      <c r="AUS535" s="13"/>
      <c r="AUT535" s="13"/>
      <c r="AUU535" s="13"/>
      <c r="AUV535" s="13"/>
      <c r="AUW535" s="13"/>
      <c r="AUX535" s="13"/>
      <c r="AUY535" s="13"/>
      <c r="AUZ535" s="13"/>
      <c r="AVA535" s="13"/>
      <c r="AVB535" s="13"/>
      <c r="AVC535" s="13"/>
      <c r="AVD535" s="13"/>
      <c r="AVE535" s="13"/>
      <c r="AVF535" s="13"/>
      <c r="AVG535" s="13"/>
      <c r="AVH535" s="13"/>
      <c r="AVI535" s="13"/>
      <c r="AVJ535" s="13"/>
      <c r="AVK535" s="13"/>
      <c r="AVL535" s="13"/>
      <c r="AVM535" s="13"/>
      <c r="AVN535" s="13"/>
      <c r="AVO535" s="13"/>
      <c r="AVP535" s="13"/>
      <c r="AVQ535" s="13"/>
      <c r="AVR535" s="13"/>
      <c r="AVS535" s="13"/>
      <c r="AVT535" s="13"/>
      <c r="AVU535" s="13"/>
      <c r="AVV535" s="13"/>
      <c r="AVW535" s="13"/>
      <c r="AVX535" s="13"/>
      <c r="AVY535" s="13"/>
      <c r="AVZ535" s="13"/>
      <c r="AWA535" s="13"/>
      <c r="AWB535" s="13"/>
      <c r="AWC535" s="13"/>
      <c r="AWD535" s="13"/>
      <c r="AWE535" s="13"/>
      <c r="AWF535" s="13"/>
      <c r="AWG535" s="13"/>
      <c r="AWH535" s="13"/>
      <c r="AWI535" s="13"/>
      <c r="AWJ535" s="13"/>
      <c r="AWK535" s="13"/>
      <c r="AWL535" s="13"/>
      <c r="AWM535" s="13"/>
      <c r="AWN535" s="13"/>
      <c r="AWO535" s="13"/>
      <c r="AWP535" s="13"/>
      <c r="AWQ535" s="13"/>
      <c r="AWR535" s="13"/>
      <c r="AWS535" s="13"/>
      <c r="AWT535" s="13"/>
      <c r="AWU535" s="13"/>
      <c r="AWV535" s="13"/>
      <c r="AWW535" s="13"/>
      <c r="AWX535" s="13"/>
      <c r="AWY535" s="13"/>
      <c r="AWZ535" s="13"/>
      <c r="AXA535" s="13"/>
      <c r="AXB535" s="13"/>
      <c r="AXC535" s="13"/>
      <c r="AXD535" s="13"/>
      <c r="AXE535" s="13"/>
      <c r="AXF535" s="13"/>
      <c r="AXG535" s="13"/>
      <c r="AXH535" s="13"/>
      <c r="AXI535" s="13"/>
      <c r="AXJ535" s="13"/>
      <c r="AXK535" s="13"/>
      <c r="AXL535" s="13"/>
      <c r="AXM535" s="13"/>
      <c r="AXN535" s="13"/>
      <c r="AXO535" s="13"/>
      <c r="AXP535" s="13"/>
      <c r="AXQ535" s="13"/>
      <c r="AXR535" s="13"/>
      <c r="AXS535" s="13"/>
      <c r="AXT535" s="13"/>
      <c r="AXU535" s="13"/>
      <c r="AXV535" s="13"/>
      <c r="AXW535" s="13"/>
      <c r="AXX535" s="13"/>
      <c r="AXY535" s="13"/>
      <c r="AXZ535" s="13"/>
      <c r="AYA535" s="13"/>
      <c r="AYB535" s="13"/>
      <c r="AYC535" s="13"/>
      <c r="AYD535" s="13"/>
      <c r="AYE535" s="13"/>
      <c r="AYF535" s="13"/>
      <c r="AYG535" s="13"/>
      <c r="AYH535" s="13"/>
      <c r="AYI535" s="13"/>
      <c r="AYJ535" s="13"/>
      <c r="AYK535" s="13"/>
      <c r="AYL535" s="13"/>
      <c r="AYM535" s="13"/>
      <c r="AYN535" s="13"/>
      <c r="AYO535" s="13"/>
      <c r="AYP535" s="13"/>
      <c r="AYQ535" s="13"/>
      <c r="AYR535" s="13"/>
      <c r="AYS535" s="13"/>
      <c r="AYT535" s="13"/>
      <c r="AYU535" s="13"/>
      <c r="AYV535" s="13"/>
      <c r="AYW535" s="13"/>
      <c r="AYX535" s="13"/>
      <c r="AYY535" s="13"/>
      <c r="AYZ535" s="13"/>
      <c r="AZA535" s="13"/>
      <c r="AZB535" s="13"/>
      <c r="AZC535" s="13"/>
      <c r="AZD535" s="13"/>
      <c r="AZE535" s="13"/>
      <c r="AZF535" s="13"/>
      <c r="AZG535" s="13"/>
      <c r="AZH535" s="13"/>
      <c r="AZI535" s="13"/>
      <c r="AZJ535" s="13"/>
      <c r="AZK535" s="13"/>
      <c r="AZL535" s="13"/>
      <c r="AZM535" s="13"/>
      <c r="AZN535" s="13"/>
      <c r="AZO535" s="13"/>
      <c r="AZP535" s="13"/>
      <c r="AZQ535" s="13"/>
      <c r="AZR535" s="13"/>
      <c r="AZS535" s="13"/>
      <c r="AZT535" s="13"/>
      <c r="AZU535" s="13"/>
      <c r="AZV535" s="13"/>
      <c r="AZW535" s="13"/>
      <c r="AZX535" s="13"/>
      <c r="AZY535" s="13"/>
      <c r="AZZ535" s="13"/>
      <c r="BAA535" s="13"/>
      <c r="BAB535" s="13"/>
      <c r="BAC535" s="13"/>
      <c r="BAD535" s="13"/>
      <c r="BAE535" s="13"/>
      <c r="BAF535" s="13"/>
      <c r="BAG535" s="13"/>
      <c r="BAH535" s="13"/>
      <c r="BAI535" s="13"/>
      <c r="BAJ535" s="13"/>
      <c r="BAK535" s="13"/>
      <c r="BAL535" s="13"/>
      <c r="BAM535" s="13"/>
      <c r="BAN535" s="13"/>
      <c r="BAO535" s="13"/>
      <c r="BAP535" s="13"/>
      <c r="BAQ535" s="13"/>
      <c r="BAR535" s="13"/>
      <c r="BAS535" s="13"/>
      <c r="BAT535" s="13"/>
      <c r="BAU535" s="13"/>
      <c r="BAV535" s="13"/>
      <c r="BAW535" s="13"/>
      <c r="BAX535" s="13"/>
      <c r="BAY535" s="13"/>
      <c r="BAZ535" s="13"/>
      <c r="BBA535" s="13"/>
      <c r="BBB535" s="13"/>
      <c r="BBC535" s="13"/>
      <c r="BBD535" s="13"/>
      <c r="BBE535" s="13"/>
      <c r="BBF535" s="13"/>
      <c r="BBG535" s="13"/>
      <c r="BBH535" s="13"/>
      <c r="BBI535" s="13"/>
      <c r="BBJ535" s="13"/>
      <c r="BBK535" s="13"/>
      <c r="BBL535" s="13"/>
      <c r="BBM535" s="13"/>
      <c r="BBN535" s="13"/>
      <c r="BBO535" s="13"/>
      <c r="BBP535" s="13"/>
      <c r="BBQ535" s="13"/>
      <c r="BBR535" s="13"/>
      <c r="BBS535" s="13"/>
      <c r="BBT535" s="13"/>
      <c r="BBU535" s="13"/>
      <c r="BBV535" s="13"/>
      <c r="BBW535" s="13"/>
      <c r="BBX535" s="13"/>
      <c r="BBY535" s="13"/>
      <c r="BBZ535" s="13"/>
      <c r="BCA535" s="13"/>
      <c r="BCB535" s="13"/>
      <c r="BCC535" s="13"/>
      <c r="BCD535" s="13"/>
      <c r="BCE535" s="13"/>
      <c r="BCF535" s="13"/>
      <c r="BCG535" s="13"/>
      <c r="BCH535" s="13"/>
      <c r="BCI535" s="13"/>
      <c r="BCJ535" s="13"/>
      <c r="BCK535" s="13"/>
      <c r="BCL535" s="13"/>
      <c r="BCM535" s="13"/>
      <c r="BCN535" s="13"/>
      <c r="BCO535" s="13"/>
      <c r="BCP535" s="13"/>
      <c r="BCQ535" s="13"/>
      <c r="BCR535" s="13"/>
      <c r="BCS535" s="13"/>
      <c r="BCT535" s="13"/>
      <c r="BCU535" s="13"/>
      <c r="BCV535" s="13"/>
      <c r="BCW535" s="13"/>
      <c r="BCX535" s="13"/>
      <c r="BCY535" s="13"/>
      <c r="BCZ535" s="13"/>
      <c r="BDA535" s="13"/>
      <c r="BDB535" s="13"/>
      <c r="BDC535" s="13"/>
      <c r="BDD535" s="13"/>
      <c r="BDE535" s="13"/>
      <c r="BDF535" s="13"/>
      <c r="BDG535" s="13"/>
      <c r="BDH535" s="13"/>
      <c r="BDI535" s="13"/>
      <c r="BDJ535" s="13"/>
      <c r="BDK535" s="13"/>
      <c r="BDL535" s="13"/>
      <c r="BDM535" s="13"/>
      <c r="BDN535" s="13"/>
      <c r="BDO535" s="13"/>
      <c r="BDP535" s="13"/>
      <c r="BDQ535" s="13"/>
      <c r="BDR535" s="13"/>
      <c r="BDS535" s="13"/>
      <c r="BDT535" s="13"/>
      <c r="BDU535" s="13"/>
      <c r="BDV535" s="13"/>
      <c r="BDW535" s="13"/>
      <c r="BDX535" s="13"/>
      <c r="BDY535" s="13"/>
      <c r="BDZ535" s="13"/>
      <c r="BEA535" s="13"/>
      <c r="BEB535" s="13"/>
      <c r="BEC535" s="13"/>
      <c r="BED535" s="13"/>
      <c r="BEE535" s="13"/>
      <c r="BEF535" s="13"/>
      <c r="BEG535" s="13"/>
      <c r="BEH535" s="13"/>
      <c r="BEI535" s="13"/>
      <c r="BEJ535" s="13"/>
      <c r="BEK535" s="13"/>
      <c r="BEL535" s="13"/>
      <c r="BEM535" s="13"/>
      <c r="BEN535" s="13"/>
      <c r="BEO535" s="13"/>
      <c r="BEP535" s="13"/>
      <c r="BEQ535" s="13"/>
      <c r="BER535" s="13"/>
      <c r="BES535" s="13"/>
      <c r="BET535" s="13"/>
      <c r="BEU535" s="13"/>
      <c r="BEV535" s="13"/>
      <c r="BEW535" s="13"/>
      <c r="BEX535" s="13"/>
      <c r="BEY535" s="13"/>
      <c r="BEZ535" s="13"/>
      <c r="BFA535" s="13"/>
      <c r="BFB535" s="13"/>
      <c r="BFC535" s="13"/>
      <c r="BFD535" s="13"/>
      <c r="BFE535" s="13"/>
      <c r="BFF535" s="13"/>
      <c r="BFG535" s="13"/>
      <c r="BFH535" s="13"/>
      <c r="BFI535" s="13"/>
      <c r="BFJ535" s="13"/>
      <c r="BFK535" s="13"/>
      <c r="BFL535" s="13"/>
      <c r="BFM535" s="13"/>
      <c r="BFN535" s="13"/>
      <c r="BFO535" s="13"/>
      <c r="BFP535" s="13"/>
      <c r="BFQ535" s="13"/>
      <c r="BFR535" s="13"/>
      <c r="BFS535" s="13"/>
      <c r="BFT535" s="13"/>
      <c r="BFU535" s="13"/>
      <c r="BFV535" s="13"/>
      <c r="BFW535" s="13"/>
      <c r="BFX535" s="13"/>
      <c r="BFY535" s="13"/>
      <c r="BFZ535" s="13"/>
      <c r="BGA535" s="13"/>
      <c r="BGB535" s="13"/>
      <c r="BGC535" s="13"/>
      <c r="BGD535" s="13"/>
      <c r="BGE535" s="13"/>
      <c r="BGF535" s="13"/>
      <c r="BGG535" s="13"/>
      <c r="BGH535" s="13"/>
      <c r="BGI535" s="13"/>
      <c r="BGJ535" s="13"/>
      <c r="BGK535" s="13"/>
      <c r="BGL535" s="13"/>
      <c r="BGM535" s="13"/>
      <c r="BGN535" s="13"/>
      <c r="BGO535" s="13"/>
      <c r="BGP535" s="13"/>
      <c r="BGQ535" s="13"/>
      <c r="BGR535" s="13"/>
      <c r="BGS535" s="13"/>
      <c r="BGT535" s="13"/>
      <c r="BGU535" s="13"/>
      <c r="BGV535" s="13"/>
      <c r="BGW535" s="13"/>
      <c r="BGX535" s="13"/>
      <c r="BGY535" s="13"/>
      <c r="BGZ535" s="13"/>
      <c r="BHA535" s="13"/>
      <c r="BHB535" s="13"/>
      <c r="BHC535" s="13"/>
      <c r="BHD535" s="13"/>
      <c r="BHE535" s="13"/>
      <c r="BHF535" s="13"/>
      <c r="BHG535" s="13"/>
      <c r="BHH535" s="13"/>
      <c r="BHI535" s="13"/>
      <c r="BHJ535" s="13"/>
      <c r="BHK535" s="13"/>
      <c r="BHL535" s="13"/>
      <c r="BHM535" s="13"/>
      <c r="BHN535" s="13"/>
      <c r="BHO535" s="13"/>
      <c r="BHP535" s="13"/>
      <c r="BHQ535" s="13"/>
      <c r="BHR535" s="13"/>
      <c r="BHS535" s="13"/>
      <c r="BHT535" s="13"/>
      <c r="BHU535" s="13"/>
      <c r="BHV535" s="13"/>
      <c r="BHW535" s="13"/>
      <c r="BHX535" s="13"/>
      <c r="BHY535" s="13"/>
      <c r="BHZ535" s="13"/>
      <c r="BIA535" s="13"/>
      <c r="BIB535" s="13"/>
      <c r="BIC535" s="13"/>
      <c r="BID535" s="13"/>
      <c r="BIE535" s="13"/>
      <c r="BIF535" s="13"/>
      <c r="BIG535" s="13"/>
      <c r="BIH535" s="13"/>
      <c r="BII535" s="13"/>
      <c r="BIJ535" s="13"/>
      <c r="BIK535" s="13"/>
      <c r="BIL535" s="13"/>
      <c r="BIM535" s="13"/>
      <c r="BIN535" s="13"/>
      <c r="BIO535" s="13"/>
      <c r="BIP535" s="13"/>
      <c r="BIQ535" s="13"/>
      <c r="BIR535" s="13"/>
      <c r="BIS535" s="13"/>
      <c r="BIT535" s="13"/>
      <c r="BIU535" s="13"/>
      <c r="BIV535" s="13"/>
      <c r="BIW535" s="13"/>
      <c r="BIX535" s="13"/>
      <c r="BIY535" s="13"/>
      <c r="BIZ535" s="13"/>
      <c r="BJA535" s="13"/>
      <c r="BJB535" s="13"/>
      <c r="BJC535" s="13"/>
      <c r="BJD535" s="13"/>
      <c r="BJE535" s="13"/>
      <c r="BJF535" s="13"/>
      <c r="BJG535" s="13"/>
      <c r="BJH535" s="13"/>
      <c r="BJI535" s="13"/>
      <c r="BJJ535" s="13"/>
      <c r="BJK535" s="13"/>
      <c r="BJL535" s="13"/>
      <c r="BJM535" s="13"/>
      <c r="BJN535" s="13"/>
      <c r="BJO535" s="13"/>
      <c r="BJP535" s="13"/>
      <c r="BJQ535" s="13"/>
      <c r="BJR535" s="13"/>
      <c r="BJS535" s="13"/>
      <c r="BJT535" s="13"/>
      <c r="BJU535" s="13"/>
      <c r="BJV535" s="13"/>
      <c r="BJW535" s="13"/>
      <c r="BJX535" s="13"/>
      <c r="BJY535" s="13"/>
      <c r="BJZ535" s="13"/>
      <c r="BKA535" s="13"/>
      <c r="BKB535" s="13"/>
      <c r="BKC535" s="13"/>
      <c r="BKD535" s="13"/>
      <c r="BKE535" s="13"/>
      <c r="BKF535" s="13"/>
      <c r="BKG535" s="13"/>
      <c r="BKH535" s="13"/>
      <c r="BKI535" s="13"/>
      <c r="BKJ535" s="13"/>
      <c r="BKK535" s="13"/>
      <c r="BKL535" s="13"/>
      <c r="BKM535" s="13"/>
      <c r="BKN535" s="13"/>
      <c r="BKO535" s="13"/>
      <c r="BKP535" s="13"/>
      <c r="BKQ535" s="13"/>
      <c r="BKR535" s="13"/>
      <c r="BKS535" s="13"/>
      <c r="BKT535" s="13"/>
      <c r="BKU535" s="13"/>
      <c r="BKV535" s="13"/>
      <c r="BKW535" s="13"/>
      <c r="BKX535" s="13"/>
      <c r="BKY535" s="13"/>
      <c r="BKZ535" s="13"/>
      <c r="BLA535" s="13"/>
      <c r="BLB535" s="13"/>
      <c r="BLC535" s="13"/>
      <c r="BLD535" s="13"/>
      <c r="BLE535" s="13"/>
      <c r="BLF535" s="13"/>
      <c r="BLG535" s="13"/>
      <c r="BLH535" s="13"/>
      <c r="BLI535" s="13"/>
      <c r="BLJ535" s="13"/>
      <c r="BLK535" s="13"/>
      <c r="BLL535" s="13"/>
      <c r="BLM535" s="13"/>
      <c r="BLN535" s="13"/>
      <c r="BLO535" s="13"/>
      <c r="BLP535" s="13"/>
      <c r="BLQ535" s="13"/>
      <c r="BLR535" s="13"/>
      <c r="BLS535" s="13"/>
      <c r="BLT535" s="13"/>
      <c r="BLU535" s="13"/>
      <c r="BLV535" s="13"/>
      <c r="BLW535" s="13"/>
      <c r="BLX535" s="13"/>
      <c r="BLY535" s="13"/>
      <c r="BLZ535" s="13"/>
      <c r="BMA535" s="13"/>
      <c r="BMB535" s="13"/>
      <c r="BMC535" s="13"/>
      <c r="BMD535" s="13"/>
      <c r="BME535" s="13"/>
      <c r="BMF535" s="13"/>
      <c r="BMG535" s="13"/>
      <c r="BMH535" s="13"/>
      <c r="BMI535" s="13"/>
      <c r="BMJ535" s="13"/>
      <c r="BMK535" s="13"/>
      <c r="BML535" s="13"/>
      <c r="BMM535" s="13"/>
      <c r="BMN535" s="13"/>
      <c r="BMO535" s="13"/>
      <c r="BMP535" s="13"/>
      <c r="BMQ535" s="13"/>
      <c r="BMR535" s="13"/>
      <c r="BMS535" s="13"/>
      <c r="BMT535" s="13"/>
      <c r="BMU535" s="13"/>
      <c r="BMV535" s="13"/>
      <c r="BMW535" s="13"/>
      <c r="BMX535" s="13"/>
      <c r="BMY535" s="13"/>
      <c r="BMZ535" s="13"/>
      <c r="BNA535" s="13"/>
      <c r="BNB535" s="13"/>
      <c r="BNC535" s="13"/>
      <c r="BND535" s="13"/>
      <c r="BNE535" s="13"/>
      <c r="BNF535" s="13"/>
      <c r="BNG535" s="13"/>
      <c r="BNH535" s="13"/>
      <c r="BNI535" s="13"/>
      <c r="BNJ535" s="13"/>
      <c r="BNK535" s="13"/>
      <c r="BNL535" s="13"/>
      <c r="BNM535" s="13"/>
      <c r="BNN535" s="13"/>
      <c r="BNO535" s="13"/>
      <c r="BNP535" s="13"/>
      <c r="BNQ535" s="13"/>
      <c r="BNR535" s="13"/>
      <c r="BNS535" s="13"/>
      <c r="BNT535" s="13"/>
      <c r="BNU535" s="13"/>
      <c r="BNV535" s="13"/>
      <c r="BNW535" s="13"/>
      <c r="BNX535" s="13"/>
      <c r="BNY535" s="13"/>
      <c r="BNZ535" s="13"/>
      <c r="BOA535" s="13"/>
      <c r="BOB535" s="13"/>
      <c r="BOC535" s="13"/>
      <c r="BOD535" s="13"/>
      <c r="BOE535" s="13"/>
      <c r="BOF535" s="13"/>
      <c r="BOG535" s="13"/>
      <c r="BOH535" s="13"/>
      <c r="BOI535" s="13"/>
      <c r="BOJ535" s="13"/>
      <c r="BOK535" s="13"/>
      <c r="BOL535" s="13"/>
      <c r="BOM535" s="13"/>
      <c r="BON535" s="13"/>
      <c r="BOO535" s="13"/>
      <c r="BOP535" s="13"/>
      <c r="BOQ535" s="13"/>
      <c r="BOR535" s="13"/>
      <c r="BOS535" s="13"/>
      <c r="BOT535" s="13"/>
      <c r="BOU535" s="13"/>
      <c r="BOV535" s="13"/>
      <c r="BOW535" s="13"/>
      <c r="BOX535" s="13"/>
      <c r="BOY535" s="13"/>
      <c r="BOZ535" s="13"/>
      <c r="BPA535" s="13"/>
      <c r="BPB535" s="13"/>
      <c r="BPC535" s="13"/>
      <c r="BPD535" s="13"/>
      <c r="BPE535" s="13"/>
      <c r="BPF535" s="13"/>
      <c r="BPG535" s="13"/>
      <c r="BPH535" s="13"/>
      <c r="BPI535" s="13"/>
      <c r="BPJ535" s="13"/>
      <c r="BPK535" s="13"/>
      <c r="BPL535" s="13"/>
      <c r="BPM535" s="13"/>
      <c r="BPN535" s="13"/>
      <c r="BPO535" s="13"/>
      <c r="BPP535" s="13"/>
      <c r="BPQ535" s="13"/>
      <c r="BPR535" s="13"/>
      <c r="BPS535" s="13"/>
      <c r="BPT535" s="13"/>
      <c r="BPU535" s="13"/>
      <c r="BPV535" s="13"/>
      <c r="BPW535" s="13"/>
      <c r="BPX535" s="13"/>
      <c r="BPY535" s="13"/>
      <c r="BPZ535" s="13"/>
      <c r="BQA535" s="13"/>
      <c r="BQB535" s="13"/>
      <c r="BQC535" s="13"/>
      <c r="BQD535" s="13"/>
      <c r="BQE535" s="13"/>
      <c r="BQF535" s="13"/>
      <c r="BQG535" s="13"/>
      <c r="BQH535" s="13"/>
      <c r="BQI535" s="13"/>
      <c r="BQJ535" s="13"/>
      <c r="BQK535" s="13"/>
      <c r="BQL535" s="13"/>
      <c r="BQM535" s="13"/>
      <c r="BQN535" s="13"/>
      <c r="BQO535" s="13"/>
      <c r="BQP535" s="13"/>
      <c r="BQQ535" s="13"/>
      <c r="BQR535" s="13"/>
      <c r="BQS535" s="13"/>
      <c r="BQT535" s="13"/>
      <c r="BQU535" s="13"/>
      <c r="BQV535" s="13"/>
      <c r="BQW535" s="13"/>
      <c r="BQX535" s="13"/>
      <c r="BQY535" s="13"/>
      <c r="BQZ535" s="13"/>
      <c r="BRA535" s="13"/>
      <c r="BRB535" s="13"/>
      <c r="BRC535" s="13"/>
      <c r="BRD535" s="13"/>
      <c r="BRE535" s="13"/>
      <c r="BRF535" s="13"/>
      <c r="BRG535" s="13"/>
      <c r="BRH535" s="13"/>
      <c r="BRI535" s="13"/>
      <c r="BRJ535" s="13"/>
      <c r="BRK535" s="13"/>
      <c r="BRL535" s="13"/>
      <c r="BRM535" s="13"/>
      <c r="BRN535" s="13"/>
      <c r="BRO535" s="13"/>
      <c r="BRP535" s="13"/>
      <c r="BRQ535" s="13"/>
      <c r="BRR535" s="13"/>
      <c r="BRS535" s="13"/>
      <c r="BRT535" s="13"/>
      <c r="BRU535" s="13"/>
      <c r="BRV535" s="13"/>
      <c r="BRW535" s="13"/>
      <c r="BRX535" s="13"/>
      <c r="BRY535" s="13"/>
      <c r="BRZ535" s="13"/>
      <c r="BSA535" s="13"/>
      <c r="BSB535" s="13"/>
      <c r="BSC535" s="13"/>
      <c r="BSD535" s="13"/>
      <c r="BSE535" s="13"/>
      <c r="BSF535" s="13"/>
      <c r="BSG535" s="13"/>
      <c r="BSH535" s="13"/>
      <c r="BSI535" s="13"/>
      <c r="BSJ535" s="13"/>
      <c r="BSK535" s="13"/>
      <c r="BSL535" s="13"/>
      <c r="BSM535" s="13"/>
      <c r="BSN535" s="13"/>
      <c r="BSO535" s="13"/>
      <c r="BSP535" s="13"/>
      <c r="BSQ535" s="13"/>
      <c r="BSR535" s="13"/>
      <c r="BSS535" s="13"/>
      <c r="BST535" s="13"/>
      <c r="BSU535" s="13"/>
      <c r="BSV535" s="13"/>
      <c r="BSW535" s="13"/>
      <c r="BSX535" s="13"/>
      <c r="BSY535" s="13"/>
      <c r="BSZ535" s="13"/>
      <c r="BTA535" s="13"/>
    </row>
    <row r="536" spans="1:1873" s="23" customFormat="1" x14ac:dyDescent="0.2">
      <c r="A536" s="223" t="s">
        <v>785</v>
      </c>
      <c r="B536" s="223" t="s">
        <v>786</v>
      </c>
      <c r="C536" s="223" t="s">
        <v>1025</v>
      </c>
      <c r="D536" s="223" t="s">
        <v>619</v>
      </c>
      <c r="E536" s="241" t="s">
        <v>1444</v>
      </c>
      <c r="F536" s="241">
        <v>1</v>
      </c>
      <c r="G536" s="223">
        <v>7</v>
      </c>
      <c r="H536" s="242">
        <v>7</v>
      </c>
      <c r="I536" s="223" t="s">
        <v>954</v>
      </c>
      <c r="J536" s="223">
        <v>1981</v>
      </c>
      <c r="K536" s="223" t="s">
        <v>957</v>
      </c>
      <c r="L536" s="223">
        <v>1987</v>
      </c>
      <c r="M536" s="243">
        <v>-9999</v>
      </c>
      <c r="N536" s="223">
        <v>-9999</v>
      </c>
      <c r="O536" s="29"/>
      <c r="P536" s="285">
        <f t="shared" si="41"/>
        <v>77</v>
      </c>
      <c r="Q536" s="223">
        <v>-9999</v>
      </c>
      <c r="R536" s="243"/>
      <c r="S536" s="223"/>
      <c r="T536" s="243">
        <v>11</v>
      </c>
      <c r="U536" s="243">
        <v>1.1000000000000001</v>
      </c>
      <c r="V536" s="243"/>
      <c r="W536" s="244">
        <f>+P536-P535</f>
        <v>0.19999999999998863</v>
      </c>
      <c r="X536" s="223">
        <v>-9999</v>
      </c>
      <c r="Y536" s="223"/>
      <c r="Z536" s="223" t="s">
        <v>793</v>
      </c>
      <c r="AA536" s="248">
        <v>10000</v>
      </c>
      <c r="AB536" s="243">
        <v>0.92</v>
      </c>
      <c r="AC536" s="223">
        <v>-9999</v>
      </c>
      <c r="AD536" s="223">
        <f t="shared" si="40"/>
        <v>400</v>
      </c>
      <c r="AE536" s="404" t="s">
        <v>1957</v>
      </c>
      <c r="AF536" s="223">
        <v>4</v>
      </c>
      <c r="AG536" s="223">
        <v>2</v>
      </c>
      <c r="AH536" s="223" t="s">
        <v>623</v>
      </c>
      <c r="AI536" s="223">
        <v>-9999</v>
      </c>
      <c r="AJ536" s="223">
        <v>-9999</v>
      </c>
      <c r="AK536" s="223" t="s">
        <v>626</v>
      </c>
      <c r="AL536" s="223" t="s">
        <v>653</v>
      </c>
      <c r="AM536" s="223">
        <v>-9999</v>
      </c>
      <c r="AN536" s="223" t="s">
        <v>626</v>
      </c>
      <c r="AO536" s="223">
        <v>-9999</v>
      </c>
      <c r="AP536" s="223" t="s">
        <v>789</v>
      </c>
      <c r="AQ536" s="223" t="s">
        <v>631</v>
      </c>
      <c r="AR536" s="223">
        <v>0</v>
      </c>
      <c r="AS536" s="223">
        <v>-9999</v>
      </c>
      <c r="AT536" s="223">
        <v>-9999</v>
      </c>
      <c r="AU536" s="223">
        <v>0</v>
      </c>
      <c r="AV536" s="223">
        <v>-9999</v>
      </c>
      <c r="AW536" s="223">
        <v>-9999</v>
      </c>
      <c r="AX536" s="223">
        <v>0</v>
      </c>
      <c r="AY536" s="223">
        <v>-9999</v>
      </c>
      <c r="AZ536" s="223">
        <v>-9999</v>
      </c>
      <c r="BA536" s="223" t="s">
        <v>794</v>
      </c>
      <c r="BB536" s="223" t="s">
        <v>626</v>
      </c>
      <c r="BC536" s="223" t="s">
        <v>795</v>
      </c>
      <c r="BD536" s="223" t="s">
        <v>796</v>
      </c>
      <c r="BE536" s="223"/>
      <c r="BF536" s="223"/>
      <c r="BG536" s="223"/>
      <c r="BH536" s="223">
        <v>-9999</v>
      </c>
      <c r="BI536" s="223">
        <v>-9999</v>
      </c>
      <c r="BJ536" s="223">
        <v>-9999</v>
      </c>
      <c r="BK536" s="223">
        <v>-9999</v>
      </c>
      <c r="BL536" s="223">
        <v>-9999</v>
      </c>
      <c r="BM536" s="223">
        <v>-9999</v>
      </c>
      <c r="BN536" s="223">
        <v>-9999</v>
      </c>
      <c r="BO536" s="223">
        <v>-9999</v>
      </c>
      <c r="BP536" s="223">
        <v>-9999</v>
      </c>
      <c r="BQ536" s="223">
        <v>-9999</v>
      </c>
      <c r="BR536" s="223">
        <v>-9999</v>
      </c>
      <c r="BS536" s="242">
        <v>-9999</v>
      </c>
      <c r="BT536" s="223">
        <v>-9999</v>
      </c>
      <c r="BU536" s="223">
        <v>-9999</v>
      </c>
      <c r="BV536" s="223">
        <v>-9999</v>
      </c>
      <c r="BW536" s="223"/>
      <c r="BX536" s="223">
        <v>-9999</v>
      </c>
      <c r="BY536" s="223">
        <v>-9999</v>
      </c>
      <c r="BZ536" s="223">
        <v>-9999</v>
      </c>
      <c r="CA536" s="332" t="s">
        <v>797</v>
      </c>
      <c r="CB536" s="247"/>
      <c r="CC536" s="83">
        <v>1</v>
      </c>
      <c r="CD536" s="32">
        <v>7</v>
      </c>
      <c r="CE536" s="292">
        <v>11</v>
      </c>
      <c r="CF536" s="292">
        <v>0.19999999999998863</v>
      </c>
      <c r="CG536" s="84">
        <v>7</v>
      </c>
    </row>
    <row r="537" spans="1:1873" s="23" customFormat="1" x14ac:dyDescent="0.2">
      <c r="A537" s="223" t="s">
        <v>785</v>
      </c>
      <c r="B537" s="223" t="s">
        <v>786</v>
      </c>
      <c r="C537" s="223" t="s">
        <v>1025</v>
      </c>
      <c r="D537" s="223" t="s">
        <v>619</v>
      </c>
      <c r="E537" s="241" t="s">
        <v>1444</v>
      </c>
      <c r="F537" s="241">
        <v>1</v>
      </c>
      <c r="G537" s="223">
        <v>8</v>
      </c>
      <c r="H537" s="242">
        <v>8</v>
      </c>
      <c r="I537" s="223" t="s">
        <v>954</v>
      </c>
      <c r="J537" s="223">
        <v>1981</v>
      </c>
      <c r="K537" s="223" t="s">
        <v>957</v>
      </c>
      <c r="L537" s="223">
        <v>1988</v>
      </c>
      <c r="M537" s="243">
        <v>-9999</v>
      </c>
      <c r="N537" s="223">
        <v>-9999</v>
      </c>
      <c r="O537" s="29"/>
      <c r="P537" s="285">
        <f t="shared" si="41"/>
        <v>72</v>
      </c>
      <c r="Q537" s="223">
        <v>-9999</v>
      </c>
      <c r="R537" s="243"/>
      <c r="S537" s="223"/>
      <c r="T537" s="243">
        <v>9</v>
      </c>
      <c r="U537" s="243">
        <v>1.1000000000000001</v>
      </c>
      <c r="V537" s="243"/>
      <c r="W537" s="244">
        <f>+P537-P536</f>
        <v>-5</v>
      </c>
      <c r="X537" s="223">
        <v>-9999</v>
      </c>
      <c r="Y537" s="223"/>
      <c r="Z537" s="223" t="s">
        <v>793</v>
      </c>
      <c r="AA537" s="248">
        <v>10000</v>
      </c>
      <c r="AB537" s="243">
        <v>0.79</v>
      </c>
      <c r="AC537" s="223">
        <v>-9999</v>
      </c>
      <c r="AD537" s="223">
        <f t="shared" si="40"/>
        <v>400</v>
      </c>
      <c r="AE537" s="404" t="s">
        <v>1957</v>
      </c>
      <c r="AF537" s="223">
        <v>4</v>
      </c>
      <c r="AG537" s="223">
        <v>2</v>
      </c>
      <c r="AH537" s="223" t="s">
        <v>623</v>
      </c>
      <c r="AI537" s="223">
        <v>-9999</v>
      </c>
      <c r="AJ537" s="223">
        <v>-9999</v>
      </c>
      <c r="AK537" s="223" t="s">
        <v>626</v>
      </c>
      <c r="AL537" s="223" t="s">
        <v>653</v>
      </c>
      <c r="AM537" s="223">
        <v>-9999</v>
      </c>
      <c r="AN537" s="223" t="s">
        <v>626</v>
      </c>
      <c r="AO537" s="223">
        <v>-9999</v>
      </c>
      <c r="AP537" s="223" t="s">
        <v>789</v>
      </c>
      <c r="AQ537" s="223" t="s">
        <v>631</v>
      </c>
      <c r="AR537" s="223">
        <v>0</v>
      </c>
      <c r="AS537" s="223">
        <v>-9999</v>
      </c>
      <c r="AT537" s="223">
        <v>-9999</v>
      </c>
      <c r="AU537" s="223">
        <v>0</v>
      </c>
      <c r="AV537" s="223">
        <v>-9999</v>
      </c>
      <c r="AW537" s="223">
        <v>-9999</v>
      </c>
      <c r="AX537" s="223">
        <v>0</v>
      </c>
      <c r="AY537" s="223">
        <v>-9999</v>
      </c>
      <c r="AZ537" s="223">
        <v>-9999</v>
      </c>
      <c r="BA537" s="223" t="s">
        <v>794</v>
      </c>
      <c r="BB537" s="223" t="s">
        <v>626</v>
      </c>
      <c r="BC537" s="223" t="s">
        <v>795</v>
      </c>
      <c r="BD537" s="223" t="s">
        <v>796</v>
      </c>
      <c r="BE537" s="223"/>
      <c r="BF537" s="223"/>
      <c r="BG537" s="223"/>
      <c r="BH537" s="223">
        <v>-9999</v>
      </c>
      <c r="BI537" s="223">
        <v>-9999</v>
      </c>
      <c r="BJ537" s="223">
        <v>-9999</v>
      </c>
      <c r="BK537" s="223">
        <v>-9999</v>
      </c>
      <c r="BL537" s="223">
        <v>-9999</v>
      </c>
      <c r="BM537" s="223">
        <v>-9999</v>
      </c>
      <c r="BN537" s="223">
        <v>-9999</v>
      </c>
      <c r="BO537" s="223">
        <v>-9999</v>
      </c>
      <c r="BP537" s="223">
        <v>-9999</v>
      </c>
      <c r="BQ537" s="223">
        <v>-9999</v>
      </c>
      <c r="BR537" s="223">
        <v>-9999</v>
      </c>
      <c r="BS537" s="242">
        <v>-9999</v>
      </c>
      <c r="BT537" s="223">
        <v>-9999</v>
      </c>
      <c r="BU537" s="223">
        <v>-9999</v>
      </c>
      <c r="BV537" s="223">
        <v>-9999</v>
      </c>
      <c r="BW537" s="223"/>
      <c r="BX537" s="223">
        <v>-9999</v>
      </c>
      <c r="BY537" s="223">
        <v>-9999</v>
      </c>
      <c r="BZ537" s="223">
        <v>-9999</v>
      </c>
      <c r="CA537" s="332" t="s">
        <v>797</v>
      </c>
      <c r="CB537" s="247"/>
      <c r="CC537" s="83">
        <v>1</v>
      </c>
      <c r="CD537" s="32">
        <v>8</v>
      </c>
      <c r="CE537" s="292">
        <v>9</v>
      </c>
      <c r="CF537" s="292">
        <v>-5</v>
      </c>
      <c r="CG537" s="84">
        <v>8</v>
      </c>
    </row>
    <row r="538" spans="1:1873" s="23" customFormat="1" x14ac:dyDescent="0.2">
      <c r="A538" s="223"/>
      <c r="B538" s="223"/>
      <c r="C538" s="223"/>
      <c r="D538" s="223"/>
      <c r="E538" s="241"/>
      <c r="F538" s="241"/>
      <c r="G538" s="223"/>
      <c r="H538" s="242"/>
      <c r="I538" s="223"/>
      <c r="J538" s="223"/>
      <c r="K538" s="223"/>
      <c r="L538" s="223"/>
      <c r="M538" s="243"/>
      <c r="N538" s="223"/>
      <c r="O538" s="29"/>
      <c r="P538" s="243"/>
      <c r="Q538" s="223"/>
      <c r="R538" s="243"/>
      <c r="S538" s="223"/>
      <c r="T538" s="243"/>
      <c r="U538" s="243"/>
      <c r="V538" s="243"/>
      <c r="W538" s="243"/>
      <c r="X538" s="223"/>
      <c r="Y538" s="223"/>
      <c r="Z538" s="223"/>
      <c r="AA538" s="248"/>
      <c r="AB538" s="243"/>
      <c r="AC538" s="223"/>
      <c r="AD538" s="223"/>
      <c r="AE538" s="223"/>
      <c r="AF538" s="223"/>
      <c r="AG538" s="223"/>
      <c r="AH538" s="223"/>
      <c r="AI538" s="223"/>
      <c r="AJ538" s="223"/>
      <c r="AK538" s="223"/>
      <c r="AL538" s="223"/>
      <c r="AM538" s="223"/>
      <c r="AN538" s="223"/>
      <c r="AO538" s="223"/>
      <c r="AP538" s="223"/>
      <c r="AQ538" s="223"/>
      <c r="AR538" s="223"/>
      <c r="AS538" s="223"/>
      <c r="AT538" s="223"/>
      <c r="AU538" s="223"/>
      <c r="AV538" s="223"/>
      <c r="AW538" s="223"/>
      <c r="AX538" s="223"/>
      <c r="AY538" s="223"/>
      <c r="AZ538" s="223"/>
      <c r="BA538" s="223"/>
      <c r="BB538" s="223"/>
      <c r="BC538" s="223"/>
      <c r="BD538" s="223"/>
      <c r="BE538" s="223"/>
      <c r="BF538" s="223"/>
      <c r="BG538" s="223"/>
      <c r="BH538" s="223"/>
      <c r="BI538" s="223"/>
      <c r="BJ538" s="223"/>
      <c r="BK538" s="223"/>
      <c r="BL538" s="223"/>
      <c r="BM538" s="223"/>
      <c r="BN538" s="223"/>
      <c r="BO538" s="223"/>
      <c r="BP538" s="223"/>
      <c r="BQ538" s="223"/>
      <c r="BR538" s="223"/>
      <c r="BS538" s="242"/>
      <c r="BT538" s="223"/>
      <c r="BU538" s="223"/>
      <c r="BV538" s="223"/>
      <c r="BW538" s="223"/>
      <c r="BX538" s="223"/>
      <c r="BY538" s="223"/>
      <c r="BZ538" s="223"/>
      <c r="CA538" s="332"/>
      <c r="CB538" s="247"/>
      <c r="CC538" s="83"/>
      <c r="CD538" s="32"/>
      <c r="CE538" s="342" t="s">
        <v>1576</v>
      </c>
      <c r="CF538" s="342" t="s">
        <v>1575</v>
      </c>
      <c r="CG538" s="84"/>
    </row>
    <row r="539" spans="1:1873" s="23" customFormat="1" x14ac:dyDescent="0.2">
      <c r="A539" s="223" t="s">
        <v>785</v>
      </c>
      <c r="B539" s="223" t="s">
        <v>786</v>
      </c>
      <c r="C539" s="223" t="s">
        <v>1026</v>
      </c>
      <c r="D539" s="223" t="s">
        <v>619</v>
      </c>
      <c r="E539" s="241" t="s">
        <v>1444</v>
      </c>
      <c r="F539" s="241">
        <v>1</v>
      </c>
      <c r="G539" s="223">
        <v>3</v>
      </c>
      <c r="H539" s="242">
        <v>3</v>
      </c>
      <c r="I539" s="223" t="s">
        <v>954</v>
      </c>
      <c r="J539" s="223">
        <v>1981</v>
      </c>
      <c r="K539" s="223" t="s">
        <v>957</v>
      </c>
      <c r="L539" s="223">
        <v>1983</v>
      </c>
      <c r="M539" s="243">
        <v>-9999</v>
      </c>
      <c r="N539" s="223">
        <v>-9999</v>
      </c>
      <c r="O539" s="29"/>
      <c r="P539" s="285">
        <f t="shared" ref="P539:P544" si="42">+T539*G539</f>
        <v>14.100000000000001</v>
      </c>
      <c r="Q539" s="223">
        <v>-9999</v>
      </c>
      <c r="R539" s="243"/>
      <c r="S539" s="223"/>
      <c r="T539" s="243">
        <v>4.7</v>
      </c>
      <c r="U539" s="243">
        <v>1.1000000000000001</v>
      </c>
      <c r="V539" s="243"/>
      <c r="W539" s="244"/>
      <c r="X539" s="223">
        <v>-9999</v>
      </c>
      <c r="Y539" s="223"/>
      <c r="Z539" s="223" t="s">
        <v>75</v>
      </c>
      <c r="AA539" s="245">
        <v>5000</v>
      </c>
      <c r="AB539" s="243">
        <v>1</v>
      </c>
      <c r="AC539" s="223">
        <v>-9999</v>
      </c>
      <c r="AD539" s="223">
        <f t="shared" si="40"/>
        <v>400</v>
      </c>
      <c r="AE539" s="404" t="s">
        <v>1952</v>
      </c>
      <c r="AF539" s="223">
        <v>4</v>
      </c>
      <c r="AG539" s="223">
        <v>2</v>
      </c>
      <c r="AH539" s="223" t="s">
        <v>623</v>
      </c>
      <c r="AI539" s="223">
        <v>-9999</v>
      </c>
      <c r="AJ539" s="223">
        <v>-9999</v>
      </c>
      <c r="AK539" s="223" t="s">
        <v>626</v>
      </c>
      <c r="AL539" s="223" t="s">
        <v>653</v>
      </c>
      <c r="AM539" s="223">
        <v>-9999</v>
      </c>
      <c r="AN539" s="223" t="s">
        <v>626</v>
      </c>
      <c r="AO539" s="223">
        <v>-9999</v>
      </c>
      <c r="AP539" s="223" t="s">
        <v>789</v>
      </c>
      <c r="AQ539" s="223" t="s">
        <v>631</v>
      </c>
      <c r="AR539" s="223">
        <v>0</v>
      </c>
      <c r="AS539" s="223">
        <v>-9999</v>
      </c>
      <c r="AT539" s="223">
        <v>-9999</v>
      </c>
      <c r="AU539" s="223">
        <v>0</v>
      </c>
      <c r="AV539" s="223">
        <v>-9999</v>
      </c>
      <c r="AW539" s="223">
        <v>-9999</v>
      </c>
      <c r="AX539" s="223">
        <v>0</v>
      </c>
      <c r="AY539" s="223">
        <v>-9999</v>
      </c>
      <c r="AZ539" s="223">
        <v>-9999</v>
      </c>
      <c r="BA539" s="223" t="s">
        <v>794</v>
      </c>
      <c r="BB539" s="223" t="s">
        <v>626</v>
      </c>
      <c r="BC539" s="223" t="s">
        <v>795</v>
      </c>
      <c r="BD539" s="223" t="s">
        <v>796</v>
      </c>
      <c r="BE539" s="223"/>
      <c r="BF539" s="223"/>
      <c r="BG539" s="223"/>
      <c r="BH539" s="223">
        <v>-9999</v>
      </c>
      <c r="BI539" s="223">
        <v>-9999</v>
      </c>
      <c r="BJ539" s="223">
        <v>-9999</v>
      </c>
      <c r="BK539" s="223">
        <v>-9999</v>
      </c>
      <c r="BL539" s="223">
        <v>-9999</v>
      </c>
      <c r="BM539" s="223">
        <v>-9999</v>
      </c>
      <c r="BN539" s="223">
        <v>-9999</v>
      </c>
      <c r="BO539" s="223">
        <v>-9999</v>
      </c>
      <c r="BP539" s="223">
        <v>-9999</v>
      </c>
      <c r="BQ539" s="223">
        <v>-9999</v>
      </c>
      <c r="BR539" s="223">
        <v>-9999</v>
      </c>
      <c r="BS539" s="242">
        <v>-9999</v>
      </c>
      <c r="BT539" s="223">
        <v>-9999</v>
      </c>
      <c r="BU539" s="223">
        <v>-9999</v>
      </c>
      <c r="BV539" s="223">
        <v>-9999</v>
      </c>
      <c r="BW539" s="223"/>
      <c r="BX539" s="223">
        <v>-9999</v>
      </c>
      <c r="BY539" s="223">
        <v>-9999</v>
      </c>
      <c r="BZ539" s="223">
        <v>-9999</v>
      </c>
      <c r="CA539" s="332" t="s">
        <v>797</v>
      </c>
      <c r="CB539" s="247"/>
      <c r="CC539" s="83">
        <v>1</v>
      </c>
      <c r="CD539" s="32">
        <v>3</v>
      </c>
      <c r="CE539" s="292">
        <v>4.7</v>
      </c>
      <c r="CF539" s="292"/>
      <c r="CG539" s="84">
        <v>3</v>
      </c>
    </row>
    <row r="540" spans="1:1873" s="23" customFormat="1" x14ac:dyDescent="0.2">
      <c r="A540" s="223" t="s">
        <v>785</v>
      </c>
      <c r="B540" s="223" t="s">
        <v>786</v>
      </c>
      <c r="C540" s="223" t="s">
        <v>1026</v>
      </c>
      <c r="D540" s="223" t="s">
        <v>619</v>
      </c>
      <c r="E540" s="241" t="s">
        <v>1444</v>
      </c>
      <c r="F540" s="241">
        <v>1</v>
      </c>
      <c r="G540" s="223">
        <v>4</v>
      </c>
      <c r="H540" s="242">
        <v>4</v>
      </c>
      <c r="I540" s="223" t="s">
        <v>954</v>
      </c>
      <c r="J540" s="223">
        <v>1981</v>
      </c>
      <c r="K540" s="223" t="s">
        <v>957</v>
      </c>
      <c r="L540" s="223">
        <v>1984</v>
      </c>
      <c r="M540" s="243">
        <v>-9999</v>
      </c>
      <c r="N540" s="223">
        <v>-9999</v>
      </c>
      <c r="O540" s="29"/>
      <c r="P540" s="285">
        <f t="shared" si="42"/>
        <v>34.799999999999997</v>
      </c>
      <c r="Q540" s="223">
        <v>-9999</v>
      </c>
      <c r="R540" s="243"/>
      <c r="S540" s="223"/>
      <c r="T540" s="243">
        <v>8.6999999999999993</v>
      </c>
      <c r="U540" s="243">
        <v>1.1000000000000001</v>
      </c>
      <c r="V540" s="243"/>
      <c r="W540" s="244">
        <f>+P540-P539</f>
        <v>20.699999999999996</v>
      </c>
      <c r="X540" s="223">
        <v>-9999</v>
      </c>
      <c r="Y540" s="223"/>
      <c r="Z540" s="223" t="s">
        <v>75</v>
      </c>
      <c r="AA540" s="245">
        <v>5000</v>
      </c>
      <c r="AB540" s="285">
        <v>0.99</v>
      </c>
      <c r="AC540" s="223">
        <v>-9999</v>
      </c>
      <c r="AD540" s="223">
        <f t="shared" si="40"/>
        <v>400</v>
      </c>
      <c r="AE540" s="404" t="s">
        <v>1952</v>
      </c>
      <c r="AF540" s="223">
        <v>4</v>
      </c>
      <c r="AG540" s="223">
        <v>2</v>
      </c>
      <c r="AH540" s="223" t="s">
        <v>623</v>
      </c>
      <c r="AI540" s="223">
        <v>-9999</v>
      </c>
      <c r="AJ540" s="223">
        <v>-9999</v>
      </c>
      <c r="AK540" s="223" t="s">
        <v>626</v>
      </c>
      <c r="AL540" s="223" t="s">
        <v>653</v>
      </c>
      <c r="AM540" s="223">
        <v>-9999</v>
      </c>
      <c r="AN540" s="223" t="s">
        <v>626</v>
      </c>
      <c r="AO540" s="223">
        <v>-9999</v>
      </c>
      <c r="AP540" s="223" t="s">
        <v>789</v>
      </c>
      <c r="AQ540" s="223" t="s">
        <v>631</v>
      </c>
      <c r="AR540" s="223">
        <v>0</v>
      </c>
      <c r="AS540" s="223">
        <v>-9999</v>
      </c>
      <c r="AT540" s="223">
        <v>-9999</v>
      </c>
      <c r="AU540" s="223">
        <v>0</v>
      </c>
      <c r="AV540" s="223">
        <v>-9999</v>
      </c>
      <c r="AW540" s="223">
        <v>-9999</v>
      </c>
      <c r="AX540" s="223">
        <v>0</v>
      </c>
      <c r="AY540" s="223">
        <v>-9999</v>
      </c>
      <c r="AZ540" s="223">
        <v>-9999</v>
      </c>
      <c r="BA540" s="223" t="s">
        <v>794</v>
      </c>
      <c r="BB540" s="223" t="s">
        <v>626</v>
      </c>
      <c r="BC540" s="223" t="s">
        <v>795</v>
      </c>
      <c r="BD540" s="223" t="s">
        <v>796</v>
      </c>
      <c r="BE540" s="223"/>
      <c r="BF540" s="223"/>
      <c r="BG540" s="223"/>
      <c r="BH540" s="223">
        <v>-9999</v>
      </c>
      <c r="BI540" s="223">
        <v>-9999</v>
      </c>
      <c r="BJ540" s="223">
        <v>-9999</v>
      </c>
      <c r="BK540" s="223">
        <v>-9999</v>
      </c>
      <c r="BL540" s="223">
        <v>-9999</v>
      </c>
      <c r="BM540" s="223">
        <v>-9999</v>
      </c>
      <c r="BN540" s="223">
        <v>-9999</v>
      </c>
      <c r="BO540" s="223">
        <v>-9999</v>
      </c>
      <c r="BP540" s="223">
        <v>-9999</v>
      </c>
      <c r="BQ540" s="223">
        <v>-9999</v>
      </c>
      <c r="BR540" s="223">
        <v>-9999</v>
      </c>
      <c r="BS540" s="242">
        <v>-9999</v>
      </c>
      <c r="BT540" s="223">
        <v>-9999</v>
      </c>
      <c r="BU540" s="223">
        <v>-9999</v>
      </c>
      <c r="BV540" s="223">
        <v>-9999</v>
      </c>
      <c r="BW540" s="223"/>
      <c r="BX540" s="223">
        <v>-9999</v>
      </c>
      <c r="BY540" s="223">
        <v>-9999</v>
      </c>
      <c r="BZ540" s="223">
        <v>-9999</v>
      </c>
      <c r="CA540" s="332" t="s">
        <v>797</v>
      </c>
      <c r="CB540" s="247"/>
      <c r="CC540" s="83">
        <v>1</v>
      </c>
      <c r="CD540" s="32">
        <v>4</v>
      </c>
      <c r="CE540" s="292">
        <v>8.6999999999999993</v>
      </c>
      <c r="CF540" s="292">
        <v>20.699999999999996</v>
      </c>
      <c r="CG540" s="84">
        <v>4</v>
      </c>
    </row>
    <row r="541" spans="1:1873" s="23" customFormat="1" x14ac:dyDescent="0.2">
      <c r="A541" s="223" t="s">
        <v>785</v>
      </c>
      <c r="B541" s="223" t="s">
        <v>786</v>
      </c>
      <c r="C541" s="223" t="s">
        <v>1026</v>
      </c>
      <c r="D541" s="223" t="s">
        <v>619</v>
      </c>
      <c r="E541" s="241" t="s">
        <v>1444</v>
      </c>
      <c r="F541" s="241">
        <v>1</v>
      </c>
      <c r="G541" s="223">
        <v>5</v>
      </c>
      <c r="H541" s="242">
        <v>5</v>
      </c>
      <c r="I541" s="223" t="s">
        <v>954</v>
      </c>
      <c r="J541" s="223">
        <v>1981</v>
      </c>
      <c r="K541" s="223" t="s">
        <v>957</v>
      </c>
      <c r="L541" s="223">
        <v>1985</v>
      </c>
      <c r="M541" s="243">
        <v>-9999</v>
      </c>
      <c r="N541" s="223">
        <v>-9999</v>
      </c>
      <c r="O541" s="29"/>
      <c r="P541" s="285">
        <f t="shared" si="42"/>
        <v>50.5</v>
      </c>
      <c r="Q541" s="223">
        <v>-9999</v>
      </c>
      <c r="R541" s="243"/>
      <c r="S541" s="223"/>
      <c r="T541" s="243">
        <v>10.1</v>
      </c>
      <c r="U541" s="243">
        <v>1.1000000000000001</v>
      </c>
      <c r="V541" s="243"/>
      <c r="W541" s="244">
        <f>+P541-P540</f>
        <v>15.700000000000003</v>
      </c>
      <c r="X541" s="223">
        <v>-9999</v>
      </c>
      <c r="Y541" s="223"/>
      <c r="Z541" s="223" t="s">
        <v>75</v>
      </c>
      <c r="AA541" s="245">
        <v>5000</v>
      </c>
      <c r="AB541" s="285">
        <v>0.97</v>
      </c>
      <c r="AC541" s="223">
        <v>-9999</v>
      </c>
      <c r="AD541" s="223">
        <f t="shared" si="40"/>
        <v>400</v>
      </c>
      <c r="AE541" s="404" t="s">
        <v>1952</v>
      </c>
      <c r="AF541" s="223">
        <v>4</v>
      </c>
      <c r="AG541" s="223">
        <v>2</v>
      </c>
      <c r="AH541" s="223" t="s">
        <v>623</v>
      </c>
      <c r="AI541" s="223">
        <v>-9999</v>
      </c>
      <c r="AJ541" s="223">
        <v>-9999</v>
      </c>
      <c r="AK541" s="223" t="s">
        <v>626</v>
      </c>
      <c r="AL541" s="223" t="s">
        <v>653</v>
      </c>
      <c r="AM541" s="223">
        <v>-9999</v>
      </c>
      <c r="AN541" s="223" t="s">
        <v>626</v>
      </c>
      <c r="AO541" s="223">
        <v>-9999</v>
      </c>
      <c r="AP541" s="223" t="s">
        <v>789</v>
      </c>
      <c r="AQ541" s="223" t="s">
        <v>631</v>
      </c>
      <c r="AR541" s="223">
        <v>0</v>
      </c>
      <c r="AS541" s="223">
        <v>-9999</v>
      </c>
      <c r="AT541" s="223">
        <v>-9999</v>
      </c>
      <c r="AU541" s="223">
        <v>0</v>
      </c>
      <c r="AV541" s="223">
        <v>-9999</v>
      </c>
      <c r="AW541" s="223">
        <v>-9999</v>
      </c>
      <c r="AX541" s="223">
        <v>0</v>
      </c>
      <c r="AY541" s="223">
        <v>-9999</v>
      </c>
      <c r="AZ541" s="223">
        <v>-9999</v>
      </c>
      <c r="BA541" s="223" t="s">
        <v>794</v>
      </c>
      <c r="BB541" s="223" t="s">
        <v>626</v>
      </c>
      <c r="BC541" s="223" t="s">
        <v>795</v>
      </c>
      <c r="BD541" s="223" t="s">
        <v>796</v>
      </c>
      <c r="BE541" s="223"/>
      <c r="BF541" s="223"/>
      <c r="BG541" s="223"/>
      <c r="BH541" s="223">
        <v>-9999</v>
      </c>
      <c r="BI541" s="223">
        <v>-9999</v>
      </c>
      <c r="BJ541" s="223">
        <v>-9999</v>
      </c>
      <c r="BK541" s="223">
        <v>-9999</v>
      </c>
      <c r="BL541" s="223">
        <v>-9999</v>
      </c>
      <c r="BM541" s="223">
        <v>-9999</v>
      </c>
      <c r="BN541" s="223">
        <v>-9999</v>
      </c>
      <c r="BO541" s="223">
        <v>-9999</v>
      </c>
      <c r="BP541" s="223">
        <v>-9999</v>
      </c>
      <c r="BQ541" s="223">
        <v>-9999</v>
      </c>
      <c r="BR541" s="223">
        <v>-9999</v>
      </c>
      <c r="BS541" s="242">
        <v>-9999</v>
      </c>
      <c r="BT541" s="223">
        <v>-9999</v>
      </c>
      <c r="BU541" s="223">
        <v>-9999</v>
      </c>
      <c r="BV541" s="223">
        <v>-9999</v>
      </c>
      <c r="BW541" s="223"/>
      <c r="BX541" s="223">
        <v>-9999</v>
      </c>
      <c r="BY541" s="223">
        <v>-9999</v>
      </c>
      <c r="BZ541" s="223">
        <v>-9999</v>
      </c>
      <c r="CA541" s="332" t="s">
        <v>797</v>
      </c>
      <c r="CB541" s="247"/>
      <c r="CC541" s="83">
        <v>1</v>
      </c>
      <c r="CD541" s="32">
        <v>5</v>
      </c>
      <c r="CE541" s="292">
        <v>10.1</v>
      </c>
      <c r="CF541" s="292">
        <v>15.700000000000003</v>
      </c>
      <c r="CG541" s="84">
        <v>5</v>
      </c>
    </row>
    <row r="542" spans="1:1873" s="23" customFormat="1" x14ac:dyDescent="0.2">
      <c r="A542" s="223" t="s">
        <v>785</v>
      </c>
      <c r="B542" s="223" t="s">
        <v>786</v>
      </c>
      <c r="C542" s="223" t="s">
        <v>1026</v>
      </c>
      <c r="D542" s="223" t="s">
        <v>619</v>
      </c>
      <c r="E542" s="241" t="s">
        <v>1444</v>
      </c>
      <c r="F542" s="241">
        <v>1</v>
      </c>
      <c r="G542" s="223">
        <v>6</v>
      </c>
      <c r="H542" s="242">
        <v>6</v>
      </c>
      <c r="I542" s="223" t="s">
        <v>954</v>
      </c>
      <c r="J542" s="223">
        <v>1981</v>
      </c>
      <c r="K542" s="223" t="s">
        <v>957</v>
      </c>
      <c r="L542" s="223">
        <v>1986</v>
      </c>
      <c r="M542" s="243">
        <v>-9999</v>
      </c>
      <c r="N542" s="223">
        <v>-9999</v>
      </c>
      <c r="O542" s="29"/>
      <c r="P542" s="285">
        <f t="shared" si="42"/>
        <v>67.199999999999989</v>
      </c>
      <c r="Q542" s="223">
        <v>-9999</v>
      </c>
      <c r="R542" s="243"/>
      <c r="S542" s="223"/>
      <c r="T542" s="243">
        <v>11.2</v>
      </c>
      <c r="U542" s="243">
        <v>1.3</v>
      </c>
      <c r="V542" s="243"/>
      <c r="W542" s="244">
        <f>+P542-P541</f>
        <v>16.699999999999989</v>
      </c>
      <c r="X542" s="223">
        <v>-9999</v>
      </c>
      <c r="Y542" s="223"/>
      <c r="Z542" s="223" t="s">
        <v>75</v>
      </c>
      <c r="AA542" s="245">
        <v>5000</v>
      </c>
      <c r="AB542" s="243">
        <v>0.95</v>
      </c>
      <c r="AC542" s="223">
        <v>-9999</v>
      </c>
      <c r="AD542" s="223">
        <f t="shared" si="40"/>
        <v>400</v>
      </c>
      <c r="AE542" s="404" t="s">
        <v>1952</v>
      </c>
      <c r="AF542" s="223">
        <v>4</v>
      </c>
      <c r="AG542" s="223">
        <v>2</v>
      </c>
      <c r="AH542" s="223" t="s">
        <v>623</v>
      </c>
      <c r="AI542" s="223">
        <v>-9999</v>
      </c>
      <c r="AJ542" s="223">
        <v>-9999</v>
      </c>
      <c r="AK542" s="223" t="s">
        <v>626</v>
      </c>
      <c r="AL542" s="223" t="s">
        <v>653</v>
      </c>
      <c r="AM542" s="223">
        <v>-9999</v>
      </c>
      <c r="AN542" s="223" t="s">
        <v>626</v>
      </c>
      <c r="AO542" s="223">
        <v>-9999</v>
      </c>
      <c r="AP542" s="223" t="s">
        <v>789</v>
      </c>
      <c r="AQ542" s="223" t="s">
        <v>631</v>
      </c>
      <c r="AR542" s="223">
        <v>0</v>
      </c>
      <c r="AS542" s="223">
        <v>-9999</v>
      </c>
      <c r="AT542" s="223">
        <v>-9999</v>
      </c>
      <c r="AU542" s="223">
        <v>0</v>
      </c>
      <c r="AV542" s="223">
        <v>-9999</v>
      </c>
      <c r="AW542" s="223">
        <v>-9999</v>
      </c>
      <c r="AX542" s="223">
        <v>0</v>
      </c>
      <c r="AY542" s="223">
        <v>-9999</v>
      </c>
      <c r="AZ542" s="223">
        <v>-9999</v>
      </c>
      <c r="BA542" s="223" t="s">
        <v>794</v>
      </c>
      <c r="BB542" s="223" t="s">
        <v>626</v>
      </c>
      <c r="BC542" s="223" t="s">
        <v>795</v>
      </c>
      <c r="BD542" s="223" t="s">
        <v>796</v>
      </c>
      <c r="BE542" s="223"/>
      <c r="BF542" s="223"/>
      <c r="BG542" s="223"/>
      <c r="BH542" s="223">
        <v>-9999</v>
      </c>
      <c r="BI542" s="223">
        <v>-9999</v>
      </c>
      <c r="BJ542" s="223">
        <v>-9999</v>
      </c>
      <c r="BK542" s="223">
        <v>-9999</v>
      </c>
      <c r="BL542" s="223">
        <v>-9999</v>
      </c>
      <c r="BM542" s="223">
        <v>-9999</v>
      </c>
      <c r="BN542" s="223">
        <v>-9999</v>
      </c>
      <c r="BO542" s="223">
        <v>-9999</v>
      </c>
      <c r="BP542" s="223">
        <v>-9999</v>
      </c>
      <c r="BQ542" s="223">
        <v>-9999</v>
      </c>
      <c r="BR542" s="223">
        <v>-9999</v>
      </c>
      <c r="BS542" s="242">
        <v>-9999</v>
      </c>
      <c r="BT542" s="223">
        <v>-9999</v>
      </c>
      <c r="BU542" s="223">
        <v>-9999</v>
      </c>
      <c r="BV542" s="223">
        <v>-9999</v>
      </c>
      <c r="BW542" s="223"/>
      <c r="BX542" s="223">
        <v>-9999</v>
      </c>
      <c r="BY542" s="223">
        <v>-9999</v>
      </c>
      <c r="BZ542" s="223">
        <v>-9999</v>
      </c>
      <c r="CA542" s="332" t="s">
        <v>797</v>
      </c>
      <c r="CB542" s="247"/>
      <c r="CC542" s="83">
        <v>1</v>
      </c>
      <c r="CD542" s="32">
        <v>6</v>
      </c>
      <c r="CE542" s="292">
        <v>11.2</v>
      </c>
      <c r="CF542" s="292">
        <v>16.699999999999989</v>
      </c>
      <c r="CG542" s="84">
        <v>6</v>
      </c>
    </row>
    <row r="543" spans="1:1873" s="199" customFormat="1" x14ac:dyDescent="0.2">
      <c r="A543" s="249" t="s">
        <v>785</v>
      </c>
      <c r="B543" s="249" t="s">
        <v>786</v>
      </c>
      <c r="C543" s="249" t="s">
        <v>1026</v>
      </c>
      <c r="D543" s="249" t="s">
        <v>619</v>
      </c>
      <c r="E543" s="250" t="s">
        <v>1444</v>
      </c>
      <c r="F543" s="250">
        <v>1</v>
      </c>
      <c r="G543" s="249">
        <v>7</v>
      </c>
      <c r="H543" s="251">
        <v>7</v>
      </c>
      <c r="I543" s="249" t="s">
        <v>954</v>
      </c>
      <c r="J543" s="249">
        <v>1981</v>
      </c>
      <c r="K543" s="249" t="s">
        <v>957</v>
      </c>
      <c r="L543" s="249">
        <v>1987</v>
      </c>
      <c r="M543" s="253">
        <v>-9999</v>
      </c>
      <c r="N543" s="249">
        <v>-9999</v>
      </c>
      <c r="O543" s="18"/>
      <c r="P543" s="558">
        <f t="shared" si="42"/>
        <v>79.8</v>
      </c>
      <c r="Q543" s="249">
        <v>-9999</v>
      </c>
      <c r="R543" s="253"/>
      <c r="S543" s="249"/>
      <c r="T543" s="253">
        <v>11.4</v>
      </c>
      <c r="U543" s="253">
        <v>1.3</v>
      </c>
      <c r="V543" s="253"/>
      <c r="W543" s="284">
        <f>+P543-P542</f>
        <v>12.600000000000009</v>
      </c>
      <c r="X543" s="249">
        <v>-9999</v>
      </c>
      <c r="Y543" s="249"/>
      <c r="Z543" s="249" t="s">
        <v>75</v>
      </c>
      <c r="AA543" s="424">
        <v>5000</v>
      </c>
      <c r="AB543" s="253">
        <v>0.92</v>
      </c>
      <c r="AC543" s="249">
        <v>-9999</v>
      </c>
      <c r="AD543" s="223">
        <f t="shared" si="40"/>
        <v>400</v>
      </c>
      <c r="AE543" s="249" t="s">
        <v>1952</v>
      </c>
      <c r="AF543" s="249">
        <v>4</v>
      </c>
      <c r="AG543" s="249">
        <v>2</v>
      </c>
      <c r="AH543" s="249" t="s">
        <v>623</v>
      </c>
      <c r="AI543" s="249">
        <v>-9999</v>
      </c>
      <c r="AJ543" s="249">
        <v>-9999</v>
      </c>
      <c r="AK543" s="249" t="s">
        <v>626</v>
      </c>
      <c r="AL543" s="249" t="s">
        <v>653</v>
      </c>
      <c r="AM543" s="249">
        <v>-9999</v>
      </c>
      <c r="AN543" s="249" t="s">
        <v>626</v>
      </c>
      <c r="AO543" s="249">
        <v>-9999</v>
      </c>
      <c r="AP543" s="249" t="s">
        <v>789</v>
      </c>
      <c r="AQ543" s="249" t="s">
        <v>631</v>
      </c>
      <c r="AR543" s="249">
        <v>0</v>
      </c>
      <c r="AS543" s="249">
        <v>-9999</v>
      </c>
      <c r="AT543" s="249">
        <v>-9999</v>
      </c>
      <c r="AU543" s="249">
        <v>0</v>
      </c>
      <c r="AV543" s="249">
        <v>-9999</v>
      </c>
      <c r="AW543" s="249">
        <v>-9999</v>
      </c>
      <c r="AX543" s="249">
        <v>0</v>
      </c>
      <c r="AY543" s="249">
        <v>-9999</v>
      </c>
      <c r="AZ543" s="249">
        <v>-9999</v>
      </c>
      <c r="BA543" s="249" t="s">
        <v>794</v>
      </c>
      <c r="BB543" s="249" t="s">
        <v>626</v>
      </c>
      <c r="BC543" s="249" t="s">
        <v>795</v>
      </c>
      <c r="BD543" s="249" t="s">
        <v>796</v>
      </c>
      <c r="BE543" s="249"/>
      <c r="BF543" s="249"/>
      <c r="BG543" s="249"/>
      <c r="BH543" s="249">
        <v>-9999</v>
      </c>
      <c r="BI543" s="249">
        <v>-9999</v>
      </c>
      <c r="BJ543" s="249">
        <v>-9999</v>
      </c>
      <c r="BK543" s="249">
        <v>-9999</v>
      </c>
      <c r="BL543" s="249">
        <v>-9999</v>
      </c>
      <c r="BM543" s="249">
        <v>-9999</v>
      </c>
      <c r="BN543" s="249">
        <v>-9999</v>
      </c>
      <c r="BO543" s="249">
        <v>-9999</v>
      </c>
      <c r="BP543" s="249">
        <v>-9999</v>
      </c>
      <c r="BQ543" s="249">
        <v>-9999</v>
      </c>
      <c r="BR543" s="249">
        <v>-9999</v>
      </c>
      <c r="BS543" s="251">
        <v>-9999</v>
      </c>
      <c r="BT543" s="249">
        <v>-9999</v>
      </c>
      <c r="BU543" s="249">
        <v>-9999</v>
      </c>
      <c r="BV543" s="249">
        <v>-9999</v>
      </c>
      <c r="BW543" s="249"/>
      <c r="BX543" s="249">
        <v>-9999</v>
      </c>
      <c r="BY543" s="249">
        <v>-9999</v>
      </c>
      <c r="BZ543" s="249">
        <v>-9999</v>
      </c>
      <c r="CA543" s="331" t="s">
        <v>797</v>
      </c>
      <c r="CB543" s="254"/>
      <c r="CC543" s="200">
        <v>1</v>
      </c>
      <c r="CD543" s="193">
        <v>7</v>
      </c>
      <c r="CE543" s="395">
        <v>11.4</v>
      </c>
      <c r="CF543" s="99">
        <v>12.600000000000009</v>
      </c>
      <c r="CG543" s="195">
        <v>7</v>
      </c>
      <c r="CH543" s="437" t="s">
        <v>1757</v>
      </c>
      <c r="CI543" s="13"/>
      <c r="CJ543" s="13"/>
      <c r="CK543" s="13"/>
      <c r="CL543" s="13"/>
      <c r="CM543" s="13"/>
      <c r="CN543" s="13"/>
      <c r="CO543" s="13"/>
      <c r="CP543" s="13"/>
      <c r="CQ543" s="13"/>
      <c r="CR543" s="13"/>
      <c r="CS543" s="13"/>
      <c r="CT543" s="13"/>
      <c r="CU543" s="13"/>
      <c r="CV543" s="13"/>
      <c r="CW543" s="13"/>
      <c r="CX543" s="13"/>
      <c r="CY543" s="13"/>
      <c r="CZ543" s="13"/>
      <c r="DA543" s="13"/>
      <c r="DB543" s="13"/>
      <c r="DC543" s="13"/>
      <c r="DD543" s="13"/>
      <c r="DE543" s="13"/>
      <c r="DF543" s="13"/>
      <c r="DG543" s="13"/>
      <c r="DH543" s="13"/>
      <c r="DI543" s="13"/>
      <c r="DJ543" s="13"/>
      <c r="DK543" s="13"/>
      <c r="DL543" s="13"/>
      <c r="DM543" s="13"/>
      <c r="DN543" s="13"/>
      <c r="DO543" s="13"/>
      <c r="DP543" s="13"/>
      <c r="DQ543" s="13"/>
      <c r="DR543" s="13"/>
      <c r="DS543" s="13"/>
      <c r="DT543" s="13"/>
      <c r="DU543" s="13"/>
      <c r="DV543" s="13"/>
      <c r="DW543" s="13"/>
      <c r="DX543" s="13"/>
      <c r="DY543" s="13"/>
      <c r="DZ543" s="13"/>
      <c r="EA543" s="13"/>
      <c r="EB543" s="13"/>
      <c r="EC543" s="13"/>
      <c r="ED543" s="13"/>
      <c r="EE543" s="13"/>
      <c r="EF543" s="13"/>
      <c r="EG543" s="13"/>
      <c r="EH543" s="13"/>
      <c r="EI543" s="13"/>
      <c r="EJ543" s="13"/>
      <c r="EK543" s="13"/>
      <c r="EL543" s="13"/>
      <c r="EM543" s="13"/>
      <c r="EN543" s="13"/>
      <c r="EO543" s="13"/>
      <c r="EP543" s="13"/>
      <c r="EQ543" s="13"/>
      <c r="ER543" s="13"/>
      <c r="ES543" s="13"/>
      <c r="ET543" s="13"/>
      <c r="EU543" s="13"/>
      <c r="EV543" s="13"/>
      <c r="EW543" s="13"/>
      <c r="EX543" s="13"/>
      <c r="EY543" s="13"/>
      <c r="EZ543" s="13"/>
      <c r="FA543" s="13"/>
      <c r="FB543" s="13"/>
      <c r="FC543" s="13"/>
      <c r="FD543" s="13"/>
      <c r="FE543" s="13"/>
      <c r="FF543" s="13"/>
      <c r="FG543" s="13"/>
      <c r="FH543" s="13"/>
      <c r="FI543" s="13"/>
      <c r="FJ543" s="13"/>
      <c r="FK543" s="13"/>
      <c r="FL543" s="13"/>
      <c r="FM543" s="13"/>
      <c r="FN543" s="13"/>
      <c r="FO543" s="13"/>
      <c r="FP543" s="13"/>
      <c r="FQ543" s="13"/>
      <c r="FR543" s="13"/>
      <c r="FS543" s="13"/>
      <c r="FT543" s="13"/>
      <c r="FU543" s="13"/>
      <c r="FV543" s="13"/>
      <c r="FW543" s="13"/>
      <c r="FX543" s="13"/>
      <c r="FY543" s="13"/>
      <c r="FZ543" s="13"/>
      <c r="GA543" s="13"/>
      <c r="GB543" s="13"/>
      <c r="GC543" s="13"/>
      <c r="GD543" s="13"/>
      <c r="GE543" s="13"/>
      <c r="GF543" s="13"/>
      <c r="GG543" s="13"/>
      <c r="GH543" s="13"/>
      <c r="GI543" s="13"/>
      <c r="GJ543" s="13"/>
      <c r="GK543" s="13"/>
      <c r="GL543" s="13"/>
      <c r="GM543" s="13"/>
      <c r="GN543" s="13"/>
      <c r="GO543" s="13"/>
      <c r="GP543" s="13"/>
      <c r="GQ543" s="13"/>
      <c r="GR543" s="13"/>
      <c r="GS543" s="13"/>
      <c r="GT543" s="13"/>
      <c r="GU543" s="13"/>
      <c r="GV543" s="13"/>
      <c r="GW543" s="13"/>
      <c r="GX543" s="13"/>
      <c r="GY543" s="13"/>
      <c r="GZ543" s="13"/>
      <c r="HA543" s="13"/>
      <c r="HB543" s="13"/>
      <c r="HC543" s="13"/>
      <c r="HD543" s="13"/>
      <c r="HE543" s="13"/>
      <c r="HF543" s="13"/>
      <c r="HG543" s="13"/>
      <c r="HH543" s="13"/>
      <c r="HI543" s="13"/>
      <c r="HJ543" s="13"/>
      <c r="HK543" s="13"/>
      <c r="HL543" s="13"/>
      <c r="HM543" s="13"/>
      <c r="HN543" s="13"/>
      <c r="HO543" s="13"/>
      <c r="HP543" s="13"/>
      <c r="HQ543" s="13"/>
      <c r="HR543" s="13"/>
      <c r="HS543" s="13"/>
      <c r="HT543" s="13"/>
      <c r="HU543" s="13"/>
      <c r="HV543" s="13"/>
      <c r="HW543" s="13"/>
      <c r="HX543" s="13"/>
      <c r="HY543" s="13"/>
      <c r="HZ543" s="13"/>
      <c r="IA543" s="13"/>
      <c r="IB543" s="13"/>
      <c r="IC543" s="13"/>
      <c r="ID543" s="13"/>
      <c r="IE543" s="13"/>
      <c r="IF543" s="13"/>
      <c r="IG543" s="13"/>
      <c r="IH543" s="13"/>
      <c r="II543" s="13"/>
      <c r="IJ543" s="13"/>
      <c r="IK543" s="13"/>
      <c r="IL543" s="13"/>
      <c r="IM543" s="13"/>
      <c r="IN543" s="13"/>
      <c r="IO543" s="13"/>
      <c r="IP543" s="13"/>
      <c r="IQ543" s="13"/>
      <c r="IR543" s="13"/>
      <c r="IS543" s="13"/>
      <c r="IT543" s="13"/>
      <c r="IU543" s="13"/>
      <c r="IV543" s="13"/>
      <c r="IW543" s="13"/>
      <c r="IX543" s="13"/>
      <c r="IY543" s="13"/>
      <c r="IZ543" s="13"/>
      <c r="JA543" s="13"/>
      <c r="JB543" s="13"/>
      <c r="JC543" s="13"/>
      <c r="JD543" s="13"/>
      <c r="JE543" s="13"/>
      <c r="JF543" s="13"/>
      <c r="JG543" s="13"/>
      <c r="JH543" s="13"/>
      <c r="JI543" s="13"/>
      <c r="JJ543" s="13"/>
      <c r="JK543" s="13"/>
      <c r="JL543" s="13"/>
      <c r="JM543" s="13"/>
      <c r="JN543" s="13"/>
      <c r="JO543" s="13"/>
      <c r="JP543" s="13"/>
      <c r="JQ543" s="13"/>
      <c r="JR543" s="13"/>
      <c r="JS543" s="13"/>
      <c r="JT543" s="13"/>
      <c r="JU543" s="13"/>
      <c r="JV543" s="13"/>
      <c r="JW543" s="13"/>
      <c r="JX543" s="13"/>
      <c r="JY543" s="13"/>
      <c r="JZ543" s="13"/>
      <c r="KA543" s="13"/>
      <c r="KB543" s="13"/>
      <c r="KC543" s="13"/>
      <c r="KD543" s="13"/>
      <c r="KE543" s="13"/>
      <c r="KF543" s="13"/>
      <c r="KG543" s="13"/>
      <c r="KH543" s="13"/>
      <c r="KI543" s="13"/>
      <c r="KJ543" s="13"/>
      <c r="KK543" s="13"/>
      <c r="KL543" s="13"/>
      <c r="KM543" s="13"/>
      <c r="KN543" s="13"/>
      <c r="KO543" s="13"/>
      <c r="KP543" s="13"/>
      <c r="KQ543" s="13"/>
      <c r="KR543" s="13"/>
      <c r="KS543" s="13"/>
      <c r="KT543" s="13"/>
      <c r="KU543" s="13"/>
      <c r="KV543" s="13"/>
      <c r="KW543" s="13"/>
      <c r="KX543" s="13"/>
      <c r="KY543" s="13"/>
      <c r="KZ543" s="13"/>
      <c r="LA543" s="13"/>
      <c r="LB543" s="13"/>
      <c r="LC543" s="13"/>
      <c r="LD543" s="13"/>
      <c r="LE543" s="13"/>
      <c r="LF543" s="13"/>
      <c r="LG543" s="13"/>
      <c r="LH543" s="13"/>
      <c r="LI543" s="13"/>
      <c r="LJ543" s="13"/>
      <c r="LK543" s="13"/>
      <c r="LL543" s="13"/>
      <c r="LM543" s="13"/>
      <c r="LN543" s="13"/>
      <c r="LO543" s="13"/>
      <c r="LP543" s="13"/>
      <c r="LQ543" s="13"/>
      <c r="LR543" s="13"/>
      <c r="LS543" s="13"/>
      <c r="LT543" s="13"/>
      <c r="LU543" s="13"/>
      <c r="LV543" s="13"/>
      <c r="LW543" s="13"/>
      <c r="LX543" s="13"/>
      <c r="LY543" s="13"/>
      <c r="LZ543" s="13"/>
      <c r="MA543" s="13"/>
      <c r="MB543" s="13"/>
      <c r="MC543" s="13"/>
      <c r="MD543" s="13"/>
      <c r="ME543" s="13"/>
      <c r="MF543" s="13"/>
      <c r="MG543" s="13"/>
      <c r="MH543" s="13"/>
      <c r="MI543" s="13"/>
      <c r="MJ543" s="13"/>
      <c r="MK543" s="13"/>
      <c r="ML543" s="13"/>
      <c r="MM543" s="13"/>
      <c r="MN543" s="13"/>
      <c r="MO543" s="13"/>
      <c r="MP543" s="13"/>
      <c r="MQ543" s="13"/>
      <c r="MR543" s="13"/>
      <c r="MS543" s="13"/>
      <c r="MT543" s="13"/>
      <c r="MU543" s="13"/>
      <c r="MV543" s="13"/>
      <c r="MW543" s="13"/>
      <c r="MX543" s="13"/>
      <c r="MY543" s="13"/>
      <c r="MZ543" s="13"/>
      <c r="NA543" s="13"/>
      <c r="NB543" s="13"/>
      <c r="NC543" s="13"/>
      <c r="ND543" s="13"/>
      <c r="NE543" s="13"/>
      <c r="NF543" s="13"/>
      <c r="NG543" s="13"/>
      <c r="NH543" s="13"/>
      <c r="NI543" s="13"/>
      <c r="NJ543" s="13"/>
      <c r="NK543" s="13"/>
      <c r="NL543" s="13"/>
      <c r="NM543" s="13"/>
      <c r="NN543" s="13"/>
      <c r="NO543" s="13"/>
      <c r="NP543" s="13"/>
      <c r="NQ543" s="13"/>
      <c r="NR543" s="13"/>
      <c r="NS543" s="13"/>
      <c r="NT543" s="13"/>
      <c r="NU543" s="13"/>
      <c r="NV543" s="13"/>
      <c r="NW543" s="13"/>
      <c r="NX543" s="13"/>
      <c r="NY543" s="13"/>
      <c r="NZ543" s="13"/>
      <c r="OA543" s="13"/>
      <c r="OB543" s="13"/>
      <c r="OC543" s="13"/>
      <c r="OD543" s="13"/>
      <c r="OE543" s="13"/>
      <c r="OF543" s="13"/>
      <c r="OG543" s="13"/>
      <c r="OH543" s="13"/>
      <c r="OI543" s="13"/>
      <c r="OJ543" s="13"/>
      <c r="OK543" s="13"/>
      <c r="OL543" s="13"/>
      <c r="OM543" s="13"/>
      <c r="ON543" s="13"/>
      <c r="OO543" s="13"/>
      <c r="OP543" s="13"/>
      <c r="OQ543" s="13"/>
      <c r="OR543" s="13"/>
      <c r="OS543" s="13"/>
      <c r="OT543" s="13"/>
      <c r="OU543" s="13"/>
      <c r="OV543" s="13"/>
      <c r="OW543" s="13"/>
      <c r="OX543" s="13"/>
      <c r="OY543" s="13"/>
      <c r="OZ543" s="13"/>
      <c r="PA543" s="13"/>
      <c r="PB543" s="13"/>
      <c r="PC543" s="13"/>
      <c r="PD543" s="13"/>
      <c r="PE543" s="13"/>
      <c r="PF543" s="13"/>
      <c r="PG543" s="13"/>
      <c r="PH543" s="13"/>
      <c r="PI543" s="13"/>
      <c r="PJ543" s="13"/>
      <c r="PK543" s="13"/>
      <c r="PL543" s="13"/>
      <c r="PM543" s="13"/>
      <c r="PN543" s="13"/>
      <c r="PO543" s="13"/>
      <c r="PP543" s="13"/>
      <c r="PQ543" s="13"/>
      <c r="PR543" s="13"/>
      <c r="PS543" s="13"/>
      <c r="PT543" s="13"/>
      <c r="PU543" s="13"/>
      <c r="PV543" s="13"/>
      <c r="PW543" s="13"/>
      <c r="PX543" s="13"/>
      <c r="PY543" s="13"/>
      <c r="PZ543" s="13"/>
      <c r="QA543" s="13"/>
      <c r="QB543" s="13"/>
      <c r="QC543" s="13"/>
      <c r="QD543" s="13"/>
      <c r="QE543" s="13"/>
      <c r="QF543" s="13"/>
      <c r="QG543" s="13"/>
      <c r="QH543" s="13"/>
      <c r="QI543" s="13"/>
      <c r="QJ543" s="13"/>
      <c r="QK543" s="13"/>
      <c r="QL543" s="13"/>
      <c r="QM543" s="13"/>
      <c r="QN543" s="13"/>
      <c r="QO543" s="13"/>
      <c r="QP543" s="13"/>
      <c r="QQ543" s="13"/>
      <c r="QR543" s="13"/>
      <c r="QS543" s="13"/>
      <c r="QT543" s="13"/>
      <c r="QU543" s="13"/>
      <c r="QV543" s="13"/>
      <c r="QW543" s="13"/>
      <c r="QX543" s="13"/>
      <c r="QY543" s="13"/>
      <c r="QZ543" s="13"/>
      <c r="RA543" s="13"/>
      <c r="RB543" s="13"/>
      <c r="RC543" s="13"/>
      <c r="RD543" s="13"/>
      <c r="RE543" s="13"/>
      <c r="RF543" s="13"/>
      <c r="RG543" s="13"/>
      <c r="RH543" s="13"/>
      <c r="RI543" s="13"/>
      <c r="RJ543" s="13"/>
      <c r="RK543" s="13"/>
      <c r="RL543" s="13"/>
      <c r="RM543" s="13"/>
      <c r="RN543" s="13"/>
      <c r="RO543" s="13"/>
      <c r="RP543" s="13"/>
      <c r="RQ543" s="13"/>
      <c r="RR543" s="13"/>
      <c r="RS543" s="13"/>
      <c r="RT543" s="13"/>
      <c r="RU543" s="13"/>
      <c r="RV543" s="13"/>
      <c r="RW543" s="13"/>
      <c r="RX543" s="13"/>
      <c r="RY543" s="13"/>
      <c r="RZ543" s="13"/>
      <c r="SA543" s="13"/>
      <c r="SB543" s="13"/>
      <c r="SC543" s="13"/>
      <c r="SD543" s="13"/>
      <c r="SE543" s="13"/>
      <c r="SF543" s="13"/>
      <c r="SG543" s="13"/>
      <c r="SH543" s="13"/>
      <c r="SI543" s="13"/>
      <c r="SJ543" s="13"/>
      <c r="SK543" s="13"/>
      <c r="SL543" s="13"/>
      <c r="SM543" s="13"/>
      <c r="SN543" s="13"/>
      <c r="SO543" s="13"/>
      <c r="SP543" s="13"/>
      <c r="SQ543" s="13"/>
      <c r="SR543" s="13"/>
      <c r="SS543" s="13"/>
      <c r="ST543" s="13"/>
      <c r="SU543" s="13"/>
      <c r="SV543" s="13"/>
      <c r="SW543" s="13"/>
      <c r="SX543" s="13"/>
      <c r="SY543" s="13"/>
      <c r="SZ543" s="13"/>
      <c r="TA543" s="13"/>
      <c r="TB543" s="13"/>
      <c r="TC543" s="13"/>
      <c r="TD543" s="13"/>
      <c r="TE543" s="13"/>
      <c r="TF543" s="13"/>
      <c r="TG543" s="13"/>
      <c r="TH543" s="13"/>
      <c r="TI543" s="13"/>
      <c r="TJ543" s="13"/>
      <c r="TK543" s="13"/>
      <c r="TL543" s="13"/>
      <c r="TM543" s="13"/>
      <c r="TN543" s="13"/>
      <c r="TO543" s="13"/>
      <c r="TP543" s="13"/>
      <c r="TQ543" s="13"/>
      <c r="TR543" s="13"/>
      <c r="TS543" s="13"/>
      <c r="TT543" s="13"/>
      <c r="TU543" s="13"/>
      <c r="TV543" s="13"/>
      <c r="TW543" s="13"/>
      <c r="TX543" s="13"/>
      <c r="TY543" s="13"/>
      <c r="TZ543" s="13"/>
      <c r="UA543" s="13"/>
      <c r="UB543" s="13"/>
      <c r="UC543" s="13"/>
      <c r="UD543" s="13"/>
      <c r="UE543" s="13"/>
      <c r="UF543" s="13"/>
      <c r="UG543" s="13"/>
      <c r="UH543" s="13"/>
      <c r="UI543" s="13"/>
      <c r="UJ543" s="13"/>
      <c r="UK543" s="13"/>
      <c r="UL543" s="13"/>
      <c r="UM543" s="13"/>
      <c r="UN543" s="13"/>
      <c r="UO543" s="13"/>
      <c r="UP543" s="13"/>
      <c r="UQ543" s="13"/>
      <c r="UR543" s="13"/>
      <c r="US543" s="13"/>
      <c r="UT543" s="13"/>
      <c r="UU543" s="13"/>
      <c r="UV543" s="13"/>
      <c r="UW543" s="13"/>
      <c r="UX543" s="13"/>
      <c r="UY543" s="13"/>
      <c r="UZ543" s="13"/>
      <c r="VA543" s="13"/>
      <c r="VB543" s="13"/>
      <c r="VC543" s="13"/>
      <c r="VD543" s="13"/>
      <c r="VE543" s="13"/>
      <c r="VF543" s="13"/>
      <c r="VG543" s="13"/>
      <c r="VH543" s="13"/>
      <c r="VI543" s="13"/>
      <c r="VJ543" s="13"/>
      <c r="VK543" s="13"/>
      <c r="VL543" s="13"/>
      <c r="VM543" s="13"/>
      <c r="VN543" s="13"/>
      <c r="VO543" s="13"/>
      <c r="VP543" s="13"/>
      <c r="VQ543" s="13"/>
      <c r="VR543" s="13"/>
      <c r="VS543" s="13"/>
      <c r="VT543" s="13"/>
      <c r="VU543" s="13"/>
      <c r="VV543" s="13"/>
      <c r="VW543" s="13"/>
      <c r="VX543" s="13"/>
      <c r="VY543" s="13"/>
      <c r="VZ543" s="13"/>
      <c r="WA543" s="13"/>
      <c r="WB543" s="13"/>
      <c r="WC543" s="13"/>
      <c r="WD543" s="13"/>
      <c r="WE543" s="13"/>
      <c r="WF543" s="13"/>
      <c r="WG543" s="13"/>
      <c r="WH543" s="13"/>
      <c r="WI543" s="13"/>
      <c r="WJ543" s="13"/>
      <c r="WK543" s="13"/>
      <c r="WL543" s="13"/>
      <c r="WM543" s="13"/>
      <c r="WN543" s="13"/>
      <c r="WO543" s="13"/>
      <c r="WP543" s="13"/>
      <c r="WQ543" s="13"/>
      <c r="WR543" s="13"/>
      <c r="WS543" s="13"/>
      <c r="WT543" s="13"/>
      <c r="WU543" s="13"/>
      <c r="WV543" s="13"/>
      <c r="WW543" s="13"/>
      <c r="WX543" s="13"/>
      <c r="WY543" s="13"/>
      <c r="WZ543" s="13"/>
      <c r="XA543" s="13"/>
      <c r="XB543" s="13"/>
      <c r="XC543" s="13"/>
      <c r="XD543" s="13"/>
      <c r="XE543" s="13"/>
      <c r="XF543" s="13"/>
      <c r="XG543" s="13"/>
      <c r="XH543" s="13"/>
      <c r="XI543" s="13"/>
      <c r="XJ543" s="13"/>
      <c r="XK543" s="13"/>
      <c r="XL543" s="13"/>
      <c r="XM543" s="13"/>
      <c r="XN543" s="13"/>
      <c r="XO543" s="13"/>
      <c r="XP543" s="13"/>
      <c r="XQ543" s="13"/>
      <c r="XR543" s="13"/>
      <c r="XS543" s="13"/>
      <c r="XT543" s="13"/>
      <c r="XU543" s="13"/>
      <c r="XV543" s="13"/>
      <c r="XW543" s="13"/>
      <c r="XX543" s="13"/>
      <c r="XY543" s="13"/>
      <c r="XZ543" s="13"/>
      <c r="YA543" s="13"/>
      <c r="YB543" s="13"/>
      <c r="YC543" s="13"/>
      <c r="YD543" s="13"/>
      <c r="YE543" s="13"/>
      <c r="YF543" s="13"/>
      <c r="YG543" s="13"/>
      <c r="YH543" s="13"/>
      <c r="YI543" s="13"/>
      <c r="YJ543" s="13"/>
      <c r="YK543" s="13"/>
      <c r="YL543" s="13"/>
      <c r="YM543" s="13"/>
      <c r="YN543" s="13"/>
      <c r="YO543" s="13"/>
      <c r="YP543" s="13"/>
      <c r="YQ543" s="13"/>
      <c r="YR543" s="13"/>
      <c r="YS543" s="13"/>
      <c r="YT543" s="13"/>
      <c r="YU543" s="13"/>
      <c r="YV543" s="13"/>
      <c r="YW543" s="13"/>
      <c r="YX543" s="13"/>
      <c r="YY543" s="13"/>
      <c r="YZ543" s="13"/>
      <c r="ZA543" s="13"/>
      <c r="ZB543" s="13"/>
      <c r="ZC543" s="13"/>
      <c r="ZD543" s="13"/>
      <c r="ZE543" s="13"/>
      <c r="ZF543" s="13"/>
      <c r="ZG543" s="13"/>
      <c r="ZH543" s="13"/>
      <c r="ZI543" s="13"/>
      <c r="ZJ543" s="13"/>
      <c r="ZK543" s="13"/>
      <c r="ZL543" s="13"/>
      <c r="ZM543" s="13"/>
      <c r="ZN543" s="13"/>
      <c r="ZO543" s="13"/>
      <c r="ZP543" s="13"/>
      <c r="ZQ543" s="13"/>
      <c r="ZR543" s="13"/>
      <c r="ZS543" s="13"/>
      <c r="ZT543" s="13"/>
      <c r="ZU543" s="13"/>
      <c r="ZV543" s="13"/>
      <c r="ZW543" s="13"/>
      <c r="ZX543" s="13"/>
      <c r="ZY543" s="13"/>
      <c r="ZZ543" s="13"/>
      <c r="AAA543" s="13"/>
      <c r="AAB543" s="13"/>
      <c r="AAC543" s="13"/>
      <c r="AAD543" s="13"/>
      <c r="AAE543" s="13"/>
      <c r="AAF543" s="13"/>
      <c r="AAG543" s="13"/>
      <c r="AAH543" s="13"/>
      <c r="AAI543" s="13"/>
      <c r="AAJ543" s="13"/>
      <c r="AAK543" s="13"/>
      <c r="AAL543" s="13"/>
      <c r="AAM543" s="13"/>
      <c r="AAN543" s="13"/>
      <c r="AAO543" s="13"/>
      <c r="AAP543" s="13"/>
      <c r="AAQ543" s="13"/>
      <c r="AAR543" s="13"/>
      <c r="AAS543" s="13"/>
      <c r="AAT543" s="13"/>
      <c r="AAU543" s="13"/>
      <c r="AAV543" s="13"/>
      <c r="AAW543" s="13"/>
      <c r="AAX543" s="13"/>
      <c r="AAY543" s="13"/>
      <c r="AAZ543" s="13"/>
      <c r="ABA543" s="13"/>
      <c r="ABB543" s="13"/>
      <c r="ABC543" s="13"/>
      <c r="ABD543" s="13"/>
      <c r="ABE543" s="13"/>
      <c r="ABF543" s="13"/>
      <c r="ABG543" s="13"/>
      <c r="ABH543" s="13"/>
      <c r="ABI543" s="13"/>
      <c r="ABJ543" s="13"/>
      <c r="ABK543" s="13"/>
      <c r="ABL543" s="13"/>
      <c r="ABM543" s="13"/>
      <c r="ABN543" s="13"/>
      <c r="ABO543" s="13"/>
      <c r="ABP543" s="13"/>
      <c r="ABQ543" s="13"/>
      <c r="ABR543" s="13"/>
      <c r="ABS543" s="13"/>
      <c r="ABT543" s="13"/>
      <c r="ABU543" s="13"/>
      <c r="ABV543" s="13"/>
      <c r="ABW543" s="13"/>
      <c r="ABX543" s="13"/>
      <c r="ABY543" s="13"/>
      <c r="ABZ543" s="13"/>
      <c r="ACA543" s="13"/>
      <c r="ACB543" s="13"/>
      <c r="ACC543" s="13"/>
      <c r="ACD543" s="13"/>
      <c r="ACE543" s="13"/>
      <c r="ACF543" s="13"/>
      <c r="ACG543" s="13"/>
      <c r="ACH543" s="13"/>
      <c r="ACI543" s="13"/>
      <c r="ACJ543" s="13"/>
      <c r="ACK543" s="13"/>
      <c r="ACL543" s="13"/>
      <c r="ACM543" s="13"/>
      <c r="ACN543" s="13"/>
      <c r="ACO543" s="13"/>
      <c r="ACP543" s="13"/>
      <c r="ACQ543" s="13"/>
      <c r="ACR543" s="13"/>
      <c r="ACS543" s="13"/>
      <c r="ACT543" s="13"/>
      <c r="ACU543" s="13"/>
      <c r="ACV543" s="13"/>
      <c r="ACW543" s="13"/>
      <c r="ACX543" s="13"/>
      <c r="ACY543" s="13"/>
      <c r="ACZ543" s="13"/>
      <c r="ADA543" s="13"/>
      <c r="ADB543" s="13"/>
      <c r="ADC543" s="13"/>
      <c r="ADD543" s="13"/>
      <c r="ADE543" s="13"/>
      <c r="ADF543" s="13"/>
      <c r="ADG543" s="13"/>
      <c r="ADH543" s="13"/>
      <c r="ADI543" s="13"/>
      <c r="ADJ543" s="13"/>
      <c r="ADK543" s="13"/>
      <c r="ADL543" s="13"/>
      <c r="ADM543" s="13"/>
      <c r="ADN543" s="13"/>
      <c r="ADO543" s="13"/>
      <c r="ADP543" s="13"/>
      <c r="ADQ543" s="13"/>
      <c r="ADR543" s="13"/>
      <c r="ADS543" s="13"/>
      <c r="ADT543" s="13"/>
      <c r="ADU543" s="13"/>
      <c r="ADV543" s="13"/>
      <c r="ADW543" s="13"/>
      <c r="ADX543" s="13"/>
      <c r="ADY543" s="13"/>
      <c r="ADZ543" s="13"/>
      <c r="AEA543" s="13"/>
      <c r="AEB543" s="13"/>
      <c r="AEC543" s="13"/>
      <c r="AED543" s="13"/>
      <c r="AEE543" s="13"/>
      <c r="AEF543" s="13"/>
      <c r="AEG543" s="13"/>
      <c r="AEH543" s="13"/>
      <c r="AEI543" s="13"/>
      <c r="AEJ543" s="13"/>
      <c r="AEK543" s="13"/>
      <c r="AEL543" s="13"/>
      <c r="AEM543" s="13"/>
      <c r="AEN543" s="13"/>
      <c r="AEO543" s="13"/>
      <c r="AEP543" s="13"/>
      <c r="AEQ543" s="13"/>
      <c r="AER543" s="13"/>
      <c r="AES543" s="13"/>
      <c r="AET543" s="13"/>
      <c r="AEU543" s="13"/>
      <c r="AEV543" s="13"/>
      <c r="AEW543" s="13"/>
      <c r="AEX543" s="13"/>
      <c r="AEY543" s="13"/>
      <c r="AEZ543" s="13"/>
      <c r="AFA543" s="13"/>
      <c r="AFB543" s="13"/>
      <c r="AFC543" s="13"/>
      <c r="AFD543" s="13"/>
      <c r="AFE543" s="13"/>
      <c r="AFF543" s="13"/>
      <c r="AFG543" s="13"/>
      <c r="AFH543" s="13"/>
      <c r="AFI543" s="13"/>
      <c r="AFJ543" s="13"/>
      <c r="AFK543" s="13"/>
      <c r="AFL543" s="13"/>
      <c r="AFM543" s="13"/>
      <c r="AFN543" s="13"/>
      <c r="AFO543" s="13"/>
      <c r="AFP543" s="13"/>
      <c r="AFQ543" s="13"/>
      <c r="AFR543" s="13"/>
      <c r="AFS543" s="13"/>
      <c r="AFT543" s="13"/>
      <c r="AFU543" s="13"/>
      <c r="AFV543" s="13"/>
      <c r="AFW543" s="13"/>
      <c r="AFX543" s="13"/>
      <c r="AFY543" s="13"/>
      <c r="AFZ543" s="13"/>
      <c r="AGA543" s="13"/>
      <c r="AGB543" s="13"/>
      <c r="AGC543" s="13"/>
      <c r="AGD543" s="13"/>
      <c r="AGE543" s="13"/>
      <c r="AGF543" s="13"/>
      <c r="AGG543" s="13"/>
      <c r="AGH543" s="13"/>
      <c r="AGI543" s="13"/>
      <c r="AGJ543" s="13"/>
      <c r="AGK543" s="13"/>
      <c r="AGL543" s="13"/>
      <c r="AGM543" s="13"/>
      <c r="AGN543" s="13"/>
      <c r="AGO543" s="13"/>
      <c r="AGP543" s="13"/>
      <c r="AGQ543" s="13"/>
      <c r="AGR543" s="13"/>
      <c r="AGS543" s="13"/>
      <c r="AGT543" s="13"/>
      <c r="AGU543" s="13"/>
      <c r="AGV543" s="13"/>
      <c r="AGW543" s="13"/>
      <c r="AGX543" s="13"/>
      <c r="AGY543" s="13"/>
      <c r="AGZ543" s="13"/>
      <c r="AHA543" s="13"/>
      <c r="AHB543" s="13"/>
      <c r="AHC543" s="13"/>
      <c r="AHD543" s="13"/>
      <c r="AHE543" s="13"/>
      <c r="AHF543" s="13"/>
      <c r="AHG543" s="13"/>
      <c r="AHH543" s="13"/>
      <c r="AHI543" s="13"/>
      <c r="AHJ543" s="13"/>
      <c r="AHK543" s="13"/>
      <c r="AHL543" s="13"/>
      <c r="AHM543" s="13"/>
      <c r="AHN543" s="13"/>
      <c r="AHO543" s="13"/>
      <c r="AHP543" s="13"/>
      <c r="AHQ543" s="13"/>
      <c r="AHR543" s="13"/>
      <c r="AHS543" s="13"/>
      <c r="AHT543" s="13"/>
      <c r="AHU543" s="13"/>
      <c r="AHV543" s="13"/>
      <c r="AHW543" s="13"/>
      <c r="AHX543" s="13"/>
      <c r="AHY543" s="13"/>
      <c r="AHZ543" s="13"/>
      <c r="AIA543" s="13"/>
      <c r="AIB543" s="13"/>
      <c r="AIC543" s="13"/>
      <c r="AID543" s="13"/>
      <c r="AIE543" s="13"/>
      <c r="AIF543" s="13"/>
      <c r="AIG543" s="13"/>
      <c r="AIH543" s="13"/>
      <c r="AII543" s="13"/>
      <c r="AIJ543" s="13"/>
      <c r="AIK543" s="13"/>
      <c r="AIL543" s="13"/>
      <c r="AIM543" s="13"/>
      <c r="AIN543" s="13"/>
      <c r="AIO543" s="13"/>
      <c r="AIP543" s="13"/>
      <c r="AIQ543" s="13"/>
      <c r="AIR543" s="13"/>
      <c r="AIS543" s="13"/>
      <c r="AIT543" s="13"/>
      <c r="AIU543" s="13"/>
      <c r="AIV543" s="13"/>
      <c r="AIW543" s="13"/>
      <c r="AIX543" s="13"/>
      <c r="AIY543" s="13"/>
      <c r="AIZ543" s="13"/>
      <c r="AJA543" s="13"/>
      <c r="AJB543" s="13"/>
      <c r="AJC543" s="13"/>
      <c r="AJD543" s="13"/>
      <c r="AJE543" s="13"/>
      <c r="AJF543" s="13"/>
      <c r="AJG543" s="13"/>
      <c r="AJH543" s="13"/>
      <c r="AJI543" s="13"/>
      <c r="AJJ543" s="13"/>
      <c r="AJK543" s="13"/>
      <c r="AJL543" s="13"/>
      <c r="AJM543" s="13"/>
      <c r="AJN543" s="13"/>
      <c r="AJO543" s="13"/>
      <c r="AJP543" s="13"/>
      <c r="AJQ543" s="13"/>
      <c r="AJR543" s="13"/>
      <c r="AJS543" s="13"/>
      <c r="AJT543" s="13"/>
      <c r="AJU543" s="13"/>
      <c r="AJV543" s="13"/>
      <c r="AJW543" s="13"/>
      <c r="AJX543" s="13"/>
      <c r="AJY543" s="13"/>
      <c r="AJZ543" s="13"/>
      <c r="AKA543" s="13"/>
      <c r="AKB543" s="13"/>
      <c r="AKC543" s="13"/>
      <c r="AKD543" s="13"/>
      <c r="AKE543" s="13"/>
      <c r="AKF543" s="13"/>
      <c r="AKG543" s="13"/>
      <c r="AKH543" s="13"/>
      <c r="AKI543" s="13"/>
      <c r="AKJ543" s="13"/>
      <c r="AKK543" s="13"/>
      <c r="AKL543" s="13"/>
      <c r="AKM543" s="13"/>
      <c r="AKN543" s="13"/>
      <c r="AKO543" s="13"/>
      <c r="AKP543" s="13"/>
      <c r="AKQ543" s="13"/>
      <c r="AKR543" s="13"/>
      <c r="AKS543" s="13"/>
      <c r="AKT543" s="13"/>
      <c r="AKU543" s="13"/>
      <c r="AKV543" s="13"/>
      <c r="AKW543" s="13"/>
      <c r="AKX543" s="13"/>
      <c r="AKY543" s="13"/>
      <c r="AKZ543" s="13"/>
      <c r="ALA543" s="13"/>
      <c r="ALB543" s="13"/>
      <c r="ALC543" s="13"/>
      <c r="ALD543" s="13"/>
      <c r="ALE543" s="13"/>
      <c r="ALF543" s="13"/>
      <c r="ALG543" s="13"/>
      <c r="ALH543" s="13"/>
      <c r="ALI543" s="13"/>
      <c r="ALJ543" s="13"/>
      <c r="ALK543" s="13"/>
      <c r="ALL543" s="13"/>
      <c r="ALM543" s="13"/>
      <c r="ALN543" s="13"/>
      <c r="ALO543" s="13"/>
      <c r="ALP543" s="13"/>
      <c r="ALQ543" s="13"/>
      <c r="ALR543" s="13"/>
      <c r="ALS543" s="13"/>
      <c r="ALT543" s="13"/>
      <c r="ALU543" s="13"/>
      <c r="ALV543" s="13"/>
      <c r="ALW543" s="13"/>
      <c r="ALX543" s="13"/>
      <c r="ALY543" s="13"/>
      <c r="ALZ543" s="13"/>
      <c r="AMA543" s="13"/>
      <c r="AMB543" s="13"/>
      <c r="AMC543" s="13"/>
      <c r="AMD543" s="13"/>
      <c r="AME543" s="13"/>
      <c r="AMF543" s="13"/>
      <c r="AMG543" s="13"/>
      <c r="AMH543" s="13"/>
      <c r="AMI543" s="13"/>
      <c r="AMJ543" s="13"/>
      <c r="AMK543" s="13"/>
      <c r="AML543" s="13"/>
      <c r="AMM543" s="13"/>
      <c r="AMN543" s="13"/>
      <c r="AMO543" s="13"/>
      <c r="AMP543" s="13"/>
      <c r="AMQ543" s="13"/>
      <c r="AMR543" s="13"/>
      <c r="AMS543" s="13"/>
      <c r="AMT543" s="13"/>
      <c r="AMU543" s="13"/>
      <c r="AMV543" s="13"/>
      <c r="AMW543" s="13"/>
      <c r="AMX543" s="13"/>
      <c r="AMY543" s="13"/>
      <c r="AMZ543" s="13"/>
      <c r="ANA543" s="13"/>
      <c r="ANB543" s="13"/>
      <c r="ANC543" s="13"/>
      <c r="AND543" s="13"/>
      <c r="ANE543" s="13"/>
      <c r="ANF543" s="13"/>
      <c r="ANG543" s="13"/>
      <c r="ANH543" s="13"/>
      <c r="ANI543" s="13"/>
      <c r="ANJ543" s="13"/>
      <c r="ANK543" s="13"/>
      <c r="ANL543" s="13"/>
      <c r="ANM543" s="13"/>
      <c r="ANN543" s="13"/>
      <c r="ANO543" s="13"/>
      <c r="ANP543" s="13"/>
      <c r="ANQ543" s="13"/>
      <c r="ANR543" s="13"/>
      <c r="ANS543" s="13"/>
      <c r="ANT543" s="13"/>
      <c r="ANU543" s="13"/>
      <c r="ANV543" s="13"/>
      <c r="ANW543" s="13"/>
      <c r="ANX543" s="13"/>
      <c r="ANY543" s="13"/>
      <c r="ANZ543" s="13"/>
      <c r="AOA543" s="13"/>
      <c r="AOB543" s="13"/>
      <c r="AOC543" s="13"/>
      <c r="AOD543" s="13"/>
      <c r="AOE543" s="13"/>
      <c r="AOF543" s="13"/>
      <c r="AOG543" s="13"/>
      <c r="AOH543" s="13"/>
      <c r="AOI543" s="13"/>
      <c r="AOJ543" s="13"/>
      <c r="AOK543" s="13"/>
      <c r="AOL543" s="13"/>
      <c r="AOM543" s="13"/>
      <c r="AON543" s="13"/>
      <c r="AOO543" s="13"/>
      <c r="AOP543" s="13"/>
      <c r="AOQ543" s="13"/>
      <c r="AOR543" s="13"/>
      <c r="AOS543" s="13"/>
      <c r="AOT543" s="13"/>
      <c r="AOU543" s="13"/>
      <c r="AOV543" s="13"/>
      <c r="AOW543" s="13"/>
      <c r="AOX543" s="13"/>
      <c r="AOY543" s="13"/>
      <c r="AOZ543" s="13"/>
      <c r="APA543" s="13"/>
      <c r="APB543" s="13"/>
      <c r="APC543" s="13"/>
      <c r="APD543" s="13"/>
      <c r="APE543" s="13"/>
      <c r="APF543" s="13"/>
      <c r="APG543" s="13"/>
      <c r="APH543" s="13"/>
      <c r="API543" s="13"/>
      <c r="APJ543" s="13"/>
      <c r="APK543" s="13"/>
      <c r="APL543" s="13"/>
      <c r="APM543" s="13"/>
      <c r="APN543" s="13"/>
      <c r="APO543" s="13"/>
      <c r="APP543" s="13"/>
      <c r="APQ543" s="13"/>
      <c r="APR543" s="13"/>
      <c r="APS543" s="13"/>
      <c r="APT543" s="13"/>
      <c r="APU543" s="13"/>
      <c r="APV543" s="13"/>
      <c r="APW543" s="13"/>
      <c r="APX543" s="13"/>
      <c r="APY543" s="13"/>
      <c r="APZ543" s="13"/>
      <c r="AQA543" s="13"/>
      <c r="AQB543" s="13"/>
      <c r="AQC543" s="13"/>
      <c r="AQD543" s="13"/>
      <c r="AQE543" s="13"/>
      <c r="AQF543" s="13"/>
      <c r="AQG543" s="13"/>
      <c r="AQH543" s="13"/>
      <c r="AQI543" s="13"/>
      <c r="AQJ543" s="13"/>
      <c r="AQK543" s="13"/>
      <c r="AQL543" s="13"/>
      <c r="AQM543" s="13"/>
      <c r="AQN543" s="13"/>
      <c r="AQO543" s="13"/>
      <c r="AQP543" s="13"/>
      <c r="AQQ543" s="13"/>
      <c r="AQR543" s="13"/>
      <c r="AQS543" s="13"/>
      <c r="AQT543" s="13"/>
      <c r="AQU543" s="13"/>
      <c r="AQV543" s="13"/>
      <c r="AQW543" s="13"/>
      <c r="AQX543" s="13"/>
      <c r="AQY543" s="13"/>
      <c r="AQZ543" s="13"/>
      <c r="ARA543" s="13"/>
      <c r="ARB543" s="13"/>
      <c r="ARC543" s="13"/>
      <c r="ARD543" s="13"/>
      <c r="ARE543" s="13"/>
      <c r="ARF543" s="13"/>
      <c r="ARG543" s="13"/>
      <c r="ARH543" s="13"/>
      <c r="ARI543" s="13"/>
      <c r="ARJ543" s="13"/>
      <c r="ARK543" s="13"/>
      <c r="ARL543" s="13"/>
      <c r="ARM543" s="13"/>
      <c r="ARN543" s="13"/>
      <c r="ARO543" s="13"/>
      <c r="ARP543" s="13"/>
      <c r="ARQ543" s="13"/>
      <c r="ARR543" s="13"/>
      <c r="ARS543" s="13"/>
      <c r="ART543" s="13"/>
      <c r="ARU543" s="13"/>
      <c r="ARV543" s="13"/>
      <c r="ARW543" s="13"/>
      <c r="ARX543" s="13"/>
      <c r="ARY543" s="13"/>
      <c r="ARZ543" s="13"/>
      <c r="ASA543" s="13"/>
      <c r="ASB543" s="13"/>
      <c r="ASC543" s="13"/>
      <c r="ASD543" s="13"/>
      <c r="ASE543" s="13"/>
      <c r="ASF543" s="13"/>
      <c r="ASG543" s="13"/>
      <c r="ASH543" s="13"/>
      <c r="ASI543" s="13"/>
      <c r="ASJ543" s="13"/>
      <c r="ASK543" s="13"/>
      <c r="ASL543" s="13"/>
      <c r="ASM543" s="13"/>
      <c r="ASN543" s="13"/>
      <c r="ASO543" s="13"/>
      <c r="ASP543" s="13"/>
      <c r="ASQ543" s="13"/>
      <c r="ASR543" s="13"/>
      <c r="ASS543" s="13"/>
      <c r="AST543" s="13"/>
      <c r="ASU543" s="13"/>
      <c r="ASV543" s="13"/>
      <c r="ASW543" s="13"/>
      <c r="ASX543" s="13"/>
      <c r="ASY543" s="13"/>
      <c r="ASZ543" s="13"/>
      <c r="ATA543" s="13"/>
      <c r="ATB543" s="13"/>
      <c r="ATC543" s="13"/>
      <c r="ATD543" s="13"/>
      <c r="ATE543" s="13"/>
      <c r="ATF543" s="13"/>
      <c r="ATG543" s="13"/>
      <c r="ATH543" s="13"/>
      <c r="ATI543" s="13"/>
      <c r="ATJ543" s="13"/>
      <c r="ATK543" s="13"/>
      <c r="ATL543" s="13"/>
      <c r="ATM543" s="13"/>
      <c r="ATN543" s="13"/>
      <c r="ATO543" s="13"/>
      <c r="ATP543" s="13"/>
      <c r="ATQ543" s="13"/>
      <c r="ATR543" s="13"/>
      <c r="ATS543" s="13"/>
      <c r="ATT543" s="13"/>
      <c r="ATU543" s="13"/>
      <c r="ATV543" s="13"/>
      <c r="ATW543" s="13"/>
      <c r="ATX543" s="13"/>
      <c r="ATY543" s="13"/>
      <c r="ATZ543" s="13"/>
      <c r="AUA543" s="13"/>
      <c r="AUB543" s="13"/>
      <c r="AUC543" s="13"/>
      <c r="AUD543" s="13"/>
      <c r="AUE543" s="13"/>
      <c r="AUF543" s="13"/>
      <c r="AUG543" s="13"/>
      <c r="AUH543" s="13"/>
      <c r="AUI543" s="13"/>
      <c r="AUJ543" s="13"/>
      <c r="AUK543" s="13"/>
      <c r="AUL543" s="13"/>
      <c r="AUM543" s="13"/>
      <c r="AUN543" s="13"/>
      <c r="AUO543" s="13"/>
      <c r="AUP543" s="13"/>
      <c r="AUQ543" s="13"/>
      <c r="AUR543" s="13"/>
      <c r="AUS543" s="13"/>
      <c r="AUT543" s="13"/>
      <c r="AUU543" s="13"/>
      <c r="AUV543" s="13"/>
      <c r="AUW543" s="13"/>
      <c r="AUX543" s="13"/>
      <c r="AUY543" s="13"/>
      <c r="AUZ543" s="13"/>
      <c r="AVA543" s="13"/>
      <c r="AVB543" s="13"/>
      <c r="AVC543" s="13"/>
      <c r="AVD543" s="13"/>
      <c r="AVE543" s="13"/>
      <c r="AVF543" s="13"/>
      <c r="AVG543" s="13"/>
      <c r="AVH543" s="13"/>
      <c r="AVI543" s="13"/>
      <c r="AVJ543" s="13"/>
      <c r="AVK543" s="13"/>
      <c r="AVL543" s="13"/>
      <c r="AVM543" s="13"/>
      <c r="AVN543" s="13"/>
      <c r="AVO543" s="13"/>
      <c r="AVP543" s="13"/>
      <c r="AVQ543" s="13"/>
      <c r="AVR543" s="13"/>
      <c r="AVS543" s="13"/>
      <c r="AVT543" s="13"/>
      <c r="AVU543" s="13"/>
      <c r="AVV543" s="13"/>
      <c r="AVW543" s="13"/>
      <c r="AVX543" s="13"/>
      <c r="AVY543" s="13"/>
      <c r="AVZ543" s="13"/>
      <c r="AWA543" s="13"/>
      <c r="AWB543" s="13"/>
      <c r="AWC543" s="13"/>
      <c r="AWD543" s="13"/>
      <c r="AWE543" s="13"/>
      <c r="AWF543" s="13"/>
      <c r="AWG543" s="13"/>
      <c r="AWH543" s="13"/>
      <c r="AWI543" s="13"/>
      <c r="AWJ543" s="13"/>
      <c r="AWK543" s="13"/>
      <c r="AWL543" s="13"/>
      <c r="AWM543" s="13"/>
      <c r="AWN543" s="13"/>
      <c r="AWO543" s="13"/>
      <c r="AWP543" s="13"/>
      <c r="AWQ543" s="13"/>
      <c r="AWR543" s="13"/>
      <c r="AWS543" s="13"/>
      <c r="AWT543" s="13"/>
      <c r="AWU543" s="13"/>
      <c r="AWV543" s="13"/>
      <c r="AWW543" s="13"/>
      <c r="AWX543" s="13"/>
      <c r="AWY543" s="13"/>
      <c r="AWZ543" s="13"/>
      <c r="AXA543" s="13"/>
      <c r="AXB543" s="13"/>
      <c r="AXC543" s="13"/>
      <c r="AXD543" s="13"/>
      <c r="AXE543" s="13"/>
      <c r="AXF543" s="13"/>
      <c r="AXG543" s="13"/>
      <c r="AXH543" s="13"/>
      <c r="AXI543" s="13"/>
      <c r="AXJ543" s="13"/>
      <c r="AXK543" s="13"/>
      <c r="AXL543" s="13"/>
      <c r="AXM543" s="13"/>
      <c r="AXN543" s="13"/>
      <c r="AXO543" s="13"/>
      <c r="AXP543" s="13"/>
      <c r="AXQ543" s="13"/>
      <c r="AXR543" s="13"/>
      <c r="AXS543" s="13"/>
      <c r="AXT543" s="13"/>
      <c r="AXU543" s="13"/>
      <c r="AXV543" s="13"/>
      <c r="AXW543" s="13"/>
      <c r="AXX543" s="13"/>
      <c r="AXY543" s="13"/>
      <c r="AXZ543" s="13"/>
      <c r="AYA543" s="13"/>
      <c r="AYB543" s="13"/>
      <c r="AYC543" s="13"/>
      <c r="AYD543" s="13"/>
      <c r="AYE543" s="13"/>
      <c r="AYF543" s="13"/>
      <c r="AYG543" s="13"/>
      <c r="AYH543" s="13"/>
      <c r="AYI543" s="13"/>
      <c r="AYJ543" s="13"/>
      <c r="AYK543" s="13"/>
      <c r="AYL543" s="13"/>
      <c r="AYM543" s="13"/>
      <c r="AYN543" s="13"/>
      <c r="AYO543" s="13"/>
      <c r="AYP543" s="13"/>
      <c r="AYQ543" s="13"/>
      <c r="AYR543" s="13"/>
      <c r="AYS543" s="13"/>
      <c r="AYT543" s="13"/>
      <c r="AYU543" s="13"/>
      <c r="AYV543" s="13"/>
      <c r="AYW543" s="13"/>
      <c r="AYX543" s="13"/>
      <c r="AYY543" s="13"/>
      <c r="AYZ543" s="13"/>
      <c r="AZA543" s="13"/>
      <c r="AZB543" s="13"/>
      <c r="AZC543" s="13"/>
      <c r="AZD543" s="13"/>
      <c r="AZE543" s="13"/>
      <c r="AZF543" s="13"/>
      <c r="AZG543" s="13"/>
      <c r="AZH543" s="13"/>
      <c r="AZI543" s="13"/>
      <c r="AZJ543" s="13"/>
      <c r="AZK543" s="13"/>
      <c r="AZL543" s="13"/>
      <c r="AZM543" s="13"/>
      <c r="AZN543" s="13"/>
      <c r="AZO543" s="13"/>
      <c r="AZP543" s="13"/>
      <c r="AZQ543" s="13"/>
      <c r="AZR543" s="13"/>
      <c r="AZS543" s="13"/>
      <c r="AZT543" s="13"/>
      <c r="AZU543" s="13"/>
      <c r="AZV543" s="13"/>
      <c r="AZW543" s="13"/>
      <c r="AZX543" s="13"/>
      <c r="AZY543" s="13"/>
      <c r="AZZ543" s="13"/>
      <c r="BAA543" s="13"/>
      <c r="BAB543" s="13"/>
      <c r="BAC543" s="13"/>
      <c r="BAD543" s="13"/>
      <c r="BAE543" s="13"/>
      <c r="BAF543" s="13"/>
      <c r="BAG543" s="13"/>
      <c r="BAH543" s="13"/>
      <c r="BAI543" s="13"/>
      <c r="BAJ543" s="13"/>
      <c r="BAK543" s="13"/>
      <c r="BAL543" s="13"/>
      <c r="BAM543" s="13"/>
      <c r="BAN543" s="13"/>
      <c r="BAO543" s="13"/>
      <c r="BAP543" s="13"/>
      <c r="BAQ543" s="13"/>
      <c r="BAR543" s="13"/>
      <c r="BAS543" s="13"/>
      <c r="BAT543" s="13"/>
      <c r="BAU543" s="13"/>
      <c r="BAV543" s="13"/>
      <c r="BAW543" s="13"/>
      <c r="BAX543" s="13"/>
      <c r="BAY543" s="13"/>
      <c r="BAZ543" s="13"/>
      <c r="BBA543" s="13"/>
      <c r="BBB543" s="13"/>
      <c r="BBC543" s="13"/>
      <c r="BBD543" s="13"/>
      <c r="BBE543" s="13"/>
      <c r="BBF543" s="13"/>
      <c r="BBG543" s="13"/>
      <c r="BBH543" s="13"/>
      <c r="BBI543" s="13"/>
      <c r="BBJ543" s="13"/>
      <c r="BBK543" s="13"/>
      <c r="BBL543" s="13"/>
      <c r="BBM543" s="13"/>
      <c r="BBN543" s="13"/>
      <c r="BBO543" s="13"/>
      <c r="BBP543" s="13"/>
      <c r="BBQ543" s="13"/>
      <c r="BBR543" s="13"/>
      <c r="BBS543" s="13"/>
      <c r="BBT543" s="13"/>
      <c r="BBU543" s="13"/>
      <c r="BBV543" s="13"/>
      <c r="BBW543" s="13"/>
      <c r="BBX543" s="13"/>
      <c r="BBY543" s="13"/>
      <c r="BBZ543" s="13"/>
      <c r="BCA543" s="13"/>
      <c r="BCB543" s="13"/>
      <c r="BCC543" s="13"/>
      <c r="BCD543" s="13"/>
      <c r="BCE543" s="13"/>
      <c r="BCF543" s="13"/>
      <c r="BCG543" s="13"/>
      <c r="BCH543" s="13"/>
      <c r="BCI543" s="13"/>
      <c r="BCJ543" s="13"/>
      <c r="BCK543" s="13"/>
      <c r="BCL543" s="13"/>
      <c r="BCM543" s="13"/>
      <c r="BCN543" s="13"/>
      <c r="BCO543" s="13"/>
      <c r="BCP543" s="13"/>
      <c r="BCQ543" s="13"/>
      <c r="BCR543" s="13"/>
      <c r="BCS543" s="13"/>
      <c r="BCT543" s="13"/>
      <c r="BCU543" s="13"/>
      <c r="BCV543" s="13"/>
      <c r="BCW543" s="13"/>
      <c r="BCX543" s="13"/>
      <c r="BCY543" s="13"/>
      <c r="BCZ543" s="13"/>
      <c r="BDA543" s="13"/>
      <c r="BDB543" s="13"/>
      <c r="BDC543" s="13"/>
      <c r="BDD543" s="13"/>
      <c r="BDE543" s="13"/>
      <c r="BDF543" s="13"/>
      <c r="BDG543" s="13"/>
      <c r="BDH543" s="13"/>
      <c r="BDI543" s="13"/>
      <c r="BDJ543" s="13"/>
      <c r="BDK543" s="13"/>
      <c r="BDL543" s="13"/>
      <c r="BDM543" s="13"/>
      <c r="BDN543" s="13"/>
      <c r="BDO543" s="13"/>
      <c r="BDP543" s="13"/>
      <c r="BDQ543" s="13"/>
      <c r="BDR543" s="13"/>
      <c r="BDS543" s="13"/>
      <c r="BDT543" s="13"/>
      <c r="BDU543" s="13"/>
      <c r="BDV543" s="13"/>
      <c r="BDW543" s="13"/>
      <c r="BDX543" s="13"/>
      <c r="BDY543" s="13"/>
      <c r="BDZ543" s="13"/>
      <c r="BEA543" s="13"/>
      <c r="BEB543" s="13"/>
      <c r="BEC543" s="13"/>
      <c r="BED543" s="13"/>
      <c r="BEE543" s="13"/>
      <c r="BEF543" s="13"/>
      <c r="BEG543" s="13"/>
      <c r="BEH543" s="13"/>
      <c r="BEI543" s="13"/>
      <c r="BEJ543" s="13"/>
      <c r="BEK543" s="13"/>
      <c r="BEL543" s="13"/>
      <c r="BEM543" s="13"/>
      <c r="BEN543" s="13"/>
      <c r="BEO543" s="13"/>
      <c r="BEP543" s="13"/>
      <c r="BEQ543" s="13"/>
      <c r="BER543" s="13"/>
      <c r="BES543" s="13"/>
      <c r="BET543" s="13"/>
      <c r="BEU543" s="13"/>
      <c r="BEV543" s="13"/>
      <c r="BEW543" s="13"/>
      <c r="BEX543" s="13"/>
      <c r="BEY543" s="13"/>
      <c r="BEZ543" s="13"/>
      <c r="BFA543" s="13"/>
      <c r="BFB543" s="13"/>
      <c r="BFC543" s="13"/>
      <c r="BFD543" s="13"/>
      <c r="BFE543" s="13"/>
      <c r="BFF543" s="13"/>
      <c r="BFG543" s="13"/>
      <c r="BFH543" s="13"/>
      <c r="BFI543" s="13"/>
      <c r="BFJ543" s="13"/>
      <c r="BFK543" s="13"/>
      <c r="BFL543" s="13"/>
      <c r="BFM543" s="13"/>
      <c r="BFN543" s="13"/>
      <c r="BFO543" s="13"/>
      <c r="BFP543" s="13"/>
      <c r="BFQ543" s="13"/>
      <c r="BFR543" s="13"/>
      <c r="BFS543" s="13"/>
      <c r="BFT543" s="13"/>
      <c r="BFU543" s="13"/>
      <c r="BFV543" s="13"/>
      <c r="BFW543" s="13"/>
      <c r="BFX543" s="13"/>
      <c r="BFY543" s="13"/>
      <c r="BFZ543" s="13"/>
      <c r="BGA543" s="13"/>
      <c r="BGB543" s="13"/>
      <c r="BGC543" s="13"/>
      <c r="BGD543" s="13"/>
      <c r="BGE543" s="13"/>
      <c r="BGF543" s="13"/>
      <c r="BGG543" s="13"/>
      <c r="BGH543" s="13"/>
      <c r="BGI543" s="13"/>
      <c r="BGJ543" s="13"/>
      <c r="BGK543" s="13"/>
      <c r="BGL543" s="13"/>
      <c r="BGM543" s="13"/>
      <c r="BGN543" s="13"/>
      <c r="BGO543" s="13"/>
      <c r="BGP543" s="13"/>
      <c r="BGQ543" s="13"/>
      <c r="BGR543" s="13"/>
      <c r="BGS543" s="13"/>
      <c r="BGT543" s="13"/>
      <c r="BGU543" s="13"/>
      <c r="BGV543" s="13"/>
      <c r="BGW543" s="13"/>
      <c r="BGX543" s="13"/>
      <c r="BGY543" s="13"/>
      <c r="BGZ543" s="13"/>
      <c r="BHA543" s="13"/>
      <c r="BHB543" s="13"/>
      <c r="BHC543" s="13"/>
      <c r="BHD543" s="13"/>
      <c r="BHE543" s="13"/>
      <c r="BHF543" s="13"/>
      <c r="BHG543" s="13"/>
      <c r="BHH543" s="13"/>
      <c r="BHI543" s="13"/>
      <c r="BHJ543" s="13"/>
      <c r="BHK543" s="13"/>
      <c r="BHL543" s="13"/>
      <c r="BHM543" s="13"/>
      <c r="BHN543" s="13"/>
      <c r="BHO543" s="13"/>
      <c r="BHP543" s="13"/>
      <c r="BHQ543" s="13"/>
      <c r="BHR543" s="13"/>
      <c r="BHS543" s="13"/>
      <c r="BHT543" s="13"/>
      <c r="BHU543" s="13"/>
      <c r="BHV543" s="13"/>
      <c r="BHW543" s="13"/>
      <c r="BHX543" s="13"/>
      <c r="BHY543" s="13"/>
      <c r="BHZ543" s="13"/>
      <c r="BIA543" s="13"/>
      <c r="BIB543" s="13"/>
      <c r="BIC543" s="13"/>
      <c r="BID543" s="13"/>
      <c r="BIE543" s="13"/>
      <c r="BIF543" s="13"/>
      <c r="BIG543" s="13"/>
      <c r="BIH543" s="13"/>
      <c r="BII543" s="13"/>
      <c r="BIJ543" s="13"/>
      <c r="BIK543" s="13"/>
      <c r="BIL543" s="13"/>
      <c r="BIM543" s="13"/>
      <c r="BIN543" s="13"/>
      <c r="BIO543" s="13"/>
      <c r="BIP543" s="13"/>
      <c r="BIQ543" s="13"/>
      <c r="BIR543" s="13"/>
      <c r="BIS543" s="13"/>
      <c r="BIT543" s="13"/>
      <c r="BIU543" s="13"/>
      <c r="BIV543" s="13"/>
      <c r="BIW543" s="13"/>
      <c r="BIX543" s="13"/>
      <c r="BIY543" s="13"/>
      <c r="BIZ543" s="13"/>
      <c r="BJA543" s="13"/>
      <c r="BJB543" s="13"/>
      <c r="BJC543" s="13"/>
      <c r="BJD543" s="13"/>
      <c r="BJE543" s="13"/>
      <c r="BJF543" s="13"/>
      <c r="BJG543" s="13"/>
      <c r="BJH543" s="13"/>
      <c r="BJI543" s="13"/>
      <c r="BJJ543" s="13"/>
      <c r="BJK543" s="13"/>
      <c r="BJL543" s="13"/>
      <c r="BJM543" s="13"/>
      <c r="BJN543" s="13"/>
      <c r="BJO543" s="13"/>
      <c r="BJP543" s="13"/>
      <c r="BJQ543" s="13"/>
      <c r="BJR543" s="13"/>
      <c r="BJS543" s="13"/>
      <c r="BJT543" s="13"/>
      <c r="BJU543" s="13"/>
      <c r="BJV543" s="13"/>
      <c r="BJW543" s="13"/>
      <c r="BJX543" s="13"/>
      <c r="BJY543" s="13"/>
      <c r="BJZ543" s="13"/>
      <c r="BKA543" s="13"/>
      <c r="BKB543" s="13"/>
      <c r="BKC543" s="13"/>
      <c r="BKD543" s="13"/>
      <c r="BKE543" s="13"/>
      <c r="BKF543" s="13"/>
      <c r="BKG543" s="13"/>
      <c r="BKH543" s="13"/>
      <c r="BKI543" s="13"/>
      <c r="BKJ543" s="13"/>
      <c r="BKK543" s="13"/>
      <c r="BKL543" s="13"/>
      <c r="BKM543" s="13"/>
      <c r="BKN543" s="13"/>
      <c r="BKO543" s="13"/>
      <c r="BKP543" s="13"/>
      <c r="BKQ543" s="13"/>
      <c r="BKR543" s="13"/>
      <c r="BKS543" s="13"/>
      <c r="BKT543" s="13"/>
      <c r="BKU543" s="13"/>
      <c r="BKV543" s="13"/>
      <c r="BKW543" s="13"/>
      <c r="BKX543" s="13"/>
      <c r="BKY543" s="13"/>
      <c r="BKZ543" s="13"/>
      <c r="BLA543" s="13"/>
      <c r="BLB543" s="13"/>
      <c r="BLC543" s="13"/>
      <c r="BLD543" s="13"/>
      <c r="BLE543" s="13"/>
      <c r="BLF543" s="13"/>
      <c r="BLG543" s="13"/>
      <c r="BLH543" s="13"/>
      <c r="BLI543" s="13"/>
      <c r="BLJ543" s="13"/>
      <c r="BLK543" s="13"/>
      <c r="BLL543" s="13"/>
      <c r="BLM543" s="13"/>
      <c r="BLN543" s="13"/>
      <c r="BLO543" s="13"/>
      <c r="BLP543" s="13"/>
      <c r="BLQ543" s="13"/>
      <c r="BLR543" s="13"/>
      <c r="BLS543" s="13"/>
      <c r="BLT543" s="13"/>
      <c r="BLU543" s="13"/>
      <c r="BLV543" s="13"/>
      <c r="BLW543" s="13"/>
      <c r="BLX543" s="13"/>
      <c r="BLY543" s="13"/>
      <c r="BLZ543" s="13"/>
      <c r="BMA543" s="13"/>
      <c r="BMB543" s="13"/>
      <c r="BMC543" s="13"/>
      <c r="BMD543" s="13"/>
      <c r="BME543" s="13"/>
      <c r="BMF543" s="13"/>
      <c r="BMG543" s="13"/>
      <c r="BMH543" s="13"/>
      <c r="BMI543" s="13"/>
      <c r="BMJ543" s="13"/>
      <c r="BMK543" s="13"/>
      <c r="BML543" s="13"/>
      <c r="BMM543" s="13"/>
      <c r="BMN543" s="13"/>
      <c r="BMO543" s="13"/>
      <c r="BMP543" s="13"/>
      <c r="BMQ543" s="13"/>
      <c r="BMR543" s="13"/>
      <c r="BMS543" s="13"/>
      <c r="BMT543" s="13"/>
      <c r="BMU543" s="13"/>
      <c r="BMV543" s="13"/>
      <c r="BMW543" s="13"/>
      <c r="BMX543" s="13"/>
      <c r="BMY543" s="13"/>
      <c r="BMZ543" s="13"/>
      <c r="BNA543" s="13"/>
      <c r="BNB543" s="13"/>
      <c r="BNC543" s="13"/>
      <c r="BND543" s="13"/>
      <c r="BNE543" s="13"/>
      <c r="BNF543" s="13"/>
      <c r="BNG543" s="13"/>
      <c r="BNH543" s="13"/>
      <c r="BNI543" s="13"/>
      <c r="BNJ543" s="13"/>
      <c r="BNK543" s="13"/>
      <c r="BNL543" s="13"/>
      <c r="BNM543" s="13"/>
      <c r="BNN543" s="13"/>
      <c r="BNO543" s="13"/>
      <c r="BNP543" s="13"/>
      <c r="BNQ543" s="13"/>
      <c r="BNR543" s="13"/>
      <c r="BNS543" s="13"/>
      <c r="BNT543" s="13"/>
      <c r="BNU543" s="13"/>
      <c r="BNV543" s="13"/>
      <c r="BNW543" s="13"/>
      <c r="BNX543" s="13"/>
      <c r="BNY543" s="13"/>
      <c r="BNZ543" s="13"/>
      <c r="BOA543" s="13"/>
      <c r="BOB543" s="13"/>
      <c r="BOC543" s="13"/>
      <c r="BOD543" s="13"/>
      <c r="BOE543" s="13"/>
      <c r="BOF543" s="13"/>
      <c r="BOG543" s="13"/>
      <c r="BOH543" s="13"/>
      <c r="BOI543" s="13"/>
      <c r="BOJ543" s="13"/>
      <c r="BOK543" s="13"/>
      <c r="BOL543" s="13"/>
      <c r="BOM543" s="13"/>
      <c r="BON543" s="13"/>
      <c r="BOO543" s="13"/>
      <c r="BOP543" s="13"/>
      <c r="BOQ543" s="13"/>
      <c r="BOR543" s="13"/>
      <c r="BOS543" s="13"/>
      <c r="BOT543" s="13"/>
      <c r="BOU543" s="13"/>
      <c r="BOV543" s="13"/>
      <c r="BOW543" s="13"/>
      <c r="BOX543" s="13"/>
      <c r="BOY543" s="13"/>
      <c r="BOZ543" s="13"/>
      <c r="BPA543" s="13"/>
      <c r="BPB543" s="13"/>
      <c r="BPC543" s="13"/>
      <c r="BPD543" s="13"/>
      <c r="BPE543" s="13"/>
      <c r="BPF543" s="13"/>
      <c r="BPG543" s="13"/>
      <c r="BPH543" s="13"/>
      <c r="BPI543" s="13"/>
      <c r="BPJ543" s="13"/>
      <c r="BPK543" s="13"/>
      <c r="BPL543" s="13"/>
      <c r="BPM543" s="13"/>
      <c r="BPN543" s="13"/>
      <c r="BPO543" s="13"/>
      <c r="BPP543" s="13"/>
      <c r="BPQ543" s="13"/>
      <c r="BPR543" s="13"/>
      <c r="BPS543" s="13"/>
      <c r="BPT543" s="13"/>
      <c r="BPU543" s="13"/>
      <c r="BPV543" s="13"/>
      <c r="BPW543" s="13"/>
      <c r="BPX543" s="13"/>
      <c r="BPY543" s="13"/>
      <c r="BPZ543" s="13"/>
      <c r="BQA543" s="13"/>
      <c r="BQB543" s="13"/>
      <c r="BQC543" s="13"/>
      <c r="BQD543" s="13"/>
      <c r="BQE543" s="13"/>
      <c r="BQF543" s="13"/>
      <c r="BQG543" s="13"/>
      <c r="BQH543" s="13"/>
      <c r="BQI543" s="13"/>
      <c r="BQJ543" s="13"/>
      <c r="BQK543" s="13"/>
      <c r="BQL543" s="13"/>
      <c r="BQM543" s="13"/>
      <c r="BQN543" s="13"/>
      <c r="BQO543" s="13"/>
      <c r="BQP543" s="13"/>
      <c r="BQQ543" s="13"/>
      <c r="BQR543" s="13"/>
      <c r="BQS543" s="13"/>
      <c r="BQT543" s="13"/>
      <c r="BQU543" s="13"/>
      <c r="BQV543" s="13"/>
      <c r="BQW543" s="13"/>
      <c r="BQX543" s="13"/>
      <c r="BQY543" s="13"/>
      <c r="BQZ543" s="13"/>
      <c r="BRA543" s="13"/>
      <c r="BRB543" s="13"/>
      <c r="BRC543" s="13"/>
      <c r="BRD543" s="13"/>
      <c r="BRE543" s="13"/>
      <c r="BRF543" s="13"/>
      <c r="BRG543" s="13"/>
      <c r="BRH543" s="13"/>
      <c r="BRI543" s="13"/>
      <c r="BRJ543" s="13"/>
      <c r="BRK543" s="13"/>
      <c r="BRL543" s="13"/>
      <c r="BRM543" s="13"/>
      <c r="BRN543" s="13"/>
      <c r="BRO543" s="13"/>
      <c r="BRP543" s="13"/>
      <c r="BRQ543" s="13"/>
      <c r="BRR543" s="13"/>
      <c r="BRS543" s="13"/>
      <c r="BRT543" s="13"/>
      <c r="BRU543" s="13"/>
      <c r="BRV543" s="13"/>
      <c r="BRW543" s="13"/>
      <c r="BRX543" s="13"/>
      <c r="BRY543" s="13"/>
      <c r="BRZ543" s="13"/>
      <c r="BSA543" s="13"/>
      <c r="BSB543" s="13"/>
      <c r="BSC543" s="13"/>
      <c r="BSD543" s="13"/>
      <c r="BSE543" s="13"/>
      <c r="BSF543" s="13"/>
      <c r="BSG543" s="13"/>
      <c r="BSH543" s="13"/>
      <c r="BSI543" s="13"/>
      <c r="BSJ543" s="13"/>
      <c r="BSK543" s="13"/>
      <c r="BSL543" s="13"/>
      <c r="BSM543" s="13"/>
      <c r="BSN543" s="13"/>
      <c r="BSO543" s="13"/>
      <c r="BSP543" s="13"/>
      <c r="BSQ543" s="13"/>
      <c r="BSR543" s="13"/>
      <c r="BSS543" s="13"/>
      <c r="BST543" s="13"/>
      <c r="BSU543" s="13"/>
      <c r="BSV543" s="13"/>
      <c r="BSW543" s="13"/>
      <c r="BSX543" s="13"/>
      <c r="BSY543" s="13"/>
      <c r="BSZ543" s="13"/>
      <c r="BTA543" s="13"/>
    </row>
    <row r="544" spans="1:1873" s="23" customFormat="1" x14ac:dyDescent="0.2">
      <c r="A544" s="223" t="s">
        <v>785</v>
      </c>
      <c r="B544" s="223" t="s">
        <v>786</v>
      </c>
      <c r="C544" s="223" t="s">
        <v>1026</v>
      </c>
      <c r="D544" s="223" t="s">
        <v>619</v>
      </c>
      <c r="E544" s="241" t="s">
        <v>1444</v>
      </c>
      <c r="F544" s="241">
        <v>1</v>
      </c>
      <c r="G544" s="223">
        <v>8</v>
      </c>
      <c r="H544" s="242">
        <v>8</v>
      </c>
      <c r="I544" s="223" t="s">
        <v>954</v>
      </c>
      <c r="J544" s="223">
        <v>1981</v>
      </c>
      <c r="K544" s="223" t="s">
        <v>957</v>
      </c>
      <c r="L544" s="223">
        <v>1988</v>
      </c>
      <c r="M544" s="243">
        <v>-9999</v>
      </c>
      <c r="N544" s="223">
        <v>-9999</v>
      </c>
      <c r="O544" s="29"/>
      <c r="P544" s="285">
        <f t="shared" si="42"/>
        <v>75.2</v>
      </c>
      <c r="Q544" s="223">
        <v>-9999</v>
      </c>
      <c r="R544" s="243"/>
      <c r="S544" s="223"/>
      <c r="T544" s="243">
        <v>9.4</v>
      </c>
      <c r="U544" s="243">
        <v>1.8</v>
      </c>
      <c r="V544" s="243"/>
      <c r="W544" s="244">
        <f>+P544-P543</f>
        <v>-4.5999999999999943</v>
      </c>
      <c r="X544" s="223">
        <v>-9999</v>
      </c>
      <c r="Y544" s="223"/>
      <c r="Z544" s="223" t="s">
        <v>75</v>
      </c>
      <c r="AA544" s="245">
        <v>5000</v>
      </c>
      <c r="AB544" s="243">
        <v>0.79</v>
      </c>
      <c r="AC544" s="223">
        <v>-9999</v>
      </c>
      <c r="AD544" s="223">
        <f t="shared" si="40"/>
        <v>400</v>
      </c>
      <c r="AE544" s="404" t="s">
        <v>1952</v>
      </c>
      <c r="AF544" s="223">
        <v>4</v>
      </c>
      <c r="AG544" s="223">
        <v>2</v>
      </c>
      <c r="AH544" s="223" t="s">
        <v>623</v>
      </c>
      <c r="AI544" s="223">
        <v>-9999</v>
      </c>
      <c r="AJ544" s="223">
        <v>-9999</v>
      </c>
      <c r="AK544" s="223" t="s">
        <v>626</v>
      </c>
      <c r="AL544" s="223" t="s">
        <v>653</v>
      </c>
      <c r="AM544" s="223">
        <v>-9999</v>
      </c>
      <c r="AN544" s="223" t="s">
        <v>626</v>
      </c>
      <c r="AO544" s="223">
        <v>-9999</v>
      </c>
      <c r="AP544" s="223" t="s">
        <v>789</v>
      </c>
      <c r="AQ544" s="223" t="s">
        <v>631</v>
      </c>
      <c r="AR544" s="223">
        <v>0</v>
      </c>
      <c r="AS544" s="223">
        <v>-9999</v>
      </c>
      <c r="AT544" s="223">
        <v>-9999</v>
      </c>
      <c r="AU544" s="223">
        <v>0</v>
      </c>
      <c r="AV544" s="223">
        <v>-9999</v>
      </c>
      <c r="AW544" s="223">
        <v>-9999</v>
      </c>
      <c r="AX544" s="223">
        <v>0</v>
      </c>
      <c r="AY544" s="223">
        <v>-9999</v>
      </c>
      <c r="AZ544" s="223">
        <v>-9999</v>
      </c>
      <c r="BA544" s="223" t="s">
        <v>794</v>
      </c>
      <c r="BB544" s="223" t="s">
        <v>626</v>
      </c>
      <c r="BC544" s="223" t="s">
        <v>795</v>
      </c>
      <c r="BD544" s="223" t="s">
        <v>796</v>
      </c>
      <c r="BE544" s="223"/>
      <c r="BF544" s="223"/>
      <c r="BG544" s="223"/>
      <c r="BH544" s="223">
        <v>-9999</v>
      </c>
      <c r="BI544" s="223">
        <v>-9999</v>
      </c>
      <c r="BJ544" s="223">
        <v>-9999</v>
      </c>
      <c r="BK544" s="223">
        <v>-9999</v>
      </c>
      <c r="BL544" s="223">
        <v>-9999</v>
      </c>
      <c r="BM544" s="223">
        <v>-9999</v>
      </c>
      <c r="BN544" s="223">
        <v>-9999</v>
      </c>
      <c r="BO544" s="223">
        <v>-9999</v>
      </c>
      <c r="BP544" s="223">
        <v>-9999</v>
      </c>
      <c r="BQ544" s="223">
        <v>-9999</v>
      </c>
      <c r="BR544" s="223">
        <v>-9999</v>
      </c>
      <c r="BS544" s="242">
        <v>-9999</v>
      </c>
      <c r="BT544" s="223">
        <v>-9999</v>
      </c>
      <c r="BU544" s="223">
        <v>-9999</v>
      </c>
      <c r="BV544" s="223">
        <v>-9999</v>
      </c>
      <c r="BW544" s="223"/>
      <c r="BX544" s="223">
        <v>-9999</v>
      </c>
      <c r="BY544" s="223">
        <v>-9999</v>
      </c>
      <c r="BZ544" s="223">
        <v>-9999</v>
      </c>
      <c r="CA544" s="332" t="s">
        <v>797</v>
      </c>
      <c r="CB544" s="247"/>
      <c r="CC544" s="83">
        <v>1</v>
      </c>
      <c r="CD544" s="32">
        <v>8</v>
      </c>
      <c r="CE544" s="292">
        <v>9.4</v>
      </c>
      <c r="CF544" s="292">
        <v>-4.5999999999999943</v>
      </c>
      <c r="CG544" s="84">
        <v>8</v>
      </c>
    </row>
    <row r="545" spans="1:1873" s="23" customFormat="1" x14ac:dyDescent="0.2">
      <c r="A545" s="223"/>
      <c r="B545" s="223"/>
      <c r="C545" s="223"/>
      <c r="D545" s="223"/>
      <c r="E545" s="241"/>
      <c r="F545" s="241"/>
      <c r="G545" s="223"/>
      <c r="H545" s="242"/>
      <c r="I545" s="223"/>
      <c r="J545" s="223"/>
      <c r="K545" s="223"/>
      <c r="L545" s="223"/>
      <c r="M545" s="243"/>
      <c r="N545" s="223"/>
      <c r="O545" s="29"/>
      <c r="P545" s="243"/>
      <c r="Q545" s="223"/>
      <c r="R545" s="243"/>
      <c r="S545" s="223"/>
      <c r="T545" s="243"/>
      <c r="U545" s="243"/>
      <c r="V545" s="243"/>
      <c r="W545" s="243"/>
      <c r="X545" s="223"/>
      <c r="Y545" s="223"/>
      <c r="Z545" s="223"/>
      <c r="AA545" s="245"/>
      <c r="AB545" s="243"/>
      <c r="AC545" s="223"/>
      <c r="AD545" s="223"/>
      <c r="AE545" s="223"/>
      <c r="AF545" s="223"/>
      <c r="AG545" s="223"/>
      <c r="AH545" s="223"/>
      <c r="AI545" s="223"/>
      <c r="AJ545" s="223"/>
      <c r="AK545" s="223"/>
      <c r="AL545" s="223"/>
      <c r="AM545" s="223"/>
      <c r="AN545" s="223"/>
      <c r="AO545" s="223"/>
      <c r="AP545" s="223"/>
      <c r="AQ545" s="223"/>
      <c r="AR545" s="223"/>
      <c r="AS545" s="223"/>
      <c r="AT545" s="223"/>
      <c r="AU545" s="223"/>
      <c r="AV545" s="223"/>
      <c r="AW545" s="223"/>
      <c r="AX545" s="223"/>
      <c r="AY545" s="223"/>
      <c r="AZ545" s="223"/>
      <c r="BA545" s="223"/>
      <c r="BB545" s="223"/>
      <c r="BC545" s="223"/>
      <c r="BD545" s="223"/>
      <c r="BE545" s="223"/>
      <c r="BF545" s="223"/>
      <c r="BG545" s="223"/>
      <c r="BH545" s="223"/>
      <c r="BI545" s="223"/>
      <c r="BJ545" s="223"/>
      <c r="BK545" s="223"/>
      <c r="BL545" s="223"/>
      <c r="BM545" s="223"/>
      <c r="BN545" s="223"/>
      <c r="BO545" s="223"/>
      <c r="BP545" s="223"/>
      <c r="BQ545" s="223"/>
      <c r="BR545" s="223"/>
      <c r="BS545" s="242"/>
      <c r="BT545" s="223"/>
      <c r="BU545" s="223"/>
      <c r="BV545" s="223"/>
      <c r="BW545" s="223"/>
      <c r="BX545" s="223"/>
      <c r="BY545" s="223"/>
      <c r="BZ545" s="223"/>
      <c r="CA545" s="332"/>
      <c r="CB545" s="247"/>
      <c r="CC545" s="83"/>
      <c r="CD545" s="32"/>
      <c r="CE545" s="342" t="s">
        <v>1576</v>
      </c>
      <c r="CF545" s="342" t="s">
        <v>1575</v>
      </c>
      <c r="CG545" s="84"/>
    </row>
    <row r="546" spans="1:1873" s="23" customFormat="1" x14ac:dyDescent="0.2">
      <c r="A546" s="223" t="s">
        <v>785</v>
      </c>
      <c r="B546" s="223" t="s">
        <v>786</v>
      </c>
      <c r="C546" s="223" t="s">
        <v>292</v>
      </c>
      <c r="D546" s="223" t="s">
        <v>619</v>
      </c>
      <c r="E546" s="241" t="s">
        <v>1444</v>
      </c>
      <c r="F546" s="241">
        <v>1</v>
      </c>
      <c r="G546" s="223">
        <v>3</v>
      </c>
      <c r="H546" s="242">
        <v>3</v>
      </c>
      <c r="I546" s="223" t="s">
        <v>954</v>
      </c>
      <c r="J546" s="223">
        <v>1981</v>
      </c>
      <c r="K546" s="223" t="s">
        <v>957</v>
      </c>
      <c r="L546" s="223">
        <v>1983</v>
      </c>
      <c r="M546" s="243">
        <v>-9999</v>
      </c>
      <c r="N546" s="223">
        <v>-9999</v>
      </c>
      <c r="O546" s="29"/>
      <c r="P546" s="285">
        <f t="shared" ref="P546:P551" si="43">+T546*G546</f>
        <v>17.399999999999999</v>
      </c>
      <c r="Q546" s="223">
        <v>-9999</v>
      </c>
      <c r="R546" s="243"/>
      <c r="S546" s="223"/>
      <c r="T546" s="243">
        <v>5.8</v>
      </c>
      <c r="U546" s="243">
        <v>0.7</v>
      </c>
      <c r="V546" s="243"/>
      <c r="W546" s="244"/>
      <c r="X546" s="223">
        <v>-9999</v>
      </c>
      <c r="Y546" s="223"/>
      <c r="Z546" s="223" t="s">
        <v>74</v>
      </c>
      <c r="AA546" s="248">
        <v>14286</v>
      </c>
      <c r="AB546" s="243">
        <v>1</v>
      </c>
      <c r="AC546" s="223">
        <v>-9999</v>
      </c>
      <c r="AD546" s="223">
        <f t="shared" si="40"/>
        <v>400</v>
      </c>
      <c r="AE546" s="404" t="s">
        <v>1956</v>
      </c>
      <c r="AF546" s="223">
        <v>4</v>
      </c>
      <c r="AG546" s="223">
        <v>2</v>
      </c>
      <c r="AH546" s="223" t="s">
        <v>623</v>
      </c>
      <c r="AI546" s="223">
        <v>-9999</v>
      </c>
      <c r="AJ546" s="223">
        <v>-9999</v>
      </c>
      <c r="AK546" s="223" t="s">
        <v>626</v>
      </c>
      <c r="AL546" s="223" t="s">
        <v>653</v>
      </c>
      <c r="AM546" s="223">
        <v>-9999</v>
      </c>
      <c r="AN546" s="223" t="s">
        <v>631</v>
      </c>
      <c r="AO546" s="223">
        <v>-9999</v>
      </c>
      <c r="AP546" s="223">
        <v>-9999</v>
      </c>
      <c r="AQ546" s="223" t="s">
        <v>631</v>
      </c>
      <c r="AR546" s="223">
        <v>0</v>
      </c>
      <c r="AS546" s="223">
        <v>-9999</v>
      </c>
      <c r="AT546" s="223">
        <v>-9999</v>
      </c>
      <c r="AU546" s="223">
        <v>0</v>
      </c>
      <c r="AV546" s="223">
        <v>-9999</v>
      </c>
      <c r="AW546" s="223">
        <v>-9999</v>
      </c>
      <c r="AX546" s="223">
        <v>0</v>
      </c>
      <c r="AY546" s="223">
        <v>-9999</v>
      </c>
      <c r="AZ546" s="223">
        <v>-9999</v>
      </c>
      <c r="BA546" s="223" t="s">
        <v>794</v>
      </c>
      <c r="BB546" s="223" t="s">
        <v>626</v>
      </c>
      <c r="BC546" s="223" t="s">
        <v>795</v>
      </c>
      <c r="BD546" s="223" t="s">
        <v>796</v>
      </c>
      <c r="BE546" s="223"/>
      <c r="BF546" s="223"/>
      <c r="BG546" s="223"/>
      <c r="BH546" s="223">
        <v>-9999</v>
      </c>
      <c r="BI546" s="223">
        <v>-9999</v>
      </c>
      <c r="BJ546" s="223">
        <v>-9999</v>
      </c>
      <c r="BK546" s="223">
        <v>-9999</v>
      </c>
      <c r="BL546" s="223">
        <v>-9999</v>
      </c>
      <c r="BM546" s="223">
        <v>-9999</v>
      </c>
      <c r="BN546" s="223">
        <v>-9999</v>
      </c>
      <c r="BO546" s="223">
        <v>-9999</v>
      </c>
      <c r="BP546" s="223">
        <v>-9999</v>
      </c>
      <c r="BQ546" s="223">
        <v>-9999</v>
      </c>
      <c r="BR546" s="223">
        <v>-9999</v>
      </c>
      <c r="BS546" s="242">
        <v>-9999</v>
      </c>
      <c r="BT546" s="223">
        <v>-9999</v>
      </c>
      <c r="BU546" s="223">
        <v>-9999</v>
      </c>
      <c r="BV546" s="223">
        <v>-9999</v>
      </c>
      <c r="BW546" s="223"/>
      <c r="BX546" s="223">
        <v>-9999</v>
      </c>
      <c r="BY546" s="223">
        <v>-9999</v>
      </c>
      <c r="BZ546" s="223">
        <v>-9999</v>
      </c>
      <c r="CA546" s="332" t="s">
        <v>797</v>
      </c>
      <c r="CB546" s="247"/>
      <c r="CC546" s="83">
        <v>1</v>
      </c>
      <c r="CD546" s="32">
        <v>3</v>
      </c>
      <c r="CE546" s="292">
        <v>5.8</v>
      </c>
      <c r="CF546" s="292"/>
      <c r="CG546" s="84">
        <v>3</v>
      </c>
    </row>
    <row r="547" spans="1:1873" s="23" customFormat="1" x14ac:dyDescent="0.2">
      <c r="A547" s="223" t="s">
        <v>785</v>
      </c>
      <c r="B547" s="223" t="s">
        <v>786</v>
      </c>
      <c r="C547" s="223" t="s">
        <v>292</v>
      </c>
      <c r="D547" s="223" t="s">
        <v>619</v>
      </c>
      <c r="E547" s="241" t="s">
        <v>1444</v>
      </c>
      <c r="F547" s="241">
        <v>1</v>
      </c>
      <c r="G547" s="223">
        <v>4</v>
      </c>
      <c r="H547" s="242">
        <v>4</v>
      </c>
      <c r="I547" s="223" t="s">
        <v>954</v>
      </c>
      <c r="J547" s="223">
        <v>1981</v>
      </c>
      <c r="K547" s="223" t="s">
        <v>957</v>
      </c>
      <c r="L547" s="223">
        <v>1984</v>
      </c>
      <c r="M547" s="243">
        <v>-9999</v>
      </c>
      <c r="N547" s="223">
        <v>-9999</v>
      </c>
      <c r="O547" s="29"/>
      <c r="P547" s="285">
        <f t="shared" si="43"/>
        <v>32.4</v>
      </c>
      <c r="Q547" s="223">
        <v>-9999</v>
      </c>
      <c r="R547" s="243"/>
      <c r="S547" s="223"/>
      <c r="T547" s="243">
        <v>8.1</v>
      </c>
      <c r="U547" s="243">
        <v>0.7</v>
      </c>
      <c r="V547" s="243"/>
      <c r="W547" s="244">
        <f>+P547-P546</f>
        <v>15</v>
      </c>
      <c r="X547" s="223">
        <v>-9999</v>
      </c>
      <c r="Y547" s="223"/>
      <c r="Z547" s="223" t="s">
        <v>74</v>
      </c>
      <c r="AA547" s="248">
        <v>14286</v>
      </c>
      <c r="AB547" s="285">
        <v>0.99</v>
      </c>
      <c r="AC547" s="223">
        <v>-9999</v>
      </c>
      <c r="AD547" s="223">
        <f t="shared" si="40"/>
        <v>400</v>
      </c>
      <c r="AE547" s="404" t="s">
        <v>1956</v>
      </c>
      <c r="AF547" s="223">
        <v>4</v>
      </c>
      <c r="AG547" s="223">
        <v>2</v>
      </c>
      <c r="AH547" s="223" t="s">
        <v>623</v>
      </c>
      <c r="AI547" s="223">
        <v>-9999</v>
      </c>
      <c r="AJ547" s="223">
        <v>-9999</v>
      </c>
      <c r="AK547" s="223" t="s">
        <v>626</v>
      </c>
      <c r="AL547" s="223" t="s">
        <v>653</v>
      </c>
      <c r="AM547" s="223">
        <v>-9999</v>
      </c>
      <c r="AN547" s="223" t="s">
        <v>631</v>
      </c>
      <c r="AO547" s="223">
        <v>-9999</v>
      </c>
      <c r="AP547" s="223">
        <v>-9999</v>
      </c>
      <c r="AQ547" s="223" t="s">
        <v>631</v>
      </c>
      <c r="AR547" s="223">
        <v>0</v>
      </c>
      <c r="AS547" s="223">
        <v>-9999</v>
      </c>
      <c r="AT547" s="223">
        <v>-9999</v>
      </c>
      <c r="AU547" s="223">
        <v>0</v>
      </c>
      <c r="AV547" s="223">
        <v>-9999</v>
      </c>
      <c r="AW547" s="223">
        <v>-9999</v>
      </c>
      <c r="AX547" s="223">
        <v>0</v>
      </c>
      <c r="AY547" s="223">
        <v>-9999</v>
      </c>
      <c r="AZ547" s="223">
        <v>-9999</v>
      </c>
      <c r="BA547" s="223" t="s">
        <v>794</v>
      </c>
      <c r="BB547" s="223" t="s">
        <v>626</v>
      </c>
      <c r="BC547" s="223" t="s">
        <v>795</v>
      </c>
      <c r="BD547" s="223" t="s">
        <v>796</v>
      </c>
      <c r="BE547" s="223"/>
      <c r="BF547" s="223"/>
      <c r="BG547" s="223"/>
      <c r="BH547" s="223">
        <v>-9999</v>
      </c>
      <c r="BI547" s="223">
        <v>-9999</v>
      </c>
      <c r="BJ547" s="223">
        <v>-9999</v>
      </c>
      <c r="BK547" s="223">
        <v>-9999</v>
      </c>
      <c r="BL547" s="223">
        <v>-9999</v>
      </c>
      <c r="BM547" s="223">
        <v>-9999</v>
      </c>
      <c r="BN547" s="223">
        <v>-9999</v>
      </c>
      <c r="BO547" s="223">
        <v>-9999</v>
      </c>
      <c r="BP547" s="223">
        <v>-9999</v>
      </c>
      <c r="BQ547" s="223">
        <v>-9999</v>
      </c>
      <c r="BR547" s="223">
        <v>-9999</v>
      </c>
      <c r="BS547" s="242">
        <v>-9999</v>
      </c>
      <c r="BT547" s="223">
        <v>-9999</v>
      </c>
      <c r="BU547" s="223">
        <v>-9999</v>
      </c>
      <c r="BV547" s="223">
        <v>-9999</v>
      </c>
      <c r="BW547" s="223"/>
      <c r="BX547" s="223">
        <v>-9999</v>
      </c>
      <c r="BY547" s="223">
        <v>-9999</v>
      </c>
      <c r="BZ547" s="223">
        <v>-9999</v>
      </c>
      <c r="CA547" s="332" t="s">
        <v>797</v>
      </c>
      <c r="CB547" s="247"/>
      <c r="CC547" s="83">
        <v>1</v>
      </c>
      <c r="CD547" s="32">
        <v>4</v>
      </c>
      <c r="CE547" s="292">
        <v>8.1</v>
      </c>
      <c r="CF547" s="292">
        <v>15</v>
      </c>
      <c r="CG547" s="84">
        <v>4</v>
      </c>
    </row>
    <row r="548" spans="1:1873" s="23" customFormat="1" x14ac:dyDescent="0.2">
      <c r="A548" s="223" t="s">
        <v>785</v>
      </c>
      <c r="B548" s="223" t="s">
        <v>786</v>
      </c>
      <c r="C548" s="223" t="s">
        <v>292</v>
      </c>
      <c r="D548" s="223" t="s">
        <v>619</v>
      </c>
      <c r="E548" s="241" t="s">
        <v>1444</v>
      </c>
      <c r="F548" s="241">
        <v>1</v>
      </c>
      <c r="G548" s="223">
        <v>5</v>
      </c>
      <c r="H548" s="242">
        <v>5</v>
      </c>
      <c r="I548" s="223" t="s">
        <v>954</v>
      </c>
      <c r="J548" s="223">
        <v>1981</v>
      </c>
      <c r="K548" s="223" t="s">
        <v>957</v>
      </c>
      <c r="L548" s="223">
        <v>1985</v>
      </c>
      <c r="M548" s="243">
        <v>-9999</v>
      </c>
      <c r="N548" s="223">
        <v>-9999</v>
      </c>
      <c r="O548" s="29"/>
      <c r="P548" s="285">
        <f t="shared" si="43"/>
        <v>47</v>
      </c>
      <c r="Q548" s="223">
        <v>-9999</v>
      </c>
      <c r="R548" s="243"/>
      <c r="S548" s="223"/>
      <c r="T548" s="243">
        <v>9.4</v>
      </c>
      <c r="U548" s="243">
        <v>0.9</v>
      </c>
      <c r="V548" s="243"/>
      <c r="W548" s="244">
        <f>+P548-P547</f>
        <v>14.600000000000001</v>
      </c>
      <c r="X548" s="223">
        <v>-9999</v>
      </c>
      <c r="Y548" s="223"/>
      <c r="Z548" s="223" t="s">
        <v>74</v>
      </c>
      <c r="AA548" s="248">
        <v>14286</v>
      </c>
      <c r="AB548" s="285">
        <v>0.97</v>
      </c>
      <c r="AC548" s="223">
        <v>-9999</v>
      </c>
      <c r="AD548" s="223">
        <f t="shared" si="40"/>
        <v>400</v>
      </c>
      <c r="AE548" s="404" t="s">
        <v>1956</v>
      </c>
      <c r="AF548" s="223">
        <v>4</v>
      </c>
      <c r="AG548" s="223">
        <v>2</v>
      </c>
      <c r="AH548" s="223" t="s">
        <v>623</v>
      </c>
      <c r="AI548" s="223">
        <v>-9999</v>
      </c>
      <c r="AJ548" s="223">
        <v>-9999</v>
      </c>
      <c r="AK548" s="223" t="s">
        <v>626</v>
      </c>
      <c r="AL548" s="223" t="s">
        <v>653</v>
      </c>
      <c r="AM548" s="223">
        <v>-9999</v>
      </c>
      <c r="AN548" s="223" t="s">
        <v>631</v>
      </c>
      <c r="AO548" s="223">
        <v>-9999</v>
      </c>
      <c r="AP548" s="223">
        <v>-9999</v>
      </c>
      <c r="AQ548" s="223" t="s">
        <v>631</v>
      </c>
      <c r="AR548" s="223">
        <v>0</v>
      </c>
      <c r="AS548" s="223">
        <v>-9999</v>
      </c>
      <c r="AT548" s="223">
        <v>-9999</v>
      </c>
      <c r="AU548" s="223">
        <v>0</v>
      </c>
      <c r="AV548" s="223">
        <v>-9999</v>
      </c>
      <c r="AW548" s="223">
        <v>-9999</v>
      </c>
      <c r="AX548" s="223">
        <v>0</v>
      </c>
      <c r="AY548" s="223">
        <v>-9999</v>
      </c>
      <c r="AZ548" s="223">
        <v>-9999</v>
      </c>
      <c r="BA548" s="223" t="s">
        <v>794</v>
      </c>
      <c r="BB548" s="223" t="s">
        <v>626</v>
      </c>
      <c r="BC548" s="223" t="s">
        <v>795</v>
      </c>
      <c r="BD548" s="223" t="s">
        <v>796</v>
      </c>
      <c r="BE548" s="223"/>
      <c r="BF548" s="223"/>
      <c r="BG548" s="223"/>
      <c r="BH548" s="223">
        <v>-9999</v>
      </c>
      <c r="BI548" s="223">
        <v>-9999</v>
      </c>
      <c r="BJ548" s="223">
        <v>-9999</v>
      </c>
      <c r="BK548" s="223">
        <v>-9999</v>
      </c>
      <c r="BL548" s="223">
        <v>-9999</v>
      </c>
      <c r="BM548" s="223">
        <v>-9999</v>
      </c>
      <c r="BN548" s="223">
        <v>-9999</v>
      </c>
      <c r="BO548" s="223">
        <v>-9999</v>
      </c>
      <c r="BP548" s="223">
        <v>-9999</v>
      </c>
      <c r="BQ548" s="223">
        <v>-9999</v>
      </c>
      <c r="BR548" s="223">
        <v>-9999</v>
      </c>
      <c r="BS548" s="242">
        <v>-9999</v>
      </c>
      <c r="BT548" s="223">
        <v>-9999</v>
      </c>
      <c r="BU548" s="223">
        <v>-9999</v>
      </c>
      <c r="BV548" s="223">
        <v>-9999</v>
      </c>
      <c r="BW548" s="223"/>
      <c r="BX548" s="223">
        <v>-9999</v>
      </c>
      <c r="BY548" s="223">
        <v>-9999</v>
      </c>
      <c r="BZ548" s="223">
        <v>-9999</v>
      </c>
      <c r="CA548" s="332" t="s">
        <v>797</v>
      </c>
      <c r="CB548" s="247"/>
      <c r="CC548" s="83">
        <v>1</v>
      </c>
      <c r="CD548" s="32">
        <v>5</v>
      </c>
      <c r="CE548" s="292">
        <v>9.4</v>
      </c>
      <c r="CF548" s="292">
        <v>14.600000000000001</v>
      </c>
      <c r="CG548" s="84">
        <v>5</v>
      </c>
    </row>
    <row r="549" spans="1:1873" s="23" customFormat="1" x14ac:dyDescent="0.2">
      <c r="A549" s="223" t="s">
        <v>785</v>
      </c>
      <c r="B549" s="223" t="s">
        <v>786</v>
      </c>
      <c r="C549" s="223" t="s">
        <v>292</v>
      </c>
      <c r="D549" s="223" t="s">
        <v>619</v>
      </c>
      <c r="E549" s="241" t="s">
        <v>1444</v>
      </c>
      <c r="F549" s="241">
        <v>1</v>
      </c>
      <c r="G549" s="223">
        <v>6</v>
      </c>
      <c r="H549" s="242">
        <v>6</v>
      </c>
      <c r="I549" s="223" t="s">
        <v>954</v>
      </c>
      <c r="J549" s="223">
        <v>1981</v>
      </c>
      <c r="K549" s="223" t="s">
        <v>957</v>
      </c>
      <c r="L549" s="223">
        <v>1986</v>
      </c>
      <c r="M549" s="243">
        <v>-9999</v>
      </c>
      <c r="N549" s="223">
        <v>-9999</v>
      </c>
      <c r="O549" s="29"/>
      <c r="P549" s="285">
        <f t="shared" si="43"/>
        <v>60.599999999999994</v>
      </c>
      <c r="Q549" s="223">
        <v>-9999</v>
      </c>
      <c r="R549" s="243"/>
      <c r="S549" s="223"/>
      <c r="T549" s="243">
        <v>10.1</v>
      </c>
      <c r="U549" s="243">
        <v>1.3</v>
      </c>
      <c r="V549" s="243"/>
      <c r="W549" s="244">
        <f>+P549-P548</f>
        <v>13.599999999999994</v>
      </c>
      <c r="X549" s="223">
        <v>-9999</v>
      </c>
      <c r="Y549" s="223"/>
      <c r="Z549" s="223" t="s">
        <v>74</v>
      </c>
      <c r="AA549" s="248">
        <v>14286</v>
      </c>
      <c r="AB549" s="243">
        <v>0.95</v>
      </c>
      <c r="AC549" s="223">
        <v>-9999</v>
      </c>
      <c r="AD549" s="223">
        <f t="shared" si="40"/>
        <v>400</v>
      </c>
      <c r="AE549" s="404" t="s">
        <v>1956</v>
      </c>
      <c r="AF549" s="223">
        <v>4</v>
      </c>
      <c r="AG549" s="223">
        <v>2</v>
      </c>
      <c r="AH549" s="223" t="s">
        <v>623</v>
      </c>
      <c r="AI549" s="223">
        <v>-9999</v>
      </c>
      <c r="AJ549" s="223">
        <v>-9999</v>
      </c>
      <c r="AK549" s="223" t="s">
        <v>626</v>
      </c>
      <c r="AL549" s="223" t="s">
        <v>653</v>
      </c>
      <c r="AM549" s="223">
        <v>-9999</v>
      </c>
      <c r="AN549" s="223" t="s">
        <v>631</v>
      </c>
      <c r="AO549" s="223">
        <v>-9999</v>
      </c>
      <c r="AP549" s="223">
        <v>-9999</v>
      </c>
      <c r="AQ549" s="223" t="s">
        <v>631</v>
      </c>
      <c r="AR549" s="223">
        <v>0</v>
      </c>
      <c r="AS549" s="223">
        <v>-9999</v>
      </c>
      <c r="AT549" s="223">
        <v>-9999</v>
      </c>
      <c r="AU549" s="223">
        <v>0</v>
      </c>
      <c r="AV549" s="223">
        <v>-9999</v>
      </c>
      <c r="AW549" s="223">
        <v>-9999</v>
      </c>
      <c r="AX549" s="223">
        <v>0</v>
      </c>
      <c r="AY549" s="223">
        <v>-9999</v>
      </c>
      <c r="AZ549" s="223">
        <v>-9999</v>
      </c>
      <c r="BA549" s="223" t="s">
        <v>794</v>
      </c>
      <c r="BB549" s="223" t="s">
        <v>626</v>
      </c>
      <c r="BC549" s="223" t="s">
        <v>795</v>
      </c>
      <c r="BD549" s="223" t="s">
        <v>796</v>
      </c>
      <c r="BE549" s="223"/>
      <c r="BF549" s="223"/>
      <c r="BG549" s="223"/>
      <c r="BH549" s="223">
        <v>-9999</v>
      </c>
      <c r="BI549" s="223">
        <v>-9999</v>
      </c>
      <c r="BJ549" s="223">
        <v>-9999</v>
      </c>
      <c r="BK549" s="223">
        <v>-9999</v>
      </c>
      <c r="BL549" s="223">
        <v>-9999</v>
      </c>
      <c r="BM549" s="223">
        <v>-9999</v>
      </c>
      <c r="BN549" s="223">
        <v>-9999</v>
      </c>
      <c r="BO549" s="223">
        <v>-9999</v>
      </c>
      <c r="BP549" s="223">
        <v>-9999</v>
      </c>
      <c r="BQ549" s="223">
        <v>-9999</v>
      </c>
      <c r="BR549" s="223">
        <v>-9999</v>
      </c>
      <c r="BS549" s="242">
        <v>-9999</v>
      </c>
      <c r="BT549" s="223">
        <v>-9999</v>
      </c>
      <c r="BU549" s="223">
        <v>-9999</v>
      </c>
      <c r="BV549" s="223">
        <v>-9999</v>
      </c>
      <c r="BW549" s="223"/>
      <c r="BX549" s="223">
        <v>-9999</v>
      </c>
      <c r="BY549" s="223">
        <v>-9999</v>
      </c>
      <c r="BZ549" s="223">
        <v>-9999</v>
      </c>
      <c r="CA549" s="332" t="s">
        <v>797</v>
      </c>
      <c r="CB549" s="247"/>
      <c r="CC549" s="83">
        <v>1</v>
      </c>
      <c r="CD549" s="32">
        <v>6</v>
      </c>
      <c r="CE549" s="292">
        <v>10.1</v>
      </c>
      <c r="CF549" s="292">
        <v>13.599999999999994</v>
      </c>
      <c r="CG549" s="84">
        <v>6</v>
      </c>
    </row>
    <row r="550" spans="1:1873" s="254" customFormat="1" x14ac:dyDescent="0.2">
      <c r="A550" s="249" t="s">
        <v>785</v>
      </c>
      <c r="B550" s="249" t="s">
        <v>786</v>
      </c>
      <c r="C550" s="249" t="s">
        <v>292</v>
      </c>
      <c r="D550" s="249" t="s">
        <v>619</v>
      </c>
      <c r="E550" s="250" t="s">
        <v>1444</v>
      </c>
      <c r="F550" s="250">
        <v>1</v>
      </c>
      <c r="G550" s="249">
        <v>7</v>
      </c>
      <c r="H550" s="251">
        <v>7</v>
      </c>
      <c r="I550" s="249" t="s">
        <v>954</v>
      </c>
      <c r="J550" s="249">
        <v>1981</v>
      </c>
      <c r="K550" s="249" t="s">
        <v>957</v>
      </c>
      <c r="L550" s="249">
        <v>1987</v>
      </c>
      <c r="M550" s="253">
        <v>-9999</v>
      </c>
      <c r="N550" s="249">
        <v>-9999</v>
      </c>
      <c r="O550" s="18"/>
      <c r="P550" s="558">
        <f t="shared" si="43"/>
        <v>78.399999999999991</v>
      </c>
      <c r="Q550" s="249">
        <v>-9999</v>
      </c>
      <c r="R550" s="253"/>
      <c r="S550" s="249"/>
      <c r="T550" s="253">
        <v>11.2</v>
      </c>
      <c r="U550" s="253">
        <v>1.6</v>
      </c>
      <c r="V550" s="253"/>
      <c r="W550" s="284">
        <f>+P550-P549</f>
        <v>17.799999999999997</v>
      </c>
      <c r="X550" s="249">
        <v>-9999</v>
      </c>
      <c r="Y550" s="249"/>
      <c r="Z550" s="249" t="s">
        <v>74</v>
      </c>
      <c r="AA550" s="559">
        <v>14286</v>
      </c>
      <c r="AB550" s="253">
        <v>0.92</v>
      </c>
      <c r="AC550" s="249">
        <v>-9999</v>
      </c>
      <c r="AD550" s="249">
        <f t="shared" si="40"/>
        <v>400</v>
      </c>
      <c r="AE550" s="249" t="s">
        <v>1956</v>
      </c>
      <c r="AF550" s="249">
        <v>4</v>
      </c>
      <c r="AG550" s="249">
        <v>2</v>
      </c>
      <c r="AH550" s="249" t="s">
        <v>623</v>
      </c>
      <c r="AI550" s="249">
        <v>-9999</v>
      </c>
      <c r="AJ550" s="249">
        <v>-9999</v>
      </c>
      <c r="AK550" s="249" t="s">
        <v>626</v>
      </c>
      <c r="AL550" s="249" t="s">
        <v>653</v>
      </c>
      <c r="AM550" s="249">
        <v>-9999</v>
      </c>
      <c r="AN550" s="249" t="s">
        <v>631</v>
      </c>
      <c r="AO550" s="249">
        <v>-9999</v>
      </c>
      <c r="AP550" s="249">
        <v>-9999</v>
      </c>
      <c r="AQ550" s="249" t="s">
        <v>631</v>
      </c>
      <c r="AR550" s="249">
        <v>0</v>
      </c>
      <c r="AS550" s="249">
        <v>-9999</v>
      </c>
      <c r="AT550" s="249">
        <v>-9999</v>
      </c>
      <c r="AU550" s="249">
        <v>0</v>
      </c>
      <c r="AV550" s="249">
        <v>-9999</v>
      </c>
      <c r="AW550" s="249">
        <v>-9999</v>
      </c>
      <c r="AX550" s="249">
        <v>0</v>
      </c>
      <c r="AY550" s="249">
        <v>-9999</v>
      </c>
      <c r="AZ550" s="249">
        <v>-9999</v>
      </c>
      <c r="BA550" s="249" t="s">
        <v>794</v>
      </c>
      <c r="BB550" s="249" t="s">
        <v>626</v>
      </c>
      <c r="BC550" s="249" t="s">
        <v>795</v>
      </c>
      <c r="BD550" s="249" t="s">
        <v>796</v>
      </c>
      <c r="BE550" s="249"/>
      <c r="BF550" s="249"/>
      <c r="BG550" s="249"/>
      <c r="BH550" s="249">
        <v>-9999</v>
      </c>
      <c r="BI550" s="249">
        <v>-9999</v>
      </c>
      <c r="BJ550" s="249">
        <v>-9999</v>
      </c>
      <c r="BK550" s="249">
        <v>-9999</v>
      </c>
      <c r="BL550" s="249">
        <v>-9999</v>
      </c>
      <c r="BM550" s="249">
        <v>-9999</v>
      </c>
      <c r="BN550" s="249">
        <v>-9999</v>
      </c>
      <c r="BO550" s="249">
        <v>-9999</v>
      </c>
      <c r="BP550" s="249">
        <v>-9999</v>
      </c>
      <c r="BQ550" s="249">
        <v>-9999</v>
      </c>
      <c r="BR550" s="249">
        <v>-9999</v>
      </c>
      <c r="BS550" s="251">
        <v>-9999</v>
      </c>
      <c r="BT550" s="249">
        <v>-9999</v>
      </c>
      <c r="BU550" s="249">
        <v>-9999</v>
      </c>
      <c r="BV550" s="249">
        <v>-9999</v>
      </c>
      <c r="BW550" s="249"/>
      <c r="BX550" s="249">
        <v>-9999</v>
      </c>
      <c r="BY550" s="249">
        <v>-9999</v>
      </c>
      <c r="BZ550" s="249">
        <v>-9999</v>
      </c>
      <c r="CA550" s="331" t="s">
        <v>797</v>
      </c>
      <c r="CC550" s="250">
        <v>1</v>
      </c>
      <c r="CD550" s="249">
        <v>7</v>
      </c>
      <c r="CE550" s="395">
        <v>11.2</v>
      </c>
      <c r="CF550" s="99">
        <v>17.799999999999997</v>
      </c>
      <c r="CG550" s="251">
        <v>7</v>
      </c>
      <c r="CH550" s="437"/>
      <c r="CI550" s="13"/>
      <c r="CJ550" s="13"/>
      <c r="CK550" s="13"/>
      <c r="CL550" s="13"/>
      <c r="CM550" s="13"/>
      <c r="CN550" s="13"/>
      <c r="CO550" s="13"/>
      <c r="CP550" s="13"/>
      <c r="CQ550" s="13"/>
      <c r="CR550" s="13"/>
      <c r="CS550" s="13"/>
      <c r="CT550" s="13"/>
      <c r="CU550" s="13"/>
      <c r="CV550" s="13"/>
      <c r="CW550" s="13"/>
      <c r="CX550" s="13"/>
      <c r="CY550" s="13"/>
      <c r="CZ550" s="13"/>
      <c r="DA550" s="13"/>
      <c r="DB550" s="13"/>
      <c r="DC550" s="13"/>
      <c r="DD550" s="13"/>
      <c r="DE550" s="13"/>
      <c r="DF550" s="13"/>
      <c r="DG550" s="13"/>
      <c r="DH550" s="13"/>
      <c r="DI550" s="13"/>
      <c r="DJ550" s="13"/>
      <c r="DK550" s="13"/>
      <c r="DL550" s="13"/>
      <c r="DM550" s="13"/>
      <c r="DN550" s="13"/>
      <c r="DO550" s="13"/>
      <c r="DP550" s="13"/>
      <c r="DQ550" s="13"/>
      <c r="DR550" s="13"/>
      <c r="DS550" s="13"/>
      <c r="DT550" s="13"/>
      <c r="DU550" s="13"/>
      <c r="DV550" s="13"/>
      <c r="DW550" s="13"/>
      <c r="DX550" s="13"/>
      <c r="DY550" s="13"/>
      <c r="DZ550" s="13"/>
      <c r="EA550" s="13"/>
      <c r="EB550" s="13"/>
      <c r="EC550" s="13"/>
      <c r="ED550" s="13"/>
      <c r="EE550" s="13"/>
      <c r="EF550" s="13"/>
      <c r="EG550" s="13"/>
      <c r="EH550" s="13"/>
      <c r="EI550" s="13"/>
      <c r="EJ550" s="13"/>
      <c r="EK550" s="13"/>
      <c r="EL550" s="13"/>
      <c r="EM550" s="13"/>
      <c r="EN550" s="13"/>
      <c r="EO550" s="13"/>
      <c r="EP550" s="13"/>
      <c r="EQ550" s="13"/>
      <c r="ER550" s="13"/>
      <c r="ES550" s="13"/>
      <c r="ET550" s="13"/>
      <c r="EU550" s="13"/>
      <c r="EV550" s="13"/>
      <c r="EW550" s="13"/>
      <c r="EX550" s="13"/>
      <c r="EY550" s="13"/>
      <c r="EZ550" s="13"/>
      <c r="FA550" s="13"/>
      <c r="FB550" s="13"/>
      <c r="FC550" s="13"/>
      <c r="FD550" s="13"/>
      <c r="FE550" s="13"/>
      <c r="FF550" s="13"/>
      <c r="FG550" s="13"/>
      <c r="FH550" s="13"/>
      <c r="FI550" s="13"/>
      <c r="FJ550" s="13"/>
      <c r="FK550" s="13"/>
      <c r="FL550" s="13"/>
      <c r="FM550" s="13"/>
      <c r="FN550" s="13"/>
      <c r="FO550" s="13"/>
      <c r="FP550" s="13"/>
      <c r="FQ550" s="13"/>
      <c r="FR550" s="13"/>
      <c r="FS550" s="13"/>
      <c r="FT550" s="13"/>
      <c r="FU550" s="13"/>
      <c r="FV550" s="13"/>
      <c r="FW550" s="13"/>
      <c r="FX550" s="13"/>
      <c r="FY550" s="13"/>
      <c r="FZ550" s="13"/>
      <c r="GA550" s="13"/>
      <c r="GB550" s="13"/>
      <c r="GC550" s="13"/>
      <c r="GD550" s="13"/>
      <c r="GE550" s="13"/>
      <c r="GF550" s="13"/>
      <c r="GG550" s="13"/>
      <c r="GH550" s="13"/>
      <c r="GI550" s="13"/>
      <c r="GJ550" s="13"/>
      <c r="GK550" s="13"/>
      <c r="GL550" s="13"/>
      <c r="GM550" s="13"/>
      <c r="GN550" s="13"/>
      <c r="GO550" s="13"/>
      <c r="GP550" s="13"/>
      <c r="GQ550" s="13"/>
      <c r="GR550" s="13"/>
      <c r="GS550" s="13"/>
      <c r="GT550" s="13"/>
      <c r="GU550" s="13"/>
      <c r="GV550" s="13"/>
      <c r="GW550" s="13"/>
      <c r="GX550" s="13"/>
      <c r="GY550" s="13"/>
      <c r="GZ550" s="13"/>
      <c r="HA550" s="13"/>
      <c r="HB550" s="13"/>
      <c r="HC550" s="13"/>
      <c r="HD550" s="13"/>
      <c r="HE550" s="13"/>
      <c r="HF550" s="13"/>
      <c r="HG550" s="13"/>
      <c r="HH550" s="13"/>
      <c r="HI550" s="13"/>
      <c r="HJ550" s="13"/>
      <c r="HK550" s="13"/>
      <c r="HL550" s="13"/>
      <c r="HM550" s="13"/>
      <c r="HN550" s="13"/>
      <c r="HO550" s="13"/>
      <c r="HP550" s="13"/>
      <c r="HQ550" s="13"/>
      <c r="HR550" s="13"/>
      <c r="HS550" s="13"/>
      <c r="HT550" s="13"/>
      <c r="HU550" s="13"/>
      <c r="HV550" s="13"/>
      <c r="HW550" s="13"/>
      <c r="HX550" s="13"/>
      <c r="HY550" s="13"/>
      <c r="HZ550" s="13"/>
      <c r="IA550" s="13"/>
      <c r="IB550" s="13"/>
      <c r="IC550" s="13"/>
      <c r="ID550" s="13"/>
      <c r="IE550" s="13"/>
      <c r="IF550" s="13"/>
      <c r="IG550" s="13"/>
      <c r="IH550" s="13"/>
      <c r="II550" s="13"/>
      <c r="IJ550" s="13"/>
      <c r="IK550" s="13"/>
      <c r="IL550" s="13"/>
      <c r="IM550" s="13"/>
      <c r="IN550" s="13"/>
      <c r="IO550" s="13"/>
      <c r="IP550" s="13"/>
      <c r="IQ550" s="13"/>
      <c r="IR550" s="13"/>
      <c r="IS550" s="13"/>
      <c r="IT550" s="13"/>
      <c r="IU550" s="13"/>
      <c r="IV550" s="13"/>
      <c r="IW550" s="13"/>
      <c r="IX550" s="13"/>
      <c r="IY550" s="13"/>
      <c r="IZ550" s="13"/>
      <c r="JA550" s="13"/>
      <c r="JB550" s="13"/>
      <c r="JC550" s="13"/>
      <c r="JD550" s="13"/>
      <c r="JE550" s="13"/>
      <c r="JF550" s="13"/>
      <c r="JG550" s="13"/>
      <c r="JH550" s="13"/>
      <c r="JI550" s="13"/>
      <c r="JJ550" s="13"/>
      <c r="JK550" s="13"/>
      <c r="JL550" s="13"/>
      <c r="JM550" s="13"/>
      <c r="JN550" s="13"/>
      <c r="JO550" s="13"/>
      <c r="JP550" s="13"/>
      <c r="JQ550" s="13"/>
      <c r="JR550" s="13"/>
      <c r="JS550" s="13"/>
      <c r="JT550" s="13"/>
      <c r="JU550" s="13"/>
      <c r="JV550" s="13"/>
      <c r="JW550" s="13"/>
      <c r="JX550" s="13"/>
      <c r="JY550" s="13"/>
      <c r="JZ550" s="13"/>
      <c r="KA550" s="13"/>
      <c r="KB550" s="13"/>
      <c r="KC550" s="13"/>
      <c r="KD550" s="13"/>
      <c r="KE550" s="13"/>
      <c r="KF550" s="13"/>
      <c r="KG550" s="13"/>
      <c r="KH550" s="13"/>
      <c r="KI550" s="13"/>
      <c r="KJ550" s="13"/>
      <c r="KK550" s="13"/>
      <c r="KL550" s="13"/>
      <c r="KM550" s="13"/>
      <c r="KN550" s="13"/>
      <c r="KO550" s="13"/>
      <c r="KP550" s="13"/>
      <c r="KQ550" s="13"/>
      <c r="KR550" s="13"/>
      <c r="KS550" s="13"/>
      <c r="KT550" s="13"/>
      <c r="KU550" s="13"/>
      <c r="KV550" s="13"/>
      <c r="KW550" s="13"/>
      <c r="KX550" s="13"/>
      <c r="KY550" s="13"/>
      <c r="KZ550" s="13"/>
      <c r="LA550" s="13"/>
      <c r="LB550" s="13"/>
      <c r="LC550" s="13"/>
      <c r="LD550" s="13"/>
      <c r="LE550" s="13"/>
      <c r="LF550" s="13"/>
      <c r="LG550" s="13"/>
      <c r="LH550" s="13"/>
      <c r="LI550" s="13"/>
      <c r="LJ550" s="13"/>
      <c r="LK550" s="13"/>
      <c r="LL550" s="13"/>
      <c r="LM550" s="13"/>
      <c r="LN550" s="13"/>
      <c r="LO550" s="13"/>
      <c r="LP550" s="13"/>
      <c r="LQ550" s="13"/>
      <c r="LR550" s="13"/>
      <c r="LS550" s="13"/>
      <c r="LT550" s="13"/>
      <c r="LU550" s="13"/>
      <c r="LV550" s="13"/>
      <c r="LW550" s="13"/>
      <c r="LX550" s="13"/>
      <c r="LY550" s="13"/>
      <c r="LZ550" s="13"/>
      <c r="MA550" s="13"/>
      <c r="MB550" s="13"/>
      <c r="MC550" s="13"/>
      <c r="MD550" s="13"/>
      <c r="ME550" s="13"/>
      <c r="MF550" s="13"/>
      <c r="MG550" s="13"/>
      <c r="MH550" s="13"/>
      <c r="MI550" s="13"/>
      <c r="MJ550" s="13"/>
      <c r="MK550" s="13"/>
      <c r="ML550" s="13"/>
      <c r="MM550" s="13"/>
      <c r="MN550" s="13"/>
      <c r="MO550" s="13"/>
      <c r="MP550" s="13"/>
      <c r="MQ550" s="13"/>
      <c r="MR550" s="13"/>
      <c r="MS550" s="13"/>
      <c r="MT550" s="13"/>
      <c r="MU550" s="13"/>
      <c r="MV550" s="13"/>
      <c r="MW550" s="13"/>
      <c r="MX550" s="13"/>
      <c r="MY550" s="13"/>
      <c r="MZ550" s="13"/>
      <c r="NA550" s="13"/>
      <c r="NB550" s="13"/>
      <c r="NC550" s="13"/>
      <c r="ND550" s="13"/>
      <c r="NE550" s="13"/>
      <c r="NF550" s="13"/>
      <c r="NG550" s="13"/>
      <c r="NH550" s="13"/>
      <c r="NI550" s="13"/>
      <c r="NJ550" s="13"/>
      <c r="NK550" s="13"/>
      <c r="NL550" s="13"/>
      <c r="NM550" s="13"/>
      <c r="NN550" s="13"/>
      <c r="NO550" s="13"/>
      <c r="NP550" s="13"/>
      <c r="NQ550" s="13"/>
      <c r="NR550" s="13"/>
      <c r="NS550" s="13"/>
      <c r="NT550" s="13"/>
      <c r="NU550" s="13"/>
      <c r="NV550" s="13"/>
      <c r="NW550" s="13"/>
      <c r="NX550" s="13"/>
      <c r="NY550" s="13"/>
      <c r="NZ550" s="13"/>
      <c r="OA550" s="13"/>
      <c r="OB550" s="13"/>
      <c r="OC550" s="13"/>
      <c r="OD550" s="13"/>
      <c r="OE550" s="13"/>
      <c r="OF550" s="13"/>
      <c r="OG550" s="13"/>
      <c r="OH550" s="13"/>
      <c r="OI550" s="13"/>
      <c r="OJ550" s="13"/>
      <c r="OK550" s="13"/>
      <c r="OL550" s="13"/>
      <c r="OM550" s="13"/>
      <c r="ON550" s="13"/>
      <c r="OO550" s="13"/>
      <c r="OP550" s="13"/>
      <c r="OQ550" s="13"/>
      <c r="OR550" s="13"/>
      <c r="OS550" s="13"/>
      <c r="OT550" s="13"/>
      <c r="OU550" s="13"/>
      <c r="OV550" s="13"/>
      <c r="OW550" s="13"/>
      <c r="OX550" s="13"/>
      <c r="OY550" s="13"/>
      <c r="OZ550" s="13"/>
      <c r="PA550" s="13"/>
      <c r="PB550" s="13"/>
      <c r="PC550" s="13"/>
      <c r="PD550" s="13"/>
      <c r="PE550" s="13"/>
      <c r="PF550" s="13"/>
      <c r="PG550" s="13"/>
      <c r="PH550" s="13"/>
      <c r="PI550" s="13"/>
      <c r="PJ550" s="13"/>
      <c r="PK550" s="13"/>
      <c r="PL550" s="13"/>
      <c r="PM550" s="13"/>
      <c r="PN550" s="13"/>
      <c r="PO550" s="13"/>
      <c r="PP550" s="13"/>
      <c r="PQ550" s="13"/>
      <c r="PR550" s="13"/>
      <c r="PS550" s="13"/>
      <c r="PT550" s="13"/>
      <c r="PU550" s="13"/>
      <c r="PV550" s="13"/>
      <c r="PW550" s="13"/>
      <c r="PX550" s="13"/>
      <c r="PY550" s="13"/>
      <c r="PZ550" s="13"/>
      <c r="QA550" s="13"/>
      <c r="QB550" s="13"/>
      <c r="QC550" s="13"/>
      <c r="QD550" s="13"/>
      <c r="QE550" s="13"/>
      <c r="QF550" s="13"/>
      <c r="QG550" s="13"/>
      <c r="QH550" s="13"/>
      <c r="QI550" s="13"/>
      <c r="QJ550" s="13"/>
      <c r="QK550" s="13"/>
      <c r="QL550" s="13"/>
      <c r="QM550" s="13"/>
      <c r="QN550" s="13"/>
      <c r="QO550" s="13"/>
      <c r="QP550" s="13"/>
      <c r="QQ550" s="13"/>
      <c r="QR550" s="13"/>
      <c r="QS550" s="13"/>
      <c r="QT550" s="13"/>
      <c r="QU550" s="13"/>
      <c r="QV550" s="13"/>
      <c r="QW550" s="13"/>
      <c r="QX550" s="13"/>
      <c r="QY550" s="13"/>
      <c r="QZ550" s="13"/>
      <c r="RA550" s="13"/>
      <c r="RB550" s="13"/>
      <c r="RC550" s="13"/>
      <c r="RD550" s="13"/>
      <c r="RE550" s="13"/>
      <c r="RF550" s="13"/>
      <c r="RG550" s="13"/>
      <c r="RH550" s="13"/>
      <c r="RI550" s="13"/>
      <c r="RJ550" s="13"/>
      <c r="RK550" s="13"/>
      <c r="RL550" s="13"/>
      <c r="RM550" s="13"/>
      <c r="RN550" s="13"/>
      <c r="RO550" s="13"/>
      <c r="RP550" s="13"/>
      <c r="RQ550" s="13"/>
      <c r="RR550" s="13"/>
      <c r="RS550" s="13"/>
      <c r="RT550" s="13"/>
      <c r="RU550" s="13"/>
      <c r="RV550" s="13"/>
      <c r="RW550" s="13"/>
      <c r="RX550" s="13"/>
      <c r="RY550" s="13"/>
      <c r="RZ550" s="13"/>
      <c r="SA550" s="13"/>
      <c r="SB550" s="13"/>
      <c r="SC550" s="13"/>
      <c r="SD550" s="13"/>
      <c r="SE550" s="13"/>
      <c r="SF550" s="13"/>
      <c r="SG550" s="13"/>
      <c r="SH550" s="13"/>
      <c r="SI550" s="13"/>
      <c r="SJ550" s="13"/>
      <c r="SK550" s="13"/>
      <c r="SL550" s="13"/>
      <c r="SM550" s="13"/>
      <c r="SN550" s="13"/>
      <c r="SO550" s="13"/>
      <c r="SP550" s="13"/>
      <c r="SQ550" s="13"/>
      <c r="SR550" s="13"/>
      <c r="SS550" s="13"/>
      <c r="ST550" s="13"/>
      <c r="SU550" s="13"/>
      <c r="SV550" s="13"/>
      <c r="SW550" s="13"/>
      <c r="SX550" s="13"/>
      <c r="SY550" s="13"/>
      <c r="SZ550" s="13"/>
      <c r="TA550" s="13"/>
      <c r="TB550" s="13"/>
      <c r="TC550" s="13"/>
      <c r="TD550" s="13"/>
      <c r="TE550" s="13"/>
      <c r="TF550" s="13"/>
      <c r="TG550" s="13"/>
      <c r="TH550" s="13"/>
      <c r="TI550" s="13"/>
      <c r="TJ550" s="13"/>
      <c r="TK550" s="13"/>
      <c r="TL550" s="13"/>
      <c r="TM550" s="13"/>
      <c r="TN550" s="13"/>
      <c r="TO550" s="13"/>
      <c r="TP550" s="13"/>
      <c r="TQ550" s="13"/>
      <c r="TR550" s="13"/>
      <c r="TS550" s="13"/>
      <c r="TT550" s="13"/>
      <c r="TU550" s="13"/>
      <c r="TV550" s="13"/>
      <c r="TW550" s="13"/>
      <c r="TX550" s="13"/>
      <c r="TY550" s="13"/>
      <c r="TZ550" s="13"/>
      <c r="UA550" s="13"/>
      <c r="UB550" s="13"/>
      <c r="UC550" s="13"/>
      <c r="UD550" s="13"/>
      <c r="UE550" s="13"/>
      <c r="UF550" s="13"/>
      <c r="UG550" s="13"/>
      <c r="UH550" s="13"/>
      <c r="UI550" s="13"/>
      <c r="UJ550" s="13"/>
      <c r="UK550" s="13"/>
      <c r="UL550" s="13"/>
      <c r="UM550" s="13"/>
      <c r="UN550" s="13"/>
      <c r="UO550" s="13"/>
      <c r="UP550" s="13"/>
      <c r="UQ550" s="13"/>
      <c r="UR550" s="13"/>
      <c r="US550" s="13"/>
      <c r="UT550" s="13"/>
      <c r="UU550" s="13"/>
      <c r="UV550" s="13"/>
      <c r="UW550" s="13"/>
      <c r="UX550" s="13"/>
      <c r="UY550" s="13"/>
      <c r="UZ550" s="13"/>
      <c r="VA550" s="13"/>
      <c r="VB550" s="13"/>
      <c r="VC550" s="13"/>
      <c r="VD550" s="13"/>
      <c r="VE550" s="13"/>
      <c r="VF550" s="13"/>
      <c r="VG550" s="13"/>
      <c r="VH550" s="13"/>
      <c r="VI550" s="13"/>
      <c r="VJ550" s="13"/>
      <c r="VK550" s="13"/>
      <c r="VL550" s="13"/>
      <c r="VM550" s="13"/>
      <c r="VN550" s="13"/>
      <c r="VO550" s="13"/>
      <c r="VP550" s="13"/>
      <c r="VQ550" s="13"/>
      <c r="VR550" s="13"/>
      <c r="VS550" s="13"/>
      <c r="VT550" s="13"/>
      <c r="VU550" s="13"/>
      <c r="VV550" s="13"/>
      <c r="VW550" s="13"/>
      <c r="VX550" s="13"/>
      <c r="VY550" s="13"/>
      <c r="VZ550" s="13"/>
      <c r="WA550" s="13"/>
      <c r="WB550" s="13"/>
      <c r="WC550" s="13"/>
      <c r="WD550" s="13"/>
      <c r="WE550" s="13"/>
      <c r="WF550" s="13"/>
      <c r="WG550" s="13"/>
      <c r="WH550" s="13"/>
      <c r="WI550" s="13"/>
      <c r="WJ550" s="13"/>
      <c r="WK550" s="13"/>
      <c r="WL550" s="13"/>
      <c r="WM550" s="13"/>
      <c r="WN550" s="13"/>
      <c r="WO550" s="13"/>
      <c r="WP550" s="13"/>
      <c r="WQ550" s="13"/>
      <c r="WR550" s="13"/>
      <c r="WS550" s="13"/>
      <c r="WT550" s="13"/>
      <c r="WU550" s="13"/>
      <c r="WV550" s="13"/>
      <c r="WW550" s="13"/>
      <c r="WX550" s="13"/>
      <c r="WY550" s="13"/>
      <c r="WZ550" s="13"/>
      <c r="XA550" s="13"/>
      <c r="XB550" s="13"/>
      <c r="XC550" s="13"/>
      <c r="XD550" s="13"/>
      <c r="XE550" s="13"/>
      <c r="XF550" s="13"/>
      <c r="XG550" s="13"/>
      <c r="XH550" s="13"/>
      <c r="XI550" s="13"/>
      <c r="XJ550" s="13"/>
      <c r="XK550" s="13"/>
      <c r="XL550" s="13"/>
      <c r="XM550" s="13"/>
      <c r="XN550" s="13"/>
      <c r="XO550" s="13"/>
      <c r="XP550" s="13"/>
      <c r="XQ550" s="13"/>
      <c r="XR550" s="13"/>
      <c r="XS550" s="13"/>
      <c r="XT550" s="13"/>
      <c r="XU550" s="13"/>
      <c r="XV550" s="13"/>
      <c r="XW550" s="13"/>
      <c r="XX550" s="13"/>
      <c r="XY550" s="13"/>
      <c r="XZ550" s="13"/>
      <c r="YA550" s="13"/>
      <c r="YB550" s="13"/>
      <c r="YC550" s="13"/>
      <c r="YD550" s="13"/>
      <c r="YE550" s="13"/>
      <c r="YF550" s="13"/>
      <c r="YG550" s="13"/>
      <c r="YH550" s="13"/>
      <c r="YI550" s="13"/>
      <c r="YJ550" s="13"/>
      <c r="YK550" s="13"/>
      <c r="YL550" s="13"/>
      <c r="YM550" s="13"/>
      <c r="YN550" s="13"/>
      <c r="YO550" s="13"/>
      <c r="YP550" s="13"/>
      <c r="YQ550" s="13"/>
      <c r="YR550" s="13"/>
      <c r="YS550" s="13"/>
      <c r="YT550" s="13"/>
      <c r="YU550" s="13"/>
      <c r="YV550" s="13"/>
      <c r="YW550" s="13"/>
      <c r="YX550" s="13"/>
      <c r="YY550" s="13"/>
      <c r="YZ550" s="13"/>
      <c r="ZA550" s="13"/>
      <c r="ZB550" s="13"/>
      <c r="ZC550" s="13"/>
      <c r="ZD550" s="13"/>
      <c r="ZE550" s="13"/>
      <c r="ZF550" s="13"/>
      <c r="ZG550" s="13"/>
      <c r="ZH550" s="13"/>
      <c r="ZI550" s="13"/>
      <c r="ZJ550" s="13"/>
      <c r="ZK550" s="13"/>
      <c r="ZL550" s="13"/>
      <c r="ZM550" s="13"/>
      <c r="ZN550" s="13"/>
      <c r="ZO550" s="13"/>
      <c r="ZP550" s="13"/>
      <c r="ZQ550" s="13"/>
      <c r="ZR550" s="13"/>
      <c r="ZS550" s="13"/>
      <c r="ZT550" s="13"/>
      <c r="ZU550" s="13"/>
      <c r="ZV550" s="13"/>
      <c r="ZW550" s="13"/>
      <c r="ZX550" s="13"/>
      <c r="ZY550" s="13"/>
      <c r="ZZ550" s="13"/>
      <c r="AAA550" s="13"/>
      <c r="AAB550" s="13"/>
      <c r="AAC550" s="13"/>
      <c r="AAD550" s="13"/>
      <c r="AAE550" s="13"/>
      <c r="AAF550" s="13"/>
      <c r="AAG550" s="13"/>
      <c r="AAH550" s="13"/>
      <c r="AAI550" s="13"/>
      <c r="AAJ550" s="13"/>
      <c r="AAK550" s="13"/>
      <c r="AAL550" s="13"/>
      <c r="AAM550" s="13"/>
      <c r="AAN550" s="13"/>
      <c r="AAO550" s="13"/>
      <c r="AAP550" s="13"/>
      <c r="AAQ550" s="13"/>
      <c r="AAR550" s="13"/>
      <c r="AAS550" s="13"/>
      <c r="AAT550" s="13"/>
      <c r="AAU550" s="13"/>
      <c r="AAV550" s="13"/>
      <c r="AAW550" s="13"/>
      <c r="AAX550" s="13"/>
      <c r="AAY550" s="13"/>
      <c r="AAZ550" s="13"/>
      <c r="ABA550" s="13"/>
      <c r="ABB550" s="13"/>
      <c r="ABC550" s="13"/>
      <c r="ABD550" s="13"/>
      <c r="ABE550" s="13"/>
      <c r="ABF550" s="13"/>
      <c r="ABG550" s="13"/>
      <c r="ABH550" s="13"/>
      <c r="ABI550" s="13"/>
      <c r="ABJ550" s="13"/>
      <c r="ABK550" s="13"/>
      <c r="ABL550" s="13"/>
      <c r="ABM550" s="13"/>
      <c r="ABN550" s="13"/>
      <c r="ABO550" s="13"/>
      <c r="ABP550" s="13"/>
      <c r="ABQ550" s="13"/>
      <c r="ABR550" s="13"/>
      <c r="ABS550" s="13"/>
      <c r="ABT550" s="13"/>
      <c r="ABU550" s="13"/>
      <c r="ABV550" s="13"/>
      <c r="ABW550" s="13"/>
      <c r="ABX550" s="13"/>
      <c r="ABY550" s="13"/>
      <c r="ABZ550" s="13"/>
      <c r="ACA550" s="13"/>
      <c r="ACB550" s="13"/>
      <c r="ACC550" s="13"/>
      <c r="ACD550" s="13"/>
      <c r="ACE550" s="13"/>
      <c r="ACF550" s="13"/>
      <c r="ACG550" s="13"/>
      <c r="ACH550" s="13"/>
      <c r="ACI550" s="13"/>
      <c r="ACJ550" s="13"/>
      <c r="ACK550" s="13"/>
      <c r="ACL550" s="13"/>
      <c r="ACM550" s="13"/>
      <c r="ACN550" s="13"/>
      <c r="ACO550" s="13"/>
      <c r="ACP550" s="13"/>
      <c r="ACQ550" s="13"/>
      <c r="ACR550" s="13"/>
      <c r="ACS550" s="13"/>
      <c r="ACT550" s="13"/>
      <c r="ACU550" s="13"/>
      <c r="ACV550" s="13"/>
      <c r="ACW550" s="13"/>
      <c r="ACX550" s="13"/>
      <c r="ACY550" s="13"/>
      <c r="ACZ550" s="13"/>
      <c r="ADA550" s="13"/>
      <c r="ADB550" s="13"/>
      <c r="ADC550" s="13"/>
      <c r="ADD550" s="13"/>
      <c r="ADE550" s="13"/>
      <c r="ADF550" s="13"/>
      <c r="ADG550" s="13"/>
      <c r="ADH550" s="13"/>
      <c r="ADI550" s="13"/>
      <c r="ADJ550" s="13"/>
      <c r="ADK550" s="13"/>
      <c r="ADL550" s="13"/>
      <c r="ADM550" s="13"/>
      <c r="ADN550" s="13"/>
      <c r="ADO550" s="13"/>
      <c r="ADP550" s="13"/>
      <c r="ADQ550" s="13"/>
      <c r="ADR550" s="13"/>
      <c r="ADS550" s="13"/>
      <c r="ADT550" s="13"/>
      <c r="ADU550" s="13"/>
      <c r="ADV550" s="13"/>
      <c r="ADW550" s="13"/>
      <c r="ADX550" s="13"/>
      <c r="ADY550" s="13"/>
      <c r="ADZ550" s="13"/>
      <c r="AEA550" s="13"/>
      <c r="AEB550" s="13"/>
      <c r="AEC550" s="13"/>
      <c r="AED550" s="13"/>
      <c r="AEE550" s="13"/>
      <c r="AEF550" s="13"/>
      <c r="AEG550" s="13"/>
      <c r="AEH550" s="13"/>
      <c r="AEI550" s="13"/>
      <c r="AEJ550" s="13"/>
      <c r="AEK550" s="13"/>
      <c r="AEL550" s="13"/>
      <c r="AEM550" s="13"/>
      <c r="AEN550" s="13"/>
      <c r="AEO550" s="13"/>
      <c r="AEP550" s="13"/>
      <c r="AEQ550" s="13"/>
      <c r="AER550" s="13"/>
      <c r="AES550" s="13"/>
      <c r="AET550" s="13"/>
      <c r="AEU550" s="13"/>
      <c r="AEV550" s="13"/>
      <c r="AEW550" s="13"/>
      <c r="AEX550" s="13"/>
      <c r="AEY550" s="13"/>
      <c r="AEZ550" s="13"/>
      <c r="AFA550" s="13"/>
      <c r="AFB550" s="13"/>
      <c r="AFC550" s="13"/>
      <c r="AFD550" s="13"/>
      <c r="AFE550" s="13"/>
      <c r="AFF550" s="13"/>
      <c r="AFG550" s="13"/>
      <c r="AFH550" s="13"/>
      <c r="AFI550" s="13"/>
      <c r="AFJ550" s="13"/>
      <c r="AFK550" s="13"/>
      <c r="AFL550" s="13"/>
      <c r="AFM550" s="13"/>
      <c r="AFN550" s="13"/>
      <c r="AFO550" s="13"/>
      <c r="AFP550" s="13"/>
      <c r="AFQ550" s="13"/>
      <c r="AFR550" s="13"/>
      <c r="AFS550" s="13"/>
      <c r="AFT550" s="13"/>
      <c r="AFU550" s="13"/>
      <c r="AFV550" s="13"/>
      <c r="AFW550" s="13"/>
      <c r="AFX550" s="13"/>
      <c r="AFY550" s="13"/>
      <c r="AFZ550" s="13"/>
      <c r="AGA550" s="13"/>
      <c r="AGB550" s="13"/>
      <c r="AGC550" s="13"/>
      <c r="AGD550" s="13"/>
      <c r="AGE550" s="13"/>
      <c r="AGF550" s="13"/>
      <c r="AGG550" s="13"/>
      <c r="AGH550" s="13"/>
      <c r="AGI550" s="13"/>
      <c r="AGJ550" s="13"/>
      <c r="AGK550" s="13"/>
      <c r="AGL550" s="13"/>
      <c r="AGM550" s="13"/>
      <c r="AGN550" s="13"/>
      <c r="AGO550" s="13"/>
      <c r="AGP550" s="13"/>
      <c r="AGQ550" s="13"/>
      <c r="AGR550" s="13"/>
      <c r="AGS550" s="13"/>
      <c r="AGT550" s="13"/>
      <c r="AGU550" s="13"/>
      <c r="AGV550" s="13"/>
      <c r="AGW550" s="13"/>
      <c r="AGX550" s="13"/>
      <c r="AGY550" s="13"/>
      <c r="AGZ550" s="13"/>
      <c r="AHA550" s="13"/>
      <c r="AHB550" s="13"/>
      <c r="AHC550" s="13"/>
      <c r="AHD550" s="13"/>
      <c r="AHE550" s="13"/>
      <c r="AHF550" s="13"/>
      <c r="AHG550" s="13"/>
      <c r="AHH550" s="13"/>
      <c r="AHI550" s="13"/>
      <c r="AHJ550" s="13"/>
      <c r="AHK550" s="13"/>
      <c r="AHL550" s="13"/>
      <c r="AHM550" s="13"/>
      <c r="AHN550" s="13"/>
      <c r="AHO550" s="13"/>
      <c r="AHP550" s="13"/>
      <c r="AHQ550" s="13"/>
      <c r="AHR550" s="13"/>
      <c r="AHS550" s="13"/>
      <c r="AHT550" s="13"/>
      <c r="AHU550" s="13"/>
      <c r="AHV550" s="13"/>
      <c r="AHW550" s="13"/>
      <c r="AHX550" s="13"/>
      <c r="AHY550" s="13"/>
      <c r="AHZ550" s="13"/>
      <c r="AIA550" s="13"/>
      <c r="AIB550" s="13"/>
      <c r="AIC550" s="13"/>
      <c r="AID550" s="13"/>
      <c r="AIE550" s="13"/>
      <c r="AIF550" s="13"/>
      <c r="AIG550" s="13"/>
      <c r="AIH550" s="13"/>
      <c r="AII550" s="13"/>
      <c r="AIJ550" s="13"/>
      <c r="AIK550" s="13"/>
      <c r="AIL550" s="13"/>
      <c r="AIM550" s="13"/>
      <c r="AIN550" s="13"/>
      <c r="AIO550" s="13"/>
      <c r="AIP550" s="13"/>
      <c r="AIQ550" s="13"/>
      <c r="AIR550" s="13"/>
      <c r="AIS550" s="13"/>
      <c r="AIT550" s="13"/>
      <c r="AIU550" s="13"/>
      <c r="AIV550" s="13"/>
      <c r="AIW550" s="13"/>
      <c r="AIX550" s="13"/>
      <c r="AIY550" s="13"/>
      <c r="AIZ550" s="13"/>
      <c r="AJA550" s="13"/>
      <c r="AJB550" s="13"/>
      <c r="AJC550" s="13"/>
      <c r="AJD550" s="13"/>
      <c r="AJE550" s="13"/>
      <c r="AJF550" s="13"/>
      <c r="AJG550" s="13"/>
      <c r="AJH550" s="13"/>
      <c r="AJI550" s="13"/>
      <c r="AJJ550" s="13"/>
      <c r="AJK550" s="13"/>
      <c r="AJL550" s="13"/>
      <c r="AJM550" s="13"/>
      <c r="AJN550" s="13"/>
      <c r="AJO550" s="13"/>
      <c r="AJP550" s="13"/>
      <c r="AJQ550" s="13"/>
      <c r="AJR550" s="13"/>
      <c r="AJS550" s="13"/>
      <c r="AJT550" s="13"/>
      <c r="AJU550" s="13"/>
      <c r="AJV550" s="13"/>
      <c r="AJW550" s="13"/>
      <c r="AJX550" s="13"/>
      <c r="AJY550" s="13"/>
      <c r="AJZ550" s="13"/>
      <c r="AKA550" s="13"/>
      <c r="AKB550" s="13"/>
      <c r="AKC550" s="13"/>
      <c r="AKD550" s="13"/>
      <c r="AKE550" s="13"/>
      <c r="AKF550" s="13"/>
      <c r="AKG550" s="13"/>
      <c r="AKH550" s="13"/>
      <c r="AKI550" s="13"/>
      <c r="AKJ550" s="13"/>
      <c r="AKK550" s="13"/>
      <c r="AKL550" s="13"/>
      <c r="AKM550" s="13"/>
      <c r="AKN550" s="13"/>
      <c r="AKO550" s="13"/>
      <c r="AKP550" s="13"/>
      <c r="AKQ550" s="13"/>
      <c r="AKR550" s="13"/>
      <c r="AKS550" s="13"/>
      <c r="AKT550" s="13"/>
      <c r="AKU550" s="13"/>
      <c r="AKV550" s="13"/>
      <c r="AKW550" s="13"/>
      <c r="AKX550" s="13"/>
      <c r="AKY550" s="13"/>
      <c r="AKZ550" s="13"/>
      <c r="ALA550" s="13"/>
      <c r="ALB550" s="13"/>
      <c r="ALC550" s="13"/>
      <c r="ALD550" s="13"/>
      <c r="ALE550" s="13"/>
      <c r="ALF550" s="13"/>
      <c r="ALG550" s="13"/>
      <c r="ALH550" s="13"/>
      <c r="ALI550" s="13"/>
      <c r="ALJ550" s="13"/>
      <c r="ALK550" s="13"/>
      <c r="ALL550" s="13"/>
      <c r="ALM550" s="13"/>
      <c r="ALN550" s="13"/>
      <c r="ALO550" s="13"/>
      <c r="ALP550" s="13"/>
      <c r="ALQ550" s="13"/>
      <c r="ALR550" s="13"/>
      <c r="ALS550" s="13"/>
      <c r="ALT550" s="13"/>
      <c r="ALU550" s="13"/>
      <c r="ALV550" s="13"/>
      <c r="ALW550" s="13"/>
      <c r="ALX550" s="13"/>
      <c r="ALY550" s="13"/>
      <c r="ALZ550" s="13"/>
      <c r="AMA550" s="13"/>
      <c r="AMB550" s="13"/>
      <c r="AMC550" s="13"/>
      <c r="AMD550" s="13"/>
      <c r="AME550" s="13"/>
      <c r="AMF550" s="13"/>
      <c r="AMG550" s="13"/>
      <c r="AMH550" s="13"/>
      <c r="AMI550" s="13"/>
      <c r="AMJ550" s="13"/>
      <c r="AMK550" s="13"/>
      <c r="AML550" s="13"/>
      <c r="AMM550" s="13"/>
      <c r="AMN550" s="13"/>
      <c r="AMO550" s="13"/>
      <c r="AMP550" s="13"/>
      <c r="AMQ550" s="13"/>
      <c r="AMR550" s="13"/>
      <c r="AMS550" s="13"/>
      <c r="AMT550" s="13"/>
      <c r="AMU550" s="13"/>
      <c r="AMV550" s="13"/>
      <c r="AMW550" s="13"/>
      <c r="AMX550" s="13"/>
      <c r="AMY550" s="13"/>
      <c r="AMZ550" s="13"/>
      <c r="ANA550" s="13"/>
      <c r="ANB550" s="13"/>
      <c r="ANC550" s="13"/>
      <c r="AND550" s="13"/>
      <c r="ANE550" s="13"/>
      <c r="ANF550" s="13"/>
      <c r="ANG550" s="13"/>
      <c r="ANH550" s="13"/>
      <c r="ANI550" s="13"/>
      <c r="ANJ550" s="13"/>
      <c r="ANK550" s="13"/>
      <c r="ANL550" s="13"/>
      <c r="ANM550" s="13"/>
      <c r="ANN550" s="13"/>
      <c r="ANO550" s="13"/>
      <c r="ANP550" s="13"/>
      <c r="ANQ550" s="13"/>
      <c r="ANR550" s="13"/>
      <c r="ANS550" s="13"/>
      <c r="ANT550" s="13"/>
      <c r="ANU550" s="13"/>
      <c r="ANV550" s="13"/>
      <c r="ANW550" s="13"/>
      <c r="ANX550" s="13"/>
      <c r="ANY550" s="13"/>
      <c r="ANZ550" s="13"/>
      <c r="AOA550" s="13"/>
      <c r="AOB550" s="13"/>
      <c r="AOC550" s="13"/>
      <c r="AOD550" s="13"/>
      <c r="AOE550" s="13"/>
      <c r="AOF550" s="13"/>
      <c r="AOG550" s="13"/>
      <c r="AOH550" s="13"/>
      <c r="AOI550" s="13"/>
      <c r="AOJ550" s="13"/>
      <c r="AOK550" s="13"/>
      <c r="AOL550" s="13"/>
      <c r="AOM550" s="13"/>
      <c r="AON550" s="13"/>
      <c r="AOO550" s="13"/>
      <c r="AOP550" s="13"/>
      <c r="AOQ550" s="13"/>
      <c r="AOR550" s="13"/>
      <c r="AOS550" s="13"/>
      <c r="AOT550" s="13"/>
      <c r="AOU550" s="13"/>
      <c r="AOV550" s="13"/>
      <c r="AOW550" s="13"/>
      <c r="AOX550" s="13"/>
      <c r="AOY550" s="13"/>
      <c r="AOZ550" s="13"/>
      <c r="APA550" s="13"/>
      <c r="APB550" s="13"/>
      <c r="APC550" s="13"/>
      <c r="APD550" s="13"/>
      <c r="APE550" s="13"/>
      <c r="APF550" s="13"/>
      <c r="APG550" s="13"/>
      <c r="APH550" s="13"/>
      <c r="API550" s="13"/>
      <c r="APJ550" s="13"/>
      <c r="APK550" s="13"/>
      <c r="APL550" s="13"/>
      <c r="APM550" s="13"/>
      <c r="APN550" s="13"/>
      <c r="APO550" s="13"/>
      <c r="APP550" s="13"/>
      <c r="APQ550" s="13"/>
      <c r="APR550" s="13"/>
      <c r="APS550" s="13"/>
      <c r="APT550" s="13"/>
      <c r="APU550" s="13"/>
      <c r="APV550" s="13"/>
      <c r="APW550" s="13"/>
      <c r="APX550" s="13"/>
      <c r="APY550" s="13"/>
      <c r="APZ550" s="13"/>
      <c r="AQA550" s="13"/>
      <c r="AQB550" s="13"/>
      <c r="AQC550" s="13"/>
      <c r="AQD550" s="13"/>
      <c r="AQE550" s="13"/>
      <c r="AQF550" s="13"/>
      <c r="AQG550" s="13"/>
      <c r="AQH550" s="13"/>
      <c r="AQI550" s="13"/>
      <c r="AQJ550" s="13"/>
      <c r="AQK550" s="13"/>
      <c r="AQL550" s="13"/>
      <c r="AQM550" s="13"/>
      <c r="AQN550" s="13"/>
      <c r="AQO550" s="13"/>
      <c r="AQP550" s="13"/>
      <c r="AQQ550" s="13"/>
      <c r="AQR550" s="13"/>
      <c r="AQS550" s="13"/>
      <c r="AQT550" s="13"/>
      <c r="AQU550" s="13"/>
      <c r="AQV550" s="13"/>
      <c r="AQW550" s="13"/>
      <c r="AQX550" s="13"/>
      <c r="AQY550" s="13"/>
      <c r="AQZ550" s="13"/>
      <c r="ARA550" s="13"/>
      <c r="ARB550" s="13"/>
      <c r="ARC550" s="13"/>
      <c r="ARD550" s="13"/>
      <c r="ARE550" s="13"/>
      <c r="ARF550" s="13"/>
      <c r="ARG550" s="13"/>
      <c r="ARH550" s="13"/>
      <c r="ARI550" s="13"/>
      <c r="ARJ550" s="13"/>
      <c r="ARK550" s="13"/>
      <c r="ARL550" s="13"/>
      <c r="ARM550" s="13"/>
      <c r="ARN550" s="13"/>
      <c r="ARO550" s="13"/>
      <c r="ARP550" s="13"/>
      <c r="ARQ550" s="13"/>
      <c r="ARR550" s="13"/>
      <c r="ARS550" s="13"/>
      <c r="ART550" s="13"/>
      <c r="ARU550" s="13"/>
      <c r="ARV550" s="13"/>
      <c r="ARW550" s="13"/>
      <c r="ARX550" s="13"/>
      <c r="ARY550" s="13"/>
      <c r="ARZ550" s="13"/>
      <c r="ASA550" s="13"/>
      <c r="ASB550" s="13"/>
      <c r="ASC550" s="13"/>
      <c r="ASD550" s="13"/>
      <c r="ASE550" s="13"/>
      <c r="ASF550" s="13"/>
      <c r="ASG550" s="13"/>
      <c r="ASH550" s="13"/>
      <c r="ASI550" s="13"/>
      <c r="ASJ550" s="13"/>
      <c r="ASK550" s="13"/>
      <c r="ASL550" s="13"/>
      <c r="ASM550" s="13"/>
      <c r="ASN550" s="13"/>
      <c r="ASO550" s="13"/>
      <c r="ASP550" s="13"/>
      <c r="ASQ550" s="13"/>
      <c r="ASR550" s="13"/>
      <c r="ASS550" s="13"/>
      <c r="AST550" s="13"/>
      <c r="ASU550" s="13"/>
      <c r="ASV550" s="13"/>
      <c r="ASW550" s="13"/>
      <c r="ASX550" s="13"/>
      <c r="ASY550" s="13"/>
      <c r="ASZ550" s="13"/>
      <c r="ATA550" s="13"/>
      <c r="ATB550" s="13"/>
      <c r="ATC550" s="13"/>
      <c r="ATD550" s="13"/>
      <c r="ATE550" s="13"/>
      <c r="ATF550" s="13"/>
      <c r="ATG550" s="13"/>
      <c r="ATH550" s="13"/>
      <c r="ATI550" s="13"/>
      <c r="ATJ550" s="13"/>
      <c r="ATK550" s="13"/>
      <c r="ATL550" s="13"/>
      <c r="ATM550" s="13"/>
      <c r="ATN550" s="13"/>
      <c r="ATO550" s="13"/>
      <c r="ATP550" s="13"/>
      <c r="ATQ550" s="13"/>
      <c r="ATR550" s="13"/>
      <c r="ATS550" s="13"/>
      <c r="ATT550" s="13"/>
      <c r="ATU550" s="13"/>
      <c r="ATV550" s="13"/>
      <c r="ATW550" s="13"/>
      <c r="ATX550" s="13"/>
      <c r="ATY550" s="13"/>
      <c r="ATZ550" s="13"/>
      <c r="AUA550" s="13"/>
      <c r="AUB550" s="13"/>
      <c r="AUC550" s="13"/>
      <c r="AUD550" s="13"/>
      <c r="AUE550" s="13"/>
      <c r="AUF550" s="13"/>
      <c r="AUG550" s="13"/>
      <c r="AUH550" s="13"/>
      <c r="AUI550" s="13"/>
      <c r="AUJ550" s="13"/>
      <c r="AUK550" s="13"/>
      <c r="AUL550" s="13"/>
      <c r="AUM550" s="13"/>
      <c r="AUN550" s="13"/>
      <c r="AUO550" s="13"/>
      <c r="AUP550" s="13"/>
      <c r="AUQ550" s="13"/>
      <c r="AUR550" s="13"/>
      <c r="AUS550" s="13"/>
      <c r="AUT550" s="13"/>
      <c r="AUU550" s="13"/>
      <c r="AUV550" s="13"/>
      <c r="AUW550" s="13"/>
      <c r="AUX550" s="13"/>
      <c r="AUY550" s="13"/>
      <c r="AUZ550" s="13"/>
      <c r="AVA550" s="13"/>
      <c r="AVB550" s="13"/>
      <c r="AVC550" s="13"/>
      <c r="AVD550" s="13"/>
      <c r="AVE550" s="13"/>
      <c r="AVF550" s="13"/>
      <c r="AVG550" s="13"/>
      <c r="AVH550" s="13"/>
      <c r="AVI550" s="13"/>
      <c r="AVJ550" s="13"/>
      <c r="AVK550" s="13"/>
      <c r="AVL550" s="13"/>
      <c r="AVM550" s="13"/>
      <c r="AVN550" s="13"/>
      <c r="AVO550" s="13"/>
      <c r="AVP550" s="13"/>
      <c r="AVQ550" s="13"/>
      <c r="AVR550" s="13"/>
      <c r="AVS550" s="13"/>
      <c r="AVT550" s="13"/>
      <c r="AVU550" s="13"/>
      <c r="AVV550" s="13"/>
      <c r="AVW550" s="13"/>
      <c r="AVX550" s="13"/>
      <c r="AVY550" s="13"/>
      <c r="AVZ550" s="13"/>
      <c r="AWA550" s="13"/>
      <c r="AWB550" s="13"/>
      <c r="AWC550" s="13"/>
      <c r="AWD550" s="13"/>
      <c r="AWE550" s="13"/>
      <c r="AWF550" s="13"/>
      <c r="AWG550" s="13"/>
      <c r="AWH550" s="13"/>
      <c r="AWI550" s="13"/>
      <c r="AWJ550" s="13"/>
      <c r="AWK550" s="13"/>
      <c r="AWL550" s="13"/>
      <c r="AWM550" s="13"/>
      <c r="AWN550" s="13"/>
      <c r="AWO550" s="13"/>
      <c r="AWP550" s="13"/>
      <c r="AWQ550" s="13"/>
      <c r="AWR550" s="13"/>
      <c r="AWS550" s="13"/>
      <c r="AWT550" s="13"/>
      <c r="AWU550" s="13"/>
      <c r="AWV550" s="13"/>
      <c r="AWW550" s="13"/>
      <c r="AWX550" s="13"/>
      <c r="AWY550" s="13"/>
      <c r="AWZ550" s="13"/>
      <c r="AXA550" s="13"/>
      <c r="AXB550" s="13"/>
      <c r="AXC550" s="13"/>
      <c r="AXD550" s="13"/>
      <c r="AXE550" s="13"/>
      <c r="AXF550" s="13"/>
      <c r="AXG550" s="13"/>
      <c r="AXH550" s="13"/>
      <c r="AXI550" s="13"/>
      <c r="AXJ550" s="13"/>
      <c r="AXK550" s="13"/>
      <c r="AXL550" s="13"/>
      <c r="AXM550" s="13"/>
      <c r="AXN550" s="13"/>
      <c r="AXO550" s="13"/>
      <c r="AXP550" s="13"/>
      <c r="AXQ550" s="13"/>
      <c r="AXR550" s="13"/>
      <c r="AXS550" s="13"/>
      <c r="AXT550" s="13"/>
      <c r="AXU550" s="13"/>
      <c r="AXV550" s="13"/>
      <c r="AXW550" s="13"/>
      <c r="AXX550" s="13"/>
      <c r="AXY550" s="13"/>
      <c r="AXZ550" s="13"/>
      <c r="AYA550" s="13"/>
      <c r="AYB550" s="13"/>
      <c r="AYC550" s="13"/>
      <c r="AYD550" s="13"/>
      <c r="AYE550" s="13"/>
      <c r="AYF550" s="13"/>
      <c r="AYG550" s="13"/>
      <c r="AYH550" s="13"/>
      <c r="AYI550" s="13"/>
      <c r="AYJ550" s="13"/>
      <c r="AYK550" s="13"/>
      <c r="AYL550" s="13"/>
      <c r="AYM550" s="13"/>
      <c r="AYN550" s="13"/>
      <c r="AYO550" s="13"/>
      <c r="AYP550" s="13"/>
      <c r="AYQ550" s="13"/>
      <c r="AYR550" s="13"/>
      <c r="AYS550" s="13"/>
      <c r="AYT550" s="13"/>
      <c r="AYU550" s="13"/>
      <c r="AYV550" s="13"/>
      <c r="AYW550" s="13"/>
      <c r="AYX550" s="13"/>
      <c r="AYY550" s="13"/>
      <c r="AYZ550" s="13"/>
      <c r="AZA550" s="13"/>
      <c r="AZB550" s="13"/>
      <c r="AZC550" s="13"/>
      <c r="AZD550" s="13"/>
      <c r="AZE550" s="13"/>
      <c r="AZF550" s="13"/>
      <c r="AZG550" s="13"/>
      <c r="AZH550" s="13"/>
      <c r="AZI550" s="13"/>
      <c r="AZJ550" s="13"/>
      <c r="AZK550" s="13"/>
      <c r="AZL550" s="13"/>
      <c r="AZM550" s="13"/>
      <c r="AZN550" s="13"/>
      <c r="AZO550" s="13"/>
      <c r="AZP550" s="13"/>
      <c r="AZQ550" s="13"/>
      <c r="AZR550" s="13"/>
      <c r="AZS550" s="13"/>
      <c r="AZT550" s="13"/>
      <c r="AZU550" s="13"/>
      <c r="AZV550" s="13"/>
      <c r="AZW550" s="13"/>
      <c r="AZX550" s="13"/>
      <c r="AZY550" s="13"/>
      <c r="AZZ550" s="13"/>
      <c r="BAA550" s="13"/>
      <c r="BAB550" s="13"/>
      <c r="BAC550" s="13"/>
      <c r="BAD550" s="13"/>
      <c r="BAE550" s="13"/>
      <c r="BAF550" s="13"/>
      <c r="BAG550" s="13"/>
      <c r="BAH550" s="13"/>
      <c r="BAI550" s="13"/>
      <c r="BAJ550" s="13"/>
      <c r="BAK550" s="13"/>
      <c r="BAL550" s="13"/>
      <c r="BAM550" s="13"/>
      <c r="BAN550" s="13"/>
      <c r="BAO550" s="13"/>
      <c r="BAP550" s="13"/>
      <c r="BAQ550" s="13"/>
      <c r="BAR550" s="13"/>
      <c r="BAS550" s="13"/>
      <c r="BAT550" s="13"/>
      <c r="BAU550" s="13"/>
      <c r="BAV550" s="13"/>
      <c r="BAW550" s="13"/>
      <c r="BAX550" s="13"/>
      <c r="BAY550" s="13"/>
      <c r="BAZ550" s="13"/>
      <c r="BBA550" s="13"/>
      <c r="BBB550" s="13"/>
      <c r="BBC550" s="13"/>
      <c r="BBD550" s="13"/>
      <c r="BBE550" s="13"/>
      <c r="BBF550" s="13"/>
      <c r="BBG550" s="13"/>
      <c r="BBH550" s="13"/>
      <c r="BBI550" s="13"/>
      <c r="BBJ550" s="13"/>
      <c r="BBK550" s="13"/>
      <c r="BBL550" s="13"/>
      <c r="BBM550" s="13"/>
      <c r="BBN550" s="13"/>
      <c r="BBO550" s="13"/>
      <c r="BBP550" s="13"/>
      <c r="BBQ550" s="13"/>
      <c r="BBR550" s="13"/>
      <c r="BBS550" s="13"/>
      <c r="BBT550" s="13"/>
      <c r="BBU550" s="13"/>
      <c r="BBV550" s="13"/>
      <c r="BBW550" s="13"/>
      <c r="BBX550" s="13"/>
      <c r="BBY550" s="13"/>
      <c r="BBZ550" s="13"/>
      <c r="BCA550" s="13"/>
      <c r="BCB550" s="13"/>
      <c r="BCC550" s="13"/>
      <c r="BCD550" s="13"/>
      <c r="BCE550" s="13"/>
      <c r="BCF550" s="13"/>
      <c r="BCG550" s="13"/>
      <c r="BCH550" s="13"/>
      <c r="BCI550" s="13"/>
      <c r="BCJ550" s="13"/>
      <c r="BCK550" s="13"/>
      <c r="BCL550" s="13"/>
      <c r="BCM550" s="13"/>
      <c r="BCN550" s="13"/>
      <c r="BCO550" s="13"/>
      <c r="BCP550" s="13"/>
      <c r="BCQ550" s="13"/>
      <c r="BCR550" s="13"/>
      <c r="BCS550" s="13"/>
      <c r="BCT550" s="13"/>
      <c r="BCU550" s="13"/>
      <c r="BCV550" s="13"/>
      <c r="BCW550" s="13"/>
      <c r="BCX550" s="13"/>
      <c r="BCY550" s="13"/>
      <c r="BCZ550" s="13"/>
      <c r="BDA550" s="13"/>
      <c r="BDB550" s="13"/>
      <c r="BDC550" s="13"/>
      <c r="BDD550" s="13"/>
      <c r="BDE550" s="13"/>
      <c r="BDF550" s="13"/>
      <c r="BDG550" s="13"/>
      <c r="BDH550" s="13"/>
      <c r="BDI550" s="13"/>
      <c r="BDJ550" s="13"/>
      <c r="BDK550" s="13"/>
      <c r="BDL550" s="13"/>
      <c r="BDM550" s="13"/>
      <c r="BDN550" s="13"/>
      <c r="BDO550" s="13"/>
      <c r="BDP550" s="13"/>
      <c r="BDQ550" s="13"/>
      <c r="BDR550" s="13"/>
      <c r="BDS550" s="13"/>
      <c r="BDT550" s="13"/>
      <c r="BDU550" s="13"/>
      <c r="BDV550" s="13"/>
      <c r="BDW550" s="13"/>
      <c r="BDX550" s="13"/>
      <c r="BDY550" s="13"/>
      <c r="BDZ550" s="13"/>
      <c r="BEA550" s="13"/>
      <c r="BEB550" s="13"/>
      <c r="BEC550" s="13"/>
      <c r="BED550" s="13"/>
      <c r="BEE550" s="13"/>
      <c r="BEF550" s="13"/>
      <c r="BEG550" s="13"/>
      <c r="BEH550" s="13"/>
      <c r="BEI550" s="13"/>
      <c r="BEJ550" s="13"/>
      <c r="BEK550" s="13"/>
      <c r="BEL550" s="13"/>
      <c r="BEM550" s="13"/>
      <c r="BEN550" s="13"/>
      <c r="BEO550" s="13"/>
      <c r="BEP550" s="13"/>
      <c r="BEQ550" s="13"/>
      <c r="BER550" s="13"/>
      <c r="BES550" s="13"/>
      <c r="BET550" s="13"/>
      <c r="BEU550" s="13"/>
      <c r="BEV550" s="13"/>
      <c r="BEW550" s="13"/>
      <c r="BEX550" s="13"/>
      <c r="BEY550" s="13"/>
      <c r="BEZ550" s="13"/>
      <c r="BFA550" s="13"/>
      <c r="BFB550" s="13"/>
      <c r="BFC550" s="13"/>
      <c r="BFD550" s="13"/>
      <c r="BFE550" s="13"/>
      <c r="BFF550" s="13"/>
      <c r="BFG550" s="13"/>
      <c r="BFH550" s="13"/>
      <c r="BFI550" s="13"/>
      <c r="BFJ550" s="13"/>
      <c r="BFK550" s="13"/>
      <c r="BFL550" s="13"/>
      <c r="BFM550" s="13"/>
      <c r="BFN550" s="13"/>
      <c r="BFO550" s="13"/>
      <c r="BFP550" s="13"/>
      <c r="BFQ550" s="13"/>
      <c r="BFR550" s="13"/>
      <c r="BFS550" s="13"/>
      <c r="BFT550" s="13"/>
      <c r="BFU550" s="13"/>
      <c r="BFV550" s="13"/>
      <c r="BFW550" s="13"/>
      <c r="BFX550" s="13"/>
      <c r="BFY550" s="13"/>
      <c r="BFZ550" s="13"/>
      <c r="BGA550" s="13"/>
      <c r="BGB550" s="13"/>
      <c r="BGC550" s="13"/>
      <c r="BGD550" s="13"/>
      <c r="BGE550" s="13"/>
      <c r="BGF550" s="13"/>
      <c r="BGG550" s="13"/>
      <c r="BGH550" s="13"/>
      <c r="BGI550" s="13"/>
      <c r="BGJ550" s="13"/>
      <c r="BGK550" s="13"/>
      <c r="BGL550" s="13"/>
      <c r="BGM550" s="13"/>
      <c r="BGN550" s="13"/>
      <c r="BGO550" s="13"/>
      <c r="BGP550" s="13"/>
      <c r="BGQ550" s="13"/>
      <c r="BGR550" s="13"/>
      <c r="BGS550" s="13"/>
      <c r="BGT550" s="13"/>
      <c r="BGU550" s="13"/>
      <c r="BGV550" s="13"/>
      <c r="BGW550" s="13"/>
      <c r="BGX550" s="13"/>
      <c r="BGY550" s="13"/>
      <c r="BGZ550" s="13"/>
      <c r="BHA550" s="13"/>
      <c r="BHB550" s="13"/>
      <c r="BHC550" s="13"/>
      <c r="BHD550" s="13"/>
      <c r="BHE550" s="13"/>
      <c r="BHF550" s="13"/>
      <c r="BHG550" s="13"/>
      <c r="BHH550" s="13"/>
      <c r="BHI550" s="13"/>
      <c r="BHJ550" s="13"/>
      <c r="BHK550" s="13"/>
      <c r="BHL550" s="13"/>
      <c r="BHM550" s="13"/>
      <c r="BHN550" s="13"/>
      <c r="BHO550" s="13"/>
      <c r="BHP550" s="13"/>
      <c r="BHQ550" s="13"/>
      <c r="BHR550" s="13"/>
      <c r="BHS550" s="13"/>
      <c r="BHT550" s="13"/>
      <c r="BHU550" s="13"/>
      <c r="BHV550" s="13"/>
      <c r="BHW550" s="13"/>
      <c r="BHX550" s="13"/>
      <c r="BHY550" s="13"/>
      <c r="BHZ550" s="13"/>
      <c r="BIA550" s="13"/>
      <c r="BIB550" s="13"/>
      <c r="BIC550" s="13"/>
      <c r="BID550" s="13"/>
      <c r="BIE550" s="13"/>
      <c r="BIF550" s="13"/>
      <c r="BIG550" s="13"/>
      <c r="BIH550" s="13"/>
      <c r="BII550" s="13"/>
      <c r="BIJ550" s="13"/>
      <c r="BIK550" s="13"/>
      <c r="BIL550" s="13"/>
      <c r="BIM550" s="13"/>
      <c r="BIN550" s="13"/>
      <c r="BIO550" s="13"/>
      <c r="BIP550" s="13"/>
      <c r="BIQ550" s="13"/>
      <c r="BIR550" s="13"/>
      <c r="BIS550" s="13"/>
      <c r="BIT550" s="13"/>
      <c r="BIU550" s="13"/>
      <c r="BIV550" s="13"/>
      <c r="BIW550" s="13"/>
      <c r="BIX550" s="13"/>
      <c r="BIY550" s="13"/>
      <c r="BIZ550" s="13"/>
      <c r="BJA550" s="13"/>
      <c r="BJB550" s="13"/>
      <c r="BJC550" s="13"/>
      <c r="BJD550" s="13"/>
      <c r="BJE550" s="13"/>
      <c r="BJF550" s="13"/>
      <c r="BJG550" s="13"/>
      <c r="BJH550" s="13"/>
      <c r="BJI550" s="13"/>
      <c r="BJJ550" s="13"/>
      <c r="BJK550" s="13"/>
      <c r="BJL550" s="13"/>
      <c r="BJM550" s="13"/>
      <c r="BJN550" s="13"/>
      <c r="BJO550" s="13"/>
      <c r="BJP550" s="13"/>
      <c r="BJQ550" s="13"/>
      <c r="BJR550" s="13"/>
      <c r="BJS550" s="13"/>
      <c r="BJT550" s="13"/>
      <c r="BJU550" s="13"/>
      <c r="BJV550" s="13"/>
      <c r="BJW550" s="13"/>
      <c r="BJX550" s="13"/>
      <c r="BJY550" s="13"/>
      <c r="BJZ550" s="13"/>
      <c r="BKA550" s="13"/>
      <c r="BKB550" s="13"/>
      <c r="BKC550" s="13"/>
      <c r="BKD550" s="13"/>
      <c r="BKE550" s="13"/>
      <c r="BKF550" s="13"/>
      <c r="BKG550" s="13"/>
      <c r="BKH550" s="13"/>
      <c r="BKI550" s="13"/>
      <c r="BKJ550" s="13"/>
      <c r="BKK550" s="13"/>
      <c r="BKL550" s="13"/>
      <c r="BKM550" s="13"/>
      <c r="BKN550" s="13"/>
      <c r="BKO550" s="13"/>
      <c r="BKP550" s="13"/>
      <c r="BKQ550" s="13"/>
      <c r="BKR550" s="13"/>
      <c r="BKS550" s="13"/>
      <c r="BKT550" s="13"/>
      <c r="BKU550" s="13"/>
      <c r="BKV550" s="13"/>
      <c r="BKW550" s="13"/>
      <c r="BKX550" s="13"/>
      <c r="BKY550" s="13"/>
      <c r="BKZ550" s="13"/>
      <c r="BLA550" s="13"/>
      <c r="BLB550" s="13"/>
      <c r="BLC550" s="13"/>
      <c r="BLD550" s="13"/>
      <c r="BLE550" s="13"/>
      <c r="BLF550" s="13"/>
      <c r="BLG550" s="13"/>
      <c r="BLH550" s="13"/>
      <c r="BLI550" s="13"/>
      <c r="BLJ550" s="13"/>
      <c r="BLK550" s="13"/>
      <c r="BLL550" s="13"/>
      <c r="BLM550" s="13"/>
      <c r="BLN550" s="13"/>
      <c r="BLO550" s="13"/>
      <c r="BLP550" s="13"/>
      <c r="BLQ550" s="13"/>
      <c r="BLR550" s="13"/>
      <c r="BLS550" s="13"/>
      <c r="BLT550" s="13"/>
      <c r="BLU550" s="13"/>
      <c r="BLV550" s="13"/>
      <c r="BLW550" s="13"/>
      <c r="BLX550" s="13"/>
      <c r="BLY550" s="13"/>
      <c r="BLZ550" s="13"/>
      <c r="BMA550" s="13"/>
      <c r="BMB550" s="13"/>
      <c r="BMC550" s="13"/>
      <c r="BMD550" s="13"/>
      <c r="BME550" s="13"/>
      <c r="BMF550" s="13"/>
      <c r="BMG550" s="13"/>
      <c r="BMH550" s="13"/>
      <c r="BMI550" s="13"/>
      <c r="BMJ550" s="13"/>
      <c r="BMK550" s="13"/>
      <c r="BML550" s="13"/>
      <c r="BMM550" s="13"/>
      <c r="BMN550" s="13"/>
      <c r="BMO550" s="13"/>
      <c r="BMP550" s="13"/>
      <c r="BMQ550" s="13"/>
      <c r="BMR550" s="13"/>
      <c r="BMS550" s="13"/>
      <c r="BMT550" s="13"/>
      <c r="BMU550" s="13"/>
      <c r="BMV550" s="13"/>
      <c r="BMW550" s="13"/>
      <c r="BMX550" s="13"/>
      <c r="BMY550" s="13"/>
      <c r="BMZ550" s="13"/>
      <c r="BNA550" s="13"/>
      <c r="BNB550" s="13"/>
      <c r="BNC550" s="13"/>
      <c r="BND550" s="13"/>
      <c r="BNE550" s="13"/>
      <c r="BNF550" s="13"/>
      <c r="BNG550" s="13"/>
      <c r="BNH550" s="13"/>
      <c r="BNI550" s="13"/>
      <c r="BNJ550" s="13"/>
      <c r="BNK550" s="13"/>
      <c r="BNL550" s="13"/>
      <c r="BNM550" s="13"/>
      <c r="BNN550" s="13"/>
      <c r="BNO550" s="13"/>
      <c r="BNP550" s="13"/>
      <c r="BNQ550" s="13"/>
      <c r="BNR550" s="13"/>
      <c r="BNS550" s="13"/>
      <c r="BNT550" s="13"/>
      <c r="BNU550" s="13"/>
      <c r="BNV550" s="13"/>
      <c r="BNW550" s="13"/>
      <c r="BNX550" s="13"/>
      <c r="BNY550" s="13"/>
      <c r="BNZ550" s="13"/>
      <c r="BOA550" s="13"/>
      <c r="BOB550" s="13"/>
      <c r="BOC550" s="13"/>
      <c r="BOD550" s="13"/>
      <c r="BOE550" s="13"/>
      <c r="BOF550" s="13"/>
      <c r="BOG550" s="13"/>
      <c r="BOH550" s="13"/>
      <c r="BOI550" s="13"/>
      <c r="BOJ550" s="13"/>
      <c r="BOK550" s="13"/>
      <c r="BOL550" s="13"/>
      <c r="BOM550" s="13"/>
      <c r="BON550" s="13"/>
      <c r="BOO550" s="13"/>
      <c r="BOP550" s="13"/>
      <c r="BOQ550" s="13"/>
      <c r="BOR550" s="13"/>
      <c r="BOS550" s="13"/>
      <c r="BOT550" s="13"/>
      <c r="BOU550" s="13"/>
      <c r="BOV550" s="13"/>
      <c r="BOW550" s="13"/>
      <c r="BOX550" s="13"/>
      <c r="BOY550" s="13"/>
      <c r="BOZ550" s="13"/>
      <c r="BPA550" s="13"/>
      <c r="BPB550" s="13"/>
      <c r="BPC550" s="13"/>
      <c r="BPD550" s="13"/>
      <c r="BPE550" s="13"/>
      <c r="BPF550" s="13"/>
      <c r="BPG550" s="13"/>
      <c r="BPH550" s="13"/>
      <c r="BPI550" s="13"/>
      <c r="BPJ550" s="13"/>
      <c r="BPK550" s="13"/>
      <c r="BPL550" s="13"/>
      <c r="BPM550" s="13"/>
      <c r="BPN550" s="13"/>
      <c r="BPO550" s="13"/>
      <c r="BPP550" s="13"/>
      <c r="BPQ550" s="13"/>
      <c r="BPR550" s="13"/>
      <c r="BPS550" s="13"/>
      <c r="BPT550" s="13"/>
      <c r="BPU550" s="13"/>
      <c r="BPV550" s="13"/>
      <c r="BPW550" s="13"/>
      <c r="BPX550" s="13"/>
      <c r="BPY550" s="13"/>
      <c r="BPZ550" s="13"/>
      <c r="BQA550" s="13"/>
      <c r="BQB550" s="13"/>
      <c r="BQC550" s="13"/>
      <c r="BQD550" s="13"/>
      <c r="BQE550" s="13"/>
      <c r="BQF550" s="13"/>
      <c r="BQG550" s="13"/>
      <c r="BQH550" s="13"/>
      <c r="BQI550" s="13"/>
      <c r="BQJ550" s="13"/>
      <c r="BQK550" s="13"/>
      <c r="BQL550" s="13"/>
      <c r="BQM550" s="13"/>
      <c r="BQN550" s="13"/>
      <c r="BQO550" s="13"/>
      <c r="BQP550" s="13"/>
      <c r="BQQ550" s="13"/>
      <c r="BQR550" s="13"/>
      <c r="BQS550" s="13"/>
      <c r="BQT550" s="13"/>
      <c r="BQU550" s="13"/>
      <c r="BQV550" s="13"/>
      <c r="BQW550" s="13"/>
      <c r="BQX550" s="13"/>
      <c r="BQY550" s="13"/>
      <c r="BQZ550" s="13"/>
      <c r="BRA550" s="13"/>
      <c r="BRB550" s="13"/>
      <c r="BRC550" s="13"/>
      <c r="BRD550" s="13"/>
      <c r="BRE550" s="13"/>
      <c r="BRF550" s="13"/>
      <c r="BRG550" s="13"/>
      <c r="BRH550" s="13"/>
      <c r="BRI550" s="13"/>
      <c r="BRJ550" s="13"/>
      <c r="BRK550" s="13"/>
      <c r="BRL550" s="13"/>
      <c r="BRM550" s="13"/>
      <c r="BRN550" s="13"/>
      <c r="BRO550" s="13"/>
      <c r="BRP550" s="13"/>
      <c r="BRQ550" s="13"/>
      <c r="BRR550" s="13"/>
      <c r="BRS550" s="13"/>
      <c r="BRT550" s="13"/>
      <c r="BRU550" s="13"/>
      <c r="BRV550" s="13"/>
      <c r="BRW550" s="13"/>
      <c r="BRX550" s="13"/>
      <c r="BRY550" s="13"/>
      <c r="BRZ550" s="13"/>
      <c r="BSA550" s="13"/>
      <c r="BSB550" s="13"/>
      <c r="BSC550" s="13"/>
      <c r="BSD550" s="13"/>
      <c r="BSE550" s="13"/>
      <c r="BSF550" s="13"/>
      <c r="BSG550" s="13"/>
      <c r="BSH550" s="13"/>
      <c r="BSI550" s="13"/>
      <c r="BSJ550" s="13"/>
      <c r="BSK550" s="13"/>
      <c r="BSL550" s="13"/>
      <c r="BSM550" s="13"/>
      <c r="BSN550" s="13"/>
      <c r="BSO550" s="13"/>
      <c r="BSP550" s="13"/>
      <c r="BSQ550" s="13"/>
      <c r="BSR550" s="13"/>
      <c r="BSS550" s="13"/>
      <c r="BST550" s="13"/>
      <c r="BSU550" s="13"/>
      <c r="BSV550" s="13"/>
      <c r="BSW550" s="13"/>
      <c r="BSX550" s="13"/>
      <c r="BSY550" s="13"/>
      <c r="BSZ550" s="13"/>
      <c r="BTA550" s="13"/>
    </row>
    <row r="551" spans="1:1873" s="23" customFormat="1" x14ac:dyDescent="0.2">
      <c r="A551" s="223" t="s">
        <v>785</v>
      </c>
      <c r="B551" s="223" t="s">
        <v>786</v>
      </c>
      <c r="C551" s="223" t="s">
        <v>292</v>
      </c>
      <c r="D551" s="223" t="s">
        <v>619</v>
      </c>
      <c r="E551" s="241" t="s">
        <v>1444</v>
      </c>
      <c r="F551" s="241">
        <v>1</v>
      </c>
      <c r="G551" s="223">
        <v>8</v>
      </c>
      <c r="H551" s="242">
        <v>8</v>
      </c>
      <c r="I551" s="223" t="s">
        <v>954</v>
      </c>
      <c r="J551" s="223">
        <v>1981</v>
      </c>
      <c r="K551" s="223" t="s">
        <v>957</v>
      </c>
      <c r="L551" s="223">
        <v>1988</v>
      </c>
      <c r="M551" s="243">
        <v>-9999</v>
      </c>
      <c r="N551" s="223">
        <v>-9999</v>
      </c>
      <c r="O551" s="29"/>
      <c r="P551" s="285">
        <f t="shared" si="43"/>
        <v>82.4</v>
      </c>
      <c r="Q551" s="223">
        <v>-9999</v>
      </c>
      <c r="R551" s="243"/>
      <c r="S551" s="223"/>
      <c r="T551" s="243">
        <v>10.3</v>
      </c>
      <c r="U551" s="243">
        <v>1.3</v>
      </c>
      <c r="V551" s="243"/>
      <c r="W551" s="244">
        <f>+P551-P550</f>
        <v>4.0000000000000142</v>
      </c>
      <c r="X551" s="223">
        <v>-9999</v>
      </c>
      <c r="Y551" s="223"/>
      <c r="Z551" s="223" t="s">
        <v>74</v>
      </c>
      <c r="AA551" s="248">
        <v>14286</v>
      </c>
      <c r="AB551" s="243">
        <v>0.79</v>
      </c>
      <c r="AC551" s="223">
        <v>-9999</v>
      </c>
      <c r="AD551" s="223">
        <f t="shared" si="40"/>
        <v>400</v>
      </c>
      <c r="AE551" s="404" t="s">
        <v>1956</v>
      </c>
      <c r="AF551" s="223">
        <v>4</v>
      </c>
      <c r="AG551" s="223">
        <v>2</v>
      </c>
      <c r="AH551" s="223" t="s">
        <v>623</v>
      </c>
      <c r="AI551" s="223">
        <v>-9999</v>
      </c>
      <c r="AJ551" s="223">
        <v>-9999</v>
      </c>
      <c r="AK551" s="223" t="s">
        <v>626</v>
      </c>
      <c r="AL551" s="223" t="s">
        <v>653</v>
      </c>
      <c r="AM551" s="223">
        <v>-9999</v>
      </c>
      <c r="AN551" s="223" t="s">
        <v>631</v>
      </c>
      <c r="AO551" s="223">
        <v>-9999</v>
      </c>
      <c r="AP551" s="223">
        <v>-9999</v>
      </c>
      <c r="AQ551" s="223" t="s">
        <v>631</v>
      </c>
      <c r="AR551" s="223">
        <v>0</v>
      </c>
      <c r="AS551" s="223">
        <v>-9999</v>
      </c>
      <c r="AT551" s="223">
        <v>-9999</v>
      </c>
      <c r="AU551" s="223">
        <v>0</v>
      </c>
      <c r="AV551" s="223">
        <v>-9999</v>
      </c>
      <c r="AW551" s="223">
        <v>-9999</v>
      </c>
      <c r="AX551" s="223">
        <v>0</v>
      </c>
      <c r="AY551" s="223">
        <v>-9999</v>
      </c>
      <c r="AZ551" s="223">
        <v>-9999</v>
      </c>
      <c r="BA551" s="223" t="s">
        <v>794</v>
      </c>
      <c r="BB551" s="223" t="s">
        <v>626</v>
      </c>
      <c r="BC551" s="223" t="s">
        <v>795</v>
      </c>
      <c r="BD551" s="223" t="s">
        <v>796</v>
      </c>
      <c r="BE551" s="223"/>
      <c r="BF551" s="223"/>
      <c r="BG551" s="223"/>
      <c r="BH551" s="223">
        <v>-9999</v>
      </c>
      <c r="BI551" s="223">
        <v>-9999</v>
      </c>
      <c r="BJ551" s="223">
        <v>-9999</v>
      </c>
      <c r="BK551" s="223">
        <v>-9999</v>
      </c>
      <c r="BL551" s="223">
        <v>-9999</v>
      </c>
      <c r="BM551" s="223">
        <v>-9999</v>
      </c>
      <c r="BN551" s="223">
        <v>-9999</v>
      </c>
      <c r="BO551" s="223">
        <v>-9999</v>
      </c>
      <c r="BP551" s="223">
        <v>-9999</v>
      </c>
      <c r="BQ551" s="223">
        <v>-9999</v>
      </c>
      <c r="BR551" s="223">
        <v>-9999</v>
      </c>
      <c r="BS551" s="242">
        <v>-9999</v>
      </c>
      <c r="BT551" s="223">
        <v>-9999</v>
      </c>
      <c r="BU551" s="223">
        <v>-9999</v>
      </c>
      <c r="BV551" s="223">
        <v>-9999</v>
      </c>
      <c r="BW551" s="223"/>
      <c r="BX551" s="223">
        <v>-9999</v>
      </c>
      <c r="BY551" s="223">
        <v>-9999</v>
      </c>
      <c r="BZ551" s="223">
        <v>-9999</v>
      </c>
      <c r="CA551" s="332" t="s">
        <v>797</v>
      </c>
      <c r="CB551" s="247"/>
      <c r="CC551" s="83">
        <v>1</v>
      </c>
      <c r="CD551" s="32">
        <v>8</v>
      </c>
      <c r="CE551" s="292">
        <v>10.3</v>
      </c>
      <c r="CF551" s="292">
        <v>4.0000000000000142</v>
      </c>
      <c r="CG551" s="84">
        <v>8</v>
      </c>
    </row>
    <row r="552" spans="1:1873" s="23" customFormat="1" x14ac:dyDescent="0.2">
      <c r="A552" s="223"/>
      <c r="B552" s="223"/>
      <c r="C552" s="223"/>
      <c r="D552" s="223"/>
      <c r="E552" s="241"/>
      <c r="F552" s="241"/>
      <c r="G552" s="223"/>
      <c r="H552" s="242"/>
      <c r="I552" s="223"/>
      <c r="J552" s="223"/>
      <c r="K552" s="223"/>
      <c r="L552" s="223"/>
      <c r="M552" s="243"/>
      <c r="N552" s="223"/>
      <c r="O552" s="29"/>
      <c r="P552" s="243"/>
      <c r="Q552" s="223"/>
      <c r="R552" s="243"/>
      <c r="S552" s="223"/>
      <c r="T552" s="243"/>
      <c r="U552" s="243"/>
      <c r="V552" s="243"/>
      <c r="W552" s="243"/>
      <c r="X552" s="223"/>
      <c r="Y552" s="223"/>
      <c r="Z552" s="223"/>
      <c r="AA552" s="248"/>
      <c r="AB552" s="243"/>
      <c r="AC552" s="223"/>
      <c r="AD552" s="223"/>
      <c r="AE552" s="223"/>
      <c r="AF552" s="223"/>
      <c r="AG552" s="223"/>
      <c r="AH552" s="223"/>
      <c r="AI552" s="223"/>
      <c r="AJ552" s="223"/>
      <c r="AK552" s="223"/>
      <c r="AL552" s="223"/>
      <c r="AM552" s="223"/>
      <c r="AN552" s="223"/>
      <c r="AO552" s="223"/>
      <c r="AP552" s="223"/>
      <c r="AQ552" s="223"/>
      <c r="AR552" s="223"/>
      <c r="AS552" s="223"/>
      <c r="AT552" s="223"/>
      <c r="AU552" s="223"/>
      <c r="AV552" s="223"/>
      <c r="AW552" s="223"/>
      <c r="AX552" s="223"/>
      <c r="AY552" s="223"/>
      <c r="AZ552" s="223"/>
      <c r="BA552" s="223"/>
      <c r="BB552" s="223"/>
      <c r="BC552" s="223"/>
      <c r="BD552" s="223"/>
      <c r="BE552" s="223"/>
      <c r="BF552" s="223"/>
      <c r="BG552" s="223"/>
      <c r="BH552" s="223"/>
      <c r="BI552" s="223"/>
      <c r="BJ552" s="223"/>
      <c r="BK552" s="223"/>
      <c r="BL552" s="223"/>
      <c r="BM552" s="223"/>
      <c r="BN552" s="223"/>
      <c r="BO552" s="223"/>
      <c r="BP552" s="223"/>
      <c r="BQ552" s="223"/>
      <c r="BR552" s="223"/>
      <c r="BS552" s="242"/>
      <c r="BT552" s="223"/>
      <c r="BU552" s="223"/>
      <c r="BV552" s="223"/>
      <c r="BW552" s="223"/>
      <c r="BX552" s="223"/>
      <c r="BY552" s="223"/>
      <c r="BZ552" s="223"/>
      <c r="CA552" s="332"/>
      <c r="CB552" s="247"/>
      <c r="CC552" s="83"/>
      <c r="CD552" s="32"/>
      <c r="CE552" s="342" t="s">
        <v>1576</v>
      </c>
      <c r="CF552" s="342" t="s">
        <v>1575</v>
      </c>
      <c r="CG552" s="84"/>
    </row>
    <row r="553" spans="1:1873" s="23" customFormat="1" x14ac:dyDescent="0.2">
      <c r="A553" s="223" t="s">
        <v>785</v>
      </c>
      <c r="B553" s="223" t="s">
        <v>786</v>
      </c>
      <c r="C553" s="223" t="s">
        <v>291</v>
      </c>
      <c r="D553" s="223" t="s">
        <v>619</v>
      </c>
      <c r="E553" s="241" t="s">
        <v>1444</v>
      </c>
      <c r="F553" s="241">
        <v>1</v>
      </c>
      <c r="G553" s="223">
        <v>3</v>
      </c>
      <c r="H553" s="242">
        <v>3</v>
      </c>
      <c r="I553" s="223" t="s">
        <v>954</v>
      </c>
      <c r="J553" s="223">
        <v>1981</v>
      </c>
      <c r="K553" s="223" t="s">
        <v>957</v>
      </c>
      <c r="L553" s="223">
        <v>1983</v>
      </c>
      <c r="M553" s="243">
        <v>-9999</v>
      </c>
      <c r="N553" s="223">
        <v>-9999</v>
      </c>
      <c r="O553" s="29"/>
      <c r="P553" s="285">
        <f t="shared" ref="P553:P558" si="44">+T553*G553</f>
        <v>10.8</v>
      </c>
      <c r="Q553" s="223">
        <v>-9999</v>
      </c>
      <c r="R553" s="243"/>
      <c r="S553" s="223"/>
      <c r="T553" s="243">
        <v>3.6</v>
      </c>
      <c r="U553" s="243">
        <v>0.4</v>
      </c>
      <c r="V553" s="243"/>
      <c r="W553" s="243"/>
      <c r="X553" s="223">
        <v>-9999</v>
      </c>
      <c r="Y553" s="223"/>
      <c r="Z553" s="223" t="s">
        <v>793</v>
      </c>
      <c r="AA553" s="248">
        <v>10000</v>
      </c>
      <c r="AB553" s="243">
        <v>1</v>
      </c>
      <c r="AC553" s="223">
        <v>-9999</v>
      </c>
      <c r="AD553" s="223">
        <f t="shared" si="40"/>
        <v>400</v>
      </c>
      <c r="AE553" s="404" t="s">
        <v>1957</v>
      </c>
      <c r="AF553" s="223">
        <v>4</v>
      </c>
      <c r="AG553" s="223">
        <v>2</v>
      </c>
      <c r="AH553" s="223" t="s">
        <v>623</v>
      </c>
      <c r="AI553" s="223">
        <v>-9999</v>
      </c>
      <c r="AJ553" s="223">
        <v>-9999</v>
      </c>
      <c r="AK553" s="223" t="s">
        <v>626</v>
      </c>
      <c r="AL553" s="223" t="s">
        <v>653</v>
      </c>
      <c r="AM553" s="223">
        <v>-9999</v>
      </c>
      <c r="AN553" s="223" t="s">
        <v>631</v>
      </c>
      <c r="AO553" s="223">
        <v>-9999</v>
      </c>
      <c r="AP553" s="223">
        <v>-9999</v>
      </c>
      <c r="AQ553" s="223" t="s">
        <v>631</v>
      </c>
      <c r="AR553" s="223">
        <v>0</v>
      </c>
      <c r="AS553" s="223">
        <v>-9999</v>
      </c>
      <c r="AT553" s="223">
        <v>-9999</v>
      </c>
      <c r="AU553" s="223">
        <v>0</v>
      </c>
      <c r="AV553" s="223">
        <v>-9999</v>
      </c>
      <c r="AW553" s="223">
        <v>-9999</v>
      </c>
      <c r="AX553" s="223">
        <v>0</v>
      </c>
      <c r="AY553" s="223">
        <v>-9999</v>
      </c>
      <c r="AZ553" s="223">
        <v>-9999</v>
      </c>
      <c r="BA553" s="223" t="s">
        <v>794</v>
      </c>
      <c r="BB553" s="223" t="s">
        <v>626</v>
      </c>
      <c r="BC553" s="223" t="s">
        <v>795</v>
      </c>
      <c r="BD553" s="223" t="s">
        <v>796</v>
      </c>
      <c r="BE553" s="223"/>
      <c r="BF553" s="223"/>
      <c r="BG553" s="223"/>
      <c r="BH553" s="223">
        <v>-9999</v>
      </c>
      <c r="BI553" s="223">
        <v>-9999</v>
      </c>
      <c r="BJ553" s="223">
        <v>-9999</v>
      </c>
      <c r="BK553" s="223">
        <v>-9999</v>
      </c>
      <c r="BL553" s="223">
        <v>-9999</v>
      </c>
      <c r="BM553" s="223">
        <v>-9999</v>
      </c>
      <c r="BN553" s="223">
        <v>-9999</v>
      </c>
      <c r="BO553" s="223">
        <v>-9999</v>
      </c>
      <c r="BP553" s="223">
        <v>-9999</v>
      </c>
      <c r="BQ553" s="223">
        <v>-9999</v>
      </c>
      <c r="BR553" s="223">
        <v>-9999</v>
      </c>
      <c r="BS553" s="242">
        <v>-9999</v>
      </c>
      <c r="BT553" s="223">
        <v>-9999</v>
      </c>
      <c r="BU553" s="223">
        <v>-9999</v>
      </c>
      <c r="BV553" s="223">
        <v>-9999</v>
      </c>
      <c r="BW553" s="223"/>
      <c r="BX553" s="223">
        <v>-9999</v>
      </c>
      <c r="BY553" s="223">
        <v>-9999</v>
      </c>
      <c r="BZ553" s="223">
        <v>-9999</v>
      </c>
      <c r="CA553" s="332" t="s">
        <v>797</v>
      </c>
      <c r="CB553" s="247"/>
      <c r="CC553" s="83">
        <v>1</v>
      </c>
      <c r="CD553" s="32">
        <v>3</v>
      </c>
      <c r="CE553" s="292">
        <v>3.6</v>
      </c>
      <c r="CF553" s="292"/>
      <c r="CG553" s="84">
        <v>3</v>
      </c>
    </row>
    <row r="554" spans="1:1873" s="23" customFormat="1" x14ac:dyDescent="0.2">
      <c r="A554" s="223" t="s">
        <v>785</v>
      </c>
      <c r="B554" s="223" t="s">
        <v>786</v>
      </c>
      <c r="C554" s="223" t="s">
        <v>291</v>
      </c>
      <c r="D554" s="223" t="s">
        <v>619</v>
      </c>
      <c r="E554" s="241" t="s">
        <v>1444</v>
      </c>
      <c r="F554" s="241">
        <v>1</v>
      </c>
      <c r="G554" s="223">
        <v>4</v>
      </c>
      <c r="H554" s="242">
        <v>4</v>
      </c>
      <c r="I554" s="223" t="s">
        <v>954</v>
      </c>
      <c r="J554" s="223">
        <v>1981</v>
      </c>
      <c r="K554" s="223" t="s">
        <v>957</v>
      </c>
      <c r="L554" s="223">
        <v>1984</v>
      </c>
      <c r="M554" s="243">
        <v>-9999</v>
      </c>
      <c r="N554" s="223">
        <v>-9999</v>
      </c>
      <c r="O554" s="29"/>
      <c r="P554" s="285">
        <f t="shared" si="44"/>
        <v>25.2</v>
      </c>
      <c r="Q554" s="223">
        <v>-9999</v>
      </c>
      <c r="R554" s="243"/>
      <c r="S554" s="223"/>
      <c r="T554" s="243">
        <v>6.3</v>
      </c>
      <c r="U554" s="243">
        <v>0.4</v>
      </c>
      <c r="V554" s="243"/>
      <c r="W554" s="244">
        <f>+P554-P553</f>
        <v>14.399999999999999</v>
      </c>
      <c r="X554" s="223">
        <v>-9999</v>
      </c>
      <c r="Y554" s="223"/>
      <c r="Z554" s="223" t="s">
        <v>793</v>
      </c>
      <c r="AA554" s="248">
        <v>10000</v>
      </c>
      <c r="AB554" s="285">
        <v>0.99</v>
      </c>
      <c r="AC554" s="223">
        <v>-9999</v>
      </c>
      <c r="AD554" s="223">
        <f t="shared" si="40"/>
        <v>400</v>
      </c>
      <c r="AE554" s="404" t="s">
        <v>1957</v>
      </c>
      <c r="AF554" s="223">
        <v>4</v>
      </c>
      <c r="AG554" s="223">
        <v>2</v>
      </c>
      <c r="AH554" s="223" t="s">
        <v>623</v>
      </c>
      <c r="AI554" s="223">
        <v>-9999</v>
      </c>
      <c r="AJ554" s="223">
        <v>-9999</v>
      </c>
      <c r="AK554" s="223" t="s">
        <v>626</v>
      </c>
      <c r="AL554" s="223" t="s">
        <v>653</v>
      </c>
      <c r="AM554" s="223">
        <v>-9999</v>
      </c>
      <c r="AN554" s="223" t="s">
        <v>631</v>
      </c>
      <c r="AO554" s="223">
        <v>-9999</v>
      </c>
      <c r="AP554" s="223">
        <v>-9999</v>
      </c>
      <c r="AQ554" s="223" t="s">
        <v>631</v>
      </c>
      <c r="AR554" s="223">
        <v>0</v>
      </c>
      <c r="AS554" s="223">
        <v>-9999</v>
      </c>
      <c r="AT554" s="223">
        <v>-9999</v>
      </c>
      <c r="AU554" s="223">
        <v>0</v>
      </c>
      <c r="AV554" s="223">
        <v>-9999</v>
      </c>
      <c r="AW554" s="223">
        <v>-9999</v>
      </c>
      <c r="AX554" s="223">
        <v>0</v>
      </c>
      <c r="AY554" s="223">
        <v>-9999</v>
      </c>
      <c r="AZ554" s="223">
        <v>-9999</v>
      </c>
      <c r="BA554" s="223" t="s">
        <v>794</v>
      </c>
      <c r="BB554" s="223" t="s">
        <v>626</v>
      </c>
      <c r="BC554" s="223" t="s">
        <v>795</v>
      </c>
      <c r="BD554" s="223" t="s">
        <v>796</v>
      </c>
      <c r="BE554" s="223"/>
      <c r="BF554" s="223"/>
      <c r="BG554" s="223"/>
      <c r="BH554" s="223">
        <v>-9999</v>
      </c>
      <c r="BI554" s="223">
        <v>-9999</v>
      </c>
      <c r="BJ554" s="223">
        <v>-9999</v>
      </c>
      <c r="BK554" s="223">
        <v>-9999</v>
      </c>
      <c r="BL554" s="223">
        <v>-9999</v>
      </c>
      <c r="BM554" s="223">
        <v>-9999</v>
      </c>
      <c r="BN554" s="223">
        <v>-9999</v>
      </c>
      <c r="BO554" s="223">
        <v>-9999</v>
      </c>
      <c r="BP554" s="223">
        <v>-9999</v>
      </c>
      <c r="BQ554" s="223">
        <v>-9999</v>
      </c>
      <c r="BR554" s="223">
        <v>-9999</v>
      </c>
      <c r="BS554" s="242">
        <v>-9999</v>
      </c>
      <c r="BT554" s="223">
        <v>-9999</v>
      </c>
      <c r="BU554" s="223">
        <v>-9999</v>
      </c>
      <c r="BV554" s="223">
        <v>-9999</v>
      </c>
      <c r="BW554" s="223"/>
      <c r="BX554" s="223">
        <v>-9999</v>
      </c>
      <c r="BY554" s="223">
        <v>-9999</v>
      </c>
      <c r="BZ554" s="223">
        <v>-9999</v>
      </c>
      <c r="CA554" s="332" t="s">
        <v>797</v>
      </c>
      <c r="CB554" s="247"/>
      <c r="CC554" s="83">
        <v>1</v>
      </c>
      <c r="CD554" s="32">
        <v>4</v>
      </c>
      <c r="CE554" s="292">
        <v>6.3</v>
      </c>
      <c r="CF554" s="292">
        <v>14.399999999999999</v>
      </c>
      <c r="CG554" s="84">
        <v>4</v>
      </c>
    </row>
    <row r="555" spans="1:1873" s="23" customFormat="1" x14ac:dyDescent="0.2">
      <c r="A555" s="223" t="s">
        <v>785</v>
      </c>
      <c r="B555" s="223" t="s">
        <v>786</v>
      </c>
      <c r="C555" s="223" t="s">
        <v>291</v>
      </c>
      <c r="D555" s="223" t="s">
        <v>619</v>
      </c>
      <c r="E555" s="241" t="s">
        <v>1444</v>
      </c>
      <c r="F555" s="241">
        <v>1</v>
      </c>
      <c r="G555" s="223">
        <v>5</v>
      </c>
      <c r="H555" s="242">
        <v>5</v>
      </c>
      <c r="I555" s="223" t="s">
        <v>954</v>
      </c>
      <c r="J555" s="223">
        <v>1981</v>
      </c>
      <c r="K555" s="223" t="s">
        <v>957</v>
      </c>
      <c r="L555" s="223">
        <v>1985</v>
      </c>
      <c r="M555" s="243">
        <v>-9999</v>
      </c>
      <c r="N555" s="223">
        <v>-9999</v>
      </c>
      <c r="O555" s="29"/>
      <c r="P555" s="285">
        <f t="shared" si="44"/>
        <v>45</v>
      </c>
      <c r="Q555" s="223">
        <v>-9999</v>
      </c>
      <c r="R555" s="243"/>
      <c r="S555" s="223"/>
      <c r="T555" s="243">
        <v>9</v>
      </c>
      <c r="U555" s="243">
        <v>0.9</v>
      </c>
      <c r="V555" s="243"/>
      <c r="W555" s="244">
        <f>+P555-P554</f>
        <v>19.8</v>
      </c>
      <c r="X555" s="223">
        <v>-9999</v>
      </c>
      <c r="Y555" s="223"/>
      <c r="Z555" s="223" t="s">
        <v>793</v>
      </c>
      <c r="AA555" s="248">
        <v>10000</v>
      </c>
      <c r="AB555" s="285">
        <v>0.97</v>
      </c>
      <c r="AC555" s="223">
        <v>-9999</v>
      </c>
      <c r="AD555" s="223">
        <f t="shared" si="40"/>
        <v>400</v>
      </c>
      <c r="AE555" s="404" t="s">
        <v>1957</v>
      </c>
      <c r="AF555" s="223">
        <v>4</v>
      </c>
      <c r="AG555" s="223">
        <v>2</v>
      </c>
      <c r="AH555" s="223" t="s">
        <v>623</v>
      </c>
      <c r="AI555" s="223">
        <v>-9999</v>
      </c>
      <c r="AJ555" s="223">
        <v>-9999</v>
      </c>
      <c r="AK555" s="223" t="s">
        <v>626</v>
      </c>
      <c r="AL555" s="223" t="s">
        <v>653</v>
      </c>
      <c r="AM555" s="223">
        <v>-9999</v>
      </c>
      <c r="AN555" s="223" t="s">
        <v>631</v>
      </c>
      <c r="AO555" s="223">
        <v>-9999</v>
      </c>
      <c r="AP555" s="223">
        <v>-9999</v>
      </c>
      <c r="AQ555" s="223" t="s">
        <v>631</v>
      </c>
      <c r="AR555" s="223">
        <v>0</v>
      </c>
      <c r="AS555" s="223">
        <v>-9999</v>
      </c>
      <c r="AT555" s="223">
        <v>-9999</v>
      </c>
      <c r="AU555" s="223">
        <v>0</v>
      </c>
      <c r="AV555" s="223">
        <v>-9999</v>
      </c>
      <c r="AW555" s="223">
        <v>-9999</v>
      </c>
      <c r="AX555" s="223">
        <v>0</v>
      </c>
      <c r="AY555" s="223">
        <v>-9999</v>
      </c>
      <c r="AZ555" s="223">
        <v>-9999</v>
      </c>
      <c r="BA555" s="223" t="s">
        <v>794</v>
      </c>
      <c r="BB555" s="223" t="s">
        <v>626</v>
      </c>
      <c r="BC555" s="223" t="s">
        <v>795</v>
      </c>
      <c r="BD555" s="223" t="s">
        <v>796</v>
      </c>
      <c r="BE555" s="223"/>
      <c r="BF555" s="223"/>
      <c r="BG555" s="223"/>
      <c r="BH555" s="223">
        <v>-9999</v>
      </c>
      <c r="BI555" s="223">
        <v>-9999</v>
      </c>
      <c r="BJ555" s="223">
        <v>-9999</v>
      </c>
      <c r="BK555" s="223">
        <v>-9999</v>
      </c>
      <c r="BL555" s="223">
        <v>-9999</v>
      </c>
      <c r="BM555" s="223">
        <v>-9999</v>
      </c>
      <c r="BN555" s="223">
        <v>-9999</v>
      </c>
      <c r="BO555" s="223">
        <v>-9999</v>
      </c>
      <c r="BP555" s="223">
        <v>-9999</v>
      </c>
      <c r="BQ555" s="223">
        <v>-9999</v>
      </c>
      <c r="BR555" s="223">
        <v>-9999</v>
      </c>
      <c r="BS555" s="242">
        <v>-9999</v>
      </c>
      <c r="BT555" s="223">
        <v>-9999</v>
      </c>
      <c r="BU555" s="223">
        <v>-9999</v>
      </c>
      <c r="BV555" s="223">
        <v>-9999</v>
      </c>
      <c r="BW555" s="223"/>
      <c r="BX555" s="223">
        <v>-9999</v>
      </c>
      <c r="BY555" s="223">
        <v>-9999</v>
      </c>
      <c r="BZ555" s="223">
        <v>-9999</v>
      </c>
      <c r="CA555" s="332" t="s">
        <v>797</v>
      </c>
      <c r="CB555" s="247"/>
      <c r="CC555" s="83">
        <v>1</v>
      </c>
      <c r="CD555" s="32">
        <v>5</v>
      </c>
      <c r="CE555" s="292">
        <v>9</v>
      </c>
      <c r="CF555" s="292">
        <v>19.8</v>
      </c>
      <c r="CG555" s="84">
        <v>5</v>
      </c>
    </row>
    <row r="556" spans="1:1873" s="23" customFormat="1" x14ac:dyDescent="0.2">
      <c r="A556" s="223" t="s">
        <v>785</v>
      </c>
      <c r="B556" s="223" t="s">
        <v>786</v>
      </c>
      <c r="C556" s="223" t="s">
        <v>291</v>
      </c>
      <c r="D556" s="223" t="s">
        <v>619</v>
      </c>
      <c r="E556" s="241" t="s">
        <v>1444</v>
      </c>
      <c r="F556" s="241">
        <v>1</v>
      </c>
      <c r="G556" s="223">
        <v>6</v>
      </c>
      <c r="H556" s="242">
        <v>6</v>
      </c>
      <c r="I556" s="223" t="s">
        <v>954</v>
      </c>
      <c r="J556" s="223">
        <v>1981</v>
      </c>
      <c r="K556" s="223" t="s">
        <v>957</v>
      </c>
      <c r="L556" s="223">
        <v>1986</v>
      </c>
      <c r="M556" s="243">
        <v>-9999</v>
      </c>
      <c r="N556" s="223">
        <v>-9999</v>
      </c>
      <c r="O556" s="29"/>
      <c r="P556" s="285">
        <f t="shared" si="44"/>
        <v>56.400000000000006</v>
      </c>
      <c r="Q556" s="223">
        <v>-9999</v>
      </c>
      <c r="R556" s="243"/>
      <c r="S556" s="223"/>
      <c r="T556" s="243">
        <v>9.4</v>
      </c>
      <c r="U556" s="243">
        <v>0.7</v>
      </c>
      <c r="V556" s="243"/>
      <c r="W556" s="244">
        <f>+P556-P555</f>
        <v>11.400000000000006</v>
      </c>
      <c r="X556" s="223">
        <v>-9999</v>
      </c>
      <c r="Y556" s="223"/>
      <c r="Z556" s="223" t="s">
        <v>793</v>
      </c>
      <c r="AA556" s="248">
        <v>10000</v>
      </c>
      <c r="AB556" s="243">
        <v>0.95</v>
      </c>
      <c r="AC556" s="223">
        <v>-9999</v>
      </c>
      <c r="AD556" s="223">
        <f t="shared" si="40"/>
        <v>400</v>
      </c>
      <c r="AE556" s="404" t="s">
        <v>1957</v>
      </c>
      <c r="AF556" s="223">
        <v>4</v>
      </c>
      <c r="AG556" s="223">
        <v>2</v>
      </c>
      <c r="AH556" s="223" t="s">
        <v>623</v>
      </c>
      <c r="AI556" s="223">
        <v>-9999</v>
      </c>
      <c r="AJ556" s="223">
        <v>-9999</v>
      </c>
      <c r="AK556" s="223" t="s">
        <v>626</v>
      </c>
      <c r="AL556" s="223" t="s">
        <v>653</v>
      </c>
      <c r="AM556" s="223">
        <v>-9999</v>
      </c>
      <c r="AN556" s="223" t="s">
        <v>631</v>
      </c>
      <c r="AO556" s="223">
        <v>-9999</v>
      </c>
      <c r="AP556" s="223">
        <v>-9999</v>
      </c>
      <c r="AQ556" s="223" t="s">
        <v>631</v>
      </c>
      <c r="AR556" s="223">
        <v>0</v>
      </c>
      <c r="AS556" s="223">
        <v>-9999</v>
      </c>
      <c r="AT556" s="223">
        <v>-9999</v>
      </c>
      <c r="AU556" s="223">
        <v>0</v>
      </c>
      <c r="AV556" s="223">
        <v>-9999</v>
      </c>
      <c r="AW556" s="223">
        <v>-9999</v>
      </c>
      <c r="AX556" s="223">
        <v>0</v>
      </c>
      <c r="AY556" s="223">
        <v>-9999</v>
      </c>
      <c r="AZ556" s="223">
        <v>-9999</v>
      </c>
      <c r="BA556" s="223" t="s">
        <v>794</v>
      </c>
      <c r="BB556" s="223" t="s">
        <v>626</v>
      </c>
      <c r="BC556" s="223" t="s">
        <v>795</v>
      </c>
      <c r="BD556" s="223" t="s">
        <v>796</v>
      </c>
      <c r="BE556" s="223"/>
      <c r="BF556" s="223"/>
      <c r="BG556" s="223"/>
      <c r="BH556" s="223">
        <v>-9999</v>
      </c>
      <c r="BI556" s="223">
        <v>-9999</v>
      </c>
      <c r="BJ556" s="223">
        <v>-9999</v>
      </c>
      <c r="BK556" s="223">
        <v>-9999</v>
      </c>
      <c r="BL556" s="223">
        <v>-9999</v>
      </c>
      <c r="BM556" s="223">
        <v>-9999</v>
      </c>
      <c r="BN556" s="223">
        <v>-9999</v>
      </c>
      <c r="BO556" s="223">
        <v>-9999</v>
      </c>
      <c r="BP556" s="223">
        <v>-9999</v>
      </c>
      <c r="BQ556" s="223">
        <v>-9999</v>
      </c>
      <c r="BR556" s="223">
        <v>-9999</v>
      </c>
      <c r="BS556" s="242">
        <v>-9999</v>
      </c>
      <c r="BT556" s="223">
        <v>-9999</v>
      </c>
      <c r="BU556" s="223">
        <v>-9999</v>
      </c>
      <c r="BV556" s="223">
        <v>-9999</v>
      </c>
      <c r="BW556" s="223"/>
      <c r="BX556" s="223">
        <v>-9999</v>
      </c>
      <c r="BY556" s="223">
        <v>-9999</v>
      </c>
      <c r="BZ556" s="223">
        <v>-9999</v>
      </c>
      <c r="CA556" s="332" t="s">
        <v>797</v>
      </c>
      <c r="CB556" s="247"/>
      <c r="CC556" s="83">
        <v>1</v>
      </c>
      <c r="CD556" s="32">
        <v>6</v>
      </c>
      <c r="CE556" s="292">
        <v>9.4</v>
      </c>
      <c r="CF556" s="292">
        <v>11.400000000000006</v>
      </c>
      <c r="CG556" s="84">
        <v>6</v>
      </c>
    </row>
    <row r="557" spans="1:1873" s="301" customFormat="1" x14ac:dyDescent="0.2">
      <c r="A557" s="404" t="s">
        <v>785</v>
      </c>
      <c r="B557" s="404" t="s">
        <v>786</v>
      </c>
      <c r="C557" s="404" t="s">
        <v>291</v>
      </c>
      <c r="D557" s="404" t="s">
        <v>619</v>
      </c>
      <c r="E557" s="241" t="s">
        <v>1444</v>
      </c>
      <c r="F557" s="241">
        <v>1</v>
      </c>
      <c r="G557" s="404">
        <v>7</v>
      </c>
      <c r="H557" s="405">
        <v>7</v>
      </c>
      <c r="I557" s="404" t="s">
        <v>954</v>
      </c>
      <c r="J557" s="404">
        <v>1981</v>
      </c>
      <c r="K557" s="404" t="s">
        <v>957</v>
      </c>
      <c r="L557" s="404">
        <v>1987</v>
      </c>
      <c r="M557" s="406">
        <v>-9999</v>
      </c>
      <c r="N557" s="404">
        <v>-9999</v>
      </c>
      <c r="O557" s="323"/>
      <c r="P557" s="285">
        <f t="shared" si="44"/>
        <v>67.2</v>
      </c>
      <c r="Q557" s="404">
        <v>-9999</v>
      </c>
      <c r="R557" s="406"/>
      <c r="S557" s="404"/>
      <c r="T557" s="406">
        <v>9.6</v>
      </c>
      <c r="U557" s="406">
        <v>0.9</v>
      </c>
      <c r="V557" s="406"/>
      <c r="W557" s="244">
        <f>+P557-P556</f>
        <v>10.799999999999997</v>
      </c>
      <c r="X557" s="404">
        <v>-9999</v>
      </c>
      <c r="Y557" s="404"/>
      <c r="Z557" s="404" t="s">
        <v>793</v>
      </c>
      <c r="AA557" s="248">
        <v>10000</v>
      </c>
      <c r="AB557" s="406">
        <v>0.92</v>
      </c>
      <c r="AC557" s="404">
        <v>-9999</v>
      </c>
      <c r="AD557" s="223">
        <f t="shared" si="40"/>
        <v>400</v>
      </c>
      <c r="AE557" s="404" t="s">
        <v>1957</v>
      </c>
      <c r="AF557" s="404">
        <v>4</v>
      </c>
      <c r="AG557" s="404">
        <v>2</v>
      </c>
      <c r="AH557" s="404" t="s">
        <v>623</v>
      </c>
      <c r="AI557" s="404">
        <v>-9999</v>
      </c>
      <c r="AJ557" s="404">
        <v>-9999</v>
      </c>
      <c r="AK557" s="404" t="s">
        <v>626</v>
      </c>
      <c r="AL557" s="404" t="s">
        <v>653</v>
      </c>
      <c r="AM557" s="404">
        <v>-9999</v>
      </c>
      <c r="AN557" s="404" t="s">
        <v>631</v>
      </c>
      <c r="AO557" s="404">
        <v>-9999</v>
      </c>
      <c r="AP557" s="404">
        <v>-9999</v>
      </c>
      <c r="AQ557" s="404" t="s">
        <v>631</v>
      </c>
      <c r="AR557" s="404">
        <v>0</v>
      </c>
      <c r="AS557" s="404">
        <v>-9999</v>
      </c>
      <c r="AT557" s="404">
        <v>-9999</v>
      </c>
      <c r="AU557" s="404">
        <v>0</v>
      </c>
      <c r="AV557" s="404">
        <v>-9999</v>
      </c>
      <c r="AW557" s="404">
        <v>-9999</v>
      </c>
      <c r="AX557" s="404">
        <v>0</v>
      </c>
      <c r="AY557" s="404">
        <v>-9999</v>
      </c>
      <c r="AZ557" s="404">
        <v>-9999</v>
      </c>
      <c r="BA557" s="404" t="s">
        <v>794</v>
      </c>
      <c r="BB557" s="404" t="s">
        <v>626</v>
      </c>
      <c r="BC557" s="404" t="s">
        <v>795</v>
      </c>
      <c r="BD557" s="404" t="s">
        <v>796</v>
      </c>
      <c r="BE557" s="404"/>
      <c r="BF557" s="404"/>
      <c r="BG557" s="404"/>
      <c r="BH557" s="404">
        <v>-9999</v>
      </c>
      <c r="BI557" s="404">
        <v>-9999</v>
      </c>
      <c r="BJ557" s="404">
        <v>-9999</v>
      </c>
      <c r="BK557" s="404">
        <v>-9999</v>
      </c>
      <c r="BL557" s="404">
        <v>-9999</v>
      </c>
      <c r="BM557" s="404">
        <v>-9999</v>
      </c>
      <c r="BN557" s="404">
        <v>-9999</v>
      </c>
      <c r="BO557" s="404">
        <v>-9999</v>
      </c>
      <c r="BP557" s="404">
        <v>-9999</v>
      </c>
      <c r="BQ557" s="404">
        <v>-9999</v>
      </c>
      <c r="BR557" s="404">
        <v>-9999</v>
      </c>
      <c r="BS557" s="405">
        <v>-9999</v>
      </c>
      <c r="BT557" s="404">
        <v>-9999</v>
      </c>
      <c r="BU557" s="404">
        <v>-9999</v>
      </c>
      <c r="BV557" s="404">
        <v>-9999</v>
      </c>
      <c r="BW557" s="404"/>
      <c r="BX557" s="404">
        <v>-9999</v>
      </c>
      <c r="BY557" s="404">
        <v>-9999</v>
      </c>
      <c r="BZ557" s="404">
        <v>-9999</v>
      </c>
      <c r="CA557" s="444" t="s">
        <v>797</v>
      </c>
      <c r="CB557" s="445"/>
      <c r="CC557" s="83">
        <v>1</v>
      </c>
      <c r="CD557" s="304">
        <v>7</v>
      </c>
      <c r="CE557" s="402">
        <v>9.6</v>
      </c>
      <c r="CF557" s="342">
        <v>10.799999999999997</v>
      </c>
      <c r="CG557" s="324">
        <v>7</v>
      </c>
      <c r="CH557" s="438"/>
    </row>
    <row r="558" spans="1:1873" s="23" customFormat="1" x14ac:dyDescent="0.2">
      <c r="A558" s="223" t="s">
        <v>785</v>
      </c>
      <c r="B558" s="223" t="s">
        <v>786</v>
      </c>
      <c r="C558" s="223" t="s">
        <v>291</v>
      </c>
      <c r="D558" s="223" t="s">
        <v>619</v>
      </c>
      <c r="E558" s="241" t="s">
        <v>1444</v>
      </c>
      <c r="F558" s="241">
        <v>1</v>
      </c>
      <c r="G558" s="223">
        <v>8</v>
      </c>
      <c r="H558" s="242">
        <v>8</v>
      </c>
      <c r="I558" s="223" t="s">
        <v>954</v>
      </c>
      <c r="J558" s="223">
        <v>1981</v>
      </c>
      <c r="K558" s="223" t="s">
        <v>957</v>
      </c>
      <c r="L558" s="223">
        <v>1988</v>
      </c>
      <c r="M558" s="243">
        <v>-9999</v>
      </c>
      <c r="N558" s="223">
        <v>-9999</v>
      </c>
      <c r="O558" s="29"/>
      <c r="P558" s="285">
        <f t="shared" si="44"/>
        <v>68</v>
      </c>
      <c r="Q558" s="223">
        <v>-9999</v>
      </c>
      <c r="R558" s="243"/>
      <c r="S558" s="223"/>
      <c r="T558" s="243">
        <v>8.5</v>
      </c>
      <c r="U558" s="243">
        <v>0.7</v>
      </c>
      <c r="V558" s="243"/>
      <c r="W558" s="244">
        <f>+P558-P557</f>
        <v>0.79999999999999716</v>
      </c>
      <c r="X558" s="223">
        <v>-9999</v>
      </c>
      <c r="Y558" s="223"/>
      <c r="Z558" s="223" t="s">
        <v>793</v>
      </c>
      <c r="AA558" s="248">
        <v>10000</v>
      </c>
      <c r="AB558" s="243">
        <v>0.79</v>
      </c>
      <c r="AC558" s="223">
        <v>-9999</v>
      </c>
      <c r="AD558" s="223">
        <f t="shared" si="40"/>
        <v>400</v>
      </c>
      <c r="AE558" s="404" t="s">
        <v>1957</v>
      </c>
      <c r="AF558" s="223">
        <v>4</v>
      </c>
      <c r="AG558" s="223">
        <v>2</v>
      </c>
      <c r="AH558" s="223" t="s">
        <v>623</v>
      </c>
      <c r="AI558" s="223">
        <v>-9999</v>
      </c>
      <c r="AJ558" s="223">
        <v>-9999</v>
      </c>
      <c r="AK558" s="223" t="s">
        <v>626</v>
      </c>
      <c r="AL558" s="223" t="s">
        <v>653</v>
      </c>
      <c r="AM558" s="223">
        <v>-9999</v>
      </c>
      <c r="AN558" s="223" t="s">
        <v>631</v>
      </c>
      <c r="AO558" s="223">
        <v>-9999</v>
      </c>
      <c r="AP558" s="223">
        <v>-9999</v>
      </c>
      <c r="AQ558" s="223" t="s">
        <v>631</v>
      </c>
      <c r="AR558" s="223">
        <v>0</v>
      </c>
      <c r="AS558" s="223">
        <v>-9999</v>
      </c>
      <c r="AT558" s="223">
        <v>-9999</v>
      </c>
      <c r="AU558" s="223">
        <v>0</v>
      </c>
      <c r="AV558" s="223">
        <v>-9999</v>
      </c>
      <c r="AW558" s="223">
        <v>-9999</v>
      </c>
      <c r="AX558" s="223">
        <v>0</v>
      </c>
      <c r="AY558" s="223">
        <v>-9999</v>
      </c>
      <c r="AZ558" s="223">
        <v>-9999</v>
      </c>
      <c r="BA558" s="223" t="s">
        <v>794</v>
      </c>
      <c r="BB558" s="223" t="s">
        <v>626</v>
      </c>
      <c r="BC558" s="223" t="s">
        <v>795</v>
      </c>
      <c r="BD558" s="223" t="s">
        <v>796</v>
      </c>
      <c r="BE558" s="223"/>
      <c r="BF558" s="223"/>
      <c r="BG558" s="223"/>
      <c r="BH558" s="223">
        <v>-9999</v>
      </c>
      <c r="BI558" s="223">
        <v>-9999</v>
      </c>
      <c r="BJ558" s="223">
        <v>-9999</v>
      </c>
      <c r="BK558" s="223">
        <v>-9999</v>
      </c>
      <c r="BL558" s="223">
        <v>-9999</v>
      </c>
      <c r="BM558" s="223">
        <v>-9999</v>
      </c>
      <c r="BN558" s="223">
        <v>-9999</v>
      </c>
      <c r="BO558" s="223">
        <v>-9999</v>
      </c>
      <c r="BP558" s="223">
        <v>-9999</v>
      </c>
      <c r="BQ558" s="223">
        <v>-9999</v>
      </c>
      <c r="BR558" s="223">
        <v>-9999</v>
      </c>
      <c r="BS558" s="242">
        <v>-9999</v>
      </c>
      <c r="BT558" s="223">
        <v>-9999</v>
      </c>
      <c r="BU558" s="223">
        <v>-9999</v>
      </c>
      <c r="BV558" s="223">
        <v>-9999</v>
      </c>
      <c r="BW558" s="223"/>
      <c r="BX558" s="223">
        <v>-9999</v>
      </c>
      <c r="BY558" s="223">
        <v>-9999</v>
      </c>
      <c r="BZ558" s="223">
        <v>-9999</v>
      </c>
      <c r="CA558" s="332" t="s">
        <v>797</v>
      </c>
      <c r="CB558" s="247"/>
      <c r="CC558" s="83">
        <v>1</v>
      </c>
      <c r="CD558" s="32">
        <v>8</v>
      </c>
      <c r="CE558" s="292">
        <v>8.5</v>
      </c>
      <c r="CF558" s="292">
        <v>0.79999999999999716</v>
      </c>
      <c r="CG558" s="84">
        <v>8</v>
      </c>
    </row>
    <row r="559" spans="1:1873" s="23" customFormat="1" x14ac:dyDescent="0.2">
      <c r="A559" s="223"/>
      <c r="B559" s="223"/>
      <c r="C559" s="223"/>
      <c r="D559" s="223"/>
      <c r="E559" s="241"/>
      <c r="F559" s="241"/>
      <c r="G559" s="223"/>
      <c r="H559" s="242"/>
      <c r="I559" s="223"/>
      <c r="J559" s="223"/>
      <c r="K559" s="223"/>
      <c r="L559" s="223"/>
      <c r="M559" s="243"/>
      <c r="N559" s="223"/>
      <c r="O559" s="29"/>
      <c r="P559" s="243"/>
      <c r="Q559" s="223"/>
      <c r="R559" s="243"/>
      <c r="S559" s="223"/>
      <c r="T559" s="243"/>
      <c r="U559" s="243"/>
      <c r="V559" s="243"/>
      <c r="W559" s="243"/>
      <c r="X559" s="223"/>
      <c r="Y559" s="223"/>
      <c r="Z559" s="223"/>
      <c r="AA559" s="248"/>
      <c r="AB559" s="243"/>
      <c r="AC559" s="223"/>
      <c r="AD559" s="223"/>
      <c r="AE559" s="223"/>
      <c r="AF559" s="223"/>
      <c r="AG559" s="223"/>
      <c r="AH559" s="223"/>
      <c r="AI559" s="223"/>
      <c r="AJ559" s="223"/>
      <c r="AK559" s="223"/>
      <c r="AL559" s="223"/>
      <c r="AM559" s="223"/>
      <c r="AN559" s="223"/>
      <c r="AO559" s="223"/>
      <c r="AP559" s="223"/>
      <c r="AQ559" s="223"/>
      <c r="AR559" s="223"/>
      <c r="AS559" s="223"/>
      <c r="AT559" s="223"/>
      <c r="AU559" s="223"/>
      <c r="AV559" s="223"/>
      <c r="AW559" s="223"/>
      <c r="AX559" s="223"/>
      <c r="AY559" s="223"/>
      <c r="AZ559" s="223"/>
      <c r="BA559" s="223"/>
      <c r="BB559" s="223"/>
      <c r="BC559" s="223"/>
      <c r="BD559" s="223"/>
      <c r="BE559" s="223"/>
      <c r="BF559" s="223"/>
      <c r="BG559" s="223"/>
      <c r="BH559" s="223"/>
      <c r="BI559" s="223"/>
      <c r="BJ559" s="223"/>
      <c r="BK559" s="223"/>
      <c r="BL559" s="223"/>
      <c r="BM559" s="223"/>
      <c r="BN559" s="223"/>
      <c r="BO559" s="223"/>
      <c r="BP559" s="223"/>
      <c r="BQ559" s="223"/>
      <c r="BR559" s="223"/>
      <c r="BS559" s="242"/>
      <c r="BT559" s="223"/>
      <c r="BU559" s="223"/>
      <c r="BV559" s="223"/>
      <c r="BW559" s="223"/>
      <c r="BX559" s="223"/>
      <c r="BY559" s="223"/>
      <c r="BZ559" s="223"/>
      <c r="CA559" s="332"/>
      <c r="CB559" s="247"/>
      <c r="CC559" s="83"/>
      <c r="CD559" s="32"/>
      <c r="CE559" s="342" t="s">
        <v>1576</v>
      </c>
      <c r="CF559" s="342" t="s">
        <v>1575</v>
      </c>
      <c r="CG559" s="84"/>
    </row>
    <row r="560" spans="1:1873" s="23" customFormat="1" x14ac:dyDescent="0.2">
      <c r="A560" s="223" t="s">
        <v>785</v>
      </c>
      <c r="B560" s="223" t="s">
        <v>786</v>
      </c>
      <c r="C560" s="223" t="s">
        <v>290</v>
      </c>
      <c r="D560" s="223" t="s">
        <v>619</v>
      </c>
      <c r="E560" s="241" t="s">
        <v>1444</v>
      </c>
      <c r="F560" s="241">
        <v>1</v>
      </c>
      <c r="G560" s="223">
        <v>3</v>
      </c>
      <c r="H560" s="242">
        <v>3</v>
      </c>
      <c r="I560" s="223" t="s">
        <v>954</v>
      </c>
      <c r="J560" s="223">
        <v>1981</v>
      </c>
      <c r="K560" s="223" t="s">
        <v>957</v>
      </c>
      <c r="L560" s="223">
        <v>1983</v>
      </c>
      <c r="M560" s="243">
        <v>-9999</v>
      </c>
      <c r="N560" s="223">
        <v>-9999</v>
      </c>
      <c r="O560" s="29"/>
      <c r="P560" s="285">
        <f t="shared" ref="P560:P565" si="45">+T560*G560</f>
        <v>5.4</v>
      </c>
      <c r="Q560" s="223">
        <v>-9999</v>
      </c>
      <c r="R560" s="243"/>
      <c r="S560" s="223"/>
      <c r="T560" s="243">
        <v>1.8</v>
      </c>
      <c r="U560" s="243">
        <v>1.1000000000000001</v>
      </c>
      <c r="V560" s="243"/>
      <c r="W560" s="243"/>
      <c r="X560" s="223">
        <v>-9999</v>
      </c>
      <c r="Y560" s="223"/>
      <c r="Z560" s="223" t="s">
        <v>75</v>
      </c>
      <c r="AA560" s="245">
        <v>5000</v>
      </c>
      <c r="AB560" s="243">
        <v>1</v>
      </c>
      <c r="AC560" s="223">
        <v>-9999</v>
      </c>
      <c r="AD560" s="223">
        <f t="shared" si="40"/>
        <v>400</v>
      </c>
      <c r="AE560" s="404" t="s">
        <v>1952</v>
      </c>
      <c r="AF560" s="223">
        <v>4</v>
      </c>
      <c r="AG560" s="223">
        <v>2</v>
      </c>
      <c r="AH560" s="223" t="s">
        <v>623</v>
      </c>
      <c r="AI560" s="223">
        <v>-9999</v>
      </c>
      <c r="AJ560" s="223">
        <v>-9999</v>
      </c>
      <c r="AK560" s="223" t="s">
        <v>626</v>
      </c>
      <c r="AL560" s="223" t="s">
        <v>653</v>
      </c>
      <c r="AM560" s="223">
        <v>-9999</v>
      </c>
      <c r="AN560" s="223" t="s">
        <v>631</v>
      </c>
      <c r="AO560" s="223">
        <v>-9999</v>
      </c>
      <c r="AP560" s="223">
        <v>-9999</v>
      </c>
      <c r="AQ560" s="223" t="s">
        <v>631</v>
      </c>
      <c r="AR560" s="223">
        <v>0</v>
      </c>
      <c r="AS560" s="223">
        <v>-9999</v>
      </c>
      <c r="AT560" s="223">
        <v>-9999</v>
      </c>
      <c r="AU560" s="223">
        <v>0</v>
      </c>
      <c r="AV560" s="223">
        <v>-9999</v>
      </c>
      <c r="AW560" s="223">
        <v>-9999</v>
      </c>
      <c r="AX560" s="223">
        <v>0</v>
      </c>
      <c r="AY560" s="223">
        <v>-9999</v>
      </c>
      <c r="AZ560" s="223">
        <v>-9999</v>
      </c>
      <c r="BA560" s="223" t="s">
        <v>794</v>
      </c>
      <c r="BB560" s="223" t="s">
        <v>626</v>
      </c>
      <c r="BC560" s="223" t="s">
        <v>795</v>
      </c>
      <c r="BD560" s="223" t="s">
        <v>796</v>
      </c>
      <c r="BE560" s="223"/>
      <c r="BF560" s="223"/>
      <c r="BG560" s="223"/>
      <c r="BH560" s="223">
        <v>-9999</v>
      </c>
      <c r="BI560" s="223">
        <v>-9999</v>
      </c>
      <c r="BJ560" s="223">
        <v>-9999</v>
      </c>
      <c r="BK560" s="223">
        <v>-9999</v>
      </c>
      <c r="BL560" s="223">
        <v>-9999</v>
      </c>
      <c r="BM560" s="223">
        <v>-9999</v>
      </c>
      <c r="BN560" s="223">
        <v>-9999</v>
      </c>
      <c r="BO560" s="223">
        <v>-9999</v>
      </c>
      <c r="BP560" s="223">
        <v>-9999</v>
      </c>
      <c r="BQ560" s="223">
        <v>-9999</v>
      </c>
      <c r="BR560" s="223">
        <v>-9999</v>
      </c>
      <c r="BS560" s="242">
        <v>-9999</v>
      </c>
      <c r="BT560" s="223">
        <v>-9999</v>
      </c>
      <c r="BU560" s="223">
        <v>-9999</v>
      </c>
      <c r="BV560" s="223">
        <v>-9999</v>
      </c>
      <c r="BW560" s="223"/>
      <c r="BX560" s="223">
        <v>-9999</v>
      </c>
      <c r="BY560" s="223">
        <v>-9999</v>
      </c>
      <c r="BZ560" s="223">
        <v>-9999</v>
      </c>
      <c r="CA560" s="332" t="s">
        <v>797</v>
      </c>
      <c r="CB560" s="247"/>
      <c r="CC560" s="83">
        <v>1</v>
      </c>
      <c r="CD560" s="32">
        <v>3</v>
      </c>
      <c r="CE560" s="292">
        <v>1.8</v>
      </c>
      <c r="CF560" s="292"/>
      <c r="CG560" s="84">
        <v>3</v>
      </c>
    </row>
    <row r="561" spans="1:86" s="23" customFormat="1" x14ac:dyDescent="0.2">
      <c r="A561" s="223" t="s">
        <v>785</v>
      </c>
      <c r="B561" s="223" t="s">
        <v>786</v>
      </c>
      <c r="C561" s="223" t="s">
        <v>290</v>
      </c>
      <c r="D561" s="223" t="s">
        <v>619</v>
      </c>
      <c r="E561" s="241" t="s">
        <v>1444</v>
      </c>
      <c r="F561" s="241">
        <v>1</v>
      </c>
      <c r="G561" s="223">
        <v>4</v>
      </c>
      <c r="H561" s="242">
        <v>4</v>
      </c>
      <c r="I561" s="223" t="s">
        <v>954</v>
      </c>
      <c r="J561" s="223">
        <v>1981</v>
      </c>
      <c r="K561" s="223" t="s">
        <v>957</v>
      </c>
      <c r="L561" s="223">
        <v>1984</v>
      </c>
      <c r="M561" s="243">
        <v>-9999</v>
      </c>
      <c r="N561" s="223">
        <v>-9999</v>
      </c>
      <c r="O561" s="29"/>
      <c r="P561" s="285">
        <f t="shared" si="45"/>
        <v>18.8</v>
      </c>
      <c r="Q561" s="223">
        <v>-9999</v>
      </c>
      <c r="R561" s="243"/>
      <c r="S561" s="223"/>
      <c r="T561" s="243">
        <v>4.7</v>
      </c>
      <c r="U561" s="243">
        <v>1.6</v>
      </c>
      <c r="V561" s="243"/>
      <c r="W561" s="244">
        <f>+P561-P560</f>
        <v>13.4</v>
      </c>
      <c r="X561" s="223">
        <v>-9999</v>
      </c>
      <c r="Y561" s="223"/>
      <c r="Z561" s="223" t="s">
        <v>75</v>
      </c>
      <c r="AA561" s="245">
        <v>5000</v>
      </c>
      <c r="AB561" s="285">
        <v>0.99</v>
      </c>
      <c r="AC561" s="223">
        <v>-9999</v>
      </c>
      <c r="AD561" s="223">
        <f t="shared" si="40"/>
        <v>400</v>
      </c>
      <c r="AE561" s="404" t="s">
        <v>1952</v>
      </c>
      <c r="AF561" s="223">
        <v>4</v>
      </c>
      <c r="AG561" s="223">
        <v>2</v>
      </c>
      <c r="AH561" s="223" t="s">
        <v>623</v>
      </c>
      <c r="AI561" s="223">
        <v>-9999</v>
      </c>
      <c r="AJ561" s="223">
        <v>-9999</v>
      </c>
      <c r="AK561" s="223" t="s">
        <v>626</v>
      </c>
      <c r="AL561" s="223" t="s">
        <v>653</v>
      </c>
      <c r="AM561" s="223">
        <v>-9999</v>
      </c>
      <c r="AN561" s="223" t="s">
        <v>631</v>
      </c>
      <c r="AO561" s="223">
        <v>-9999</v>
      </c>
      <c r="AP561" s="223">
        <v>-9999</v>
      </c>
      <c r="AQ561" s="223" t="s">
        <v>631</v>
      </c>
      <c r="AR561" s="223">
        <v>0</v>
      </c>
      <c r="AS561" s="223">
        <v>-9999</v>
      </c>
      <c r="AT561" s="223">
        <v>-9999</v>
      </c>
      <c r="AU561" s="223">
        <v>0</v>
      </c>
      <c r="AV561" s="223">
        <v>-9999</v>
      </c>
      <c r="AW561" s="223">
        <v>-9999</v>
      </c>
      <c r="AX561" s="223">
        <v>0</v>
      </c>
      <c r="AY561" s="223">
        <v>-9999</v>
      </c>
      <c r="AZ561" s="223">
        <v>-9999</v>
      </c>
      <c r="BA561" s="223" t="s">
        <v>794</v>
      </c>
      <c r="BB561" s="223" t="s">
        <v>626</v>
      </c>
      <c r="BC561" s="223" t="s">
        <v>795</v>
      </c>
      <c r="BD561" s="223" t="s">
        <v>796</v>
      </c>
      <c r="BE561" s="223"/>
      <c r="BF561" s="223"/>
      <c r="BG561" s="223"/>
      <c r="BH561" s="223">
        <v>-9999</v>
      </c>
      <c r="BI561" s="223">
        <v>-9999</v>
      </c>
      <c r="BJ561" s="223">
        <v>-9999</v>
      </c>
      <c r="BK561" s="223">
        <v>-9999</v>
      </c>
      <c r="BL561" s="223">
        <v>-9999</v>
      </c>
      <c r="BM561" s="223">
        <v>-9999</v>
      </c>
      <c r="BN561" s="223">
        <v>-9999</v>
      </c>
      <c r="BO561" s="223">
        <v>-9999</v>
      </c>
      <c r="BP561" s="223">
        <v>-9999</v>
      </c>
      <c r="BQ561" s="223">
        <v>-9999</v>
      </c>
      <c r="BR561" s="223">
        <v>-9999</v>
      </c>
      <c r="BS561" s="242">
        <v>-9999</v>
      </c>
      <c r="BT561" s="223">
        <v>-9999</v>
      </c>
      <c r="BU561" s="223">
        <v>-9999</v>
      </c>
      <c r="BV561" s="223">
        <v>-9999</v>
      </c>
      <c r="BW561" s="223"/>
      <c r="BX561" s="223">
        <v>-9999</v>
      </c>
      <c r="BY561" s="223">
        <v>-9999</v>
      </c>
      <c r="BZ561" s="223">
        <v>-9999</v>
      </c>
      <c r="CA561" s="332" t="s">
        <v>797</v>
      </c>
      <c r="CB561" s="247"/>
      <c r="CC561" s="83">
        <v>1</v>
      </c>
      <c r="CD561" s="32">
        <v>4</v>
      </c>
      <c r="CE561" s="292">
        <v>4.7</v>
      </c>
      <c r="CF561" s="292">
        <v>13.4</v>
      </c>
      <c r="CG561" s="84">
        <v>4</v>
      </c>
    </row>
    <row r="562" spans="1:86" s="23" customFormat="1" x14ac:dyDescent="0.2">
      <c r="A562" s="223" t="s">
        <v>785</v>
      </c>
      <c r="B562" s="223" t="s">
        <v>786</v>
      </c>
      <c r="C562" s="223" t="s">
        <v>290</v>
      </c>
      <c r="D562" s="223" t="s">
        <v>619</v>
      </c>
      <c r="E562" s="241" t="s">
        <v>1444</v>
      </c>
      <c r="F562" s="241">
        <v>1</v>
      </c>
      <c r="G562" s="223">
        <v>5</v>
      </c>
      <c r="H562" s="242">
        <v>5</v>
      </c>
      <c r="I562" s="223" t="s">
        <v>954</v>
      </c>
      <c r="J562" s="223">
        <v>1981</v>
      </c>
      <c r="K562" s="223" t="s">
        <v>957</v>
      </c>
      <c r="L562" s="223">
        <v>1985</v>
      </c>
      <c r="M562" s="243">
        <v>-9999</v>
      </c>
      <c r="N562" s="223">
        <v>-9999</v>
      </c>
      <c r="O562" s="29"/>
      <c r="P562" s="285">
        <f t="shared" si="45"/>
        <v>36</v>
      </c>
      <c r="Q562" s="223">
        <v>-9999</v>
      </c>
      <c r="R562" s="243"/>
      <c r="S562" s="223"/>
      <c r="T562" s="243">
        <v>7.2</v>
      </c>
      <c r="U562" s="243">
        <v>1.8</v>
      </c>
      <c r="V562" s="243"/>
      <c r="W562" s="244">
        <f>+P562-P561</f>
        <v>17.2</v>
      </c>
      <c r="X562" s="223">
        <v>-9999</v>
      </c>
      <c r="Y562" s="223"/>
      <c r="Z562" s="223" t="s">
        <v>75</v>
      </c>
      <c r="AA562" s="245">
        <v>5000</v>
      </c>
      <c r="AB562" s="285">
        <v>0.97</v>
      </c>
      <c r="AC562" s="223">
        <v>-9999</v>
      </c>
      <c r="AD562" s="223">
        <f t="shared" si="40"/>
        <v>400</v>
      </c>
      <c r="AE562" s="404" t="s">
        <v>1952</v>
      </c>
      <c r="AF562" s="223">
        <v>4</v>
      </c>
      <c r="AG562" s="223">
        <v>2</v>
      </c>
      <c r="AH562" s="223" t="s">
        <v>623</v>
      </c>
      <c r="AI562" s="223">
        <v>-9999</v>
      </c>
      <c r="AJ562" s="223">
        <v>-9999</v>
      </c>
      <c r="AK562" s="223" t="s">
        <v>626</v>
      </c>
      <c r="AL562" s="223" t="s">
        <v>653</v>
      </c>
      <c r="AM562" s="223">
        <v>-9999</v>
      </c>
      <c r="AN562" s="223" t="s">
        <v>631</v>
      </c>
      <c r="AO562" s="223">
        <v>-9999</v>
      </c>
      <c r="AP562" s="223">
        <v>-9999</v>
      </c>
      <c r="AQ562" s="223" t="s">
        <v>631</v>
      </c>
      <c r="AR562" s="223">
        <v>0</v>
      </c>
      <c r="AS562" s="223">
        <v>-9999</v>
      </c>
      <c r="AT562" s="223">
        <v>-9999</v>
      </c>
      <c r="AU562" s="223">
        <v>0</v>
      </c>
      <c r="AV562" s="223">
        <v>-9999</v>
      </c>
      <c r="AW562" s="223">
        <v>-9999</v>
      </c>
      <c r="AX562" s="223">
        <v>0</v>
      </c>
      <c r="AY562" s="223">
        <v>-9999</v>
      </c>
      <c r="AZ562" s="223">
        <v>-9999</v>
      </c>
      <c r="BA562" s="223" t="s">
        <v>794</v>
      </c>
      <c r="BB562" s="223" t="s">
        <v>626</v>
      </c>
      <c r="BC562" s="223" t="s">
        <v>795</v>
      </c>
      <c r="BD562" s="223" t="s">
        <v>796</v>
      </c>
      <c r="BE562" s="223"/>
      <c r="BF562" s="223"/>
      <c r="BG562" s="223"/>
      <c r="BH562" s="223">
        <v>-9999</v>
      </c>
      <c r="BI562" s="223">
        <v>-9999</v>
      </c>
      <c r="BJ562" s="223">
        <v>-9999</v>
      </c>
      <c r="BK562" s="223">
        <v>-9999</v>
      </c>
      <c r="BL562" s="223">
        <v>-9999</v>
      </c>
      <c r="BM562" s="223">
        <v>-9999</v>
      </c>
      <c r="BN562" s="223">
        <v>-9999</v>
      </c>
      <c r="BO562" s="223">
        <v>-9999</v>
      </c>
      <c r="BP562" s="223">
        <v>-9999</v>
      </c>
      <c r="BQ562" s="223">
        <v>-9999</v>
      </c>
      <c r="BR562" s="223">
        <v>-9999</v>
      </c>
      <c r="BS562" s="242">
        <v>-9999</v>
      </c>
      <c r="BT562" s="223">
        <v>-9999</v>
      </c>
      <c r="BU562" s="223">
        <v>-9999</v>
      </c>
      <c r="BV562" s="223">
        <v>-9999</v>
      </c>
      <c r="BW562" s="223"/>
      <c r="BX562" s="223">
        <v>-9999</v>
      </c>
      <c r="BY562" s="223">
        <v>-9999</v>
      </c>
      <c r="BZ562" s="223">
        <v>-9999</v>
      </c>
      <c r="CA562" s="332" t="s">
        <v>797</v>
      </c>
      <c r="CB562" s="247"/>
      <c r="CC562" s="83">
        <v>1</v>
      </c>
      <c r="CD562" s="32">
        <v>5</v>
      </c>
      <c r="CE562" s="292">
        <v>7.2</v>
      </c>
      <c r="CF562" s="292">
        <v>17.2</v>
      </c>
      <c r="CG562" s="84">
        <v>5</v>
      </c>
    </row>
    <row r="563" spans="1:86" s="23" customFormat="1" x14ac:dyDescent="0.2">
      <c r="A563" s="223" t="s">
        <v>785</v>
      </c>
      <c r="B563" s="223" t="s">
        <v>786</v>
      </c>
      <c r="C563" s="223" t="s">
        <v>290</v>
      </c>
      <c r="D563" s="223" t="s">
        <v>619</v>
      </c>
      <c r="E563" s="241" t="s">
        <v>1444</v>
      </c>
      <c r="F563" s="241">
        <v>1</v>
      </c>
      <c r="G563" s="223">
        <v>6</v>
      </c>
      <c r="H563" s="242">
        <v>6</v>
      </c>
      <c r="I563" s="223" t="s">
        <v>954</v>
      </c>
      <c r="J563" s="223">
        <v>1981</v>
      </c>
      <c r="K563" s="223" t="s">
        <v>957</v>
      </c>
      <c r="L563" s="223">
        <v>1986</v>
      </c>
      <c r="M563" s="243">
        <v>-9999</v>
      </c>
      <c r="N563" s="223">
        <v>-9999</v>
      </c>
      <c r="O563" s="29"/>
      <c r="P563" s="285">
        <f t="shared" si="45"/>
        <v>51</v>
      </c>
      <c r="Q563" s="223">
        <v>-9999</v>
      </c>
      <c r="R563" s="243"/>
      <c r="S563" s="223"/>
      <c r="T563" s="243">
        <v>8.5</v>
      </c>
      <c r="U563" s="243">
        <v>1.8</v>
      </c>
      <c r="V563" s="243"/>
      <c r="W563" s="244">
        <f>+P563-P562</f>
        <v>15</v>
      </c>
      <c r="X563" s="223">
        <v>-9999</v>
      </c>
      <c r="Y563" s="223"/>
      <c r="Z563" s="223" t="s">
        <v>75</v>
      </c>
      <c r="AA563" s="245">
        <v>5000</v>
      </c>
      <c r="AB563" s="243">
        <v>0.95</v>
      </c>
      <c r="AC563" s="223">
        <v>-9999</v>
      </c>
      <c r="AD563" s="223">
        <f t="shared" si="40"/>
        <v>400</v>
      </c>
      <c r="AE563" s="404" t="s">
        <v>1952</v>
      </c>
      <c r="AF563" s="223">
        <v>4</v>
      </c>
      <c r="AG563" s="223">
        <v>2</v>
      </c>
      <c r="AH563" s="223" t="s">
        <v>623</v>
      </c>
      <c r="AI563" s="223">
        <v>-9999</v>
      </c>
      <c r="AJ563" s="223">
        <v>-9999</v>
      </c>
      <c r="AK563" s="223" t="s">
        <v>626</v>
      </c>
      <c r="AL563" s="223" t="s">
        <v>653</v>
      </c>
      <c r="AM563" s="223">
        <v>-9999</v>
      </c>
      <c r="AN563" s="223" t="s">
        <v>631</v>
      </c>
      <c r="AO563" s="223">
        <v>-9999</v>
      </c>
      <c r="AP563" s="223">
        <v>-9999</v>
      </c>
      <c r="AQ563" s="223" t="s">
        <v>631</v>
      </c>
      <c r="AR563" s="223">
        <v>0</v>
      </c>
      <c r="AS563" s="223">
        <v>-9999</v>
      </c>
      <c r="AT563" s="223">
        <v>-9999</v>
      </c>
      <c r="AU563" s="223">
        <v>0</v>
      </c>
      <c r="AV563" s="223">
        <v>-9999</v>
      </c>
      <c r="AW563" s="223">
        <v>-9999</v>
      </c>
      <c r="AX563" s="223">
        <v>0</v>
      </c>
      <c r="AY563" s="223">
        <v>-9999</v>
      </c>
      <c r="AZ563" s="223">
        <v>-9999</v>
      </c>
      <c r="BA563" s="223" t="s">
        <v>794</v>
      </c>
      <c r="BB563" s="223" t="s">
        <v>626</v>
      </c>
      <c r="BC563" s="223" t="s">
        <v>795</v>
      </c>
      <c r="BD563" s="223" t="s">
        <v>796</v>
      </c>
      <c r="BE563" s="223"/>
      <c r="BF563" s="223"/>
      <c r="BG563" s="223"/>
      <c r="BH563" s="223">
        <v>-9999</v>
      </c>
      <c r="BI563" s="223">
        <v>-9999</v>
      </c>
      <c r="BJ563" s="223">
        <v>-9999</v>
      </c>
      <c r="BK563" s="223">
        <v>-9999</v>
      </c>
      <c r="BL563" s="223">
        <v>-9999</v>
      </c>
      <c r="BM563" s="223">
        <v>-9999</v>
      </c>
      <c r="BN563" s="223">
        <v>-9999</v>
      </c>
      <c r="BO563" s="223">
        <v>-9999</v>
      </c>
      <c r="BP563" s="223">
        <v>-9999</v>
      </c>
      <c r="BQ563" s="223">
        <v>-9999</v>
      </c>
      <c r="BR563" s="223">
        <v>-9999</v>
      </c>
      <c r="BS563" s="242">
        <v>-9999</v>
      </c>
      <c r="BT563" s="223">
        <v>-9999</v>
      </c>
      <c r="BU563" s="223">
        <v>-9999</v>
      </c>
      <c r="BV563" s="223">
        <v>-9999</v>
      </c>
      <c r="BW563" s="223"/>
      <c r="BX563" s="223">
        <v>-9999</v>
      </c>
      <c r="BY563" s="223">
        <v>-9999</v>
      </c>
      <c r="BZ563" s="223">
        <v>-9999</v>
      </c>
      <c r="CA563" s="332" t="s">
        <v>797</v>
      </c>
      <c r="CB563" s="247"/>
      <c r="CC563" s="83">
        <v>1</v>
      </c>
      <c r="CD563" s="32">
        <v>6</v>
      </c>
      <c r="CE563" s="394">
        <v>8.5</v>
      </c>
      <c r="CF563" s="292">
        <v>15</v>
      </c>
      <c r="CG563" s="84">
        <v>6</v>
      </c>
      <c r="CH563" s="477"/>
    </row>
    <row r="564" spans="1:86" s="23" customFormat="1" x14ac:dyDescent="0.2">
      <c r="A564" s="223" t="s">
        <v>785</v>
      </c>
      <c r="B564" s="223" t="s">
        <v>786</v>
      </c>
      <c r="C564" s="223" t="s">
        <v>290</v>
      </c>
      <c r="D564" s="223" t="s">
        <v>619</v>
      </c>
      <c r="E564" s="241" t="s">
        <v>1444</v>
      </c>
      <c r="F564" s="241">
        <v>1</v>
      </c>
      <c r="G564" s="223">
        <v>7</v>
      </c>
      <c r="H564" s="242">
        <v>7</v>
      </c>
      <c r="I564" s="223" t="s">
        <v>954</v>
      </c>
      <c r="J564" s="223">
        <v>1981</v>
      </c>
      <c r="K564" s="223" t="s">
        <v>957</v>
      </c>
      <c r="L564" s="223">
        <v>1987</v>
      </c>
      <c r="M564" s="243">
        <v>-9999</v>
      </c>
      <c r="N564" s="223">
        <v>-9999</v>
      </c>
      <c r="O564" s="29"/>
      <c r="P564" s="285">
        <f t="shared" si="45"/>
        <v>58.100000000000009</v>
      </c>
      <c r="Q564" s="223">
        <v>-9999</v>
      </c>
      <c r="R564" s="243"/>
      <c r="S564" s="223"/>
      <c r="T564" s="243">
        <v>8.3000000000000007</v>
      </c>
      <c r="U564" s="243">
        <v>1.6</v>
      </c>
      <c r="V564" s="243"/>
      <c r="W564" s="244">
        <f>+P564-P563</f>
        <v>7.1000000000000085</v>
      </c>
      <c r="X564" s="223">
        <v>-9999</v>
      </c>
      <c r="Y564" s="223"/>
      <c r="Z564" s="223" t="s">
        <v>75</v>
      </c>
      <c r="AA564" s="245">
        <v>5000</v>
      </c>
      <c r="AB564" s="243">
        <v>0.92</v>
      </c>
      <c r="AC564" s="223">
        <v>-9999</v>
      </c>
      <c r="AD564" s="223">
        <f t="shared" si="40"/>
        <v>400</v>
      </c>
      <c r="AE564" s="404" t="s">
        <v>1952</v>
      </c>
      <c r="AF564" s="223">
        <v>4</v>
      </c>
      <c r="AG564" s="223">
        <v>2</v>
      </c>
      <c r="AH564" s="223" t="s">
        <v>623</v>
      </c>
      <c r="AI564" s="223">
        <v>-9999</v>
      </c>
      <c r="AJ564" s="223">
        <v>-9999</v>
      </c>
      <c r="AK564" s="223" t="s">
        <v>626</v>
      </c>
      <c r="AL564" s="223" t="s">
        <v>653</v>
      </c>
      <c r="AM564" s="223">
        <v>-9999</v>
      </c>
      <c r="AN564" s="223" t="s">
        <v>631</v>
      </c>
      <c r="AO564" s="223">
        <v>-9999</v>
      </c>
      <c r="AP564" s="223">
        <v>-9999</v>
      </c>
      <c r="AQ564" s="223" t="s">
        <v>631</v>
      </c>
      <c r="AR564" s="223">
        <v>0</v>
      </c>
      <c r="AS564" s="223">
        <v>-9999</v>
      </c>
      <c r="AT564" s="223">
        <v>-9999</v>
      </c>
      <c r="AU564" s="223">
        <v>0</v>
      </c>
      <c r="AV564" s="223">
        <v>-9999</v>
      </c>
      <c r="AW564" s="223">
        <v>-9999</v>
      </c>
      <c r="AX564" s="223">
        <v>0</v>
      </c>
      <c r="AY564" s="223">
        <v>-9999</v>
      </c>
      <c r="AZ564" s="223">
        <v>-9999</v>
      </c>
      <c r="BA564" s="223" t="s">
        <v>794</v>
      </c>
      <c r="BB564" s="223" t="s">
        <v>626</v>
      </c>
      <c r="BC564" s="223" t="s">
        <v>795</v>
      </c>
      <c r="BD564" s="223" t="s">
        <v>796</v>
      </c>
      <c r="BE564" s="223"/>
      <c r="BF564" s="223"/>
      <c r="BG564" s="223"/>
      <c r="BH564" s="223">
        <v>-9999</v>
      </c>
      <c r="BI564" s="223">
        <v>-9999</v>
      </c>
      <c r="BJ564" s="223">
        <v>-9999</v>
      </c>
      <c r="BK564" s="223">
        <v>-9999</v>
      </c>
      <c r="BL564" s="223">
        <v>-9999</v>
      </c>
      <c r="BM564" s="223">
        <v>-9999</v>
      </c>
      <c r="BN564" s="223">
        <v>-9999</v>
      </c>
      <c r="BO564" s="223">
        <v>-9999</v>
      </c>
      <c r="BP564" s="223">
        <v>-9999</v>
      </c>
      <c r="BQ564" s="223">
        <v>-9999</v>
      </c>
      <c r="BR564" s="223">
        <v>-9999</v>
      </c>
      <c r="BS564" s="242">
        <v>-9999</v>
      </c>
      <c r="BT564" s="223">
        <v>-9999</v>
      </c>
      <c r="BU564" s="223">
        <v>-9999</v>
      </c>
      <c r="BV564" s="223">
        <v>-9999</v>
      </c>
      <c r="BW564" s="223"/>
      <c r="BX564" s="223">
        <v>-9999</v>
      </c>
      <c r="BY564" s="223">
        <v>-9999</v>
      </c>
      <c r="BZ564" s="223">
        <v>-9999</v>
      </c>
      <c r="CA564" s="332" t="s">
        <v>797</v>
      </c>
      <c r="CB564" s="247"/>
      <c r="CC564" s="83">
        <v>1</v>
      </c>
      <c r="CD564" s="32">
        <v>7</v>
      </c>
      <c r="CE564" s="292">
        <v>8.3000000000000007</v>
      </c>
      <c r="CF564" s="292">
        <v>7.1000000000000085</v>
      </c>
      <c r="CG564" s="84">
        <v>7</v>
      </c>
    </row>
    <row r="565" spans="1:86" s="23" customFormat="1" x14ac:dyDescent="0.2">
      <c r="A565" s="223" t="s">
        <v>785</v>
      </c>
      <c r="B565" s="223" t="s">
        <v>786</v>
      </c>
      <c r="C565" s="223" t="s">
        <v>290</v>
      </c>
      <c r="D565" s="223" t="s">
        <v>619</v>
      </c>
      <c r="E565" s="241" t="s">
        <v>1444</v>
      </c>
      <c r="F565" s="241">
        <v>1</v>
      </c>
      <c r="G565" s="223">
        <v>8</v>
      </c>
      <c r="H565" s="242">
        <v>8</v>
      </c>
      <c r="I565" s="223" t="s">
        <v>954</v>
      </c>
      <c r="J565" s="223">
        <v>1981</v>
      </c>
      <c r="K565" s="223" t="s">
        <v>957</v>
      </c>
      <c r="L565" s="223">
        <v>1988</v>
      </c>
      <c r="M565" s="243">
        <v>-9999</v>
      </c>
      <c r="N565" s="223">
        <v>-9999</v>
      </c>
      <c r="O565" s="29"/>
      <c r="P565" s="285">
        <f t="shared" si="45"/>
        <v>62.4</v>
      </c>
      <c r="Q565" s="223">
        <v>-9999</v>
      </c>
      <c r="R565" s="243"/>
      <c r="S565" s="223"/>
      <c r="T565" s="243">
        <v>7.8</v>
      </c>
      <c r="U565" s="243">
        <v>1.1000000000000001</v>
      </c>
      <c r="V565" s="243"/>
      <c r="W565" s="244">
        <f>+P565-P564</f>
        <v>4.2999999999999901</v>
      </c>
      <c r="X565" s="223">
        <v>-9999</v>
      </c>
      <c r="Y565" s="223"/>
      <c r="Z565" s="223" t="s">
        <v>75</v>
      </c>
      <c r="AA565" s="245">
        <v>5000</v>
      </c>
      <c r="AB565" s="243">
        <v>0.79</v>
      </c>
      <c r="AC565" s="223">
        <v>-9999</v>
      </c>
      <c r="AD565" s="223">
        <f t="shared" si="40"/>
        <v>400</v>
      </c>
      <c r="AE565" s="404" t="s">
        <v>1952</v>
      </c>
      <c r="AF565" s="223">
        <v>4</v>
      </c>
      <c r="AG565" s="223">
        <v>2</v>
      </c>
      <c r="AH565" s="223" t="s">
        <v>623</v>
      </c>
      <c r="AI565" s="223">
        <v>-9999</v>
      </c>
      <c r="AJ565" s="223">
        <v>-9999</v>
      </c>
      <c r="AK565" s="223" t="s">
        <v>626</v>
      </c>
      <c r="AL565" s="223" t="s">
        <v>653</v>
      </c>
      <c r="AM565" s="223">
        <v>-9999</v>
      </c>
      <c r="AN565" s="223" t="s">
        <v>631</v>
      </c>
      <c r="AO565" s="223">
        <v>-9999</v>
      </c>
      <c r="AP565" s="223">
        <v>-9999</v>
      </c>
      <c r="AQ565" s="223" t="s">
        <v>631</v>
      </c>
      <c r="AR565" s="223">
        <v>0</v>
      </c>
      <c r="AS565" s="223">
        <v>-9999</v>
      </c>
      <c r="AT565" s="223">
        <v>-9999</v>
      </c>
      <c r="AU565" s="223">
        <v>0</v>
      </c>
      <c r="AV565" s="223">
        <v>-9999</v>
      </c>
      <c r="AW565" s="223">
        <v>-9999</v>
      </c>
      <c r="AX565" s="223">
        <v>0</v>
      </c>
      <c r="AY565" s="223">
        <v>-9999</v>
      </c>
      <c r="AZ565" s="223">
        <v>-9999</v>
      </c>
      <c r="BA565" s="223" t="s">
        <v>794</v>
      </c>
      <c r="BB565" s="223" t="s">
        <v>626</v>
      </c>
      <c r="BC565" s="223" t="s">
        <v>795</v>
      </c>
      <c r="BD565" s="223" t="s">
        <v>796</v>
      </c>
      <c r="BE565" s="223"/>
      <c r="BF565" s="223"/>
      <c r="BG565" s="223"/>
      <c r="BH565" s="223">
        <v>-9999</v>
      </c>
      <c r="BI565" s="223">
        <v>-9999</v>
      </c>
      <c r="BJ565" s="223">
        <v>-9999</v>
      </c>
      <c r="BK565" s="223">
        <v>-9999</v>
      </c>
      <c r="BL565" s="223">
        <v>-9999</v>
      </c>
      <c r="BM565" s="223">
        <v>-9999</v>
      </c>
      <c r="BN565" s="223">
        <v>-9999</v>
      </c>
      <c r="BO565" s="223">
        <v>-9999</v>
      </c>
      <c r="BP565" s="223">
        <v>-9999</v>
      </c>
      <c r="BQ565" s="223">
        <v>-9999</v>
      </c>
      <c r="BR565" s="223">
        <v>-9999</v>
      </c>
      <c r="BS565" s="242">
        <v>-9999</v>
      </c>
      <c r="BT565" s="223">
        <v>-9999</v>
      </c>
      <c r="BU565" s="223">
        <v>-9999</v>
      </c>
      <c r="BV565" s="223">
        <v>-9999</v>
      </c>
      <c r="BW565" s="223"/>
      <c r="BX565" s="223">
        <v>-9999</v>
      </c>
      <c r="BY565" s="223">
        <v>-9999</v>
      </c>
      <c r="BZ565" s="223">
        <v>-9999</v>
      </c>
      <c r="CA565" s="332" t="s">
        <v>797</v>
      </c>
      <c r="CB565" s="247"/>
      <c r="CC565" s="83">
        <v>1</v>
      </c>
      <c r="CD565" s="32">
        <v>8</v>
      </c>
      <c r="CE565" s="292">
        <v>7.8</v>
      </c>
      <c r="CF565" s="292">
        <v>4.2999999999999901</v>
      </c>
      <c r="CG565" s="84">
        <v>8</v>
      </c>
    </row>
    <row r="566" spans="1:86" s="23" customFormat="1" x14ac:dyDescent="0.2">
      <c r="A566" s="223"/>
      <c r="B566" s="223"/>
      <c r="C566" s="223"/>
      <c r="D566" s="223"/>
      <c r="E566" s="241"/>
      <c r="F566" s="241"/>
      <c r="G566" s="223"/>
      <c r="H566" s="242"/>
      <c r="I566" s="223"/>
      <c r="J566" s="223"/>
      <c r="K566" s="223"/>
      <c r="L566" s="223"/>
      <c r="M566" s="243"/>
      <c r="N566" s="223"/>
      <c r="O566" s="29"/>
      <c r="P566" s="243"/>
      <c r="Q566" s="223"/>
      <c r="R566" s="243"/>
      <c r="S566" s="223"/>
      <c r="T566" s="243"/>
      <c r="U566" s="243"/>
      <c r="V566" s="243"/>
      <c r="W566" s="243"/>
      <c r="X566" s="223"/>
      <c r="Y566" s="223"/>
      <c r="Z566" s="223"/>
      <c r="AA566" s="245"/>
      <c r="AB566" s="243"/>
      <c r="AC566" s="223"/>
      <c r="AD566" s="223"/>
      <c r="AE566" s="223"/>
      <c r="AF566" s="223"/>
      <c r="AG566" s="223"/>
      <c r="AH566" s="223"/>
      <c r="AI566" s="223"/>
      <c r="AJ566" s="223"/>
      <c r="AK566" s="223"/>
      <c r="AL566" s="223"/>
      <c r="AM566" s="223"/>
      <c r="AN566" s="223"/>
      <c r="AO566" s="223"/>
      <c r="AP566" s="223"/>
      <c r="AQ566" s="223"/>
      <c r="AR566" s="223"/>
      <c r="AS566" s="223"/>
      <c r="AT566" s="223"/>
      <c r="AU566" s="223"/>
      <c r="AV566" s="223"/>
      <c r="AW566" s="223"/>
      <c r="AX566" s="223"/>
      <c r="AY566" s="223"/>
      <c r="AZ566" s="223"/>
      <c r="BA566" s="223"/>
      <c r="BB566" s="223"/>
      <c r="BC566" s="223"/>
      <c r="BD566" s="223"/>
      <c r="BE566" s="223"/>
      <c r="BF566" s="223"/>
      <c r="BG566" s="223"/>
      <c r="BH566" s="223"/>
      <c r="BI566" s="223"/>
      <c r="BJ566" s="223"/>
      <c r="BK566" s="223"/>
      <c r="BL566" s="223"/>
      <c r="BM566" s="223"/>
      <c r="BN566" s="223"/>
      <c r="BO566" s="223"/>
      <c r="BP566" s="223"/>
      <c r="BQ566" s="223"/>
      <c r="BR566" s="223"/>
      <c r="BS566" s="242"/>
      <c r="BT566" s="223"/>
      <c r="BU566" s="223"/>
      <c r="BV566" s="223"/>
      <c r="BW566" s="223"/>
      <c r="BX566" s="223"/>
      <c r="BY566" s="223"/>
      <c r="BZ566" s="223"/>
      <c r="CA566" s="332"/>
      <c r="CB566" s="247"/>
      <c r="CC566" s="83"/>
      <c r="CD566" s="32"/>
      <c r="CE566" s="342" t="s">
        <v>1576</v>
      </c>
      <c r="CF566" s="342" t="s">
        <v>1575</v>
      </c>
      <c r="CG566" s="84"/>
    </row>
    <row r="567" spans="1:86" s="23" customFormat="1" x14ac:dyDescent="0.2">
      <c r="A567" s="223" t="s">
        <v>785</v>
      </c>
      <c r="B567" s="223" t="s">
        <v>786</v>
      </c>
      <c r="C567" s="223" t="s">
        <v>1027</v>
      </c>
      <c r="D567" s="223" t="s">
        <v>619</v>
      </c>
      <c r="E567" s="241" t="s">
        <v>1443</v>
      </c>
      <c r="F567" s="241">
        <v>1</v>
      </c>
      <c r="G567" s="223">
        <v>3</v>
      </c>
      <c r="H567" s="242">
        <v>3</v>
      </c>
      <c r="I567" s="223" t="s">
        <v>954</v>
      </c>
      <c r="J567" s="223">
        <v>1981</v>
      </c>
      <c r="K567" s="223" t="s">
        <v>957</v>
      </c>
      <c r="L567" s="223">
        <v>1983</v>
      </c>
      <c r="M567" s="243">
        <v>-9999</v>
      </c>
      <c r="N567" s="223">
        <v>-9999</v>
      </c>
      <c r="O567" s="29"/>
      <c r="P567" s="285">
        <f t="shared" ref="P567:P572" si="46">+T567*G567</f>
        <v>14.700000000000001</v>
      </c>
      <c r="Q567" s="223">
        <v>-9999</v>
      </c>
      <c r="R567" s="243"/>
      <c r="S567" s="223"/>
      <c r="T567" s="243">
        <v>4.9000000000000004</v>
      </c>
      <c r="U567" s="243">
        <v>1.1000000000000001</v>
      </c>
      <c r="V567" s="243"/>
      <c r="W567" s="243"/>
      <c r="X567" s="223">
        <v>-9999</v>
      </c>
      <c r="Y567" s="223"/>
      <c r="Z567" s="223" t="s">
        <v>74</v>
      </c>
      <c r="AA567" s="248">
        <v>14286</v>
      </c>
      <c r="AB567" s="243">
        <v>1</v>
      </c>
      <c r="AC567" s="223">
        <v>-9999</v>
      </c>
      <c r="AD567" s="223">
        <f t="shared" si="40"/>
        <v>400</v>
      </c>
      <c r="AE567" s="404" t="s">
        <v>1956</v>
      </c>
      <c r="AF567" s="223">
        <v>4</v>
      </c>
      <c r="AG567" s="223">
        <v>2</v>
      </c>
      <c r="AH567" s="223" t="s">
        <v>623</v>
      </c>
      <c r="AI567" s="223">
        <v>-9999</v>
      </c>
      <c r="AJ567" s="223">
        <v>-9999</v>
      </c>
      <c r="AK567" s="223" t="s">
        <v>626</v>
      </c>
      <c r="AL567" s="223" t="s">
        <v>653</v>
      </c>
      <c r="AM567" s="223">
        <v>-9999</v>
      </c>
      <c r="AN567" s="223" t="s">
        <v>626</v>
      </c>
      <c r="AO567" s="223">
        <v>-9999</v>
      </c>
      <c r="AP567" s="223" t="s">
        <v>789</v>
      </c>
      <c r="AQ567" s="223" t="s">
        <v>631</v>
      </c>
      <c r="AR567" s="223">
        <v>0</v>
      </c>
      <c r="AS567" s="223">
        <v>-9999</v>
      </c>
      <c r="AT567" s="223">
        <v>-9999</v>
      </c>
      <c r="AU567" s="223">
        <v>0</v>
      </c>
      <c r="AV567" s="223">
        <v>-9999</v>
      </c>
      <c r="AW567" s="223">
        <v>-9999</v>
      </c>
      <c r="AX567" s="223">
        <v>0</v>
      </c>
      <c r="AY567" s="223">
        <v>-9999</v>
      </c>
      <c r="AZ567" s="223">
        <v>-9999</v>
      </c>
      <c r="BA567" s="223" t="s">
        <v>794</v>
      </c>
      <c r="BB567" s="223" t="s">
        <v>626</v>
      </c>
      <c r="BC567" s="223" t="s">
        <v>795</v>
      </c>
      <c r="BD567" s="223" t="s">
        <v>796</v>
      </c>
      <c r="BE567" s="223"/>
      <c r="BF567" s="223"/>
      <c r="BG567" s="223"/>
      <c r="BH567" s="223">
        <v>-9999</v>
      </c>
      <c r="BI567" s="223">
        <v>-9999</v>
      </c>
      <c r="BJ567" s="223">
        <v>-9999</v>
      </c>
      <c r="BK567" s="223">
        <v>-9999</v>
      </c>
      <c r="BL567" s="223">
        <v>-9999</v>
      </c>
      <c r="BM567" s="223">
        <v>-9999</v>
      </c>
      <c r="BN567" s="223">
        <v>-9999</v>
      </c>
      <c r="BO567" s="223">
        <v>-9999</v>
      </c>
      <c r="BP567" s="223">
        <v>-9999</v>
      </c>
      <c r="BQ567" s="223">
        <v>-9999</v>
      </c>
      <c r="BR567" s="223">
        <v>-9999</v>
      </c>
      <c r="BS567" s="242">
        <v>-9999</v>
      </c>
      <c r="BT567" s="223">
        <v>-9999</v>
      </c>
      <c r="BU567" s="223">
        <v>-9999</v>
      </c>
      <c r="BV567" s="223">
        <v>-9999</v>
      </c>
      <c r="BW567" s="223"/>
      <c r="BX567" s="223">
        <v>-9999</v>
      </c>
      <c r="BY567" s="223">
        <v>-9999</v>
      </c>
      <c r="BZ567" s="223">
        <v>-9999</v>
      </c>
      <c r="CA567" s="332" t="s">
        <v>797</v>
      </c>
      <c r="CB567" s="247"/>
      <c r="CC567" s="83">
        <v>1</v>
      </c>
      <c r="CD567" s="32">
        <v>3</v>
      </c>
      <c r="CE567" s="292">
        <v>4.9000000000000004</v>
      </c>
      <c r="CF567" s="292"/>
      <c r="CG567" s="84">
        <v>3</v>
      </c>
    </row>
    <row r="568" spans="1:86" s="23" customFormat="1" x14ac:dyDescent="0.2">
      <c r="A568" s="223" t="s">
        <v>785</v>
      </c>
      <c r="B568" s="223" t="s">
        <v>786</v>
      </c>
      <c r="C568" s="223" t="s">
        <v>1027</v>
      </c>
      <c r="D568" s="223" t="s">
        <v>619</v>
      </c>
      <c r="E568" s="241" t="s">
        <v>1443</v>
      </c>
      <c r="F568" s="241">
        <v>1</v>
      </c>
      <c r="G568" s="223">
        <v>4</v>
      </c>
      <c r="H568" s="242">
        <v>4</v>
      </c>
      <c r="I568" s="223" t="s">
        <v>954</v>
      </c>
      <c r="J568" s="223">
        <v>1981</v>
      </c>
      <c r="K568" s="223" t="s">
        <v>957</v>
      </c>
      <c r="L568" s="223">
        <v>1984</v>
      </c>
      <c r="M568" s="243">
        <v>-9999</v>
      </c>
      <c r="N568" s="223">
        <v>-9999</v>
      </c>
      <c r="O568" s="29"/>
      <c r="P568" s="285">
        <f t="shared" si="46"/>
        <v>28.8</v>
      </c>
      <c r="Q568" s="223">
        <v>-9999</v>
      </c>
      <c r="R568" s="243"/>
      <c r="S568" s="223"/>
      <c r="T568" s="243">
        <v>7.2</v>
      </c>
      <c r="U568" s="223">
        <v>1.3</v>
      </c>
      <c r="V568" s="223"/>
      <c r="W568" s="244">
        <f>+P568-P567</f>
        <v>14.1</v>
      </c>
      <c r="X568" s="223">
        <v>-9999</v>
      </c>
      <c r="Y568" s="223"/>
      <c r="Z568" s="223" t="s">
        <v>74</v>
      </c>
      <c r="AA568" s="248">
        <v>14286</v>
      </c>
      <c r="AB568" s="285">
        <v>0.99</v>
      </c>
      <c r="AC568" s="223">
        <v>-9999</v>
      </c>
      <c r="AD568" s="223">
        <f t="shared" si="40"/>
        <v>400</v>
      </c>
      <c r="AE568" s="404" t="s">
        <v>1956</v>
      </c>
      <c r="AF568" s="223">
        <v>4</v>
      </c>
      <c r="AG568" s="223">
        <v>2</v>
      </c>
      <c r="AH568" s="223" t="s">
        <v>623</v>
      </c>
      <c r="AI568" s="223">
        <v>-9999</v>
      </c>
      <c r="AJ568" s="223">
        <v>-9999</v>
      </c>
      <c r="AK568" s="223" t="s">
        <v>626</v>
      </c>
      <c r="AL568" s="223" t="s">
        <v>653</v>
      </c>
      <c r="AM568" s="223">
        <v>-9999</v>
      </c>
      <c r="AN568" s="223" t="s">
        <v>626</v>
      </c>
      <c r="AO568" s="223">
        <v>-9999</v>
      </c>
      <c r="AP568" s="223" t="s">
        <v>789</v>
      </c>
      <c r="AQ568" s="223" t="s">
        <v>631</v>
      </c>
      <c r="AR568" s="223">
        <v>0</v>
      </c>
      <c r="AS568" s="223">
        <v>-9999</v>
      </c>
      <c r="AT568" s="223">
        <v>-9999</v>
      </c>
      <c r="AU568" s="223">
        <v>0</v>
      </c>
      <c r="AV568" s="223">
        <v>-9999</v>
      </c>
      <c r="AW568" s="223">
        <v>-9999</v>
      </c>
      <c r="AX568" s="223">
        <v>0</v>
      </c>
      <c r="AY568" s="223">
        <v>-9999</v>
      </c>
      <c r="AZ568" s="223">
        <v>-9999</v>
      </c>
      <c r="BA568" s="223" t="s">
        <v>794</v>
      </c>
      <c r="BB568" s="223" t="s">
        <v>626</v>
      </c>
      <c r="BC568" s="223" t="s">
        <v>795</v>
      </c>
      <c r="BD568" s="223" t="s">
        <v>796</v>
      </c>
      <c r="BE568" s="223"/>
      <c r="BF568" s="223"/>
      <c r="BG568" s="223"/>
      <c r="BH568" s="223">
        <v>-9999</v>
      </c>
      <c r="BI568" s="223">
        <v>-9999</v>
      </c>
      <c r="BJ568" s="223">
        <v>-9999</v>
      </c>
      <c r="BK568" s="223">
        <v>-9999</v>
      </c>
      <c r="BL568" s="223">
        <v>-9999</v>
      </c>
      <c r="BM568" s="223">
        <v>-9999</v>
      </c>
      <c r="BN568" s="223">
        <v>-9999</v>
      </c>
      <c r="BO568" s="223">
        <v>-9999</v>
      </c>
      <c r="BP568" s="223">
        <v>-9999</v>
      </c>
      <c r="BQ568" s="223">
        <v>-9999</v>
      </c>
      <c r="BR568" s="223">
        <v>-9999</v>
      </c>
      <c r="BS568" s="242">
        <v>-9999</v>
      </c>
      <c r="BT568" s="223">
        <v>-9999</v>
      </c>
      <c r="BU568" s="223">
        <v>-9999</v>
      </c>
      <c r="BV568" s="223">
        <v>-9999</v>
      </c>
      <c r="BW568" s="223"/>
      <c r="BX568" s="223">
        <v>-9999</v>
      </c>
      <c r="BY568" s="223">
        <v>-9999</v>
      </c>
      <c r="BZ568" s="223">
        <v>-9999</v>
      </c>
      <c r="CA568" s="332" t="s">
        <v>797</v>
      </c>
      <c r="CB568" s="247"/>
      <c r="CC568" s="83">
        <v>1</v>
      </c>
      <c r="CD568" s="32">
        <v>4</v>
      </c>
      <c r="CE568" s="292">
        <v>7.2</v>
      </c>
      <c r="CF568" s="292">
        <v>14.1</v>
      </c>
      <c r="CG568" s="84">
        <v>4</v>
      </c>
    </row>
    <row r="569" spans="1:86" s="23" customFormat="1" x14ac:dyDescent="0.2">
      <c r="A569" s="223" t="s">
        <v>785</v>
      </c>
      <c r="B569" s="223" t="s">
        <v>786</v>
      </c>
      <c r="C569" s="223" t="s">
        <v>1027</v>
      </c>
      <c r="D569" s="223" t="s">
        <v>619</v>
      </c>
      <c r="E569" s="241" t="s">
        <v>1443</v>
      </c>
      <c r="F569" s="241">
        <v>1</v>
      </c>
      <c r="G569" s="223">
        <v>5</v>
      </c>
      <c r="H569" s="242">
        <v>5</v>
      </c>
      <c r="I569" s="223" t="s">
        <v>954</v>
      </c>
      <c r="J569" s="223">
        <v>1981</v>
      </c>
      <c r="K569" s="223" t="s">
        <v>957</v>
      </c>
      <c r="L569" s="223">
        <v>1985</v>
      </c>
      <c r="M569" s="243">
        <v>-9999</v>
      </c>
      <c r="N569" s="223">
        <v>-9999</v>
      </c>
      <c r="O569" s="29"/>
      <c r="P569" s="285">
        <f t="shared" si="46"/>
        <v>43.5</v>
      </c>
      <c r="Q569" s="223">
        <v>-9999</v>
      </c>
      <c r="R569" s="243"/>
      <c r="S569" s="223"/>
      <c r="T569" s="243">
        <v>8.6999999999999993</v>
      </c>
      <c r="U569" s="243">
        <v>1.6</v>
      </c>
      <c r="V569" s="243"/>
      <c r="W569" s="244">
        <f>+P569-P568</f>
        <v>14.7</v>
      </c>
      <c r="X569" s="223">
        <v>-9999</v>
      </c>
      <c r="Y569" s="223"/>
      <c r="Z569" s="223" t="s">
        <v>74</v>
      </c>
      <c r="AA569" s="248">
        <v>14286</v>
      </c>
      <c r="AB569" s="285">
        <v>0.97</v>
      </c>
      <c r="AC569" s="223">
        <v>-9999</v>
      </c>
      <c r="AD569" s="223">
        <f t="shared" si="40"/>
        <v>400</v>
      </c>
      <c r="AE569" s="404" t="s">
        <v>1956</v>
      </c>
      <c r="AF569" s="223">
        <v>4</v>
      </c>
      <c r="AG569" s="223">
        <v>2</v>
      </c>
      <c r="AH569" s="223" t="s">
        <v>623</v>
      </c>
      <c r="AI569" s="223">
        <v>-9999</v>
      </c>
      <c r="AJ569" s="223">
        <v>-9999</v>
      </c>
      <c r="AK569" s="223" t="s">
        <v>626</v>
      </c>
      <c r="AL569" s="223" t="s">
        <v>653</v>
      </c>
      <c r="AM569" s="223">
        <v>-9999</v>
      </c>
      <c r="AN569" s="223" t="s">
        <v>626</v>
      </c>
      <c r="AO569" s="223">
        <v>-9999</v>
      </c>
      <c r="AP569" s="223" t="s">
        <v>789</v>
      </c>
      <c r="AQ569" s="223" t="s">
        <v>631</v>
      </c>
      <c r="AR569" s="223">
        <v>0</v>
      </c>
      <c r="AS569" s="223">
        <v>-9999</v>
      </c>
      <c r="AT569" s="223">
        <v>-9999</v>
      </c>
      <c r="AU569" s="223">
        <v>0</v>
      </c>
      <c r="AV569" s="223">
        <v>-9999</v>
      </c>
      <c r="AW569" s="223">
        <v>-9999</v>
      </c>
      <c r="AX569" s="223">
        <v>0</v>
      </c>
      <c r="AY569" s="223">
        <v>-9999</v>
      </c>
      <c r="AZ569" s="223">
        <v>-9999</v>
      </c>
      <c r="BA569" s="223" t="s">
        <v>794</v>
      </c>
      <c r="BB569" s="223" t="s">
        <v>626</v>
      </c>
      <c r="BC569" s="223" t="s">
        <v>795</v>
      </c>
      <c r="BD569" s="223" t="s">
        <v>796</v>
      </c>
      <c r="BE569" s="223"/>
      <c r="BF569" s="223"/>
      <c r="BG569" s="223"/>
      <c r="BH569" s="223">
        <v>-9999</v>
      </c>
      <c r="BI569" s="223">
        <v>-9999</v>
      </c>
      <c r="BJ569" s="223">
        <v>-9999</v>
      </c>
      <c r="BK569" s="223">
        <v>-9999</v>
      </c>
      <c r="BL569" s="223">
        <v>-9999</v>
      </c>
      <c r="BM569" s="223">
        <v>-9999</v>
      </c>
      <c r="BN569" s="223">
        <v>-9999</v>
      </c>
      <c r="BO569" s="223">
        <v>-9999</v>
      </c>
      <c r="BP569" s="223">
        <v>-9999</v>
      </c>
      <c r="BQ569" s="223">
        <v>-9999</v>
      </c>
      <c r="BR569" s="223">
        <v>-9999</v>
      </c>
      <c r="BS569" s="242">
        <v>-9999</v>
      </c>
      <c r="BT569" s="223">
        <v>-9999</v>
      </c>
      <c r="BU569" s="223">
        <v>-9999</v>
      </c>
      <c r="BV569" s="223">
        <v>-9999</v>
      </c>
      <c r="BW569" s="223"/>
      <c r="BX569" s="223">
        <v>-9999</v>
      </c>
      <c r="BY569" s="223">
        <v>-9999</v>
      </c>
      <c r="BZ569" s="223">
        <v>-9999</v>
      </c>
      <c r="CA569" s="332" t="s">
        <v>797</v>
      </c>
      <c r="CB569" s="247"/>
      <c r="CC569" s="83">
        <v>1</v>
      </c>
      <c r="CD569" s="32">
        <v>5</v>
      </c>
      <c r="CE569" s="394">
        <v>8.6999999999999993</v>
      </c>
      <c r="CF569" s="292">
        <v>14.7</v>
      </c>
      <c r="CG569" s="84">
        <v>5</v>
      </c>
      <c r="CH569" s="477"/>
    </row>
    <row r="570" spans="1:86" s="23" customFormat="1" x14ac:dyDescent="0.2">
      <c r="A570" s="223" t="s">
        <v>785</v>
      </c>
      <c r="B570" s="223" t="s">
        <v>786</v>
      </c>
      <c r="C570" s="223" t="s">
        <v>1027</v>
      </c>
      <c r="D570" s="223" t="s">
        <v>619</v>
      </c>
      <c r="E570" s="241" t="s">
        <v>1443</v>
      </c>
      <c r="F570" s="241">
        <v>1</v>
      </c>
      <c r="G570" s="223">
        <v>6</v>
      </c>
      <c r="H570" s="242">
        <v>6</v>
      </c>
      <c r="I570" s="223" t="s">
        <v>954</v>
      </c>
      <c r="J570" s="223">
        <v>1981</v>
      </c>
      <c r="K570" s="223" t="s">
        <v>957</v>
      </c>
      <c r="L570" s="223">
        <v>1986</v>
      </c>
      <c r="M570" s="243">
        <v>-9999</v>
      </c>
      <c r="N570" s="223">
        <v>-9999</v>
      </c>
      <c r="O570" s="29"/>
      <c r="P570" s="285">
        <f t="shared" si="46"/>
        <v>51</v>
      </c>
      <c r="Q570" s="223">
        <v>-9999</v>
      </c>
      <c r="R570" s="243"/>
      <c r="S570" s="223"/>
      <c r="T570" s="243">
        <v>8.5</v>
      </c>
      <c r="U570" s="243">
        <v>1.3</v>
      </c>
      <c r="V570" s="243"/>
      <c r="W570" s="244">
        <f>+P570-P569</f>
        <v>7.5</v>
      </c>
      <c r="X570" s="223">
        <v>-9999</v>
      </c>
      <c r="Y570" s="223"/>
      <c r="Z570" s="223" t="s">
        <v>74</v>
      </c>
      <c r="AA570" s="248">
        <v>14286</v>
      </c>
      <c r="AB570" s="243">
        <v>0.95</v>
      </c>
      <c r="AC570" s="223">
        <v>-9999</v>
      </c>
      <c r="AD570" s="223">
        <f t="shared" si="40"/>
        <v>400</v>
      </c>
      <c r="AE570" s="404" t="s">
        <v>1956</v>
      </c>
      <c r="AF570" s="223">
        <v>4</v>
      </c>
      <c r="AG570" s="223">
        <v>2</v>
      </c>
      <c r="AH570" s="223" t="s">
        <v>623</v>
      </c>
      <c r="AI570" s="223">
        <v>-9999</v>
      </c>
      <c r="AJ570" s="223">
        <v>-9999</v>
      </c>
      <c r="AK570" s="223" t="s">
        <v>626</v>
      </c>
      <c r="AL570" s="223" t="s">
        <v>653</v>
      </c>
      <c r="AM570" s="223">
        <v>-9999</v>
      </c>
      <c r="AN570" s="223" t="s">
        <v>626</v>
      </c>
      <c r="AO570" s="223">
        <v>-9999</v>
      </c>
      <c r="AP570" s="223" t="s">
        <v>789</v>
      </c>
      <c r="AQ570" s="223" t="s">
        <v>631</v>
      </c>
      <c r="AR570" s="223">
        <v>0</v>
      </c>
      <c r="AS570" s="223">
        <v>-9999</v>
      </c>
      <c r="AT570" s="223">
        <v>-9999</v>
      </c>
      <c r="AU570" s="223">
        <v>0</v>
      </c>
      <c r="AV570" s="223">
        <v>-9999</v>
      </c>
      <c r="AW570" s="223">
        <v>-9999</v>
      </c>
      <c r="AX570" s="223">
        <v>0</v>
      </c>
      <c r="AY570" s="223">
        <v>-9999</v>
      </c>
      <c r="AZ570" s="223">
        <v>-9999</v>
      </c>
      <c r="BA570" s="223" t="s">
        <v>794</v>
      </c>
      <c r="BB570" s="223" t="s">
        <v>626</v>
      </c>
      <c r="BC570" s="223" t="s">
        <v>795</v>
      </c>
      <c r="BD570" s="223" t="s">
        <v>796</v>
      </c>
      <c r="BE570" s="223"/>
      <c r="BF570" s="223"/>
      <c r="BG570" s="223"/>
      <c r="BH570" s="223">
        <v>-9999</v>
      </c>
      <c r="BI570" s="223">
        <v>-9999</v>
      </c>
      <c r="BJ570" s="223">
        <v>-9999</v>
      </c>
      <c r="BK570" s="223">
        <v>-9999</v>
      </c>
      <c r="BL570" s="223">
        <v>-9999</v>
      </c>
      <c r="BM570" s="223">
        <v>-9999</v>
      </c>
      <c r="BN570" s="223">
        <v>-9999</v>
      </c>
      <c r="BO570" s="223">
        <v>-9999</v>
      </c>
      <c r="BP570" s="223">
        <v>-9999</v>
      </c>
      <c r="BQ570" s="223">
        <v>-9999</v>
      </c>
      <c r="BR570" s="223">
        <v>-9999</v>
      </c>
      <c r="BS570" s="242">
        <v>-9999</v>
      </c>
      <c r="BT570" s="223">
        <v>-9999</v>
      </c>
      <c r="BU570" s="223">
        <v>-9999</v>
      </c>
      <c r="BV570" s="223">
        <v>-9999</v>
      </c>
      <c r="BW570" s="223"/>
      <c r="BX570" s="223">
        <v>-9999</v>
      </c>
      <c r="BY570" s="223">
        <v>-9999</v>
      </c>
      <c r="BZ570" s="223">
        <v>-9999</v>
      </c>
      <c r="CA570" s="332" t="s">
        <v>797</v>
      </c>
      <c r="CB570" s="247"/>
      <c r="CC570" s="83">
        <v>1</v>
      </c>
      <c r="CD570" s="32">
        <v>6</v>
      </c>
      <c r="CE570" s="292">
        <v>8.5</v>
      </c>
      <c r="CF570" s="292">
        <v>7.5</v>
      </c>
      <c r="CG570" s="84">
        <v>6</v>
      </c>
    </row>
    <row r="571" spans="1:86" s="23" customFormat="1" x14ac:dyDescent="0.2">
      <c r="A571" s="223" t="s">
        <v>785</v>
      </c>
      <c r="B571" s="223" t="s">
        <v>786</v>
      </c>
      <c r="C571" s="223" t="s">
        <v>1027</v>
      </c>
      <c r="D571" s="223" t="s">
        <v>619</v>
      </c>
      <c r="E571" s="241" t="s">
        <v>1443</v>
      </c>
      <c r="F571" s="241">
        <v>1</v>
      </c>
      <c r="G571" s="223">
        <v>7</v>
      </c>
      <c r="H571" s="242">
        <v>7</v>
      </c>
      <c r="I571" s="223" t="s">
        <v>954</v>
      </c>
      <c r="J571" s="223">
        <v>1981</v>
      </c>
      <c r="K571" s="223" t="s">
        <v>957</v>
      </c>
      <c r="L571" s="223">
        <v>1987</v>
      </c>
      <c r="M571" s="243">
        <v>-9999</v>
      </c>
      <c r="N571" s="223">
        <v>-9999</v>
      </c>
      <c r="O571" s="29"/>
      <c r="P571" s="285">
        <f t="shared" si="46"/>
        <v>60.899999999999991</v>
      </c>
      <c r="Q571" s="223">
        <v>-9999</v>
      </c>
      <c r="R571" s="243"/>
      <c r="S571" s="223"/>
      <c r="T571" s="243">
        <v>8.6999999999999993</v>
      </c>
      <c r="U571" s="243">
        <v>1.3</v>
      </c>
      <c r="V571" s="243"/>
      <c r="W571" s="244">
        <f>+P571-P570</f>
        <v>9.8999999999999915</v>
      </c>
      <c r="X571" s="223">
        <v>-9999</v>
      </c>
      <c r="Y571" s="223"/>
      <c r="Z571" s="223" t="s">
        <v>74</v>
      </c>
      <c r="AA571" s="248">
        <v>14286</v>
      </c>
      <c r="AB571" s="243">
        <v>0.92</v>
      </c>
      <c r="AC571" s="223">
        <v>-9999</v>
      </c>
      <c r="AD571" s="223">
        <f t="shared" si="40"/>
        <v>400</v>
      </c>
      <c r="AE571" s="404" t="s">
        <v>1956</v>
      </c>
      <c r="AF571" s="223">
        <v>4</v>
      </c>
      <c r="AG571" s="223">
        <v>2</v>
      </c>
      <c r="AH571" s="223" t="s">
        <v>623</v>
      </c>
      <c r="AI571" s="223">
        <v>-9999</v>
      </c>
      <c r="AJ571" s="223">
        <v>-9999</v>
      </c>
      <c r="AK571" s="223" t="s">
        <v>626</v>
      </c>
      <c r="AL571" s="223" t="s">
        <v>653</v>
      </c>
      <c r="AM571" s="223">
        <v>-9999</v>
      </c>
      <c r="AN571" s="223" t="s">
        <v>626</v>
      </c>
      <c r="AO571" s="223">
        <v>-9999</v>
      </c>
      <c r="AP571" s="223" t="s">
        <v>789</v>
      </c>
      <c r="AQ571" s="223" t="s">
        <v>631</v>
      </c>
      <c r="AR571" s="223">
        <v>0</v>
      </c>
      <c r="AS571" s="223">
        <v>-9999</v>
      </c>
      <c r="AT571" s="223">
        <v>-9999</v>
      </c>
      <c r="AU571" s="223">
        <v>0</v>
      </c>
      <c r="AV571" s="223">
        <v>-9999</v>
      </c>
      <c r="AW571" s="223">
        <v>-9999</v>
      </c>
      <c r="AX571" s="223">
        <v>0</v>
      </c>
      <c r="AY571" s="223">
        <v>-9999</v>
      </c>
      <c r="AZ571" s="223">
        <v>-9999</v>
      </c>
      <c r="BA571" s="223" t="s">
        <v>794</v>
      </c>
      <c r="BB571" s="223" t="s">
        <v>626</v>
      </c>
      <c r="BC571" s="223" t="s">
        <v>795</v>
      </c>
      <c r="BD571" s="223" t="s">
        <v>796</v>
      </c>
      <c r="BE571" s="223"/>
      <c r="BF571" s="223"/>
      <c r="BG571" s="223"/>
      <c r="BH571" s="223">
        <v>-9999</v>
      </c>
      <c r="BI571" s="223">
        <v>-9999</v>
      </c>
      <c r="BJ571" s="223">
        <v>-9999</v>
      </c>
      <c r="BK571" s="223">
        <v>-9999</v>
      </c>
      <c r="BL571" s="223">
        <v>-9999</v>
      </c>
      <c r="BM571" s="223">
        <v>-9999</v>
      </c>
      <c r="BN571" s="223">
        <v>-9999</v>
      </c>
      <c r="BO571" s="223">
        <v>-9999</v>
      </c>
      <c r="BP571" s="223">
        <v>-9999</v>
      </c>
      <c r="BQ571" s="223">
        <v>-9999</v>
      </c>
      <c r="BR571" s="223">
        <v>-9999</v>
      </c>
      <c r="BS571" s="242">
        <v>-9999</v>
      </c>
      <c r="BT571" s="223">
        <v>-9999</v>
      </c>
      <c r="BU571" s="223">
        <v>-9999</v>
      </c>
      <c r="BV571" s="223">
        <v>-9999</v>
      </c>
      <c r="BW571" s="223"/>
      <c r="BX571" s="223">
        <v>-9999</v>
      </c>
      <c r="BY571" s="223">
        <v>-9999</v>
      </c>
      <c r="BZ571" s="223">
        <v>-9999</v>
      </c>
      <c r="CA571" s="332" t="s">
        <v>797</v>
      </c>
      <c r="CB571" s="247"/>
      <c r="CC571" s="83">
        <v>1</v>
      </c>
      <c r="CD571" s="32">
        <v>7</v>
      </c>
      <c r="CE571" s="292">
        <v>8.6999999999999993</v>
      </c>
      <c r="CF571" s="292">
        <v>9.8999999999999915</v>
      </c>
      <c r="CG571" s="84">
        <v>7</v>
      </c>
    </row>
    <row r="572" spans="1:86" s="23" customFormat="1" x14ac:dyDescent="0.2">
      <c r="A572" s="223" t="s">
        <v>785</v>
      </c>
      <c r="B572" s="223" t="s">
        <v>786</v>
      </c>
      <c r="C572" s="223" t="s">
        <v>1027</v>
      </c>
      <c r="D572" s="223" t="s">
        <v>619</v>
      </c>
      <c r="E572" s="241" t="s">
        <v>1443</v>
      </c>
      <c r="F572" s="241">
        <v>1</v>
      </c>
      <c r="G572" s="223">
        <v>8</v>
      </c>
      <c r="H572" s="242">
        <v>8</v>
      </c>
      <c r="I572" s="223" t="s">
        <v>954</v>
      </c>
      <c r="J572" s="223">
        <v>1981</v>
      </c>
      <c r="K572" s="223" t="s">
        <v>957</v>
      </c>
      <c r="L572" s="223">
        <v>1988</v>
      </c>
      <c r="M572" s="243">
        <v>-9999</v>
      </c>
      <c r="N572" s="223">
        <v>-9999</v>
      </c>
      <c r="O572" s="29"/>
      <c r="P572" s="285">
        <f t="shared" si="46"/>
        <v>50.4</v>
      </c>
      <c r="Q572" s="223">
        <v>-9999</v>
      </c>
      <c r="R572" s="243"/>
      <c r="S572" s="223"/>
      <c r="T572" s="243">
        <v>6.3</v>
      </c>
      <c r="U572" s="243">
        <v>2.2000000000000002</v>
      </c>
      <c r="V572" s="243"/>
      <c r="W572" s="244">
        <f>+P572-P571</f>
        <v>-10.499999999999993</v>
      </c>
      <c r="X572" s="223">
        <v>-9999</v>
      </c>
      <c r="Y572" s="223"/>
      <c r="Z572" s="223" t="s">
        <v>74</v>
      </c>
      <c r="AA572" s="248">
        <v>14286</v>
      </c>
      <c r="AB572" s="243">
        <v>0.79</v>
      </c>
      <c r="AC572" s="223">
        <v>-9999</v>
      </c>
      <c r="AD572" s="223">
        <f t="shared" si="40"/>
        <v>400</v>
      </c>
      <c r="AE572" s="404" t="s">
        <v>1956</v>
      </c>
      <c r="AF572" s="223">
        <v>4</v>
      </c>
      <c r="AG572" s="223">
        <v>2</v>
      </c>
      <c r="AH572" s="223" t="s">
        <v>623</v>
      </c>
      <c r="AI572" s="223">
        <v>-9999</v>
      </c>
      <c r="AJ572" s="223">
        <v>-9999</v>
      </c>
      <c r="AK572" s="223" t="s">
        <v>626</v>
      </c>
      <c r="AL572" s="223" t="s">
        <v>653</v>
      </c>
      <c r="AM572" s="223">
        <v>-9999</v>
      </c>
      <c r="AN572" s="223" t="s">
        <v>626</v>
      </c>
      <c r="AO572" s="223">
        <v>-9999</v>
      </c>
      <c r="AP572" s="223" t="s">
        <v>789</v>
      </c>
      <c r="AQ572" s="223" t="s">
        <v>631</v>
      </c>
      <c r="AR572" s="223">
        <v>0</v>
      </c>
      <c r="AS572" s="223">
        <v>-9999</v>
      </c>
      <c r="AT572" s="223">
        <v>-9999</v>
      </c>
      <c r="AU572" s="223">
        <v>0</v>
      </c>
      <c r="AV572" s="223">
        <v>-9999</v>
      </c>
      <c r="AW572" s="223">
        <v>-9999</v>
      </c>
      <c r="AX572" s="223">
        <v>0</v>
      </c>
      <c r="AY572" s="223">
        <v>-9999</v>
      </c>
      <c r="AZ572" s="223">
        <v>-9999</v>
      </c>
      <c r="BA572" s="223" t="s">
        <v>794</v>
      </c>
      <c r="BB572" s="223" t="s">
        <v>626</v>
      </c>
      <c r="BC572" s="223" t="s">
        <v>795</v>
      </c>
      <c r="BD572" s="223" t="s">
        <v>796</v>
      </c>
      <c r="BE572" s="223"/>
      <c r="BF572" s="223"/>
      <c r="BG572" s="223"/>
      <c r="BH572" s="223">
        <v>-9999</v>
      </c>
      <c r="BI572" s="223">
        <v>-9999</v>
      </c>
      <c r="BJ572" s="223">
        <v>-9999</v>
      </c>
      <c r="BK572" s="223">
        <v>-9999</v>
      </c>
      <c r="BL572" s="223">
        <v>-9999</v>
      </c>
      <c r="BM572" s="223">
        <v>-9999</v>
      </c>
      <c r="BN572" s="223">
        <v>-9999</v>
      </c>
      <c r="BO572" s="223">
        <v>-9999</v>
      </c>
      <c r="BP572" s="223">
        <v>-9999</v>
      </c>
      <c r="BQ572" s="223">
        <v>-9999</v>
      </c>
      <c r="BR572" s="223">
        <v>-9999</v>
      </c>
      <c r="BS572" s="242">
        <v>-9999</v>
      </c>
      <c r="BT572" s="223">
        <v>-9999</v>
      </c>
      <c r="BU572" s="223">
        <v>-9999</v>
      </c>
      <c r="BV572" s="223">
        <v>-9999</v>
      </c>
      <c r="BW572" s="223"/>
      <c r="BX572" s="223">
        <v>-9999</v>
      </c>
      <c r="BY572" s="223">
        <v>-9999</v>
      </c>
      <c r="BZ572" s="223">
        <v>-9999</v>
      </c>
      <c r="CA572" s="332" t="s">
        <v>797</v>
      </c>
      <c r="CB572" s="247"/>
      <c r="CC572" s="83">
        <v>1</v>
      </c>
      <c r="CD572" s="32">
        <v>8</v>
      </c>
      <c r="CE572" s="292">
        <v>6.3</v>
      </c>
      <c r="CF572" s="292">
        <v>-10.499999999999993</v>
      </c>
      <c r="CG572" s="84">
        <v>8</v>
      </c>
    </row>
    <row r="573" spans="1:86" s="23" customFormat="1" x14ac:dyDescent="0.2">
      <c r="A573" s="223"/>
      <c r="B573" s="223"/>
      <c r="C573" s="223"/>
      <c r="D573" s="223"/>
      <c r="E573" s="241"/>
      <c r="F573" s="241"/>
      <c r="G573" s="223"/>
      <c r="H573" s="242"/>
      <c r="I573" s="223"/>
      <c r="J573" s="223"/>
      <c r="K573" s="223"/>
      <c r="L573" s="223"/>
      <c r="M573" s="243"/>
      <c r="N573" s="223"/>
      <c r="O573" s="29"/>
      <c r="P573" s="243"/>
      <c r="Q573" s="223"/>
      <c r="R573" s="243"/>
      <c r="S573" s="223"/>
      <c r="T573" s="243"/>
      <c r="U573" s="243"/>
      <c r="V573" s="243"/>
      <c r="W573" s="243"/>
      <c r="X573" s="223"/>
      <c r="Y573" s="223"/>
      <c r="Z573" s="223"/>
      <c r="AA573" s="248"/>
      <c r="AB573" s="243"/>
      <c r="AC573" s="223"/>
      <c r="AD573" s="223"/>
      <c r="AE573" s="223"/>
      <c r="AF573" s="223"/>
      <c r="AG573" s="223"/>
      <c r="AH573" s="223"/>
      <c r="AI573" s="223"/>
      <c r="AJ573" s="223"/>
      <c r="AK573" s="223"/>
      <c r="AL573" s="223"/>
      <c r="AM573" s="223"/>
      <c r="AN573" s="223"/>
      <c r="AO573" s="223"/>
      <c r="AP573" s="223"/>
      <c r="AQ573" s="223"/>
      <c r="AR573" s="223"/>
      <c r="AS573" s="223"/>
      <c r="AT573" s="223"/>
      <c r="AU573" s="223"/>
      <c r="AV573" s="223"/>
      <c r="AW573" s="223"/>
      <c r="AX573" s="223"/>
      <c r="AY573" s="223"/>
      <c r="AZ573" s="223"/>
      <c r="BA573" s="223"/>
      <c r="BB573" s="223"/>
      <c r="BC573" s="223"/>
      <c r="BD573" s="223"/>
      <c r="BE573" s="223"/>
      <c r="BF573" s="223"/>
      <c r="BG573" s="223"/>
      <c r="BH573" s="223"/>
      <c r="BI573" s="223"/>
      <c r="BJ573" s="223"/>
      <c r="BK573" s="223"/>
      <c r="BL573" s="223"/>
      <c r="BM573" s="223"/>
      <c r="BN573" s="223"/>
      <c r="BO573" s="223"/>
      <c r="BP573" s="223"/>
      <c r="BQ573" s="223"/>
      <c r="BR573" s="223"/>
      <c r="BS573" s="242"/>
      <c r="BT573" s="223"/>
      <c r="BU573" s="223"/>
      <c r="BV573" s="223"/>
      <c r="BW573" s="223"/>
      <c r="BX573" s="223"/>
      <c r="BY573" s="223"/>
      <c r="BZ573" s="223"/>
      <c r="CA573" s="332"/>
      <c r="CB573" s="247"/>
      <c r="CC573" s="83"/>
      <c r="CD573" s="32"/>
      <c r="CE573" s="342" t="s">
        <v>1576</v>
      </c>
      <c r="CF573" s="342" t="s">
        <v>1575</v>
      </c>
      <c r="CG573" s="84"/>
    </row>
    <row r="574" spans="1:86" s="23" customFormat="1" x14ac:dyDescent="0.2">
      <c r="A574" s="223" t="s">
        <v>785</v>
      </c>
      <c r="B574" s="223" t="s">
        <v>786</v>
      </c>
      <c r="C574" s="223" t="s">
        <v>1028</v>
      </c>
      <c r="D574" s="223" t="s">
        <v>619</v>
      </c>
      <c r="E574" s="241" t="s">
        <v>1443</v>
      </c>
      <c r="F574" s="241">
        <v>1</v>
      </c>
      <c r="G574" s="223">
        <v>3</v>
      </c>
      <c r="H574" s="242">
        <v>3</v>
      </c>
      <c r="I574" s="223" t="s">
        <v>954</v>
      </c>
      <c r="J574" s="223">
        <v>1981</v>
      </c>
      <c r="K574" s="223" t="s">
        <v>957</v>
      </c>
      <c r="L574" s="223">
        <v>1983</v>
      </c>
      <c r="M574" s="243">
        <v>-9999</v>
      </c>
      <c r="N574" s="223">
        <v>-9999</v>
      </c>
      <c r="O574" s="29"/>
      <c r="P574" s="285">
        <f t="shared" ref="P574:P579" si="47">+T574*G574</f>
        <v>14.100000000000001</v>
      </c>
      <c r="Q574" s="223">
        <v>-9999</v>
      </c>
      <c r="R574" s="243"/>
      <c r="S574" s="223"/>
      <c r="T574" s="243">
        <v>4.7</v>
      </c>
      <c r="U574" s="243">
        <v>0.7</v>
      </c>
      <c r="V574" s="243"/>
      <c r="W574" s="243"/>
      <c r="X574" s="223">
        <v>-9999</v>
      </c>
      <c r="Y574" s="223"/>
      <c r="Z574" s="223" t="s">
        <v>793</v>
      </c>
      <c r="AA574" s="248">
        <v>10000</v>
      </c>
      <c r="AB574" s="243">
        <v>1</v>
      </c>
      <c r="AC574" s="223">
        <v>-9999</v>
      </c>
      <c r="AD574" s="223">
        <f t="shared" si="40"/>
        <v>400</v>
      </c>
      <c r="AE574" s="404" t="s">
        <v>1957</v>
      </c>
      <c r="AF574" s="223">
        <v>4</v>
      </c>
      <c r="AG574" s="223">
        <v>2</v>
      </c>
      <c r="AH574" s="223" t="s">
        <v>623</v>
      </c>
      <c r="AI574" s="223">
        <v>-9999</v>
      </c>
      <c r="AJ574" s="223">
        <v>-9999</v>
      </c>
      <c r="AK574" s="223" t="s">
        <v>626</v>
      </c>
      <c r="AL574" s="223" t="s">
        <v>653</v>
      </c>
      <c r="AM574" s="223">
        <v>-9999</v>
      </c>
      <c r="AN574" s="223" t="s">
        <v>626</v>
      </c>
      <c r="AO574" s="223">
        <v>-9999</v>
      </c>
      <c r="AP574" s="223" t="s">
        <v>789</v>
      </c>
      <c r="AQ574" s="223" t="s">
        <v>631</v>
      </c>
      <c r="AR574" s="223">
        <v>0</v>
      </c>
      <c r="AS574" s="223">
        <v>-9999</v>
      </c>
      <c r="AT574" s="223">
        <v>-9999</v>
      </c>
      <c r="AU574" s="223">
        <v>0</v>
      </c>
      <c r="AV574" s="223">
        <v>-9999</v>
      </c>
      <c r="AW574" s="223">
        <v>-9999</v>
      </c>
      <c r="AX574" s="223">
        <v>0</v>
      </c>
      <c r="AY574" s="223">
        <v>-9999</v>
      </c>
      <c r="AZ574" s="223">
        <v>-9999</v>
      </c>
      <c r="BA574" s="223" t="s">
        <v>794</v>
      </c>
      <c r="BB574" s="223" t="s">
        <v>626</v>
      </c>
      <c r="BC574" s="223" t="s">
        <v>795</v>
      </c>
      <c r="BD574" s="223" t="s">
        <v>796</v>
      </c>
      <c r="BE574" s="223"/>
      <c r="BF574" s="223"/>
      <c r="BG574" s="223"/>
      <c r="BH574" s="223">
        <v>-9999</v>
      </c>
      <c r="BI574" s="223">
        <v>-9999</v>
      </c>
      <c r="BJ574" s="223">
        <v>-9999</v>
      </c>
      <c r="BK574" s="223">
        <v>-9999</v>
      </c>
      <c r="BL574" s="223">
        <v>-9999</v>
      </c>
      <c r="BM574" s="223">
        <v>-9999</v>
      </c>
      <c r="BN574" s="223">
        <v>-9999</v>
      </c>
      <c r="BO574" s="223">
        <v>-9999</v>
      </c>
      <c r="BP574" s="223">
        <v>-9999</v>
      </c>
      <c r="BQ574" s="223">
        <v>-9999</v>
      </c>
      <c r="BR574" s="223">
        <v>-9999</v>
      </c>
      <c r="BS574" s="242">
        <v>-9999</v>
      </c>
      <c r="BT574" s="223">
        <v>-9999</v>
      </c>
      <c r="BU574" s="223">
        <v>-9999</v>
      </c>
      <c r="BV574" s="223">
        <v>-9999</v>
      </c>
      <c r="BW574" s="223"/>
      <c r="BX574" s="223">
        <v>-9999</v>
      </c>
      <c r="BY574" s="223">
        <v>-9999</v>
      </c>
      <c r="BZ574" s="223">
        <v>-9999</v>
      </c>
      <c r="CA574" s="332" t="s">
        <v>797</v>
      </c>
      <c r="CB574" s="247"/>
      <c r="CC574" s="83">
        <v>1</v>
      </c>
      <c r="CD574" s="32">
        <v>3</v>
      </c>
      <c r="CE574" s="292">
        <v>4.7</v>
      </c>
      <c r="CF574" s="292"/>
      <c r="CG574" s="84">
        <v>3</v>
      </c>
    </row>
    <row r="575" spans="1:86" s="23" customFormat="1" x14ac:dyDescent="0.2">
      <c r="A575" s="223" t="s">
        <v>785</v>
      </c>
      <c r="B575" s="223" t="s">
        <v>786</v>
      </c>
      <c r="C575" s="223" t="s">
        <v>1028</v>
      </c>
      <c r="D575" s="223" t="s">
        <v>619</v>
      </c>
      <c r="E575" s="241" t="s">
        <v>1443</v>
      </c>
      <c r="F575" s="241">
        <v>1</v>
      </c>
      <c r="G575" s="223">
        <v>4</v>
      </c>
      <c r="H575" s="242">
        <v>4</v>
      </c>
      <c r="I575" s="223" t="s">
        <v>954</v>
      </c>
      <c r="J575" s="223">
        <v>1981</v>
      </c>
      <c r="K575" s="223" t="s">
        <v>957</v>
      </c>
      <c r="L575" s="223">
        <v>1984</v>
      </c>
      <c r="M575" s="243">
        <v>-9999</v>
      </c>
      <c r="N575" s="223">
        <v>-9999</v>
      </c>
      <c r="O575" s="29"/>
      <c r="P575" s="285">
        <f t="shared" si="47"/>
        <v>33.200000000000003</v>
      </c>
      <c r="Q575" s="223">
        <v>-9999</v>
      </c>
      <c r="R575" s="243"/>
      <c r="S575" s="223"/>
      <c r="T575" s="243">
        <v>8.3000000000000007</v>
      </c>
      <c r="U575" s="243">
        <v>0.9</v>
      </c>
      <c r="V575" s="243"/>
      <c r="W575" s="244">
        <f>+P575-P574</f>
        <v>19.100000000000001</v>
      </c>
      <c r="X575" s="223">
        <v>-9999</v>
      </c>
      <c r="Y575" s="223"/>
      <c r="Z575" s="223" t="s">
        <v>793</v>
      </c>
      <c r="AA575" s="248">
        <v>10000</v>
      </c>
      <c r="AB575" s="285">
        <v>0.99</v>
      </c>
      <c r="AC575" s="223">
        <v>-9999</v>
      </c>
      <c r="AD575" s="223">
        <f t="shared" si="40"/>
        <v>400</v>
      </c>
      <c r="AE575" s="404" t="s">
        <v>1957</v>
      </c>
      <c r="AF575" s="223">
        <v>4</v>
      </c>
      <c r="AG575" s="223">
        <v>2</v>
      </c>
      <c r="AH575" s="223" t="s">
        <v>623</v>
      </c>
      <c r="AI575" s="223">
        <v>-9999</v>
      </c>
      <c r="AJ575" s="223">
        <v>-9999</v>
      </c>
      <c r="AK575" s="223" t="s">
        <v>626</v>
      </c>
      <c r="AL575" s="223" t="s">
        <v>653</v>
      </c>
      <c r="AM575" s="223">
        <v>-9999</v>
      </c>
      <c r="AN575" s="223" t="s">
        <v>626</v>
      </c>
      <c r="AO575" s="223">
        <v>-9999</v>
      </c>
      <c r="AP575" s="223" t="s">
        <v>789</v>
      </c>
      <c r="AQ575" s="223" t="s">
        <v>631</v>
      </c>
      <c r="AR575" s="223">
        <v>0</v>
      </c>
      <c r="AS575" s="223">
        <v>-9999</v>
      </c>
      <c r="AT575" s="223">
        <v>-9999</v>
      </c>
      <c r="AU575" s="223">
        <v>0</v>
      </c>
      <c r="AV575" s="223">
        <v>-9999</v>
      </c>
      <c r="AW575" s="223">
        <v>-9999</v>
      </c>
      <c r="AX575" s="223">
        <v>0</v>
      </c>
      <c r="AY575" s="223">
        <v>-9999</v>
      </c>
      <c r="AZ575" s="223">
        <v>-9999</v>
      </c>
      <c r="BA575" s="223" t="s">
        <v>794</v>
      </c>
      <c r="BB575" s="223" t="s">
        <v>626</v>
      </c>
      <c r="BC575" s="223" t="s">
        <v>795</v>
      </c>
      <c r="BD575" s="223" t="s">
        <v>796</v>
      </c>
      <c r="BE575" s="223"/>
      <c r="BF575" s="223"/>
      <c r="BG575" s="223"/>
      <c r="BH575" s="223">
        <v>-9999</v>
      </c>
      <c r="BI575" s="223">
        <v>-9999</v>
      </c>
      <c r="BJ575" s="223">
        <v>-9999</v>
      </c>
      <c r="BK575" s="223">
        <v>-9999</v>
      </c>
      <c r="BL575" s="223">
        <v>-9999</v>
      </c>
      <c r="BM575" s="223">
        <v>-9999</v>
      </c>
      <c r="BN575" s="223">
        <v>-9999</v>
      </c>
      <c r="BO575" s="223">
        <v>-9999</v>
      </c>
      <c r="BP575" s="223">
        <v>-9999</v>
      </c>
      <c r="BQ575" s="223">
        <v>-9999</v>
      </c>
      <c r="BR575" s="223">
        <v>-9999</v>
      </c>
      <c r="BS575" s="242">
        <v>-9999</v>
      </c>
      <c r="BT575" s="223">
        <v>-9999</v>
      </c>
      <c r="BU575" s="223">
        <v>-9999</v>
      </c>
      <c r="BV575" s="223">
        <v>-9999</v>
      </c>
      <c r="BW575" s="223"/>
      <c r="BX575" s="223">
        <v>-9999</v>
      </c>
      <c r="BY575" s="223">
        <v>-9999</v>
      </c>
      <c r="BZ575" s="223">
        <v>-9999</v>
      </c>
      <c r="CA575" s="332" t="s">
        <v>797</v>
      </c>
      <c r="CB575" s="247"/>
      <c r="CC575" s="83">
        <v>1</v>
      </c>
      <c r="CD575" s="32">
        <v>4</v>
      </c>
      <c r="CE575" s="292">
        <v>8.3000000000000007</v>
      </c>
      <c r="CF575" s="292">
        <v>19.100000000000001</v>
      </c>
      <c r="CG575" s="84">
        <v>4</v>
      </c>
    </row>
    <row r="576" spans="1:86" s="23" customFormat="1" x14ac:dyDescent="0.2">
      <c r="A576" s="223" t="s">
        <v>785</v>
      </c>
      <c r="B576" s="223" t="s">
        <v>786</v>
      </c>
      <c r="C576" s="223" t="s">
        <v>1028</v>
      </c>
      <c r="D576" s="223" t="s">
        <v>619</v>
      </c>
      <c r="E576" s="241" t="s">
        <v>1443</v>
      </c>
      <c r="F576" s="241">
        <v>1</v>
      </c>
      <c r="G576" s="223">
        <v>5</v>
      </c>
      <c r="H576" s="242">
        <v>5</v>
      </c>
      <c r="I576" s="223" t="s">
        <v>954</v>
      </c>
      <c r="J576" s="223">
        <v>1981</v>
      </c>
      <c r="K576" s="223" t="s">
        <v>957</v>
      </c>
      <c r="L576" s="223">
        <v>1985</v>
      </c>
      <c r="M576" s="243">
        <v>-9999</v>
      </c>
      <c r="N576" s="223">
        <v>-9999</v>
      </c>
      <c r="O576" s="29"/>
      <c r="P576" s="285">
        <f t="shared" si="47"/>
        <v>49.5</v>
      </c>
      <c r="Q576" s="223">
        <v>-9999</v>
      </c>
      <c r="R576" s="243"/>
      <c r="S576" s="223"/>
      <c r="T576" s="243">
        <v>9.9</v>
      </c>
      <c r="U576" s="243">
        <v>0.7</v>
      </c>
      <c r="V576" s="243"/>
      <c r="W576" s="244">
        <f>+P576-P575</f>
        <v>16.299999999999997</v>
      </c>
      <c r="X576" s="223">
        <v>-9999</v>
      </c>
      <c r="Y576" s="223"/>
      <c r="Z576" s="223" t="s">
        <v>793</v>
      </c>
      <c r="AA576" s="248">
        <v>10000</v>
      </c>
      <c r="AB576" s="285">
        <v>0.97</v>
      </c>
      <c r="AC576" s="223">
        <v>-9999</v>
      </c>
      <c r="AD576" s="223">
        <f t="shared" si="40"/>
        <v>400</v>
      </c>
      <c r="AE576" s="404" t="s">
        <v>1957</v>
      </c>
      <c r="AF576" s="223">
        <v>4</v>
      </c>
      <c r="AG576" s="223">
        <v>2</v>
      </c>
      <c r="AH576" s="223" t="s">
        <v>623</v>
      </c>
      <c r="AI576" s="223">
        <v>-9999</v>
      </c>
      <c r="AJ576" s="223">
        <v>-9999</v>
      </c>
      <c r="AK576" s="223" t="s">
        <v>626</v>
      </c>
      <c r="AL576" s="223" t="s">
        <v>653</v>
      </c>
      <c r="AM576" s="223">
        <v>-9999</v>
      </c>
      <c r="AN576" s="223" t="s">
        <v>626</v>
      </c>
      <c r="AO576" s="223">
        <v>-9999</v>
      </c>
      <c r="AP576" s="223" t="s">
        <v>789</v>
      </c>
      <c r="AQ576" s="223" t="s">
        <v>631</v>
      </c>
      <c r="AR576" s="223">
        <v>0</v>
      </c>
      <c r="AS576" s="223">
        <v>-9999</v>
      </c>
      <c r="AT576" s="223">
        <v>-9999</v>
      </c>
      <c r="AU576" s="223">
        <v>0</v>
      </c>
      <c r="AV576" s="223">
        <v>-9999</v>
      </c>
      <c r="AW576" s="223">
        <v>-9999</v>
      </c>
      <c r="AX576" s="223">
        <v>0</v>
      </c>
      <c r="AY576" s="223">
        <v>-9999</v>
      </c>
      <c r="AZ576" s="223">
        <v>-9999</v>
      </c>
      <c r="BA576" s="223" t="s">
        <v>794</v>
      </c>
      <c r="BB576" s="223" t="s">
        <v>626</v>
      </c>
      <c r="BC576" s="223" t="s">
        <v>795</v>
      </c>
      <c r="BD576" s="223" t="s">
        <v>796</v>
      </c>
      <c r="BE576" s="223"/>
      <c r="BF576" s="223"/>
      <c r="BG576" s="223"/>
      <c r="BH576" s="223">
        <v>-9999</v>
      </c>
      <c r="BI576" s="223">
        <v>-9999</v>
      </c>
      <c r="BJ576" s="223">
        <v>-9999</v>
      </c>
      <c r="BK576" s="223">
        <v>-9999</v>
      </c>
      <c r="BL576" s="223">
        <v>-9999</v>
      </c>
      <c r="BM576" s="223">
        <v>-9999</v>
      </c>
      <c r="BN576" s="223">
        <v>-9999</v>
      </c>
      <c r="BO576" s="223">
        <v>-9999</v>
      </c>
      <c r="BP576" s="223">
        <v>-9999</v>
      </c>
      <c r="BQ576" s="223">
        <v>-9999</v>
      </c>
      <c r="BR576" s="223">
        <v>-9999</v>
      </c>
      <c r="BS576" s="242">
        <v>-9999</v>
      </c>
      <c r="BT576" s="223">
        <v>-9999</v>
      </c>
      <c r="BU576" s="223">
        <v>-9999</v>
      </c>
      <c r="BV576" s="223">
        <v>-9999</v>
      </c>
      <c r="BW576" s="223"/>
      <c r="BX576" s="223">
        <v>-9999</v>
      </c>
      <c r="BY576" s="223">
        <v>-9999</v>
      </c>
      <c r="BZ576" s="223">
        <v>-9999</v>
      </c>
      <c r="CA576" s="332" t="s">
        <v>797</v>
      </c>
      <c r="CB576" s="247"/>
      <c r="CC576" s="83">
        <v>1</v>
      </c>
      <c r="CD576" s="32">
        <v>5</v>
      </c>
      <c r="CE576" s="292">
        <v>9.9</v>
      </c>
      <c r="CF576" s="292">
        <v>16.299999999999997</v>
      </c>
      <c r="CG576" s="84">
        <v>5</v>
      </c>
    </row>
    <row r="577" spans="1:1873" s="23" customFormat="1" ht="63" customHeight="1" x14ac:dyDescent="0.2">
      <c r="A577" s="223" t="s">
        <v>785</v>
      </c>
      <c r="B577" s="223" t="s">
        <v>786</v>
      </c>
      <c r="C577" s="223" t="s">
        <v>1028</v>
      </c>
      <c r="D577" s="223" t="s">
        <v>619</v>
      </c>
      <c r="E577" s="241" t="s">
        <v>1443</v>
      </c>
      <c r="F577" s="241">
        <v>1</v>
      </c>
      <c r="G577" s="223">
        <v>6</v>
      </c>
      <c r="H577" s="242">
        <v>6</v>
      </c>
      <c r="I577" s="223" t="s">
        <v>954</v>
      </c>
      <c r="J577" s="223">
        <v>1981</v>
      </c>
      <c r="K577" s="223" t="s">
        <v>957</v>
      </c>
      <c r="L577" s="223">
        <v>1986</v>
      </c>
      <c r="M577" s="243">
        <v>-9999</v>
      </c>
      <c r="N577" s="223">
        <v>-9999</v>
      </c>
      <c r="O577" s="29"/>
      <c r="P577" s="285">
        <f t="shared" si="47"/>
        <v>67.199999999999989</v>
      </c>
      <c r="Q577" s="223">
        <v>-9999</v>
      </c>
      <c r="R577" s="243"/>
      <c r="S577" s="223"/>
      <c r="T577" s="243">
        <v>11.2</v>
      </c>
      <c r="U577" s="243">
        <v>0.7</v>
      </c>
      <c r="V577" s="243"/>
      <c r="W577" s="244">
        <f>+P577-P576</f>
        <v>17.699999999999989</v>
      </c>
      <c r="X577" s="223">
        <v>-9999</v>
      </c>
      <c r="Y577" s="223"/>
      <c r="Z577" s="223" t="s">
        <v>793</v>
      </c>
      <c r="AA577" s="248">
        <v>10000</v>
      </c>
      <c r="AB577" s="243">
        <v>0.95</v>
      </c>
      <c r="AC577" s="223">
        <v>-9999</v>
      </c>
      <c r="AD577" s="223">
        <f t="shared" si="40"/>
        <v>400</v>
      </c>
      <c r="AE577" s="404" t="s">
        <v>1957</v>
      </c>
      <c r="AF577" s="223">
        <v>4</v>
      </c>
      <c r="AG577" s="223">
        <v>2</v>
      </c>
      <c r="AH577" s="223" t="s">
        <v>623</v>
      </c>
      <c r="AI577" s="223">
        <v>-9999</v>
      </c>
      <c r="AJ577" s="223">
        <v>-9999</v>
      </c>
      <c r="AK577" s="223" t="s">
        <v>626</v>
      </c>
      <c r="AL577" s="223" t="s">
        <v>653</v>
      </c>
      <c r="AM577" s="223">
        <v>-9999</v>
      </c>
      <c r="AN577" s="223" t="s">
        <v>626</v>
      </c>
      <c r="AO577" s="223">
        <v>-9999</v>
      </c>
      <c r="AP577" s="223" t="s">
        <v>789</v>
      </c>
      <c r="AQ577" s="223" t="s">
        <v>631</v>
      </c>
      <c r="AR577" s="223">
        <v>0</v>
      </c>
      <c r="AS577" s="223">
        <v>-9999</v>
      </c>
      <c r="AT577" s="223">
        <v>-9999</v>
      </c>
      <c r="AU577" s="223">
        <v>0</v>
      </c>
      <c r="AV577" s="223">
        <v>-9999</v>
      </c>
      <c r="AW577" s="223">
        <v>-9999</v>
      </c>
      <c r="AX577" s="223">
        <v>0</v>
      </c>
      <c r="AY577" s="223">
        <v>-9999</v>
      </c>
      <c r="AZ577" s="223">
        <v>-9999</v>
      </c>
      <c r="BA577" s="223" t="s">
        <v>794</v>
      </c>
      <c r="BB577" s="223" t="s">
        <v>626</v>
      </c>
      <c r="BC577" s="223" t="s">
        <v>795</v>
      </c>
      <c r="BD577" s="223" t="s">
        <v>796</v>
      </c>
      <c r="BE577" s="223"/>
      <c r="BF577" s="223"/>
      <c r="BG577" s="223"/>
      <c r="BH577" s="223">
        <v>-9999</v>
      </c>
      <c r="BI577" s="223">
        <v>-9999</v>
      </c>
      <c r="BJ577" s="223">
        <v>-9999</v>
      </c>
      <c r="BK577" s="223">
        <v>-9999</v>
      </c>
      <c r="BL577" s="223">
        <v>-9999</v>
      </c>
      <c r="BM577" s="223">
        <v>-9999</v>
      </c>
      <c r="BN577" s="223">
        <v>-9999</v>
      </c>
      <c r="BO577" s="223">
        <v>-9999</v>
      </c>
      <c r="BP577" s="223">
        <v>-9999</v>
      </c>
      <c r="BQ577" s="223">
        <v>-9999</v>
      </c>
      <c r="BR577" s="223">
        <v>-9999</v>
      </c>
      <c r="BS577" s="242">
        <v>-9999</v>
      </c>
      <c r="BT577" s="223">
        <v>-9999</v>
      </c>
      <c r="BU577" s="223">
        <v>-9999</v>
      </c>
      <c r="BV577" s="223">
        <v>-9999</v>
      </c>
      <c r="BW577" s="223"/>
      <c r="BX577" s="223">
        <v>-9999</v>
      </c>
      <c r="BY577" s="223">
        <v>-9999</v>
      </c>
      <c r="BZ577" s="223">
        <v>-9999</v>
      </c>
      <c r="CA577" s="332" t="s">
        <v>797</v>
      </c>
      <c r="CB577" s="247"/>
      <c r="CC577" s="83">
        <v>1</v>
      </c>
      <c r="CD577" s="32">
        <v>6</v>
      </c>
      <c r="CE577" s="292">
        <v>11.2</v>
      </c>
      <c r="CF577" s="292">
        <v>17.699999999999989</v>
      </c>
      <c r="CG577" s="84">
        <v>6</v>
      </c>
    </row>
    <row r="578" spans="1:1873" s="199" customFormat="1" x14ac:dyDescent="0.2">
      <c r="A578" s="249" t="s">
        <v>785</v>
      </c>
      <c r="B578" s="249" t="s">
        <v>786</v>
      </c>
      <c r="C578" s="249" t="s">
        <v>1028</v>
      </c>
      <c r="D578" s="249" t="s">
        <v>619</v>
      </c>
      <c r="E578" s="250" t="s">
        <v>1443</v>
      </c>
      <c r="F578" s="250">
        <v>1</v>
      </c>
      <c r="G578" s="249">
        <v>7</v>
      </c>
      <c r="H578" s="251">
        <v>7</v>
      </c>
      <c r="I578" s="249" t="s">
        <v>954</v>
      </c>
      <c r="J578" s="249">
        <v>1981</v>
      </c>
      <c r="K578" s="249" t="s">
        <v>957</v>
      </c>
      <c r="L578" s="249">
        <v>1987</v>
      </c>
      <c r="M578" s="253">
        <v>-9999</v>
      </c>
      <c r="N578" s="249">
        <v>-9999</v>
      </c>
      <c r="O578" s="18"/>
      <c r="P578" s="558">
        <f t="shared" si="47"/>
        <v>79.8</v>
      </c>
      <c r="Q578" s="249">
        <v>-9999</v>
      </c>
      <c r="R578" s="253"/>
      <c r="S578" s="249"/>
      <c r="T578" s="253">
        <v>11.4</v>
      </c>
      <c r="U578" s="253">
        <v>0.4</v>
      </c>
      <c r="V578" s="253"/>
      <c r="W578" s="284">
        <f>+P578-P577</f>
        <v>12.600000000000009</v>
      </c>
      <c r="X578" s="249">
        <v>-9999</v>
      </c>
      <c r="Y578" s="249"/>
      <c r="Z578" s="249" t="s">
        <v>793</v>
      </c>
      <c r="AA578" s="559">
        <v>10000</v>
      </c>
      <c r="AB578" s="253">
        <v>0.92</v>
      </c>
      <c r="AC578" s="249">
        <v>-9999</v>
      </c>
      <c r="AD578" s="223">
        <f t="shared" si="40"/>
        <v>400</v>
      </c>
      <c r="AE578" s="249" t="s">
        <v>1957</v>
      </c>
      <c r="AF578" s="249">
        <v>4</v>
      </c>
      <c r="AG578" s="249">
        <v>2</v>
      </c>
      <c r="AH578" s="249" t="s">
        <v>623</v>
      </c>
      <c r="AI578" s="249">
        <v>-9999</v>
      </c>
      <c r="AJ578" s="249">
        <v>-9999</v>
      </c>
      <c r="AK578" s="249" t="s">
        <v>626</v>
      </c>
      <c r="AL578" s="249" t="s">
        <v>653</v>
      </c>
      <c r="AM578" s="249">
        <v>-9999</v>
      </c>
      <c r="AN578" s="249" t="s">
        <v>626</v>
      </c>
      <c r="AO578" s="249">
        <v>-9999</v>
      </c>
      <c r="AP578" s="249" t="s">
        <v>789</v>
      </c>
      <c r="AQ578" s="249" t="s">
        <v>631</v>
      </c>
      <c r="AR578" s="249">
        <v>0</v>
      </c>
      <c r="AS578" s="249">
        <v>-9999</v>
      </c>
      <c r="AT578" s="249">
        <v>-9999</v>
      </c>
      <c r="AU578" s="249">
        <v>0</v>
      </c>
      <c r="AV578" s="249">
        <v>-9999</v>
      </c>
      <c r="AW578" s="249">
        <v>-9999</v>
      </c>
      <c r="AX578" s="249">
        <v>0</v>
      </c>
      <c r="AY578" s="249">
        <v>-9999</v>
      </c>
      <c r="AZ578" s="249">
        <v>-9999</v>
      </c>
      <c r="BA578" s="249" t="s">
        <v>794</v>
      </c>
      <c r="BB578" s="249" t="s">
        <v>626</v>
      </c>
      <c r="BC578" s="249" t="s">
        <v>795</v>
      </c>
      <c r="BD578" s="249" t="s">
        <v>796</v>
      </c>
      <c r="BE578" s="249"/>
      <c r="BF578" s="249"/>
      <c r="BG578" s="249"/>
      <c r="BH578" s="249">
        <v>-9999</v>
      </c>
      <c r="BI578" s="249">
        <v>-9999</v>
      </c>
      <c r="BJ578" s="249">
        <v>-9999</v>
      </c>
      <c r="BK578" s="249">
        <v>-9999</v>
      </c>
      <c r="BL578" s="249">
        <v>-9999</v>
      </c>
      <c r="BM578" s="249">
        <v>-9999</v>
      </c>
      <c r="BN578" s="249">
        <v>-9999</v>
      </c>
      <c r="BO578" s="249">
        <v>-9999</v>
      </c>
      <c r="BP578" s="249">
        <v>-9999</v>
      </c>
      <c r="BQ578" s="249">
        <v>-9999</v>
      </c>
      <c r="BR578" s="249">
        <v>-9999</v>
      </c>
      <c r="BS578" s="251">
        <v>-9999</v>
      </c>
      <c r="BT578" s="249">
        <v>-9999</v>
      </c>
      <c r="BU578" s="249">
        <v>-9999</v>
      </c>
      <c r="BV578" s="249">
        <v>-9999</v>
      </c>
      <c r="BW578" s="249"/>
      <c r="BX578" s="249">
        <v>-9999</v>
      </c>
      <c r="BY578" s="249">
        <v>-9999</v>
      </c>
      <c r="BZ578" s="249">
        <v>-9999</v>
      </c>
      <c r="CA578" s="331" t="s">
        <v>797</v>
      </c>
      <c r="CB578" s="254"/>
      <c r="CC578" s="200">
        <v>1</v>
      </c>
      <c r="CD578" s="193">
        <v>7</v>
      </c>
      <c r="CE578" s="395">
        <v>11.4</v>
      </c>
      <c r="CF578" s="99">
        <v>12.600000000000009</v>
      </c>
      <c r="CG578" s="195">
        <v>7</v>
      </c>
      <c r="CH578" s="437" t="s">
        <v>1757</v>
      </c>
      <c r="CI578" s="13"/>
      <c r="CJ578" s="13"/>
      <c r="CK578" s="13"/>
      <c r="CL578" s="13"/>
      <c r="CM578" s="13"/>
      <c r="CN578" s="13"/>
      <c r="CO578" s="13"/>
      <c r="CP578" s="13"/>
      <c r="CQ578" s="13"/>
      <c r="CR578" s="13"/>
      <c r="CS578" s="13"/>
      <c r="CT578" s="13"/>
      <c r="CU578" s="13"/>
      <c r="CV578" s="13"/>
      <c r="CW578" s="13"/>
      <c r="CX578" s="13"/>
      <c r="CY578" s="13"/>
      <c r="CZ578" s="13"/>
      <c r="DA578" s="13"/>
      <c r="DB578" s="13"/>
      <c r="DC578" s="13"/>
      <c r="DD578" s="13"/>
      <c r="DE578" s="13"/>
      <c r="DF578" s="13"/>
      <c r="DG578" s="13"/>
      <c r="DH578" s="13"/>
      <c r="DI578" s="13"/>
      <c r="DJ578" s="13"/>
      <c r="DK578" s="13"/>
      <c r="DL578" s="13"/>
      <c r="DM578" s="13"/>
      <c r="DN578" s="13"/>
      <c r="DO578" s="13"/>
      <c r="DP578" s="13"/>
      <c r="DQ578" s="13"/>
      <c r="DR578" s="13"/>
      <c r="DS578" s="13"/>
      <c r="DT578" s="13"/>
      <c r="DU578" s="13"/>
      <c r="DV578" s="13"/>
      <c r="DW578" s="13"/>
      <c r="DX578" s="13"/>
      <c r="DY578" s="13"/>
      <c r="DZ578" s="13"/>
      <c r="EA578" s="13"/>
      <c r="EB578" s="13"/>
      <c r="EC578" s="13"/>
      <c r="ED578" s="13"/>
      <c r="EE578" s="13"/>
      <c r="EF578" s="13"/>
      <c r="EG578" s="13"/>
      <c r="EH578" s="13"/>
      <c r="EI578" s="13"/>
      <c r="EJ578" s="13"/>
      <c r="EK578" s="13"/>
      <c r="EL578" s="13"/>
      <c r="EM578" s="13"/>
      <c r="EN578" s="13"/>
      <c r="EO578" s="13"/>
      <c r="EP578" s="13"/>
      <c r="EQ578" s="13"/>
      <c r="ER578" s="13"/>
      <c r="ES578" s="13"/>
      <c r="ET578" s="13"/>
      <c r="EU578" s="13"/>
      <c r="EV578" s="13"/>
      <c r="EW578" s="13"/>
      <c r="EX578" s="13"/>
      <c r="EY578" s="13"/>
      <c r="EZ578" s="13"/>
      <c r="FA578" s="13"/>
      <c r="FB578" s="13"/>
      <c r="FC578" s="13"/>
      <c r="FD578" s="13"/>
      <c r="FE578" s="13"/>
      <c r="FF578" s="13"/>
      <c r="FG578" s="13"/>
      <c r="FH578" s="13"/>
      <c r="FI578" s="13"/>
      <c r="FJ578" s="13"/>
      <c r="FK578" s="13"/>
      <c r="FL578" s="13"/>
      <c r="FM578" s="13"/>
      <c r="FN578" s="13"/>
      <c r="FO578" s="13"/>
      <c r="FP578" s="13"/>
      <c r="FQ578" s="13"/>
      <c r="FR578" s="13"/>
      <c r="FS578" s="13"/>
      <c r="FT578" s="13"/>
      <c r="FU578" s="13"/>
      <c r="FV578" s="13"/>
      <c r="FW578" s="13"/>
      <c r="FX578" s="13"/>
      <c r="FY578" s="13"/>
      <c r="FZ578" s="13"/>
      <c r="GA578" s="13"/>
      <c r="GB578" s="13"/>
      <c r="GC578" s="13"/>
      <c r="GD578" s="13"/>
      <c r="GE578" s="13"/>
      <c r="GF578" s="13"/>
      <c r="GG578" s="13"/>
      <c r="GH578" s="13"/>
      <c r="GI578" s="13"/>
      <c r="GJ578" s="13"/>
      <c r="GK578" s="13"/>
      <c r="GL578" s="13"/>
      <c r="GM578" s="13"/>
      <c r="GN578" s="13"/>
      <c r="GO578" s="13"/>
      <c r="GP578" s="13"/>
      <c r="GQ578" s="13"/>
      <c r="GR578" s="13"/>
      <c r="GS578" s="13"/>
      <c r="GT578" s="13"/>
      <c r="GU578" s="13"/>
      <c r="GV578" s="13"/>
      <c r="GW578" s="13"/>
      <c r="GX578" s="13"/>
      <c r="GY578" s="13"/>
      <c r="GZ578" s="13"/>
      <c r="HA578" s="13"/>
      <c r="HB578" s="13"/>
      <c r="HC578" s="13"/>
      <c r="HD578" s="13"/>
      <c r="HE578" s="13"/>
      <c r="HF578" s="13"/>
      <c r="HG578" s="13"/>
      <c r="HH578" s="13"/>
      <c r="HI578" s="13"/>
      <c r="HJ578" s="13"/>
      <c r="HK578" s="13"/>
      <c r="HL578" s="13"/>
      <c r="HM578" s="13"/>
      <c r="HN578" s="13"/>
      <c r="HO578" s="13"/>
      <c r="HP578" s="13"/>
      <c r="HQ578" s="13"/>
      <c r="HR578" s="13"/>
      <c r="HS578" s="13"/>
      <c r="HT578" s="13"/>
      <c r="HU578" s="13"/>
      <c r="HV578" s="13"/>
      <c r="HW578" s="13"/>
      <c r="HX578" s="13"/>
      <c r="HY578" s="13"/>
      <c r="HZ578" s="13"/>
      <c r="IA578" s="13"/>
      <c r="IB578" s="13"/>
      <c r="IC578" s="13"/>
      <c r="ID578" s="13"/>
      <c r="IE578" s="13"/>
      <c r="IF578" s="13"/>
      <c r="IG578" s="13"/>
      <c r="IH578" s="13"/>
      <c r="II578" s="13"/>
      <c r="IJ578" s="13"/>
      <c r="IK578" s="13"/>
      <c r="IL578" s="13"/>
      <c r="IM578" s="13"/>
      <c r="IN578" s="13"/>
      <c r="IO578" s="13"/>
      <c r="IP578" s="13"/>
      <c r="IQ578" s="13"/>
      <c r="IR578" s="13"/>
      <c r="IS578" s="13"/>
      <c r="IT578" s="13"/>
      <c r="IU578" s="13"/>
      <c r="IV578" s="13"/>
      <c r="IW578" s="13"/>
      <c r="IX578" s="13"/>
      <c r="IY578" s="13"/>
      <c r="IZ578" s="13"/>
      <c r="JA578" s="13"/>
      <c r="JB578" s="13"/>
      <c r="JC578" s="13"/>
      <c r="JD578" s="13"/>
      <c r="JE578" s="13"/>
      <c r="JF578" s="13"/>
      <c r="JG578" s="13"/>
      <c r="JH578" s="13"/>
      <c r="JI578" s="13"/>
      <c r="JJ578" s="13"/>
      <c r="JK578" s="13"/>
      <c r="JL578" s="13"/>
      <c r="JM578" s="13"/>
      <c r="JN578" s="13"/>
      <c r="JO578" s="13"/>
      <c r="JP578" s="13"/>
      <c r="JQ578" s="13"/>
      <c r="JR578" s="13"/>
      <c r="JS578" s="13"/>
      <c r="JT578" s="13"/>
      <c r="JU578" s="13"/>
      <c r="JV578" s="13"/>
      <c r="JW578" s="13"/>
      <c r="JX578" s="13"/>
      <c r="JY578" s="13"/>
      <c r="JZ578" s="13"/>
      <c r="KA578" s="13"/>
      <c r="KB578" s="13"/>
      <c r="KC578" s="13"/>
      <c r="KD578" s="13"/>
      <c r="KE578" s="13"/>
      <c r="KF578" s="13"/>
      <c r="KG578" s="13"/>
      <c r="KH578" s="13"/>
      <c r="KI578" s="13"/>
      <c r="KJ578" s="13"/>
      <c r="KK578" s="13"/>
      <c r="KL578" s="13"/>
      <c r="KM578" s="13"/>
      <c r="KN578" s="13"/>
      <c r="KO578" s="13"/>
      <c r="KP578" s="13"/>
      <c r="KQ578" s="13"/>
      <c r="KR578" s="13"/>
      <c r="KS578" s="13"/>
      <c r="KT578" s="13"/>
      <c r="KU578" s="13"/>
      <c r="KV578" s="13"/>
      <c r="KW578" s="13"/>
      <c r="KX578" s="13"/>
      <c r="KY578" s="13"/>
      <c r="KZ578" s="13"/>
      <c r="LA578" s="13"/>
      <c r="LB578" s="13"/>
      <c r="LC578" s="13"/>
      <c r="LD578" s="13"/>
      <c r="LE578" s="13"/>
      <c r="LF578" s="13"/>
      <c r="LG578" s="13"/>
      <c r="LH578" s="13"/>
      <c r="LI578" s="13"/>
      <c r="LJ578" s="13"/>
      <c r="LK578" s="13"/>
      <c r="LL578" s="13"/>
      <c r="LM578" s="13"/>
      <c r="LN578" s="13"/>
      <c r="LO578" s="13"/>
      <c r="LP578" s="13"/>
      <c r="LQ578" s="13"/>
      <c r="LR578" s="13"/>
      <c r="LS578" s="13"/>
      <c r="LT578" s="13"/>
      <c r="LU578" s="13"/>
      <c r="LV578" s="13"/>
      <c r="LW578" s="13"/>
      <c r="LX578" s="13"/>
      <c r="LY578" s="13"/>
      <c r="LZ578" s="13"/>
      <c r="MA578" s="13"/>
      <c r="MB578" s="13"/>
      <c r="MC578" s="13"/>
      <c r="MD578" s="13"/>
      <c r="ME578" s="13"/>
      <c r="MF578" s="13"/>
      <c r="MG578" s="13"/>
      <c r="MH578" s="13"/>
      <c r="MI578" s="13"/>
      <c r="MJ578" s="13"/>
      <c r="MK578" s="13"/>
      <c r="ML578" s="13"/>
      <c r="MM578" s="13"/>
      <c r="MN578" s="13"/>
      <c r="MO578" s="13"/>
      <c r="MP578" s="13"/>
      <c r="MQ578" s="13"/>
      <c r="MR578" s="13"/>
      <c r="MS578" s="13"/>
      <c r="MT578" s="13"/>
      <c r="MU578" s="13"/>
      <c r="MV578" s="13"/>
      <c r="MW578" s="13"/>
      <c r="MX578" s="13"/>
      <c r="MY578" s="13"/>
      <c r="MZ578" s="13"/>
      <c r="NA578" s="13"/>
      <c r="NB578" s="13"/>
      <c r="NC578" s="13"/>
      <c r="ND578" s="13"/>
      <c r="NE578" s="13"/>
      <c r="NF578" s="13"/>
      <c r="NG578" s="13"/>
      <c r="NH578" s="13"/>
      <c r="NI578" s="13"/>
      <c r="NJ578" s="13"/>
      <c r="NK578" s="13"/>
      <c r="NL578" s="13"/>
      <c r="NM578" s="13"/>
      <c r="NN578" s="13"/>
      <c r="NO578" s="13"/>
      <c r="NP578" s="13"/>
      <c r="NQ578" s="13"/>
      <c r="NR578" s="13"/>
      <c r="NS578" s="13"/>
      <c r="NT578" s="13"/>
      <c r="NU578" s="13"/>
      <c r="NV578" s="13"/>
      <c r="NW578" s="13"/>
      <c r="NX578" s="13"/>
      <c r="NY578" s="13"/>
      <c r="NZ578" s="13"/>
      <c r="OA578" s="13"/>
      <c r="OB578" s="13"/>
      <c r="OC578" s="13"/>
      <c r="OD578" s="13"/>
      <c r="OE578" s="13"/>
      <c r="OF578" s="13"/>
      <c r="OG578" s="13"/>
      <c r="OH578" s="13"/>
      <c r="OI578" s="13"/>
      <c r="OJ578" s="13"/>
      <c r="OK578" s="13"/>
      <c r="OL578" s="13"/>
      <c r="OM578" s="13"/>
      <c r="ON578" s="13"/>
      <c r="OO578" s="13"/>
      <c r="OP578" s="13"/>
      <c r="OQ578" s="13"/>
      <c r="OR578" s="13"/>
      <c r="OS578" s="13"/>
      <c r="OT578" s="13"/>
      <c r="OU578" s="13"/>
      <c r="OV578" s="13"/>
      <c r="OW578" s="13"/>
      <c r="OX578" s="13"/>
      <c r="OY578" s="13"/>
      <c r="OZ578" s="13"/>
      <c r="PA578" s="13"/>
      <c r="PB578" s="13"/>
      <c r="PC578" s="13"/>
      <c r="PD578" s="13"/>
      <c r="PE578" s="13"/>
      <c r="PF578" s="13"/>
      <c r="PG578" s="13"/>
      <c r="PH578" s="13"/>
      <c r="PI578" s="13"/>
      <c r="PJ578" s="13"/>
      <c r="PK578" s="13"/>
      <c r="PL578" s="13"/>
      <c r="PM578" s="13"/>
      <c r="PN578" s="13"/>
      <c r="PO578" s="13"/>
      <c r="PP578" s="13"/>
      <c r="PQ578" s="13"/>
      <c r="PR578" s="13"/>
      <c r="PS578" s="13"/>
      <c r="PT578" s="13"/>
      <c r="PU578" s="13"/>
      <c r="PV578" s="13"/>
      <c r="PW578" s="13"/>
      <c r="PX578" s="13"/>
      <c r="PY578" s="13"/>
      <c r="PZ578" s="13"/>
      <c r="QA578" s="13"/>
      <c r="QB578" s="13"/>
      <c r="QC578" s="13"/>
      <c r="QD578" s="13"/>
      <c r="QE578" s="13"/>
      <c r="QF578" s="13"/>
      <c r="QG578" s="13"/>
      <c r="QH578" s="13"/>
      <c r="QI578" s="13"/>
      <c r="QJ578" s="13"/>
      <c r="QK578" s="13"/>
      <c r="QL578" s="13"/>
      <c r="QM578" s="13"/>
      <c r="QN578" s="13"/>
      <c r="QO578" s="13"/>
      <c r="QP578" s="13"/>
      <c r="QQ578" s="13"/>
      <c r="QR578" s="13"/>
      <c r="QS578" s="13"/>
      <c r="QT578" s="13"/>
      <c r="QU578" s="13"/>
      <c r="QV578" s="13"/>
      <c r="QW578" s="13"/>
      <c r="QX578" s="13"/>
      <c r="QY578" s="13"/>
      <c r="QZ578" s="13"/>
      <c r="RA578" s="13"/>
      <c r="RB578" s="13"/>
      <c r="RC578" s="13"/>
      <c r="RD578" s="13"/>
      <c r="RE578" s="13"/>
      <c r="RF578" s="13"/>
      <c r="RG578" s="13"/>
      <c r="RH578" s="13"/>
      <c r="RI578" s="13"/>
      <c r="RJ578" s="13"/>
      <c r="RK578" s="13"/>
      <c r="RL578" s="13"/>
      <c r="RM578" s="13"/>
      <c r="RN578" s="13"/>
      <c r="RO578" s="13"/>
      <c r="RP578" s="13"/>
      <c r="RQ578" s="13"/>
      <c r="RR578" s="13"/>
      <c r="RS578" s="13"/>
      <c r="RT578" s="13"/>
      <c r="RU578" s="13"/>
      <c r="RV578" s="13"/>
      <c r="RW578" s="13"/>
      <c r="RX578" s="13"/>
      <c r="RY578" s="13"/>
      <c r="RZ578" s="13"/>
      <c r="SA578" s="13"/>
      <c r="SB578" s="13"/>
      <c r="SC578" s="13"/>
      <c r="SD578" s="13"/>
      <c r="SE578" s="13"/>
      <c r="SF578" s="13"/>
      <c r="SG578" s="13"/>
      <c r="SH578" s="13"/>
      <c r="SI578" s="13"/>
      <c r="SJ578" s="13"/>
      <c r="SK578" s="13"/>
      <c r="SL578" s="13"/>
      <c r="SM578" s="13"/>
      <c r="SN578" s="13"/>
      <c r="SO578" s="13"/>
      <c r="SP578" s="13"/>
      <c r="SQ578" s="13"/>
      <c r="SR578" s="13"/>
      <c r="SS578" s="13"/>
      <c r="ST578" s="13"/>
      <c r="SU578" s="13"/>
      <c r="SV578" s="13"/>
      <c r="SW578" s="13"/>
      <c r="SX578" s="13"/>
      <c r="SY578" s="13"/>
      <c r="SZ578" s="13"/>
      <c r="TA578" s="13"/>
      <c r="TB578" s="13"/>
      <c r="TC578" s="13"/>
      <c r="TD578" s="13"/>
      <c r="TE578" s="13"/>
      <c r="TF578" s="13"/>
      <c r="TG578" s="13"/>
      <c r="TH578" s="13"/>
      <c r="TI578" s="13"/>
      <c r="TJ578" s="13"/>
      <c r="TK578" s="13"/>
      <c r="TL578" s="13"/>
      <c r="TM578" s="13"/>
      <c r="TN578" s="13"/>
      <c r="TO578" s="13"/>
      <c r="TP578" s="13"/>
      <c r="TQ578" s="13"/>
      <c r="TR578" s="13"/>
      <c r="TS578" s="13"/>
      <c r="TT578" s="13"/>
      <c r="TU578" s="13"/>
      <c r="TV578" s="13"/>
      <c r="TW578" s="13"/>
      <c r="TX578" s="13"/>
      <c r="TY578" s="13"/>
      <c r="TZ578" s="13"/>
      <c r="UA578" s="13"/>
      <c r="UB578" s="13"/>
      <c r="UC578" s="13"/>
      <c r="UD578" s="13"/>
      <c r="UE578" s="13"/>
      <c r="UF578" s="13"/>
      <c r="UG578" s="13"/>
      <c r="UH578" s="13"/>
      <c r="UI578" s="13"/>
      <c r="UJ578" s="13"/>
      <c r="UK578" s="13"/>
      <c r="UL578" s="13"/>
      <c r="UM578" s="13"/>
      <c r="UN578" s="13"/>
      <c r="UO578" s="13"/>
      <c r="UP578" s="13"/>
      <c r="UQ578" s="13"/>
      <c r="UR578" s="13"/>
      <c r="US578" s="13"/>
      <c r="UT578" s="13"/>
      <c r="UU578" s="13"/>
      <c r="UV578" s="13"/>
      <c r="UW578" s="13"/>
      <c r="UX578" s="13"/>
      <c r="UY578" s="13"/>
      <c r="UZ578" s="13"/>
      <c r="VA578" s="13"/>
      <c r="VB578" s="13"/>
      <c r="VC578" s="13"/>
      <c r="VD578" s="13"/>
      <c r="VE578" s="13"/>
      <c r="VF578" s="13"/>
      <c r="VG578" s="13"/>
      <c r="VH578" s="13"/>
      <c r="VI578" s="13"/>
      <c r="VJ578" s="13"/>
      <c r="VK578" s="13"/>
      <c r="VL578" s="13"/>
      <c r="VM578" s="13"/>
      <c r="VN578" s="13"/>
      <c r="VO578" s="13"/>
      <c r="VP578" s="13"/>
      <c r="VQ578" s="13"/>
      <c r="VR578" s="13"/>
      <c r="VS578" s="13"/>
      <c r="VT578" s="13"/>
      <c r="VU578" s="13"/>
      <c r="VV578" s="13"/>
      <c r="VW578" s="13"/>
      <c r="VX578" s="13"/>
      <c r="VY578" s="13"/>
      <c r="VZ578" s="13"/>
      <c r="WA578" s="13"/>
      <c r="WB578" s="13"/>
      <c r="WC578" s="13"/>
      <c r="WD578" s="13"/>
      <c r="WE578" s="13"/>
      <c r="WF578" s="13"/>
      <c r="WG578" s="13"/>
      <c r="WH578" s="13"/>
      <c r="WI578" s="13"/>
      <c r="WJ578" s="13"/>
      <c r="WK578" s="13"/>
      <c r="WL578" s="13"/>
      <c r="WM578" s="13"/>
      <c r="WN578" s="13"/>
      <c r="WO578" s="13"/>
      <c r="WP578" s="13"/>
      <c r="WQ578" s="13"/>
      <c r="WR578" s="13"/>
      <c r="WS578" s="13"/>
      <c r="WT578" s="13"/>
      <c r="WU578" s="13"/>
      <c r="WV578" s="13"/>
      <c r="WW578" s="13"/>
      <c r="WX578" s="13"/>
      <c r="WY578" s="13"/>
      <c r="WZ578" s="13"/>
      <c r="XA578" s="13"/>
      <c r="XB578" s="13"/>
      <c r="XC578" s="13"/>
      <c r="XD578" s="13"/>
      <c r="XE578" s="13"/>
      <c r="XF578" s="13"/>
      <c r="XG578" s="13"/>
      <c r="XH578" s="13"/>
      <c r="XI578" s="13"/>
      <c r="XJ578" s="13"/>
      <c r="XK578" s="13"/>
      <c r="XL578" s="13"/>
      <c r="XM578" s="13"/>
      <c r="XN578" s="13"/>
      <c r="XO578" s="13"/>
      <c r="XP578" s="13"/>
      <c r="XQ578" s="13"/>
      <c r="XR578" s="13"/>
      <c r="XS578" s="13"/>
      <c r="XT578" s="13"/>
      <c r="XU578" s="13"/>
      <c r="XV578" s="13"/>
      <c r="XW578" s="13"/>
      <c r="XX578" s="13"/>
      <c r="XY578" s="13"/>
      <c r="XZ578" s="13"/>
      <c r="YA578" s="13"/>
      <c r="YB578" s="13"/>
      <c r="YC578" s="13"/>
      <c r="YD578" s="13"/>
      <c r="YE578" s="13"/>
      <c r="YF578" s="13"/>
      <c r="YG578" s="13"/>
      <c r="YH578" s="13"/>
      <c r="YI578" s="13"/>
      <c r="YJ578" s="13"/>
      <c r="YK578" s="13"/>
      <c r="YL578" s="13"/>
      <c r="YM578" s="13"/>
      <c r="YN578" s="13"/>
      <c r="YO578" s="13"/>
      <c r="YP578" s="13"/>
      <c r="YQ578" s="13"/>
      <c r="YR578" s="13"/>
      <c r="YS578" s="13"/>
      <c r="YT578" s="13"/>
      <c r="YU578" s="13"/>
      <c r="YV578" s="13"/>
      <c r="YW578" s="13"/>
      <c r="YX578" s="13"/>
      <c r="YY578" s="13"/>
      <c r="YZ578" s="13"/>
      <c r="ZA578" s="13"/>
      <c r="ZB578" s="13"/>
      <c r="ZC578" s="13"/>
      <c r="ZD578" s="13"/>
      <c r="ZE578" s="13"/>
      <c r="ZF578" s="13"/>
      <c r="ZG578" s="13"/>
      <c r="ZH578" s="13"/>
      <c r="ZI578" s="13"/>
      <c r="ZJ578" s="13"/>
      <c r="ZK578" s="13"/>
      <c r="ZL578" s="13"/>
      <c r="ZM578" s="13"/>
      <c r="ZN578" s="13"/>
      <c r="ZO578" s="13"/>
      <c r="ZP578" s="13"/>
      <c r="ZQ578" s="13"/>
      <c r="ZR578" s="13"/>
      <c r="ZS578" s="13"/>
      <c r="ZT578" s="13"/>
      <c r="ZU578" s="13"/>
      <c r="ZV578" s="13"/>
      <c r="ZW578" s="13"/>
      <c r="ZX578" s="13"/>
      <c r="ZY578" s="13"/>
      <c r="ZZ578" s="13"/>
      <c r="AAA578" s="13"/>
      <c r="AAB578" s="13"/>
      <c r="AAC578" s="13"/>
      <c r="AAD578" s="13"/>
      <c r="AAE578" s="13"/>
      <c r="AAF578" s="13"/>
      <c r="AAG578" s="13"/>
      <c r="AAH578" s="13"/>
      <c r="AAI578" s="13"/>
      <c r="AAJ578" s="13"/>
      <c r="AAK578" s="13"/>
      <c r="AAL578" s="13"/>
      <c r="AAM578" s="13"/>
      <c r="AAN578" s="13"/>
      <c r="AAO578" s="13"/>
      <c r="AAP578" s="13"/>
      <c r="AAQ578" s="13"/>
      <c r="AAR578" s="13"/>
      <c r="AAS578" s="13"/>
      <c r="AAT578" s="13"/>
      <c r="AAU578" s="13"/>
      <c r="AAV578" s="13"/>
      <c r="AAW578" s="13"/>
      <c r="AAX578" s="13"/>
      <c r="AAY578" s="13"/>
      <c r="AAZ578" s="13"/>
      <c r="ABA578" s="13"/>
      <c r="ABB578" s="13"/>
      <c r="ABC578" s="13"/>
      <c r="ABD578" s="13"/>
      <c r="ABE578" s="13"/>
      <c r="ABF578" s="13"/>
      <c r="ABG578" s="13"/>
      <c r="ABH578" s="13"/>
      <c r="ABI578" s="13"/>
      <c r="ABJ578" s="13"/>
      <c r="ABK578" s="13"/>
      <c r="ABL578" s="13"/>
      <c r="ABM578" s="13"/>
      <c r="ABN578" s="13"/>
      <c r="ABO578" s="13"/>
      <c r="ABP578" s="13"/>
      <c r="ABQ578" s="13"/>
      <c r="ABR578" s="13"/>
      <c r="ABS578" s="13"/>
      <c r="ABT578" s="13"/>
      <c r="ABU578" s="13"/>
      <c r="ABV578" s="13"/>
      <c r="ABW578" s="13"/>
      <c r="ABX578" s="13"/>
      <c r="ABY578" s="13"/>
      <c r="ABZ578" s="13"/>
      <c r="ACA578" s="13"/>
      <c r="ACB578" s="13"/>
      <c r="ACC578" s="13"/>
      <c r="ACD578" s="13"/>
      <c r="ACE578" s="13"/>
      <c r="ACF578" s="13"/>
      <c r="ACG578" s="13"/>
      <c r="ACH578" s="13"/>
      <c r="ACI578" s="13"/>
      <c r="ACJ578" s="13"/>
      <c r="ACK578" s="13"/>
      <c r="ACL578" s="13"/>
      <c r="ACM578" s="13"/>
      <c r="ACN578" s="13"/>
      <c r="ACO578" s="13"/>
      <c r="ACP578" s="13"/>
      <c r="ACQ578" s="13"/>
      <c r="ACR578" s="13"/>
      <c r="ACS578" s="13"/>
      <c r="ACT578" s="13"/>
      <c r="ACU578" s="13"/>
      <c r="ACV578" s="13"/>
      <c r="ACW578" s="13"/>
      <c r="ACX578" s="13"/>
      <c r="ACY578" s="13"/>
      <c r="ACZ578" s="13"/>
      <c r="ADA578" s="13"/>
      <c r="ADB578" s="13"/>
      <c r="ADC578" s="13"/>
      <c r="ADD578" s="13"/>
      <c r="ADE578" s="13"/>
      <c r="ADF578" s="13"/>
      <c r="ADG578" s="13"/>
      <c r="ADH578" s="13"/>
      <c r="ADI578" s="13"/>
      <c r="ADJ578" s="13"/>
      <c r="ADK578" s="13"/>
      <c r="ADL578" s="13"/>
      <c r="ADM578" s="13"/>
      <c r="ADN578" s="13"/>
      <c r="ADO578" s="13"/>
      <c r="ADP578" s="13"/>
      <c r="ADQ578" s="13"/>
      <c r="ADR578" s="13"/>
      <c r="ADS578" s="13"/>
      <c r="ADT578" s="13"/>
      <c r="ADU578" s="13"/>
      <c r="ADV578" s="13"/>
      <c r="ADW578" s="13"/>
      <c r="ADX578" s="13"/>
      <c r="ADY578" s="13"/>
      <c r="ADZ578" s="13"/>
      <c r="AEA578" s="13"/>
      <c r="AEB578" s="13"/>
      <c r="AEC578" s="13"/>
      <c r="AED578" s="13"/>
      <c r="AEE578" s="13"/>
      <c r="AEF578" s="13"/>
      <c r="AEG578" s="13"/>
      <c r="AEH578" s="13"/>
      <c r="AEI578" s="13"/>
      <c r="AEJ578" s="13"/>
      <c r="AEK578" s="13"/>
      <c r="AEL578" s="13"/>
      <c r="AEM578" s="13"/>
      <c r="AEN578" s="13"/>
      <c r="AEO578" s="13"/>
      <c r="AEP578" s="13"/>
      <c r="AEQ578" s="13"/>
      <c r="AER578" s="13"/>
      <c r="AES578" s="13"/>
      <c r="AET578" s="13"/>
      <c r="AEU578" s="13"/>
      <c r="AEV578" s="13"/>
      <c r="AEW578" s="13"/>
      <c r="AEX578" s="13"/>
      <c r="AEY578" s="13"/>
      <c r="AEZ578" s="13"/>
      <c r="AFA578" s="13"/>
      <c r="AFB578" s="13"/>
      <c r="AFC578" s="13"/>
      <c r="AFD578" s="13"/>
      <c r="AFE578" s="13"/>
      <c r="AFF578" s="13"/>
      <c r="AFG578" s="13"/>
      <c r="AFH578" s="13"/>
      <c r="AFI578" s="13"/>
      <c r="AFJ578" s="13"/>
      <c r="AFK578" s="13"/>
      <c r="AFL578" s="13"/>
      <c r="AFM578" s="13"/>
      <c r="AFN578" s="13"/>
      <c r="AFO578" s="13"/>
      <c r="AFP578" s="13"/>
      <c r="AFQ578" s="13"/>
      <c r="AFR578" s="13"/>
      <c r="AFS578" s="13"/>
      <c r="AFT578" s="13"/>
      <c r="AFU578" s="13"/>
      <c r="AFV578" s="13"/>
      <c r="AFW578" s="13"/>
      <c r="AFX578" s="13"/>
      <c r="AFY578" s="13"/>
      <c r="AFZ578" s="13"/>
      <c r="AGA578" s="13"/>
      <c r="AGB578" s="13"/>
      <c r="AGC578" s="13"/>
      <c r="AGD578" s="13"/>
      <c r="AGE578" s="13"/>
      <c r="AGF578" s="13"/>
      <c r="AGG578" s="13"/>
      <c r="AGH578" s="13"/>
      <c r="AGI578" s="13"/>
      <c r="AGJ578" s="13"/>
      <c r="AGK578" s="13"/>
      <c r="AGL578" s="13"/>
      <c r="AGM578" s="13"/>
      <c r="AGN578" s="13"/>
      <c r="AGO578" s="13"/>
      <c r="AGP578" s="13"/>
      <c r="AGQ578" s="13"/>
      <c r="AGR578" s="13"/>
      <c r="AGS578" s="13"/>
      <c r="AGT578" s="13"/>
      <c r="AGU578" s="13"/>
      <c r="AGV578" s="13"/>
      <c r="AGW578" s="13"/>
      <c r="AGX578" s="13"/>
      <c r="AGY578" s="13"/>
      <c r="AGZ578" s="13"/>
      <c r="AHA578" s="13"/>
      <c r="AHB578" s="13"/>
      <c r="AHC578" s="13"/>
      <c r="AHD578" s="13"/>
      <c r="AHE578" s="13"/>
      <c r="AHF578" s="13"/>
      <c r="AHG578" s="13"/>
      <c r="AHH578" s="13"/>
      <c r="AHI578" s="13"/>
      <c r="AHJ578" s="13"/>
      <c r="AHK578" s="13"/>
      <c r="AHL578" s="13"/>
      <c r="AHM578" s="13"/>
      <c r="AHN578" s="13"/>
      <c r="AHO578" s="13"/>
      <c r="AHP578" s="13"/>
      <c r="AHQ578" s="13"/>
      <c r="AHR578" s="13"/>
      <c r="AHS578" s="13"/>
      <c r="AHT578" s="13"/>
      <c r="AHU578" s="13"/>
      <c r="AHV578" s="13"/>
      <c r="AHW578" s="13"/>
      <c r="AHX578" s="13"/>
      <c r="AHY578" s="13"/>
      <c r="AHZ578" s="13"/>
      <c r="AIA578" s="13"/>
      <c r="AIB578" s="13"/>
      <c r="AIC578" s="13"/>
      <c r="AID578" s="13"/>
      <c r="AIE578" s="13"/>
      <c r="AIF578" s="13"/>
      <c r="AIG578" s="13"/>
      <c r="AIH578" s="13"/>
      <c r="AII578" s="13"/>
      <c r="AIJ578" s="13"/>
      <c r="AIK578" s="13"/>
      <c r="AIL578" s="13"/>
      <c r="AIM578" s="13"/>
      <c r="AIN578" s="13"/>
      <c r="AIO578" s="13"/>
      <c r="AIP578" s="13"/>
      <c r="AIQ578" s="13"/>
      <c r="AIR578" s="13"/>
      <c r="AIS578" s="13"/>
      <c r="AIT578" s="13"/>
      <c r="AIU578" s="13"/>
      <c r="AIV578" s="13"/>
      <c r="AIW578" s="13"/>
      <c r="AIX578" s="13"/>
      <c r="AIY578" s="13"/>
      <c r="AIZ578" s="13"/>
      <c r="AJA578" s="13"/>
      <c r="AJB578" s="13"/>
      <c r="AJC578" s="13"/>
      <c r="AJD578" s="13"/>
      <c r="AJE578" s="13"/>
      <c r="AJF578" s="13"/>
      <c r="AJG578" s="13"/>
      <c r="AJH578" s="13"/>
      <c r="AJI578" s="13"/>
      <c r="AJJ578" s="13"/>
      <c r="AJK578" s="13"/>
      <c r="AJL578" s="13"/>
      <c r="AJM578" s="13"/>
      <c r="AJN578" s="13"/>
      <c r="AJO578" s="13"/>
      <c r="AJP578" s="13"/>
      <c r="AJQ578" s="13"/>
      <c r="AJR578" s="13"/>
      <c r="AJS578" s="13"/>
      <c r="AJT578" s="13"/>
      <c r="AJU578" s="13"/>
      <c r="AJV578" s="13"/>
      <c r="AJW578" s="13"/>
      <c r="AJX578" s="13"/>
      <c r="AJY578" s="13"/>
      <c r="AJZ578" s="13"/>
      <c r="AKA578" s="13"/>
      <c r="AKB578" s="13"/>
      <c r="AKC578" s="13"/>
      <c r="AKD578" s="13"/>
      <c r="AKE578" s="13"/>
      <c r="AKF578" s="13"/>
      <c r="AKG578" s="13"/>
      <c r="AKH578" s="13"/>
      <c r="AKI578" s="13"/>
      <c r="AKJ578" s="13"/>
      <c r="AKK578" s="13"/>
      <c r="AKL578" s="13"/>
      <c r="AKM578" s="13"/>
      <c r="AKN578" s="13"/>
      <c r="AKO578" s="13"/>
      <c r="AKP578" s="13"/>
      <c r="AKQ578" s="13"/>
      <c r="AKR578" s="13"/>
      <c r="AKS578" s="13"/>
      <c r="AKT578" s="13"/>
      <c r="AKU578" s="13"/>
      <c r="AKV578" s="13"/>
      <c r="AKW578" s="13"/>
      <c r="AKX578" s="13"/>
      <c r="AKY578" s="13"/>
      <c r="AKZ578" s="13"/>
      <c r="ALA578" s="13"/>
      <c r="ALB578" s="13"/>
      <c r="ALC578" s="13"/>
      <c r="ALD578" s="13"/>
      <c r="ALE578" s="13"/>
      <c r="ALF578" s="13"/>
      <c r="ALG578" s="13"/>
      <c r="ALH578" s="13"/>
      <c r="ALI578" s="13"/>
      <c r="ALJ578" s="13"/>
      <c r="ALK578" s="13"/>
      <c r="ALL578" s="13"/>
      <c r="ALM578" s="13"/>
      <c r="ALN578" s="13"/>
      <c r="ALO578" s="13"/>
      <c r="ALP578" s="13"/>
      <c r="ALQ578" s="13"/>
      <c r="ALR578" s="13"/>
      <c r="ALS578" s="13"/>
      <c r="ALT578" s="13"/>
      <c r="ALU578" s="13"/>
      <c r="ALV578" s="13"/>
      <c r="ALW578" s="13"/>
      <c r="ALX578" s="13"/>
      <c r="ALY578" s="13"/>
      <c r="ALZ578" s="13"/>
      <c r="AMA578" s="13"/>
      <c r="AMB578" s="13"/>
      <c r="AMC578" s="13"/>
      <c r="AMD578" s="13"/>
      <c r="AME578" s="13"/>
      <c r="AMF578" s="13"/>
      <c r="AMG578" s="13"/>
      <c r="AMH578" s="13"/>
      <c r="AMI578" s="13"/>
      <c r="AMJ578" s="13"/>
      <c r="AMK578" s="13"/>
      <c r="AML578" s="13"/>
      <c r="AMM578" s="13"/>
      <c r="AMN578" s="13"/>
      <c r="AMO578" s="13"/>
      <c r="AMP578" s="13"/>
      <c r="AMQ578" s="13"/>
      <c r="AMR578" s="13"/>
      <c r="AMS578" s="13"/>
      <c r="AMT578" s="13"/>
      <c r="AMU578" s="13"/>
      <c r="AMV578" s="13"/>
      <c r="AMW578" s="13"/>
      <c r="AMX578" s="13"/>
      <c r="AMY578" s="13"/>
      <c r="AMZ578" s="13"/>
      <c r="ANA578" s="13"/>
      <c r="ANB578" s="13"/>
      <c r="ANC578" s="13"/>
      <c r="AND578" s="13"/>
      <c r="ANE578" s="13"/>
      <c r="ANF578" s="13"/>
      <c r="ANG578" s="13"/>
      <c r="ANH578" s="13"/>
      <c r="ANI578" s="13"/>
      <c r="ANJ578" s="13"/>
      <c r="ANK578" s="13"/>
      <c r="ANL578" s="13"/>
      <c r="ANM578" s="13"/>
      <c r="ANN578" s="13"/>
      <c r="ANO578" s="13"/>
      <c r="ANP578" s="13"/>
      <c r="ANQ578" s="13"/>
      <c r="ANR578" s="13"/>
      <c r="ANS578" s="13"/>
      <c r="ANT578" s="13"/>
      <c r="ANU578" s="13"/>
      <c r="ANV578" s="13"/>
      <c r="ANW578" s="13"/>
      <c r="ANX578" s="13"/>
      <c r="ANY578" s="13"/>
      <c r="ANZ578" s="13"/>
      <c r="AOA578" s="13"/>
      <c r="AOB578" s="13"/>
      <c r="AOC578" s="13"/>
      <c r="AOD578" s="13"/>
      <c r="AOE578" s="13"/>
      <c r="AOF578" s="13"/>
      <c r="AOG578" s="13"/>
      <c r="AOH578" s="13"/>
      <c r="AOI578" s="13"/>
      <c r="AOJ578" s="13"/>
      <c r="AOK578" s="13"/>
      <c r="AOL578" s="13"/>
      <c r="AOM578" s="13"/>
      <c r="AON578" s="13"/>
      <c r="AOO578" s="13"/>
      <c r="AOP578" s="13"/>
      <c r="AOQ578" s="13"/>
      <c r="AOR578" s="13"/>
      <c r="AOS578" s="13"/>
      <c r="AOT578" s="13"/>
      <c r="AOU578" s="13"/>
      <c r="AOV578" s="13"/>
      <c r="AOW578" s="13"/>
      <c r="AOX578" s="13"/>
      <c r="AOY578" s="13"/>
      <c r="AOZ578" s="13"/>
      <c r="APA578" s="13"/>
      <c r="APB578" s="13"/>
      <c r="APC578" s="13"/>
      <c r="APD578" s="13"/>
      <c r="APE578" s="13"/>
      <c r="APF578" s="13"/>
      <c r="APG578" s="13"/>
      <c r="APH578" s="13"/>
      <c r="API578" s="13"/>
      <c r="APJ578" s="13"/>
      <c r="APK578" s="13"/>
      <c r="APL578" s="13"/>
      <c r="APM578" s="13"/>
      <c r="APN578" s="13"/>
      <c r="APO578" s="13"/>
      <c r="APP578" s="13"/>
      <c r="APQ578" s="13"/>
      <c r="APR578" s="13"/>
      <c r="APS578" s="13"/>
      <c r="APT578" s="13"/>
      <c r="APU578" s="13"/>
      <c r="APV578" s="13"/>
      <c r="APW578" s="13"/>
      <c r="APX578" s="13"/>
      <c r="APY578" s="13"/>
      <c r="APZ578" s="13"/>
      <c r="AQA578" s="13"/>
      <c r="AQB578" s="13"/>
      <c r="AQC578" s="13"/>
      <c r="AQD578" s="13"/>
      <c r="AQE578" s="13"/>
      <c r="AQF578" s="13"/>
      <c r="AQG578" s="13"/>
      <c r="AQH578" s="13"/>
      <c r="AQI578" s="13"/>
      <c r="AQJ578" s="13"/>
      <c r="AQK578" s="13"/>
      <c r="AQL578" s="13"/>
      <c r="AQM578" s="13"/>
      <c r="AQN578" s="13"/>
      <c r="AQO578" s="13"/>
      <c r="AQP578" s="13"/>
      <c r="AQQ578" s="13"/>
      <c r="AQR578" s="13"/>
      <c r="AQS578" s="13"/>
      <c r="AQT578" s="13"/>
      <c r="AQU578" s="13"/>
      <c r="AQV578" s="13"/>
      <c r="AQW578" s="13"/>
      <c r="AQX578" s="13"/>
      <c r="AQY578" s="13"/>
      <c r="AQZ578" s="13"/>
      <c r="ARA578" s="13"/>
      <c r="ARB578" s="13"/>
      <c r="ARC578" s="13"/>
      <c r="ARD578" s="13"/>
      <c r="ARE578" s="13"/>
      <c r="ARF578" s="13"/>
      <c r="ARG578" s="13"/>
      <c r="ARH578" s="13"/>
      <c r="ARI578" s="13"/>
      <c r="ARJ578" s="13"/>
      <c r="ARK578" s="13"/>
      <c r="ARL578" s="13"/>
      <c r="ARM578" s="13"/>
      <c r="ARN578" s="13"/>
      <c r="ARO578" s="13"/>
      <c r="ARP578" s="13"/>
      <c r="ARQ578" s="13"/>
      <c r="ARR578" s="13"/>
      <c r="ARS578" s="13"/>
      <c r="ART578" s="13"/>
      <c r="ARU578" s="13"/>
      <c r="ARV578" s="13"/>
      <c r="ARW578" s="13"/>
      <c r="ARX578" s="13"/>
      <c r="ARY578" s="13"/>
      <c r="ARZ578" s="13"/>
      <c r="ASA578" s="13"/>
      <c r="ASB578" s="13"/>
      <c r="ASC578" s="13"/>
      <c r="ASD578" s="13"/>
      <c r="ASE578" s="13"/>
      <c r="ASF578" s="13"/>
      <c r="ASG578" s="13"/>
      <c r="ASH578" s="13"/>
      <c r="ASI578" s="13"/>
      <c r="ASJ578" s="13"/>
      <c r="ASK578" s="13"/>
      <c r="ASL578" s="13"/>
      <c r="ASM578" s="13"/>
      <c r="ASN578" s="13"/>
      <c r="ASO578" s="13"/>
      <c r="ASP578" s="13"/>
      <c r="ASQ578" s="13"/>
      <c r="ASR578" s="13"/>
      <c r="ASS578" s="13"/>
      <c r="AST578" s="13"/>
      <c r="ASU578" s="13"/>
      <c r="ASV578" s="13"/>
      <c r="ASW578" s="13"/>
      <c r="ASX578" s="13"/>
      <c r="ASY578" s="13"/>
      <c r="ASZ578" s="13"/>
      <c r="ATA578" s="13"/>
      <c r="ATB578" s="13"/>
      <c r="ATC578" s="13"/>
      <c r="ATD578" s="13"/>
      <c r="ATE578" s="13"/>
      <c r="ATF578" s="13"/>
      <c r="ATG578" s="13"/>
      <c r="ATH578" s="13"/>
      <c r="ATI578" s="13"/>
      <c r="ATJ578" s="13"/>
      <c r="ATK578" s="13"/>
      <c r="ATL578" s="13"/>
      <c r="ATM578" s="13"/>
      <c r="ATN578" s="13"/>
      <c r="ATO578" s="13"/>
      <c r="ATP578" s="13"/>
      <c r="ATQ578" s="13"/>
      <c r="ATR578" s="13"/>
      <c r="ATS578" s="13"/>
      <c r="ATT578" s="13"/>
      <c r="ATU578" s="13"/>
      <c r="ATV578" s="13"/>
      <c r="ATW578" s="13"/>
      <c r="ATX578" s="13"/>
      <c r="ATY578" s="13"/>
      <c r="ATZ578" s="13"/>
      <c r="AUA578" s="13"/>
      <c r="AUB578" s="13"/>
      <c r="AUC578" s="13"/>
      <c r="AUD578" s="13"/>
      <c r="AUE578" s="13"/>
      <c r="AUF578" s="13"/>
      <c r="AUG578" s="13"/>
      <c r="AUH578" s="13"/>
      <c r="AUI578" s="13"/>
      <c r="AUJ578" s="13"/>
      <c r="AUK578" s="13"/>
      <c r="AUL578" s="13"/>
      <c r="AUM578" s="13"/>
      <c r="AUN578" s="13"/>
      <c r="AUO578" s="13"/>
      <c r="AUP578" s="13"/>
      <c r="AUQ578" s="13"/>
      <c r="AUR578" s="13"/>
      <c r="AUS578" s="13"/>
      <c r="AUT578" s="13"/>
      <c r="AUU578" s="13"/>
      <c r="AUV578" s="13"/>
      <c r="AUW578" s="13"/>
      <c r="AUX578" s="13"/>
      <c r="AUY578" s="13"/>
      <c r="AUZ578" s="13"/>
      <c r="AVA578" s="13"/>
      <c r="AVB578" s="13"/>
      <c r="AVC578" s="13"/>
      <c r="AVD578" s="13"/>
      <c r="AVE578" s="13"/>
      <c r="AVF578" s="13"/>
      <c r="AVG578" s="13"/>
      <c r="AVH578" s="13"/>
      <c r="AVI578" s="13"/>
      <c r="AVJ578" s="13"/>
      <c r="AVK578" s="13"/>
      <c r="AVL578" s="13"/>
      <c r="AVM578" s="13"/>
      <c r="AVN578" s="13"/>
      <c r="AVO578" s="13"/>
      <c r="AVP578" s="13"/>
      <c r="AVQ578" s="13"/>
      <c r="AVR578" s="13"/>
      <c r="AVS578" s="13"/>
      <c r="AVT578" s="13"/>
      <c r="AVU578" s="13"/>
      <c r="AVV578" s="13"/>
      <c r="AVW578" s="13"/>
      <c r="AVX578" s="13"/>
      <c r="AVY578" s="13"/>
      <c r="AVZ578" s="13"/>
      <c r="AWA578" s="13"/>
      <c r="AWB578" s="13"/>
      <c r="AWC578" s="13"/>
      <c r="AWD578" s="13"/>
      <c r="AWE578" s="13"/>
      <c r="AWF578" s="13"/>
      <c r="AWG578" s="13"/>
      <c r="AWH578" s="13"/>
      <c r="AWI578" s="13"/>
      <c r="AWJ578" s="13"/>
      <c r="AWK578" s="13"/>
      <c r="AWL578" s="13"/>
      <c r="AWM578" s="13"/>
      <c r="AWN578" s="13"/>
      <c r="AWO578" s="13"/>
      <c r="AWP578" s="13"/>
      <c r="AWQ578" s="13"/>
      <c r="AWR578" s="13"/>
      <c r="AWS578" s="13"/>
      <c r="AWT578" s="13"/>
      <c r="AWU578" s="13"/>
      <c r="AWV578" s="13"/>
      <c r="AWW578" s="13"/>
      <c r="AWX578" s="13"/>
      <c r="AWY578" s="13"/>
      <c r="AWZ578" s="13"/>
      <c r="AXA578" s="13"/>
      <c r="AXB578" s="13"/>
      <c r="AXC578" s="13"/>
      <c r="AXD578" s="13"/>
      <c r="AXE578" s="13"/>
      <c r="AXF578" s="13"/>
      <c r="AXG578" s="13"/>
      <c r="AXH578" s="13"/>
      <c r="AXI578" s="13"/>
      <c r="AXJ578" s="13"/>
      <c r="AXK578" s="13"/>
      <c r="AXL578" s="13"/>
      <c r="AXM578" s="13"/>
      <c r="AXN578" s="13"/>
      <c r="AXO578" s="13"/>
      <c r="AXP578" s="13"/>
      <c r="AXQ578" s="13"/>
      <c r="AXR578" s="13"/>
      <c r="AXS578" s="13"/>
      <c r="AXT578" s="13"/>
      <c r="AXU578" s="13"/>
      <c r="AXV578" s="13"/>
      <c r="AXW578" s="13"/>
      <c r="AXX578" s="13"/>
      <c r="AXY578" s="13"/>
      <c r="AXZ578" s="13"/>
      <c r="AYA578" s="13"/>
      <c r="AYB578" s="13"/>
      <c r="AYC578" s="13"/>
      <c r="AYD578" s="13"/>
      <c r="AYE578" s="13"/>
      <c r="AYF578" s="13"/>
      <c r="AYG578" s="13"/>
      <c r="AYH578" s="13"/>
      <c r="AYI578" s="13"/>
      <c r="AYJ578" s="13"/>
      <c r="AYK578" s="13"/>
      <c r="AYL578" s="13"/>
      <c r="AYM578" s="13"/>
      <c r="AYN578" s="13"/>
      <c r="AYO578" s="13"/>
      <c r="AYP578" s="13"/>
      <c r="AYQ578" s="13"/>
      <c r="AYR578" s="13"/>
      <c r="AYS578" s="13"/>
      <c r="AYT578" s="13"/>
      <c r="AYU578" s="13"/>
      <c r="AYV578" s="13"/>
      <c r="AYW578" s="13"/>
      <c r="AYX578" s="13"/>
      <c r="AYY578" s="13"/>
      <c r="AYZ578" s="13"/>
      <c r="AZA578" s="13"/>
      <c r="AZB578" s="13"/>
      <c r="AZC578" s="13"/>
      <c r="AZD578" s="13"/>
      <c r="AZE578" s="13"/>
      <c r="AZF578" s="13"/>
      <c r="AZG578" s="13"/>
      <c r="AZH578" s="13"/>
      <c r="AZI578" s="13"/>
      <c r="AZJ578" s="13"/>
      <c r="AZK578" s="13"/>
      <c r="AZL578" s="13"/>
      <c r="AZM578" s="13"/>
      <c r="AZN578" s="13"/>
      <c r="AZO578" s="13"/>
      <c r="AZP578" s="13"/>
      <c r="AZQ578" s="13"/>
      <c r="AZR578" s="13"/>
      <c r="AZS578" s="13"/>
      <c r="AZT578" s="13"/>
      <c r="AZU578" s="13"/>
      <c r="AZV578" s="13"/>
      <c r="AZW578" s="13"/>
      <c r="AZX578" s="13"/>
      <c r="AZY578" s="13"/>
      <c r="AZZ578" s="13"/>
      <c r="BAA578" s="13"/>
      <c r="BAB578" s="13"/>
      <c r="BAC578" s="13"/>
      <c r="BAD578" s="13"/>
      <c r="BAE578" s="13"/>
      <c r="BAF578" s="13"/>
      <c r="BAG578" s="13"/>
      <c r="BAH578" s="13"/>
      <c r="BAI578" s="13"/>
      <c r="BAJ578" s="13"/>
      <c r="BAK578" s="13"/>
      <c r="BAL578" s="13"/>
      <c r="BAM578" s="13"/>
      <c r="BAN578" s="13"/>
      <c r="BAO578" s="13"/>
      <c r="BAP578" s="13"/>
      <c r="BAQ578" s="13"/>
      <c r="BAR578" s="13"/>
      <c r="BAS578" s="13"/>
      <c r="BAT578" s="13"/>
      <c r="BAU578" s="13"/>
      <c r="BAV578" s="13"/>
      <c r="BAW578" s="13"/>
      <c r="BAX578" s="13"/>
      <c r="BAY578" s="13"/>
      <c r="BAZ578" s="13"/>
      <c r="BBA578" s="13"/>
      <c r="BBB578" s="13"/>
      <c r="BBC578" s="13"/>
      <c r="BBD578" s="13"/>
      <c r="BBE578" s="13"/>
      <c r="BBF578" s="13"/>
      <c r="BBG578" s="13"/>
      <c r="BBH578" s="13"/>
      <c r="BBI578" s="13"/>
      <c r="BBJ578" s="13"/>
      <c r="BBK578" s="13"/>
      <c r="BBL578" s="13"/>
      <c r="BBM578" s="13"/>
      <c r="BBN578" s="13"/>
      <c r="BBO578" s="13"/>
      <c r="BBP578" s="13"/>
      <c r="BBQ578" s="13"/>
      <c r="BBR578" s="13"/>
      <c r="BBS578" s="13"/>
      <c r="BBT578" s="13"/>
      <c r="BBU578" s="13"/>
      <c r="BBV578" s="13"/>
      <c r="BBW578" s="13"/>
      <c r="BBX578" s="13"/>
      <c r="BBY578" s="13"/>
      <c r="BBZ578" s="13"/>
      <c r="BCA578" s="13"/>
      <c r="BCB578" s="13"/>
      <c r="BCC578" s="13"/>
      <c r="BCD578" s="13"/>
      <c r="BCE578" s="13"/>
      <c r="BCF578" s="13"/>
      <c r="BCG578" s="13"/>
      <c r="BCH578" s="13"/>
      <c r="BCI578" s="13"/>
      <c r="BCJ578" s="13"/>
      <c r="BCK578" s="13"/>
      <c r="BCL578" s="13"/>
      <c r="BCM578" s="13"/>
      <c r="BCN578" s="13"/>
      <c r="BCO578" s="13"/>
      <c r="BCP578" s="13"/>
      <c r="BCQ578" s="13"/>
      <c r="BCR578" s="13"/>
      <c r="BCS578" s="13"/>
      <c r="BCT578" s="13"/>
      <c r="BCU578" s="13"/>
      <c r="BCV578" s="13"/>
      <c r="BCW578" s="13"/>
      <c r="BCX578" s="13"/>
      <c r="BCY578" s="13"/>
      <c r="BCZ578" s="13"/>
      <c r="BDA578" s="13"/>
      <c r="BDB578" s="13"/>
      <c r="BDC578" s="13"/>
      <c r="BDD578" s="13"/>
      <c r="BDE578" s="13"/>
      <c r="BDF578" s="13"/>
      <c r="BDG578" s="13"/>
      <c r="BDH578" s="13"/>
      <c r="BDI578" s="13"/>
      <c r="BDJ578" s="13"/>
      <c r="BDK578" s="13"/>
      <c r="BDL578" s="13"/>
      <c r="BDM578" s="13"/>
      <c r="BDN578" s="13"/>
      <c r="BDO578" s="13"/>
      <c r="BDP578" s="13"/>
      <c r="BDQ578" s="13"/>
      <c r="BDR578" s="13"/>
      <c r="BDS578" s="13"/>
      <c r="BDT578" s="13"/>
      <c r="BDU578" s="13"/>
      <c r="BDV578" s="13"/>
      <c r="BDW578" s="13"/>
      <c r="BDX578" s="13"/>
      <c r="BDY578" s="13"/>
      <c r="BDZ578" s="13"/>
      <c r="BEA578" s="13"/>
      <c r="BEB578" s="13"/>
      <c r="BEC578" s="13"/>
      <c r="BED578" s="13"/>
      <c r="BEE578" s="13"/>
      <c r="BEF578" s="13"/>
      <c r="BEG578" s="13"/>
      <c r="BEH578" s="13"/>
      <c r="BEI578" s="13"/>
      <c r="BEJ578" s="13"/>
      <c r="BEK578" s="13"/>
      <c r="BEL578" s="13"/>
      <c r="BEM578" s="13"/>
      <c r="BEN578" s="13"/>
      <c r="BEO578" s="13"/>
      <c r="BEP578" s="13"/>
      <c r="BEQ578" s="13"/>
      <c r="BER578" s="13"/>
      <c r="BES578" s="13"/>
      <c r="BET578" s="13"/>
      <c r="BEU578" s="13"/>
      <c r="BEV578" s="13"/>
      <c r="BEW578" s="13"/>
      <c r="BEX578" s="13"/>
      <c r="BEY578" s="13"/>
      <c r="BEZ578" s="13"/>
      <c r="BFA578" s="13"/>
      <c r="BFB578" s="13"/>
      <c r="BFC578" s="13"/>
      <c r="BFD578" s="13"/>
      <c r="BFE578" s="13"/>
      <c r="BFF578" s="13"/>
      <c r="BFG578" s="13"/>
      <c r="BFH578" s="13"/>
      <c r="BFI578" s="13"/>
      <c r="BFJ578" s="13"/>
      <c r="BFK578" s="13"/>
      <c r="BFL578" s="13"/>
      <c r="BFM578" s="13"/>
      <c r="BFN578" s="13"/>
      <c r="BFO578" s="13"/>
      <c r="BFP578" s="13"/>
      <c r="BFQ578" s="13"/>
      <c r="BFR578" s="13"/>
      <c r="BFS578" s="13"/>
      <c r="BFT578" s="13"/>
      <c r="BFU578" s="13"/>
      <c r="BFV578" s="13"/>
      <c r="BFW578" s="13"/>
      <c r="BFX578" s="13"/>
      <c r="BFY578" s="13"/>
      <c r="BFZ578" s="13"/>
      <c r="BGA578" s="13"/>
      <c r="BGB578" s="13"/>
      <c r="BGC578" s="13"/>
      <c r="BGD578" s="13"/>
      <c r="BGE578" s="13"/>
      <c r="BGF578" s="13"/>
      <c r="BGG578" s="13"/>
      <c r="BGH578" s="13"/>
      <c r="BGI578" s="13"/>
      <c r="BGJ578" s="13"/>
      <c r="BGK578" s="13"/>
      <c r="BGL578" s="13"/>
      <c r="BGM578" s="13"/>
      <c r="BGN578" s="13"/>
      <c r="BGO578" s="13"/>
      <c r="BGP578" s="13"/>
      <c r="BGQ578" s="13"/>
      <c r="BGR578" s="13"/>
      <c r="BGS578" s="13"/>
      <c r="BGT578" s="13"/>
      <c r="BGU578" s="13"/>
      <c r="BGV578" s="13"/>
      <c r="BGW578" s="13"/>
      <c r="BGX578" s="13"/>
      <c r="BGY578" s="13"/>
      <c r="BGZ578" s="13"/>
      <c r="BHA578" s="13"/>
      <c r="BHB578" s="13"/>
      <c r="BHC578" s="13"/>
      <c r="BHD578" s="13"/>
      <c r="BHE578" s="13"/>
      <c r="BHF578" s="13"/>
      <c r="BHG578" s="13"/>
      <c r="BHH578" s="13"/>
      <c r="BHI578" s="13"/>
      <c r="BHJ578" s="13"/>
      <c r="BHK578" s="13"/>
      <c r="BHL578" s="13"/>
      <c r="BHM578" s="13"/>
      <c r="BHN578" s="13"/>
      <c r="BHO578" s="13"/>
      <c r="BHP578" s="13"/>
      <c r="BHQ578" s="13"/>
      <c r="BHR578" s="13"/>
      <c r="BHS578" s="13"/>
      <c r="BHT578" s="13"/>
      <c r="BHU578" s="13"/>
      <c r="BHV578" s="13"/>
      <c r="BHW578" s="13"/>
      <c r="BHX578" s="13"/>
      <c r="BHY578" s="13"/>
      <c r="BHZ578" s="13"/>
      <c r="BIA578" s="13"/>
      <c r="BIB578" s="13"/>
      <c r="BIC578" s="13"/>
      <c r="BID578" s="13"/>
      <c r="BIE578" s="13"/>
      <c r="BIF578" s="13"/>
      <c r="BIG578" s="13"/>
      <c r="BIH578" s="13"/>
      <c r="BII578" s="13"/>
      <c r="BIJ578" s="13"/>
      <c r="BIK578" s="13"/>
      <c r="BIL578" s="13"/>
      <c r="BIM578" s="13"/>
      <c r="BIN578" s="13"/>
      <c r="BIO578" s="13"/>
      <c r="BIP578" s="13"/>
      <c r="BIQ578" s="13"/>
      <c r="BIR578" s="13"/>
      <c r="BIS578" s="13"/>
      <c r="BIT578" s="13"/>
      <c r="BIU578" s="13"/>
      <c r="BIV578" s="13"/>
      <c r="BIW578" s="13"/>
      <c r="BIX578" s="13"/>
      <c r="BIY578" s="13"/>
      <c r="BIZ578" s="13"/>
      <c r="BJA578" s="13"/>
      <c r="BJB578" s="13"/>
      <c r="BJC578" s="13"/>
      <c r="BJD578" s="13"/>
      <c r="BJE578" s="13"/>
      <c r="BJF578" s="13"/>
      <c r="BJG578" s="13"/>
      <c r="BJH578" s="13"/>
      <c r="BJI578" s="13"/>
      <c r="BJJ578" s="13"/>
      <c r="BJK578" s="13"/>
      <c r="BJL578" s="13"/>
      <c r="BJM578" s="13"/>
      <c r="BJN578" s="13"/>
      <c r="BJO578" s="13"/>
      <c r="BJP578" s="13"/>
      <c r="BJQ578" s="13"/>
      <c r="BJR578" s="13"/>
      <c r="BJS578" s="13"/>
      <c r="BJT578" s="13"/>
      <c r="BJU578" s="13"/>
      <c r="BJV578" s="13"/>
      <c r="BJW578" s="13"/>
      <c r="BJX578" s="13"/>
      <c r="BJY578" s="13"/>
      <c r="BJZ578" s="13"/>
      <c r="BKA578" s="13"/>
      <c r="BKB578" s="13"/>
      <c r="BKC578" s="13"/>
      <c r="BKD578" s="13"/>
      <c r="BKE578" s="13"/>
      <c r="BKF578" s="13"/>
      <c r="BKG578" s="13"/>
      <c r="BKH578" s="13"/>
      <c r="BKI578" s="13"/>
      <c r="BKJ578" s="13"/>
      <c r="BKK578" s="13"/>
      <c r="BKL578" s="13"/>
      <c r="BKM578" s="13"/>
      <c r="BKN578" s="13"/>
      <c r="BKO578" s="13"/>
      <c r="BKP578" s="13"/>
      <c r="BKQ578" s="13"/>
      <c r="BKR578" s="13"/>
      <c r="BKS578" s="13"/>
      <c r="BKT578" s="13"/>
      <c r="BKU578" s="13"/>
      <c r="BKV578" s="13"/>
      <c r="BKW578" s="13"/>
      <c r="BKX578" s="13"/>
      <c r="BKY578" s="13"/>
      <c r="BKZ578" s="13"/>
      <c r="BLA578" s="13"/>
      <c r="BLB578" s="13"/>
      <c r="BLC578" s="13"/>
      <c r="BLD578" s="13"/>
      <c r="BLE578" s="13"/>
      <c r="BLF578" s="13"/>
      <c r="BLG578" s="13"/>
      <c r="BLH578" s="13"/>
      <c r="BLI578" s="13"/>
      <c r="BLJ578" s="13"/>
      <c r="BLK578" s="13"/>
      <c r="BLL578" s="13"/>
      <c r="BLM578" s="13"/>
      <c r="BLN578" s="13"/>
      <c r="BLO578" s="13"/>
      <c r="BLP578" s="13"/>
      <c r="BLQ578" s="13"/>
      <c r="BLR578" s="13"/>
      <c r="BLS578" s="13"/>
      <c r="BLT578" s="13"/>
      <c r="BLU578" s="13"/>
      <c r="BLV578" s="13"/>
      <c r="BLW578" s="13"/>
      <c r="BLX578" s="13"/>
      <c r="BLY578" s="13"/>
      <c r="BLZ578" s="13"/>
      <c r="BMA578" s="13"/>
      <c r="BMB578" s="13"/>
      <c r="BMC578" s="13"/>
      <c r="BMD578" s="13"/>
      <c r="BME578" s="13"/>
      <c r="BMF578" s="13"/>
      <c r="BMG578" s="13"/>
      <c r="BMH578" s="13"/>
      <c r="BMI578" s="13"/>
      <c r="BMJ578" s="13"/>
      <c r="BMK578" s="13"/>
      <c r="BML578" s="13"/>
      <c r="BMM578" s="13"/>
      <c r="BMN578" s="13"/>
      <c r="BMO578" s="13"/>
      <c r="BMP578" s="13"/>
      <c r="BMQ578" s="13"/>
      <c r="BMR578" s="13"/>
      <c r="BMS578" s="13"/>
      <c r="BMT578" s="13"/>
      <c r="BMU578" s="13"/>
      <c r="BMV578" s="13"/>
      <c r="BMW578" s="13"/>
      <c r="BMX578" s="13"/>
      <c r="BMY578" s="13"/>
      <c r="BMZ578" s="13"/>
      <c r="BNA578" s="13"/>
      <c r="BNB578" s="13"/>
      <c r="BNC578" s="13"/>
      <c r="BND578" s="13"/>
      <c r="BNE578" s="13"/>
      <c r="BNF578" s="13"/>
      <c r="BNG578" s="13"/>
      <c r="BNH578" s="13"/>
      <c r="BNI578" s="13"/>
      <c r="BNJ578" s="13"/>
      <c r="BNK578" s="13"/>
      <c r="BNL578" s="13"/>
      <c r="BNM578" s="13"/>
      <c r="BNN578" s="13"/>
      <c r="BNO578" s="13"/>
      <c r="BNP578" s="13"/>
      <c r="BNQ578" s="13"/>
      <c r="BNR578" s="13"/>
      <c r="BNS578" s="13"/>
      <c r="BNT578" s="13"/>
      <c r="BNU578" s="13"/>
      <c r="BNV578" s="13"/>
      <c r="BNW578" s="13"/>
      <c r="BNX578" s="13"/>
      <c r="BNY578" s="13"/>
      <c r="BNZ578" s="13"/>
      <c r="BOA578" s="13"/>
      <c r="BOB578" s="13"/>
      <c r="BOC578" s="13"/>
      <c r="BOD578" s="13"/>
      <c r="BOE578" s="13"/>
      <c r="BOF578" s="13"/>
      <c r="BOG578" s="13"/>
      <c r="BOH578" s="13"/>
      <c r="BOI578" s="13"/>
      <c r="BOJ578" s="13"/>
      <c r="BOK578" s="13"/>
      <c r="BOL578" s="13"/>
      <c r="BOM578" s="13"/>
      <c r="BON578" s="13"/>
      <c r="BOO578" s="13"/>
      <c r="BOP578" s="13"/>
      <c r="BOQ578" s="13"/>
      <c r="BOR578" s="13"/>
      <c r="BOS578" s="13"/>
      <c r="BOT578" s="13"/>
      <c r="BOU578" s="13"/>
      <c r="BOV578" s="13"/>
      <c r="BOW578" s="13"/>
      <c r="BOX578" s="13"/>
      <c r="BOY578" s="13"/>
      <c r="BOZ578" s="13"/>
      <c r="BPA578" s="13"/>
      <c r="BPB578" s="13"/>
      <c r="BPC578" s="13"/>
      <c r="BPD578" s="13"/>
      <c r="BPE578" s="13"/>
      <c r="BPF578" s="13"/>
      <c r="BPG578" s="13"/>
      <c r="BPH578" s="13"/>
      <c r="BPI578" s="13"/>
      <c r="BPJ578" s="13"/>
      <c r="BPK578" s="13"/>
      <c r="BPL578" s="13"/>
      <c r="BPM578" s="13"/>
      <c r="BPN578" s="13"/>
      <c r="BPO578" s="13"/>
      <c r="BPP578" s="13"/>
      <c r="BPQ578" s="13"/>
      <c r="BPR578" s="13"/>
      <c r="BPS578" s="13"/>
      <c r="BPT578" s="13"/>
      <c r="BPU578" s="13"/>
      <c r="BPV578" s="13"/>
      <c r="BPW578" s="13"/>
      <c r="BPX578" s="13"/>
      <c r="BPY578" s="13"/>
      <c r="BPZ578" s="13"/>
      <c r="BQA578" s="13"/>
      <c r="BQB578" s="13"/>
      <c r="BQC578" s="13"/>
      <c r="BQD578" s="13"/>
      <c r="BQE578" s="13"/>
      <c r="BQF578" s="13"/>
      <c r="BQG578" s="13"/>
      <c r="BQH578" s="13"/>
      <c r="BQI578" s="13"/>
      <c r="BQJ578" s="13"/>
      <c r="BQK578" s="13"/>
      <c r="BQL578" s="13"/>
      <c r="BQM578" s="13"/>
      <c r="BQN578" s="13"/>
      <c r="BQO578" s="13"/>
      <c r="BQP578" s="13"/>
      <c r="BQQ578" s="13"/>
      <c r="BQR578" s="13"/>
      <c r="BQS578" s="13"/>
      <c r="BQT578" s="13"/>
      <c r="BQU578" s="13"/>
      <c r="BQV578" s="13"/>
      <c r="BQW578" s="13"/>
      <c r="BQX578" s="13"/>
      <c r="BQY578" s="13"/>
      <c r="BQZ578" s="13"/>
      <c r="BRA578" s="13"/>
      <c r="BRB578" s="13"/>
      <c r="BRC578" s="13"/>
      <c r="BRD578" s="13"/>
      <c r="BRE578" s="13"/>
      <c r="BRF578" s="13"/>
      <c r="BRG578" s="13"/>
      <c r="BRH578" s="13"/>
      <c r="BRI578" s="13"/>
      <c r="BRJ578" s="13"/>
      <c r="BRK578" s="13"/>
      <c r="BRL578" s="13"/>
      <c r="BRM578" s="13"/>
      <c r="BRN578" s="13"/>
      <c r="BRO578" s="13"/>
      <c r="BRP578" s="13"/>
      <c r="BRQ578" s="13"/>
      <c r="BRR578" s="13"/>
      <c r="BRS578" s="13"/>
      <c r="BRT578" s="13"/>
      <c r="BRU578" s="13"/>
      <c r="BRV578" s="13"/>
      <c r="BRW578" s="13"/>
      <c r="BRX578" s="13"/>
      <c r="BRY578" s="13"/>
      <c r="BRZ578" s="13"/>
      <c r="BSA578" s="13"/>
      <c r="BSB578" s="13"/>
      <c r="BSC578" s="13"/>
      <c r="BSD578" s="13"/>
      <c r="BSE578" s="13"/>
      <c r="BSF578" s="13"/>
      <c r="BSG578" s="13"/>
      <c r="BSH578" s="13"/>
      <c r="BSI578" s="13"/>
      <c r="BSJ578" s="13"/>
      <c r="BSK578" s="13"/>
      <c r="BSL578" s="13"/>
      <c r="BSM578" s="13"/>
      <c r="BSN578" s="13"/>
      <c r="BSO578" s="13"/>
      <c r="BSP578" s="13"/>
      <c r="BSQ578" s="13"/>
      <c r="BSR578" s="13"/>
      <c r="BSS578" s="13"/>
      <c r="BST578" s="13"/>
      <c r="BSU578" s="13"/>
      <c r="BSV578" s="13"/>
      <c r="BSW578" s="13"/>
      <c r="BSX578" s="13"/>
      <c r="BSY578" s="13"/>
      <c r="BSZ578" s="13"/>
      <c r="BTA578" s="13"/>
    </row>
    <row r="579" spans="1:1873" s="23" customFormat="1" x14ac:dyDescent="0.2">
      <c r="A579" s="223" t="s">
        <v>785</v>
      </c>
      <c r="B579" s="223" t="s">
        <v>786</v>
      </c>
      <c r="C579" s="223" t="s">
        <v>1028</v>
      </c>
      <c r="D579" s="223" t="s">
        <v>619</v>
      </c>
      <c r="E579" s="241" t="s">
        <v>1443</v>
      </c>
      <c r="F579" s="241">
        <v>1</v>
      </c>
      <c r="G579" s="223">
        <v>8</v>
      </c>
      <c r="H579" s="242">
        <v>8</v>
      </c>
      <c r="I579" s="223" t="s">
        <v>954</v>
      </c>
      <c r="J579" s="223">
        <v>1981</v>
      </c>
      <c r="K579" s="223" t="s">
        <v>957</v>
      </c>
      <c r="L579" s="223">
        <v>1988</v>
      </c>
      <c r="M579" s="243">
        <v>-9999</v>
      </c>
      <c r="N579" s="223">
        <v>-9999</v>
      </c>
      <c r="O579" s="29"/>
      <c r="P579" s="285">
        <f t="shared" si="47"/>
        <v>69.599999999999994</v>
      </c>
      <c r="Q579" s="223">
        <v>-9999</v>
      </c>
      <c r="R579" s="243"/>
      <c r="S579" s="223"/>
      <c r="T579" s="243">
        <v>8.6999999999999993</v>
      </c>
      <c r="U579" s="243">
        <v>1.3</v>
      </c>
      <c r="V579" s="243"/>
      <c r="W579" s="244">
        <f>+P579-P578</f>
        <v>-10.200000000000003</v>
      </c>
      <c r="X579" s="223">
        <v>-9999</v>
      </c>
      <c r="Y579" s="223"/>
      <c r="Z579" s="223" t="s">
        <v>793</v>
      </c>
      <c r="AA579" s="248">
        <v>10000</v>
      </c>
      <c r="AB579" s="243">
        <v>0.79</v>
      </c>
      <c r="AC579" s="223">
        <v>-9999</v>
      </c>
      <c r="AD579" s="223">
        <f t="shared" si="40"/>
        <v>400</v>
      </c>
      <c r="AE579" s="404" t="s">
        <v>1957</v>
      </c>
      <c r="AF579" s="223">
        <v>4</v>
      </c>
      <c r="AG579" s="223">
        <v>2</v>
      </c>
      <c r="AH579" s="223" t="s">
        <v>623</v>
      </c>
      <c r="AI579" s="223">
        <v>-9999</v>
      </c>
      <c r="AJ579" s="223">
        <v>-9999</v>
      </c>
      <c r="AK579" s="223" t="s">
        <v>626</v>
      </c>
      <c r="AL579" s="223" t="s">
        <v>653</v>
      </c>
      <c r="AM579" s="223">
        <v>-9999</v>
      </c>
      <c r="AN579" s="223" t="s">
        <v>626</v>
      </c>
      <c r="AO579" s="223">
        <v>-9999</v>
      </c>
      <c r="AP579" s="223" t="s">
        <v>789</v>
      </c>
      <c r="AQ579" s="223" t="s">
        <v>631</v>
      </c>
      <c r="AR579" s="223">
        <v>0</v>
      </c>
      <c r="AS579" s="223">
        <v>-9999</v>
      </c>
      <c r="AT579" s="223">
        <v>-9999</v>
      </c>
      <c r="AU579" s="223">
        <v>0</v>
      </c>
      <c r="AV579" s="223">
        <v>-9999</v>
      </c>
      <c r="AW579" s="223">
        <v>-9999</v>
      </c>
      <c r="AX579" s="223">
        <v>0</v>
      </c>
      <c r="AY579" s="223">
        <v>-9999</v>
      </c>
      <c r="AZ579" s="223">
        <v>-9999</v>
      </c>
      <c r="BA579" s="223" t="s">
        <v>794</v>
      </c>
      <c r="BB579" s="223" t="s">
        <v>626</v>
      </c>
      <c r="BC579" s="223" t="s">
        <v>795</v>
      </c>
      <c r="BD579" s="223" t="s">
        <v>796</v>
      </c>
      <c r="BE579" s="223"/>
      <c r="BF579" s="223"/>
      <c r="BG579" s="223"/>
      <c r="BH579" s="223">
        <v>-9999</v>
      </c>
      <c r="BI579" s="223">
        <v>-9999</v>
      </c>
      <c r="BJ579" s="223">
        <v>-9999</v>
      </c>
      <c r="BK579" s="223">
        <v>-9999</v>
      </c>
      <c r="BL579" s="223">
        <v>-9999</v>
      </c>
      <c r="BM579" s="223">
        <v>-9999</v>
      </c>
      <c r="BN579" s="223">
        <v>-9999</v>
      </c>
      <c r="BO579" s="223">
        <v>-9999</v>
      </c>
      <c r="BP579" s="223">
        <v>-9999</v>
      </c>
      <c r="BQ579" s="223">
        <v>-9999</v>
      </c>
      <c r="BR579" s="223">
        <v>-9999</v>
      </c>
      <c r="BS579" s="242">
        <v>-9999</v>
      </c>
      <c r="BT579" s="223">
        <v>-9999</v>
      </c>
      <c r="BU579" s="223">
        <v>-9999</v>
      </c>
      <c r="BV579" s="223">
        <v>-9999</v>
      </c>
      <c r="BW579" s="223"/>
      <c r="BX579" s="223">
        <v>-9999</v>
      </c>
      <c r="BY579" s="223">
        <v>-9999</v>
      </c>
      <c r="BZ579" s="223">
        <v>-9999</v>
      </c>
      <c r="CA579" s="332" t="s">
        <v>797</v>
      </c>
      <c r="CB579" s="247"/>
      <c r="CC579" s="83">
        <v>1</v>
      </c>
      <c r="CD579" s="32">
        <v>8</v>
      </c>
      <c r="CE579" s="292">
        <v>8.6999999999999993</v>
      </c>
      <c r="CF579" s="292">
        <v>-10.200000000000003</v>
      </c>
      <c r="CG579" s="84">
        <v>8</v>
      </c>
    </row>
    <row r="580" spans="1:1873" s="23" customFormat="1" x14ac:dyDescent="0.2">
      <c r="A580" s="223"/>
      <c r="B580" s="223"/>
      <c r="C580" s="223"/>
      <c r="D580" s="223"/>
      <c r="E580" s="241"/>
      <c r="F580" s="241"/>
      <c r="G580" s="223"/>
      <c r="H580" s="242"/>
      <c r="I580" s="223"/>
      <c r="J580" s="223"/>
      <c r="K580" s="223"/>
      <c r="L580" s="223"/>
      <c r="M580" s="243"/>
      <c r="N580" s="223"/>
      <c r="O580" s="29"/>
      <c r="P580" s="243"/>
      <c r="Q580" s="223"/>
      <c r="R580" s="243"/>
      <c r="S580" s="223"/>
      <c r="T580" s="243"/>
      <c r="U580" s="243"/>
      <c r="V580" s="243"/>
      <c r="W580" s="243"/>
      <c r="X580" s="223"/>
      <c r="Y580" s="223"/>
      <c r="Z580" s="223"/>
      <c r="AA580" s="248"/>
      <c r="AB580" s="243"/>
      <c r="AC580" s="223"/>
      <c r="AD580" s="223"/>
      <c r="AE580" s="223"/>
      <c r="AF580" s="223"/>
      <c r="AG580" s="223"/>
      <c r="AH580" s="223"/>
      <c r="AI580" s="223"/>
      <c r="AJ580" s="223"/>
      <c r="AK580" s="223"/>
      <c r="AL580" s="223"/>
      <c r="AM580" s="223"/>
      <c r="AN580" s="223"/>
      <c r="AO580" s="223"/>
      <c r="AP580" s="223"/>
      <c r="AQ580" s="223"/>
      <c r="AR580" s="223"/>
      <c r="AS580" s="223"/>
      <c r="AT580" s="223"/>
      <c r="AU580" s="223"/>
      <c r="AV580" s="223"/>
      <c r="AW580" s="223"/>
      <c r="AX580" s="223"/>
      <c r="AY580" s="223"/>
      <c r="AZ580" s="223"/>
      <c r="BA580" s="223"/>
      <c r="BB580" s="223"/>
      <c r="BC580" s="223"/>
      <c r="BD580" s="223"/>
      <c r="BE580" s="223"/>
      <c r="BF580" s="223"/>
      <c r="BG580" s="223"/>
      <c r="BH580" s="223"/>
      <c r="BI580" s="223"/>
      <c r="BJ580" s="223"/>
      <c r="BK580" s="223"/>
      <c r="BL580" s="223"/>
      <c r="BM580" s="223"/>
      <c r="BN580" s="223"/>
      <c r="BO580" s="223"/>
      <c r="BP580" s="223"/>
      <c r="BQ580" s="223"/>
      <c r="BR580" s="223"/>
      <c r="BS580" s="242"/>
      <c r="BT580" s="223"/>
      <c r="BU580" s="223"/>
      <c r="BV580" s="223"/>
      <c r="BW580" s="223"/>
      <c r="BX580" s="223"/>
      <c r="BY580" s="223"/>
      <c r="BZ580" s="223"/>
      <c r="CA580" s="332"/>
      <c r="CB580" s="247"/>
      <c r="CC580" s="83"/>
      <c r="CD580" s="32"/>
      <c r="CE580" s="342" t="s">
        <v>1576</v>
      </c>
      <c r="CF580" s="342" t="s">
        <v>1575</v>
      </c>
      <c r="CG580" s="84"/>
    </row>
    <row r="581" spans="1:1873" s="23" customFormat="1" x14ac:dyDescent="0.2">
      <c r="A581" s="223" t="s">
        <v>785</v>
      </c>
      <c r="B581" s="223" t="s">
        <v>786</v>
      </c>
      <c r="C581" s="223" t="s">
        <v>1029</v>
      </c>
      <c r="D581" s="223" t="s">
        <v>619</v>
      </c>
      <c r="E581" s="241" t="s">
        <v>1443</v>
      </c>
      <c r="F581" s="241">
        <v>1</v>
      </c>
      <c r="G581" s="223">
        <v>3</v>
      </c>
      <c r="H581" s="242">
        <v>3</v>
      </c>
      <c r="I581" s="223" t="s">
        <v>954</v>
      </c>
      <c r="J581" s="223">
        <v>1981</v>
      </c>
      <c r="K581" s="223" t="s">
        <v>957</v>
      </c>
      <c r="L581" s="223">
        <v>1983</v>
      </c>
      <c r="M581" s="243">
        <v>-9999</v>
      </c>
      <c r="N581" s="223">
        <v>-9999</v>
      </c>
      <c r="O581" s="29"/>
      <c r="P581" s="285">
        <f t="shared" ref="P581:P586" si="48">+T581*G581</f>
        <v>12.899999999999999</v>
      </c>
      <c r="Q581" s="223">
        <v>-9999</v>
      </c>
      <c r="R581" s="243"/>
      <c r="S581" s="223"/>
      <c r="T581" s="243">
        <v>4.3</v>
      </c>
      <c r="U581" s="243">
        <v>1.6</v>
      </c>
      <c r="V581" s="243"/>
      <c r="W581" s="243"/>
      <c r="X581" s="223">
        <v>-9999</v>
      </c>
      <c r="Y581" s="223"/>
      <c r="Z581" s="223" t="s">
        <v>75</v>
      </c>
      <c r="AA581" s="245">
        <v>5000</v>
      </c>
      <c r="AB581" s="243">
        <v>1</v>
      </c>
      <c r="AC581" s="223">
        <v>-9999</v>
      </c>
      <c r="AD581" s="223">
        <f t="shared" si="40"/>
        <v>400</v>
      </c>
      <c r="AE581" s="404" t="s">
        <v>1952</v>
      </c>
      <c r="AF581" s="223">
        <v>4</v>
      </c>
      <c r="AG581" s="223">
        <v>2</v>
      </c>
      <c r="AH581" s="223" t="s">
        <v>623</v>
      </c>
      <c r="AI581" s="223">
        <v>-9999</v>
      </c>
      <c r="AJ581" s="223">
        <v>-9999</v>
      </c>
      <c r="AK581" s="223" t="s">
        <v>626</v>
      </c>
      <c r="AL581" s="223" t="s">
        <v>653</v>
      </c>
      <c r="AM581" s="223">
        <v>-9999</v>
      </c>
      <c r="AN581" s="223" t="s">
        <v>626</v>
      </c>
      <c r="AO581" s="223">
        <v>-9999</v>
      </c>
      <c r="AP581" s="223" t="s">
        <v>789</v>
      </c>
      <c r="AQ581" s="223" t="s">
        <v>631</v>
      </c>
      <c r="AR581" s="223">
        <v>0</v>
      </c>
      <c r="AS581" s="223">
        <v>-9999</v>
      </c>
      <c r="AT581" s="223">
        <v>-9999</v>
      </c>
      <c r="AU581" s="223">
        <v>0</v>
      </c>
      <c r="AV581" s="223">
        <v>-9999</v>
      </c>
      <c r="AW581" s="223">
        <v>-9999</v>
      </c>
      <c r="AX581" s="223">
        <v>0</v>
      </c>
      <c r="AY581" s="223">
        <v>-9999</v>
      </c>
      <c r="AZ581" s="223">
        <v>-9999</v>
      </c>
      <c r="BA581" s="223" t="s">
        <v>794</v>
      </c>
      <c r="BB581" s="223" t="s">
        <v>626</v>
      </c>
      <c r="BC581" s="223" t="s">
        <v>795</v>
      </c>
      <c r="BD581" s="223" t="s">
        <v>796</v>
      </c>
      <c r="BE581" s="223"/>
      <c r="BF581" s="223"/>
      <c r="BG581" s="223"/>
      <c r="BH581" s="223">
        <v>-9999</v>
      </c>
      <c r="BI581" s="223">
        <v>-9999</v>
      </c>
      <c r="BJ581" s="223">
        <v>-9999</v>
      </c>
      <c r="BK581" s="223">
        <v>-9999</v>
      </c>
      <c r="BL581" s="223">
        <v>-9999</v>
      </c>
      <c r="BM581" s="223">
        <v>-9999</v>
      </c>
      <c r="BN581" s="223">
        <v>-9999</v>
      </c>
      <c r="BO581" s="223">
        <v>-9999</v>
      </c>
      <c r="BP581" s="223">
        <v>-9999</v>
      </c>
      <c r="BQ581" s="223">
        <v>-9999</v>
      </c>
      <c r="BR581" s="223">
        <v>-9999</v>
      </c>
      <c r="BS581" s="242">
        <v>-9999</v>
      </c>
      <c r="BT581" s="223">
        <v>-9999</v>
      </c>
      <c r="BU581" s="223">
        <v>-9999</v>
      </c>
      <c r="BV581" s="223">
        <v>-9999</v>
      </c>
      <c r="BW581" s="223"/>
      <c r="BX581" s="223">
        <v>-9999</v>
      </c>
      <c r="BY581" s="223">
        <v>-9999</v>
      </c>
      <c r="BZ581" s="223">
        <v>-9999</v>
      </c>
      <c r="CA581" s="332" t="s">
        <v>797</v>
      </c>
      <c r="CB581" s="247"/>
      <c r="CC581" s="83">
        <v>1</v>
      </c>
      <c r="CD581" s="32">
        <v>3</v>
      </c>
      <c r="CE581" s="292">
        <v>4.3</v>
      </c>
      <c r="CF581" s="292"/>
      <c r="CG581" s="84">
        <v>3</v>
      </c>
    </row>
    <row r="582" spans="1:1873" s="23" customFormat="1" x14ac:dyDescent="0.2">
      <c r="A582" s="223" t="s">
        <v>785</v>
      </c>
      <c r="B582" s="223" t="s">
        <v>786</v>
      </c>
      <c r="C582" s="223" t="s">
        <v>1029</v>
      </c>
      <c r="D582" s="223" t="s">
        <v>619</v>
      </c>
      <c r="E582" s="241" t="s">
        <v>1443</v>
      </c>
      <c r="F582" s="241">
        <v>1</v>
      </c>
      <c r="G582" s="223">
        <v>4</v>
      </c>
      <c r="H582" s="242">
        <v>4</v>
      </c>
      <c r="I582" s="223" t="s">
        <v>954</v>
      </c>
      <c r="J582" s="223">
        <v>1981</v>
      </c>
      <c r="K582" s="223" t="s">
        <v>957</v>
      </c>
      <c r="L582" s="223">
        <v>1984</v>
      </c>
      <c r="M582" s="243">
        <v>-9999</v>
      </c>
      <c r="N582" s="223">
        <v>-9999</v>
      </c>
      <c r="O582" s="29"/>
      <c r="P582" s="285">
        <f t="shared" si="48"/>
        <v>26.8</v>
      </c>
      <c r="Q582" s="223">
        <v>-9999</v>
      </c>
      <c r="R582" s="243"/>
      <c r="S582" s="223"/>
      <c r="T582" s="243">
        <v>6.7</v>
      </c>
      <c r="U582" s="243">
        <v>1.3</v>
      </c>
      <c r="V582" s="243"/>
      <c r="W582" s="244">
        <f>+P582-P581</f>
        <v>13.900000000000002</v>
      </c>
      <c r="X582" s="223">
        <v>-9999</v>
      </c>
      <c r="Y582" s="223"/>
      <c r="Z582" s="223" t="s">
        <v>75</v>
      </c>
      <c r="AA582" s="245">
        <v>5000</v>
      </c>
      <c r="AB582" s="285">
        <v>0.99</v>
      </c>
      <c r="AC582" s="223">
        <v>-9999</v>
      </c>
      <c r="AD582" s="223">
        <f t="shared" si="40"/>
        <v>400</v>
      </c>
      <c r="AE582" s="404" t="s">
        <v>1952</v>
      </c>
      <c r="AF582" s="223">
        <v>4</v>
      </c>
      <c r="AG582" s="223">
        <v>2</v>
      </c>
      <c r="AH582" s="223" t="s">
        <v>623</v>
      </c>
      <c r="AI582" s="223">
        <v>-9999</v>
      </c>
      <c r="AJ582" s="223">
        <v>-9999</v>
      </c>
      <c r="AK582" s="223" t="s">
        <v>626</v>
      </c>
      <c r="AL582" s="223" t="s">
        <v>653</v>
      </c>
      <c r="AM582" s="223">
        <v>-9999</v>
      </c>
      <c r="AN582" s="223" t="s">
        <v>626</v>
      </c>
      <c r="AO582" s="223">
        <v>-9999</v>
      </c>
      <c r="AP582" s="223" t="s">
        <v>789</v>
      </c>
      <c r="AQ582" s="223" t="s">
        <v>631</v>
      </c>
      <c r="AR582" s="223">
        <v>0</v>
      </c>
      <c r="AS582" s="223">
        <v>-9999</v>
      </c>
      <c r="AT582" s="223">
        <v>-9999</v>
      </c>
      <c r="AU582" s="223">
        <v>0</v>
      </c>
      <c r="AV582" s="223">
        <v>-9999</v>
      </c>
      <c r="AW582" s="223">
        <v>-9999</v>
      </c>
      <c r="AX582" s="223">
        <v>0</v>
      </c>
      <c r="AY582" s="223">
        <v>-9999</v>
      </c>
      <c r="AZ582" s="223">
        <v>-9999</v>
      </c>
      <c r="BA582" s="223" t="s">
        <v>794</v>
      </c>
      <c r="BB582" s="223" t="s">
        <v>626</v>
      </c>
      <c r="BC582" s="223" t="s">
        <v>795</v>
      </c>
      <c r="BD582" s="223" t="s">
        <v>796</v>
      </c>
      <c r="BE582" s="223"/>
      <c r="BF582" s="223"/>
      <c r="BG582" s="223"/>
      <c r="BH582" s="223">
        <v>-9999</v>
      </c>
      <c r="BI582" s="223">
        <v>-9999</v>
      </c>
      <c r="BJ582" s="223">
        <v>-9999</v>
      </c>
      <c r="BK582" s="223">
        <v>-9999</v>
      </c>
      <c r="BL582" s="223">
        <v>-9999</v>
      </c>
      <c r="BM582" s="223">
        <v>-9999</v>
      </c>
      <c r="BN582" s="223">
        <v>-9999</v>
      </c>
      <c r="BO582" s="223">
        <v>-9999</v>
      </c>
      <c r="BP582" s="223">
        <v>-9999</v>
      </c>
      <c r="BQ582" s="223">
        <v>-9999</v>
      </c>
      <c r="BR582" s="223">
        <v>-9999</v>
      </c>
      <c r="BS582" s="242">
        <v>-9999</v>
      </c>
      <c r="BT582" s="223">
        <v>-9999</v>
      </c>
      <c r="BU582" s="223">
        <v>-9999</v>
      </c>
      <c r="BV582" s="223">
        <v>-9999</v>
      </c>
      <c r="BW582" s="223"/>
      <c r="BX582" s="223">
        <v>-9999</v>
      </c>
      <c r="BY582" s="223">
        <v>-9999</v>
      </c>
      <c r="BZ582" s="223">
        <v>-9999</v>
      </c>
      <c r="CA582" s="332" t="s">
        <v>797</v>
      </c>
      <c r="CB582" s="247"/>
      <c r="CC582" s="83">
        <v>1</v>
      </c>
      <c r="CD582" s="32">
        <v>4</v>
      </c>
      <c r="CE582" s="292">
        <v>6.7</v>
      </c>
      <c r="CF582" s="292">
        <v>13.900000000000002</v>
      </c>
      <c r="CG582" s="84">
        <v>4</v>
      </c>
    </row>
    <row r="583" spans="1:1873" s="23" customFormat="1" x14ac:dyDescent="0.2">
      <c r="A583" s="223" t="s">
        <v>785</v>
      </c>
      <c r="B583" s="223" t="s">
        <v>786</v>
      </c>
      <c r="C583" s="223" t="s">
        <v>1029</v>
      </c>
      <c r="D583" s="223" t="s">
        <v>619</v>
      </c>
      <c r="E583" s="241" t="s">
        <v>1443</v>
      </c>
      <c r="F583" s="241">
        <v>1</v>
      </c>
      <c r="G583" s="223">
        <v>5</v>
      </c>
      <c r="H583" s="242">
        <v>5</v>
      </c>
      <c r="I583" s="223" t="s">
        <v>954</v>
      </c>
      <c r="J583" s="223">
        <v>1981</v>
      </c>
      <c r="K583" s="223" t="s">
        <v>957</v>
      </c>
      <c r="L583" s="223">
        <v>1985</v>
      </c>
      <c r="M583" s="243">
        <v>-9999</v>
      </c>
      <c r="N583" s="223">
        <v>-9999</v>
      </c>
      <c r="O583" s="29"/>
      <c r="P583" s="285">
        <f t="shared" si="48"/>
        <v>38</v>
      </c>
      <c r="Q583" s="223">
        <v>-9999</v>
      </c>
      <c r="R583" s="243"/>
      <c r="S583" s="223"/>
      <c r="T583" s="243">
        <v>7.6</v>
      </c>
      <c r="U583" s="243">
        <v>1.3</v>
      </c>
      <c r="V583" s="243"/>
      <c r="W583" s="244">
        <f>+P583-P582</f>
        <v>11.2</v>
      </c>
      <c r="X583" s="223">
        <v>-9999</v>
      </c>
      <c r="Y583" s="223"/>
      <c r="Z583" s="223" t="s">
        <v>75</v>
      </c>
      <c r="AA583" s="245">
        <v>5000</v>
      </c>
      <c r="AB583" s="285">
        <v>0.97</v>
      </c>
      <c r="AC583" s="223">
        <v>-9999</v>
      </c>
      <c r="AD583" s="223">
        <f t="shared" si="40"/>
        <v>400</v>
      </c>
      <c r="AE583" s="404" t="s">
        <v>1952</v>
      </c>
      <c r="AF583" s="223">
        <v>4</v>
      </c>
      <c r="AG583" s="223">
        <v>2</v>
      </c>
      <c r="AH583" s="223" t="s">
        <v>623</v>
      </c>
      <c r="AI583" s="223">
        <v>-9999</v>
      </c>
      <c r="AJ583" s="223">
        <v>-9999</v>
      </c>
      <c r="AK583" s="223" t="s">
        <v>626</v>
      </c>
      <c r="AL583" s="223" t="s">
        <v>653</v>
      </c>
      <c r="AM583" s="223">
        <v>-9999</v>
      </c>
      <c r="AN583" s="223" t="s">
        <v>626</v>
      </c>
      <c r="AO583" s="223">
        <v>-9999</v>
      </c>
      <c r="AP583" s="223" t="s">
        <v>789</v>
      </c>
      <c r="AQ583" s="223" t="s">
        <v>631</v>
      </c>
      <c r="AR583" s="223">
        <v>0</v>
      </c>
      <c r="AS583" s="223">
        <v>-9999</v>
      </c>
      <c r="AT583" s="223">
        <v>-9999</v>
      </c>
      <c r="AU583" s="223">
        <v>0</v>
      </c>
      <c r="AV583" s="223">
        <v>-9999</v>
      </c>
      <c r="AW583" s="223">
        <v>-9999</v>
      </c>
      <c r="AX583" s="223">
        <v>0</v>
      </c>
      <c r="AY583" s="223">
        <v>-9999</v>
      </c>
      <c r="AZ583" s="223">
        <v>-9999</v>
      </c>
      <c r="BA583" s="223" t="s">
        <v>794</v>
      </c>
      <c r="BB583" s="223" t="s">
        <v>626</v>
      </c>
      <c r="BC583" s="223" t="s">
        <v>795</v>
      </c>
      <c r="BD583" s="223" t="s">
        <v>796</v>
      </c>
      <c r="BE583" s="223"/>
      <c r="BF583" s="223"/>
      <c r="BG583" s="223"/>
      <c r="BH583" s="223">
        <v>-9999</v>
      </c>
      <c r="BI583" s="223">
        <v>-9999</v>
      </c>
      <c r="BJ583" s="223">
        <v>-9999</v>
      </c>
      <c r="BK583" s="223">
        <v>-9999</v>
      </c>
      <c r="BL583" s="223">
        <v>-9999</v>
      </c>
      <c r="BM583" s="223">
        <v>-9999</v>
      </c>
      <c r="BN583" s="223">
        <v>-9999</v>
      </c>
      <c r="BO583" s="223">
        <v>-9999</v>
      </c>
      <c r="BP583" s="223">
        <v>-9999</v>
      </c>
      <c r="BQ583" s="223">
        <v>-9999</v>
      </c>
      <c r="BR583" s="223">
        <v>-9999</v>
      </c>
      <c r="BS583" s="242">
        <v>-9999</v>
      </c>
      <c r="BT583" s="223">
        <v>-9999</v>
      </c>
      <c r="BU583" s="223">
        <v>-9999</v>
      </c>
      <c r="BV583" s="223">
        <v>-9999</v>
      </c>
      <c r="BW583" s="223"/>
      <c r="BX583" s="223">
        <v>-9999</v>
      </c>
      <c r="BY583" s="223">
        <v>-9999</v>
      </c>
      <c r="BZ583" s="223">
        <v>-9999</v>
      </c>
      <c r="CA583" s="332" t="s">
        <v>797</v>
      </c>
      <c r="CB583" s="247"/>
      <c r="CC583" s="83">
        <v>1</v>
      </c>
      <c r="CD583" s="32">
        <v>5</v>
      </c>
      <c r="CE583" s="292">
        <v>7.6</v>
      </c>
      <c r="CF583" s="292">
        <v>11.2</v>
      </c>
      <c r="CG583" s="84">
        <v>5</v>
      </c>
    </row>
    <row r="584" spans="1:1873" s="23" customFormat="1" x14ac:dyDescent="0.2">
      <c r="A584" s="223" t="s">
        <v>785</v>
      </c>
      <c r="B584" s="223" t="s">
        <v>786</v>
      </c>
      <c r="C584" s="223" t="s">
        <v>1029</v>
      </c>
      <c r="D584" s="223" t="s">
        <v>619</v>
      </c>
      <c r="E584" s="241" t="s">
        <v>1443</v>
      </c>
      <c r="F584" s="241">
        <v>1</v>
      </c>
      <c r="G584" s="223">
        <v>6</v>
      </c>
      <c r="H584" s="242">
        <v>6</v>
      </c>
      <c r="I584" s="223" t="s">
        <v>954</v>
      </c>
      <c r="J584" s="223">
        <v>1981</v>
      </c>
      <c r="K584" s="223" t="s">
        <v>957</v>
      </c>
      <c r="L584" s="223">
        <v>1986</v>
      </c>
      <c r="M584" s="243">
        <v>-9999</v>
      </c>
      <c r="N584" s="223">
        <v>-9999</v>
      </c>
      <c r="O584" s="29"/>
      <c r="P584" s="285">
        <f t="shared" si="48"/>
        <v>54</v>
      </c>
      <c r="Q584" s="223">
        <v>-9999</v>
      </c>
      <c r="R584" s="243"/>
      <c r="S584" s="223"/>
      <c r="T584" s="243">
        <v>9</v>
      </c>
      <c r="U584" s="243">
        <v>1.6</v>
      </c>
      <c r="V584" s="243"/>
      <c r="W584" s="244">
        <f>+P584-P583</f>
        <v>16</v>
      </c>
      <c r="X584" s="223">
        <v>-9999</v>
      </c>
      <c r="Y584" s="223"/>
      <c r="Z584" s="223" t="s">
        <v>75</v>
      </c>
      <c r="AA584" s="245">
        <v>5000</v>
      </c>
      <c r="AB584" s="243">
        <v>0.95</v>
      </c>
      <c r="AC584" s="223">
        <v>-9999</v>
      </c>
      <c r="AD584" s="223">
        <f t="shared" si="40"/>
        <v>400</v>
      </c>
      <c r="AE584" s="404" t="s">
        <v>1952</v>
      </c>
      <c r="AF584" s="223">
        <v>4</v>
      </c>
      <c r="AG584" s="223">
        <v>2</v>
      </c>
      <c r="AH584" s="223" t="s">
        <v>623</v>
      </c>
      <c r="AI584" s="223">
        <v>-9999</v>
      </c>
      <c r="AJ584" s="223">
        <v>-9999</v>
      </c>
      <c r="AK584" s="223" t="s">
        <v>626</v>
      </c>
      <c r="AL584" s="223" t="s">
        <v>653</v>
      </c>
      <c r="AM584" s="223">
        <v>-9999</v>
      </c>
      <c r="AN584" s="223" t="s">
        <v>626</v>
      </c>
      <c r="AO584" s="223">
        <v>-9999</v>
      </c>
      <c r="AP584" s="223" t="s">
        <v>789</v>
      </c>
      <c r="AQ584" s="223" t="s">
        <v>631</v>
      </c>
      <c r="AR584" s="223">
        <v>0</v>
      </c>
      <c r="AS584" s="223">
        <v>-9999</v>
      </c>
      <c r="AT584" s="223">
        <v>-9999</v>
      </c>
      <c r="AU584" s="223">
        <v>0</v>
      </c>
      <c r="AV584" s="223">
        <v>-9999</v>
      </c>
      <c r="AW584" s="223">
        <v>-9999</v>
      </c>
      <c r="AX584" s="223">
        <v>0</v>
      </c>
      <c r="AY584" s="223">
        <v>-9999</v>
      </c>
      <c r="AZ584" s="223">
        <v>-9999</v>
      </c>
      <c r="BA584" s="223" t="s">
        <v>794</v>
      </c>
      <c r="BB584" s="223" t="s">
        <v>626</v>
      </c>
      <c r="BC584" s="223" t="s">
        <v>795</v>
      </c>
      <c r="BD584" s="223" t="s">
        <v>796</v>
      </c>
      <c r="BE584" s="223"/>
      <c r="BF584" s="223"/>
      <c r="BG584" s="223"/>
      <c r="BH584" s="223">
        <v>-9999</v>
      </c>
      <c r="BI584" s="223">
        <v>-9999</v>
      </c>
      <c r="BJ584" s="223">
        <v>-9999</v>
      </c>
      <c r="BK584" s="223">
        <v>-9999</v>
      </c>
      <c r="BL584" s="223">
        <v>-9999</v>
      </c>
      <c r="BM584" s="223">
        <v>-9999</v>
      </c>
      <c r="BN584" s="223">
        <v>-9999</v>
      </c>
      <c r="BO584" s="223">
        <v>-9999</v>
      </c>
      <c r="BP584" s="223">
        <v>-9999</v>
      </c>
      <c r="BQ584" s="223">
        <v>-9999</v>
      </c>
      <c r="BR584" s="223">
        <v>-9999</v>
      </c>
      <c r="BS584" s="242">
        <v>-9999</v>
      </c>
      <c r="BT584" s="223">
        <v>-9999</v>
      </c>
      <c r="BU584" s="223">
        <v>-9999</v>
      </c>
      <c r="BV584" s="223">
        <v>-9999</v>
      </c>
      <c r="BW584" s="223"/>
      <c r="BX584" s="223">
        <v>-9999</v>
      </c>
      <c r="BY584" s="223">
        <v>-9999</v>
      </c>
      <c r="BZ584" s="223">
        <v>-9999</v>
      </c>
      <c r="CA584" s="332" t="s">
        <v>797</v>
      </c>
      <c r="CB584" s="247"/>
      <c r="CC584" s="83">
        <v>1</v>
      </c>
      <c r="CD584" s="32">
        <v>6</v>
      </c>
      <c r="CE584" s="292">
        <v>9</v>
      </c>
      <c r="CF584" s="292">
        <v>16</v>
      </c>
      <c r="CG584" s="84">
        <v>6</v>
      </c>
    </row>
    <row r="585" spans="1:1873" s="199" customFormat="1" ht="12" customHeight="1" x14ac:dyDescent="0.2">
      <c r="A585" s="249" t="s">
        <v>785</v>
      </c>
      <c r="B585" s="249" t="s">
        <v>786</v>
      </c>
      <c r="C585" s="249" t="s">
        <v>1029</v>
      </c>
      <c r="D585" s="249" t="s">
        <v>619</v>
      </c>
      <c r="E585" s="250" t="s">
        <v>1443</v>
      </c>
      <c r="F585" s="250">
        <v>1</v>
      </c>
      <c r="G585" s="249">
        <v>7</v>
      </c>
      <c r="H585" s="251">
        <v>7</v>
      </c>
      <c r="I585" s="249" t="s">
        <v>954</v>
      </c>
      <c r="J585" s="249">
        <v>1981</v>
      </c>
      <c r="K585" s="249" t="s">
        <v>957</v>
      </c>
      <c r="L585" s="249">
        <v>1987</v>
      </c>
      <c r="M585" s="253">
        <v>-9999</v>
      </c>
      <c r="N585" s="249">
        <v>-9999</v>
      </c>
      <c r="O585" s="18"/>
      <c r="P585" s="558">
        <f t="shared" si="48"/>
        <v>64.399999999999991</v>
      </c>
      <c r="Q585" s="249">
        <v>-9999</v>
      </c>
      <c r="R585" s="253"/>
      <c r="S585" s="249"/>
      <c r="T585" s="253">
        <v>9.1999999999999993</v>
      </c>
      <c r="U585" s="253">
        <v>1.6</v>
      </c>
      <c r="V585" s="253"/>
      <c r="W585" s="284">
        <f>+P585-P584</f>
        <v>10.399999999999991</v>
      </c>
      <c r="X585" s="249">
        <v>-9999</v>
      </c>
      <c r="Y585" s="249"/>
      <c r="Z585" s="249" t="s">
        <v>75</v>
      </c>
      <c r="AA585" s="424">
        <v>5000</v>
      </c>
      <c r="AB585" s="253">
        <v>0.92</v>
      </c>
      <c r="AC585" s="249">
        <v>-9999</v>
      </c>
      <c r="AD585" s="223">
        <f t="shared" si="40"/>
        <v>400</v>
      </c>
      <c r="AE585" s="249" t="s">
        <v>1952</v>
      </c>
      <c r="AF585" s="249">
        <v>4</v>
      </c>
      <c r="AG585" s="249">
        <v>2</v>
      </c>
      <c r="AH585" s="249" t="s">
        <v>623</v>
      </c>
      <c r="AI585" s="249">
        <v>-9999</v>
      </c>
      <c r="AJ585" s="249">
        <v>-9999</v>
      </c>
      <c r="AK585" s="249" t="s">
        <v>626</v>
      </c>
      <c r="AL585" s="249" t="s">
        <v>653</v>
      </c>
      <c r="AM585" s="249">
        <v>-9999</v>
      </c>
      <c r="AN585" s="249" t="s">
        <v>626</v>
      </c>
      <c r="AO585" s="249">
        <v>-9999</v>
      </c>
      <c r="AP585" s="249" t="s">
        <v>789</v>
      </c>
      <c r="AQ585" s="249" t="s">
        <v>631</v>
      </c>
      <c r="AR585" s="249">
        <v>0</v>
      </c>
      <c r="AS585" s="249">
        <v>-9999</v>
      </c>
      <c r="AT585" s="249">
        <v>-9999</v>
      </c>
      <c r="AU585" s="249">
        <v>0</v>
      </c>
      <c r="AV585" s="249">
        <v>-9999</v>
      </c>
      <c r="AW585" s="249">
        <v>-9999</v>
      </c>
      <c r="AX585" s="249">
        <v>0</v>
      </c>
      <c r="AY585" s="249">
        <v>-9999</v>
      </c>
      <c r="AZ585" s="249">
        <v>-9999</v>
      </c>
      <c r="BA585" s="249" t="s">
        <v>794</v>
      </c>
      <c r="BB585" s="249" t="s">
        <v>626</v>
      </c>
      <c r="BC585" s="249" t="s">
        <v>795</v>
      </c>
      <c r="BD585" s="249" t="s">
        <v>796</v>
      </c>
      <c r="BE585" s="249"/>
      <c r="BF585" s="249"/>
      <c r="BG585" s="249"/>
      <c r="BH585" s="249">
        <v>-9999</v>
      </c>
      <c r="BI585" s="249">
        <v>-9999</v>
      </c>
      <c r="BJ585" s="249">
        <v>-9999</v>
      </c>
      <c r="BK585" s="249">
        <v>-9999</v>
      </c>
      <c r="BL585" s="249">
        <v>-9999</v>
      </c>
      <c r="BM585" s="249">
        <v>-9999</v>
      </c>
      <c r="BN585" s="249">
        <v>-9999</v>
      </c>
      <c r="BO585" s="249">
        <v>-9999</v>
      </c>
      <c r="BP585" s="249">
        <v>-9999</v>
      </c>
      <c r="BQ585" s="249">
        <v>-9999</v>
      </c>
      <c r="BR585" s="249">
        <v>-9999</v>
      </c>
      <c r="BS585" s="251">
        <v>-9999</v>
      </c>
      <c r="BT585" s="249">
        <v>-9999</v>
      </c>
      <c r="BU585" s="249">
        <v>-9999</v>
      </c>
      <c r="BV585" s="249">
        <v>-9999</v>
      </c>
      <c r="BW585" s="249"/>
      <c r="BX585" s="249">
        <v>-9999</v>
      </c>
      <c r="BY585" s="249">
        <v>-9999</v>
      </c>
      <c r="BZ585" s="249">
        <v>-9999</v>
      </c>
      <c r="CA585" s="331" t="s">
        <v>797</v>
      </c>
      <c r="CB585" s="254"/>
      <c r="CC585" s="200">
        <v>1</v>
      </c>
      <c r="CD585" s="193">
        <v>7</v>
      </c>
      <c r="CE585" s="395">
        <v>9.1999999999999993</v>
      </c>
      <c r="CF585" s="99">
        <v>10.399999999999991</v>
      </c>
      <c r="CG585" s="195">
        <v>7</v>
      </c>
      <c r="CH585" s="437" t="s">
        <v>1757</v>
      </c>
      <c r="CI585" s="13"/>
      <c r="CJ585" s="13"/>
      <c r="CK585" s="13"/>
      <c r="CL585" s="13"/>
      <c r="CM585" s="13"/>
      <c r="CN585" s="13"/>
      <c r="CO585" s="13"/>
      <c r="CP585" s="13"/>
      <c r="CQ585" s="13"/>
      <c r="CR585" s="13"/>
      <c r="CS585" s="13"/>
      <c r="CT585" s="13"/>
      <c r="CU585" s="13"/>
      <c r="CV585" s="13"/>
      <c r="CW585" s="13"/>
      <c r="CX585" s="13"/>
      <c r="CY585" s="13"/>
      <c r="CZ585" s="13"/>
      <c r="DA585" s="13"/>
      <c r="DB585" s="13"/>
      <c r="DC585" s="13"/>
      <c r="DD585" s="13"/>
      <c r="DE585" s="13"/>
      <c r="DF585" s="13"/>
      <c r="DG585" s="13"/>
      <c r="DH585" s="13"/>
      <c r="DI585" s="13"/>
      <c r="DJ585" s="13"/>
      <c r="DK585" s="13"/>
      <c r="DL585" s="13"/>
      <c r="DM585" s="13"/>
      <c r="DN585" s="13"/>
      <c r="DO585" s="13"/>
      <c r="DP585" s="13"/>
      <c r="DQ585" s="13"/>
      <c r="DR585" s="13"/>
      <c r="DS585" s="13"/>
      <c r="DT585" s="13"/>
      <c r="DU585" s="13"/>
      <c r="DV585" s="13"/>
      <c r="DW585" s="13"/>
      <c r="DX585" s="13"/>
      <c r="DY585" s="13"/>
      <c r="DZ585" s="13"/>
      <c r="EA585" s="13"/>
      <c r="EB585" s="13"/>
      <c r="EC585" s="13"/>
      <c r="ED585" s="13"/>
      <c r="EE585" s="13"/>
      <c r="EF585" s="13"/>
      <c r="EG585" s="13"/>
      <c r="EH585" s="13"/>
      <c r="EI585" s="13"/>
      <c r="EJ585" s="13"/>
      <c r="EK585" s="13"/>
      <c r="EL585" s="13"/>
      <c r="EM585" s="13"/>
      <c r="EN585" s="13"/>
      <c r="EO585" s="13"/>
      <c r="EP585" s="13"/>
      <c r="EQ585" s="13"/>
      <c r="ER585" s="13"/>
      <c r="ES585" s="13"/>
      <c r="ET585" s="13"/>
      <c r="EU585" s="13"/>
      <c r="EV585" s="13"/>
      <c r="EW585" s="13"/>
      <c r="EX585" s="13"/>
      <c r="EY585" s="13"/>
      <c r="EZ585" s="13"/>
      <c r="FA585" s="13"/>
      <c r="FB585" s="13"/>
      <c r="FC585" s="13"/>
      <c r="FD585" s="13"/>
      <c r="FE585" s="13"/>
      <c r="FF585" s="13"/>
      <c r="FG585" s="13"/>
      <c r="FH585" s="13"/>
      <c r="FI585" s="13"/>
      <c r="FJ585" s="13"/>
      <c r="FK585" s="13"/>
      <c r="FL585" s="13"/>
      <c r="FM585" s="13"/>
      <c r="FN585" s="13"/>
      <c r="FO585" s="13"/>
      <c r="FP585" s="13"/>
      <c r="FQ585" s="13"/>
      <c r="FR585" s="13"/>
      <c r="FS585" s="13"/>
      <c r="FT585" s="13"/>
      <c r="FU585" s="13"/>
      <c r="FV585" s="13"/>
      <c r="FW585" s="13"/>
      <c r="FX585" s="13"/>
      <c r="FY585" s="13"/>
      <c r="FZ585" s="13"/>
      <c r="GA585" s="13"/>
      <c r="GB585" s="13"/>
      <c r="GC585" s="13"/>
      <c r="GD585" s="13"/>
      <c r="GE585" s="13"/>
      <c r="GF585" s="13"/>
      <c r="GG585" s="13"/>
      <c r="GH585" s="13"/>
      <c r="GI585" s="13"/>
      <c r="GJ585" s="13"/>
      <c r="GK585" s="13"/>
      <c r="GL585" s="13"/>
      <c r="GM585" s="13"/>
      <c r="GN585" s="13"/>
      <c r="GO585" s="13"/>
      <c r="GP585" s="13"/>
      <c r="GQ585" s="13"/>
      <c r="GR585" s="13"/>
      <c r="GS585" s="13"/>
      <c r="GT585" s="13"/>
      <c r="GU585" s="13"/>
      <c r="GV585" s="13"/>
      <c r="GW585" s="13"/>
      <c r="GX585" s="13"/>
      <c r="GY585" s="13"/>
      <c r="GZ585" s="13"/>
      <c r="HA585" s="13"/>
      <c r="HB585" s="13"/>
      <c r="HC585" s="13"/>
      <c r="HD585" s="13"/>
      <c r="HE585" s="13"/>
      <c r="HF585" s="13"/>
      <c r="HG585" s="13"/>
      <c r="HH585" s="13"/>
      <c r="HI585" s="13"/>
      <c r="HJ585" s="13"/>
      <c r="HK585" s="13"/>
      <c r="HL585" s="13"/>
      <c r="HM585" s="13"/>
      <c r="HN585" s="13"/>
      <c r="HO585" s="13"/>
      <c r="HP585" s="13"/>
      <c r="HQ585" s="13"/>
      <c r="HR585" s="13"/>
      <c r="HS585" s="13"/>
      <c r="HT585" s="13"/>
      <c r="HU585" s="13"/>
      <c r="HV585" s="13"/>
      <c r="HW585" s="13"/>
      <c r="HX585" s="13"/>
      <c r="HY585" s="13"/>
      <c r="HZ585" s="13"/>
      <c r="IA585" s="13"/>
      <c r="IB585" s="13"/>
      <c r="IC585" s="13"/>
      <c r="ID585" s="13"/>
      <c r="IE585" s="13"/>
      <c r="IF585" s="13"/>
      <c r="IG585" s="13"/>
      <c r="IH585" s="13"/>
      <c r="II585" s="13"/>
      <c r="IJ585" s="13"/>
      <c r="IK585" s="13"/>
      <c r="IL585" s="13"/>
      <c r="IM585" s="13"/>
      <c r="IN585" s="13"/>
      <c r="IO585" s="13"/>
      <c r="IP585" s="13"/>
      <c r="IQ585" s="13"/>
      <c r="IR585" s="13"/>
      <c r="IS585" s="13"/>
      <c r="IT585" s="13"/>
      <c r="IU585" s="13"/>
      <c r="IV585" s="13"/>
      <c r="IW585" s="13"/>
      <c r="IX585" s="13"/>
      <c r="IY585" s="13"/>
      <c r="IZ585" s="13"/>
      <c r="JA585" s="13"/>
      <c r="JB585" s="13"/>
      <c r="JC585" s="13"/>
      <c r="JD585" s="13"/>
      <c r="JE585" s="13"/>
      <c r="JF585" s="13"/>
      <c r="JG585" s="13"/>
      <c r="JH585" s="13"/>
      <c r="JI585" s="13"/>
      <c r="JJ585" s="13"/>
      <c r="JK585" s="13"/>
      <c r="JL585" s="13"/>
      <c r="JM585" s="13"/>
      <c r="JN585" s="13"/>
      <c r="JO585" s="13"/>
      <c r="JP585" s="13"/>
      <c r="JQ585" s="13"/>
      <c r="JR585" s="13"/>
      <c r="JS585" s="13"/>
      <c r="JT585" s="13"/>
      <c r="JU585" s="13"/>
      <c r="JV585" s="13"/>
      <c r="JW585" s="13"/>
      <c r="JX585" s="13"/>
      <c r="JY585" s="13"/>
      <c r="JZ585" s="13"/>
      <c r="KA585" s="13"/>
      <c r="KB585" s="13"/>
      <c r="KC585" s="13"/>
      <c r="KD585" s="13"/>
      <c r="KE585" s="13"/>
      <c r="KF585" s="13"/>
      <c r="KG585" s="13"/>
      <c r="KH585" s="13"/>
      <c r="KI585" s="13"/>
      <c r="KJ585" s="13"/>
      <c r="KK585" s="13"/>
      <c r="KL585" s="13"/>
      <c r="KM585" s="13"/>
      <c r="KN585" s="13"/>
      <c r="KO585" s="13"/>
      <c r="KP585" s="13"/>
      <c r="KQ585" s="13"/>
      <c r="KR585" s="13"/>
      <c r="KS585" s="13"/>
      <c r="KT585" s="13"/>
      <c r="KU585" s="13"/>
      <c r="KV585" s="13"/>
      <c r="KW585" s="13"/>
      <c r="KX585" s="13"/>
      <c r="KY585" s="13"/>
      <c r="KZ585" s="13"/>
      <c r="LA585" s="13"/>
      <c r="LB585" s="13"/>
      <c r="LC585" s="13"/>
      <c r="LD585" s="13"/>
      <c r="LE585" s="13"/>
      <c r="LF585" s="13"/>
      <c r="LG585" s="13"/>
      <c r="LH585" s="13"/>
      <c r="LI585" s="13"/>
      <c r="LJ585" s="13"/>
      <c r="LK585" s="13"/>
      <c r="LL585" s="13"/>
      <c r="LM585" s="13"/>
      <c r="LN585" s="13"/>
      <c r="LO585" s="13"/>
      <c r="LP585" s="13"/>
      <c r="LQ585" s="13"/>
      <c r="LR585" s="13"/>
      <c r="LS585" s="13"/>
      <c r="LT585" s="13"/>
      <c r="LU585" s="13"/>
      <c r="LV585" s="13"/>
      <c r="LW585" s="13"/>
      <c r="LX585" s="13"/>
      <c r="LY585" s="13"/>
      <c r="LZ585" s="13"/>
      <c r="MA585" s="13"/>
      <c r="MB585" s="13"/>
      <c r="MC585" s="13"/>
      <c r="MD585" s="13"/>
      <c r="ME585" s="13"/>
      <c r="MF585" s="13"/>
      <c r="MG585" s="13"/>
      <c r="MH585" s="13"/>
      <c r="MI585" s="13"/>
      <c r="MJ585" s="13"/>
      <c r="MK585" s="13"/>
      <c r="ML585" s="13"/>
      <c r="MM585" s="13"/>
      <c r="MN585" s="13"/>
      <c r="MO585" s="13"/>
      <c r="MP585" s="13"/>
      <c r="MQ585" s="13"/>
      <c r="MR585" s="13"/>
      <c r="MS585" s="13"/>
      <c r="MT585" s="13"/>
      <c r="MU585" s="13"/>
      <c r="MV585" s="13"/>
      <c r="MW585" s="13"/>
      <c r="MX585" s="13"/>
      <c r="MY585" s="13"/>
      <c r="MZ585" s="13"/>
      <c r="NA585" s="13"/>
      <c r="NB585" s="13"/>
      <c r="NC585" s="13"/>
      <c r="ND585" s="13"/>
      <c r="NE585" s="13"/>
      <c r="NF585" s="13"/>
      <c r="NG585" s="13"/>
      <c r="NH585" s="13"/>
      <c r="NI585" s="13"/>
      <c r="NJ585" s="13"/>
      <c r="NK585" s="13"/>
      <c r="NL585" s="13"/>
      <c r="NM585" s="13"/>
      <c r="NN585" s="13"/>
      <c r="NO585" s="13"/>
      <c r="NP585" s="13"/>
      <c r="NQ585" s="13"/>
      <c r="NR585" s="13"/>
      <c r="NS585" s="13"/>
      <c r="NT585" s="13"/>
      <c r="NU585" s="13"/>
      <c r="NV585" s="13"/>
      <c r="NW585" s="13"/>
      <c r="NX585" s="13"/>
      <c r="NY585" s="13"/>
      <c r="NZ585" s="13"/>
      <c r="OA585" s="13"/>
      <c r="OB585" s="13"/>
      <c r="OC585" s="13"/>
      <c r="OD585" s="13"/>
      <c r="OE585" s="13"/>
      <c r="OF585" s="13"/>
      <c r="OG585" s="13"/>
      <c r="OH585" s="13"/>
      <c r="OI585" s="13"/>
      <c r="OJ585" s="13"/>
      <c r="OK585" s="13"/>
      <c r="OL585" s="13"/>
      <c r="OM585" s="13"/>
      <c r="ON585" s="13"/>
      <c r="OO585" s="13"/>
      <c r="OP585" s="13"/>
      <c r="OQ585" s="13"/>
      <c r="OR585" s="13"/>
      <c r="OS585" s="13"/>
      <c r="OT585" s="13"/>
      <c r="OU585" s="13"/>
      <c r="OV585" s="13"/>
      <c r="OW585" s="13"/>
      <c r="OX585" s="13"/>
      <c r="OY585" s="13"/>
      <c r="OZ585" s="13"/>
      <c r="PA585" s="13"/>
      <c r="PB585" s="13"/>
      <c r="PC585" s="13"/>
      <c r="PD585" s="13"/>
      <c r="PE585" s="13"/>
      <c r="PF585" s="13"/>
      <c r="PG585" s="13"/>
      <c r="PH585" s="13"/>
      <c r="PI585" s="13"/>
      <c r="PJ585" s="13"/>
      <c r="PK585" s="13"/>
      <c r="PL585" s="13"/>
      <c r="PM585" s="13"/>
      <c r="PN585" s="13"/>
      <c r="PO585" s="13"/>
      <c r="PP585" s="13"/>
      <c r="PQ585" s="13"/>
      <c r="PR585" s="13"/>
      <c r="PS585" s="13"/>
      <c r="PT585" s="13"/>
      <c r="PU585" s="13"/>
      <c r="PV585" s="13"/>
      <c r="PW585" s="13"/>
      <c r="PX585" s="13"/>
      <c r="PY585" s="13"/>
      <c r="PZ585" s="13"/>
      <c r="QA585" s="13"/>
      <c r="QB585" s="13"/>
      <c r="QC585" s="13"/>
      <c r="QD585" s="13"/>
      <c r="QE585" s="13"/>
      <c r="QF585" s="13"/>
      <c r="QG585" s="13"/>
      <c r="QH585" s="13"/>
      <c r="QI585" s="13"/>
      <c r="QJ585" s="13"/>
      <c r="QK585" s="13"/>
      <c r="QL585" s="13"/>
      <c r="QM585" s="13"/>
      <c r="QN585" s="13"/>
      <c r="QO585" s="13"/>
      <c r="QP585" s="13"/>
      <c r="QQ585" s="13"/>
      <c r="QR585" s="13"/>
      <c r="QS585" s="13"/>
      <c r="QT585" s="13"/>
      <c r="QU585" s="13"/>
      <c r="QV585" s="13"/>
      <c r="QW585" s="13"/>
      <c r="QX585" s="13"/>
      <c r="QY585" s="13"/>
      <c r="QZ585" s="13"/>
      <c r="RA585" s="13"/>
      <c r="RB585" s="13"/>
      <c r="RC585" s="13"/>
      <c r="RD585" s="13"/>
      <c r="RE585" s="13"/>
      <c r="RF585" s="13"/>
      <c r="RG585" s="13"/>
      <c r="RH585" s="13"/>
      <c r="RI585" s="13"/>
      <c r="RJ585" s="13"/>
      <c r="RK585" s="13"/>
      <c r="RL585" s="13"/>
      <c r="RM585" s="13"/>
      <c r="RN585" s="13"/>
      <c r="RO585" s="13"/>
      <c r="RP585" s="13"/>
      <c r="RQ585" s="13"/>
      <c r="RR585" s="13"/>
      <c r="RS585" s="13"/>
      <c r="RT585" s="13"/>
      <c r="RU585" s="13"/>
      <c r="RV585" s="13"/>
      <c r="RW585" s="13"/>
      <c r="RX585" s="13"/>
      <c r="RY585" s="13"/>
      <c r="RZ585" s="13"/>
      <c r="SA585" s="13"/>
      <c r="SB585" s="13"/>
      <c r="SC585" s="13"/>
      <c r="SD585" s="13"/>
      <c r="SE585" s="13"/>
      <c r="SF585" s="13"/>
      <c r="SG585" s="13"/>
      <c r="SH585" s="13"/>
      <c r="SI585" s="13"/>
      <c r="SJ585" s="13"/>
      <c r="SK585" s="13"/>
      <c r="SL585" s="13"/>
      <c r="SM585" s="13"/>
      <c r="SN585" s="13"/>
      <c r="SO585" s="13"/>
      <c r="SP585" s="13"/>
      <c r="SQ585" s="13"/>
      <c r="SR585" s="13"/>
      <c r="SS585" s="13"/>
      <c r="ST585" s="13"/>
      <c r="SU585" s="13"/>
      <c r="SV585" s="13"/>
      <c r="SW585" s="13"/>
      <c r="SX585" s="13"/>
      <c r="SY585" s="13"/>
      <c r="SZ585" s="13"/>
      <c r="TA585" s="13"/>
      <c r="TB585" s="13"/>
      <c r="TC585" s="13"/>
      <c r="TD585" s="13"/>
      <c r="TE585" s="13"/>
      <c r="TF585" s="13"/>
      <c r="TG585" s="13"/>
      <c r="TH585" s="13"/>
      <c r="TI585" s="13"/>
      <c r="TJ585" s="13"/>
      <c r="TK585" s="13"/>
      <c r="TL585" s="13"/>
      <c r="TM585" s="13"/>
      <c r="TN585" s="13"/>
      <c r="TO585" s="13"/>
      <c r="TP585" s="13"/>
      <c r="TQ585" s="13"/>
      <c r="TR585" s="13"/>
      <c r="TS585" s="13"/>
      <c r="TT585" s="13"/>
      <c r="TU585" s="13"/>
      <c r="TV585" s="13"/>
      <c r="TW585" s="13"/>
      <c r="TX585" s="13"/>
      <c r="TY585" s="13"/>
      <c r="TZ585" s="13"/>
      <c r="UA585" s="13"/>
      <c r="UB585" s="13"/>
      <c r="UC585" s="13"/>
      <c r="UD585" s="13"/>
      <c r="UE585" s="13"/>
      <c r="UF585" s="13"/>
      <c r="UG585" s="13"/>
      <c r="UH585" s="13"/>
      <c r="UI585" s="13"/>
      <c r="UJ585" s="13"/>
      <c r="UK585" s="13"/>
      <c r="UL585" s="13"/>
      <c r="UM585" s="13"/>
      <c r="UN585" s="13"/>
      <c r="UO585" s="13"/>
      <c r="UP585" s="13"/>
      <c r="UQ585" s="13"/>
      <c r="UR585" s="13"/>
      <c r="US585" s="13"/>
      <c r="UT585" s="13"/>
      <c r="UU585" s="13"/>
      <c r="UV585" s="13"/>
      <c r="UW585" s="13"/>
      <c r="UX585" s="13"/>
      <c r="UY585" s="13"/>
      <c r="UZ585" s="13"/>
      <c r="VA585" s="13"/>
      <c r="VB585" s="13"/>
      <c r="VC585" s="13"/>
      <c r="VD585" s="13"/>
      <c r="VE585" s="13"/>
      <c r="VF585" s="13"/>
      <c r="VG585" s="13"/>
      <c r="VH585" s="13"/>
      <c r="VI585" s="13"/>
      <c r="VJ585" s="13"/>
      <c r="VK585" s="13"/>
      <c r="VL585" s="13"/>
      <c r="VM585" s="13"/>
      <c r="VN585" s="13"/>
      <c r="VO585" s="13"/>
      <c r="VP585" s="13"/>
      <c r="VQ585" s="13"/>
      <c r="VR585" s="13"/>
      <c r="VS585" s="13"/>
      <c r="VT585" s="13"/>
      <c r="VU585" s="13"/>
      <c r="VV585" s="13"/>
      <c r="VW585" s="13"/>
      <c r="VX585" s="13"/>
      <c r="VY585" s="13"/>
      <c r="VZ585" s="13"/>
      <c r="WA585" s="13"/>
      <c r="WB585" s="13"/>
      <c r="WC585" s="13"/>
      <c r="WD585" s="13"/>
      <c r="WE585" s="13"/>
      <c r="WF585" s="13"/>
      <c r="WG585" s="13"/>
      <c r="WH585" s="13"/>
      <c r="WI585" s="13"/>
      <c r="WJ585" s="13"/>
      <c r="WK585" s="13"/>
      <c r="WL585" s="13"/>
      <c r="WM585" s="13"/>
      <c r="WN585" s="13"/>
      <c r="WO585" s="13"/>
      <c r="WP585" s="13"/>
      <c r="WQ585" s="13"/>
      <c r="WR585" s="13"/>
      <c r="WS585" s="13"/>
      <c r="WT585" s="13"/>
      <c r="WU585" s="13"/>
      <c r="WV585" s="13"/>
      <c r="WW585" s="13"/>
      <c r="WX585" s="13"/>
      <c r="WY585" s="13"/>
      <c r="WZ585" s="13"/>
      <c r="XA585" s="13"/>
      <c r="XB585" s="13"/>
      <c r="XC585" s="13"/>
      <c r="XD585" s="13"/>
      <c r="XE585" s="13"/>
      <c r="XF585" s="13"/>
      <c r="XG585" s="13"/>
      <c r="XH585" s="13"/>
      <c r="XI585" s="13"/>
      <c r="XJ585" s="13"/>
      <c r="XK585" s="13"/>
      <c r="XL585" s="13"/>
      <c r="XM585" s="13"/>
      <c r="XN585" s="13"/>
      <c r="XO585" s="13"/>
      <c r="XP585" s="13"/>
      <c r="XQ585" s="13"/>
      <c r="XR585" s="13"/>
      <c r="XS585" s="13"/>
      <c r="XT585" s="13"/>
      <c r="XU585" s="13"/>
      <c r="XV585" s="13"/>
      <c r="XW585" s="13"/>
      <c r="XX585" s="13"/>
      <c r="XY585" s="13"/>
      <c r="XZ585" s="13"/>
      <c r="YA585" s="13"/>
      <c r="YB585" s="13"/>
      <c r="YC585" s="13"/>
      <c r="YD585" s="13"/>
      <c r="YE585" s="13"/>
      <c r="YF585" s="13"/>
      <c r="YG585" s="13"/>
      <c r="YH585" s="13"/>
      <c r="YI585" s="13"/>
      <c r="YJ585" s="13"/>
      <c r="YK585" s="13"/>
      <c r="YL585" s="13"/>
      <c r="YM585" s="13"/>
      <c r="YN585" s="13"/>
      <c r="YO585" s="13"/>
      <c r="YP585" s="13"/>
      <c r="YQ585" s="13"/>
      <c r="YR585" s="13"/>
      <c r="YS585" s="13"/>
      <c r="YT585" s="13"/>
      <c r="YU585" s="13"/>
      <c r="YV585" s="13"/>
      <c r="YW585" s="13"/>
      <c r="YX585" s="13"/>
      <c r="YY585" s="13"/>
      <c r="YZ585" s="13"/>
      <c r="ZA585" s="13"/>
      <c r="ZB585" s="13"/>
      <c r="ZC585" s="13"/>
      <c r="ZD585" s="13"/>
      <c r="ZE585" s="13"/>
      <c r="ZF585" s="13"/>
      <c r="ZG585" s="13"/>
      <c r="ZH585" s="13"/>
      <c r="ZI585" s="13"/>
      <c r="ZJ585" s="13"/>
      <c r="ZK585" s="13"/>
      <c r="ZL585" s="13"/>
      <c r="ZM585" s="13"/>
      <c r="ZN585" s="13"/>
      <c r="ZO585" s="13"/>
      <c r="ZP585" s="13"/>
      <c r="ZQ585" s="13"/>
      <c r="ZR585" s="13"/>
      <c r="ZS585" s="13"/>
      <c r="ZT585" s="13"/>
      <c r="ZU585" s="13"/>
      <c r="ZV585" s="13"/>
      <c r="ZW585" s="13"/>
      <c r="ZX585" s="13"/>
      <c r="ZY585" s="13"/>
      <c r="ZZ585" s="13"/>
      <c r="AAA585" s="13"/>
      <c r="AAB585" s="13"/>
      <c r="AAC585" s="13"/>
      <c r="AAD585" s="13"/>
      <c r="AAE585" s="13"/>
      <c r="AAF585" s="13"/>
      <c r="AAG585" s="13"/>
      <c r="AAH585" s="13"/>
      <c r="AAI585" s="13"/>
      <c r="AAJ585" s="13"/>
      <c r="AAK585" s="13"/>
      <c r="AAL585" s="13"/>
      <c r="AAM585" s="13"/>
      <c r="AAN585" s="13"/>
      <c r="AAO585" s="13"/>
      <c r="AAP585" s="13"/>
      <c r="AAQ585" s="13"/>
      <c r="AAR585" s="13"/>
      <c r="AAS585" s="13"/>
      <c r="AAT585" s="13"/>
      <c r="AAU585" s="13"/>
      <c r="AAV585" s="13"/>
      <c r="AAW585" s="13"/>
      <c r="AAX585" s="13"/>
      <c r="AAY585" s="13"/>
      <c r="AAZ585" s="13"/>
      <c r="ABA585" s="13"/>
      <c r="ABB585" s="13"/>
      <c r="ABC585" s="13"/>
      <c r="ABD585" s="13"/>
      <c r="ABE585" s="13"/>
      <c r="ABF585" s="13"/>
      <c r="ABG585" s="13"/>
      <c r="ABH585" s="13"/>
      <c r="ABI585" s="13"/>
      <c r="ABJ585" s="13"/>
      <c r="ABK585" s="13"/>
      <c r="ABL585" s="13"/>
      <c r="ABM585" s="13"/>
      <c r="ABN585" s="13"/>
      <c r="ABO585" s="13"/>
      <c r="ABP585" s="13"/>
      <c r="ABQ585" s="13"/>
      <c r="ABR585" s="13"/>
      <c r="ABS585" s="13"/>
      <c r="ABT585" s="13"/>
      <c r="ABU585" s="13"/>
      <c r="ABV585" s="13"/>
      <c r="ABW585" s="13"/>
      <c r="ABX585" s="13"/>
      <c r="ABY585" s="13"/>
      <c r="ABZ585" s="13"/>
      <c r="ACA585" s="13"/>
      <c r="ACB585" s="13"/>
      <c r="ACC585" s="13"/>
      <c r="ACD585" s="13"/>
      <c r="ACE585" s="13"/>
      <c r="ACF585" s="13"/>
      <c r="ACG585" s="13"/>
      <c r="ACH585" s="13"/>
      <c r="ACI585" s="13"/>
      <c r="ACJ585" s="13"/>
      <c r="ACK585" s="13"/>
      <c r="ACL585" s="13"/>
      <c r="ACM585" s="13"/>
      <c r="ACN585" s="13"/>
      <c r="ACO585" s="13"/>
      <c r="ACP585" s="13"/>
      <c r="ACQ585" s="13"/>
      <c r="ACR585" s="13"/>
      <c r="ACS585" s="13"/>
      <c r="ACT585" s="13"/>
      <c r="ACU585" s="13"/>
      <c r="ACV585" s="13"/>
      <c r="ACW585" s="13"/>
      <c r="ACX585" s="13"/>
      <c r="ACY585" s="13"/>
      <c r="ACZ585" s="13"/>
      <c r="ADA585" s="13"/>
      <c r="ADB585" s="13"/>
      <c r="ADC585" s="13"/>
      <c r="ADD585" s="13"/>
      <c r="ADE585" s="13"/>
      <c r="ADF585" s="13"/>
      <c r="ADG585" s="13"/>
      <c r="ADH585" s="13"/>
      <c r="ADI585" s="13"/>
      <c r="ADJ585" s="13"/>
      <c r="ADK585" s="13"/>
      <c r="ADL585" s="13"/>
      <c r="ADM585" s="13"/>
      <c r="ADN585" s="13"/>
      <c r="ADO585" s="13"/>
      <c r="ADP585" s="13"/>
      <c r="ADQ585" s="13"/>
      <c r="ADR585" s="13"/>
      <c r="ADS585" s="13"/>
      <c r="ADT585" s="13"/>
      <c r="ADU585" s="13"/>
      <c r="ADV585" s="13"/>
      <c r="ADW585" s="13"/>
      <c r="ADX585" s="13"/>
      <c r="ADY585" s="13"/>
      <c r="ADZ585" s="13"/>
      <c r="AEA585" s="13"/>
      <c r="AEB585" s="13"/>
      <c r="AEC585" s="13"/>
      <c r="AED585" s="13"/>
      <c r="AEE585" s="13"/>
      <c r="AEF585" s="13"/>
      <c r="AEG585" s="13"/>
      <c r="AEH585" s="13"/>
      <c r="AEI585" s="13"/>
      <c r="AEJ585" s="13"/>
      <c r="AEK585" s="13"/>
      <c r="AEL585" s="13"/>
      <c r="AEM585" s="13"/>
      <c r="AEN585" s="13"/>
      <c r="AEO585" s="13"/>
      <c r="AEP585" s="13"/>
      <c r="AEQ585" s="13"/>
      <c r="AER585" s="13"/>
      <c r="AES585" s="13"/>
      <c r="AET585" s="13"/>
      <c r="AEU585" s="13"/>
      <c r="AEV585" s="13"/>
      <c r="AEW585" s="13"/>
      <c r="AEX585" s="13"/>
      <c r="AEY585" s="13"/>
      <c r="AEZ585" s="13"/>
      <c r="AFA585" s="13"/>
      <c r="AFB585" s="13"/>
      <c r="AFC585" s="13"/>
      <c r="AFD585" s="13"/>
      <c r="AFE585" s="13"/>
      <c r="AFF585" s="13"/>
      <c r="AFG585" s="13"/>
      <c r="AFH585" s="13"/>
      <c r="AFI585" s="13"/>
      <c r="AFJ585" s="13"/>
      <c r="AFK585" s="13"/>
      <c r="AFL585" s="13"/>
      <c r="AFM585" s="13"/>
      <c r="AFN585" s="13"/>
      <c r="AFO585" s="13"/>
      <c r="AFP585" s="13"/>
      <c r="AFQ585" s="13"/>
      <c r="AFR585" s="13"/>
      <c r="AFS585" s="13"/>
      <c r="AFT585" s="13"/>
      <c r="AFU585" s="13"/>
      <c r="AFV585" s="13"/>
      <c r="AFW585" s="13"/>
      <c r="AFX585" s="13"/>
      <c r="AFY585" s="13"/>
      <c r="AFZ585" s="13"/>
      <c r="AGA585" s="13"/>
      <c r="AGB585" s="13"/>
      <c r="AGC585" s="13"/>
      <c r="AGD585" s="13"/>
      <c r="AGE585" s="13"/>
      <c r="AGF585" s="13"/>
      <c r="AGG585" s="13"/>
      <c r="AGH585" s="13"/>
      <c r="AGI585" s="13"/>
      <c r="AGJ585" s="13"/>
      <c r="AGK585" s="13"/>
      <c r="AGL585" s="13"/>
      <c r="AGM585" s="13"/>
      <c r="AGN585" s="13"/>
      <c r="AGO585" s="13"/>
      <c r="AGP585" s="13"/>
      <c r="AGQ585" s="13"/>
      <c r="AGR585" s="13"/>
      <c r="AGS585" s="13"/>
      <c r="AGT585" s="13"/>
      <c r="AGU585" s="13"/>
      <c r="AGV585" s="13"/>
      <c r="AGW585" s="13"/>
      <c r="AGX585" s="13"/>
      <c r="AGY585" s="13"/>
      <c r="AGZ585" s="13"/>
      <c r="AHA585" s="13"/>
      <c r="AHB585" s="13"/>
      <c r="AHC585" s="13"/>
      <c r="AHD585" s="13"/>
      <c r="AHE585" s="13"/>
      <c r="AHF585" s="13"/>
      <c r="AHG585" s="13"/>
      <c r="AHH585" s="13"/>
      <c r="AHI585" s="13"/>
      <c r="AHJ585" s="13"/>
      <c r="AHK585" s="13"/>
      <c r="AHL585" s="13"/>
      <c r="AHM585" s="13"/>
      <c r="AHN585" s="13"/>
      <c r="AHO585" s="13"/>
      <c r="AHP585" s="13"/>
      <c r="AHQ585" s="13"/>
      <c r="AHR585" s="13"/>
      <c r="AHS585" s="13"/>
      <c r="AHT585" s="13"/>
      <c r="AHU585" s="13"/>
      <c r="AHV585" s="13"/>
      <c r="AHW585" s="13"/>
      <c r="AHX585" s="13"/>
      <c r="AHY585" s="13"/>
      <c r="AHZ585" s="13"/>
      <c r="AIA585" s="13"/>
      <c r="AIB585" s="13"/>
      <c r="AIC585" s="13"/>
      <c r="AID585" s="13"/>
      <c r="AIE585" s="13"/>
      <c r="AIF585" s="13"/>
      <c r="AIG585" s="13"/>
      <c r="AIH585" s="13"/>
      <c r="AII585" s="13"/>
      <c r="AIJ585" s="13"/>
      <c r="AIK585" s="13"/>
      <c r="AIL585" s="13"/>
      <c r="AIM585" s="13"/>
      <c r="AIN585" s="13"/>
      <c r="AIO585" s="13"/>
      <c r="AIP585" s="13"/>
      <c r="AIQ585" s="13"/>
      <c r="AIR585" s="13"/>
      <c r="AIS585" s="13"/>
      <c r="AIT585" s="13"/>
      <c r="AIU585" s="13"/>
      <c r="AIV585" s="13"/>
      <c r="AIW585" s="13"/>
      <c r="AIX585" s="13"/>
      <c r="AIY585" s="13"/>
      <c r="AIZ585" s="13"/>
      <c r="AJA585" s="13"/>
      <c r="AJB585" s="13"/>
      <c r="AJC585" s="13"/>
      <c r="AJD585" s="13"/>
      <c r="AJE585" s="13"/>
      <c r="AJF585" s="13"/>
      <c r="AJG585" s="13"/>
      <c r="AJH585" s="13"/>
      <c r="AJI585" s="13"/>
      <c r="AJJ585" s="13"/>
      <c r="AJK585" s="13"/>
      <c r="AJL585" s="13"/>
      <c r="AJM585" s="13"/>
      <c r="AJN585" s="13"/>
      <c r="AJO585" s="13"/>
      <c r="AJP585" s="13"/>
      <c r="AJQ585" s="13"/>
      <c r="AJR585" s="13"/>
      <c r="AJS585" s="13"/>
      <c r="AJT585" s="13"/>
      <c r="AJU585" s="13"/>
      <c r="AJV585" s="13"/>
      <c r="AJW585" s="13"/>
      <c r="AJX585" s="13"/>
      <c r="AJY585" s="13"/>
      <c r="AJZ585" s="13"/>
      <c r="AKA585" s="13"/>
      <c r="AKB585" s="13"/>
      <c r="AKC585" s="13"/>
      <c r="AKD585" s="13"/>
      <c r="AKE585" s="13"/>
      <c r="AKF585" s="13"/>
      <c r="AKG585" s="13"/>
      <c r="AKH585" s="13"/>
      <c r="AKI585" s="13"/>
      <c r="AKJ585" s="13"/>
      <c r="AKK585" s="13"/>
      <c r="AKL585" s="13"/>
      <c r="AKM585" s="13"/>
      <c r="AKN585" s="13"/>
      <c r="AKO585" s="13"/>
      <c r="AKP585" s="13"/>
      <c r="AKQ585" s="13"/>
      <c r="AKR585" s="13"/>
      <c r="AKS585" s="13"/>
      <c r="AKT585" s="13"/>
      <c r="AKU585" s="13"/>
      <c r="AKV585" s="13"/>
      <c r="AKW585" s="13"/>
      <c r="AKX585" s="13"/>
      <c r="AKY585" s="13"/>
      <c r="AKZ585" s="13"/>
      <c r="ALA585" s="13"/>
      <c r="ALB585" s="13"/>
      <c r="ALC585" s="13"/>
      <c r="ALD585" s="13"/>
      <c r="ALE585" s="13"/>
      <c r="ALF585" s="13"/>
      <c r="ALG585" s="13"/>
      <c r="ALH585" s="13"/>
      <c r="ALI585" s="13"/>
      <c r="ALJ585" s="13"/>
      <c r="ALK585" s="13"/>
      <c r="ALL585" s="13"/>
      <c r="ALM585" s="13"/>
      <c r="ALN585" s="13"/>
      <c r="ALO585" s="13"/>
      <c r="ALP585" s="13"/>
      <c r="ALQ585" s="13"/>
      <c r="ALR585" s="13"/>
      <c r="ALS585" s="13"/>
      <c r="ALT585" s="13"/>
      <c r="ALU585" s="13"/>
      <c r="ALV585" s="13"/>
      <c r="ALW585" s="13"/>
      <c r="ALX585" s="13"/>
      <c r="ALY585" s="13"/>
      <c r="ALZ585" s="13"/>
      <c r="AMA585" s="13"/>
      <c r="AMB585" s="13"/>
      <c r="AMC585" s="13"/>
      <c r="AMD585" s="13"/>
      <c r="AME585" s="13"/>
      <c r="AMF585" s="13"/>
      <c r="AMG585" s="13"/>
      <c r="AMH585" s="13"/>
      <c r="AMI585" s="13"/>
      <c r="AMJ585" s="13"/>
      <c r="AMK585" s="13"/>
      <c r="AML585" s="13"/>
      <c r="AMM585" s="13"/>
      <c r="AMN585" s="13"/>
      <c r="AMO585" s="13"/>
      <c r="AMP585" s="13"/>
      <c r="AMQ585" s="13"/>
      <c r="AMR585" s="13"/>
      <c r="AMS585" s="13"/>
      <c r="AMT585" s="13"/>
      <c r="AMU585" s="13"/>
      <c r="AMV585" s="13"/>
      <c r="AMW585" s="13"/>
      <c r="AMX585" s="13"/>
      <c r="AMY585" s="13"/>
      <c r="AMZ585" s="13"/>
      <c r="ANA585" s="13"/>
      <c r="ANB585" s="13"/>
      <c r="ANC585" s="13"/>
      <c r="AND585" s="13"/>
      <c r="ANE585" s="13"/>
      <c r="ANF585" s="13"/>
      <c r="ANG585" s="13"/>
      <c r="ANH585" s="13"/>
      <c r="ANI585" s="13"/>
      <c r="ANJ585" s="13"/>
      <c r="ANK585" s="13"/>
      <c r="ANL585" s="13"/>
      <c r="ANM585" s="13"/>
      <c r="ANN585" s="13"/>
      <c r="ANO585" s="13"/>
      <c r="ANP585" s="13"/>
      <c r="ANQ585" s="13"/>
      <c r="ANR585" s="13"/>
      <c r="ANS585" s="13"/>
      <c r="ANT585" s="13"/>
      <c r="ANU585" s="13"/>
      <c r="ANV585" s="13"/>
      <c r="ANW585" s="13"/>
      <c r="ANX585" s="13"/>
      <c r="ANY585" s="13"/>
      <c r="ANZ585" s="13"/>
      <c r="AOA585" s="13"/>
      <c r="AOB585" s="13"/>
      <c r="AOC585" s="13"/>
      <c r="AOD585" s="13"/>
      <c r="AOE585" s="13"/>
      <c r="AOF585" s="13"/>
      <c r="AOG585" s="13"/>
      <c r="AOH585" s="13"/>
      <c r="AOI585" s="13"/>
      <c r="AOJ585" s="13"/>
      <c r="AOK585" s="13"/>
      <c r="AOL585" s="13"/>
      <c r="AOM585" s="13"/>
      <c r="AON585" s="13"/>
      <c r="AOO585" s="13"/>
      <c r="AOP585" s="13"/>
      <c r="AOQ585" s="13"/>
      <c r="AOR585" s="13"/>
      <c r="AOS585" s="13"/>
      <c r="AOT585" s="13"/>
      <c r="AOU585" s="13"/>
      <c r="AOV585" s="13"/>
      <c r="AOW585" s="13"/>
      <c r="AOX585" s="13"/>
      <c r="AOY585" s="13"/>
      <c r="AOZ585" s="13"/>
      <c r="APA585" s="13"/>
      <c r="APB585" s="13"/>
      <c r="APC585" s="13"/>
      <c r="APD585" s="13"/>
      <c r="APE585" s="13"/>
      <c r="APF585" s="13"/>
      <c r="APG585" s="13"/>
      <c r="APH585" s="13"/>
      <c r="API585" s="13"/>
      <c r="APJ585" s="13"/>
      <c r="APK585" s="13"/>
      <c r="APL585" s="13"/>
      <c r="APM585" s="13"/>
      <c r="APN585" s="13"/>
      <c r="APO585" s="13"/>
      <c r="APP585" s="13"/>
      <c r="APQ585" s="13"/>
      <c r="APR585" s="13"/>
      <c r="APS585" s="13"/>
      <c r="APT585" s="13"/>
      <c r="APU585" s="13"/>
      <c r="APV585" s="13"/>
      <c r="APW585" s="13"/>
      <c r="APX585" s="13"/>
      <c r="APY585" s="13"/>
      <c r="APZ585" s="13"/>
      <c r="AQA585" s="13"/>
      <c r="AQB585" s="13"/>
      <c r="AQC585" s="13"/>
      <c r="AQD585" s="13"/>
      <c r="AQE585" s="13"/>
      <c r="AQF585" s="13"/>
      <c r="AQG585" s="13"/>
      <c r="AQH585" s="13"/>
      <c r="AQI585" s="13"/>
      <c r="AQJ585" s="13"/>
      <c r="AQK585" s="13"/>
      <c r="AQL585" s="13"/>
      <c r="AQM585" s="13"/>
      <c r="AQN585" s="13"/>
      <c r="AQO585" s="13"/>
      <c r="AQP585" s="13"/>
      <c r="AQQ585" s="13"/>
      <c r="AQR585" s="13"/>
      <c r="AQS585" s="13"/>
      <c r="AQT585" s="13"/>
      <c r="AQU585" s="13"/>
      <c r="AQV585" s="13"/>
      <c r="AQW585" s="13"/>
      <c r="AQX585" s="13"/>
      <c r="AQY585" s="13"/>
      <c r="AQZ585" s="13"/>
      <c r="ARA585" s="13"/>
      <c r="ARB585" s="13"/>
      <c r="ARC585" s="13"/>
      <c r="ARD585" s="13"/>
      <c r="ARE585" s="13"/>
      <c r="ARF585" s="13"/>
      <c r="ARG585" s="13"/>
      <c r="ARH585" s="13"/>
      <c r="ARI585" s="13"/>
      <c r="ARJ585" s="13"/>
      <c r="ARK585" s="13"/>
      <c r="ARL585" s="13"/>
      <c r="ARM585" s="13"/>
      <c r="ARN585" s="13"/>
      <c r="ARO585" s="13"/>
      <c r="ARP585" s="13"/>
      <c r="ARQ585" s="13"/>
      <c r="ARR585" s="13"/>
      <c r="ARS585" s="13"/>
      <c r="ART585" s="13"/>
      <c r="ARU585" s="13"/>
      <c r="ARV585" s="13"/>
      <c r="ARW585" s="13"/>
      <c r="ARX585" s="13"/>
      <c r="ARY585" s="13"/>
      <c r="ARZ585" s="13"/>
      <c r="ASA585" s="13"/>
      <c r="ASB585" s="13"/>
      <c r="ASC585" s="13"/>
      <c r="ASD585" s="13"/>
      <c r="ASE585" s="13"/>
      <c r="ASF585" s="13"/>
      <c r="ASG585" s="13"/>
      <c r="ASH585" s="13"/>
      <c r="ASI585" s="13"/>
      <c r="ASJ585" s="13"/>
      <c r="ASK585" s="13"/>
      <c r="ASL585" s="13"/>
      <c r="ASM585" s="13"/>
      <c r="ASN585" s="13"/>
      <c r="ASO585" s="13"/>
      <c r="ASP585" s="13"/>
      <c r="ASQ585" s="13"/>
      <c r="ASR585" s="13"/>
      <c r="ASS585" s="13"/>
      <c r="AST585" s="13"/>
      <c r="ASU585" s="13"/>
      <c r="ASV585" s="13"/>
      <c r="ASW585" s="13"/>
      <c r="ASX585" s="13"/>
      <c r="ASY585" s="13"/>
      <c r="ASZ585" s="13"/>
      <c r="ATA585" s="13"/>
      <c r="ATB585" s="13"/>
      <c r="ATC585" s="13"/>
      <c r="ATD585" s="13"/>
      <c r="ATE585" s="13"/>
      <c r="ATF585" s="13"/>
      <c r="ATG585" s="13"/>
      <c r="ATH585" s="13"/>
      <c r="ATI585" s="13"/>
      <c r="ATJ585" s="13"/>
      <c r="ATK585" s="13"/>
      <c r="ATL585" s="13"/>
      <c r="ATM585" s="13"/>
      <c r="ATN585" s="13"/>
      <c r="ATO585" s="13"/>
      <c r="ATP585" s="13"/>
      <c r="ATQ585" s="13"/>
      <c r="ATR585" s="13"/>
      <c r="ATS585" s="13"/>
      <c r="ATT585" s="13"/>
      <c r="ATU585" s="13"/>
      <c r="ATV585" s="13"/>
      <c r="ATW585" s="13"/>
      <c r="ATX585" s="13"/>
      <c r="ATY585" s="13"/>
      <c r="ATZ585" s="13"/>
      <c r="AUA585" s="13"/>
      <c r="AUB585" s="13"/>
      <c r="AUC585" s="13"/>
      <c r="AUD585" s="13"/>
      <c r="AUE585" s="13"/>
      <c r="AUF585" s="13"/>
      <c r="AUG585" s="13"/>
      <c r="AUH585" s="13"/>
      <c r="AUI585" s="13"/>
      <c r="AUJ585" s="13"/>
      <c r="AUK585" s="13"/>
      <c r="AUL585" s="13"/>
      <c r="AUM585" s="13"/>
      <c r="AUN585" s="13"/>
      <c r="AUO585" s="13"/>
      <c r="AUP585" s="13"/>
      <c r="AUQ585" s="13"/>
      <c r="AUR585" s="13"/>
      <c r="AUS585" s="13"/>
      <c r="AUT585" s="13"/>
      <c r="AUU585" s="13"/>
      <c r="AUV585" s="13"/>
      <c r="AUW585" s="13"/>
      <c r="AUX585" s="13"/>
      <c r="AUY585" s="13"/>
      <c r="AUZ585" s="13"/>
      <c r="AVA585" s="13"/>
      <c r="AVB585" s="13"/>
      <c r="AVC585" s="13"/>
      <c r="AVD585" s="13"/>
      <c r="AVE585" s="13"/>
      <c r="AVF585" s="13"/>
      <c r="AVG585" s="13"/>
      <c r="AVH585" s="13"/>
      <c r="AVI585" s="13"/>
      <c r="AVJ585" s="13"/>
      <c r="AVK585" s="13"/>
      <c r="AVL585" s="13"/>
      <c r="AVM585" s="13"/>
      <c r="AVN585" s="13"/>
      <c r="AVO585" s="13"/>
      <c r="AVP585" s="13"/>
      <c r="AVQ585" s="13"/>
      <c r="AVR585" s="13"/>
      <c r="AVS585" s="13"/>
      <c r="AVT585" s="13"/>
      <c r="AVU585" s="13"/>
      <c r="AVV585" s="13"/>
      <c r="AVW585" s="13"/>
      <c r="AVX585" s="13"/>
      <c r="AVY585" s="13"/>
      <c r="AVZ585" s="13"/>
      <c r="AWA585" s="13"/>
      <c r="AWB585" s="13"/>
      <c r="AWC585" s="13"/>
      <c r="AWD585" s="13"/>
      <c r="AWE585" s="13"/>
      <c r="AWF585" s="13"/>
      <c r="AWG585" s="13"/>
      <c r="AWH585" s="13"/>
      <c r="AWI585" s="13"/>
      <c r="AWJ585" s="13"/>
      <c r="AWK585" s="13"/>
      <c r="AWL585" s="13"/>
      <c r="AWM585" s="13"/>
      <c r="AWN585" s="13"/>
      <c r="AWO585" s="13"/>
      <c r="AWP585" s="13"/>
      <c r="AWQ585" s="13"/>
      <c r="AWR585" s="13"/>
      <c r="AWS585" s="13"/>
      <c r="AWT585" s="13"/>
      <c r="AWU585" s="13"/>
      <c r="AWV585" s="13"/>
      <c r="AWW585" s="13"/>
      <c r="AWX585" s="13"/>
      <c r="AWY585" s="13"/>
      <c r="AWZ585" s="13"/>
      <c r="AXA585" s="13"/>
      <c r="AXB585" s="13"/>
      <c r="AXC585" s="13"/>
      <c r="AXD585" s="13"/>
      <c r="AXE585" s="13"/>
      <c r="AXF585" s="13"/>
      <c r="AXG585" s="13"/>
      <c r="AXH585" s="13"/>
      <c r="AXI585" s="13"/>
      <c r="AXJ585" s="13"/>
      <c r="AXK585" s="13"/>
      <c r="AXL585" s="13"/>
      <c r="AXM585" s="13"/>
      <c r="AXN585" s="13"/>
      <c r="AXO585" s="13"/>
      <c r="AXP585" s="13"/>
      <c r="AXQ585" s="13"/>
      <c r="AXR585" s="13"/>
      <c r="AXS585" s="13"/>
      <c r="AXT585" s="13"/>
      <c r="AXU585" s="13"/>
      <c r="AXV585" s="13"/>
      <c r="AXW585" s="13"/>
      <c r="AXX585" s="13"/>
      <c r="AXY585" s="13"/>
      <c r="AXZ585" s="13"/>
      <c r="AYA585" s="13"/>
      <c r="AYB585" s="13"/>
      <c r="AYC585" s="13"/>
      <c r="AYD585" s="13"/>
      <c r="AYE585" s="13"/>
      <c r="AYF585" s="13"/>
      <c r="AYG585" s="13"/>
      <c r="AYH585" s="13"/>
      <c r="AYI585" s="13"/>
      <c r="AYJ585" s="13"/>
      <c r="AYK585" s="13"/>
      <c r="AYL585" s="13"/>
      <c r="AYM585" s="13"/>
      <c r="AYN585" s="13"/>
      <c r="AYO585" s="13"/>
      <c r="AYP585" s="13"/>
      <c r="AYQ585" s="13"/>
      <c r="AYR585" s="13"/>
      <c r="AYS585" s="13"/>
      <c r="AYT585" s="13"/>
      <c r="AYU585" s="13"/>
      <c r="AYV585" s="13"/>
      <c r="AYW585" s="13"/>
      <c r="AYX585" s="13"/>
      <c r="AYY585" s="13"/>
      <c r="AYZ585" s="13"/>
      <c r="AZA585" s="13"/>
      <c r="AZB585" s="13"/>
      <c r="AZC585" s="13"/>
      <c r="AZD585" s="13"/>
      <c r="AZE585" s="13"/>
      <c r="AZF585" s="13"/>
      <c r="AZG585" s="13"/>
      <c r="AZH585" s="13"/>
      <c r="AZI585" s="13"/>
      <c r="AZJ585" s="13"/>
      <c r="AZK585" s="13"/>
      <c r="AZL585" s="13"/>
      <c r="AZM585" s="13"/>
      <c r="AZN585" s="13"/>
      <c r="AZO585" s="13"/>
      <c r="AZP585" s="13"/>
      <c r="AZQ585" s="13"/>
      <c r="AZR585" s="13"/>
      <c r="AZS585" s="13"/>
      <c r="AZT585" s="13"/>
      <c r="AZU585" s="13"/>
      <c r="AZV585" s="13"/>
      <c r="AZW585" s="13"/>
      <c r="AZX585" s="13"/>
      <c r="AZY585" s="13"/>
      <c r="AZZ585" s="13"/>
      <c r="BAA585" s="13"/>
      <c r="BAB585" s="13"/>
      <c r="BAC585" s="13"/>
      <c r="BAD585" s="13"/>
      <c r="BAE585" s="13"/>
      <c r="BAF585" s="13"/>
      <c r="BAG585" s="13"/>
      <c r="BAH585" s="13"/>
      <c r="BAI585" s="13"/>
      <c r="BAJ585" s="13"/>
      <c r="BAK585" s="13"/>
      <c r="BAL585" s="13"/>
      <c r="BAM585" s="13"/>
      <c r="BAN585" s="13"/>
      <c r="BAO585" s="13"/>
      <c r="BAP585" s="13"/>
      <c r="BAQ585" s="13"/>
      <c r="BAR585" s="13"/>
      <c r="BAS585" s="13"/>
      <c r="BAT585" s="13"/>
      <c r="BAU585" s="13"/>
      <c r="BAV585" s="13"/>
      <c r="BAW585" s="13"/>
      <c r="BAX585" s="13"/>
      <c r="BAY585" s="13"/>
      <c r="BAZ585" s="13"/>
      <c r="BBA585" s="13"/>
      <c r="BBB585" s="13"/>
      <c r="BBC585" s="13"/>
      <c r="BBD585" s="13"/>
      <c r="BBE585" s="13"/>
      <c r="BBF585" s="13"/>
      <c r="BBG585" s="13"/>
      <c r="BBH585" s="13"/>
      <c r="BBI585" s="13"/>
      <c r="BBJ585" s="13"/>
      <c r="BBK585" s="13"/>
      <c r="BBL585" s="13"/>
      <c r="BBM585" s="13"/>
      <c r="BBN585" s="13"/>
      <c r="BBO585" s="13"/>
      <c r="BBP585" s="13"/>
      <c r="BBQ585" s="13"/>
      <c r="BBR585" s="13"/>
      <c r="BBS585" s="13"/>
      <c r="BBT585" s="13"/>
      <c r="BBU585" s="13"/>
      <c r="BBV585" s="13"/>
      <c r="BBW585" s="13"/>
      <c r="BBX585" s="13"/>
      <c r="BBY585" s="13"/>
      <c r="BBZ585" s="13"/>
      <c r="BCA585" s="13"/>
      <c r="BCB585" s="13"/>
      <c r="BCC585" s="13"/>
      <c r="BCD585" s="13"/>
      <c r="BCE585" s="13"/>
      <c r="BCF585" s="13"/>
      <c r="BCG585" s="13"/>
      <c r="BCH585" s="13"/>
      <c r="BCI585" s="13"/>
      <c r="BCJ585" s="13"/>
      <c r="BCK585" s="13"/>
      <c r="BCL585" s="13"/>
      <c r="BCM585" s="13"/>
      <c r="BCN585" s="13"/>
      <c r="BCO585" s="13"/>
      <c r="BCP585" s="13"/>
      <c r="BCQ585" s="13"/>
      <c r="BCR585" s="13"/>
      <c r="BCS585" s="13"/>
      <c r="BCT585" s="13"/>
      <c r="BCU585" s="13"/>
      <c r="BCV585" s="13"/>
      <c r="BCW585" s="13"/>
      <c r="BCX585" s="13"/>
      <c r="BCY585" s="13"/>
      <c r="BCZ585" s="13"/>
      <c r="BDA585" s="13"/>
      <c r="BDB585" s="13"/>
      <c r="BDC585" s="13"/>
      <c r="BDD585" s="13"/>
      <c r="BDE585" s="13"/>
      <c r="BDF585" s="13"/>
      <c r="BDG585" s="13"/>
      <c r="BDH585" s="13"/>
      <c r="BDI585" s="13"/>
      <c r="BDJ585" s="13"/>
      <c r="BDK585" s="13"/>
      <c r="BDL585" s="13"/>
      <c r="BDM585" s="13"/>
      <c r="BDN585" s="13"/>
      <c r="BDO585" s="13"/>
      <c r="BDP585" s="13"/>
      <c r="BDQ585" s="13"/>
      <c r="BDR585" s="13"/>
      <c r="BDS585" s="13"/>
      <c r="BDT585" s="13"/>
      <c r="BDU585" s="13"/>
      <c r="BDV585" s="13"/>
      <c r="BDW585" s="13"/>
      <c r="BDX585" s="13"/>
      <c r="BDY585" s="13"/>
      <c r="BDZ585" s="13"/>
      <c r="BEA585" s="13"/>
      <c r="BEB585" s="13"/>
      <c r="BEC585" s="13"/>
      <c r="BED585" s="13"/>
      <c r="BEE585" s="13"/>
      <c r="BEF585" s="13"/>
      <c r="BEG585" s="13"/>
      <c r="BEH585" s="13"/>
      <c r="BEI585" s="13"/>
      <c r="BEJ585" s="13"/>
      <c r="BEK585" s="13"/>
      <c r="BEL585" s="13"/>
      <c r="BEM585" s="13"/>
      <c r="BEN585" s="13"/>
      <c r="BEO585" s="13"/>
      <c r="BEP585" s="13"/>
      <c r="BEQ585" s="13"/>
      <c r="BER585" s="13"/>
      <c r="BES585" s="13"/>
      <c r="BET585" s="13"/>
      <c r="BEU585" s="13"/>
      <c r="BEV585" s="13"/>
      <c r="BEW585" s="13"/>
      <c r="BEX585" s="13"/>
      <c r="BEY585" s="13"/>
      <c r="BEZ585" s="13"/>
      <c r="BFA585" s="13"/>
      <c r="BFB585" s="13"/>
      <c r="BFC585" s="13"/>
      <c r="BFD585" s="13"/>
      <c r="BFE585" s="13"/>
      <c r="BFF585" s="13"/>
      <c r="BFG585" s="13"/>
      <c r="BFH585" s="13"/>
      <c r="BFI585" s="13"/>
      <c r="BFJ585" s="13"/>
      <c r="BFK585" s="13"/>
      <c r="BFL585" s="13"/>
      <c r="BFM585" s="13"/>
      <c r="BFN585" s="13"/>
      <c r="BFO585" s="13"/>
      <c r="BFP585" s="13"/>
      <c r="BFQ585" s="13"/>
      <c r="BFR585" s="13"/>
      <c r="BFS585" s="13"/>
      <c r="BFT585" s="13"/>
      <c r="BFU585" s="13"/>
      <c r="BFV585" s="13"/>
      <c r="BFW585" s="13"/>
      <c r="BFX585" s="13"/>
      <c r="BFY585" s="13"/>
      <c r="BFZ585" s="13"/>
      <c r="BGA585" s="13"/>
      <c r="BGB585" s="13"/>
      <c r="BGC585" s="13"/>
      <c r="BGD585" s="13"/>
      <c r="BGE585" s="13"/>
      <c r="BGF585" s="13"/>
      <c r="BGG585" s="13"/>
      <c r="BGH585" s="13"/>
      <c r="BGI585" s="13"/>
      <c r="BGJ585" s="13"/>
      <c r="BGK585" s="13"/>
      <c r="BGL585" s="13"/>
      <c r="BGM585" s="13"/>
      <c r="BGN585" s="13"/>
      <c r="BGO585" s="13"/>
      <c r="BGP585" s="13"/>
      <c r="BGQ585" s="13"/>
      <c r="BGR585" s="13"/>
      <c r="BGS585" s="13"/>
      <c r="BGT585" s="13"/>
      <c r="BGU585" s="13"/>
      <c r="BGV585" s="13"/>
      <c r="BGW585" s="13"/>
      <c r="BGX585" s="13"/>
      <c r="BGY585" s="13"/>
      <c r="BGZ585" s="13"/>
      <c r="BHA585" s="13"/>
      <c r="BHB585" s="13"/>
      <c r="BHC585" s="13"/>
      <c r="BHD585" s="13"/>
      <c r="BHE585" s="13"/>
      <c r="BHF585" s="13"/>
      <c r="BHG585" s="13"/>
      <c r="BHH585" s="13"/>
      <c r="BHI585" s="13"/>
      <c r="BHJ585" s="13"/>
      <c r="BHK585" s="13"/>
      <c r="BHL585" s="13"/>
      <c r="BHM585" s="13"/>
      <c r="BHN585" s="13"/>
      <c r="BHO585" s="13"/>
      <c r="BHP585" s="13"/>
      <c r="BHQ585" s="13"/>
      <c r="BHR585" s="13"/>
      <c r="BHS585" s="13"/>
      <c r="BHT585" s="13"/>
      <c r="BHU585" s="13"/>
      <c r="BHV585" s="13"/>
      <c r="BHW585" s="13"/>
      <c r="BHX585" s="13"/>
      <c r="BHY585" s="13"/>
      <c r="BHZ585" s="13"/>
      <c r="BIA585" s="13"/>
      <c r="BIB585" s="13"/>
      <c r="BIC585" s="13"/>
      <c r="BID585" s="13"/>
      <c r="BIE585" s="13"/>
      <c r="BIF585" s="13"/>
      <c r="BIG585" s="13"/>
      <c r="BIH585" s="13"/>
      <c r="BII585" s="13"/>
      <c r="BIJ585" s="13"/>
      <c r="BIK585" s="13"/>
      <c r="BIL585" s="13"/>
      <c r="BIM585" s="13"/>
      <c r="BIN585" s="13"/>
      <c r="BIO585" s="13"/>
      <c r="BIP585" s="13"/>
      <c r="BIQ585" s="13"/>
      <c r="BIR585" s="13"/>
      <c r="BIS585" s="13"/>
      <c r="BIT585" s="13"/>
      <c r="BIU585" s="13"/>
      <c r="BIV585" s="13"/>
      <c r="BIW585" s="13"/>
      <c r="BIX585" s="13"/>
      <c r="BIY585" s="13"/>
      <c r="BIZ585" s="13"/>
      <c r="BJA585" s="13"/>
      <c r="BJB585" s="13"/>
      <c r="BJC585" s="13"/>
      <c r="BJD585" s="13"/>
      <c r="BJE585" s="13"/>
      <c r="BJF585" s="13"/>
      <c r="BJG585" s="13"/>
      <c r="BJH585" s="13"/>
      <c r="BJI585" s="13"/>
      <c r="BJJ585" s="13"/>
      <c r="BJK585" s="13"/>
      <c r="BJL585" s="13"/>
      <c r="BJM585" s="13"/>
      <c r="BJN585" s="13"/>
      <c r="BJO585" s="13"/>
      <c r="BJP585" s="13"/>
      <c r="BJQ585" s="13"/>
      <c r="BJR585" s="13"/>
      <c r="BJS585" s="13"/>
      <c r="BJT585" s="13"/>
      <c r="BJU585" s="13"/>
      <c r="BJV585" s="13"/>
      <c r="BJW585" s="13"/>
      <c r="BJX585" s="13"/>
      <c r="BJY585" s="13"/>
      <c r="BJZ585" s="13"/>
      <c r="BKA585" s="13"/>
      <c r="BKB585" s="13"/>
      <c r="BKC585" s="13"/>
      <c r="BKD585" s="13"/>
      <c r="BKE585" s="13"/>
      <c r="BKF585" s="13"/>
      <c r="BKG585" s="13"/>
      <c r="BKH585" s="13"/>
      <c r="BKI585" s="13"/>
      <c r="BKJ585" s="13"/>
      <c r="BKK585" s="13"/>
      <c r="BKL585" s="13"/>
      <c r="BKM585" s="13"/>
      <c r="BKN585" s="13"/>
      <c r="BKO585" s="13"/>
      <c r="BKP585" s="13"/>
      <c r="BKQ585" s="13"/>
      <c r="BKR585" s="13"/>
      <c r="BKS585" s="13"/>
      <c r="BKT585" s="13"/>
      <c r="BKU585" s="13"/>
      <c r="BKV585" s="13"/>
      <c r="BKW585" s="13"/>
      <c r="BKX585" s="13"/>
      <c r="BKY585" s="13"/>
      <c r="BKZ585" s="13"/>
      <c r="BLA585" s="13"/>
      <c r="BLB585" s="13"/>
      <c r="BLC585" s="13"/>
      <c r="BLD585" s="13"/>
      <c r="BLE585" s="13"/>
      <c r="BLF585" s="13"/>
      <c r="BLG585" s="13"/>
      <c r="BLH585" s="13"/>
      <c r="BLI585" s="13"/>
      <c r="BLJ585" s="13"/>
      <c r="BLK585" s="13"/>
      <c r="BLL585" s="13"/>
      <c r="BLM585" s="13"/>
      <c r="BLN585" s="13"/>
      <c r="BLO585" s="13"/>
      <c r="BLP585" s="13"/>
      <c r="BLQ585" s="13"/>
      <c r="BLR585" s="13"/>
      <c r="BLS585" s="13"/>
      <c r="BLT585" s="13"/>
      <c r="BLU585" s="13"/>
      <c r="BLV585" s="13"/>
      <c r="BLW585" s="13"/>
      <c r="BLX585" s="13"/>
      <c r="BLY585" s="13"/>
      <c r="BLZ585" s="13"/>
      <c r="BMA585" s="13"/>
      <c r="BMB585" s="13"/>
      <c r="BMC585" s="13"/>
      <c r="BMD585" s="13"/>
      <c r="BME585" s="13"/>
      <c r="BMF585" s="13"/>
      <c r="BMG585" s="13"/>
      <c r="BMH585" s="13"/>
      <c r="BMI585" s="13"/>
      <c r="BMJ585" s="13"/>
      <c r="BMK585" s="13"/>
      <c r="BML585" s="13"/>
      <c r="BMM585" s="13"/>
      <c r="BMN585" s="13"/>
      <c r="BMO585" s="13"/>
      <c r="BMP585" s="13"/>
      <c r="BMQ585" s="13"/>
      <c r="BMR585" s="13"/>
      <c r="BMS585" s="13"/>
      <c r="BMT585" s="13"/>
      <c r="BMU585" s="13"/>
      <c r="BMV585" s="13"/>
      <c r="BMW585" s="13"/>
      <c r="BMX585" s="13"/>
      <c r="BMY585" s="13"/>
      <c r="BMZ585" s="13"/>
      <c r="BNA585" s="13"/>
      <c r="BNB585" s="13"/>
      <c r="BNC585" s="13"/>
      <c r="BND585" s="13"/>
      <c r="BNE585" s="13"/>
      <c r="BNF585" s="13"/>
      <c r="BNG585" s="13"/>
      <c r="BNH585" s="13"/>
      <c r="BNI585" s="13"/>
      <c r="BNJ585" s="13"/>
      <c r="BNK585" s="13"/>
      <c r="BNL585" s="13"/>
      <c r="BNM585" s="13"/>
      <c r="BNN585" s="13"/>
      <c r="BNO585" s="13"/>
      <c r="BNP585" s="13"/>
      <c r="BNQ585" s="13"/>
      <c r="BNR585" s="13"/>
      <c r="BNS585" s="13"/>
      <c r="BNT585" s="13"/>
      <c r="BNU585" s="13"/>
      <c r="BNV585" s="13"/>
      <c r="BNW585" s="13"/>
      <c r="BNX585" s="13"/>
      <c r="BNY585" s="13"/>
      <c r="BNZ585" s="13"/>
      <c r="BOA585" s="13"/>
      <c r="BOB585" s="13"/>
      <c r="BOC585" s="13"/>
      <c r="BOD585" s="13"/>
      <c r="BOE585" s="13"/>
      <c r="BOF585" s="13"/>
      <c r="BOG585" s="13"/>
      <c r="BOH585" s="13"/>
      <c r="BOI585" s="13"/>
      <c r="BOJ585" s="13"/>
      <c r="BOK585" s="13"/>
      <c r="BOL585" s="13"/>
      <c r="BOM585" s="13"/>
      <c r="BON585" s="13"/>
      <c r="BOO585" s="13"/>
      <c r="BOP585" s="13"/>
      <c r="BOQ585" s="13"/>
      <c r="BOR585" s="13"/>
      <c r="BOS585" s="13"/>
      <c r="BOT585" s="13"/>
      <c r="BOU585" s="13"/>
      <c r="BOV585" s="13"/>
      <c r="BOW585" s="13"/>
      <c r="BOX585" s="13"/>
      <c r="BOY585" s="13"/>
      <c r="BOZ585" s="13"/>
      <c r="BPA585" s="13"/>
      <c r="BPB585" s="13"/>
      <c r="BPC585" s="13"/>
      <c r="BPD585" s="13"/>
      <c r="BPE585" s="13"/>
      <c r="BPF585" s="13"/>
      <c r="BPG585" s="13"/>
      <c r="BPH585" s="13"/>
      <c r="BPI585" s="13"/>
      <c r="BPJ585" s="13"/>
      <c r="BPK585" s="13"/>
      <c r="BPL585" s="13"/>
      <c r="BPM585" s="13"/>
      <c r="BPN585" s="13"/>
      <c r="BPO585" s="13"/>
      <c r="BPP585" s="13"/>
      <c r="BPQ585" s="13"/>
      <c r="BPR585" s="13"/>
      <c r="BPS585" s="13"/>
      <c r="BPT585" s="13"/>
      <c r="BPU585" s="13"/>
      <c r="BPV585" s="13"/>
      <c r="BPW585" s="13"/>
      <c r="BPX585" s="13"/>
      <c r="BPY585" s="13"/>
      <c r="BPZ585" s="13"/>
      <c r="BQA585" s="13"/>
      <c r="BQB585" s="13"/>
      <c r="BQC585" s="13"/>
      <c r="BQD585" s="13"/>
      <c r="BQE585" s="13"/>
      <c r="BQF585" s="13"/>
      <c r="BQG585" s="13"/>
      <c r="BQH585" s="13"/>
      <c r="BQI585" s="13"/>
      <c r="BQJ585" s="13"/>
      <c r="BQK585" s="13"/>
      <c r="BQL585" s="13"/>
      <c r="BQM585" s="13"/>
      <c r="BQN585" s="13"/>
      <c r="BQO585" s="13"/>
      <c r="BQP585" s="13"/>
      <c r="BQQ585" s="13"/>
      <c r="BQR585" s="13"/>
      <c r="BQS585" s="13"/>
      <c r="BQT585" s="13"/>
      <c r="BQU585" s="13"/>
      <c r="BQV585" s="13"/>
      <c r="BQW585" s="13"/>
      <c r="BQX585" s="13"/>
      <c r="BQY585" s="13"/>
      <c r="BQZ585" s="13"/>
      <c r="BRA585" s="13"/>
      <c r="BRB585" s="13"/>
      <c r="BRC585" s="13"/>
      <c r="BRD585" s="13"/>
      <c r="BRE585" s="13"/>
      <c r="BRF585" s="13"/>
      <c r="BRG585" s="13"/>
      <c r="BRH585" s="13"/>
      <c r="BRI585" s="13"/>
      <c r="BRJ585" s="13"/>
      <c r="BRK585" s="13"/>
      <c r="BRL585" s="13"/>
      <c r="BRM585" s="13"/>
      <c r="BRN585" s="13"/>
      <c r="BRO585" s="13"/>
      <c r="BRP585" s="13"/>
      <c r="BRQ585" s="13"/>
      <c r="BRR585" s="13"/>
      <c r="BRS585" s="13"/>
      <c r="BRT585" s="13"/>
      <c r="BRU585" s="13"/>
      <c r="BRV585" s="13"/>
      <c r="BRW585" s="13"/>
      <c r="BRX585" s="13"/>
      <c r="BRY585" s="13"/>
      <c r="BRZ585" s="13"/>
      <c r="BSA585" s="13"/>
      <c r="BSB585" s="13"/>
      <c r="BSC585" s="13"/>
      <c r="BSD585" s="13"/>
      <c r="BSE585" s="13"/>
      <c r="BSF585" s="13"/>
      <c r="BSG585" s="13"/>
      <c r="BSH585" s="13"/>
      <c r="BSI585" s="13"/>
      <c r="BSJ585" s="13"/>
      <c r="BSK585" s="13"/>
      <c r="BSL585" s="13"/>
      <c r="BSM585" s="13"/>
      <c r="BSN585" s="13"/>
      <c r="BSO585" s="13"/>
      <c r="BSP585" s="13"/>
      <c r="BSQ585" s="13"/>
      <c r="BSR585" s="13"/>
      <c r="BSS585" s="13"/>
      <c r="BST585" s="13"/>
      <c r="BSU585" s="13"/>
      <c r="BSV585" s="13"/>
      <c r="BSW585" s="13"/>
      <c r="BSX585" s="13"/>
      <c r="BSY585" s="13"/>
      <c r="BSZ585" s="13"/>
      <c r="BTA585" s="13"/>
    </row>
    <row r="586" spans="1:1873" s="23" customFormat="1" x14ac:dyDescent="0.2">
      <c r="A586" s="223" t="s">
        <v>785</v>
      </c>
      <c r="B586" s="223" t="s">
        <v>786</v>
      </c>
      <c r="C586" s="223" t="s">
        <v>1029</v>
      </c>
      <c r="D586" s="223" t="s">
        <v>619</v>
      </c>
      <c r="E586" s="241" t="s">
        <v>1443</v>
      </c>
      <c r="F586" s="241">
        <v>1</v>
      </c>
      <c r="G586" s="223">
        <v>8</v>
      </c>
      <c r="H586" s="242">
        <v>8</v>
      </c>
      <c r="I586" s="223" t="s">
        <v>954</v>
      </c>
      <c r="J586" s="223">
        <v>1981</v>
      </c>
      <c r="K586" s="223" t="s">
        <v>957</v>
      </c>
      <c r="L586" s="223">
        <v>1988</v>
      </c>
      <c r="M586" s="243">
        <v>-9999</v>
      </c>
      <c r="N586" s="223">
        <v>-9999</v>
      </c>
      <c r="O586" s="29"/>
      <c r="P586" s="285">
        <f t="shared" si="48"/>
        <v>53.6</v>
      </c>
      <c r="Q586" s="223">
        <v>-9999</v>
      </c>
      <c r="R586" s="243"/>
      <c r="S586" s="223"/>
      <c r="T586" s="243">
        <v>6.7</v>
      </c>
      <c r="U586" s="243">
        <v>1.8</v>
      </c>
      <c r="V586" s="243"/>
      <c r="W586" s="244">
        <f>+P586-P585</f>
        <v>-10.79999999999999</v>
      </c>
      <c r="X586" s="223">
        <v>-9999</v>
      </c>
      <c r="Y586" s="223"/>
      <c r="Z586" s="223" t="s">
        <v>75</v>
      </c>
      <c r="AA586" s="245">
        <v>5000</v>
      </c>
      <c r="AB586" s="243">
        <v>0.79</v>
      </c>
      <c r="AC586" s="223">
        <v>-9999</v>
      </c>
      <c r="AD586" s="223">
        <f t="shared" si="40"/>
        <v>400</v>
      </c>
      <c r="AE586" s="404" t="s">
        <v>1952</v>
      </c>
      <c r="AF586" s="223">
        <v>4</v>
      </c>
      <c r="AG586" s="223">
        <v>2</v>
      </c>
      <c r="AH586" s="223" t="s">
        <v>623</v>
      </c>
      <c r="AI586" s="223">
        <v>-9999</v>
      </c>
      <c r="AJ586" s="223">
        <v>-9999</v>
      </c>
      <c r="AK586" s="223" t="s">
        <v>626</v>
      </c>
      <c r="AL586" s="223" t="s">
        <v>653</v>
      </c>
      <c r="AM586" s="223">
        <v>-9999</v>
      </c>
      <c r="AN586" s="223" t="s">
        <v>626</v>
      </c>
      <c r="AO586" s="223">
        <v>-9999</v>
      </c>
      <c r="AP586" s="223" t="s">
        <v>789</v>
      </c>
      <c r="AQ586" s="223" t="s">
        <v>631</v>
      </c>
      <c r="AR586" s="223">
        <v>0</v>
      </c>
      <c r="AS586" s="223">
        <v>-9999</v>
      </c>
      <c r="AT586" s="223">
        <v>-9999</v>
      </c>
      <c r="AU586" s="223">
        <v>0</v>
      </c>
      <c r="AV586" s="223">
        <v>-9999</v>
      </c>
      <c r="AW586" s="223">
        <v>-9999</v>
      </c>
      <c r="AX586" s="223">
        <v>0</v>
      </c>
      <c r="AY586" s="223">
        <v>-9999</v>
      </c>
      <c r="AZ586" s="223">
        <v>-9999</v>
      </c>
      <c r="BA586" s="223" t="s">
        <v>794</v>
      </c>
      <c r="BB586" s="223" t="s">
        <v>626</v>
      </c>
      <c r="BC586" s="223" t="s">
        <v>795</v>
      </c>
      <c r="BD586" s="223" t="s">
        <v>796</v>
      </c>
      <c r="BE586" s="223"/>
      <c r="BF586" s="223"/>
      <c r="BG586" s="223"/>
      <c r="BH586" s="223">
        <v>-9999</v>
      </c>
      <c r="BI586" s="223">
        <v>-9999</v>
      </c>
      <c r="BJ586" s="223">
        <v>-9999</v>
      </c>
      <c r="BK586" s="223">
        <v>-9999</v>
      </c>
      <c r="BL586" s="223">
        <v>-9999</v>
      </c>
      <c r="BM586" s="223">
        <v>-9999</v>
      </c>
      <c r="BN586" s="223">
        <v>-9999</v>
      </c>
      <c r="BO586" s="223">
        <v>-9999</v>
      </c>
      <c r="BP586" s="223">
        <v>-9999</v>
      </c>
      <c r="BQ586" s="223">
        <v>-9999</v>
      </c>
      <c r="BR586" s="223">
        <v>-9999</v>
      </c>
      <c r="BS586" s="242">
        <v>-9999</v>
      </c>
      <c r="BT586" s="223">
        <v>-9999</v>
      </c>
      <c r="BU586" s="223">
        <v>-9999</v>
      </c>
      <c r="BV586" s="223">
        <v>-9999</v>
      </c>
      <c r="BW586" s="223"/>
      <c r="BX586" s="223">
        <v>-9999</v>
      </c>
      <c r="BY586" s="223">
        <v>-9999</v>
      </c>
      <c r="BZ586" s="223">
        <v>-9999</v>
      </c>
      <c r="CA586" s="332" t="s">
        <v>797</v>
      </c>
      <c r="CB586" s="247"/>
      <c r="CC586" s="83">
        <v>1</v>
      </c>
      <c r="CD586" s="32">
        <v>8</v>
      </c>
      <c r="CE586" s="292">
        <v>6.7</v>
      </c>
      <c r="CF586" s="292">
        <v>-10.79999999999999</v>
      </c>
      <c r="CG586" s="84">
        <v>8</v>
      </c>
    </row>
    <row r="587" spans="1:1873" s="23" customFormat="1" x14ac:dyDescent="0.2">
      <c r="A587" s="223"/>
      <c r="B587" s="223"/>
      <c r="C587" s="223"/>
      <c r="D587" s="223"/>
      <c r="E587" s="241"/>
      <c r="F587" s="241"/>
      <c r="G587" s="223"/>
      <c r="H587" s="242"/>
      <c r="I587" s="223"/>
      <c r="J587" s="223"/>
      <c r="K587" s="223"/>
      <c r="L587" s="223"/>
      <c r="M587" s="243"/>
      <c r="N587" s="223"/>
      <c r="O587" s="29"/>
      <c r="P587" s="243"/>
      <c r="Q587" s="223"/>
      <c r="R587" s="243"/>
      <c r="S587" s="223"/>
      <c r="T587" s="243"/>
      <c r="U587" s="243"/>
      <c r="V587" s="243"/>
      <c r="W587" s="243"/>
      <c r="X587" s="223"/>
      <c r="Y587" s="223"/>
      <c r="Z587" s="223"/>
      <c r="AA587" s="245"/>
      <c r="AB587" s="243"/>
      <c r="AC587" s="223"/>
      <c r="AD587" s="223"/>
      <c r="AE587" s="223"/>
      <c r="AF587" s="223"/>
      <c r="AG587" s="223"/>
      <c r="AH587" s="223"/>
      <c r="AI587" s="223"/>
      <c r="AJ587" s="223"/>
      <c r="AK587" s="223"/>
      <c r="AL587" s="223"/>
      <c r="AM587" s="223"/>
      <c r="AN587" s="223"/>
      <c r="AO587" s="223"/>
      <c r="AP587" s="223"/>
      <c r="AQ587" s="223"/>
      <c r="AR587" s="223"/>
      <c r="AS587" s="223"/>
      <c r="AT587" s="223"/>
      <c r="AU587" s="223"/>
      <c r="AV587" s="223"/>
      <c r="AW587" s="223"/>
      <c r="AX587" s="223"/>
      <c r="AY587" s="223"/>
      <c r="AZ587" s="223"/>
      <c r="BA587" s="223"/>
      <c r="BB587" s="223"/>
      <c r="BC587" s="223"/>
      <c r="BD587" s="223"/>
      <c r="BE587" s="223"/>
      <c r="BF587" s="223"/>
      <c r="BG587" s="223"/>
      <c r="BH587" s="223"/>
      <c r="BI587" s="223"/>
      <c r="BJ587" s="223"/>
      <c r="BK587" s="223"/>
      <c r="BL587" s="223"/>
      <c r="BM587" s="223"/>
      <c r="BN587" s="223"/>
      <c r="BO587" s="223"/>
      <c r="BP587" s="223"/>
      <c r="BQ587" s="223"/>
      <c r="BR587" s="223"/>
      <c r="BS587" s="242"/>
      <c r="BT587" s="223"/>
      <c r="BU587" s="223"/>
      <c r="BV587" s="223"/>
      <c r="BW587" s="223"/>
      <c r="BX587" s="223"/>
      <c r="BY587" s="223"/>
      <c r="BZ587" s="223"/>
      <c r="CA587" s="332"/>
      <c r="CB587" s="247"/>
      <c r="CC587" s="83"/>
      <c r="CD587" s="32"/>
      <c r="CE587" s="342" t="s">
        <v>1576</v>
      </c>
      <c r="CF587" s="342" t="s">
        <v>1575</v>
      </c>
      <c r="CG587" s="84"/>
    </row>
    <row r="588" spans="1:1873" s="23" customFormat="1" x14ac:dyDescent="0.2">
      <c r="A588" s="223" t="s">
        <v>785</v>
      </c>
      <c r="B588" s="223" t="s">
        <v>786</v>
      </c>
      <c r="C588" s="223" t="s">
        <v>287</v>
      </c>
      <c r="D588" s="223" t="s">
        <v>619</v>
      </c>
      <c r="E588" s="241" t="s">
        <v>1443</v>
      </c>
      <c r="F588" s="241">
        <v>1</v>
      </c>
      <c r="G588" s="223">
        <v>3</v>
      </c>
      <c r="H588" s="242">
        <v>3</v>
      </c>
      <c r="I588" s="223" t="s">
        <v>954</v>
      </c>
      <c r="J588" s="223">
        <v>1981</v>
      </c>
      <c r="K588" s="223" t="s">
        <v>957</v>
      </c>
      <c r="L588" s="223">
        <v>1983</v>
      </c>
      <c r="M588" s="243">
        <v>-9999</v>
      </c>
      <c r="N588" s="223">
        <v>-9999</v>
      </c>
      <c r="O588" s="29"/>
      <c r="P588" s="285">
        <f t="shared" ref="P588:P593" si="49">+T588*G588</f>
        <v>12</v>
      </c>
      <c r="Q588" s="223">
        <v>-9999</v>
      </c>
      <c r="R588" s="243"/>
      <c r="S588" s="223"/>
      <c r="T588" s="243">
        <v>4</v>
      </c>
      <c r="U588" s="243">
        <v>0.7</v>
      </c>
      <c r="V588" s="243"/>
      <c r="W588" s="243"/>
      <c r="X588" s="223">
        <v>-9999</v>
      </c>
      <c r="Y588" s="223"/>
      <c r="Z588" s="223" t="s">
        <v>74</v>
      </c>
      <c r="AA588" s="248">
        <v>14286</v>
      </c>
      <c r="AB588" s="243">
        <v>1</v>
      </c>
      <c r="AC588" s="223">
        <v>-9999</v>
      </c>
      <c r="AD588" s="223">
        <f t="shared" si="40"/>
        <v>400</v>
      </c>
      <c r="AE588" s="404" t="s">
        <v>1956</v>
      </c>
      <c r="AF588" s="223">
        <v>4</v>
      </c>
      <c r="AG588" s="223">
        <v>2</v>
      </c>
      <c r="AH588" s="223" t="s">
        <v>623</v>
      </c>
      <c r="AI588" s="223">
        <v>-9999</v>
      </c>
      <c r="AJ588" s="223">
        <v>-9999</v>
      </c>
      <c r="AK588" s="223" t="s">
        <v>626</v>
      </c>
      <c r="AL588" s="223" t="s">
        <v>653</v>
      </c>
      <c r="AM588" s="223">
        <v>-9999</v>
      </c>
      <c r="AN588" s="223" t="s">
        <v>631</v>
      </c>
      <c r="AO588" s="223">
        <v>-9999</v>
      </c>
      <c r="AP588" s="223">
        <v>-9999</v>
      </c>
      <c r="AQ588" s="223" t="s">
        <v>631</v>
      </c>
      <c r="AR588" s="223">
        <v>0</v>
      </c>
      <c r="AS588" s="223">
        <v>-9999</v>
      </c>
      <c r="AT588" s="223">
        <v>-9999</v>
      </c>
      <c r="AU588" s="223">
        <v>0</v>
      </c>
      <c r="AV588" s="223">
        <v>-9999</v>
      </c>
      <c r="AW588" s="223">
        <v>-9999</v>
      </c>
      <c r="AX588" s="223">
        <v>0</v>
      </c>
      <c r="AY588" s="223">
        <v>-9999</v>
      </c>
      <c r="AZ588" s="223">
        <v>-9999</v>
      </c>
      <c r="BA588" s="223" t="s">
        <v>794</v>
      </c>
      <c r="BB588" s="223" t="s">
        <v>626</v>
      </c>
      <c r="BC588" s="223" t="s">
        <v>795</v>
      </c>
      <c r="BD588" s="223" t="s">
        <v>796</v>
      </c>
      <c r="BE588" s="223"/>
      <c r="BF588" s="223"/>
      <c r="BG588" s="223"/>
      <c r="BH588" s="223">
        <v>-9999</v>
      </c>
      <c r="BI588" s="223">
        <v>-9999</v>
      </c>
      <c r="BJ588" s="223">
        <v>-9999</v>
      </c>
      <c r="BK588" s="223">
        <v>-9999</v>
      </c>
      <c r="BL588" s="223">
        <v>-9999</v>
      </c>
      <c r="BM588" s="223">
        <v>-9999</v>
      </c>
      <c r="BN588" s="223">
        <v>-9999</v>
      </c>
      <c r="BO588" s="223">
        <v>-9999</v>
      </c>
      <c r="BP588" s="223">
        <v>-9999</v>
      </c>
      <c r="BQ588" s="223">
        <v>-9999</v>
      </c>
      <c r="BR588" s="223">
        <v>-9999</v>
      </c>
      <c r="BS588" s="242">
        <v>-9999</v>
      </c>
      <c r="BT588" s="223">
        <v>-9999</v>
      </c>
      <c r="BU588" s="223">
        <v>-9999</v>
      </c>
      <c r="BV588" s="223">
        <v>-9999</v>
      </c>
      <c r="BW588" s="223"/>
      <c r="BX588" s="223">
        <v>-9999</v>
      </c>
      <c r="BY588" s="223">
        <v>-9999</v>
      </c>
      <c r="BZ588" s="223">
        <v>-9999</v>
      </c>
      <c r="CA588" s="332" t="s">
        <v>797</v>
      </c>
      <c r="CB588" s="247"/>
      <c r="CC588" s="83">
        <v>1</v>
      </c>
      <c r="CD588" s="32">
        <v>3</v>
      </c>
      <c r="CE588" s="292">
        <v>4</v>
      </c>
      <c r="CF588" s="292"/>
      <c r="CG588" s="84">
        <v>3</v>
      </c>
    </row>
    <row r="589" spans="1:1873" s="23" customFormat="1" x14ac:dyDescent="0.2">
      <c r="A589" s="223" t="s">
        <v>785</v>
      </c>
      <c r="B589" s="223" t="s">
        <v>786</v>
      </c>
      <c r="C589" s="223" t="s">
        <v>287</v>
      </c>
      <c r="D589" s="223" t="s">
        <v>619</v>
      </c>
      <c r="E589" s="241" t="s">
        <v>1443</v>
      </c>
      <c r="F589" s="241">
        <v>1</v>
      </c>
      <c r="G589" s="223">
        <v>4</v>
      </c>
      <c r="H589" s="242">
        <v>4</v>
      </c>
      <c r="I589" s="223" t="s">
        <v>954</v>
      </c>
      <c r="J589" s="223">
        <v>1981</v>
      </c>
      <c r="K589" s="223" t="s">
        <v>957</v>
      </c>
      <c r="L589" s="223">
        <v>1984</v>
      </c>
      <c r="M589" s="243">
        <v>-9999</v>
      </c>
      <c r="N589" s="223">
        <v>-9999</v>
      </c>
      <c r="O589" s="29"/>
      <c r="P589" s="285">
        <f t="shared" si="49"/>
        <v>24.4</v>
      </c>
      <c r="Q589" s="223">
        <v>-9999</v>
      </c>
      <c r="R589" s="243"/>
      <c r="S589" s="223"/>
      <c r="T589" s="243">
        <v>6.1</v>
      </c>
      <c r="U589" s="243">
        <v>0.7</v>
      </c>
      <c r="V589" s="243"/>
      <c r="W589" s="244">
        <f>+P589-P588</f>
        <v>12.399999999999999</v>
      </c>
      <c r="X589" s="223">
        <v>-9999</v>
      </c>
      <c r="Y589" s="223"/>
      <c r="Z589" s="223" t="s">
        <v>74</v>
      </c>
      <c r="AA589" s="248">
        <v>14286</v>
      </c>
      <c r="AB589" s="285">
        <v>0.99</v>
      </c>
      <c r="AC589" s="223">
        <v>-9999</v>
      </c>
      <c r="AD589" s="223">
        <f t="shared" si="40"/>
        <v>400</v>
      </c>
      <c r="AE589" s="404" t="s">
        <v>1956</v>
      </c>
      <c r="AF589" s="223">
        <v>4</v>
      </c>
      <c r="AG589" s="223">
        <v>2</v>
      </c>
      <c r="AH589" s="223" t="s">
        <v>623</v>
      </c>
      <c r="AI589" s="223">
        <v>-9999</v>
      </c>
      <c r="AJ589" s="223">
        <v>-9999</v>
      </c>
      <c r="AK589" s="223" t="s">
        <v>626</v>
      </c>
      <c r="AL589" s="223" t="s">
        <v>653</v>
      </c>
      <c r="AM589" s="223">
        <v>-9999</v>
      </c>
      <c r="AN589" s="223" t="s">
        <v>631</v>
      </c>
      <c r="AO589" s="223">
        <v>-9999</v>
      </c>
      <c r="AP589" s="223">
        <v>-9999</v>
      </c>
      <c r="AQ589" s="223" t="s">
        <v>631</v>
      </c>
      <c r="AR589" s="223">
        <v>0</v>
      </c>
      <c r="AS589" s="223">
        <v>-9999</v>
      </c>
      <c r="AT589" s="223">
        <v>-9999</v>
      </c>
      <c r="AU589" s="223">
        <v>0</v>
      </c>
      <c r="AV589" s="223">
        <v>-9999</v>
      </c>
      <c r="AW589" s="223">
        <v>-9999</v>
      </c>
      <c r="AX589" s="223">
        <v>0</v>
      </c>
      <c r="AY589" s="223">
        <v>-9999</v>
      </c>
      <c r="AZ589" s="223">
        <v>-9999</v>
      </c>
      <c r="BA589" s="223" t="s">
        <v>794</v>
      </c>
      <c r="BB589" s="223" t="s">
        <v>626</v>
      </c>
      <c r="BC589" s="223" t="s">
        <v>795</v>
      </c>
      <c r="BD589" s="223" t="s">
        <v>796</v>
      </c>
      <c r="BE589" s="223"/>
      <c r="BF589" s="223"/>
      <c r="BG589" s="223"/>
      <c r="BH589" s="223">
        <v>-9999</v>
      </c>
      <c r="BI589" s="223">
        <v>-9999</v>
      </c>
      <c r="BJ589" s="223">
        <v>-9999</v>
      </c>
      <c r="BK589" s="223">
        <v>-9999</v>
      </c>
      <c r="BL589" s="223">
        <v>-9999</v>
      </c>
      <c r="BM589" s="223">
        <v>-9999</v>
      </c>
      <c r="BN589" s="223">
        <v>-9999</v>
      </c>
      <c r="BO589" s="223">
        <v>-9999</v>
      </c>
      <c r="BP589" s="223">
        <v>-9999</v>
      </c>
      <c r="BQ589" s="223">
        <v>-9999</v>
      </c>
      <c r="BR589" s="223">
        <v>-9999</v>
      </c>
      <c r="BS589" s="242">
        <v>-9999</v>
      </c>
      <c r="BT589" s="223">
        <v>-9999</v>
      </c>
      <c r="BU589" s="223">
        <v>-9999</v>
      </c>
      <c r="BV589" s="223">
        <v>-9999</v>
      </c>
      <c r="BW589" s="223"/>
      <c r="BX589" s="223">
        <v>-9999</v>
      </c>
      <c r="BY589" s="223">
        <v>-9999</v>
      </c>
      <c r="BZ589" s="223">
        <v>-9999</v>
      </c>
      <c r="CA589" s="332" t="s">
        <v>797</v>
      </c>
      <c r="CB589" s="247"/>
      <c r="CC589" s="83">
        <v>1</v>
      </c>
      <c r="CD589" s="32">
        <v>4</v>
      </c>
      <c r="CE589" s="292">
        <v>6.1</v>
      </c>
      <c r="CF589" s="292">
        <v>12.399999999999999</v>
      </c>
      <c r="CG589" s="84">
        <v>4</v>
      </c>
    </row>
    <row r="590" spans="1:1873" s="23" customFormat="1" x14ac:dyDescent="0.2">
      <c r="A590" s="223" t="s">
        <v>785</v>
      </c>
      <c r="B590" s="223" t="s">
        <v>786</v>
      </c>
      <c r="C590" s="223" t="s">
        <v>287</v>
      </c>
      <c r="D590" s="223" t="s">
        <v>619</v>
      </c>
      <c r="E590" s="241" t="s">
        <v>1443</v>
      </c>
      <c r="F590" s="241">
        <v>1</v>
      </c>
      <c r="G590" s="223">
        <v>5</v>
      </c>
      <c r="H590" s="242">
        <v>5</v>
      </c>
      <c r="I590" s="223" t="s">
        <v>954</v>
      </c>
      <c r="J590" s="223">
        <v>1981</v>
      </c>
      <c r="K590" s="223" t="s">
        <v>957</v>
      </c>
      <c r="L590" s="223">
        <v>1985</v>
      </c>
      <c r="M590" s="243">
        <v>-9999</v>
      </c>
      <c r="N590" s="223">
        <v>-9999</v>
      </c>
      <c r="O590" s="29"/>
      <c r="P590" s="285">
        <f t="shared" si="49"/>
        <v>38</v>
      </c>
      <c r="Q590" s="223">
        <v>-9999</v>
      </c>
      <c r="R590" s="243"/>
      <c r="S590" s="223"/>
      <c r="T590" s="243">
        <v>7.6</v>
      </c>
      <c r="U590" s="243">
        <v>0.8</v>
      </c>
      <c r="V590" s="243"/>
      <c r="W590" s="244">
        <f>+P590-P589</f>
        <v>13.600000000000001</v>
      </c>
      <c r="X590" s="223">
        <v>-9999</v>
      </c>
      <c r="Y590" s="223"/>
      <c r="Z590" s="223" t="s">
        <v>74</v>
      </c>
      <c r="AA590" s="248">
        <v>14286</v>
      </c>
      <c r="AB590" s="285">
        <v>0.97</v>
      </c>
      <c r="AC590" s="223">
        <v>-9999</v>
      </c>
      <c r="AD590" s="223">
        <f t="shared" ref="AD590:AD607" si="50">0.04*10000</f>
        <v>400</v>
      </c>
      <c r="AE590" s="404" t="s">
        <v>1956</v>
      </c>
      <c r="AF590" s="223">
        <v>4</v>
      </c>
      <c r="AG590" s="223">
        <v>2</v>
      </c>
      <c r="AH590" s="223" t="s">
        <v>623</v>
      </c>
      <c r="AI590" s="223">
        <v>-9999</v>
      </c>
      <c r="AJ590" s="223">
        <v>-9999</v>
      </c>
      <c r="AK590" s="223" t="s">
        <v>626</v>
      </c>
      <c r="AL590" s="223" t="s">
        <v>653</v>
      </c>
      <c r="AM590" s="223">
        <v>-9999</v>
      </c>
      <c r="AN590" s="223" t="s">
        <v>631</v>
      </c>
      <c r="AO590" s="223">
        <v>-9999</v>
      </c>
      <c r="AP590" s="223">
        <v>-9999</v>
      </c>
      <c r="AQ590" s="223" t="s">
        <v>631</v>
      </c>
      <c r="AR590" s="223">
        <v>0</v>
      </c>
      <c r="AS590" s="223">
        <v>-9999</v>
      </c>
      <c r="AT590" s="223">
        <v>-9999</v>
      </c>
      <c r="AU590" s="223">
        <v>0</v>
      </c>
      <c r="AV590" s="223">
        <v>-9999</v>
      </c>
      <c r="AW590" s="223">
        <v>-9999</v>
      </c>
      <c r="AX590" s="223">
        <v>0</v>
      </c>
      <c r="AY590" s="223">
        <v>-9999</v>
      </c>
      <c r="AZ590" s="223">
        <v>-9999</v>
      </c>
      <c r="BA590" s="223" t="s">
        <v>794</v>
      </c>
      <c r="BB590" s="223" t="s">
        <v>626</v>
      </c>
      <c r="BC590" s="223" t="s">
        <v>795</v>
      </c>
      <c r="BD590" s="223" t="s">
        <v>796</v>
      </c>
      <c r="BE590" s="223"/>
      <c r="BF590" s="223"/>
      <c r="BG590" s="223"/>
      <c r="BH590" s="223">
        <v>-9999</v>
      </c>
      <c r="BI590" s="223">
        <v>-9999</v>
      </c>
      <c r="BJ590" s="223">
        <v>-9999</v>
      </c>
      <c r="BK590" s="223">
        <v>-9999</v>
      </c>
      <c r="BL590" s="223">
        <v>-9999</v>
      </c>
      <c r="BM590" s="223">
        <v>-9999</v>
      </c>
      <c r="BN590" s="223">
        <v>-9999</v>
      </c>
      <c r="BO590" s="223">
        <v>-9999</v>
      </c>
      <c r="BP590" s="223">
        <v>-9999</v>
      </c>
      <c r="BQ590" s="223">
        <v>-9999</v>
      </c>
      <c r="BR590" s="223">
        <v>-9999</v>
      </c>
      <c r="BS590" s="242">
        <v>-9999</v>
      </c>
      <c r="BT590" s="223">
        <v>-9999</v>
      </c>
      <c r="BU590" s="223">
        <v>-9999</v>
      </c>
      <c r="BV590" s="223">
        <v>-9999</v>
      </c>
      <c r="BW590" s="223"/>
      <c r="BX590" s="223">
        <v>-9999</v>
      </c>
      <c r="BY590" s="223">
        <v>-9999</v>
      </c>
      <c r="BZ590" s="223">
        <v>-9999</v>
      </c>
      <c r="CA590" s="332" t="s">
        <v>797</v>
      </c>
      <c r="CB590" s="247"/>
      <c r="CC590" s="83">
        <v>1</v>
      </c>
      <c r="CD590" s="32">
        <v>5</v>
      </c>
      <c r="CE590" s="292">
        <v>7.6</v>
      </c>
      <c r="CF590" s="292">
        <v>13.600000000000001</v>
      </c>
      <c r="CG590" s="84">
        <v>5</v>
      </c>
    </row>
    <row r="591" spans="1:1873" s="23" customFormat="1" x14ac:dyDescent="0.2">
      <c r="A591" s="223" t="s">
        <v>785</v>
      </c>
      <c r="B591" s="223" t="s">
        <v>786</v>
      </c>
      <c r="C591" s="223" t="s">
        <v>287</v>
      </c>
      <c r="D591" s="223" t="s">
        <v>619</v>
      </c>
      <c r="E591" s="241" t="s">
        <v>1443</v>
      </c>
      <c r="F591" s="241">
        <v>1</v>
      </c>
      <c r="G591" s="223">
        <v>6</v>
      </c>
      <c r="H591" s="242">
        <v>6</v>
      </c>
      <c r="I591" s="223" t="s">
        <v>954</v>
      </c>
      <c r="J591" s="223">
        <v>1981</v>
      </c>
      <c r="K591" s="223" t="s">
        <v>957</v>
      </c>
      <c r="L591" s="223">
        <v>1986</v>
      </c>
      <c r="M591" s="243">
        <v>-9999</v>
      </c>
      <c r="N591" s="223">
        <v>-9999</v>
      </c>
      <c r="O591" s="29"/>
      <c r="P591" s="285">
        <f t="shared" si="49"/>
        <v>49.800000000000004</v>
      </c>
      <c r="Q591" s="223">
        <v>-9999</v>
      </c>
      <c r="R591" s="243"/>
      <c r="S591" s="223"/>
      <c r="T591" s="243">
        <v>8.3000000000000007</v>
      </c>
      <c r="U591" s="243">
        <v>0.9</v>
      </c>
      <c r="V591" s="243"/>
      <c r="W591" s="244">
        <f>+P591-P590</f>
        <v>11.800000000000004</v>
      </c>
      <c r="X591" s="223">
        <v>-9999</v>
      </c>
      <c r="Y591" s="223"/>
      <c r="Z591" s="223" t="s">
        <v>74</v>
      </c>
      <c r="AA591" s="248">
        <v>14286</v>
      </c>
      <c r="AB591" s="243">
        <v>0.95</v>
      </c>
      <c r="AC591" s="223">
        <v>-9999</v>
      </c>
      <c r="AD591" s="223">
        <f t="shared" si="50"/>
        <v>400</v>
      </c>
      <c r="AE591" s="404" t="s">
        <v>1956</v>
      </c>
      <c r="AF591" s="223">
        <v>4</v>
      </c>
      <c r="AG591" s="223">
        <v>2</v>
      </c>
      <c r="AH591" s="223" t="s">
        <v>623</v>
      </c>
      <c r="AI591" s="223">
        <v>-9999</v>
      </c>
      <c r="AJ591" s="223">
        <v>-9999</v>
      </c>
      <c r="AK591" s="223" t="s">
        <v>626</v>
      </c>
      <c r="AL591" s="223" t="s">
        <v>653</v>
      </c>
      <c r="AM591" s="223">
        <v>-9999</v>
      </c>
      <c r="AN591" s="223" t="s">
        <v>631</v>
      </c>
      <c r="AO591" s="223">
        <v>-9999</v>
      </c>
      <c r="AP591" s="223">
        <v>-9999</v>
      </c>
      <c r="AQ591" s="223" t="s">
        <v>631</v>
      </c>
      <c r="AR591" s="223">
        <v>0</v>
      </c>
      <c r="AS591" s="223">
        <v>-9999</v>
      </c>
      <c r="AT591" s="223">
        <v>-9999</v>
      </c>
      <c r="AU591" s="223">
        <v>0</v>
      </c>
      <c r="AV591" s="223">
        <v>-9999</v>
      </c>
      <c r="AW591" s="223">
        <v>-9999</v>
      </c>
      <c r="AX591" s="223">
        <v>0</v>
      </c>
      <c r="AY591" s="223">
        <v>-9999</v>
      </c>
      <c r="AZ591" s="223">
        <v>-9999</v>
      </c>
      <c r="BA591" s="223" t="s">
        <v>794</v>
      </c>
      <c r="BB591" s="223" t="s">
        <v>626</v>
      </c>
      <c r="BC591" s="223" t="s">
        <v>795</v>
      </c>
      <c r="BD591" s="223" t="s">
        <v>796</v>
      </c>
      <c r="BE591" s="223"/>
      <c r="BF591" s="223"/>
      <c r="BG591" s="223"/>
      <c r="BH591" s="223">
        <v>-9999</v>
      </c>
      <c r="BI591" s="223">
        <v>-9999</v>
      </c>
      <c r="BJ591" s="223">
        <v>-9999</v>
      </c>
      <c r="BK591" s="223">
        <v>-9999</v>
      </c>
      <c r="BL591" s="223">
        <v>-9999</v>
      </c>
      <c r="BM591" s="223">
        <v>-9999</v>
      </c>
      <c r="BN591" s="223">
        <v>-9999</v>
      </c>
      <c r="BO591" s="223">
        <v>-9999</v>
      </c>
      <c r="BP591" s="223">
        <v>-9999</v>
      </c>
      <c r="BQ591" s="223">
        <v>-9999</v>
      </c>
      <c r="BR591" s="223">
        <v>-9999</v>
      </c>
      <c r="BS591" s="242">
        <v>-9999</v>
      </c>
      <c r="BT591" s="223">
        <v>-9999</v>
      </c>
      <c r="BU591" s="223">
        <v>-9999</v>
      </c>
      <c r="BV591" s="223">
        <v>-9999</v>
      </c>
      <c r="BW591" s="223"/>
      <c r="BX591" s="223">
        <v>-9999</v>
      </c>
      <c r="BY591" s="223">
        <v>-9999</v>
      </c>
      <c r="BZ591" s="223">
        <v>-9999</v>
      </c>
      <c r="CA591" s="332" t="s">
        <v>797</v>
      </c>
      <c r="CB591" s="247"/>
      <c r="CC591" s="83">
        <v>1</v>
      </c>
      <c r="CD591" s="32">
        <v>6</v>
      </c>
      <c r="CE591" s="394">
        <v>8.3000000000000007</v>
      </c>
      <c r="CF591" s="292">
        <v>11.800000000000004</v>
      </c>
      <c r="CG591" s="84">
        <v>6</v>
      </c>
      <c r="CH591" s="477"/>
    </row>
    <row r="592" spans="1:1873" s="23" customFormat="1" x14ac:dyDescent="0.2">
      <c r="A592" s="223" t="s">
        <v>785</v>
      </c>
      <c r="B592" s="223" t="s">
        <v>786</v>
      </c>
      <c r="C592" s="223" t="s">
        <v>287</v>
      </c>
      <c r="D592" s="223" t="s">
        <v>619</v>
      </c>
      <c r="E592" s="241" t="s">
        <v>1443</v>
      </c>
      <c r="F592" s="241">
        <v>1</v>
      </c>
      <c r="G592" s="223">
        <v>7</v>
      </c>
      <c r="H592" s="242">
        <v>7</v>
      </c>
      <c r="I592" s="223" t="s">
        <v>954</v>
      </c>
      <c r="J592" s="223">
        <v>1981</v>
      </c>
      <c r="K592" s="223" t="s">
        <v>957</v>
      </c>
      <c r="L592" s="223">
        <v>1987</v>
      </c>
      <c r="M592" s="243">
        <v>-9999</v>
      </c>
      <c r="N592" s="223">
        <v>-9999</v>
      </c>
      <c r="O592" s="29"/>
      <c r="P592" s="285">
        <f t="shared" si="49"/>
        <v>58.100000000000009</v>
      </c>
      <c r="Q592" s="223">
        <v>-9999</v>
      </c>
      <c r="R592" s="243"/>
      <c r="S592" s="223"/>
      <c r="T592" s="243">
        <v>8.3000000000000007</v>
      </c>
      <c r="U592" s="243">
        <v>1.3</v>
      </c>
      <c r="V592" s="243"/>
      <c r="W592" s="244">
        <f>+P592-P591</f>
        <v>8.3000000000000043</v>
      </c>
      <c r="X592" s="223">
        <v>-9999</v>
      </c>
      <c r="Y592" s="223"/>
      <c r="Z592" s="223" t="s">
        <v>74</v>
      </c>
      <c r="AA592" s="248">
        <v>14286</v>
      </c>
      <c r="AB592" s="243">
        <v>0.92</v>
      </c>
      <c r="AC592" s="223">
        <v>-9999</v>
      </c>
      <c r="AD592" s="223">
        <f t="shared" si="50"/>
        <v>400</v>
      </c>
      <c r="AE592" s="404" t="s">
        <v>1956</v>
      </c>
      <c r="AF592" s="223">
        <v>4</v>
      </c>
      <c r="AG592" s="223">
        <v>2</v>
      </c>
      <c r="AH592" s="223" t="s">
        <v>623</v>
      </c>
      <c r="AI592" s="223">
        <v>-9999</v>
      </c>
      <c r="AJ592" s="223">
        <v>-9999</v>
      </c>
      <c r="AK592" s="223" t="s">
        <v>626</v>
      </c>
      <c r="AL592" s="223" t="s">
        <v>653</v>
      </c>
      <c r="AM592" s="223">
        <v>-9999</v>
      </c>
      <c r="AN592" s="223" t="s">
        <v>631</v>
      </c>
      <c r="AO592" s="223">
        <v>-9999</v>
      </c>
      <c r="AP592" s="223">
        <v>-9999</v>
      </c>
      <c r="AQ592" s="223" t="s">
        <v>631</v>
      </c>
      <c r="AR592" s="223">
        <v>0</v>
      </c>
      <c r="AS592" s="223">
        <v>-9999</v>
      </c>
      <c r="AT592" s="223">
        <v>-9999</v>
      </c>
      <c r="AU592" s="223">
        <v>0</v>
      </c>
      <c r="AV592" s="223">
        <v>-9999</v>
      </c>
      <c r="AW592" s="223">
        <v>-9999</v>
      </c>
      <c r="AX592" s="223">
        <v>0</v>
      </c>
      <c r="AY592" s="223">
        <v>-9999</v>
      </c>
      <c r="AZ592" s="223">
        <v>-9999</v>
      </c>
      <c r="BA592" s="223" t="s">
        <v>794</v>
      </c>
      <c r="BB592" s="223" t="s">
        <v>626</v>
      </c>
      <c r="BC592" s="223" t="s">
        <v>795</v>
      </c>
      <c r="BD592" s="223" t="s">
        <v>796</v>
      </c>
      <c r="BE592" s="223"/>
      <c r="BF592" s="223"/>
      <c r="BG592" s="223"/>
      <c r="BH592" s="223">
        <v>-9999</v>
      </c>
      <c r="BI592" s="223">
        <v>-9999</v>
      </c>
      <c r="BJ592" s="223">
        <v>-9999</v>
      </c>
      <c r="BK592" s="223">
        <v>-9999</v>
      </c>
      <c r="BL592" s="223">
        <v>-9999</v>
      </c>
      <c r="BM592" s="223">
        <v>-9999</v>
      </c>
      <c r="BN592" s="223">
        <v>-9999</v>
      </c>
      <c r="BO592" s="223">
        <v>-9999</v>
      </c>
      <c r="BP592" s="223">
        <v>-9999</v>
      </c>
      <c r="BQ592" s="223">
        <v>-9999</v>
      </c>
      <c r="BR592" s="223">
        <v>-9999</v>
      </c>
      <c r="BS592" s="242">
        <v>-9999</v>
      </c>
      <c r="BT592" s="223">
        <v>-9999</v>
      </c>
      <c r="BU592" s="223">
        <v>-9999</v>
      </c>
      <c r="BV592" s="223">
        <v>-9999</v>
      </c>
      <c r="BW592" s="223"/>
      <c r="BX592" s="223">
        <v>-9999</v>
      </c>
      <c r="BY592" s="223">
        <v>-9999</v>
      </c>
      <c r="BZ592" s="223">
        <v>-9999</v>
      </c>
      <c r="CA592" s="332" t="s">
        <v>797</v>
      </c>
      <c r="CB592" s="247"/>
      <c r="CC592" s="83">
        <v>1</v>
      </c>
      <c r="CD592" s="32">
        <v>7</v>
      </c>
      <c r="CE592" s="292">
        <v>8.3000000000000007</v>
      </c>
      <c r="CF592" s="292">
        <v>8.3000000000000043</v>
      </c>
      <c r="CG592" s="84">
        <v>7</v>
      </c>
    </row>
    <row r="593" spans="1:1873" s="23" customFormat="1" x14ac:dyDescent="0.2">
      <c r="A593" s="223" t="s">
        <v>785</v>
      </c>
      <c r="B593" s="223" t="s">
        <v>786</v>
      </c>
      <c r="C593" s="223" t="s">
        <v>287</v>
      </c>
      <c r="D593" s="223" t="s">
        <v>619</v>
      </c>
      <c r="E593" s="241" t="s">
        <v>1443</v>
      </c>
      <c r="F593" s="241">
        <v>1</v>
      </c>
      <c r="G593" s="223">
        <v>8</v>
      </c>
      <c r="H593" s="242">
        <v>8</v>
      </c>
      <c r="I593" s="223" t="s">
        <v>954</v>
      </c>
      <c r="J593" s="223">
        <v>1981</v>
      </c>
      <c r="K593" s="223" t="s">
        <v>957</v>
      </c>
      <c r="L593" s="223">
        <v>1988</v>
      </c>
      <c r="M593" s="243">
        <v>-9999</v>
      </c>
      <c r="N593" s="223">
        <v>-9999</v>
      </c>
      <c r="O593" s="29"/>
      <c r="P593" s="285">
        <f t="shared" si="49"/>
        <v>57.6</v>
      </c>
      <c r="Q593" s="223">
        <v>-9999</v>
      </c>
      <c r="R593" s="243"/>
      <c r="S593" s="223"/>
      <c r="T593" s="243">
        <v>7.2</v>
      </c>
      <c r="U593" s="243">
        <v>1.3</v>
      </c>
      <c r="V593" s="243"/>
      <c r="W593" s="244">
        <f>+P593-P592</f>
        <v>-0.50000000000000711</v>
      </c>
      <c r="X593" s="223">
        <v>-9999</v>
      </c>
      <c r="Y593" s="223"/>
      <c r="Z593" s="223" t="s">
        <v>74</v>
      </c>
      <c r="AA593" s="248">
        <v>14286</v>
      </c>
      <c r="AB593" s="243">
        <v>0.79</v>
      </c>
      <c r="AC593" s="223">
        <v>-9999</v>
      </c>
      <c r="AD593" s="223">
        <f t="shared" si="50"/>
        <v>400</v>
      </c>
      <c r="AE593" s="404" t="s">
        <v>1956</v>
      </c>
      <c r="AF593" s="223">
        <v>4</v>
      </c>
      <c r="AG593" s="223">
        <v>2</v>
      </c>
      <c r="AH593" s="223" t="s">
        <v>623</v>
      </c>
      <c r="AI593" s="223">
        <v>-9999</v>
      </c>
      <c r="AJ593" s="223">
        <v>-9999</v>
      </c>
      <c r="AK593" s="223" t="s">
        <v>626</v>
      </c>
      <c r="AL593" s="223" t="s">
        <v>653</v>
      </c>
      <c r="AM593" s="223">
        <v>-9999</v>
      </c>
      <c r="AN593" s="223" t="s">
        <v>631</v>
      </c>
      <c r="AO593" s="223">
        <v>-9999</v>
      </c>
      <c r="AP593" s="223">
        <v>-9999</v>
      </c>
      <c r="AQ593" s="223" t="s">
        <v>631</v>
      </c>
      <c r="AR593" s="223">
        <v>0</v>
      </c>
      <c r="AS593" s="223">
        <v>-9999</v>
      </c>
      <c r="AT593" s="223">
        <v>-9999</v>
      </c>
      <c r="AU593" s="223">
        <v>0</v>
      </c>
      <c r="AV593" s="223">
        <v>-9999</v>
      </c>
      <c r="AW593" s="223">
        <v>-9999</v>
      </c>
      <c r="AX593" s="223">
        <v>0</v>
      </c>
      <c r="AY593" s="223">
        <v>-9999</v>
      </c>
      <c r="AZ593" s="223">
        <v>-9999</v>
      </c>
      <c r="BA593" s="223" t="s">
        <v>794</v>
      </c>
      <c r="BB593" s="223" t="s">
        <v>626</v>
      </c>
      <c r="BC593" s="223" t="s">
        <v>795</v>
      </c>
      <c r="BD593" s="223" t="s">
        <v>796</v>
      </c>
      <c r="BE593" s="223"/>
      <c r="BF593" s="223"/>
      <c r="BG593" s="223"/>
      <c r="BH593" s="223">
        <v>-9999</v>
      </c>
      <c r="BI593" s="223">
        <v>-9999</v>
      </c>
      <c r="BJ593" s="223">
        <v>-9999</v>
      </c>
      <c r="BK593" s="223">
        <v>-9999</v>
      </c>
      <c r="BL593" s="223">
        <v>-9999</v>
      </c>
      <c r="BM593" s="223">
        <v>-9999</v>
      </c>
      <c r="BN593" s="223">
        <v>-9999</v>
      </c>
      <c r="BO593" s="223">
        <v>-9999</v>
      </c>
      <c r="BP593" s="223">
        <v>-9999</v>
      </c>
      <c r="BQ593" s="223">
        <v>-9999</v>
      </c>
      <c r="BR593" s="223">
        <v>-9999</v>
      </c>
      <c r="BS593" s="242">
        <v>-9999</v>
      </c>
      <c r="BT593" s="223">
        <v>-9999</v>
      </c>
      <c r="BU593" s="223">
        <v>-9999</v>
      </c>
      <c r="BV593" s="223">
        <v>-9999</v>
      </c>
      <c r="BW593" s="223"/>
      <c r="BX593" s="223">
        <v>-9999</v>
      </c>
      <c r="BY593" s="223">
        <v>-9999</v>
      </c>
      <c r="BZ593" s="223">
        <v>-9999</v>
      </c>
      <c r="CA593" s="332" t="s">
        <v>797</v>
      </c>
      <c r="CB593" s="247"/>
      <c r="CC593" s="83">
        <v>1</v>
      </c>
      <c r="CD593" s="32">
        <v>8</v>
      </c>
      <c r="CE593" s="292">
        <v>7.2</v>
      </c>
      <c r="CF593" s="292">
        <v>-0.50000000000000711</v>
      </c>
      <c r="CG593" s="84">
        <v>8</v>
      </c>
    </row>
    <row r="594" spans="1:1873" s="23" customFormat="1" x14ac:dyDescent="0.2">
      <c r="A594" s="223"/>
      <c r="B594" s="223"/>
      <c r="C594" s="223"/>
      <c r="D594" s="223"/>
      <c r="E594" s="241"/>
      <c r="F594" s="241"/>
      <c r="G594" s="223"/>
      <c r="H594" s="242"/>
      <c r="I594" s="223"/>
      <c r="J594" s="223"/>
      <c r="K594" s="223"/>
      <c r="L594" s="223"/>
      <c r="M594" s="243"/>
      <c r="N594" s="223"/>
      <c r="O594" s="29"/>
      <c r="P594" s="243"/>
      <c r="Q594" s="223"/>
      <c r="R594" s="243"/>
      <c r="S594" s="223"/>
      <c r="T594" s="243"/>
      <c r="U594" s="243"/>
      <c r="V594" s="243"/>
      <c r="W594" s="243"/>
      <c r="X594" s="223"/>
      <c r="Y594" s="223"/>
      <c r="Z594" s="223"/>
      <c r="AA594" s="248"/>
      <c r="AB594" s="243"/>
      <c r="AC594" s="223"/>
      <c r="AD594" s="223"/>
      <c r="AE594" s="223"/>
      <c r="AF594" s="223"/>
      <c r="AG594" s="223"/>
      <c r="AH594" s="223"/>
      <c r="AI594" s="223"/>
      <c r="AJ594" s="223"/>
      <c r="AK594" s="223"/>
      <c r="AL594" s="223"/>
      <c r="AM594" s="223"/>
      <c r="AN594" s="223"/>
      <c r="AO594" s="223"/>
      <c r="AP594" s="223"/>
      <c r="AQ594" s="223"/>
      <c r="AR594" s="223"/>
      <c r="AS594" s="223"/>
      <c r="AT594" s="223"/>
      <c r="AU594" s="223"/>
      <c r="AV594" s="223"/>
      <c r="AW594" s="223"/>
      <c r="AX594" s="223"/>
      <c r="AY594" s="223"/>
      <c r="AZ594" s="223"/>
      <c r="BA594" s="223"/>
      <c r="BB594" s="223"/>
      <c r="BC594" s="223"/>
      <c r="BD594" s="223"/>
      <c r="BE594" s="223"/>
      <c r="BF594" s="223"/>
      <c r="BG594" s="223"/>
      <c r="BH594" s="223"/>
      <c r="BI594" s="223"/>
      <c r="BJ594" s="223"/>
      <c r="BK594" s="223"/>
      <c r="BL594" s="223"/>
      <c r="BM594" s="223"/>
      <c r="BN594" s="223"/>
      <c r="BO594" s="223"/>
      <c r="BP594" s="223"/>
      <c r="BQ594" s="223"/>
      <c r="BR594" s="223"/>
      <c r="BS594" s="242"/>
      <c r="BT594" s="223"/>
      <c r="BU594" s="223"/>
      <c r="BV594" s="223"/>
      <c r="BW594" s="223"/>
      <c r="BX594" s="223"/>
      <c r="BY594" s="223"/>
      <c r="BZ594" s="223"/>
      <c r="CA594" s="332"/>
      <c r="CB594" s="247"/>
      <c r="CC594" s="83"/>
      <c r="CD594" s="32"/>
      <c r="CE594" s="342" t="s">
        <v>1576</v>
      </c>
      <c r="CF594" s="342" t="s">
        <v>1575</v>
      </c>
      <c r="CG594" s="84"/>
    </row>
    <row r="595" spans="1:1873" s="23" customFormat="1" x14ac:dyDescent="0.2">
      <c r="A595" s="223" t="s">
        <v>785</v>
      </c>
      <c r="B595" s="223" t="s">
        <v>786</v>
      </c>
      <c r="C595" s="223" t="s">
        <v>288</v>
      </c>
      <c r="D595" s="223" t="s">
        <v>619</v>
      </c>
      <c r="E595" s="241" t="s">
        <v>1443</v>
      </c>
      <c r="F595" s="241">
        <v>1</v>
      </c>
      <c r="G595" s="223">
        <v>3</v>
      </c>
      <c r="H595" s="242">
        <v>3</v>
      </c>
      <c r="I595" s="223" t="s">
        <v>954</v>
      </c>
      <c r="J595" s="223">
        <v>1981</v>
      </c>
      <c r="K595" s="223" t="s">
        <v>957</v>
      </c>
      <c r="L595" s="223">
        <v>1983</v>
      </c>
      <c r="M595" s="243">
        <v>-9999</v>
      </c>
      <c r="N595" s="223">
        <v>-9999</v>
      </c>
      <c r="O595" s="29"/>
      <c r="P595" s="285">
        <f t="shared" ref="P595:P600" si="51">+T595*G595</f>
        <v>6.6000000000000005</v>
      </c>
      <c r="Q595" s="223">
        <v>-9999</v>
      </c>
      <c r="R595" s="243"/>
      <c r="S595" s="223"/>
      <c r="T595" s="243">
        <v>2.2000000000000002</v>
      </c>
      <c r="U595" s="243">
        <v>0.7</v>
      </c>
      <c r="V595" s="243"/>
      <c r="W595" s="243"/>
      <c r="X595" s="223">
        <v>-9999</v>
      </c>
      <c r="Y595" s="223"/>
      <c r="Z595" s="223" t="s">
        <v>793</v>
      </c>
      <c r="AA595" s="248">
        <v>10000</v>
      </c>
      <c r="AB595" s="243">
        <v>1</v>
      </c>
      <c r="AC595" s="223">
        <v>-9999</v>
      </c>
      <c r="AD595" s="223">
        <f t="shared" si="50"/>
        <v>400</v>
      </c>
      <c r="AE595" s="404" t="s">
        <v>1957</v>
      </c>
      <c r="AF595" s="223">
        <v>4</v>
      </c>
      <c r="AG595" s="223">
        <v>2</v>
      </c>
      <c r="AH595" s="223" t="s">
        <v>623</v>
      </c>
      <c r="AI595" s="223">
        <v>-9999</v>
      </c>
      <c r="AJ595" s="223">
        <v>-9999</v>
      </c>
      <c r="AK595" s="223" t="s">
        <v>626</v>
      </c>
      <c r="AL595" s="223" t="s">
        <v>653</v>
      </c>
      <c r="AM595" s="223">
        <v>-9999</v>
      </c>
      <c r="AN595" s="223" t="s">
        <v>631</v>
      </c>
      <c r="AO595" s="223">
        <v>-9999</v>
      </c>
      <c r="AP595" s="223">
        <v>-9999</v>
      </c>
      <c r="AQ595" s="223" t="s">
        <v>631</v>
      </c>
      <c r="AR595" s="223">
        <v>0</v>
      </c>
      <c r="AS595" s="223">
        <v>-9999</v>
      </c>
      <c r="AT595" s="223">
        <v>-9999</v>
      </c>
      <c r="AU595" s="223">
        <v>0</v>
      </c>
      <c r="AV595" s="223">
        <v>-9999</v>
      </c>
      <c r="AW595" s="223">
        <v>-9999</v>
      </c>
      <c r="AX595" s="223">
        <v>0</v>
      </c>
      <c r="AY595" s="223">
        <v>-9999</v>
      </c>
      <c r="AZ595" s="223">
        <v>-9999</v>
      </c>
      <c r="BA595" s="223" t="s">
        <v>794</v>
      </c>
      <c r="BB595" s="223" t="s">
        <v>626</v>
      </c>
      <c r="BC595" s="223" t="s">
        <v>795</v>
      </c>
      <c r="BD595" s="223" t="s">
        <v>796</v>
      </c>
      <c r="BE595" s="223"/>
      <c r="BF595" s="223"/>
      <c r="BG595" s="223"/>
      <c r="BH595" s="223">
        <v>-9999</v>
      </c>
      <c r="BI595" s="223">
        <v>-9999</v>
      </c>
      <c r="BJ595" s="223">
        <v>-9999</v>
      </c>
      <c r="BK595" s="223">
        <v>-9999</v>
      </c>
      <c r="BL595" s="223">
        <v>-9999</v>
      </c>
      <c r="BM595" s="223">
        <v>-9999</v>
      </c>
      <c r="BN595" s="223">
        <v>-9999</v>
      </c>
      <c r="BO595" s="223">
        <v>-9999</v>
      </c>
      <c r="BP595" s="223">
        <v>-9999</v>
      </c>
      <c r="BQ595" s="223">
        <v>-9999</v>
      </c>
      <c r="BR595" s="223">
        <v>-9999</v>
      </c>
      <c r="BS595" s="242">
        <v>-9999</v>
      </c>
      <c r="BT595" s="223">
        <v>-9999</v>
      </c>
      <c r="BU595" s="223">
        <v>-9999</v>
      </c>
      <c r="BV595" s="223">
        <v>-9999</v>
      </c>
      <c r="BW595" s="223"/>
      <c r="BX595" s="223">
        <v>-9999</v>
      </c>
      <c r="BY595" s="223">
        <v>-9999</v>
      </c>
      <c r="BZ595" s="223">
        <v>-9999</v>
      </c>
      <c r="CA595" s="332" t="s">
        <v>797</v>
      </c>
      <c r="CB595" s="247"/>
      <c r="CC595" s="83">
        <v>1</v>
      </c>
      <c r="CD595" s="32">
        <v>3</v>
      </c>
      <c r="CE595" s="292">
        <v>2.2000000000000002</v>
      </c>
      <c r="CF595" s="292"/>
      <c r="CG595" s="84">
        <v>3</v>
      </c>
    </row>
    <row r="596" spans="1:1873" s="23" customFormat="1" x14ac:dyDescent="0.2">
      <c r="A596" s="223" t="s">
        <v>785</v>
      </c>
      <c r="B596" s="223" t="s">
        <v>786</v>
      </c>
      <c r="C596" s="223" t="s">
        <v>288</v>
      </c>
      <c r="D596" s="223" t="s">
        <v>619</v>
      </c>
      <c r="E596" s="241" t="s">
        <v>1443</v>
      </c>
      <c r="F596" s="241">
        <v>1</v>
      </c>
      <c r="G596" s="223">
        <v>4</v>
      </c>
      <c r="H596" s="242">
        <v>4</v>
      </c>
      <c r="I596" s="223" t="s">
        <v>954</v>
      </c>
      <c r="J596" s="223">
        <v>1981</v>
      </c>
      <c r="K596" s="223" t="s">
        <v>957</v>
      </c>
      <c r="L596" s="223">
        <v>1984</v>
      </c>
      <c r="M596" s="243">
        <v>-9999</v>
      </c>
      <c r="N596" s="223">
        <v>-9999</v>
      </c>
      <c r="O596" s="29"/>
      <c r="P596" s="285">
        <f t="shared" si="51"/>
        <v>18.8</v>
      </c>
      <c r="Q596" s="223">
        <v>-9999</v>
      </c>
      <c r="R596" s="243"/>
      <c r="S596" s="223"/>
      <c r="T596" s="243">
        <v>4.7</v>
      </c>
      <c r="U596" s="243">
        <v>0.9</v>
      </c>
      <c r="V596" s="243"/>
      <c r="W596" s="244">
        <f>+P596-P595</f>
        <v>12.2</v>
      </c>
      <c r="X596" s="223">
        <v>-9999</v>
      </c>
      <c r="Y596" s="223"/>
      <c r="Z596" s="223" t="s">
        <v>793</v>
      </c>
      <c r="AA596" s="248">
        <v>10000</v>
      </c>
      <c r="AB596" s="285">
        <v>0.99</v>
      </c>
      <c r="AC596" s="223">
        <v>-9999</v>
      </c>
      <c r="AD596" s="223">
        <f t="shared" si="50"/>
        <v>400</v>
      </c>
      <c r="AE596" s="404" t="s">
        <v>1957</v>
      </c>
      <c r="AF596" s="223">
        <v>4</v>
      </c>
      <c r="AG596" s="223">
        <v>2</v>
      </c>
      <c r="AH596" s="223" t="s">
        <v>623</v>
      </c>
      <c r="AI596" s="223">
        <v>-9999</v>
      </c>
      <c r="AJ596" s="223">
        <v>-9999</v>
      </c>
      <c r="AK596" s="223" t="s">
        <v>626</v>
      </c>
      <c r="AL596" s="223" t="s">
        <v>653</v>
      </c>
      <c r="AM596" s="223">
        <v>-9999</v>
      </c>
      <c r="AN596" s="223" t="s">
        <v>631</v>
      </c>
      <c r="AO596" s="223">
        <v>-9999</v>
      </c>
      <c r="AP596" s="223">
        <v>-9999</v>
      </c>
      <c r="AQ596" s="223" t="s">
        <v>631</v>
      </c>
      <c r="AR596" s="223">
        <v>0</v>
      </c>
      <c r="AS596" s="223">
        <v>-9999</v>
      </c>
      <c r="AT596" s="223">
        <v>-9999</v>
      </c>
      <c r="AU596" s="223">
        <v>0</v>
      </c>
      <c r="AV596" s="223">
        <v>-9999</v>
      </c>
      <c r="AW596" s="223">
        <v>-9999</v>
      </c>
      <c r="AX596" s="223">
        <v>0</v>
      </c>
      <c r="AY596" s="223">
        <v>-9999</v>
      </c>
      <c r="AZ596" s="223">
        <v>-9999</v>
      </c>
      <c r="BA596" s="223" t="s">
        <v>794</v>
      </c>
      <c r="BB596" s="223" t="s">
        <v>626</v>
      </c>
      <c r="BC596" s="223" t="s">
        <v>795</v>
      </c>
      <c r="BD596" s="223" t="s">
        <v>796</v>
      </c>
      <c r="BE596" s="223"/>
      <c r="BF596" s="223"/>
      <c r="BG596" s="223"/>
      <c r="BH596" s="223">
        <v>-9999</v>
      </c>
      <c r="BI596" s="223">
        <v>-9999</v>
      </c>
      <c r="BJ596" s="223">
        <v>-9999</v>
      </c>
      <c r="BK596" s="223">
        <v>-9999</v>
      </c>
      <c r="BL596" s="223">
        <v>-9999</v>
      </c>
      <c r="BM596" s="223">
        <v>-9999</v>
      </c>
      <c r="BN596" s="223">
        <v>-9999</v>
      </c>
      <c r="BO596" s="223">
        <v>-9999</v>
      </c>
      <c r="BP596" s="223">
        <v>-9999</v>
      </c>
      <c r="BQ596" s="223">
        <v>-9999</v>
      </c>
      <c r="BR596" s="223">
        <v>-9999</v>
      </c>
      <c r="BS596" s="242">
        <v>-9999</v>
      </c>
      <c r="BT596" s="223">
        <v>-9999</v>
      </c>
      <c r="BU596" s="223">
        <v>-9999</v>
      </c>
      <c r="BV596" s="223">
        <v>-9999</v>
      </c>
      <c r="BW596" s="223"/>
      <c r="BX596" s="223">
        <v>-9999</v>
      </c>
      <c r="BY596" s="223">
        <v>-9999</v>
      </c>
      <c r="BZ596" s="223">
        <v>-9999</v>
      </c>
      <c r="CA596" s="332" t="s">
        <v>797</v>
      </c>
      <c r="CB596" s="247"/>
      <c r="CC596" s="83">
        <v>1</v>
      </c>
      <c r="CD596" s="32">
        <v>4</v>
      </c>
      <c r="CE596" s="292">
        <v>4.7</v>
      </c>
      <c r="CF596" s="292">
        <v>12.2</v>
      </c>
      <c r="CG596" s="84">
        <v>4</v>
      </c>
    </row>
    <row r="597" spans="1:1873" s="23" customFormat="1" x14ac:dyDescent="0.2">
      <c r="A597" s="223" t="s">
        <v>785</v>
      </c>
      <c r="B597" s="223" t="s">
        <v>786</v>
      </c>
      <c r="C597" s="223" t="s">
        <v>288</v>
      </c>
      <c r="D597" s="223" t="s">
        <v>619</v>
      </c>
      <c r="E597" s="241" t="s">
        <v>1443</v>
      </c>
      <c r="F597" s="241">
        <v>1</v>
      </c>
      <c r="G597" s="223">
        <v>5</v>
      </c>
      <c r="H597" s="242">
        <v>5</v>
      </c>
      <c r="I597" s="223" t="s">
        <v>954</v>
      </c>
      <c r="J597" s="223">
        <v>1981</v>
      </c>
      <c r="K597" s="223" t="s">
        <v>957</v>
      </c>
      <c r="L597" s="223">
        <v>1985</v>
      </c>
      <c r="M597" s="243">
        <v>-9999</v>
      </c>
      <c r="N597" s="223">
        <v>-9999</v>
      </c>
      <c r="O597" s="29"/>
      <c r="P597" s="285">
        <f t="shared" si="51"/>
        <v>36</v>
      </c>
      <c r="Q597" s="223">
        <v>-9999</v>
      </c>
      <c r="R597" s="243"/>
      <c r="S597" s="223"/>
      <c r="T597" s="243">
        <v>7.2</v>
      </c>
      <c r="U597" s="243">
        <v>0.9</v>
      </c>
      <c r="V597" s="243"/>
      <c r="W597" s="244">
        <f>+P597-P596</f>
        <v>17.2</v>
      </c>
      <c r="X597" s="223">
        <v>-9999</v>
      </c>
      <c r="Y597" s="223"/>
      <c r="Z597" s="223" t="s">
        <v>793</v>
      </c>
      <c r="AA597" s="248">
        <v>10000</v>
      </c>
      <c r="AB597" s="285">
        <v>0.97</v>
      </c>
      <c r="AC597" s="223">
        <v>-9999</v>
      </c>
      <c r="AD597" s="223">
        <f t="shared" si="50"/>
        <v>400</v>
      </c>
      <c r="AE597" s="404" t="s">
        <v>1957</v>
      </c>
      <c r="AF597" s="223">
        <v>4</v>
      </c>
      <c r="AG597" s="223">
        <v>2</v>
      </c>
      <c r="AH597" s="223" t="s">
        <v>623</v>
      </c>
      <c r="AI597" s="223">
        <v>-9999</v>
      </c>
      <c r="AJ597" s="223">
        <v>-9999</v>
      </c>
      <c r="AK597" s="223" t="s">
        <v>626</v>
      </c>
      <c r="AL597" s="223" t="s">
        <v>653</v>
      </c>
      <c r="AM597" s="223">
        <v>-9999</v>
      </c>
      <c r="AN597" s="223" t="s">
        <v>631</v>
      </c>
      <c r="AO597" s="223">
        <v>-9999</v>
      </c>
      <c r="AP597" s="223">
        <v>-9999</v>
      </c>
      <c r="AQ597" s="223" t="s">
        <v>631</v>
      </c>
      <c r="AR597" s="223">
        <v>0</v>
      </c>
      <c r="AS597" s="223">
        <v>-9999</v>
      </c>
      <c r="AT597" s="223">
        <v>-9999</v>
      </c>
      <c r="AU597" s="223">
        <v>0</v>
      </c>
      <c r="AV597" s="223">
        <v>-9999</v>
      </c>
      <c r="AW597" s="223">
        <v>-9999</v>
      </c>
      <c r="AX597" s="223">
        <v>0</v>
      </c>
      <c r="AY597" s="223">
        <v>-9999</v>
      </c>
      <c r="AZ597" s="223">
        <v>-9999</v>
      </c>
      <c r="BA597" s="223" t="s">
        <v>794</v>
      </c>
      <c r="BB597" s="223" t="s">
        <v>626</v>
      </c>
      <c r="BC597" s="223" t="s">
        <v>795</v>
      </c>
      <c r="BD597" s="223" t="s">
        <v>796</v>
      </c>
      <c r="BE597" s="223"/>
      <c r="BF597" s="223"/>
      <c r="BG597" s="223"/>
      <c r="BH597" s="223">
        <v>-9999</v>
      </c>
      <c r="BI597" s="223">
        <v>-9999</v>
      </c>
      <c r="BJ597" s="223">
        <v>-9999</v>
      </c>
      <c r="BK597" s="223">
        <v>-9999</v>
      </c>
      <c r="BL597" s="223">
        <v>-9999</v>
      </c>
      <c r="BM597" s="223">
        <v>-9999</v>
      </c>
      <c r="BN597" s="223">
        <v>-9999</v>
      </c>
      <c r="BO597" s="223">
        <v>-9999</v>
      </c>
      <c r="BP597" s="223">
        <v>-9999</v>
      </c>
      <c r="BQ597" s="223">
        <v>-9999</v>
      </c>
      <c r="BR597" s="223">
        <v>-9999</v>
      </c>
      <c r="BS597" s="242">
        <v>-9999</v>
      </c>
      <c r="BT597" s="223">
        <v>-9999</v>
      </c>
      <c r="BU597" s="223">
        <v>-9999</v>
      </c>
      <c r="BV597" s="223">
        <v>-9999</v>
      </c>
      <c r="BW597" s="223"/>
      <c r="BX597" s="223">
        <v>-9999</v>
      </c>
      <c r="BY597" s="223">
        <v>-9999</v>
      </c>
      <c r="BZ597" s="223">
        <v>-9999</v>
      </c>
      <c r="CA597" s="332" t="s">
        <v>797</v>
      </c>
      <c r="CB597" s="247"/>
      <c r="CC597" s="83">
        <v>1</v>
      </c>
      <c r="CD597" s="32">
        <v>5</v>
      </c>
      <c r="CE597" s="292">
        <v>7.2</v>
      </c>
      <c r="CF597" s="292">
        <v>17.2</v>
      </c>
      <c r="CG597" s="84">
        <v>5</v>
      </c>
    </row>
    <row r="598" spans="1:1873" s="247" customFormat="1" x14ac:dyDescent="0.2">
      <c r="A598" s="404" t="s">
        <v>785</v>
      </c>
      <c r="B598" s="223" t="s">
        <v>786</v>
      </c>
      <c r="C598" s="223" t="s">
        <v>288</v>
      </c>
      <c r="D598" s="223" t="s">
        <v>619</v>
      </c>
      <c r="E598" s="241" t="s">
        <v>1443</v>
      </c>
      <c r="F598" s="241">
        <v>1</v>
      </c>
      <c r="G598" s="223">
        <v>6</v>
      </c>
      <c r="H598" s="242">
        <v>6</v>
      </c>
      <c r="I598" s="223" t="s">
        <v>954</v>
      </c>
      <c r="J598" s="223">
        <v>1981</v>
      </c>
      <c r="K598" s="223" t="s">
        <v>957</v>
      </c>
      <c r="L598" s="223">
        <v>1986</v>
      </c>
      <c r="M598" s="243">
        <v>-9999</v>
      </c>
      <c r="N598" s="223">
        <v>-9999</v>
      </c>
      <c r="O598" s="29"/>
      <c r="P598" s="285">
        <f t="shared" si="51"/>
        <v>52.199999999999996</v>
      </c>
      <c r="Q598" s="223">
        <v>-9999</v>
      </c>
      <c r="R598" s="243"/>
      <c r="S598" s="223"/>
      <c r="T598" s="243">
        <v>8.6999999999999993</v>
      </c>
      <c r="U598" s="243">
        <v>0.9</v>
      </c>
      <c r="V598" s="243"/>
      <c r="W598" s="244">
        <f>+P598-P597</f>
        <v>16.199999999999996</v>
      </c>
      <c r="X598" s="223">
        <v>-9999</v>
      </c>
      <c r="Y598" s="223"/>
      <c r="Z598" s="223" t="s">
        <v>793</v>
      </c>
      <c r="AA598" s="248">
        <v>10000</v>
      </c>
      <c r="AB598" s="243">
        <v>0.95</v>
      </c>
      <c r="AC598" s="223">
        <v>-9999</v>
      </c>
      <c r="AD598" s="223">
        <f t="shared" si="50"/>
        <v>400</v>
      </c>
      <c r="AE598" s="404" t="s">
        <v>1957</v>
      </c>
      <c r="AF598" s="223">
        <v>4</v>
      </c>
      <c r="AG598" s="223">
        <v>2</v>
      </c>
      <c r="AH598" s="223" t="s">
        <v>623</v>
      </c>
      <c r="AI598" s="223">
        <v>-9999</v>
      </c>
      <c r="AJ598" s="223">
        <v>-9999</v>
      </c>
      <c r="AK598" s="223" t="s">
        <v>626</v>
      </c>
      <c r="AL598" s="223" t="s">
        <v>653</v>
      </c>
      <c r="AM598" s="223">
        <v>-9999</v>
      </c>
      <c r="AN598" s="223" t="s">
        <v>631</v>
      </c>
      <c r="AO598" s="223">
        <v>-9999</v>
      </c>
      <c r="AP598" s="223">
        <v>-9999</v>
      </c>
      <c r="AQ598" s="223" t="s">
        <v>631</v>
      </c>
      <c r="AR598" s="223">
        <v>0</v>
      </c>
      <c r="AS598" s="223">
        <v>-9999</v>
      </c>
      <c r="AT598" s="223">
        <v>-9999</v>
      </c>
      <c r="AU598" s="223">
        <v>0</v>
      </c>
      <c r="AV598" s="223">
        <v>-9999</v>
      </c>
      <c r="AW598" s="223">
        <v>-9999</v>
      </c>
      <c r="AX598" s="223">
        <v>0</v>
      </c>
      <c r="AY598" s="223">
        <v>-9999</v>
      </c>
      <c r="AZ598" s="223">
        <v>-9999</v>
      </c>
      <c r="BA598" s="223" t="s">
        <v>794</v>
      </c>
      <c r="BB598" s="223" t="s">
        <v>626</v>
      </c>
      <c r="BC598" s="223" t="s">
        <v>795</v>
      </c>
      <c r="BD598" s="223" t="s">
        <v>796</v>
      </c>
      <c r="BE598" s="223"/>
      <c r="BF598" s="223"/>
      <c r="BG598" s="223"/>
      <c r="BH598" s="223">
        <v>-9999</v>
      </c>
      <c r="BI598" s="223">
        <v>-9999</v>
      </c>
      <c r="BJ598" s="223">
        <v>-9999</v>
      </c>
      <c r="BK598" s="223">
        <v>-9999</v>
      </c>
      <c r="BL598" s="223">
        <v>-9999</v>
      </c>
      <c r="BM598" s="223">
        <v>-9999</v>
      </c>
      <c r="BN598" s="223">
        <v>-9999</v>
      </c>
      <c r="BO598" s="223">
        <v>-9999</v>
      </c>
      <c r="BP598" s="223">
        <v>-9999</v>
      </c>
      <c r="BQ598" s="223">
        <v>-9999</v>
      </c>
      <c r="BR598" s="223">
        <v>-9999</v>
      </c>
      <c r="BS598" s="242">
        <v>-9999</v>
      </c>
      <c r="BT598" s="223">
        <v>-9999</v>
      </c>
      <c r="BU598" s="223">
        <v>-9999</v>
      </c>
      <c r="BV598" s="223">
        <v>-9999</v>
      </c>
      <c r="BW598" s="223"/>
      <c r="BX598" s="223">
        <v>-9999</v>
      </c>
      <c r="BY598" s="223">
        <v>-9999</v>
      </c>
      <c r="BZ598" s="223">
        <v>-9999</v>
      </c>
      <c r="CA598" s="332" t="s">
        <v>797</v>
      </c>
      <c r="CC598" s="241">
        <v>1</v>
      </c>
      <c r="CD598" s="223">
        <v>6</v>
      </c>
      <c r="CE598" s="394">
        <v>8.6999999999999993</v>
      </c>
      <c r="CF598" s="292">
        <v>16.199999999999996</v>
      </c>
      <c r="CG598" s="242">
        <v>6</v>
      </c>
      <c r="CH598" s="438" t="s">
        <v>1757</v>
      </c>
      <c r="CI598" s="23"/>
      <c r="CJ598" s="23"/>
      <c r="CK598" s="23"/>
      <c r="CL598" s="23"/>
      <c r="CM598" s="23"/>
      <c r="CN598" s="23"/>
      <c r="CO598" s="23"/>
      <c r="CP598" s="23"/>
      <c r="CQ598" s="23"/>
      <c r="CR598" s="23"/>
      <c r="CS598" s="23"/>
      <c r="CT598" s="23"/>
      <c r="CU598" s="23"/>
      <c r="CV598" s="23"/>
      <c r="CW598" s="23"/>
      <c r="CX598" s="23"/>
      <c r="CY598" s="23"/>
      <c r="CZ598" s="23"/>
      <c r="DA598" s="23"/>
      <c r="DB598" s="23"/>
      <c r="DC598" s="23"/>
      <c r="DD598" s="23"/>
      <c r="DE598" s="23"/>
      <c r="DF598" s="23"/>
      <c r="DG598" s="23"/>
      <c r="DH598" s="23"/>
      <c r="DI598" s="23"/>
      <c r="DJ598" s="23"/>
      <c r="DK598" s="23"/>
      <c r="DL598" s="23"/>
      <c r="DM598" s="23"/>
      <c r="DN598" s="23"/>
      <c r="DO598" s="23"/>
      <c r="DP598" s="23"/>
      <c r="DQ598" s="23"/>
      <c r="DR598" s="23"/>
      <c r="DS598" s="23"/>
      <c r="DT598" s="23"/>
      <c r="DU598" s="23"/>
      <c r="DV598" s="23"/>
      <c r="DW598" s="23"/>
      <c r="DX598" s="23"/>
      <c r="DY598" s="23"/>
      <c r="DZ598" s="23"/>
      <c r="EA598" s="23"/>
      <c r="EB598" s="23"/>
      <c r="EC598" s="23"/>
      <c r="ED598" s="23"/>
      <c r="EE598" s="23"/>
      <c r="EF598" s="23"/>
      <c r="EG598" s="23"/>
      <c r="EH598" s="23"/>
      <c r="EI598" s="23"/>
      <c r="EJ598" s="23"/>
      <c r="EK598" s="23"/>
      <c r="EL598" s="23"/>
      <c r="EM598" s="23"/>
      <c r="EN598" s="23"/>
      <c r="EO598" s="23"/>
      <c r="EP598" s="23"/>
      <c r="EQ598" s="23"/>
      <c r="ER598" s="23"/>
      <c r="ES598" s="23"/>
      <c r="ET598" s="23"/>
      <c r="EU598" s="23"/>
      <c r="EV598" s="23"/>
      <c r="EW598" s="23"/>
      <c r="EX598" s="23"/>
      <c r="EY598" s="23"/>
      <c r="EZ598" s="23"/>
      <c r="FA598" s="23"/>
      <c r="FB598" s="23"/>
      <c r="FC598" s="23"/>
      <c r="FD598" s="23"/>
      <c r="FE598" s="23"/>
      <c r="FF598" s="23"/>
      <c r="FG598" s="23"/>
      <c r="FH598" s="23"/>
      <c r="FI598" s="23"/>
      <c r="FJ598" s="23"/>
      <c r="FK598" s="23"/>
      <c r="FL598" s="23"/>
      <c r="FM598" s="23"/>
      <c r="FN598" s="23"/>
      <c r="FO598" s="23"/>
      <c r="FP598" s="23"/>
      <c r="FQ598" s="23"/>
      <c r="FR598" s="23"/>
      <c r="FS598" s="23"/>
      <c r="FT598" s="23"/>
      <c r="FU598" s="23"/>
      <c r="FV598" s="23"/>
      <c r="FW598" s="23"/>
      <c r="FX598" s="23"/>
      <c r="FY598" s="23"/>
      <c r="FZ598" s="23"/>
      <c r="GA598" s="23"/>
      <c r="GB598" s="23"/>
      <c r="GC598" s="23"/>
      <c r="GD598" s="23"/>
      <c r="GE598" s="23"/>
      <c r="GF598" s="23"/>
      <c r="GG598" s="23"/>
      <c r="GH598" s="23"/>
      <c r="GI598" s="23"/>
      <c r="GJ598" s="23"/>
      <c r="GK598" s="23"/>
      <c r="GL598" s="23"/>
      <c r="GM598" s="23"/>
      <c r="GN598" s="23"/>
      <c r="GO598" s="23"/>
      <c r="GP598" s="23"/>
      <c r="GQ598" s="23"/>
      <c r="GR598" s="23"/>
      <c r="GS598" s="23"/>
      <c r="GT598" s="23"/>
      <c r="GU598" s="23"/>
      <c r="GV598" s="23"/>
      <c r="GW598" s="23"/>
      <c r="GX598" s="23"/>
      <c r="GY598" s="23"/>
      <c r="GZ598" s="23"/>
      <c r="HA598" s="23"/>
      <c r="HB598" s="23"/>
      <c r="HC598" s="23"/>
      <c r="HD598" s="23"/>
      <c r="HE598" s="23"/>
      <c r="HF598" s="23"/>
      <c r="HG598" s="23"/>
      <c r="HH598" s="23"/>
      <c r="HI598" s="23"/>
      <c r="HJ598" s="23"/>
      <c r="HK598" s="23"/>
      <c r="HL598" s="23"/>
      <c r="HM598" s="23"/>
      <c r="HN598" s="23"/>
      <c r="HO598" s="23"/>
      <c r="HP598" s="23"/>
      <c r="HQ598" s="23"/>
      <c r="HR598" s="23"/>
      <c r="HS598" s="23"/>
      <c r="HT598" s="23"/>
      <c r="HU598" s="23"/>
      <c r="HV598" s="23"/>
      <c r="HW598" s="23"/>
      <c r="HX598" s="23"/>
      <c r="HY598" s="23"/>
      <c r="HZ598" s="23"/>
      <c r="IA598" s="23"/>
      <c r="IB598" s="23"/>
      <c r="IC598" s="23"/>
      <c r="ID598" s="23"/>
      <c r="IE598" s="23"/>
      <c r="IF598" s="23"/>
      <c r="IG598" s="23"/>
      <c r="IH598" s="23"/>
      <c r="II598" s="23"/>
      <c r="IJ598" s="23"/>
      <c r="IK598" s="23"/>
      <c r="IL598" s="23"/>
      <c r="IM598" s="23"/>
      <c r="IN598" s="23"/>
      <c r="IO598" s="23"/>
      <c r="IP598" s="23"/>
      <c r="IQ598" s="23"/>
      <c r="IR598" s="23"/>
      <c r="IS598" s="23"/>
      <c r="IT598" s="23"/>
      <c r="IU598" s="23"/>
      <c r="IV598" s="23"/>
      <c r="IW598" s="23"/>
      <c r="IX598" s="23"/>
      <c r="IY598" s="23"/>
      <c r="IZ598" s="23"/>
      <c r="JA598" s="23"/>
      <c r="JB598" s="23"/>
      <c r="JC598" s="23"/>
      <c r="JD598" s="23"/>
      <c r="JE598" s="23"/>
      <c r="JF598" s="23"/>
      <c r="JG598" s="23"/>
      <c r="JH598" s="23"/>
      <c r="JI598" s="23"/>
      <c r="JJ598" s="23"/>
      <c r="JK598" s="23"/>
      <c r="JL598" s="23"/>
      <c r="JM598" s="23"/>
      <c r="JN598" s="23"/>
      <c r="JO598" s="23"/>
      <c r="JP598" s="23"/>
      <c r="JQ598" s="23"/>
      <c r="JR598" s="23"/>
      <c r="JS598" s="23"/>
      <c r="JT598" s="23"/>
      <c r="JU598" s="23"/>
      <c r="JV598" s="23"/>
      <c r="JW598" s="23"/>
      <c r="JX598" s="23"/>
      <c r="JY598" s="23"/>
      <c r="JZ598" s="23"/>
      <c r="KA598" s="23"/>
      <c r="KB598" s="23"/>
      <c r="KC598" s="23"/>
      <c r="KD598" s="23"/>
      <c r="KE598" s="23"/>
      <c r="KF598" s="23"/>
      <c r="KG598" s="23"/>
      <c r="KH598" s="23"/>
      <c r="KI598" s="23"/>
      <c r="KJ598" s="23"/>
      <c r="KK598" s="23"/>
      <c r="KL598" s="23"/>
      <c r="KM598" s="23"/>
      <c r="KN598" s="23"/>
      <c r="KO598" s="23"/>
      <c r="KP598" s="23"/>
      <c r="KQ598" s="23"/>
      <c r="KR598" s="23"/>
      <c r="KS598" s="23"/>
      <c r="KT598" s="23"/>
      <c r="KU598" s="23"/>
      <c r="KV598" s="23"/>
      <c r="KW598" s="23"/>
      <c r="KX598" s="23"/>
      <c r="KY598" s="23"/>
      <c r="KZ598" s="23"/>
      <c r="LA598" s="23"/>
      <c r="LB598" s="23"/>
      <c r="LC598" s="23"/>
      <c r="LD598" s="23"/>
      <c r="LE598" s="23"/>
      <c r="LF598" s="23"/>
      <c r="LG598" s="23"/>
      <c r="LH598" s="23"/>
      <c r="LI598" s="23"/>
      <c r="LJ598" s="23"/>
      <c r="LK598" s="23"/>
      <c r="LL598" s="23"/>
      <c r="LM598" s="23"/>
      <c r="LN598" s="23"/>
      <c r="LO598" s="23"/>
      <c r="LP598" s="23"/>
      <c r="LQ598" s="23"/>
      <c r="LR598" s="23"/>
      <c r="LS598" s="23"/>
      <c r="LT598" s="23"/>
      <c r="LU598" s="23"/>
      <c r="LV598" s="23"/>
      <c r="LW598" s="23"/>
      <c r="LX598" s="23"/>
      <c r="LY598" s="23"/>
      <c r="LZ598" s="23"/>
      <c r="MA598" s="23"/>
      <c r="MB598" s="23"/>
      <c r="MC598" s="23"/>
      <c r="MD598" s="23"/>
      <c r="ME598" s="23"/>
      <c r="MF598" s="23"/>
      <c r="MG598" s="23"/>
      <c r="MH598" s="23"/>
      <c r="MI598" s="23"/>
      <c r="MJ598" s="23"/>
      <c r="MK598" s="23"/>
      <c r="ML598" s="23"/>
      <c r="MM598" s="23"/>
      <c r="MN598" s="23"/>
      <c r="MO598" s="23"/>
      <c r="MP598" s="23"/>
      <c r="MQ598" s="23"/>
      <c r="MR598" s="23"/>
      <c r="MS598" s="23"/>
      <c r="MT598" s="23"/>
      <c r="MU598" s="23"/>
      <c r="MV598" s="23"/>
      <c r="MW598" s="23"/>
      <c r="MX598" s="23"/>
      <c r="MY598" s="23"/>
      <c r="MZ598" s="23"/>
      <c r="NA598" s="23"/>
      <c r="NB598" s="23"/>
      <c r="NC598" s="23"/>
      <c r="ND598" s="23"/>
      <c r="NE598" s="23"/>
      <c r="NF598" s="23"/>
      <c r="NG598" s="23"/>
      <c r="NH598" s="23"/>
      <c r="NI598" s="23"/>
      <c r="NJ598" s="23"/>
      <c r="NK598" s="23"/>
      <c r="NL598" s="23"/>
      <c r="NM598" s="23"/>
      <c r="NN598" s="23"/>
      <c r="NO598" s="23"/>
      <c r="NP598" s="23"/>
      <c r="NQ598" s="23"/>
      <c r="NR598" s="23"/>
      <c r="NS598" s="23"/>
      <c r="NT598" s="23"/>
      <c r="NU598" s="23"/>
      <c r="NV598" s="23"/>
      <c r="NW598" s="23"/>
      <c r="NX598" s="23"/>
      <c r="NY598" s="23"/>
      <c r="NZ598" s="23"/>
      <c r="OA598" s="23"/>
      <c r="OB598" s="23"/>
      <c r="OC598" s="23"/>
      <c r="OD598" s="23"/>
      <c r="OE598" s="23"/>
      <c r="OF598" s="23"/>
      <c r="OG598" s="23"/>
      <c r="OH598" s="23"/>
      <c r="OI598" s="23"/>
      <c r="OJ598" s="23"/>
      <c r="OK598" s="23"/>
      <c r="OL598" s="23"/>
      <c r="OM598" s="23"/>
      <c r="ON598" s="23"/>
      <c r="OO598" s="23"/>
      <c r="OP598" s="23"/>
      <c r="OQ598" s="23"/>
      <c r="OR598" s="23"/>
      <c r="OS598" s="23"/>
      <c r="OT598" s="23"/>
      <c r="OU598" s="23"/>
      <c r="OV598" s="23"/>
      <c r="OW598" s="23"/>
      <c r="OX598" s="23"/>
      <c r="OY598" s="23"/>
      <c r="OZ598" s="23"/>
      <c r="PA598" s="23"/>
      <c r="PB598" s="23"/>
      <c r="PC598" s="23"/>
      <c r="PD598" s="23"/>
      <c r="PE598" s="23"/>
      <c r="PF598" s="23"/>
      <c r="PG598" s="23"/>
      <c r="PH598" s="23"/>
      <c r="PI598" s="23"/>
      <c r="PJ598" s="23"/>
      <c r="PK598" s="23"/>
      <c r="PL598" s="23"/>
      <c r="PM598" s="23"/>
      <c r="PN598" s="23"/>
      <c r="PO598" s="23"/>
      <c r="PP598" s="23"/>
      <c r="PQ598" s="23"/>
      <c r="PR598" s="23"/>
      <c r="PS598" s="23"/>
      <c r="PT598" s="23"/>
      <c r="PU598" s="23"/>
      <c r="PV598" s="23"/>
      <c r="PW598" s="23"/>
      <c r="PX598" s="23"/>
      <c r="PY598" s="23"/>
      <c r="PZ598" s="23"/>
      <c r="QA598" s="23"/>
      <c r="QB598" s="23"/>
      <c r="QC598" s="23"/>
      <c r="QD598" s="23"/>
      <c r="QE598" s="23"/>
      <c r="QF598" s="23"/>
      <c r="QG598" s="23"/>
      <c r="QH598" s="23"/>
      <c r="QI598" s="23"/>
      <c r="QJ598" s="23"/>
      <c r="QK598" s="23"/>
      <c r="QL598" s="23"/>
      <c r="QM598" s="23"/>
      <c r="QN598" s="23"/>
      <c r="QO598" s="23"/>
      <c r="QP598" s="23"/>
      <c r="QQ598" s="23"/>
      <c r="QR598" s="23"/>
      <c r="QS598" s="23"/>
      <c r="QT598" s="23"/>
      <c r="QU598" s="23"/>
      <c r="QV598" s="23"/>
      <c r="QW598" s="23"/>
      <c r="QX598" s="23"/>
      <c r="QY598" s="23"/>
      <c r="QZ598" s="23"/>
      <c r="RA598" s="23"/>
      <c r="RB598" s="23"/>
      <c r="RC598" s="23"/>
      <c r="RD598" s="23"/>
      <c r="RE598" s="23"/>
      <c r="RF598" s="23"/>
      <c r="RG598" s="23"/>
      <c r="RH598" s="23"/>
      <c r="RI598" s="23"/>
      <c r="RJ598" s="23"/>
      <c r="RK598" s="23"/>
      <c r="RL598" s="23"/>
      <c r="RM598" s="23"/>
      <c r="RN598" s="23"/>
      <c r="RO598" s="23"/>
      <c r="RP598" s="23"/>
      <c r="RQ598" s="23"/>
      <c r="RR598" s="23"/>
      <c r="RS598" s="23"/>
      <c r="RT598" s="23"/>
      <c r="RU598" s="23"/>
      <c r="RV598" s="23"/>
      <c r="RW598" s="23"/>
      <c r="RX598" s="23"/>
      <c r="RY598" s="23"/>
      <c r="RZ598" s="23"/>
      <c r="SA598" s="23"/>
      <c r="SB598" s="23"/>
      <c r="SC598" s="23"/>
      <c r="SD598" s="23"/>
      <c r="SE598" s="23"/>
      <c r="SF598" s="23"/>
      <c r="SG598" s="23"/>
      <c r="SH598" s="23"/>
      <c r="SI598" s="23"/>
      <c r="SJ598" s="23"/>
      <c r="SK598" s="23"/>
      <c r="SL598" s="23"/>
      <c r="SM598" s="23"/>
      <c r="SN598" s="23"/>
      <c r="SO598" s="23"/>
      <c r="SP598" s="23"/>
      <c r="SQ598" s="23"/>
      <c r="SR598" s="23"/>
      <c r="SS598" s="23"/>
      <c r="ST598" s="23"/>
      <c r="SU598" s="23"/>
      <c r="SV598" s="23"/>
      <c r="SW598" s="23"/>
      <c r="SX598" s="23"/>
      <c r="SY598" s="23"/>
      <c r="SZ598" s="23"/>
      <c r="TA598" s="23"/>
      <c r="TB598" s="23"/>
      <c r="TC598" s="23"/>
      <c r="TD598" s="23"/>
      <c r="TE598" s="23"/>
      <c r="TF598" s="23"/>
      <c r="TG598" s="23"/>
      <c r="TH598" s="23"/>
      <c r="TI598" s="23"/>
      <c r="TJ598" s="23"/>
      <c r="TK598" s="23"/>
      <c r="TL598" s="23"/>
      <c r="TM598" s="23"/>
      <c r="TN598" s="23"/>
      <c r="TO598" s="23"/>
      <c r="TP598" s="23"/>
      <c r="TQ598" s="23"/>
      <c r="TR598" s="23"/>
      <c r="TS598" s="23"/>
      <c r="TT598" s="23"/>
      <c r="TU598" s="23"/>
      <c r="TV598" s="23"/>
      <c r="TW598" s="23"/>
      <c r="TX598" s="23"/>
      <c r="TY598" s="23"/>
      <c r="TZ598" s="23"/>
      <c r="UA598" s="23"/>
      <c r="UB598" s="23"/>
      <c r="UC598" s="23"/>
      <c r="UD598" s="23"/>
      <c r="UE598" s="23"/>
      <c r="UF598" s="23"/>
      <c r="UG598" s="23"/>
      <c r="UH598" s="23"/>
      <c r="UI598" s="23"/>
      <c r="UJ598" s="23"/>
      <c r="UK598" s="23"/>
      <c r="UL598" s="23"/>
      <c r="UM598" s="23"/>
      <c r="UN598" s="23"/>
      <c r="UO598" s="23"/>
      <c r="UP598" s="23"/>
      <c r="UQ598" s="23"/>
      <c r="UR598" s="23"/>
      <c r="US598" s="23"/>
      <c r="UT598" s="23"/>
      <c r="UU598" s="23"/>
      <c r="UV598" s="23"/>
      <c r="UW598" s="23"/>
      <c r="UX598" s="23"/>
      <c r="UY598" s="23"/>
      <c r="UZ598" s="23"/>
      <c r="VA598" s="23"/>
      <c r="VB598" s="23"/>
      <c r="VC598" s="23"/>
      <c r="VD598" s="23"/>
      <c r="VE598" s="23"/>
      <c r="VF598" s="23"/>
      <c r="VG598" s="23"/>
      <c r="VH598" s="23"/>
      <c r="VI598" s="23"/>
      <c r="VJ598" s="23"/>
      <c r="VK598" s="23"/>
      <c r="VL598" s="23"/>
      <c r="VM598" s="23"/>
      <c r="VN598" s="23"/>
      <c r="VO598" s="23"/>
      <c r="VP598" s="23"/>
      <c r="VQ598" s="23"/>
      <c r="VR598" s="23"/>
      <c r="VS598" s="23"/>
      <c r="VT598" s="23"/>
      <c r="VU598" s="23"/>
      <c r="VV598" s="23"/>
      <c r="VW598" s="23"/>
      <c r="VX598" s="23"/>
      <c r="VY598" s="23"/>
      <c r="VZ598" s="23"/>
      <c r="WA598" s="23"/>
      <c r="WB598" s="23"/>
      <c r="WC598" s="23"/>
      <c r="WD598" s="23"/>
      <c r="WE598" s="23"/>
      <c r="WF598" s="23"/>
      <c r="WG598" s="23"/>
      <c r="WH598" s="23"/>
      <c r="WI598" s="23"/>
      <c r="WJ598" s="23"/>
      <c r="WK598" s="23"/>
      <c r="WL598" s="23"/>
      <c r="WM598" s="23"/>
      <c r="WN598" s="23"/>
      <c r="WO598" s="23"/>
      <c r="WP598" s="23"/>
      <c r="WQ598" s="23"/>
      <c r="WR598" s="23"/>
      <c r="WS598" s="23"/>
      <c r="WT598" s="23"/>
      <c r="WU598" s="23"/>
      <c r="WV598" s="23"/>
      <c r="WW598" s="23"/>
      <c r="WX598" s="23"/>
      <c r="WY598" s="23"/>
      <c r="WZ598" s="23"/>
      <c r="XA598" s="23"/>
      <c r="XB598" s="23"/>
      <c r="XC598" s="23"/>
      <c r="XD598" s="23"/>
      <c r="XE598" s="23"/>
      <c r="XF598" s="23"/>
      <c r="XG598" s="23"/>
      <c r="XH598" s="23"/>
      <c r="XI598" s="23"/>
      <c r="XJ598" s="23"/>
      <c r="XK598" s="23"/>
      <c r="XL598" s="23"/>
      <c r="XM598" s="23"/>
      <c r="XN598" s="23"/>
      <c r="XO598" s="23"/>
      <c r="XP598" s="23"/>
      <c r="XQ598" s="23"/>
      <c r="XR598" s="23"/>
      <c r="XS598" s="23"/>
      <c r="XT598" s="23"/>
      <c r="XU598" s="23"/>
      <c r="XV598" s="23"/>
      <c r="XW598" s="23"/>
      <c r="XX598" s="23"/>
      <c r="XY598" s="23"/>
      <c r="XZ598" s="23"/>
      <c r="YA598" s="23"/>
      <c r="YB598" s="23"/>
      <c r="YC598" s="23"/>
      <c r="YD598" s="23"/>
      <c r="YE598" s="23"/>
      <c r="YF598" s="23"/>
      <c r="YG598" s="23"/>
      <c r="YH598" s="23"/>
      <c r="YI598" s="23"/>
      <c r="YJ598" s="23"/>
      <c r="YK598" s="23"/>
      <c r="YL598" s="23"/>
      <c r="YM598" s="23"/>
      <c r="YN598" s="23"/>
      <c r="YO598" s="23"/>
      <c r="YP598" s="23"/>
      <c r="YQ598" s="23"/>
      <c r="YR598" s="23"/>
      <c r="YS598" s="23"/>
      <c r="YT598" s="23"/>
      <c r="YU598" s="23"/>
      <c r="YV598" s="23"/>
      <c r="YW598" s="23"/>
      <c r="YX598" s="23"/>
      <c r="YY598" s="23"/>
      <c r="YZ598" s="23"/>
      <c r="ZA598" s="23"/>
      <c r="ZB598" s="23"/>
      <c r="ZC598" s="23"/>
      <c r="ZD598" s="23"/>
      <c r="ZE598" s="23"/>
      <c r="ZF598" s="23"/>
      <c r="ZG598" s="23"/>
      <c r="ZH598" s="23"/>
      <c r="ZI598" s="23"/>
      <c r="ZJ598" s="23"/>
      <c r="ZK598" s="23"/>
      <c r="ZL598" s="23"/>
      <c r="ZM598" s="23"/>
      <c r="ZN598" s="23"/>
      <c r="ZO598" s="23"/>
      <c r="ZP598" s="23"/>
      <c r="ZQ598" s="23"/>
      <c r="ZR598" s="23"/>
      <c r="ZS598" s="23"/>
      <c r="ZT598" s="23"/>
      <c r="ZU598" s="23"/>
      <c r="ZV598" s="23"/>
      <c r="ZW598" s="23"/>
      <c r="ZX598" s="23"/>
      <c r="ZY598" s="23"/>
      <c r="ZZ598" s="23"/>
      <c r="AAA598" s="23"/>
      <c r="AAB598" s="23"/>
      <c r="AAC598" s="23"/>
      <c r="AAD598" s="23"/>
      <c r="AAE598" s="23"/>
      <c r="AAF598" s="23"/>
      <c r="AAG598" s="23"/>
      <c r="AAH598" s="23"/>
      <c r="AAI598" s="23"/>
      <c r="AAJ598" s="23"/>
      <c r="AAK598" s="23"/>
      <c r="AAL598" s="23"/>
      <c r="AAM598" s="23"/>
      <c r="AAN598" s="23"/>
      <c r="AAO598" s="23"/>
      <c r="AAP598" s="23"/>
      <c r="AAQ598" s="23"/>
      <c r="AAR598" s="23"/>
      <c r="AAS598" s="23"/>
      <c r="AAT598" s="23"/>
      <c r="AAU598" s="23"/>
      <c r="AAV598" s="23"/>
      <c r="AAW598" s="23"/>
      <c r="AAX598" s="23"/>
      <c r="AAY598" s="23"/>
      <c r="AAZ598" s="23"/>
      <c r="ABA598" s="23"/>
      <c r="ABB598" s="23"/>
      <c r="ABC598" s="23"/>
      <c r="ABD598" s="23"/>
      <c r="ABE598" s="23"/>
      <c r="ABF598" s="23"/>
      <c r="ABG598" s="23"/>
      <c r="ABH598" s="23"/>
      <c r="ABI598" s="23"/>
      <c r="ABJ598" s="23"/>
      <c r="ABK598" s="23"/>
      <c r="ABL598" s="23"/>
      <c r="ABM598" s="23"/>
      <c r="ABN598" s="23"/>
      <c r="ABO598" s="23"/>
      <c r="ABP598" s="23"/>
      <c r="ABQ598" s="23"/>
      <c r="ABR598" s="23"/>
      <c r="ABS598" s="23"/>
      <c r="ABT598" s="23"/>
      <c r="ABU598" s="23"/>
      <c r="ABV598" s="23"/>
      <c r="ABW598" s="23"/>
      <c r="ABX598" s="23"/>
      <c r="ABY598" s="23"/>
      <c r="ABZ598" s="23"/>
      <c r="ACA598" s="23"/>
      <c r="ACB598" s="23"/>
      <c r="ACC598" s="23"/>
      <c r="ACD598" s="23"/>
      <c r="ACE598" s="23"/>
      <c r="ACF598" s="23"/>
      <c r="ACG598" s="23"/>
      <c r="ACH598" s="23"/>
      <c r="ACI598" s="23"/>
      <c r="ACJ598" s="23"/>
      <c r="ACK598" s="23"/>
      <c r="ACL598" s="23"/>
      <c r="ACM598" s="23"/>
      <c r="ACN598" s="23"/>
      <c r="ACO598" s="23"/>
      <c r="ACP598" s="23"/>
      <c r="ACQ598" s="23"/>
      <c r="ACR598" s="23"/>
      <c r="ACS598" s="23"/>
      <c r="ACT598" s="23"/>
      <c r="ACU598" s="23"/>
      <c r="ACV598" s="23"/>
      <c r="ACW598" s="23"/>
      <c r="ACX598" s="23"/>
      <c r="ACY598" s="23"/>
      <c r="ACZ598" s="23"/>
      <c r="ADA598" s="23"/>
      <c r="ADB598" s="23"/>
      <c r="ADC598" s="23"/>
      <c r="ADD598" s="23"/>
      <c r="ADE598" s="23"/>
      <c r="ADF598" s="23"/>
      <c r="ADG598" s="23"/>
      <c r="ADH598" s="23"/>
      <c r="ADI598" s="23"/>
      <c r="ADJ598" s="23"/>
      <c r="ADK598" s="23"/>
      <c r="ADL598" s="23"/>
      <c r="ADM598" s="23"/>
      <c r="ADN598" s="23"/>
      <c r="ADO598" s="23"/>
      <c r="ADP598" s="23"/>
      <c r="ADQ598" s="23"/>
      <c r="ADR598" s="23"/>
      <c r="ADS598" s="23"/>
      <c r="ADT598" s="23"/>
      <c r="ADU598" s="23"/>
      <c r="ADV598" s="23"/>
      <c r="ADW598" s="23"/>
      <c r="ADX598" s="23"/>
      <c r="ADY598" s="23"/>
      <c r="ADZ598" s="23"/>
      <c r="AEA598" s="23"/>
      <c r="AEB598" s="23"/>
      <c r="AEC598" s="23"/>
      <c r="AED598" s="23"/>
      <c r="AEE598" s="23"/>
      <c r="AEF598" s="23"/>
      <c r="AEG598" s="23"/>
      <c r="AEH598" s="23"/>
      <c r="AEI598" s="23"/>
      <c r="AEJ598" s="23"/>
      <c r="AEK598" s="23"/>
      <c r="AEL598" s="23"/>
      <c r="AEM598" s="23"/>
      <c r="AEN598" s="23"/>
      <c r="AEO598" s="23"/>
      <c r="AEP598" s="23"/>
      <c r="AEQ598" s="23"/>
      <c r="AER598" s="23"/>
      <c r="AES598" s="23"/>
      <c r="AET598" s="23"/>
      <c r="AEU598" s="23"/>
      <c r="AEV598" s="23"/>
      <c r="AEW598" s="23"/>
      <c r="AEX598" s="23"/>
      <c r="AEY598" s="23"/>
      <c r="AEZ598" s="23"/>
      <c r="AFA598" s="23"/>
      <c r="AFB598" s="23"/>
      <c r="AFC598" s="23"/>
      <c r="AFD598" s="23"/>
      <c r="AFE598" s="23"/>
      <c r="AFF598" s="23"/>
      <c r="AFG598" s="23"/>
      <c r="AFH598" s="23"/>
      <c r="AFI598" s="23"/>
      <c r="AFJ598" s="23"/>
      <c r="AFK598" s="23"/>
      <c r="AFL598" s="23"/>
      <c r="AFM598" s="23"/>
      <c r="AFN598" s="23"/>
      <c r="AFO598" s="23"/>
      <c r="AFP598" s="23"/>
      <c r="AFQ598" s="23"/>
      <c r="AFR598" s="23"/>
      <c r="AFS598" s="23"/>
      <c r="AFT598" s="23"/>
      <c r="AFU598" s="23"/>
      <c r="AFV598" s="23"/>
      <c r="AFW598" s="23"/>
      <c r="AFX598" s="23"/>
      <c r="AFY598" s="23"/>
      <c r="AFZ598" s="23"/>
      <c r="AGA598" s="23"/>
      <c r="AGB598" s="23"/>
      <c r="AGC598" s="23"/>
      <c r="AGD598" s="23"/>
      <c r="AGE598" s="23"/>
      <c r="AGF598" s="23"/>
      <c r="AGG598" s="23"/>
      <c r="AGH598" s="23"/>
      <c r="AGI598" s="23"/>
      <c r="AGJ598" s="23"/>
      <c r="AGK598" s="23"/>
      <c r="AGL598" s="23"/>
      <c r="AGM598" s="23"/>
      <c r="AGN598" s="23"/>
      <c r="AGO598" s="23"/>
      <c r="AGP598" s="23"/>
      <c r="AGQ598" s="23"/>
      <c r="AGR598" s="23"/>
      <c r="AGS598" s="23"/>
      <c r="AGT598" s="23"/>
      <c r="AGU598" s="23"/>
      <c r="AGV598" s="23"/>
      <c r="AGW598" s="23"/>
      <c r="AGX598" s="23"/>
      <c r="AGY598" s="23"/>
      <c r="AGZ598" s="23"/>
      <c r="AHA598" s="23"/>
      <c r="AHB598" s="23"/>
      <c r="AHC598" s="23"/>
      <c r="AHD598" s="23"/>
      <c r="AHE598" s="23"/>
      <c r="AHF598" s="23"/>
      <c r="AHG598" s="23"/>
      <c r="AHH598" s="23"/>
      <c r="AHI598" s="23"/>
      <c r="AHJ598" s="23"/>
      <c r="AHK598" s="23"/>
      <c r="AHL598" s="23"/>
      <c r="AHM598" s="23"/>
      <c r="AHN598" s="23"/>
      <c r="AHO598" s="23"/>
      <c r="AHP598" s="23"/>
      <c r="AHQ598" s="23"/>
      <c r="AHR598" s="23"/>
      <c r="AHS598" s="23"/>
      <c r="AHT598" s="23"/>
      <c r="AHU598" s="23"/>
      <c r="AHV598" s="23"/>
      <c r="AHW598" s="23"/>
      <c r="AHX598" s="23"/>
      <c r="AHY598" s="23"/>
      <c r="AHZ598" s="23"/>
      <c r="AIA598" s="23"/>
      <c r="AIB598" s="23"/>
      <c r="AIC598" s="23"/>
      <c r="AID598" s="23"/>
      <c r="AIE598" s="23"/>
      <c r="AIF598" s="23"/>
      <c r="AIG598" s="23"/>
      <c r="AIH598" s="23"/>
      <c r="AII598" s="23"/>
      <c r="AIJ598" s="23"/>
      <c r="AIK598" s="23"/>
      <c r="AIL598" s="23"/>
      <c r="AIM598" s="23"/>
      <c r="AIN598" s="23"/>
      <c r="AIO598" s="23"/>
      <c r="AIP598" s="23"/>
      <c r="AIQ598" s="23"/>
      <c r="AIR598" s="23"/>
      <c r="AIS598" s="23"/>
      <c r="AIT598" s="23"/>
      <c r="AIU598" s="23"/>
      <c r="AIV598" s="23"/>
      <c r="AIW598" s="23"/>
      <c r="AIX598" s="23"/>
      <c r="AIY598" s="23"/>
      <c r="AIZ598" s="23"/>
      <c r="AJA598" s="23"/>
      <c r="AJB598" s="23"/>
      <c r="AJC598" s="23"/>
      <c r="AJD598" s="23"/>
      <c r="AJE598" s="23"/>
      <c r="AJF598" s="23"/>
      <c r="AJG598" s="23"/>
      <c r="AJH598" s="23"/>
      <c r="AJI598" s="23"/>
      <c r="AJJ598" s="23"/>
      <c r="AJK598" s="23"/>
      <c r="AJL598" s="23"/>
      <c r="AJM598" s="23"/>
      <c r="AJN598" s="23"/>
      <c r="AJO598" s="23"/>
      <c r="AJP598" s="23"/>
      <c r="AJQ598" s="23"/>
      <c r="AJR598" s="23"/>
      <c r="AJS598" s="23"/>
      <c r="AJT598" s="23"/>
      <c r="AJU598" s="23"/>
      <c r="AJV598" s="23"/>
      <c r="AJW598" s="23"/>
      <c r="AJX598" s="23"/>
      <c r="AJY598" s="23"/>
      <c r="AJZ598" s="23"/>
      <c r="AKA598" s="23"/>
      <c r="AKB598" s="23"/>
      <c r="AKC598" s="23"/>
      <c r="AKD598" s="23"/>
      <c r="AKE598" s="23"/>
      <c r="AKF598" s="23"/>
      <c r="AKG598" s="23"/>
      <c r="AKH598" s="23"/>
      <c r="AKI598" s="23"/>
      <c r="AKJ598" s="23"/>
      <c r="AKK598" s="23"/>
      <c r="AKL598" s="23"/>
      <c r="AKM598" s="23"/>
      <c r="AKN598" s="23"/>
      <c r="AKO598" s="23"/>
      <c r="AKP598" s="23"/>
      <c r="AKQ598" s="23"/>
      <c r="AKR598" s="23"/>
      <c r="AKS598" s="23"/>
      <c r="AKT598" s="23"/>
      <c r="AKU598" s="23"/>
      <c r="AKV598" s="23"/>
      <c r="AKW598" s="23"/>
      <c r="AKX598" s="23"/>
      <c r="AKY598" s="23"/>
      <c r="AKZ598" s="23"/>
      <c r="ALA598" s="23"/>
      <c r="ALB598" s="23"/>
      <c r="ALC598" s="23"/>
      <c r="ALD598" s="23"/>
      <c r="ALE598" s="23"/>
      <c r="ALF598" s="23"/>
      <c r="ALG598" s="23"/>
      <c r="ALH598" s="23"/>
      <c r="ALI598" s="23"/>
      <c r="ALJ598" s="23"/>
      <c r="ALK598" s="23"/>
      <c r="ALL598" s="23"/>
      <c r="ALM598" s="23"/>
      <c r="ALN598" s="23"/>
      <c r="ALO598" s="23"/>
      <c r="ALP598" s="23"/>
      <c r="ALQ598" s="23"/>
      <c r="ALR598" s="23"/>
      <c r="ALS598" s="23"/>
      <c r="ALT598" s="23"/>
      <c r="ALU598" s="23"/>
      <c r="ALV598" s="23"/>
      <c r="ALW598" s="23"/>
      <c r="ALX598" s="23"/>
      <c r="ALY598" s="23"/>
      <c r="ALZ598" s="23"/>
      <c r="AMA598" s="23"/>
      <c r="AMB598" s="23"/>
      <c r="AMC598" s="23"/>
      <c r="AMD598" s="23"/>
      <c r="AME598" s="23"/>
      <c r="AMF598" s="23"/>
      <c r="AMG598" s="23"/>
      <c r="AMH598" s="23"/>
      <c r="AMI598" s="23"/>
      <c r="AMJ598" s="23"/>
      <c r="AMK598" s="23"/>
      <c r="AML598" s="23"/>
      <c r="AMM598" s="23"/>
      <c r="AMN598" s="23"/>
      <c r="AMO598" s="23"/>
      <c r="AMP598" s="23"/>
      <c r="AMQ598" s="23"/>
      <c r="AMR598" s="23"/>
      <c r="AMS598" s="23"/>
      <c r="AMT598" s="23"/>
      <c r="AMU598" s="23"/>
      <c r="AMV598" s="23"/>
      <c r="AMW598" s="23"/>
      <c r="AMX598" s="23"/>
      <c r="AMY598" s="23"/>
      <c r="AMZ598" s="23"/>
      <c r="ANA598" s="23"/>
      <c r="ANB598" s="23"/>
      <c r="ANC598" s="23"/>
      <c r="AND598" s="23"/>
      <c r="ANE598" s="23"/>
      <c r="ANF598" s="23"/>
      <c r="ANG598" s="23"/>
      <c r="ANH598" s="23"/>
      <c r="ANI598" s="23"/>
      <c r="ANJ598" s="23"/>
      <c r="ANK598" s="23"/>
      <c r="ANL598" s="23"/>
      <c r="ANM598" s="23"/>
      <c r="ANN598" s="23"/>
      <c r="ANO598" s="23"/>
      <c r="ANP598" s="23"/>
      <c r="ANQ598" s="23"/>
      <c r="ANR598" s="23"/>
      <c r="ANS598" s="23"/>
      <c r="ANT598" s="23"/>
      <c r="ANU598" s="23"/>
      <c r="ANV598" s="23"/>
      <c r="ANW598" s="23"/>
      <c r="ANX598" s="23"/>
      <c r="ANY598" s="23"/>
      <c r="ANZ598" s="23"/>
      <c r="AOA598" s="23"/>
      <c r="AOB598" s="23"/>
      <c r="AOC598" s="23"/>
      <c r="AOD598" s="23"/>
      <c r="AOE598" s="23"/>
      <c r="AOF598" s="23"/>
      <c r="AOG598" s="23"/>
      <c r="AOH598" s="23"/>
      <c r="AOI598" s="23"/>
      <c r="AOJ598" s="23"/>
      <c r="AOK598" s="23"/>
      <c r="AOL598" s="23"/>
      <c r="AOM598" s="23"/>
      <c r="AON598" s="23"/>
      <c r="AOO598" s="23"/>
      <c r="AOP598" s="23"/>
      <c r="AOQ598" s="23"/>
      <c r="AOR598" s="23"/>
      <c r="AOS598" s="23"/>
      <c r="AOT598" s="23"/>
      <c r="AOU598" s="23"/>
      <c r="AOV598" s="23"/>
      <c r="AOW598" s="23"/>
      <c r="AOX598" s="23"/>
      <c r="AOY598" s="23"/>
      <c r="AOZ598" s="23"/>
      <c r="APA598" s="23"/>
      <c r="APB598" s="23"/>
      <c r="APC598" s="23"/>
      <c r="APD598" s="23"/>
      <c r="APE598" s="23"/>
      <c r="APF598" s="23"/>
      <c r="APG598" s="23"/>
      <c r="APH598" s="23"/>
      <c r="API598" s="23"/>
      <c r="APJ598" s="23"/>
      <c r="APK598" s="23"/>
      <c r="APL598" s="23"/>
      <c r="APM598" s="23"/>
      <c r="APN598" s="23"/>
      <c r="APO598" s="23"/>
      <c r="APP598" s="23"/>
      <c r="APQ598" s="23"/>
      <c r="APR598" s="23"/>
      <c r="APS598" s="23"/>
      <c r="APT598" s="23"/>
      <c r="APU598" s="23"/>
      <c r="APV598" s="23"/>
      <c r="APW598" s="23"/>
      <c r="APX598" s="23"/>
      <c r="APY598" s="23"/>
      <c r="APZ598" s="23"/>
      <c r="AQA598" s="23"/>
      <c r="AQB598" s="23"/>
      <c r="AQC598" s="23"/>
      <c r="AQD598" s="23"/>
      <c r="AQE598" s="23"/>
      <c r="AQF598" s="23"/>
      <c r="AQG598" s="23"/>
      <c r="AQH598" s="23"/>
      <c r="AQI598" s="23"/>
      <c r="AQJ598" s="23"/>
      <c r="AQK598" s="23"/>
      <c r="AQL598" s="23"/>
      <c r="AQM598" s="23"/>
      <c r="AQN598" s="23"/>
      <c r="AQO598" s="23"/>
      <c r="AQP598" s="23"/>
      <c r="AQQ598" s="23"/>
      <c r="AQR598" s="23"/>
      <c r="AQS598" s="23"/>
      <c r="AQT598" s="23"/>
      <c r="AQU598" s="23"/>
      <c r="AQV598" s="23"/>
      <c r="AQW598" s="23"/>
      <c r="AQX598" s="23"/>
      <c r="AQY598" s="23"/>
      <c r="AQZ598" s="23"/>
      <c r="ARA598" s="23"/>
      <c r="ARB598" s="23"/>
      <c r="ARC598" s="23"/>
      <c r="ARD598" s="23"/>
      <c r="ARE598" s="23"/>
      <c r="ARF598" s="23"/>
      <c r="ARG598" s="23"/>
      <c r="ARH598" s="23"/>
      <c r="ARI598" s="23"/>
      <c r="ARJ598" s="23"/>
      <c r="ARK598" s="23"/>
      <c r="ARL598" s="23"/>
      <c r="ARM598" s="23"/>
      <c r="ARN598" s="23"/>
      <c r="ARO598" s="23"/>
      <c r="ARP598" s="23"/>
      <c r="ARQ598" s="23"/>
      <c r="ARR598" s="23"/>
      <c r="ARS598" s="23"/>
      <c r="ART598" s="23"/>
      <c r="ARU598" s="23"/>
      <c r="ARV598" s="23"/>
      <c r="ARW598" s="23"/>
      <c r="ARX598" s="23"/>
      <c r="ARY598" s="23"/>
      <c r="ARZ598" s="23"/>
      <c r="ASA598" s="23"/>
      <c r="ASB598" s="23"/>
      <c r="ASC598" s="23"/>
      <c r="ASD598" s="23"/>
      <c r="ASE598" s="23"/>
      <c r="ASF598" s="23"/>
      <c r="ASG598" s="23"/>
      <c r="ASH598" s="23"/>
      <c r="ASI598" s="23"/>
      <c r="ASJ598" s="23"/>
      <c r="ASK598" s="23"/>
      <c r="ASL598" s="23"/>
      <c r="ASM598" s="23"/>
      <c r="ASN598" s="23"/>
      <c r="ASO598" s="23"/>
      <c r="ASP598" s="23"/>
      <c r="ASQ598" s="23"/>
      <c r="ASR598" s="23"/>
      <c r="ASS598" s="23"/>
      <c r="AST598" s="23"/>
      <c r="ASU598" s="23"/>
      <c r="ASV598" s="23"/>
      <c r="ASW598" s="23"/>
      <c r="ASX598" s="23"/>
      <c r="ASY598" s="23"/>
      <c r="ASZ598" s="23"/>
      <c r="ATA598" s="23"/>
      <c r="ATB598" s="23"/>
      <c r="ATC598" s="23"/>
      <c r="ATD598" s="23"/>
      <c r="ATE598" s="23"/>
      <c r="ATF598" s="23"/>
      <c r="ATG598" s="23"/>
      <c r="ATH598" s="23"/>
      <c r="ATI598" s="23"/>
      <c r="ATJ598" s="23"/>
      <c r="ATK598" s="23"/>
      <c r="ATL598" s="23"/>
      <c r="ATM598" s="23"/>
      <c r="ATN598" s="23"/>
      <c r="ATO598" s="23"/>
      <c r="ATP598" s="23"/>
      <c r="ATQ598" s="23"/>
      <c r="ATR598" s="23"/>
      <c r="ATS598" s="23"/>
      <c r="ATT598" s="23"/>
      <c r="ATU598" s="23"/>
      <c r="ATV598" s="23"/>
      <c r="ATW598" s="23"/>
      <c r="ATX598" s="23"/>
      <c r="ATY598" s="23"/>
      <c r="ATZ598" s="23"/>
      <c r="AUA598" s="23"/>
      <c r="AUB598" s="23"/>
      <c r="AUC598" s="23"/>
      <c r="AUD598" s="23"/>
      <c r="AUE598" s="23"/>
      <c r="AUF598" s="23"/>
      <c r="AUG598" s="23"/>
      <c r="AUH598" s="23"/>
      <c r="AUI598" s="23"/>
      <c r="AUJ598" s="23"/>
      <c r="AUK598" s="23"/>
      <c r="AUL598" s="23"/>
      <c r="AUM598" s="23"/>
      <c r="AUN598" s="23"/>
      <c r="AUO598" s="23"/>
      <c r="AUP598" s="23"/>
      <c r="AUQ598" s="23"/>
      <c r="AUR598" s="23"/>
      <c r="AUS598" s="23"/>
      <c r="AUT598" s="23"/>
      <c r="AUU598" s="23"/>
      <c r="AUV598" s="23"/>
      <c r="AUW598" s="23"/>
      <c r="AUX598" s="23"/>
      <c r="AUY598" s="23"/>
      <c r="AUZ598" s="23"/>
      <c r="AVA598" s="23"/>
      <c r="AVB598" s="23"/>
      <c r="AVC598" s="23"/>
      <c r="AVD598" s="23"/>
      <c r="AVE598" s="23"/>
      <c r="AVF598" s="23"/>
      <c r="AVG598" s="23"/>
      <c r="AVH598" s="23"/>
      <c r="AVI598" s="23"/>
      <c r="AVJ598" s="23"/>
      <c r="AVK598" s="23"/>
      <c r="AVL598" s="23"/>
      <c r="AVM598" s="23"/>
      <c r="AVN598" s="23"/>
      <c r="AVO598" s="23"/>
      <c r="AVP598" s="23"/>
      <c r="AVQ598" s="23"/>
      <c r="AVR598" s="23"/>
      <c r="AVS598" s="23"/>
      <c r="AVT598" s="23"/>
      <c r="AVU598" s="23"/>
      <c r="AVV598" s="23"/>
      <c r="AVW598" s="23"/>
      <c r="AVX598" s="23"/>
      <c r="AVY598" s="23"/>
      <c r="AVZ598" s="23"/>
      <c r="AWA598" s="23"/>
      <c r="AWB598" s="23"/>
      <c r="AWC598" s="23"/>
      <c r="AWD598" s="23"/>
      <c r="AWE598" s="23"/>
      <c r="AWF598" s="23"/>
      <c r="AWG598" s="23"/>
      <c r="AWH598" s="23"/>
      <c r="AWI598" s="23"/>
      <c r="AWJ598" s="23"/>
      <c r="AWK598" s="23"/>
      <c r="AWL598" s="23"/>
      <c r="AWM598" s="23"/>
      <c r="AWN598" s="23"/>
      <c r="AWO598" s="23"/>
      <c r="AWP598" s="23"/>
      <c r="AWQ598" s="23"/>
      <c r="AWR598" s="23"/>
      <c r="AWS598" s="23"/>
      <c r="AWT598" s="23"/>
      <c r="AWU598" s="23"/>
      <c r="AWV598" s="23"/>
      <c r="AWW598" s="23"/>
      <c r="AWX598" s="23"/>
      <c r="AWY598" s="23"/>
      <c r="AWZ598" s="23"/>
      <c r="AXA598" s="23"/>
      <c r="AXB598" s="23"/>
      <c r="AXC598" s="23"/>
      <c r="AXD598" s="23"/>
      <c r="AXE598" s="23"/>
      <c r="AXF598" s="23"/>
      <c r="AXG598" s="23"/>
      <c r="AXH598" s="23"/>
      <c r="AXI598" s="23"/>
      <c r="AXJ598" s="23"/>
      <c r="AXK598" s="23"/>
      <c r="AXL598" s="23"/>
      <c r="AXM598" s="23"/>
      <c r="AXN598" s="23"/>
      <c r="AXO598" s="23"/>
      <c r="AXP598" s="23"/>
      <c r="AXQ598" s="23"/>
      <c r="AXR598" s="23"/>
      <c r="AXS598" s="23"/>
      <c r="AXT598" s="23"/>
      <c r="AXU598" s="23"/>
      <c r="AXV598" s="23"/>
      <c r="AXW598" s="23"/>
      <c r="AXX598" s="23"/>
      <c r="AXY598" s="23"/>
      <c r="AXZ598" s="23"/>
      <c r="AYA598" s="23"/>
      <c r="AYB598" s="23"/>
      <c r="AYC598" s="23"/>
      <c r="AYD598" s="23"/>
      <c r="AYE598" s="23"/>
      <c r="AYF598" s="23"/>
      <c r="AYG598" s="23"/>
      <c r="AYH598" s="23"/>
      <c r="AYI598" s="23"/>
      <c r="AYJ598" s="23"/>
      <c r="AYK598" s="23"/>
      <c r="AYL598" s="23"/>
      <c r="AYM598" s="23"/>
      <c r="AYN598" s="23"/>
      <c r="AYO598" s="23"/>
      <c r="AYP598" s="23"/>
      <c r="AYQ598" s="23"/>
      <c r="AYR598" s="23"/>
      <c r="AYS598" s="23"/>
      <c r="AYT598" s="23"/>
      <c r="AYU598" s="23"/>
      <c r="AYV598" s="23"/>
      <c r="AYW598" s="23"/>
      <c r="AYX598" s="23"/>
      <c r="AYY598" s="23"/>
      <c r="AYZ598" s="23"/>
      <c r="AZA598" s="23"/>
      <c r="AZB598" s="23"/>
      <c r="AZC598" s="23"/>
      <c r="AZD598" s="23"/>
      <c r="AZE598" s="23"/>
      <c r="AZF598" s="23"/>
      <c r="AZG598" s="23"/>
      <c r="AZH598" s="23"/>
      <c r="AZI598" s="23"/>
      <c r="AZJ598" s="23"/>
      <c r="AZK598" s="23"/>
      <c r="AZL598" s="23"/>
      <c r="AZM598" s="23"/>
      <c r="AZN598" s="23"/>
      <c r="AZO598" s="23"/>
      <c r="AZP598" s="23"/>
      <c r="AZQ598" s="23"/>
      <c r="AZR598" s="23"/>
      <c r="AZS598" s="23"/>
      <c r="AZT598" s="23"/>
      <c r="AZU598" s="23"/>
      <c r="AZV598" s="23"/>
      <c r="AZW598" s="23"/>
      <c r="AZX598" s="23"/>
      <c r="AZY598" s="23"/>
      <c r="AZZ598" s="23"/>
      <c r="BAA598" s="23"/>
      <c r="BAB598" s="23"/>
      <c r="BAC598" s="23"/>
      <c r="BAD598" s="23"/>
      <c r="BAE598" s="23"/>
      <c r="BAF598" s="23"/>
      <c r="BAG598" s="23"/>
      <c r="BAH598" s="23"/>
      <c r="BAI598" s="23"/>
      <c r="BAJ598" s="23"/>
      <c r="BAK598" s="23"/>
      <c r="BAL598" s="23"/>
      <c r="BAM598" s="23"/>
      <c r="BAN598" s="23"/>
      <c r="BAO598" s="23"/>
      <c r="BAP598" s="23"/>
      <c r="BAQ598" s="23"/>
      <c r="BAR598" s="23"/>
      <c r="BAS598" s="23"/>
      <c r="BAT598" s="23"/>
      <c r="BAU598" s="23"/>
      <c r="BAV598" s="23"/>
      <c r="BAW598" s="23"/>
      <c r="BAX598" s="23"/>
      <c r="BAY598" s="23"/>
      <c r="BAZ598" s="23"/>
      <c r="BBA598" s="23"/>
      <c r="BBB598" s="23"/>
      <c r="BBC598" s="23"/>
      <c r="BBD598" s="23"/>
      <c r="BBE598" s="23"/>
      <c r="BBF598" s="23"/>
      <c r="BBG598" s="23"/>
      <c r="BBH598" s="23"/>
      <c r="BBI598" s="23"/>
      <c r="BBJ598" s="23"/>
      <c r="BBK598" s="23"/>
      <c r="BBL598" s="23"/>
      <c r="BBM598" s="23"/>
      <c r="BBN598" s="23"/>
      <c r="BBO598" s="23"/>
      <c r="BBP598" s="23"/>
      <c r="BBQ598" s="23"/>
      <c r="BBR598" s="23"/>
      <c r="BBS598" s="23"/>
      <c r="BBT598" s="23"/>
      <c r="BBU598" s="23"/>
      <c r="BBV598" s="23"/>
      <c r="BBW598" s="23"/>
      <c r="BBX598" s="23"/>
      <c r="BBY598" s="23"/>
      <c r="BBZ598" s="23"/>
      <c r="BCA598" s="23"/>
      <c r="BCB598" s="23"/>
      <c r="BCC598" s="23"/>
      <c r="BCD598" s="23"/>
      <c r="BCE598" s="23"/>
      <c r="BCF598" s="23"/>
      <c r="BCG598" s="23"/>
      <c r="BCH598" s="23"/>
      <c r="BCI598" s="23"/>
      <c r="BCJ598" s="23"/>
      <c r="BCK598" s="23"/>
      <c r="BCL598" s="23"/>
      <c r="BCM598" s="23"/>
      <c r="BCN598" s="23"/>
      <c r="BCO598" s="23"/>
      <c r="BCP598" s="23"/>
      <c r="BCQ598" s="23"/>
      <c r="BCR598" s="23"/>
      <c r="BCS598" s="23"/>
      <c r="BCT598" s="23"/>
      <c r="BCU598" s="23"/>
      <c r="BCV598" s="23"/>
      <c r="BCW598" s="23"/>
      <c r="BCX598" s="23"/>
      <c r="BCY598" s="23"/>
      <c r="BCZ598" s="23"/>
      <c r="BDA598" s="23"/>
      <c r="BDB598" s="23"/>
      <c r="BDC598" s="23"/>
      <c r="BDD598" s="23"/>
      <c r="BDE598" s="23"/>
      <c r="BDF598" s="23"/>
      <c r="BDG598" s="23"/>
      <c r="BDH598" s="23"/>
      <c r="BDI598" s="23"/>
      <c r="BDJ598" s="23"/>
      <c r="BDK598" s="23"/>
      <c r="BDL598" s="23"/>
      <c r="BDM598" s="23"/>
      <c r="BDN598" s="23"/>
      <c r="BDO598" s="23"/>
      <c r="BDP598" s="23"/>
      <c r="BDQ598" s="23"/>
      <c r="BDR598" s="23"/>
      <c r="BDS598" s="23"/>
      <c r="BDT598" s="23"/>
      <c r="BDU598" s="23"/>
      <c r="BDV598" s="23"/>
      <c r="BDW598" s="23"/>
      <c r="BDX598" s="23"/>
      <c r="BDY598" s="23"/>
      <c r="BDZ598" s="23"/>
      <c r="BEA598" s="23"/>
      <c r="BEB598" s="23"/>
      <c r="BEC598" s="23"/>
      <c r="BED598" s="23"/>
      <c r="BEE598" s="23"/>
      <c r="BEF598" s="23"/>
      <c r="BEG598" s="23"/>
      <c r="BEH598" s="23"/>
      <c r="BEI598" s="23"/>
      <c r="BEJ598" s="23"/>
      <c r="BEK598" s="23"/>
      <c r="BEL598" s="23"/>
      <c r="BEM598" s="23"/>
      <c r="BEN598" s="23"/>
      <c r="BEO598" s="23"/>
      <c r="BEP598" s="23"/>
      <c r="BEQ598" s="23"/>
      <c r="BER598" s="23"/>
      <c r="BES598" s="23"/>
      <c r="BET598" s="23"/>
      <c r="BEU598" s="23"/>
      <c r="BEV598" s="23"/>
      <c r="BEW598" s="23"/>
      <c r="BEX598" s="23"/>
      <c r="BEY598" s="23"/>
      <c r="BEZ598" s="23"/>
      <c r="BFA598" s="23"/>
      <c r="BFB598" s="23"/>
      <c r="BFC598" s="23"/>
      <c r="BFD598" s="23"/>
      <c r="BFE598" s="23"/>
      <c r="BFF598" s="23"/>
      <c r="BFG598" s="23"/>
      <c r="BFH598" s="23"/>
      <c r="BFI598" s="23"/>
      <c r="BFJ598" s="23"/>
      <c r="BFK598" s="23"/>
      <c r="BFL598" s="23"/>
      <c r="BFM598" s="23"/>
      <c r="BFN598" s="23"/>
      <c r="BFO598" s="23"/>
      <c r="BFP598" s="23"/>
      <c r="BFQ598" s="23"/>
      <c r="BFR598" s="23"/>
      <c r="BFS598" s="23"/>
      <c r="BFT598" s="23"/>
      <c r="BFU598" s="23"/>
      <c r="BFV598" s="23"/>
      <c r="BFW598" s="23"/>
      <c r="BFX598" s="23"/>
      <c r="BFY598" s="23"/>
      <c r="BFZ598" s="23"/>
      <c r="BGA598" s="23"/>
      <c r="BGB598" s="23"/>
      <c r="BGC598" s="23"/>
      <c r="BGD598" s="23"/>
      <c r="BGE598" s="23"/>
      <c r="BGF598" s="23"/>
      <c r="BGG598" s="23"/>
      <c r="BGH598" s="23"/>
      <c r="BGI598" s="23"/>
      <c r="BGJ598" s="23"/>
      <c r="BGK598" s="23"/>
      <c r="BGL598" s="23"/>
      <c r="BGM598" s="23"/>
      <c r="BGN598" s="23"/>
      <c r="BGO598" s="23"/>
      <c r="BGP598" s="23"/>
      <c r="BGQ598" s="23"/>
      <c r="BGR598" s="23"/>
      <c r="BGS598" s="23"/>
      <c r="BGT598" s="23"/>
      <c r="BGU598" s="23"/>
      <c r="BGV598" s="23"/>
      <c r="BGW598" s="23"/>
      <c r="BGX598" s="23"/>
      <c r="BGY598" s="23"/>
      <c r="BGZ598" s="23"/>
      <c r="BHA598" s="23"/>
      <c r="BHB598" s="23"/>
      <c r="BHC598" s="23"/>
      <c r="BHD598" s="23"/>
      <c r="BHE598" s="23"/>
      <c r="BHF598" s="23"/>
      <c r="BHG598" s="23"/>
      <c r="BHH598" s="23"/>
      <c r="BHI598" s="23"/>
      <c r="BHJ598" s="23"/>
      <c r="BHK598" s="23"/>
      <c r="BHL598" s="23"/>
      <c r="BHM598" s="23"/>
      <c r="BHN598" s="23"/>
      <c r="BHO598" s="23"/>
      <c r="BHP598" s="23"/>
      <c r="BHQ598" s="23"/>
      <c r="BHR598" s="23"/>
      <c r="BHS598" s="23"/>
      <c r="BHT598" s="23"/>
      <c r="BHU598" s="23"/>
      <c r="BHV598" s="23"/>
      <c r="BHW598" s="23"/>
      <c r="BHX598" s="23"/>
      <c r="BHY598" s="23"/>
      <c r="BHZ598" s="23"/>
      <c r="BIA598" s="23"/>
      <c r="BIB598" s="23"/>
      <c r="BIC598" s="23"/>
      <c r="BID598" s="23"/>
      <c r="BIE598" s="23"/>
      <c r="BIF598" s="23"/>
      <c r="BIG598" s="23"/>
      <c r="BIH598" s="23"/>
      <c r="BII598" s="23"/>
      <c r="BIJ598" s="23"/>
      <c r="BIK598" s="23"/>
      <c r="BIL598" s="23"/>
      <c r="BIM598" s="23"/>
      <c r="BIN598" s="23"/>
      <c r="BIO598" s="23"/>
      <c r="BIP598" s="23"/>
      <c r="BIQ598" s="23"/>
      <c r="BIR598" s="23"/>
      <c r="BIS598" s="23"/>
      <c r="BIT598" s="23"/>
      <c r="BIU598" s="23"/>
      <c r="BIV598" s="23"/>
      <c r="BIW598" s="23"/>
      <c r="BIX598" s="23"/>
      <c r="BIY598" s="23"/>
      <c r="BIZ598" s="23"/>
      <c r="BJA598" s="23"/>
      <c r="BJB598" s="23"/>
      <c r="BJC598" s="23"/>
      <c r="BJD598" s="23"/>
      <c r="BJE598" s="23"/>
      <c r="BJF598" s="23"/>
      <c r="BJG598" s="23"/>
      <c r="BJH598" s="23"/>
      <c r="BJI598" s="23"/>
      <c r="BJJ598" s="23"/>
      <c r="BJK598" s="23"/>
      <c r="BJL598" s="23"/>
      <c r="BJM598" s="23"/>
      <c r="BJN598" s="23"/>
      <c r="BJO598" s="23"/>
      <c r="BJP598" s="23"/>
      <c r="BJQ598" s="23"/>
      <c r="BJR598" s="23"/>
      <c r="BJS598" s="23"/>
      <c r="BJT598" s="23"/>
      <c r="BJU598" s="23"/>
      <c r="BJV598" s="23"/>
      <c r="BJW598" s="23"/>
      <c r="BJX598" s="23"/>
      <c r="BJY598" s="23"/>
      <c r="BJZ598" s="23"/>
      <c r="BKA598" s="23"/>
      <c r="BKB598" s="23"/>
      <c r="BKC598" s="23"/>
      <c r="BKD598" s="23"/>
      <c r="BKE598" s="23"/>
      <c r="BKF598" s="23"/>
      <c r="BKG598" s="23"/>
      <c r="BKH598" s="23"/>
      <c r="BKI598" s="23"/>
      <c r="BKJ598" s="23"/>
      <c r="BKK598" s="23"/>
      <c r="BKL598" s="23"/>
      <c r="BKM598" s="23"/>
      <c r="BKN598" s="23"/>
      <c r="BKO598" s="23"/>
      <c r="BKP598" s="23"/>
      <c r="BKQ598" s="23"/>
      <c r="BKR598" s="23"/>
      <c r="BKS598" s="23"/>
      <c r="BKT598" s="23"/>
      <c r="BKU598" s="23"/>
      <c r="BKV598" s="23"/>
      <c r="BKW598" s="23"/>
      <c r="BKX598" s="23"/>
      <c r="BKY598" s="23"/>
      <c r="BKZ598" s="23"/>
      <c r="BLA598" s="23"/>
      <c r="BLB598" s="23"/>
      <c r="BLC598" s="23"/>
      <c r="BLD598" s="23"/>
      <c r="BLE598" s="23"/>
      <c r="BLF598" s="23"/>
      <c r="BLG598" s="23"/>
      <c r="BLH598" s="23"/>
      <c r="BLI598" s="23"/>
      <c r="BLJ598" s="23"/>
      <c r="BLK598" s="23"/>
      <c r="BLL598" s="23"/>
      <c r="BLM598" s="23"/>
      <c r="BLN598" s="23"/>
      <c r="BLO598" s="23"/>
      <c r="BLP598" s="23"/>
      <c r="BLQ598" s="23"/>
      <c r="BLR598" s="23"/>
      <c r="BLS598" s="23"/>
      <c r="BLT598" s="23"/>
      <c r="BLU598" s="23"/>
      <c r="BLV598" s="23"/>
      <c r="BLW598" s="23"/>
      <c r="BLX598" s="23"/>
      <c r="BLY598" s="23"/>
      <c r="BLZ598" s="23"/>
      <c r="BMA598" s="23"/>
      <c r="BMB598" s="23"/>
      <c r="BMC598" s="23"/>
      <c r="BMD598" s="23"/>
      <c r="BME598" s="23"/>
      <c r="BMF598" s="23"/>
      <c r="BMG598" s="23"/>
      <c r="BMH598" s="23"/>
      <c r="BMI598" s="23"/>
      <c r="BMJ598" s="23"/>
      <c r="BMK598" s="23"/>
      <c r="BML598" s="23"/>
      <c r="BMM598" s="23"/>
      <c r="BMN598" s="23"/>
      <c r="BMO598" s="23"/>
      <c r="BMP598" s="23"/>
      <c r="BMQ598" s="23"/>
      <c r="BMR598" s="23"/>
      <c r="BMS598" s="23"/>
      <c r="BMT598" s="23"/>
      <c r="BMU598" s="23"/>
      <c r="BMV598" s="23"/>
      <c r="BMW598" s="23"/>
      <c r="BMX598" s="23"/>
      <c r="BMY598" s="23"/>
      <c r="BMZ598" s="23"/>
      <c r="BNA598" s="23"/>
      <c r="BNB598" s="23"/>
      <c r="BNC598" s="23"/>
      <c r="BND598" s="23"/>
      <c r="BNE598" s="23"/>
      <c r="BNF598" s="23"/>
      <c r="BNG598" s="23"/>
      <c r="BNH598" s="23"/>
      <c r="BNI598" s="23"/>
      <c r="BNJ598" s="23"/>
      <c r="BNK598" s="23"/>
      <c r="BNL598" s="23"/>
      <c r="BNM598" s="23"/>
      <c r="BNN598" s="23"/>
      <c r="BNO598" s="23"/>
      <c r="BNP598" s="23"/>
      <c r="BNQ598" s="23"/>
      <c r="BNR598" s="23"/>
      <c r="BNS598" s="23"/>
      <c r="BNT598" s="23"/>
      <c r="BNU598" s="23"/>
      <c r="BNV598" s="23"/>
      <c r="BNW598" s="23"/>
      <c r="BNX598" s="23"/>
      <c r="BNY598" s="23"/>
      <c r="BNZ598" s="23"/>
      <c r="BOA598" s="23"/>
      <c r="BOB598" s="23"/>
      <c r="BOC598" s="23"/>
      <c r="BOD598" s="23"/>
      <c r="BOE598" s="23"/>
      <c r="BOF598" s="23"/>
      <c r="BOG598" s="23"/>
      <c r="BOH598" s="23"/>
      <c r="BOI598" s="23"/>
      <c r="BOJ598" s="23"/>
      <c r="BOK598" s="23"/>
      <c r="BOL598" s="23"/>
      <c r="BOM598" s="23"/>
      <c r="BON598" s="23"/>
      <c r="BOO598" s="23"/>
      <c r="BOP598" s="23"/>
      <c r="BOQ598" s="23"/>
      <c r="BOR598" s="23"/>
      <c r="BOS598" s="23"/>
      <c r="BOT598" s="23"/>
      <c r="BOU598" s="23"/>
      <c r="BOV598" s="23"/>
      <c r="BOW598" s="23"/>
      <c r="BOX598" s="23"/>
      <c r="BOY598" s="23"/>
      <c r="BOZ598" s="23"/>
      <c r="BPA598" s="23"/>
      <c r="BPB598" s="23"/>
      <c r="BPC598" s="23"/>
      <c r="BPD598" s="23"/>
      <c r="BPE598" s="23"/>
      <c r="BPF598" s="23"/>
      <c r="BPG598" s="23"/>
      <c r="BPH598" s="23"/>
      <c r="BPI598" s="23"/>
      <c r="BPJ598" s="23"/>
      <c r="BPK598" s="23"/>
      <c r="BPL598" s="23"/>
      <c r="BPM598" s="23"/>
      <c r="BPN598" s="23"/>
      <c r="BPO598" s="23"/>
      <c r="BPP598" s="23"/>
      <c r="BPQ598" s="23"/>
      <c r="BPR598" s="23"/>
      <c r="BPS598" s="23"/>
      <c r="BPT598" s="23"/>
      <c r="BPU598" s="23"/>
      <c r="BPV598" s="23"/>
      <c r="BPW598" s="23"/>
      <c r="BPX598" s="23"/>
      <c r="BPY598" s="23"/>
      <c r="BPZ598" s="23"/>
      <c r="BQA598" s="23"/>
      <c r="BQB598" s="23"/>
      <c r="BQC598" s="23"/>
      <c r="BQD598" s="23"/>
      <c r="BQE598" s="23"/>
      <c r="BQF598" s="23"/>
      <c r="BQG598" s="23"/>
      <c r="BQH598" s="23"/>
      <c r="BQI598" s="23"/>
      <c r="BQJ598" s="23"/>
      <c r="BQK598" s="23"/>
      <c r="BQL598" s="23"/>
      <c r="BQM598" s="23"/>
      <c r="BQN598" s="23"/>
      <c r="BQO598" s="23"/>
      <c r="BQP598" s="23"/>
      <c r="BQQ598" s="23"/>
      <c r="BQR598" s="23"/>
      <c r="BQS598" s="23"/>
      <c r="BQT598" s="23"/>
      <c r="BQU598" s="23"/>
      <c r="BQV598" s="23"/>
      <c r="BQW598" s="23"/>
      <c r="BQX598" s="23"/>
      <c r="BQY598" s="23"/>
      <c r="BQZ598" s="23"/>
      <c r="BRA598" s="23"/>
      <c r="BRB598" s="23"/>
      <c r="BRC598" s="23"/>
      <c r="BRD598" s="23"/>
      <c r="BRE598" s="23"/>
      <c r="BRF598" s="23"/>
      <c r="BRG598" s="23"/>
      <c r="BRH598" s="23"/>
      <c r="BRI598" s="23"/>
      <c r="BRJ598" s="23"/>
      <c r="BRK598" s="23"/>
      <c r="BRL598" s="23"/>
      <c r="BRM598" s="23"/>
      <c r="BRN598" s="23"/>
      <c r="BRO598" s="23"/>
      <c r="BRP598" s="23"/>
      <c r="BRQ598" s="23"/>
      <c r="BRR598" s="23"/>
      <c r="BRS598" s="23"/>
      <c r="BRT598" s="23"/>
      <c r="BRU598" s="23"/>
      <c r="BRV598" s="23"/>
      <c r="BRW598" s="23"/>
      <c r="BRX598" s="23"/>
      <c r="BRY598" s="23"/>
      <c r="BRZ598" s="23"/>
      <c r="BSA598" s="23"/>
      <c r="BSB598" s="23"/>
      <c r="BSC598" s="23"/>
      <c r="BSD598" s="23"/>
      <c r="BSE598" s="23"/>
      <c r="BSF598" s="23"/>
      <c r="BSG598" s="23"/>
      <c r="BSH598" s="23"/>
      <c r="BSI598" s="23"/>
      <c r="BSJ598" s="23"/>
      <c r="BSK598" s="23"/>
      <c r="BSL598" s="23"/>
      <c r="BSM598" s="23"/>
      <c r="BSN598" s="23"/>
      <c r="BSO598" s="23"/>
      <c r="BSP598" s="23"/>
      <c r="BSQ598" s="23"/>
      <c r="BSR598" s="23"/>
      <c r="BSS598" s="23"/>
      <c r="BST598" s="23"/>
      <c r="BSU598" s="23"/>
      <c r="BSV598" s="23"/>
      <c r="BSW598" s="23"/>
      <c r="BSX598" s="23"/>
      <c r="BSY598" s="23"/>
      <c r="BSZ598" s="23"/>
      <c r="BTA598" s="23"/>
    </row>
    <row r="599" spans="1:1873" s="23" customFormat="1" x14ac:dyDescent="0.2">
      <c r="A599" s="223" t="s">
        <v>785</v>
      </c>
      <c r="B599" s="223" t="s">
        <v>786</v>
      </c>
      <c r="C599" s="223" t="s">
        <v>288</v>
      </c>
      <c r="D599" s="223" t="s">
        <v>619</v>
      </c>
      <c r="E599" s="241" t="s">
        <v>1443</v>
      </c>
      <c r="F599" s="241">
        <v>1</v>
      </c>
      <c r="G599" s="223">
        <v>7</v>
      </c>
      <c r="H599" s="242">
        <v>7</v>
      </c>
      <c r="I599" s="223" t="s">
        <v>954</v>
      </c>
      <c r="J599" s="223">
        <v>1981</v>
      </c>
      <c r="K599" s="223" t="s">
        <v>957</v>
      </c>
      <c r="L599" s="223">
        <v>1987</v>
      </c>
      <c r="M599" s="243">
        <v>-9999</v>
      </c>
      <c r="N599" s="223">
        <v>-9999</v>
      </c>
      <c r="O599" s="29"/>
      <c r="P599" s="285">
        <f t="shared" si="51"/>
        <v>59.5</v>
      </c>
      <c r="Q599" s="223">
        <v>-9999</v>
      </c>
      <c r="R599" s="243"/>
      <c r="S599" s="223"/>
      <c r="T599" s="243">
        <v>8.5</v>
      </c>
      <c r="U599" s="243">
        <v>0.9</v>
      </c>
      <c r="V599" s="243"/>
      <c r="W599" s="244">
        <f>+P599-P598</f>
        <v>7.3000000000000043</v>
      </c>
      <c r="X599" s="223">
        <v>-9999</v>
      </c>
      <c r="Y599" s="223"/>
      <c r="Z599" s="223" t="s">
        <v>793</v>
      </c>
      <c r="AA599" s="248">
        <v>10000</v>
      </c>
      <c r="AB599" s="243">
        <v>0.92</v>
      </c>
      <c r="AC599" s="223">
        <v>-9999</v>
      </c>
      <c r="AD599" s="223">
        <f t="shared" si="50"/>
        <v>400</v>
      </c>
      <c r="AE599" s="404" t="s">
        <v>1957</v>
      </c>
      <c r="AF599" s="223">
        <v>4</v>
      </c>
      <c r="AG599" s="223">
        <v>2</v>
      </c>
      <c r="AH599" s="223" t="s">
        <v>623</v>
      </c>
      <c r="AI599" s="223">
        <v>-9999</v>
      </c>
      <c r="AJ599" s="223">
        <v>-9999</v>
      </c>
      <c r="AK599" s="223" t="s">
        <v>626</v>
      </c>
      <c r="AL599" s="223" t="s">
        <v>653</v>
      </c>
      <c r="AM599" s="223">
        <v>-9999</v>
      </c>
      <c r="AN599" s="223" t="s">
        <v>631</v>
      </c>
      <c r="AO599" s="223">
        <v>-9999</v>
      </c>
      <c r="AP599" s="223">
        <v>-9999</v>
      </c>
      <c r="AQ599" s="223" t="s">
        <v>631</v>
      </c>
      <c r="AR599" s="223">
        <v>0</v>
      </c>
      <c r="AS599" s="223">
        <v>-9999</v>
      </c>
      <c r="AT599" s="223">
        <v>-9999</v>
      </c>
      <c r="AU599" s="223">
        <v>0</v>
      </c>
      <c r="AV599" s="223">
        <v>-9999</v>
      </c>
      <c r="AW599" s="223">
        <v>-9999</v>
      </c>
      <c r="AX599" s="223">
        <v>0</v>
      </c>
      <c r="AY599" s="223">
        <v>-9999</v>
      </c>
      <c r="AZ599" s="223">
        <v>-9999</v>
      </c>
      <c r="BA599" s="223" t="s">
        <v>794</v>
      </c>
      <c r="BB599" s="223" t="s">
        <v>626</v>
      </c>
      <c r="BC599" s="223" t="s">
        <v>795</v>
      </c>
      <c r="BD599" s="223" t="s">
        <v>796</v>
      </c>
      <c r="BE599" s="223"/>
      <c r="BF599" s="223"/>
      <c r="BG599" s="223"/>
      <c r="BH599" s="223">
        <v>-9999</v>
      </c>
      <c r="BI599" s="223">
        <v>-9999</v>
      </c>
      <c r="BJ599" s="223">
        <v>-9999</v>
      </c>
      <c r="BK599" s="223">
        <v>-9999</v>
      </c>
      <c r="BL599" s="223">
        <v>-9999</v>
      </c>
      <c r="BM599" s="223">
        <v>-9999</v>
      </c>
      <c r="BN599" s="223">
        <v>-9999</v>
      </c>
      <c r="BO599" s="223">
        <v>-9999</v>
      </c>
      <c r="BP599" s="223">
        <v>-9999</v>
      </c>
      <c r="BQ599" s="223">
        <v>-9999</v>
      </c>
      <c r="BR599" s="223">
        <v>-9999</v>
      </c>
      <c r="BS599" s="242">
        <v>-9999</v>
      </c>
      <c r="BT599" s="223">
        <v>-9999</v>
      </c>
      <c r="BU599" s="223">
        <v>-9999</v>
      </c>
      <c r="BV599" s="223">
        <v>-9999</v>
      </c>
      <c r="BW599" s="223"/>
      <c r="BX599" s="223">
        <v>-9999</v>
      </c>
      <c r="BY599" s="223">
        <v>-9999</v>
      </c>
      <c r="BZ599" s="223">
        <v>-9999</v>
      </c>
      <c r="CA599" s="332" t="s">
        <v>797</v>
      </c>
      <c r="CB599" s="247"/>
      <c r="CC599" s="83">
        <v>1</v>
      </c>
      <c r="CD599" s="32">
        <v>7</v>
      </c>
      <c r="CE599" s="292">
        <v>8.5</v>
      </c>
      <c r="CF599" s="292">
        <v>7.3000000000000043</v>
      </c>
      <c r="CG599" s="84">
        <v>7</v>
      </c>
    </row>
    <row r="600" spans="1:1873" s="23" customFormat="1" x14ac:dyDescent="0.2">
      <c r="A600" s="223" t="s">
        <v>785</v>
      </c>
      <c r="B600" s="223" t="s">
        <v>786</v>
      </c>
      <c r="C600" s="223" t="s">
        <v>288</v>
      </c>
      <c r="D600" s="223" t="s">
        <v>619</v>
      </c>
      <c r="E600" s="241" t="s">
        <v>1443</v>
      </c>
      <c r="F600" s="241">
        <v>1</v>
      </c>
      <c r="G600" s="223">
        <v>8</v>
      </c>
      <c r="H600" s="242">
        <v>8</v>
      </c>
      <c r="I600" s="223" t="s">
        <v>954</v>
      </c>
      <c r="J600" s="223">
        <v>1981</v>
      </c>
      <c r="K600" s="223" t="s">
        <v>957</v>
      </c>
      <c r="L600" s="223">
        <v>1988</v>
      </c>
      <c r="M600" s="243">
        <v>-9999</v>
      </c>
      <c r="N600" s="223">
        <v>-9999</v>
      </c>
      <c r="O600" s="29"/>
      <c r="P600" s="285">
        <f t="shared" si="51"/>
        <v>60.8</v>
      </c>
      <c r="Q600" s="223">
        <v>-9999</v>
      </c>
      <c r="R600" s="243"/>
      <c r="S600" s="223"/>
      <c r="T600" s="243">
        <v>7.6</v>
      </c>
      <c r="U600" s="243">
        <v>0.9</v>
      </c>
      <c r="V600" s="243"/>
      <c r="W600" s="244">
        <f>+P600-P599</f>
        <v>1.2999999999999972</v>
      </c>
      <c r="X600" s="223">
        <v>-9999</v>
      </c>
      <c r="Y600" s="223"/>
      <c r="Z600" s="223" t="s">
        <v>793</v>
      </c>
      <c r="AA600" s="248">
        <v>10000</v>
      </c>
      <c r="AB600" s="243">
        <v>0.79</v>
      </c>
      <c r="AC600" s="223">
        <v>-9999</v>
      </c>
      <c r="AD600" s="223">
        <f t="shared" si="50"/>
        <v>400</v>
      </c>
      <c r="AE600" s="404" t="s">
        <v>1957</v>
      </c>
      <c r="AF600" s="223">
        <v>4</v>
      </c>
      <c r="AG600" s="223">
        <v>2</v>
      </c>
      <c r="AH600" s="223" t="s">
        <v>623</v>
      </c>
      <c r="AI600" s="223">
        <v>-9999</v>
      </c>
      <c r="AJ600" s="223">
        <v>-9999</v>
      </c>
      <c r="AK600" s="223" t="s">
        <v>626</v>
      </c>
      <c r="AL600" s="223" t="s">
        <v>653</v>
      </c>
      <c r="AM600" s="223">
        <v>-9999</v>
      </c>
      <c r="AN600" s="223" t="s">
        <v>631</v>
      </c>
      <c r="AO600" s="223">
        <v>-9999</v>
      </c>
      <c r="AP600" s="223">
        <v>-9999</v>
      </c>
      <c r="AQ600" s="223" t="s">
        <v>631</v>
      </c>
      <c r="AR600" s="223">
        <v>0</v>
      </c>
      <c r="AS600" s="223">
        <v>-9999</v>
      </c>
      <c r="AT600" s="223">
        <v>-9999</v>
      </c>
      <c r="AU600" s="223">
        <v>0</v>
      </c>
      <c r="AV600" s="223">
        <v>-9999</v>
      </c>
      <c r="AW600" s="223">
        <v>-9999</v>
      </c>
      <c r="AX600" s="223">
        <v>0</v>
      </c>
      <c r="AY600" s="223">
        <v>-9999</v>
      </c>
      <c r="AZ600" s="223">
        <v>-9999</v>
      </c>
      <c r="BA600" s="223" t="s">
        <v>794</v>
      </c>
      <c r="BB600" s="223" t="s">
        <v>626</v>
      </c>
      <c r="BC600" s="223" t="s">
        <v>795</v>
      </c>
      <c r="BD600" s="223" t="s">
        <v>796</v>
      </c>
      <c r="BE600" s="223"/>
      <c r="BF600" s="223"/>
      <c r="BG600" s="223"/>
      <c r="BH600" s="223">
        <v>-9999</v>
      </c>
      <c r="BI600" s="223">
        <v>-9999</v>
      </c>
      <c r="BJ600" s="223">
        <v>-9999</v>
      </c>
      <c r="BK600" s="223">
        <v>-9999</v>
      </c>
      <c r="BL600" s="223">
        <v>-9999</v>
      </c>
      <c r="BM600" s="223">
        <v>-9999</v>
      </c>
      <c r="BN600" s="223">
        <v>-9999</v>
      </c>
      <c r="BO600" s="223">
        <v>-9999</v>
      </c>
      <c r="BP600" s="223">
        <v>-9999</v>
      </c>
      <c r="BQ600" s="223">
        <v>-9999</v>
      </c>
      <c r="BR600" s="223">
        <v>-9999</v>
      </c>
      <c r="BS600" s="242">
        <v>-9999</v>
      </c>
      <c r="BT600" s="223">
        <v>-9999</v>
      </c>
      <c r="BU600" s="223">
        <v>-9999</v>
      </c>
      <c r="BV600" s="223">
        <v>-9999</v>
      </c>
      <c r="BW600" s="223"/>
      <c r="BX600" s="223">
        <v>-9999</v>
      </c>
      <c r="BY600" s="223">
        <v>-9999</v>
      </c>
      <c r="BZ600" s="223">
        <v>-9999</v>
      </c>
      <c r="CA600" s="332" t="s">
        <v>797</v>
      </c>
      <c r="CB600" s="247"/>
      <c r="CC600" s="83">
        <v>1</v>
      </c>
      <c r="CD600" s="32">
        <v>8</v>
      </c>
      <c r="CE600" s="292">
        <v>7.6</v>
      </c>
      <c r="CF600" s="292">
        <v>1.2999999999999972</v>
      </c>
      <c r="CG600" s="84">
        <v>8</v>
      </c>
    </row>
    <row r="601" spans="1:1873" s="23" customFormat="1" x14ac:dyDescent="0.2">
      <c r="A601" s="223"/>
      <c r="B601" s="223"/>
      <c r="C601" s="223"/>
      <c r="D601" s="223"/>
      <c r="E601" s="241"/>
      <c r="F601" s="241"/>
      <c r="G601" s="223"/>
      <c r="H601" s="242"/>
      <c r="I601" s="223"/>
      <c r="J601" s="223"/>
      <c r="K601" s="223"/>
      <c r="L601" s="223"/>
      <c r="M601" s="243"/>
      <c r="N601" s="223"/>
      <c r="O601" s="29"/>
      <c r="P601" s="243"/>
      <c r="Q601" s="223"/>
      <c r="R601" s="243"/>
      <c r="S601" s="223"/>
      <c r="T601" s="243"/>
      <c r="U601" s="243"/>
      <c r="V601" s="243"/>
      <c r="W601" s="243"/>
      <c r="X601" s="223"/>
      <c r="Y601" s="223"/>
      <c r="Z601" s="223"/>
      <c r="AA601" s="248"/>
      <c r="AB601" s="243"/>
      <c r="AC601" s="223"/>
      <c r="AD601" s="223"/>
      <c r="AE601" s="223"/>
      <c r="AF601" s="223"/>
      <c r="AG601" s="223"/>
      <c r="AH601" s="223"/>
      <c r="AI601" s="223"/>
      <c r="AJ601" s="223"/>
      <c r="AK601" s="223"/>
      <c r="AL601" s="223"/>
      <c r="AM601" s="223"/>
      <c r="AN601" s="223"/>
      <c r="AO601" s="223"/>
      <c r="AP601" s="223"/>
      <c r="AQ601" s="223"/>
      <c r="AR601" s="223"/>
      <c r="AS601" s="223"/>
      <c r="AT601" s="223"/>
      <c r="AU601" s="223"/>
      <c r="AV601" s="223"/>
      <c r="AW601" s="223"/>
      <c r="AX601" s="223"/>
      <c r="AY601" s="223"/>
      <c r="AZ601" s="223"/>
      <c r="BA601" s="223"/>
      <c r="BB601" s="223"/>
      <c r="BC601" s="223"/>
      <c r="BD601" s="223"/>
      <c r="BE601" s="223"/>
      <c r="BF601" s="223"/>
      <c r="BG601" s="223"/>
      <c r="BH601" s="223"/>
      <c r="BI601" s="223"/>
      <c r="BJ601" s="223"/>
      <c r="BK601" s="223"/>
      <c r="BL601" s="223"/>
      <c r="BM601" s="223"/>
      <c r="BN601" s="223"/>
      <c r="BO601" s="223"/>
      <c r="BP601" s="223"/>
      <c r="BQ601" s="223"/>
      <c r="BR601" s="223"/>
      <c r="BS601" s="242"/>
      <c r="BT601" s="223"/>
      <c r="BU601" s="223"/>
      <c r="BV601" s="223"/>
      <c r="BW601" s="223"/>
      <c r="BX601" s="223"/>
      <c r="BY601" s="223"/>
      <c r="BZ601" s="223"/>
      <c r="CA601" s="332"/>
      <c r="CB601" s="247"/>
      <c r="CC601" s="83"/>
      <c r="CD601" s="32"/>
      <c r="CE601" s="342" t="s">
        <v>1576</v>
      </c>
      <c r="CF601" s="342" t="s">
        <v>1575</v>
      </c>
      <c r="CG601" s="84"/>
    </row>
    <row r="602" spans="1:1873" s="23" customFormat="1" x14ac:dyDescent="0.2">
      <c r="A602" s="223" t="s">
        <v>785</v>
      </c>
      <c r="B602" s="223" t="s">
        <v>786</v>
      </c>
      <c r="C602" s="223" t="s">
        <v>289</v>
      </c>
      <c r="D602" s="223" t="s">
        <v>619</v>
      </c>
      <c r="E602" s="241" t="s">
        <v>1443</v>
      </c>
      <c r="F602" s="241">
        <v>1</v>
      </c>
      <c r="G602" s="223">
        <v>3</v>
      </c>
      <c r="H602" s="242">
        <v>3</v>
      </c>
      <c r="I602" s="223" t="s">
        <v>954</v>
      </c>
      <c r="J602" s="223">
        <v>1981</v>
      </c>
      <c r="K602" s="223" t="s">
        <v>957</v>
      </c>
      <c r="L602" s="223">
        <v>1983</v>
      </c>
      <c r="M602" s="243">
        <v>-9999</v>
      </c>
      <c r="N602" s="223">
        <v>-9999</v>
      </c>
      <c r="O602" s="29"/>
      <c r="P602" s="285">
        <f t="shared" ref="P602:P607" si="52">+T602*G602</f>
        <v>2.7</v>
      </c>
      <c r="Q602" s="223">
        <v>-9999</v>
      </c>
      <c r="R602" s="243"/>
      <c r="S602" s="223"/>
      <c r="T602" s="243">
        <v>0.9</v>
      </c>
      <c r="U602" s="243">
        <v>0.4</v>
      </c>
      <c r="V602" s="243"/>
      <c r="W602" s="243"/>
      <c r="X602" s="223">
        <v>-9999</v>
      </c>
      <c r="Y602" s="223"/>
      <c r="Z602" s="223" t="s">
        <v>75</v>
      </c>
      <c r="AA602" s="245">
        <v>5000</v>
      </c>
      <c r="AB602" s="243">
        <v>1</v>
      </c>
      <c r="AC602" s="223">
        <v>-9999</v>
      </c>
      <c r="AD602" s="223">
        <f t="shared" si="50"/>
        <v>400</v>
      </c>
      <c r="AE602" s="404" t="s">
        <v>1952</v>
      </c>
      <c r="AF602" s="223">
        <v>4</v>
      </c>
      <c r="AG602" s="223">
        <v>2</v>
      </c>
      <c r="AH602" s="223" t="s">
        <v>623</v>
      </c>
      <c r="AI602" s="223">
        <v>-9999</v>
      </c>
      <c r="AJ602" s="223">
        <v>-9999</v>
      </c>
      <c r="AK602" s="223" t="s">
        <v>626</v>
      </c>
      <c r="AL602" s="223" t="s">
        <v>653</v>
      </c>
      <c r="AM602" s="223">
        <v>-9999</v>
      </c>
      <c r="AN602" s="223" t="s">
        <v>631</v>
      </c>
      <c r="AO602" s="223">
        <v>-9999</v>
      </c>
      <c r="AP602" s="223">
        <v>-9999</v>
      </c>
      <c r="AQ602" s="223" t="s">
        <v>631</v>
      </c>
      <c r="AR602" s="223">
        <v>0</v>
      </c>
      <c r="AS602" s="223">
        <v>-9999</v>
      </c>
      <c r="AT602" s="223">
        <v>-9999</v>
      </c>
      <c r="AU602" s="223">
        <v>0</v>
      </c>
      <c r="AV602" s="223">
        <v>-9999</v>
      </c>
      <c r="AW602" s="223">
        <v>-9999</v>
      </c>
      <c r="AX602" s="223">
        <v>0</v>
      </c>
      <c r="AY602" s="223">
        <v>-9999</v>
      </c>
      <c r="AZ602" s="223">
        <v>-9999</v>
      </c>
      <c r="BA602" s="223" t="s">
        <v>794</v>
      </c>
      <c r="BB602" s="223" t="s">
        <v>626</v>
      </c>
      <c r="BC602" s="223" t="s">
        <v>795</v>
      </c>
      <c r="BD602" s="223" t="s">
        <v>796</v>
      </c>
      <c r="BE602" s="223"/>
      <c r="BF602" s="223"/>
      <c r="BG602" s="223"/>
      <c r="BH602" s="223">
        <v>-9999</v>
      </c>
      <c r="BI602" s="223">
        <v>-9999</v>
      </c>
      <c r="BJ602" s="223">
        <v>-9999</v>
      </c>
      <c r="BK602" s="223">
        <v>-9999</v>
      </c>
      <c r="BL602" s="223">
        <v>-9999</v>
      </c>
      <c r="BM602" s="223">
        <v>-9999</v>
      </c>
      <c r="BN602" s="223">
        <v>-9999</v>
      </c>
      <c r="BO602" s="223">
        <v>-9999</v>
      </c>
      <c r="BP602" s="223">
        <v>-9999</v>
      </c>
      <c r="BQ602" s="223">
        <v>-9999</v>
      </c>
      <c r="BR602" s="223">
        <v>-9999</v>
      </c>
      <c r="BS602" s="242">
        <v>-9999</v>
      </c>
      <c r="BT602" s="223">
        <v>-9999</v>
      </c>
      <c r="BU602" s="223">
        <v>-9999</v>
      </c>
      <c r="BV602" s="223">
        <v>-9999</v>
      </c>
      <c r="BW602" s="223"/>
      <c r="BX602" s="223">
        <v>-9999</v>
      </c>
      <c r="BY602" s="223">
        <v>-9999</v>
      </c>
      <c r="BZ602" s="223">
        <v>-9999</v>
      </c>
      <c r="CA602" s="332" t="s">
        <v>797</v>
      </c>
      <c r="CB602" s="247"/>
      <c r="CC602" s="83">
        <v>1</v>
      </c>
      <c r="CD602" s="32">
        <v>3</v>
      </c>
      <c r="CE602" s="292">
        <v>0.9</v>
      </c>
      <c r="CF602" s="292"/>
      <c r="CG602" s="84">
        <v>3</v>
      </c>
    </row>
    <row r="603" spans="1:1873" s="23" customFormat="1" x14ac:dyDescent="0.2">
      <c r="A603" s="223" t="s">
        <v>785</v>
      </c>
      <c r="B603" s="223" t="s">
        <v>786</v>
      </c>
      <c r="C603" s="223" t="s">
        <v>289</v>
      </c>
      <c r="D603" s="223" t="s">
        <v>619</v>
      </c>
      <c r="E603" s="241" t="s">
        <v>1443</v>
      </c>
      <c r="F603" s="241">
        <v>1</v>
      </c>
      <c r="G603" s="223">
        <v>4</v>
      </c>
      <c r="H603" s="242">
        <v>4</v>
      </c>
      <c r="I603" s="223" t="s">
        <v>954</v>
      </c>
      <c r="J603" s="223">
        <v>1981</v>
      </c>
      <c r="K603" s="223" t="s">
        <v>957</v>
      </c>
      <c r="L603" s="223">
        <v>1984</v>
      </c>
      <c r="M603" s="243">
        <v>-9999</v>
      </c>
      <c r="N603" s="223">
        <v>-9999</v>
      </c>
      <c r="O603" s="29"/>
      <c r="P603" s="285">
        <f t="shared" si="52"/>
        <v>14.4</v>
      </c>
      <c r="Q603" s="223">
        <v>-9999</v>
      </c>
      <c r="R603" s="243"/>
      <c r="S603" s="223"/>
      <c r="T603" s="243">
        <v>3.6</v>
      </c>
      <c r="U603" s="243">
        <v>1.3</v>
      </c>
      <c r="V603" s="243"/>
      <c r="W603" s="244">
        <f>+P603-P602</f>
        <v>11.7</v>
      </c>
      <c r="X603" s="223">
        <v>-9999</v>
      </c>
      <c r="Y603" s="223"/>
      <c r="Z603" s="223" t="s">
        <v>75</v>
      </c>
      <c r="AA603" s="245">
        <v>5000</v>
      </c>
      <c r="AB603" s="285">
        <v>0.99</v>
      </c>
      <c r="AC603" s="223">
        <v>-9999</v>
      </c>
      <c r="AD603" s="223">
        <f t="shared" si="50"/>
        <v>400</v>
      </c>
      <c r="AE603" s="404" t="s">
        <v>1952</v>
      </c>
      <c r="AF603" s="223">
        <v>4</v>
      </c>
      <c r="AG603" s="223">
        <v>2</v>
      </c>
      <c r="AH603" s="223" t="s">
        <v>623</v>
      </c>
      <c r="AI603" s="223">
        <v>-9999</v>
      </c>
      <c r="AJ603" s="223">
        <v>-9999</v>
      </c>
      <c r="AK603" s="223" t="s">
        <v>626</v>
      </c>
      <c r="AL603" s="223" t="s">
        <v>653</v>
      </c>
      <c r="AM603" s="223">
        <v>-9999</v>
      </c>
      <c r="AN603" s="223" t="s">
        <v>631</v>
      </c>
      <c r="AO603" s="223">
        <v>-9999</v>
      </c>
      <c r="AP603" s="223">
        <v>-9999</v>
      </c>
      <c r="AQ603" s="223" t="s">
        <v>631</v>
      </c>
      <c r="AR603" s="223">
        <v>0</v>
      </c>
      <c r="AS603" s="223">
        <v>-9999</v>
      </c>
      <c r="AT603" s="223">
        <v>-9999</v>
      </c>
      <c r="AU603" s="223">
        <v>0</v>
      </c>
      <c r="AV603" s="223">
        <v>-9999</v>
      </c>
      <c r="AW603" s="223">
        <v>-9999</v>
      </c>
      <c r="AX603" s="223">
        <v>0</v>
      </c>
      <c r="AY603" s="223">
        <v>-9999</v>
      </c>
      <c r="AZ603" s="223">
        <v>-9999</v>
      </c>
      <c r="BA603" s="223" t="s">
        <v>794</v>
      </c>
      <c r="BB603" s="223" t="s">
        <v>626</v>
      </c>
      <c r="BC603" s="223" t="s">
        <v>795</v>
      </c>
      <c r="BD603" s="223" t="s">
        <v>796</v>
      </c>
      <c r="BE603" s="223"/>
      <c r="BF603" s="223"/>
      <c r="BG603" s="223"/>
      <c r="BH603" s="223">
        <v>-9999</v>
      </c>
      <c r="BI603" s="223">
        <v>-9999</v>
      </c>
      <c r="BJ603" s="223">
        <v>-9999</v>
      </c>
      <c r="BK603" s="223">
        <v>-9999</v>
      </c>
      <c r="BL603" s="223">
        <v>-9999</v>
      </c>
      <c r="BM603" s="223">
        <v>-9999</v>
      </c>
      <c r="BN603" s="223">
        <v>-9999</v>
      </c>
      <c r="BO603" s="223">
        <v>-9999</v>
      </c>
      <c r="BP603" s="223">
        <v>-9999</v>
      </c>
      <c r="BQ603" s="223">
        <v>-9999</v>
      </c>
      <c r="BR603" s="223">
        <v>-9999</v>
      </c>
      <c r="BS603" s="242">
        <v>-9999</v>
      </c>
      <c r="BT603" s="223">
        <v>-9999</v>
      </c>
      <c r="BU603" s="223">
        <v>-9999</v>
      </c>
      <c r="BV603" s="223">
        <v>-9999</v>
      </c>
      <c r="BW603" s="223"/>
      <c r="BX603" s="223">
        <v>-9999</v>
      </c>
      <c r="BY603" s="223">
        <v>-9999</v>
      </c>
      <c r="BZ603" s="223">
        <v>-9999</v>
      </c>
      <c r="CA603" s="332" t="s">
        <v>797</v>
      </c>
      <c r="CB603" s="247"/>
      <c r="CC603" s="83">
        <v>1</v>
      </c>
      <c r="CD603" s="32">
        <v>4</v>
      </c>
      <c r="CE603" s="292">
        <v>3.6</v>
      </c>
      <c r="CF603" s="292">
        <v>11.7</v>
      </c>
      <c r="CG603" s="84">
        <v>4</v>
      </c>
    </row>
    <row r="604" spans="1:1873" s="23" customFormat="1" x14ac:dyDescent="0.2">
      <c r="A604" s="223" t="s">
        <v>785</v>
      </c>
      <c r="B604" s="223" t="s">
        <v>786</v>
      </c>
      <c r="C604" s="223" t="s">
        <v>289</v>
      </c>
      <c r="D604" s="223" t="s">
        <v>619</v>
      </c>
      <c r="E604" s="241" t="s">
        <v>1443</v>
      </c>
      <c r="F604" s="241">
        <v>1</v>
      </c>
      <c r="G604" s="223">
        <v>5</v>
      </c>
      <c r="H604" s="242">
        <v>5</v>
      </c>
      <c r="I604" s="223" t="s">
        <v>954</v>
      </c>
      <c r="J604" s="223">
        <v>1981</v>
      </c>
      <c r="K604" s="223" t="s">
        <v>957</v>
      </c>
      <c r="L604" s="223">
        <v>1985</v>
      </c>
      <c r="M604" s="243">
        <v>-9999</v>
      </c>
      <c r="N604" s="223">
        <v>-9999</v>
      </c>
      <c r="O604" s="29"/>
      <c r="P604" s="285">
        <f t="shared" si="52"/>
        <v>31.5</v>
      </c>
      <c r="Q604" s="223">
        <v>-9999</v>
      </c>
      <c r="R604" s="243"/>
      <c r="S604" s="223"/>
      <c r="T604" s="243">
        <v>6.3</v>
      </c>
      <c r="U604" s="243">
        <v>2.2000000000000002</v>
      </c>
      <c r="V604" s="243"/>
      <c r="W604" s="244">
        <f>+P604-P603</f>
        <v>17.100000000000001</v>
      </c>
      <c r="X604" s="223">
        <v>-9999</v>
      </c>
      <c r="Y604" s="223"/>
      <c r="Z604" s="223" t="s">
        <v>75</v>
      </c>
      <c r="AA604" s="245">
        <v>5000</v>
      </c>
      <c r="AB604" s="285">
        <v>0.97</v>
      </c>
      <c r="AC604" s="223">
        <v>-9999</v>
      </c>
      <c r="AD604" s="223">
        <f t="shared" si="50"/>
        <v>400</v>
      </c>
      <c r="AE604" s="404" t="s">
        <v>1952</v>
      </c>
      <c r="AF604" s="223">
        <v>4</v>
      </c>
      <c r="AG604" s="223">
        <v>2</v>
      </c>
      <c r="AH604" s="223" t="s">
        <v>623</v>
      </c>
      <c r="AI604" s="223">
        <v>-9999</v>
      </c>
      <c r="AJ604" s="223">
        <v>-9999</v>
      </c>
      <c r="AK604" s="223" t="s">
        <v>626</v>
      </c>
      <c r="AL604" s="223" t="s">
        <v>653</v>
      </c>
      <c r="AM604" s="223">
        <v>-9999</v>
      </c>
      <c r="AN604" s="223" t="s">
        <v>631</v>
      </c>
      <c r="AO604" s="223">
        <v>-9999</v>
      </c>
      <c r="AP604" s="223">
        <v>-9999</v>
      </c>
      <c r="AQ604" s="223" t="s">
        <v>631</v>
      </c>
      <c r="AR604" s="223">
        <v>0</v>
      </c>
      <c r="AS604" s="223">
        <v>-9999</v>
      </c>
      <c r="AT604" s="223">
        <v>-9999</v>
      </c>
      <c r="AU604" s="223">
        <v>0</v>
      </c>
      <c r="AV604" s="223">
        <v>-9999</v>
      </c>
      <c r="AW604" s="223">
        <v>-9999</v>
      </c>
      <c r="AX604" s="223">
        <v>0</v>
      </c>
      <c r="AY604" s="223">
        <v>-9999</v>
      </c>
      <c r="AZ604" s="223">
        <v>-9999</v>
      </c>
      <c r="BA604" s="223" t="s">
        <v>794</v>
      </c>
      <c r="BB604" s="223" t="s">
        <v>626</v>
      </c>
      <c r="BC604" s="223" t="s">
        <v>795</v>
      </c>
      <c r="BD604" s="223" t="s">
        <v>796</v>
      </c>
      <c r="BE604" s="223"/>
      <c r="BF604" s="223"/>
      <c r="BG604" s="223"/>
      <c r="BH604" s="223">
        <v>-9999</v>
      </c>
      <c r="BI604" s="223">
        <v>-9999</v>
      </c>
      <c r="BJ604" s="223">
        <v>-9999</v>
      </c>
      <c r="BK604" s="223">
        <v>-9999</v>
      </c>
      <c r="BL604" s="223">
        <v>-9999</v>
      </c>
      <c r="BM604" s="223">
        <v>-9999</v>
      </c>
      <c r="BN604" s="223">
        <v>-9999</v>
      </c>
      <c r="BO604" s="223">
        <v>-9999</v>
      </c>
      <c r="BP604" s="223">
        <v>-9999</v>
      </c>
      <c r="BQ604" s="223">
        <v>-9999</v>
      </c>
      <c r="BR604" s="223">
        <v>-9999</v>
      </c>
      <c r="BS604" s="242">
        <v>-9999</v>
      </c>
      <c r="BT604" s="223">
        <v>-9999</v>
      </c>
      <c r="BU604" s="223">
        <v>-9999</v>
      </c>
      <c r="BV604" s="223">
        <v>-9999</v>
      </c>
      <c r="BW604" s="223"/>
      <c r="BX604" s="223">
        <v>-9999</v>
      </c>
      <c r="BY604" s="223">
        <v>-9999</v>
      </c>
      <c r="BZ604" s="223">
        <v>-9999</v>
      </c>
      <c r="CA604" s="332" t="s">
        <v>797</v>
      </c>
      <c r="CB604" s="247"/>
      <c r="CC604" s="83">
        <v>1</v>
      </c>
      <c r="CD604" s="32">
        <v>5</v>
      </c>
      <c r="CE604" s="292">
        <v>6.3</v>
      </c>
      <c r="CF604" s="292">
        <v>17.100000000000001</v>
      </c>
      <c r="CG604" s="84">
        <v>5</v>
      </c>
    </row>
    <row r="605" spans="1:1873" s="23" customFormat="1" x14ac:dyDescent="0.2">
      <c r="A605" s="223" t="s">
        <v>785</v>
      </c>
      <c r="B605" s="223" t="s">
        <v>786</v>
      </c>
      <c r="C605" s="223" t="s">
        <v>289</v>
      </c>
      <c r="D605" s="223" t="s">
        <v>619</v>
      </c>
      <c r="E605" s="241" t="s">
        <v>1443</v>
      </c>
      <c r="F605" s="241">
        <v>1</v>
      </c>
      <c r="G605" s="223">
        <v>6</v>
      </c>
      <c r="H605" s="242">
        <v>6</v>
      </c>
      <c r="I605" s="223" t="s">
        <v>954</v>
      </c>
      <c r="J605" s="223">
        <v>1981</v>
      </c>
      <c r="K605" s="223" t="s">
        <v>957</v>
      </c>
      <c r="L605" s="223">
        <v>1986</v>
      </c>
      <c r="M605" s="243">
        <v>-9999</v>
      </c>
      <c r="N605" s="223">
        <v>-9999</v>
      </c>
      <c r="O605" s="29"/>
      <c r="P605" s="285">
        <f t="shared" si="52"/>
        <v>48.599999999999994</v>
      </c>
      <c r="Q605" s="223">
        <v>-9999</v>
      </c>
      <c r="R605" s="243"/>
      <c r="S605" s="223"/>
      <c r="T605" s="243">
        <v>8.1</v>
      </c>
      <c r="U605" s="243">
        <v>2.2000000000000002</v>
      </c>
      <c r="V605" s="243"/>
      <c r="W605" s="244">
        <f>+P605-P604</f>
        <v>17.099999999999994</v>
      </c>
      <c r="X605" s="223">
        <v>-9999</v>
      </c>
      <c r="Y605" s="223"/>
      <c r="Z605" s="223" t="s">
        <v>75</v>
      </c>
      <c r="AA605" s="245">
        <v>5000</v>
      </c>
      <c r="AB605" s="243">
        <v>0.95</v>
      </c>
      <c r="AC605" s="223">
        <v>-9999</v>
      </c>
      <c r="AD605" s="223">
        <f t="shared" si="50"/>
        <v>400</v>
      </c>
      <c r="AE605" s="404" t="s">
        <v>1952</v>
      </c>
      <c r="AF605" s="223">
        <v>4</v>
      </c>
      <c r="AG605" s="223">
        <v>2</v>
      </c>
      <c r="AH605" s="223" t="s">
        <v>623</v>
      </c>
      <c r="AI605" s="223">
        <v>-9999</v>
      </c>
      <c r="AJ605" s="223">
        <v>-9999</v>
      </c>
      <c r="AK605" s="223" t="s">
        <v>626</v>
      </c>
      <c r="AL605" s="223" t="s">
        <v>653</v>
      </c>
      <c r="AM605" s="223">
        <v>-9999</v>
      </c>
      <c r="AN605" s="223" t="s">
        <v>631</v>
      </c>
      <c r="AO605" s="223">
        <v>-9999</v>
      </c>
      <c r="AP605" s="223">
        <v>-9999</v>
      </c>
      <c r="AQ605" s="223" t="s">
        <v>631</v>
      </c>
      <c r="AR605" s="223">
        <v>0</v>
      </c>
      <c r="AS605" s="223">
        <v>-9999</v>
      </c>
      <c r="AT605" s="223">
        <v>-9999</v>
      </c>
      <c r="AU605" s="223">
        <v>0</v>
      </c>
      <c r="AV605" s="223">
        <v>-9999</v>
      </c>
      <c r="AW605" s="223">
        <v>-9999</v>
      </c>
      <c r="AX605" s="223">
        <v>0</v>
      </c>
      <c r="AY605" s="223">
        <v>-9999</v>
      </c>
      <c r="AZ605" s="223">
        <v>-9999</v>
      </c>
      <c r="BA605" s="223" t="s">
        <v>794</v>
      </c>
      <c r="BB605" s="223" t="s">
        <v>626</v>
      </c>
      <c r="BC605" s="223" t="s">
        <v>795</v>
      </c>
      <c r="BD605" s="223" t="s">
        <v>796</v>
      </c>
      <c r="BE605" s="223"/>
      <c r="BF605" s="223"/>
      <c r="BG605" s="223"/>
      <c r="BH605" s="223">
        <v>-9999</v>
      </c>
      <c r="BI605" s="223">
        <v>-9999</v>
      </c>
      <c r="BJ605" s="223">
        <v>-9999</v>
      </c>
      <c r="BK605" s="223">
        <v>-9999</v>
      </c>
      <c r="BL605" s="223">
        <v>-9999</v>
      </c>
      <c r="BM605" s="223">
        <v>-9999</v>
      </c>
      <c r="BN605" s="223">
        <v>-9999</v>
      </c>
      <c r="BO605" s="223">
        <v>-9999</v>
      </c>
      <c r="BP605" s="223">
        <v>-9999</v>
      </c>
      <c r="BQ605" s="223">
        <v>-9999</v>
      </c>
      <c r="BR605" s="223">
        <v>-9999</v>
      </c>
      <c r="BS605" s="242">
        <v>-9999</v>
      </c>
      <c r="BT605" s="223">
        <v>-9999</v>
      </c>
      <c r="BU605" s="223">
        <v>-9999</v>
      </c>
      <c r="BV605" s="223">
        <v>-9999</v>
      </c>
      <c r="BW605" s="223"/>
      <c r="BX605" s="223">
        <v>-9999</v>
      </c>
      <c r="BY605" s="223">
        <v>-9999</v>
      </c>
      <c r="BZ605" s="223">
        <v>-9999</v>
      </c>
      <c r="CA605" s="332" t="s">
        <v>797</v>
      </c>
      <c r="CB605" s="247"/>
      <c r="CC605" s="83">
        <v>1</v>
      </c>
      <c r="CD605" s="32">
        <v>6</v>
      </c>
      <c r="CE605" s="394">
        <v>8.1</v>
      </c>
      <c r="CF605" s="292">
        <v>17.099999999999994</v>
      </c>
      <c r="CG605" s="84">
        <v>6</v>
      </c>
      <c r="CH605" s="477"/>
    </row>
    <row r="606" spans="1:1873" s="23" customFormat="1" x14ac:dyDescent="0.2">
      <c r="A606" s="223" t="s">
        <v>785</v>
      </c>
      <c r="B606" s="223" t="s">
        <v>786</v>
      </c>
      <c r="C606" s="223" t="s">
        <v>289</v>
      </c>
      <c r="D606" s="223" t="s">
        <v>619</v>
      </c>
      <c r="E606" s="241" t="s">
        <v>1443</v>
      </c>
      <c r="F606" s="241">
        <v>1</v>
      </c>
      <c r="G606" s="223">
        <v>7</v>
      </c>
      <c r="H606" s="242">
        <v>7</v>
      </c>
      <c r="I606" s="223" t="s">
        <v>954</v>
      </c>
      <c r="J606" s="223">
        <v>1981</v>
      </c>
      <c r="K606" s="223" t="s">
        <v>957</v>
      </c>
      <c r="L606" s="223">
        <v>1987</v>
      </c>
      <c r="M606" s="243">
        <v>-9999</v>
      </c>
      <c r="N606" s="223">
        <v>-9999</v>
      </c>
      <c r="O606" s="29"/>
      <c r="P606" s="285">
        <f t="shared" si="52"/>
        <v>53.199999999999996</v>
      </c>
      <c r="Q606" s="223">
        <v>-9999</v>
      </c>
      <c r="R606" s="243"/>
      <c r="S606" s="223"/>
      <c r="T606" s="243">
        <v>7.6</v>
      </c>
      <c r="U606" s="243">
        <v>2.2000000000000002</v>
      </c>
      <c r="V606" s="243"/>
      <c r="W606" s="244">
        <f>+P606-P605</f>
        <v>4.6000000000000014</v>
      </c>
      <c r="X606" s="223">
        <v>-9999</v>
      </c>
      <c r="Y606" s="223"/>
      <c r="Z606" s="223" t="s">
        <v>75</v>
      </c>
      <c r="AA606" s="245">
        <v>5000</v>
      </c>
      <c r="AB606" s="243">
        <v>0.92</v>
      </c>
      <c r="AC606" s="223">
        <v>-9999</v>
      </c>
      <c r="AD606" s="223">
        <f t="shared" si="50"/>
        <v>400</v>
      </c>
      <c r="AE606" s="404" t="s">
        <v>1952</v>
      </c>
      <c r="AF606" s="223">
        <v>4</v>
      </c>
      <c r="AG606" s="223">
        <v>2</v>
      </c>
      <c r="AH606" s="223" t="s">
        <v>623</v>
      </c>
      <c r="AI606" s="223">
        <v>-9999</v>
      </c>
      <c r="AJ606" s="223">
        <v>-9999</v>
      </c>
      <c r="AK606" s="223" t="s">
        <v>626</v>
      </c>
      <c r="AL606" s="223" t="s">
        <v>653</v>
      </c>
      <c r="AM606" s="223">
        <v>-9999</v>
      </c>
      <c r="AN606" s="223" t="s">
        <v>631</v>
      </c>
      <c r="AO606" s="223">
        <v>-9999</v>
      </c>
      <c r="AP606" s="223">
        <v>-9999</v>
      </c>
      <c r="AQ606" s="223" t="s">
        <v>631</v>
      </c>
      <c r="AR606" s="223">
        <v>0</v>
      </c>
      <c r="AS606" s="223">
        <v>-9999</v>
      </c>
      <c r="AT606" s="223">
        <v>-9999</v>
      </c>
      <c r="AU606" s="223">
        <v>0</v>
      </c>
      <c r="AV606" s="223">
        <v>-9999</v>
      </c>
      <c r="AW606" s="223">
        <v>-9999</v>
      </c>
      <c r="AX606" s="223">
        <v>0</v>
      </c>
      <c r="AY606" s="223">
        <v>-9999</v>
      </c>
      <c r="AZ606" s="223">
        <v>-9999</v>
      </c>
      <c r="BA606" s="223" t="s">
        <v>794</v>
      </c>
      <c r="BB606" s="223" t="s">
        <v>626</v>
      </c>
      <c r="BC606" s="223" t="s">
        <v>795</v>
      </c>
      <c r="BD606" s="223" t="s">
        <v>796</v>
      </c>
      <c r="BE606" s="223"/>
      <c r="BF606" s="223"/>
      <c r="BG606" s="223"/>
      <c r="BH606" s="223">
        <v>-9999</v>
      </c>
      <c r="BI606" s="223">
        <v>-9999</v>
      </c>
      <c r="BJ606" s="223">
        <v>-9999</v>
      </c>
      <c r="BK606" s="223">
        <v>-9999</v>
      </c>
      <c r="BL606" s="223">
        <v>-9999</v>
      </c>
      <c r="BM606" s="223">
        <v>-9999</v>
      </c>
      <c r="BN606" s="223">
        <v>-9999</v>
      </c>
      <c r="BO606" s="223">
        <v>-9999</v>
      </c>
      <c r="BP606" s="223">
        <v>-9999</v>
      </c>
      <c r="BQ606" s="223">
        <v>-9999</v>
      </c>
      <c r="BR606" s="223">
        <v>-9999</v>
      </c>
      <c r="BS606" s="242">
        <v>-9999</v>
      </c>
      <c r="BT606" s="223">
        <v>-9999</v>
      </c>
      <c r="BU606" s="223">
        <v>-9999</v>
      </c>
      <c r="BV606" s="223">
        <v>-9999</v>
      </c>
      <c r="BW606" s="223"/>
      <c r="BX606" s="223">
        <v>-9999</v>
      </c>
      <c r="BY606" s="223">
        <v>-9999</v>
      </c>
      <c r="BZ606" s="223">
        <v>-9999</v>
      </c>
      <c r="CA606" s="332" t="s">
        <v>797</v>
      </c>
      <c r="CB606" s="247"/>
      <c r="CC606" s="83">
        <v>1</v>
      </c>
      <c r="CD606" s="32">
        <v>7</v>
      </c>
      <c r="CE606" s="292">
        <v>7.6</v>
      </c>
      <c r="CF606" s="292">
        <v>4.6000000000000014</v>
      </c>
      <c r="CG606" s="84">
        <v>7</v>
      </c>
    </row>
    <row r="607" spans="1:1873" s="23" customFormat="1" x14ac:dyDescent="0.2">
      <c r="A607" s="223" t="s">
        <v>785</v>
      </c>
      <c r="B607" s="223" t="s">
        <v>786</v>
      </c>
      <c r="C607" s="223" t="s">
        <v>289</v>
      </c>
      <c r="D607" s="223" t="s">
        <v>619</v>
      </c>
      <c r="E607" s="241" t="s">
        <v>1443</v>
      </c>
      <c r="F607" s="241">
        <v>1</v>
      </c>
      <c r="G607" s="223">
        <v>8</v>
      </c>
      <c r="H607" s="242">
        <v>8</v>
      </c>
      <c r="I607" s="223" t="s">
        <v>954</v>
      </c>
      <c r="J607" s="223">
        <v>1981</v>
      </c>
      <c r="K607" s="223" t="s">
        <v>957</v>
      </c>
      <c r="L607" s="223">
        <v>1988</v>
      </c>
      <c r="M607" s="243">
        <v>-9999</v>
      </c>
      <c r="N607" s="223">
        <v>-9999</v>
      </c>
      <c r="O607" s="29"/>
      <c r="P607" s="285">
        <f t="shared" si="52"/>
        <v>55.2</v>
      </c>
      <c r="Q607" s="223">
        <v>-9999</v>
      </c>
      <c r="R607" s="243"/>
      <c r="S607" s="223"/>
      <c r="T607" s="243">
        <v>6.9</v>
      </c>
      <c r="U607" s="243">
        <v>2</v>
      </c>
      <c r="V607" s="243"/>
      <c r="W607" s="244">
        <f>+P607-P606</f>
        <v>2.0000000000000071</v>
      </c>
      <c r="X607" s="223">
        <v>-9999</v>
      </c>
      <c r="Y607" s="223"/>
      <c r="Z607" s="223" t="s">
        <v>75</v>
      </c>
      <c r="AA607" s="245">
        <v>5000</v>
      </c>
      <c r="AB607" s="243">
        <v>0.79</v>
      </c>
      <c r="AC607" s="223">
        <v>-9999</v>
      </c>
      <c r="AD607" s="223">
        <f t="shared" si="50"/>
        <v>400</v>
      </c>
      <c r="AE607" s="404" t="s">
        <v>1952</v>
      </c>
      <c r="AF607" s="223">
        <v>4</v>
      </c>
      <c r="AG607" s="223">
        <v>2</v>
      </c>
      <c r="AH607" s="223" t="s">
        <v>623</v>
      </c>
      <c r="AI607" s="223">
        <v>-9999</v>
      </c>
      <c r="AJ607" s="223">
        <v>-9999</v>
      </c>
      <c r="AK607" s="223" t="s">
        <v>626</v>
      </c>
      <c r="AL607" s="223" t="s">
        <v>653</v>
      </c>
      <c r="AM607" s="223">
        <v>-9999</v>
      </c>
      <c r="AN607" s="223" t="s">
        <v>631</v>
      </c>
      <c r="AO607" s="223">
        <v>-9999</v>
      </c>
      <c r="AP607" s="223">
        <v>-9999</v>
      </c>
      <c r="AQ607" s="223" t="s">
        <v>631</v>
      </c>
      <c r="AR607" s="223">
        <v>0</v>
      </c>
      <c r="AS607" s="223">
        <v>-9999</v>
      </c>
      <c r="AT607" s="223">
        <v>-9999</v>
      </c>
      <c r="AU607" s="223">
        <v>0</v>
      </c>
      <c r="AV607" s="223">
        <v>-9999</v>
      </c>
      <c r="AW607" s="223">
        <v>-9999</v>
      </c>
      <c r="AX607" s="223">
        <v>0</v>
      </c>
      <c r="AY607" s="223">
        <v>-9999</v>
      </c>
      <c r="AZ607" s="223">
        <v>-9999</v>
      </c>
      <c r="BA607" s="223" t="s">
        <v>794</v>
      </c>
      <c r="BB607" s="223" t="s">
        <v>626</v>
      </c>
      <c r="BC607" s="223" t="s">
        <v>795</v>
      </c>
      <c r="BD607" s="223" t="s">
        <v>796</v>
      </c>
      <c r="BE607" s="223"/>
      <c r="BF607" s="223"/>
      <c r="BG607" s="223"/>
      <c r="BH607" s="223">
        <v>-9999</v>
      </c>
      <c r="BI607" s="223">
        <v>-9999</v>
      </c>
      <c r="BJ607" s="223">
        <v>-9999</v>
      </c>
      <c r="BK607" s="223">
        <v>-9999</v>
      </c>
      <c r="BL607" s="223">
        <v>-9999</v>
      </c>
      <c r="BM607" s="223">
        <v>-9999</v>
      </c>
      <c r="BN607" s="223">
        <v>-9999</v>
      </c>
      <c r="BO607" s="223">
        <v>-9999</v>
      </c>
      <c r="BP607" s="223">
        <v>-9999</v>
      </c>
      <c r="BQ607" s="223">
        <v>-9999</v>
      </c>
      <c r="BR607" s="223">
        <v>-9999</v>
      </c>
      <c r="BS607" s="242">
        <v>-9999</v>
      </c>
      <c r="BT607" s="223">
        <v>-9999</v>
      </c>
      <c r="BU607" s="223">
        <v>-9999</v>
      </c>
      <c r="BV607" s="223">
        <v>-9999</v>
      </c>
      <c r="BW607" s="223"/>
      <c r="BX607" s="223">
        <v>-9999</v>
      </c>
      <c r="BY607" s="223">
        <v>-9999</v>
      </c>
      <c r="BZ607" s="223">
        <v>-9999</v>
      </c>
      <c r="CA607" s="332" t="s">
        <v>797</v>
      </c>
      <c r="CB607" s="247"/>
      <c r="CC607" s="83">
        <v>1</v>
      </c>
      <c r="CD607" s="32">
        <v>8</v>
      </c>
      <c r="CE607" s="292">
        <v>6.9</v>
      </c>
      <c r="CF607" s="292">
        <v>2.0000000000000071</v>
      </c>
      <c r="CG607" s="84">
        <v>8</v>
      </c>
    </row>
    <row r="608" spans="1:1873" s="23" customFormat="1" x14ac:dyDescent="0.2">
      <c r="A608" s="29"/>
      <c r="B608" s="29"/>
      <c r="C608" s="29"/>
      <c r="D608" s="29"/>
      <c r="E608" s="66"/>
      <c r="F608" s="66"/>
      <c r="G608" s="29"/>
      <c r="H608" s="30"/>
      <c r="I608" s="29"/>
      <c r="J608" s="29"/>
      <c r="K608" s="29"/>
      <c r="L608" s="29"/>
      <c r="M608" s="31"/>
      <c r="N608" s="31"/>
      <c r="O608" s="29"/>
      <c r="P608" s="31"/>
      <c r="Q608" s="29"/>
      <c r="R608" s="31"/>
      <c r="S608" s="29"/>
      <c r="T608" s="31"/>
      <c r="U608" s="31"/>
      <c r="V608" s="31"/>
      <c r="W608" s="31"/>
      <c r="X608" s="31"/>
      <c r="Y608" s="31"/>
      <c r="Z608" s="29"/>
      <c r="AA608" s="71"/>
      <c r="AB608" s="31"/>
      <c r="AC608" s="29"/>
      <c r="AD608" s="29"/>
      <c r="AE608" s="29"/>
      <c r="AF608" s="29"/>
      <c r="AG608" s="29"/>
      <c r="AH608" s="29"/>
      <c r="AI608" s="29"/>
      <c r="AJ608" s="29"/>
      <c r="AK608" s="29"/>
      <c r="AL608" s="29"/>
      <c r="AM608" s="29"/>
      <c r="AN608" s="29"/>
      <c r="AO608" s="29"/>
      <c r="AP608" s="29"/>
      <c r="AQ608" s="29"/>
      <c r="AR608" s="29"/>
      <c r="AS608" s="29"/>
      <c r="AT608" s="29"/>
      <c r="AU608" s="29"/>
      <c r="AV608" s="29"/>
      <c r="AW608" s="29"/>
      <c r="AX608" s="29"/>
      <c r="AY608" s="29"/>
      <c r="AZ608" s="29"/>
      <c r="BA608" s="29"/>
      <c r="BB608" s="29"/>
      <c r="BC608" s="29"/>
      <c r="BD608" s="29"/>
      <c r="BE608" s="29"/>
      <c r="BF608" s="29"/>
      <c r="BG608" s="29"/>
      <c r="BH608" s="29"/>
      <c r="BI608" s="29"/>
      <c r="BJ608" s="29"/>
      <c r="BK608" s="29"/>
      <c r="BL608" s="29"/>
      <c r="BM608" s="29"/>
      <c r="BN608" s="29"/>
      <c r="BO608" s="29"/>
      <c r="BP608" s="29"/>
      <c r="BQ608" s="29"/>
      <c r="BR608" s="29"/>
      <c r="BS608" s="30"/>
      <c r="BT608" s="29"/>
      <c r="BU608" s="29"/>
      <c r="BV608" s="29"/>
      <c r="BW608" s="29"/>
      <c r="BX608" s="29"/>
      <c r="BY608" s="29"/>
      <c r="BZ608" s="29"/>
      <c r="CA608" s="98"/>
      <c r="CC608" s="66"/>
      <c r="CD608" s="29"/>
      <c r="CE608" s="342" t="s">
        <v>1576</v>
      </c>
      <c r="CF608" s="342" t="s">
        <v>1575</v>
      </c>
      <c r="CG608" s="30"/>
    </row>
    <row r="609" spans="1:1873" s="118" customFormat="1" ht="16.149999999999999" customHeight="1" x14ac:dyDescent="0.2">
      <c r="A609" s="304" t="s">
        <v>2090</v>
      </c>
      <c r="B609" s="223" t="s">
        <v>799</v>
      </c>
      <c r="C609" s="223" t="s">
        <v>1030</v>
      </c>
      <c r="D609" s="450" t="s">
        <v>619</v>
      </c>
      <c r="E609" s="305" t="s">
        <v>1451</v>
      </c>
      <c r="F609" s="548">
        <v>1</v>
      </c>
      <c r="G609" s="450">
        <v>3</v>
      </c>
      <c r="H609" s="549">
        <v>3</v>
      </c>
      <c r="I609" s="223" t="s">
        <v>807</v>
      </c>
      <c r="J609" s="450">
        <v>1987</v>
      </c>
      <c r="K609" s="560" t="s">
        <v>1211</v>
      </c>
      <c r="L609" s="450">
        <v>1989</v>
      </c>
      <c r="M609" s="550">
        <v>-9999</v>
      </c>
      <c r="N609" s="223">
        <v>-9999</v>
      </c>
      <c r="O609" s="29"/>
      <c r="P609" s="550">
        <v>-9999</v>
      </c>
      <c r="Q609" s="450">
        <v>-9999</v>
      </c>
      <c r="R609" s="550"/>
      <c r="S609" s="450"/>
      <c r="T609" s="243">
        <v>-9999</v>
      </c>
      <c r="U609" s="450">
        <v>-9999</v>
      </c>
      <c r="V609" s="450"/>
      <c r="W609" s="243">
        <v>-9999</v>
      </c>
      <c r="X609" s="223">
        <v>-9999</v>
      </c>
      <c r="Y609" s="223"/>
      <c r="Z609" s="561" t="s">
        <v>1702</v>
      </c>
      <c r="AA609" s="425">
        <f>681*2.47</f>
        <v>1682.0700000000002</v>
      </c>
      <c r="AB609" s="243">
        <v>-9999</v>
      </c>
      <c r="AC609" s="560">
        <v>4.0460000000000003</v>
      </c>
      <c r="AD609" s="560">
        <f>0.33*10000</f>
        <v>3300</v>
      </c>
      <c r="AE609" s="675" t="s">
        <v>97</v>
      </c>
      <c r="AF609" s="223">
        <v>3</v>
      </c>
      <c r="AG609" s="450">
        <v>-9999</v>
      </c>
      <c r="AH609" s="450">
        <v>-9999</v>
      </c>
      <c r="AI609" s="450">
        <v>-9999</v>
      </c>
      <c r="AJ609" s="450">
        <v>-9999</v>
      </c>
      <c r="AK609" s="223">
        <v>-9999</v>
      </c>
      <c r="AL609" s="223">
        <v>-9999</v>
      </c>
      <c r="AM609" s="223">
        <v>-9999</v>
      </c>
      <c r="AN609" s="223" t="s">
        <v>631</v>
      </c>
      <c r="AO609" s="223">
        <v>-9999</v>
      </c>
      <c r="AP609" s="223">
        <v>-9999</v>
      </c>
      <c r="AQ609" s="223" t="s">
        <v>631</v>
      </c>
      <c r="AR609" s="223">
        <v>0</v>
      </c>
      <c r="AS609" s="223">
        <v>-9999</v>
      </c>
      <c r="AT609" s="223">
        <v>-9999</v>
      </c>
      <c r="AU609" s="223">
        <v>0</v>
      </c>
      <c r="AV609" s="223">
        <v>-9999</v>
      </c>
      <c r="AW609" s="223">
        <v>-9999</v>
      </c>
      <c r="AX609" s="223">
        <v>0</v>
      </c>
      <c r="AY609" s="223">
        <v>-9999</v>
      </c>
      <c r="AZ609" s="223">
        <v>-9999</v>
      </c>
      <c r="BA609" s="223">
        <v>-9999</v>
      </c>
      <c r="BB609" s="223" t="s">
        <v>631</v>
      </c>
      <c r="BC609" s="223">
        <v>-9999</v>
      </c>
      <c r="BD609" s="223">
        <v>-9999</v>
      </c>
      <c r="BE609" s="223">
        <v>-9999</v>
      </c>
      <c r="BF609" s="223">
        <v>-9999</v>
      </c>
      <c r="BG609" s="223">
        <v>-9999</v>
      </c>
      <c r="BH609" s="223">
        <v>-9999</v>
      </c>
      <c r="BI609" s="223" t="s">
        <v>1055</v>
      </c>
      <c r="BJ609" s="223">
        <v>-9999</v>
      </c>
      <c r="BK609" s="223">
        <v>-9999</v>
      </c>
      <c r="BL609" s="450">
        <v>-9999</v>
      </c>
      <c r="BM609" s="450">
        <v>-9999</v>
      </c>
      <c r="BN609" s="450">
        <v>-9999</v>
      </c>
      <c r="BO609" s="450">
        <v>-9999</v>
      </c>
      <c r="BP609" s="450">
        <v>-9999</v>
      </c>
      <c r="BQ609" s="450">
        <v>-9999</v>
      </c>
      <c r="BR609" s="450">
        <v>-9999</v>
      </c>
      <c r="BS609" s="242">
        <v>-9999</v>
      </c>
      <c r="BT609" s="223">
        <v>-9999</v>
      </c>
      <c r="BU609" s="450">
        <v>-9999</v>
      </c>
      <c r="BV609" s="450">
        <v>-9999</v>
      </c>
      <c r="BW609" s="450"/>
      <c r="BX609" s="223">
        <v>-9999</v>
      </c>
      <c r="BY609" s="450">
        <v>-9999</v>
      </c>
      <c r="BZ609" s="450">
        <v>-9999</v>
      </c>
      <c r="CA609" s="334" t="s">
        <v>797</v>
      </c>
      <c r="CB609" s="542"/>
      <c r="CC609" s="78">
        <v>1</v>
      </c>
      <c r="CD609" s="76">
        <v>3</v>
      </c>
      <c r="CE609" s="343"/>
      <c r="CF609" s="343"/>
      <c r="CG609" s="160">
        <v>3</v>
      </c>
    </row>
    <row r="610" spans="1:1873" s="23" customFormat="1" ht="25.5" x14ac:dyDescent="0.2">
      <c r="A610" s="304" t="s">
        <v>2090</v>
      </c>
      <c r="B610" s="223" t="s">
        <v>799</v>
      </c>
      <c r="C610" s="223" t="s">
        <v>1030</v>
      </c>
      <c r="D610" s="223" t="s">
        <v>619</v>
      </c>
      <c r="E610" s="305" t="s">
        <v>1451</v>
      </c>
      <c r="F610" s="241">
        <v>1</v>
      </c>
      <c r="G610" s="223">
        <v>4</v>
      </c>
      <c r="H610" s="242">
        <v>4</v>
      </c>
      <c r="I610" s="223" t="s">
        <v>807</v>
      </c>
      <c r="J610" s="450">
        <v>1987</v>
      </c>
      <c r="K610" s="560" t="s">
        <v>1211</v>
      </c>
      <c r="L610" s="450">
        <v>1990</v>
      </c>
      <c r="M610" s="243">
        <v>-9999</v>
      </c>
      <c r="N610" s="223">
        <v>-9999</v>
      </c>
      <c r="O610" s="29"/>
      <c r="P610" s="243">
        <v>-9999</v>
      </c>
      <c r="Q610" s="223">
        <v>-9999</v>
      </c>
      <c r="R610" s="243"/>
      <c r="S610" s="223"/>
      <c r="T610" s="243">
        <v>-9999</v>
      </c>
      <c r="U610" s="223">
        <v>-9999</v>
      </c>
      <c r="V610" s="223"/>
      <c r="W610" s="243">
        <v>-9999</v>
      </c>
      <c r="X610" s="223">
        <v>-9999</v>
      </c>
      <c r="Y610" s="223"/>
      <c r="Z610" s="561" t="s">
        <v>1702</v>
      </c>
      <c r="AA610" s="425">
        <f t="shared" ref="AA610:AA617" si="53">681*2.47</f>
        <v>1682.0700000000002</v>
      </c>
      <c r="AB610" s="243">
        <v>-9999</v>
      </c>
      <c r="AC610" s="245">
        <v>4.0460000000000003</v>
      </c>
      <c r="AD610" s="560">
        <f t="shared" ref="AD610:AD617" si="54">0.33*10000</f>
        <v>3300</v>
      </c>
      <c r="AE610" s="675" t="s">
        <v>97</v>
      </c>
      <c r="AF610" s="223">
        <v>3</v>
      </c>
      <c r="AG610" s="223">
        <v>-9999</v>
      </c>
      <c r="AH610" s="223">
        <v>-9999</v>
      </c>
      <c r="AI610" s="223">
        <v>-9999</v>
      </c>
      <c r="AJ610" s="223">
        <v>-9999</v>
      </c>
      <c r="AK610" s="223">
        <v>-9999</v>
      </c>
      <c r="AL610" s="223">
        <v>-9999</v>
      </c>
      <c r="AM610" s="223">
        <v>-9999</v>
      </c>
      <c r="AN610" s="223" t="s">
        <v>631</v>
      </c>
      <c r="AO610" s="223">
        <v>-9999</v>
      </c>
      <c r="AP610" s="223">
        <v>-9999</v>
      </c>
      <c r="AQ610" s="223" t="s">
        <v>631</v>
      </c>
      <c r="AR610" s="223">
        <v>0</v>
      </c>
      <c r="AS610" s="223">
        <v>-9999</v>
      </c>
      <c r="AT610" s="223">
        <v>-9999</v>
      </c>
      <c r="AU610" s="223">
        <v>0</v>
      </c>
      <c r="AV610" s="223">
        <v>-9999</v>
      </c>
      <c r="AW610" s="223">
        <v>-9999</v>
      </c>
      <c r="AX610" s="223">
        <v>0</v>
      </c>
      <c r="AY610" s="223">
        <v>-9999</v>
      </c>
      <c r="AZ610" s="223">
        <v>-9999</v>
      </c>
      <c r="BA610" s="223">
        <v>-9999</v>
      </c>
      <c r="BB610" s="223" t="s">
        <v>631</v>
      </c>
      <c r="BC610" s="223">
        <v>-9999</v>
      </c>
      <c r="BD610" s="223">
        <v>-9999</v>
      </c>
      <c r="BE610" s="223">
        <v>-9999</v>
      </c>
      <c r="BF610" s="223">
        <v>-9999</v>
      </c>
      <c r="BG610" s="223">
        <v>-9999</v>
      </c>
      <c r="BH610" s="223">
        <v>-9999</v>
      </c>
      <c r="BI610" s="223" t="s">
        <v>1055</v>
      </c>
      <c r="BJ610" s="223">
        <v>-9999</v>
      </c>
      <c r="BK610" s="223">
        <v>-9999</v>
      </c>
      <c r="BL610" s="223">
        <v>-9999</v>
      </c>
      <c r="BM610" s="223">
        <v>-9999</v>
      </c>
      <c r="BN610" s="223">
        <v>-9999</v>
      </c>
      <c r="BO610" s="223">
        <v>-9999</v>
      </c>
      <c r="BP610" s="223">
        <v>-9999</v>
      </c>
      <c r="BQ610" s="223">
        <v>-9999</v>
      </c>
      <c r="BR610" s="223">
        <v>-9999</v>
      </c>
      <c r="BS610" s="242">
        <v>-9999</v>
      </c>
      <c r="BT610" s="223">
        <v>-9999</v>
      </c>
      <c r="BU610" s="223">
        <v>-9999</v>
      </c>
      <c r="BV610" s="223">
        <v>-9999</v>
      </c>
      <c r="BW610" s="223"/>
      <c r="BX610" s="223">
        <v>-9999</v>
      </c>
      <c r="BY610" s="223">
        <v>-9999</v>
      </c>
      <c r="BZ610" s="223">
        <v>-9999</v>
      </c>
      <c r="CA610" s="334" t="s">
        <v>797</v>
      </c>
      <c r="CB610" s="247"/>
      <c r="CC610" s="83">
        <v>1</v>
      </c>
      <c r="CD610" s="32">
        <v>4</v>
      </c>
      <c r="CE610" s="292"/>
      <c r="CF610" s="292"/>
      <c r="CG610" s="84">
        <v>4</v>
      </c>
    </row>
    <row r="611" spans="1:1873" s="23" customFormat="1" ht="25.5" x14ac:dyDescent="0.2">
      <c r="A611" s="304" t="s">
        <v>2090</v>
      </c>
      <c r="B611" s="223" t="s">
        <v>799</v>
      </c>
      <c r="C611" s="223" t="s">
        <v>1030</v>
      </c>
      <c r="D611" s="223" t="s">
        <v>619</v>
      </c>
      <c r="E611" s="305" t="s">
        <v>1451</v>
      </c>
      <c r="F611" s="241">
        <v>1</v>
      </c>
      <c r="G611" s="223">
        <v>5</v>
      </c>
      <c r="H611" s="242">
        <v>5</v>
      </c>
      <c r="I611" s="223" t="s">
        <v>807</v>
      </c>
      <c r="J611" s="450">
        <v>1987</v>
      </c>
      <c r="K611" s="560" t="s">
        <v>1211</v>
      </c>
      <c r="L611" s="450">
        <v>1991</v>
      </c>
      <c r="M611" s="243">
        <v>-9999</v>
      </c>
      <c r="N611" s="223">
        <v>-9999</v>
      </c>
      <c r="O611" s="29"/>
      <c r="P611" s="285">
        <f>+T611*G611</f>
        <v>10.85</v>
      </c>
      <c r="Q611" s="223">
        <v>-9999</v>
      </c>
      <c r="R611" s="243"/>
      <c r="S611" s="223"/>
      <c r="T611" s="243">
        <v>2.17</v>
      </c>
      <c r="U611" s="223">
        <v>-9999</v>
      </c>
      <c r="V611" s="223"/>
      <c r="W611" s="243">
        <v>-9999</v>
      </c>
      <c r="X611" s="223">
        <v>-9999</v>
      </c>
      <c r="Y611" s="223"/>
      <c r="Z611" s="561" t="s">
        <v>1702</v>
      </c>
      <c r="AA611" s="425">
        <f t="shared" si="53"/>
        <v>1682.0700000000002</v>
      </c>
      <c r="AB611" s="243">
        <v>-9999</v>
      </c>
      <c r="AC611" s="245">
        <v>4.0460000000000003</v>
      </c>
      <c r="AD611" s="560">
        <f t="shared" si="54"/>
        <v>3300</v>
      </c>
      <c r="AE611" s="675" t="s">
        <v>97</v>
      </c>
      <c r="AF611" s="223">
        <v>3</v>
      </c>
      <c r="AG611" s="223">
        <v>-9999</v>
      </c>
      <c r="AH611" s="223">
        <v>-9999</v>
      </c>
      <c r="AI611" s="223">
        <v>-9999</v>
      </c>
      <c r="AJ611" s="223">
        <v>-9999</v>
      </c>
      <c r="AK611" s="223">
        <v>-9999</v>
      </c>
      <c r="AL611" s="223">
        <v>-9999</v>
      </c>
      <c r="AM611" s="223">
        <v>-9999</v>
      </c>
      <c r="AN611" s="223" t="s">
        <v>631</v>
      </c>
      <c r="AO611" s="223">
        <v>-9999</v>
      </c>
      <c r="AP611" s="223">
        <v>-9999</v>
      </c>
      <c r="AQ611" s="223" t="s">
        <v>631</v>
      </c>
      <c r="AR611" s="223">
        <v>0</v>
      </c>
      <c r="AS611" s="223">
        <v>-9999</v>
      </c>
      <c r="AT611" s="223">
        <v>-9999</v>
      </c>
      <c r="AU611" s="223">
        <v>0</v>
      </c>
      <c r="AV611" s="223">
        <v>-9999</v>
      </c>
      <c r="AW611" s="223">
        <v>-9999</v>
      </c>
      <c r="AX611" s="223">
        <v>0</v>
      </c>
      <c r="AY611" s="223">
        <v>-9999</v>
      </c>
      <c r="AZ611" s="223">
        <v>-9999</v>
      </c>
      <c r="BA611" s="223">
        <v>-9999</v>
      </c>
      <c r="BB611" s="223" t="s">
        <v>631</v>
      </c>
      <c r="BC611" s="223">
        <v>-9999</v>
      </c>
      <c r="BD611" s="223">
        <v>-9999</v>
      </c>
      <c r="BE611" s="223">
        <v>-9999</v>
      </c>
      <c r="BF611" s="223">
        <v>-9999</v>
      </c>
      <c r="BG611" s="223">
        <v>-9999</v>
      </c>
      <c r="BH611" s="223">
        <v>-9999</v>
      </c>
      <c r="BI611" s="223" t="s">
        <v>1055</v>
      </c>
      <c r="BJ611" s="223">
        <v>-9999</v>
      </c>
      <c r="BK611" s="223">
        <v>-9999</v>
      </c>
      <c r="BL611" s="223">
        <v>-9999</v>
      </c>
      <c r="BM611" s="223">
        <v>-9999</v>
      </c>
      <c r="BN611" s="223">
        <v>-9999</v>
      </c>
      <c r="BO611" s="223">
        <v>-9999</v>
      </c>
      <c r="BP611" s="223">
        <v>-9999</v>
      </c>
      <c r="BQ611" s="223">
        <v>-9999</v>
      </c>
      <c r="BR611" s="223">
        <v>-9999</v>
      </c>
      <c r="BS611" s="242">
        <v>-9999</v>
      </c>
      <c r="BT611" s="223">
        <v>-9999</v>
      </c>
      <c r="BU611" s="223">
        <v>-9999</v>
      </c>
      <c r="BV611" s="223">
        <v>-9999</v>
      </c>
      <c r="BW611" s="223"/>
      <c r="BX611" s="223">
        <v>-9999</v>
      </c>
      <c r="BY611" s="223">
        <v>-9999</v>
      </c>
      <c r="BZ611" s="223">
        <v>-9999</v>
      </c>
      <c r="CA611" s="334" t="s">
        <v>797</v>
      </c>
      <c r="CB611" s="247"/>
      <c r="CC611" s="83">
        <v>1</v>
      </c>
      <c r="CD611" s="32">
        <v>5</v>
      </c>
      <c r="CE611" s="292">
        <v>2.17</v>
      </c>
      <c r="CF611" s="292"/>
      <c r="CG611" s="84">
        <v>5</v>
      </c>
    </row>
    <row r="612" spans="1:1873" s="23" customFormat="1" ht="25.5" x14ac:dyDescent="0.2">
      <c r="A612" s="304" t="s">
        <v>2090</v>
      </c>
      <c r="B612" s="223" t="s">
        <v>799</v>
      </c>
      <c r="C612" s="223" t="s">
        <v>1030</v>
      </c>
      <c r="D612" s="223" t="s">
        <v>619</v>
      </c>
      <c r="E612" s="305" t="s">
        <v>1451</v>
      </c>
      <c r="F612" s="241">
        <v>1</v>
      </c>
      <c r="G612" s="223">
        <v>6</v>
      </c>
      <c r="H612" s="242">
        <v>6</v>
      </c>
      <c r="I612" s="223" t="s">
        <v>807</v>
      </c>
      <c r="J612" s="450">
        <v>1987</v>
      </c>
      <c r="K612" s="560" t="s">
        <v>1211</v>
      </c>
      <c r="L612" s="450">
        <v>1992</v>
      </c>
      <c r="M612" s="243">
        <v>-9999</v>
      </c>
      <c r="N612" s="223">
        <v>-9999</v>
      </c>
      <c r="O612" s="29"/>
      <c r="P612" s="285">
        <f>+T612*G612</f>
        <v>17.100000000000001</v>
      </c>
      <c r="Q612" s="223">
        <v>-9999</v>
      </c>
      <c r="R612" s="243"/>
      <c r="S612" s="223"/>
      <c r="T612" s="243">
        <v>2.85</v>
      </c>
      <c r="U612" s="223">
        <v>-9999</v>
      </c>
      <c r="V612" s="223"/>
      <c r="W612" s="285">
        <f>+P612-P611</f>
        <v>6.2500000000000018</v>
      </c>
      <c r="X612" s="223">
        <v>-9999</v>
      </c>
      <c r="Y612" s="223"/>
      <c r="Z612" s="561" t="s">
        <v>1702</v>
      </c>
      <c r="AA612" s="425">
        <f t="shared" si="53"/>
        <v>1682.0700000000002</v>
      </c>
      <c r="AB612" s="243">
        <v>-9999</v>
      </c>
      <c r="AC612" s="245">
        <v>4.0460000000000003</v>
      </c>
      <c r="AD612" s="560">
        <f t="shared" si="54"/>
        <v>3300</v>
      </c>
      <c r="AE612" s="675" t="s">
        <v>97</v>
      </c>
      <c r="AF612" s="223">
        <v>3</v>
      </c>
      <c r="AG612" s="223">
        <v>-9999</v>
      </c>
      <c r="AH612" s="223">
        <v>-9999</v>
      </c>
      <c r="AI612" s="223">
        <v>-9999</v>
      </c>
      <c r="AJ612" s="223">
        <v>-9999</v>
      </c>
      <c r="AK612" s="223">
        <v>-9999</v>
      </c>
      <c r="AL612" s="223">
        <v>-9999</v>
      </c>
      <c r="AM612" s="223">
        <v>-9999</v>
      </c>
      <c r="AN612" s="223" t="s">
        <v>631</v>
      </c>
      <c r="AO612" s="223">
        <v>-9999</v>
      </c>
      <c r="AP612" s="223">
        <v>-9999</v>
      </c>
      <c r="AQ612" s="223" t="s">
        <v>631</v>
      </c>
      <c r="AR612" s="223">
        <v>0</v>
      </c>
      <c r="AS612" s="223">
        <v>-9999</v>
      </c>
      <c r="AT612" s="223">
        <v>-9999</v>
      </c>
      <c r="AU612" s="223">
        <v>0</v>
      </c>
      <c r="AV612" s="223">
        <v>-9999</v>
      </c>
      <c r="AW612" s="223">
        <v>-9999</v>
      </c>
      <c r="AX612" s="223">
        <v>0</v>
      </c>
      <c r="AY612" s="223">
        <v>-9999</v>
      </c>
      <c r="AZ612" s="223">
        <v>-9999</v>
      </c>
      <c r="BA612" s="223">
        <v>-9999</v>
      </c>
      <c r="BB612" s="223" t="s">
        <v>631</v>
      </c>
      <c r="BC612" s="223">
        <v>-9999</v>
      </c>
      <c r="BD612" s="223">
        <v>-9999</v>
      </c>
      <c r="BE612" s="223">
        <v>-9999</v>
      </c>
      <c r="BF612" s="223">
        <v>-9999</v>
      </c>
      <c r="BG612" s="223">
        <v>-9999</v>
      </c>
      <c r="BH612" s="223">
        <v>-9999</v>
      </c>
      <c r="BI612" s="223" t="s">
        <v>1055</v>
      </c>
      <c r="BJ612" s="223">
        <v>-9999</v>
      </c>
      <c r="BK612" s="223">
        <v>-9999</v>
      </c>
      <c r="BL612" s="223">
        <v>-9999</v>
      </c>
      <c r="BM612" s="223">
        <v>-9999</v>
      </c>
      <c r="BN612" s="223">
        <v>-9999</v>
      </c>
      <c r="BO612" s="223">
        <v>-9999</v>
      </c>
      <c r="BP612" s="223">
        <v>-9999</v>
      </c>
      <c r="BQ612" s="223">
        <v>-9999</v>
      </c>
      <c r="BR612" s="223">
        <v>-9999</v>
      </c>
      <c r="BS612" s="242">
        <v>-9999</v>
      </c>
      <c r="BT612" s="223">
        <v>-9999</v>
      </c>
      <c r="BU612" s="223">
        <v>-9999</v>
      </c>
      <c r="BV612" s="223">
        <v>-9999</v>
      </c>
      <c r="BW612" s="223"/>
      <c r="BX612" s="223">
        <v>-9999</v>
      </c>
      <c r="BY612" s="223">
        <v>-9999</v>
      </c>
      <c r="BZ612" s="223">
        <v>-9999</v>
      </c>
      <c r="CA612" s="334" t="s">
        <v>797</v>
      </c>
      <c r="CB612" s="247"/>
      <c r="CC612" s="83">
        <v>1</v>
      </c>
      <c r="CD612" s="32">
        <v>6</v>
      </c>
      <c r="CE612" s="292">
        <v>2.85</v>
      </c>
      <c r="CF612" s="292">
        <v>6.2500000000000018</v>
      </c>
      <c r="CG612" s="84">
        <v>6</v>
      </c>
    </row>
    <row r="613" spans="1:1873" s="23" customFormat="1" ht="25.5" x14ac:dyDescent="0.2">
      <c r="A613" s="304" t="s">
        <v>2090</v>
      </c>
      <c r="B613" s="223" t="s">
        <v>799</v>
      </c>
      <c r="C613" s="223" t="s">
        <v>1030</v>
      </c>
      <c r="D613" s="223" t="s">
        <v>619</v>
      </c>
      <c r="E613" s="305" t="s">
        <v>1451</v>
      </c>
      <c r="F613" s="241">
        <v>1</v>
      </c>
      <c r="G613" s="223">
        <v>7</v>
      </c>
      <c r="H613" s="242">
        <v>7</v>
      </c>
      <c r="I613" s="223" t="s">
        <v>807</v>
      </c>
      <c r="J613" s="450">
        <v>1987</v>
      </c>
      <c r="K613" s="560" t="s">
        <v>1211</v>
      </c>
      <c r="L613" s="450">
        <v>1993</v>
      </c>
      <c r="M613" s="243">
        <v>-9999</v>
      </c>
      <c r="N613" s="223">
        <v>-9999</v>
      </c>
      <c r="O613" s="29"/>
      <c r="P613" s="285">
        <f>+T613*G613</f>
        <v>23.52</v>
      </c>
      <c r="Q613" s="223">
        <v>-9999</v>
      </c>
      <c r="R613" s="243"/>
      <c r="S613" s="223"/>
      <c r="T613" s="243">
        <v>3.36</v>
      </c>
      <c r="U613" s="223">
        <v>-9999</v>
      </c>
      <c r="V613" s="223"/>
      <c r="W613" s="285">
        <f>+P613-P612</f>
        <v>6.4199999999999982</v>
      </c>
      <c r="X613" s="223">
        <v>-9999</v>
      </c>
      <c r="Y613" s="223"/>
      <c r="Z613" s="561" t="s">
        <v>1702</v>
      </c>
      <c r="AA613" s="425">
        <f t="shared" si="53"/>
        <v>1682.0700000000002</v>
      </c>
      <c r="AB613" s="243">
        <v>-9999</v>
      </c>
      <c r="AC613" s="245">
        <v>4.0460000000000003</v>
      </c>
      <c r="AD613" s="560">
        <f t="shared" si="54"/>
        <v>3300</v>
      </c>
      <c r="AE613" s="675" t="s">
        <v>97</v>
      </c>
      <c r="AF613" s="223">
        <v>3</v>
      </c>
      <c r="AG613" s="223">
        <v>-9999</v>
      </c>
      <c r="AH613" s="223">
        <v>-9999</v>
      </c>
      <c r="AI613" s="223">
        <v>-9999</v>
      </c>
      <c r="AJ613" s="223">
        <v>-9999</v>
      </c>
      <c r="AK613" s="223">
        <v>-9999</v>
      </c>
      <c r="AL613" s="223">
        <v>-9999</v>
      </c>
      <c r="AM613" s="223">
        <v>-9999</v>
      </c>
      <c r="AN613" s="223" t="s">
        <v>631</v>
      </c>
      <c r="AO613" s="223">
        <v>-9999</v>
      </c>
      <c r="AP613" s="223">
        <v>-9999</v>
      </c>
      <c r="AQ613" s="223" t="s">
        <v>631</v>
      </c>
      <c r="AR613" s="223">
        <v>0</v>
      </c>
      <c r="AS613" s="223">
        <v>-9999</v>
      </c>
      <c r="AT613" s="223">
        <v>-9999</v>
      </c>
      <c r="AU613" s="223">
        <v>0</v>
      </c>
      <c r="AV613" s="223">
        <v>-9999</v>
      </c>
      <c r="AW613" s="223">
        <v>-9999</v>
      </c>
      <c r="AX613" s="223">
        <v>0</v>
      </c>
      <c r="AY613" s="223">
        <v>-9999</v>
      </c>
      <c r="AZ613" s="223">
        <v>-9999</v>
      </c>
      <c r="BA613" s="223">
        <v>-9999</v>
      </c>
      <c r="BB613" s="223" t="s">
        <v>631</v>
      </c>
      <c r="BC613" s="223">
        <v>-9999</v>
      </c>
      <c r="BD613" s="223">
        <v>-9999</v>
      </c>
      <c r="BE613" s="223">
        <v>-9999</v>
      </c>
      <c r="BF613" s="223">
        <v>-9999</v>
      </c>
      <c r="BG613" s="223">
        <v>-9999</v>
      </c>
      <c r="BH613" s="223">
        <v>-9999</v>
      </c>
      <c r="BI613" s="223" t="s">
        <v>1055</v>
      </c>
      <c r="BJ613" s="223">
        <v>-9999</v>
      </c>
      <c r="BK613" s="223">
        <v>-9999</v>
      </c>
      <c r="BL613" s="223">
        <v>-9999</v>
      </c>
      <c r="BM613" s="223">
        <v>-9999</v>
      </c>
      <c r="BN613" s="223">
        <v>-9999</v>
      </c>
      <c r="BO613" s="223">
        <v>-9999</v>
      </c>
      <c r="BP613" s="223">
        <v>-9999</v>
      </c>
      <c r="BQ613" s="223">
        <v>-9999</v>
      </c>
      <c r="BR613" s="223">
        <v>-9999</v>
      </c>
      <c r="BS613" s="242">
        <v>-9999</v>
      </c>
      <c r="BT613" s="223">
        <v>-9999</v>
      </c>
      <c r="BU613" s="223">
        <v>-9999</v>
      </c>
      <c r="BV613" s="223">
        <v>-9999</v>
      </c>
      <c r="BW613" s="223"/>
      <c r="BX613" s="223">
        <v>-9999</v>
      </c>
      <c r="BY613" s="223">
        <v>-9999</v>
      </c>
      <c r="BZ613" s="223">
        <v>-9999</v>
      </c>
      <c r="CA613" s="334" t="s">
        <v>797</v>
      </c>
      <c r="CB613" s="247"/>
      <c r="CC613" s="83">
        <v>1</v>
      </c>
      <c r="CD613" s="32">
        <v>7</v>
      </c>
      <c r="CE613" s="292">
        <v>3.36</v>
      </c>
      <c r="CF613" s="292">
        <v>6.4199999999999982</v>
      </c>
      <c r="CG613" s="84">
        <v>7</v>
      </c>
    </row>
    <row r="614" spans="1:1873" s="23" customFormat="1" ht="25.5" x14ac:dyDescent="0.2">
      <c r="A614" s="304" t="s">
        <v>2090</v>
      </c>
      <c r="B614" s="223" t="s">
        <v>799</v>
      </c>
      <c r="C614" s="223" t="s">
        <v>1030</v>
      </c>
      <c r="D614" s="223" t="s">
        <v>619</v>
      </c>
      <c r="E614" s="305" t="s">
        <v>1451</v>
      </c>
      <c r="F614" s="241">
        <v>1</v>
      </c>
      <c r="G614" s="223">
        <v>8</v>
      </c>
      <c r="H614" s="242">
        <v>8</v>
      </c>
      <c r="I614" s="223" t="s">
        <v>807</v>
      </c>
      <c r="J614" s="450">
        <v>1987</v>
      </c>
      <c r="K614" s="560" t="s">
        <v>1211</v>
      </c>
      <c r="L614" s="450">
        <v>1994</v>
      </c>
      <c r="M614" s="243">
        <v>-9999</v>
      </c>
      <c r="N614" s="223">
        <v>-9999</v>
      </c>
      <c r="O614" s="29"/>
      <c r="P614" s="285">
        <f>+T614*G614</f>
        <v>28.16</v>
      </c>
      <c r="Q614" s="223">
        <v>-9999</v>
      </c>
      <c r="R614" s="243"/>
      <c r="S614" s="223"/>
      <c r="T614" s="243">
        <v>3.52</v>
      </c>
      <c r="U614" s="223">
        <v>-9999</v>
      </c>
      <c r="V614" s="223"/>
      <c r="W614" s="285">
        <f>+P614-P613</f>
        <v>4.6400000000000006</v>
      </c>
      <c r="X614" s="223">
        <v>-9999</v>
      </c>
      <c r="Y614" s="223"/>
      <c r="Z614" s="561" t="s">
        <v>1702</v>
      </c>
      <c r="AA614" s="425">
        <f t="shared" si="53"/>
        <v>1682.0700000000002</v>
      </c>
      <c r="AB614" s="243">
        <v>-9999</v>
      </c>
      <c r="AC614" s="245">
        <v>4.0460000000000003</v>
      </c>
      <c r="AD614" s="560">
        <f t="shared" si="54"/>
        <v>3300</v>
      </c>
      <c r="AE614" s="675" t="s">
        <v>97</v>
      </c>
      <c r="AF614" s="223">
        <v>3</v>
      </c>
      <c r="AG614" s="223">
        <v>-9999</v>
      </c>
      <c r="AH614" s="223">
        <v>-9999</v>
      </c>
      <c r="AI614" s="223">
        <v>-9999</v>
      </c>
      <c r="AJ614" s="223">
        <v>-9999</v>
      </c>
      <c r="AK614" s="223">
        <v>-9999</v>
      </c>
      <c r="AL614" s="223">
        <v>-9999</v>
      </c>
      <c r="AM614" s="223">
        <v>-9999</v>
      </c>
      <c r="AN614" s="223" t="s">
        <v>631</v>
      </c>
      <c r="AO614" s="223">
        <v>-9999</v>
      </c>
      <c r="AP614" s="223">
        <v>-9999</v>
      </c>
      <c r="AQ614" s="223" t="s">
        <v>631</v>
      </c>
      <c r="AR614" s="223">
        <v>0</v>
      </c>
      <c r="AS614" s="223">
        <v>-9999</v>
      </c>
      <c r="AT614" s="223">
        <v>-9999</v>
      </c>
      <c r="AU614" s="223">
        <v>0</v>
      </c>
      <c r="AV614" s="223">
        <v>-9999</v>
      </c>
      <c r="AW614" s="223">
        <v>-9999</v>
      </c>
      <c r="AX614" s="223">
        <v>0</v>
      </c>
      <c r="AY614" s="223">
        <v>-9999</v>
      </c>
      <c r="AZ614" s="223">
        <v>-9999</v>
      </c>
      <c r="BA614" s="223">
        <v>-9999</v>
      </c>
      <c r="BB614" s="223" t="s">
        <v>631</v>
      </c>
      <c r="BC614" s="223">
        <v>-9999</v>
      </c>
      <c r="BD614" s="223">
        <v>-9999</v>
      </c>
      <c r="BE614" s="223">
        <v>-9999</v>
      </c>
      <c r="BF614" s="223">
        <v>-9999</v>
      </c>
      <c r="BG614" s="223">
        <v>-9999</v>
      </c>
      <c r="BH614" s="223">
        <v>-9999</v>
      </c>
      <c r="BI614" s="223" t="s">
        <v>1055</v>
      </c>
      <c r="BJ614" s="223">
        <v>-9999</v>
      </c>
      <c r="BK614" s="223">
        <v>-9999</v>
      </c>
      <c r="BL614" s="223">
        <v>-9999</v>
      </c>
      <c r="BM614" s="223">
        <v>-9999</v>
      </c>
      <c r="BN614" s="223">
        <v>-9999</v>
      </c>
      <c r="BO614" s="223">
        <v>-9999</v>
      </c>
      <c r="BP614" s="223">
        <v>-9999</v>
      </c>
      <c r="BQ614" s="223">
        <v>-9999</v>
      </c>
      <c r="BR614" s="223">
        <v>-9999</v>
      </c>
      <c r="BS614" s="242">
        <v>-9999</v>
      </c>
      <c r="BT614" s="223">
        <v>-9999</v>
      </c>
      <c r="BU614" s="223">
        <v>-9999</v>
      </c>
      <c r="BV614" s="223">
        <v>-9999</v>
      </c>
      <c r="BW614" s="223"/>
      <c r="BX614" s="223">
        <v>-9999</v>
      </c>
      <c r="BY614" s="223">
        <v>-9999</v>
      </c>
      <c r="BZ614" s="223">
        <v>-9999</v>
      </c>
      <c r="CA614" s="334" t="s">
        <v>797</v>
      </c>
      <c r="CB614" s="247"/>
      <c r="CC614" s="83">
        <v>1</v>
      </c>
      <c r="CD614" s="32">
        <v>8</v>
      </c>
      <c r="CE614" s="292">
        <v>3.52</v>
      </c>
      <c r="CF614" s="292">
        <v>4.6400000000000006</v>
      </c>
      <c r="CG614" s="84">
        <v>8</v>
      </c>
    </row>
    <row r="615" spans="1:1873" s="23" customFormat="1" ht="25.5" x14ac:dyDescent="0.2">
      <c r="A615" s="304" t="s">
        <v>2090</v>
      </c>
      <c r="B615" s="223" t="s">
        <v>799</v>
      </c>
      <c r="C615" s="223" t="s">
        <v>1030</v>
      </c>
      <c r="D615" s="223" t="s">
        <v>619</v>
      </c>
      <c r="E615" s="305" t="s">
        <v>1451</v>
      </c>
      <c r="F615" s="241">
        <v>1</v>
      </c>
      <c r="G615" s="223">
        <v>9</v>
      </c>
      <c r="H615" s="242">
        <v>9</v>
      </c>
      <c r="I615" s="223" t="s">
        <v>807</v>
      </c>
      <c r="J615" s="450">
        <v>1987</v>
      </c>
      <c r="K615" s="560" t="s">
        <v>1211</v>
      </c>
      <c r="L615" s="450">
        <v>1995</v>
      </c>
      <c r="M615" s="243">
        <v>-9999</v>
      </c>
      <c r="N615" s="223">
        <v>-9999</v>
      </c>
      <c r="O615" s="29"/>
      <c r="P615" s="285">
        <f>+T615*G615</f>
        <v>31.5</v>
      </c>
      <c r="Q615" s="223">
        <v>-9999</v>
      </c>
      <c r="R615" s="243"/>
      <c r="S615" s="223"/>
      <c r="T615" s="243">
        <v>3.5</v>
      </c>
      <c r="U615" s="223">
        <v>-9999</v>
      </c>
      <c r="V615" s="223"/>
      <c r="W615" s="285">
        <f>+P615-P614</f>
        <v>3.34</v>
      </c>
      <c r="X615" s="223">
        <v>-9999</v>
      </c>
      <c r="Y615" s="223"/>
      <c r="Z615" s="561" t="s">
        <v>1702</v>
      </c>
      <c r="AA615" s="425">
        <f t="shared" si="53"/>
        <v>1682.0700000000002</v>
      </c>
      <c r="AB615" s="243">
        <v>-9999</v>
      </c>
      <c r="AC615" s="245">
        <v>4.0460000000000003</v>
      </c>
      <c r="AD615" s="560">
        <f t="shared" si="54"/>
        <v>3300</v>
      </c>
      <c r="AE615" s="675" t="s">
        <v>97</v>
      </c>
      <c r="AF615" s="223">
        <v>3</v>
      </c>
      <c r="AG615" s="223">
        <v>-9999</v>
      </c>
      <c r="AH615" s="223">
        <v>-9999</v>
      </c>
      <c r="AI615" s="223">
        <v>-9999</v>
      </c>
      <c r="AJ615" s="223">
        <v>-9999</v>
      </c>
      <c r="AK615" s="223">
        <v>-9999</v>
      </c>
      <c r="AL615" s="223">
        <v>-9999</v>
      </c>
      <c r="AM615" s="223">
        <v>-9999</v>
      </c>
      <c r="AN615" s="223" t="s">
        <v>631</v>
      </c>
      <c r="AO615" s="223">
        <v>-9999</v>
      </c>
      <c r="AP615" s="223">
        <v>-9999</v>
      </c>
      <c r="AQ615" s="223" t="s">
        <v>631</v>
      </c>
      <c r="AR615" s="223">
        <v>0</v>
      </c>
      <c r="AS615" s="223">
        <v>-9999</v>
      </c>
      <c r="AT615" s="223">
        <v>-9999</v>
      </c>
      <c r="AU615" s="223">
        <v>0</v>
      </c>
      <c r="AV615" s="223">
        <v>-9999</v>
      </c>
      <c r="AW615" s="223">
        <v>-9999</v>
      </c>
      <c r="AX615" s="223">
        <v>0</v>
      </c>
      <c r="AY615" s="223">
        <v>-9999</v>
      </c>
      <c r="AZ615" s="223">
        <v>-9999</v>
      </c>
      <c r="BA615" s="223">
        <v>-9999</v>
      </c>
      <c r="BB615" s="223" t="s">
        <v>631</v>
      </c>
      <c r="BC615" s="223">
        <v>-9999</v>
      </c>
      <c r="BD615" s="223">
        <v>-9999</v>
      </c>
      <c r="BE615" s="223">
        <v>-9999</v>
      </c>
      <c r="BF615" s="223">
        <v>-9999</v>
      </c>
      <c r="BG615" s="223">
        <v>-9999</v>
      </c>
      <c r="BH615" s="223">
        <v>-9999</v>
      </c>
      <c r="BI615" s="223" t="s">
        <v>1055</v>
      </c>
      <c r="BJ615" s="223">
        <v>-9999</v>
      </c>
      <c r="BK615" s="223">
        <v>-9999</v>
      </c>
      <c r="BL615" s="223">
        <v>-9999</v>
      </c>
      <c r="BM615" s="223">
        <v>-9999</v>
      </c>
      <c r="BN615" s="223">
        <v>-9999</v>
      </c>
      <c r="BO615" s="223">
        <v>-9999</v>
      </c>
      <c r="BP615" s="223">
        <v>-9999</v>
      </c>
      <c r="BQ615" s="223">
        <v>-9999</v>
      </c>
      <c r="BR615" s="223">
        <v>-9999</v>
      </c>
      <c r="BS615" s="242">
        <v>-9999</v>
      </c>
      <c r="BT615" s="223">
        <v>-9999</v>
      </c>
      <c r="BU615" s="223">
        <v>-9999</v>
      </c>
      <c r="BV615" s="223">
        <v>-9999</v>
      </c>
      <c r="BW615" s="223"/>
      <c r="BX615" s="223">
        <v>-9999</v>
      </c>
      <c r="BY615" s="223">
        <v>-9999</v>
      </c>
      <c r="BZ615" s="223">
        <v>-9999</v>
      </c>
      <c r="CA615" s="334" t="s">
        <v>797</v>
      </c>
      <c r="CB615" s="247"/>
      <c r="CC615" s="83">
        <v>1</v>
      </c>
      <c r="CD615" s="32">
        <v>9</v>
      </c>
      <c r="CE615" s="292">
        <v>3.5</v>
      </c>
      <c r="CF615" s="292">
        <v>3.34</v>
      </c>
      <c r="CG615" s="84">
        <v>9</v>
      </c>
    </row>
    <row r="616" spans="1:1873" s="23" customFormat="1" ht="25.5" x14ac:dyDescent="0.2">
      <c r="A616" s="304" t="s">
        <v>2090</v>
      </c>
      <c r="B616" s="223" t="s">
        <v>799</v>
      </c>
      <c r="C616" s="223" t="s">
        <v>1030</v>
      </c>
      <c r="D616" s="223" t="s">
        <v>619</v>
      </c>
      <c r="E616" s="305" t="s">
        <v>1451</v>
      </c>
      <c r="F616" s="241">
        <v>1</v>
      </c>
      <c r="G616" s="223">
        <v>10</v>
      </c>
      <c r="H616" s="242">
        <v>10</v>
      </c>
      <c r="I616" s="223" t="s">
        <v>807</v>
      </c>
      <c r="J616" s="450">
        <v>1987</v>
      </c>
      <c r="K616" s="560" t="s">
        <v>1211</v>
      </c>
      <c r="L616" s="450">
        <v>1996</v>
      </c>
      <c r="M616" s="243">
        <v>-9999</v>
      </c>
      <c r="N616" s="223">
        <v>-9999</v>
      </c>
      <c r="O616" s="29"/>
      <c r="P616" s="243">
        <v>-9999</v>
      </c>
      <c r="Q616" s="223">
        <v>-9999</v>
      </c>
      <c r="R616" s="243"/>
      <c r="S616" s="223"/>
      <c r="T616" s="243">
        <v>-9999</v>
      </c>
      <c r="U616" s="223">
        <v>-9999</v>
      </c>
      <c r="V616" s="223"/>
      <c r="W616" s="243">
        <v>-9999</v>
      </c>
      <c r="X616" s="223">
        <v>-9999</v>
      </c>
      <c r="Y616" s="223"/>
      <c r="Z616" s="561" t="s">
        <v>1702</v>
      </c>
      <c r="AA616" s="425">
        <f t="shared" si="53"/>
        <v>1682.0700000000002</v>
      </c>
      <c r="AB616" s="243">
        <v>-9999</v>
      </c>
      <c r="AC616" s="245">
        <v>4.0460000000000003</v>
      </c>
      <c r="AD616" s="560">
        <f t="shared" si="54"/>
        <v>3300</v>
      </c>
      <c r="AE616" s="675" t="s">
        <v>97</v>
      </c>
      <c r="AF616" s="223">
        <v>3</v>
      </c>
      <c r="AG616" s="223">
        <v>-9999</v>
      </c>
      <c r="AH616" s="223">
        <v>-9999</v>
      </c>
      <c r="AI616" s="223">
        <v>-9999</v>
      </c>
      <c r="AJ616" s="223">
        <v>-9999</v>
      </c>
      <c r="AK616" s="223">
        <v>-9999</v>
      </c>
      <c r="AL616" s="223">
        <v>-9999</v>
      </c>
      <c r="AM616" s="223">
        <v>-9999</v>
      </c>
      <c r="AN616" s="223" t="s">
        <v>631</v>
      </c>
      <c r="AO616" s="223">
        <v>-9999</v>
      </c>
      <c r="AP616" s="223">
        <v>-9999</v>
      </c>
      <c r="AQ616" s="223" t="s">
        <v>631</v>
      </c>
      <c r="AR616" s="223">
        <v>0</v>
      </c>
      <c r="AS616" s="223">
        <v>-9999</v>
      </c>
      <c r="AT616" s="223">
        <v>-9999</v>
      </c>
      <c r="AU616" s="223">
        <v>0</v>
      </c>
      <c r="AV616" s="223">
        <v>-9999</v>
      </c>
      <c r="AW616" s="223">
        <v>-9999</v>
      </c>
      <c r="AX616" s="223">
        <v>0</v>
      </c>
      <c r="AY616" s="223">
        <v>-9999</v>
      </c>
      <c r="AZ616" s="223">
        <v>-9999</v>
      </c>
      <c r="BA616" s="223">
        <v>-9999</v>
      </c>
      <c r="BB616" s="223" t="s">
        <v>631</v>
      </c>
      <c r="BC616" s="223">
        <v>-9999</v>
      </c>
      <c r="BD616" s="223">
        <v>-9999</v>
      </c>
      <c r="BE616" s="223">
        <v>-9999</v>
      </c>
      <c r="BF616" s="223">
        <v>-9999</v>
      </c>
      <c r="BG616" s="223">
        <v>-9999</v>
      </c>
      <c r="BH616" s="223">
        <v>-9999</v>
      </c>
      <c r="BI616" s="223" t="s">
        <v>1055</v>
      </c>
      <c r="BJ616" s="223">
        <v>-9999</v>
      </c>
      <c r="BK616" s="223">
        <v>-9999</v>
      </c>
      <c r="BL616" s="223">
        <v>-9999</v>
      </c>
      <c r="BM616" s="223">
        <v>-9999</v>
      </c>
      <c r="BN616" s="223">
        <v>-9999</v>
      </c>
      <c r="BO616" s="223">
        <v>-9999</v>
      </c>
      <c r="BP616" s="223">
        <v>-9999</v>
      </c>
      <c r="BQ616" s="223">
        <v>-9999</v>
      </c>
      <c r="BR616" s="223">
        <v>-9999</v>
      </c>
      <c r="BS616" s="242">
        <v>-9999</v>
      </c>
      <c r="BT616" s="223">
        <v>-9999</v>
      </c>
      <c r="BU616" s="223">
        <v>-9999</v>
      </c>
      <c r="BV616" s="223">
        <v>-9999</v>
      </c>
      <c r="BW616" s="223"/>
      <c r="BX616" s="223">
        <v>-9999</v>
      </c>
      <c r="BY616" s="223">
        <v>-9999</v>
      </c>
      <c r="BZ616" s="223">
        <v>-9999</v>
      </c>
      <c r="CA616" s="334" t="s">
        <v>797</v>
      </c>
      <c r="CB616" s="247"/>
      <c r="CC616" s="83">
        <v>1</v>
      </c>
      <c r="CD616" s="32">
        <v>10</v>
      </c>
      <c r="CE616" s="292"/>
      <c r="CF616" s="292"/>
      <c r="CG616" s="84">
        <v>10</v>
      </c>
    </row>
    <row r="617" spans="1:1873" s="202" customFormat="1" ht="25.5" x14ac:dyDescent="0.2">
      <c r="A617" s="304" t="s">
        <v>2090</v>
      </c>
      <c r="B617" s="223" t="s">
        <v>799</v>
      </c>
      <c r="C617" s="223" t="s">
        <v>1030</v>
      </c>
      <c r="D617" s="223" t="s">
        <v>619</v>
      </c>
      <c r="E617" s="241" t="s">
        <v>1451</v>
      </c>
      <c r="F617" s="241">
        <v>1</v>
      </c>
      <c r="G617" s="223">
        <v>11</v>
      </c>
      <c r="H617" s="242">
        <v>11</v>
      </c>
      <c r="I617" s="223" t="s">
        <v>807</v>
      </c>
      <c r="J617" s="450">
        <v>1987</v>
      </c>
      <c r="K617" s="560" t="s">
        <v>1211</v>
      </c>
      <c r="L617" s="450">
        <v>1997</v>
      </c>
      <c r="M617" s="243">
        <v>-9999</v>
      </c>
      <c r="N617" s="223">
        <v>-9999</v>
      </c>
      <c r="O617" s="29"/>
      <c r="P617" s="285">
        <f>+T617*G617</f>
        <v>44.44</v>
      </c>
      <c r="Q617" s="223">
        <v>-9999</v>
      </c>
      <c r="R617" s="243"/>
      <c r="S617" s="223"/>
      <c r="T617" s="243">
        <v>4.04</v>
      </c>
      <c r="U617" s="223">
        <v>-9999</v>
      </c>
      <c r="V617" s="223"/>
      <c r="W617" s="243">
        <v>-9999</v>
      </c>
      <c r="X617" s="223">
        <v>-9999</v>
      </c>
      <c r="Y617" s="223"/>
      <c r="Z617" s="561" t="s">
        <v>1702</v>
      </c>
      <c r="AA617" s="425">
        <f t="shared" si="53"/>
        <v>1682.0700000000002</v>
      </c>
      <c r="AB617" s="243">
        <v>-9999</v>
      </c>
      <c r="AC617" s="245">
        <v>4.0460000000000003</v>
      </c>
      <c r="AD617" s="560">
        <f t="shared" si="54"/>
        <v>3300</v>
      </c>
      <c r="AE617" s="675" t="s">
        <v>97</v>
      </c>
      <c r="AF617" s="223">
        <v>3</v>
      </c>
      <c r="AG617" s="223">
        <v>-9999</v>
      </c>
      <c r="AH617" s="223">
        <v>-9999</v>
      </c>
      <c r="AI617" s="223">
        <v>-9999</v>
      </c>
      <c r="AJ617" s="223">
        <v>-9999</v>
      </c>
      <c r="AK617" s="223">
        <v>-9999</v>
      </c>
      <c r="AL617" s="223">
        <v>-9999</v>
      </c>
      <c r="AM617" s="223">
        <v>-9999</v>
      </c>
      <c r="AN617" s="223" t="s">
        <v>631</v>
      </c>
      <c r="AO617" s="223">
        <v>-9999</v>
      </c>
      <c r="AP617" s="223">
        <v>-9999</v>
      </c>
      <c r="AQ617" s="223" t="s">
        <v>631</v>
      </c>
      <c r="AR617" s="223">
        <v>0</v>
      </c>
      <c r="AS617" s="223">
        <v>-9999</v>
      </c>
      <c r="AT617" s="223">
        <v>-9999</v>
      </c>
      <c r="AU617" s="223">
        <v>0</v>
      </c>
      <c r="AV617" s="223">
        <v>-9999</v>
      </c>
      <c r="AW617" s="223">
        <v>-9999</v>
      </c>
      <c r="AX617" s="223">
        <v>0</v>
      </c>
      <c r="AY617" s="223">
        <v>-9999</v>
      </c>
      <c r="AZ617" s="223">
        <v>-9999</v>
      </c>
      <c r="BA617" s="223">
        <v>-9999</v>
      </c>
      <c r="BB617" s="223" t="s">
        <v>631</v>
      </c>
      <c r="BC617" s="223">
        <v>-9999</v>
      </c>
      <c r="BD617" s="223">
        <v>-9999</v>
      </c>
      <c r="BE617" s="223">
        <v>-9999</v>
      </c>
      <c r="BF617" s="223">
        <v>-9999</v>
      </c>
      <c r="BG617" s="223">
        <v>-9999</v>
      </c>
      <c r="BH617" s="223">
        <v>-9999</v>
      </c>
      <c r="BI617" s="223" t="s">
        <v>1055</v>
      </c>
      <c r="BJ617" s="223">
        <v>-9999</v>
      </c>
      <c r="BK617" s="223">
        <v>-9999</v>
      </c>
      <c r="BL617" s="223">
        <v>-9999</v>
      </c>
      <c r="BM617" s="223">
        <v>-9999</v>
      </c>
      <c r="BN617" s="223">
        <v>-9999</v>
      </c>
      <c r="BO617" s="223">
        <v>-9999</v>
      </c>
      <c r="BP617" s="223">
        <v>-9999</v>
      </c>
      <c r="BQ617" s="223">
        <v>-9999</v>
      </c>
      <c r="BR617" s="223">
        <v>-9999</v>
      </c>
      <c r="BS617" s="242">
        <v>-9999</v>
      </c>
      <c r="BT617" s="223">
        <v>-9999</v>
      </c>
      <c r="BU617" s="223">
        <v>-9999</v>
      </c>
      <c r="BV617" s="223">
        <v>-9999</v>
      </c>
      <c r="BW617" s="223"/>
      <c r="BX617" s="223">
        <v>-9999</v>
      </c>
      <c r="BY617" s="223">
        <v>-9999</v>
      </c>
      <c r="BZ617" s="223">
        <v>-9999</v>
      </c>
      <c r="CA617" s="334" t="s">
        <v>797</v>
      </c>
      <c r="CB617" s="247"/>
      <c r="CC617" s="201">
        <v>1</v>
      </c>
      <c r="CD617" s="192">
        <v>11</v>
      </c>
      <c r="CE617" s="394">
        <v>4.04</v>
      </c>
      <c r="CF617" s="292"/>
      <c r="CG617" s="196">
        <v>11</v>
      </c>
      <c r="CH617" s="438" t="s">
        <v>1757</v>
      </c>
      <c r="CI617" s="23"/>
      <c r="CJ617" s="23"/>
      <c r="CK617" s="23"/>
      <c r="CL617" s="23"/>
      <c r="CM617" s="23"/>
      <c r="CN617" s="23"/>
      <c r="CO617" s="23"/>
      <c r="CP617" s="23"/>
      <c r="CQ617" s="23"/>
      <c r="CR617" s="23"/>
      <c r="CS617" s="23"/>
      <c r="CT617" s="23"/>
      <c r="CU617" s="23"/>
      <c r="CV617" s="23"/>
      <c r="CW617" s="23"/>
      <c r="CX617" s="23"/>
      <c r="CY617" s="23"/>
      <c r="CZ617" s="23"/>
      <c r="DA617" s="23"/>
      <c r="DB617" s="23"/>
      <c r="DC617" s="23"/>
      <c r="DD617" s="23"/>
      <c r="DE617" s="23"/>
      <c r="DF617" s="23"/>
      <c r="DG617" s="23"/>
      <c r="DH617" s="23"/>
      <c r="DI617" s="23"/>
      <c r="DJ617" s="23"/>
      <c r="DK617" s="23"/>
      <c r="DL617" s="23"/>
      <c r="DM617" s="23"/>
      <c r="DN617" s="23"/>
      <c r="DO617" s="23"/>
      <c r="DP617" s="23"/>
      <c r="DQ617" s="23"/>
      <c r="DR617" s="23"/>
      <c r="DS617" s="23"/>
      <c r="DT617" s="23"/>
      <c r="DU617" s="23"/>
      <c r="DV617" s="23"/>
      <c r="DW617" s="23"/>
      <c r="DX617" s="23"/>
      <c r="DY617" s="23"/>
      <c r="DZ617" s="23"/>
      <c r="EA617" s="23"/>
      <c r="EB617" s="23"/>
      <c r="EC617" s="23"/>
      <c r="ED617" s="23"/>
      <c r="EE617" s="23"/>
      <c r="EF617" s="23"/>
      <c r="EG617" s="23"/>
      <c r="EH617" s="23"/>
      <c r="EI617" s="23"/>
      <c r="EJ617" s="23"/>
      <c r="EK617" s="23"/>
      <c r="EL617" s="23"/>
      <c r="EM617" s="23"/>
      <c r="EN617" s="23"/>
      <c r="EO617" s="23"/>
      <c r="EP617" s="23"/>
      <c r="EQ617" s="23"/>
      <c r="ER617" s="23"/>
      <c r="ES617" s="23"/>
      <c r="ET617" s="23"/>
      <c r="EU617" s="23"/>
      <c r="EV617" s="23"/>
      <c r="EW617" s="23"/>
      <c r="EX617" s="23"/>
      <c r="EY617" s="23"/>
      <c r="EZ617" s="23"/>
      <c r="FA617" s="23"/>
      <c r="FB617" s="23"/>
      <c r="FC617" s="23"/>
      <c r="FD617" s="23"/>
      <c r="FE617" s="23"/>
      <c r="FF617" s="23"/>
      <c r="FG617" s="23"/>
      <c r="FH617" s="23"/>
      <c r="FI617" s="23"/>
      <c r="FJ617" s="23"/>
      <c r="FK617" s="23"/>
      <c r="FL617" s="23"/>
      <c r="FM617" s="23"/>
      <c r="FN617" s="23"/>
      <c r="FO617" s="23"/>
      <c r="FP617" s="23"/>
      <c r="FQ617" s="23"/>
      <c r="FR617" s="23"/>
      <c r="FS617" s="23"/>
      <c r="FT617" s="23"/>
      <c r="FU617" s="23"/>
      <c r="FV617" s="23"/>
      <c r="FW617" s="23"/>
      <c r="FX617" s="23"/>
      <c r="FY617" s="23"/>
      <c r="FZ617" s="23"/>
      <c r="GA617" s="23"/>
      <c r="GB617" s="23"/>
      <c r="GC617" s="23"/>
      <c r="GD617" s="23"/>
      <c r="GE617" s="23"/>
      <c r="GF617" s="23"/>
      <c r="GG617" s="23"/>
      <c r="GH617" s="23"/>
      <c r="GI617" s="23"/>
      <c r="GJ617" s="23"/>
      <c r="GK617" s="23"/>
      <c r="GL617" s="23"/>
      <c r="GM617" s="23"/>
      <c r="GN617" s="23"/>
      <c r="GO617" s="23"/>
      <c r="GP617" s="23"/>
      <c r="GQ617" s="23"/>
      <c r="GR617" s="23"/>
      <c r="GS617" s="23"/>
      <c r="GT617" s="23"/>
      <c r="GU617" s="23"/>
      <c r="GV617" s="23"/>
      <c r="GW617" s="23"/>
      <c r="GX617" s="23"/>
      <c r="GY617" s="23"/>
      <c r="GZ617" s="23"/>
      <c r="HA617" s="23"/>
      <c r="HB617" s="23"/>
      <c r="HC617" s="23"/>
      <c r="HD617" s="23"/>
      <c r="HE617" s="23"/>
      <c r="HF617" s="23"/>
      <c r="HG617" s="23"/>
      <c r="HH617" s="23"/>
      <c r="HI617" s="23"/>
      <c r="HJ617" s="23"/>
      <c r="HK617" s="23"/>
      <c r="HL617" s="23"/>
      <c r="HM617" s="23"/>
      <c r="HN617" s="23"/>
      <c r="HO617" s="23"/>
      <c r="HP617" s="23"/>
      <c r="HQ617" s="23"/>
      <c r="HR617" s="23"/>
      <c r="HS617" s="23"/>
      <c r="HT617" s="23"/>
      <c r="HU617" s="23"/>
      <c r="HV617" s="23"/>
      <c r="HW617" s="23"/>
      <c r="HX617" s="23"/>
      <c r="HY617" s="23"/>
      <c r="HZ617" s="23"/>
      <c r="IA617" s="23"/>
      <c r="IB617" s="23"/>
      <c r="IC617" s="23"/>
      <c r="ID617" s="23"/>
      <c r="IE617" s="23"/>
      <c r="IF617" s="23"/>
      <c r="IG617" s="23"/>
      <c r="IH617" s="23"/>
      <c r="II617" s="23"/>
      <c r="IJ617" s="23"/>
      <c r="IK617" s="23"/>
      <c r="IL617" s="23"/>
      <c r="IM617" s="23"/>
      <c r="IN617" s="23"/>
      <c r="IO617" s="23"/>
      <c r="IP617" s="23"/>
      <c r="IQ617" s="23"/>
      <c r="IR617" s="23"/>
      <c r="IS617" s="23"/>
      <c r="IT617" s="23"/>
      <c r="IU617" s="23"/>
      <c r="IV617" s="23"/>
      <c r="IW617" s="23"/>
      <c r="IX617" s="23"/>
      <c r="IY617" s="23"/>
      <c r="IZ617" s="23"/>
      <c r="JA617" s="23"/>
      <c r="JB617" s="23"/>
      <c r="JC617" s="23"/>
      <c r="JD617" s="23"/>
      <c r="JE617" s="23"/>
      <c r="JF617" s="23"/>
      <c r="JG617" s="23"/>
      <c r="JH617" s="23"/>
      <c r="JI617" s="23"/>
      <c r="JJ617" s="23"/>
      <c r="JK617" s="23"/>
      <c r="JL617" s="23"/>
      <c r="JM617" s="23"/>
      <c r="JN617" s="23"/>
      <c r="JO617" s="23"/>
      <c r="JP617" s="23"/>
      <c r="JQ617" s="23"/>
      <c r="JR617" s="23"/>
      <c r="JS617" s="23"/>
      <c r="JT617" s="23"/>
      <c r="JU617" s="23"/>
      <c r="JV617" s="23"/>
      <c r="JW617" s="23"/>
      <c r="JX617" s="23"/>
      <c r="JY617" s="23"/>
      <c r="JZ617" s="23"/>
      <c r="KA617" s="23"/>
      <c r="KB617" s="23"/>
      <c r="KC617" s="23"/>
      <c r="KD617" s="23"/>
      <c r="KE617" s="23"/>
      <c r="KF617" s="23"/>
      <c r="KG617" s="23"/>
      <c r="KH617" s="23"/>
      <c r="KI617" s="23"/>
      <c r="KJ617" s="23"/>
      <c r="KK617" s="23"/>
      <c r="KL617" s="23"/>
      <c r="KM617" s="23"/>
      <c r="KN617" s="23"/>
      <c r="KO617" s="23"/>
      <c r="KP617" s="23"/>
      <c r="KQ617" s="23"/>
      <c r="KR617" s="23"/>
      <c r="KS617" s="23"/>
      <c r="KT617" s="23"/>
      <c r="KU617" s="23"/>
      <c r="KV617" s="23"/>
      <c r="KW617" s="23"/>
      <c r="KX617" s="23"/>
      <c r="KY617" s="23"/>
      <c r="KZ617" s="23"/>
      <c r="LA617" s="23"/>
      <c r="LB617" s="23"/>
      <c r="LC617" s="23"/>
      <c r="LD617" s="23"/>
      <c r="LE617" s="23"/>
      <c r="LF617" s="23"/>
      <c r="LG617" s="23"/>
      <c r="LH617" s="23"/>
      <c r="LI617" s="23"/>
      <c r="LJ617" s="23"/>
      <c r="LK617" s="23"/>
      <c r="LL617" s="23"/>
      <c r="LM617" s="23"/>
      <c r="LN617" s="23"/>
      <c r="LO617" s="23"/>
      <c r="LP617" s="23"/>
      <c r="LQ617" s="23"/>
      <c r="LR617" s="23"/>
      <c r="LS617" s="23"/>
      <c r="LT617" s="23"/>
      <c r="LU617" s="23"/>
      <c r="LV617" s="23"/>
      <c r="LW617" s="23"/>
      <c r="LX617" s="23"/>
      <c r="LY617" s="23"/>
      <c r="LZ617" s="23"/>
      <c r="MA617" s="23"/>
      <c r="MB617" s="23"/>
      <c r="MC617" s="23"/>
      <c r="MD617" s="23"/>
      <c r="ME617" s="23"/>
      <c r="MF617" s="23"/>
      <c r="MG617" s="23"/>
      <c r="MH617" s="23"/>
      <c r="MI617" s="23"/>
      <c r="MJ617" s="23"/>
      <c r="MK617" s="23"/>
      <c r="ML617" s="23"/>
      <c r="MM617" s="23"/>
      <c r="MN617" s="23"/>
      <c r="MO617" s="23"/>
      <c r="MP617" s="23"/>
      <c r="MQ617" s="23"/>
      <c r="MR617" s="23"/>
      <c r="MS617" s="23"/>
      <c r="MT617" s="23"/>
      <c r="MU617" s="23"/>
      <c r="MV617" s="23"/>
      <c r="MW617" s="23"/>
      <c r="MX617" s="23"/>
      <c r="MY617" s="23"/>
      <c r="MZ617" s="23"/>
      <c r="NA617" s="23"/>
      <c r="NB617" s="23"/>
      <c r="NC617" s="23"/>
      <c r="ND617" s="23"/>
      <c r="NE617" s="23"/>
      <c r="NF617" s="23"/>
      <c r="NG617" s="23"/>
      <c r="NH617" s="23"/>
      <c r="NI617" s="23"/>
      <c r="NJ617" s="23"/>
      <c r="NK617" s="23"/>
      <c r="NL617" s="23"/>
      <c r="NM617" s="23"/>
      <c r="NN617" s="23"/>
      <c r="NO617" s="23"/>
      <c r="NP617" s="23"/>
      <c r="NQ617" s="23"/>
      <c r="NR617" s="23"/>
      <c r="NS617" s="23"/>
      <c r="NT617" s="23"/>
      <c r="NU617" s="23"/>
      <c r="NV617" s="23"/>
      <c r="NW617" s="23"/>
      <c r="NX617" s="23"/>
      <c r="NY617" s="23"/>
      <c r="NZ617" s="23"/>
      <c r="OA617" s="23"/>
      <c r="OB617" s="23"/>
      <c r="OC617" s="23"/>
      <c r="OD617" s="23"/>
      <c r="OE617" s="23"/>
      <c r="OF617" s="23"/>
      <c r="OG617" s="23"/>
      <c r="OH617" s="23"/>
      <c r="OI617" s="23"/>
      <c r="OJ617" s="23"/>
      <c r="OK617" s="23"/>
      <c r="OL617" s="23"/>
      <c r="OM617" s="23"/>
      <c r="ON617" s="23"/>
      <c r="OO617" s="23"/>
      <c r="OP617" s="23"/>
      <c r="OQ617" s="23"/>
      <c r="OR617" s="23"/>
      <c r="OS617" s="23"/>
      <c r="OT617" s="23"/>
      <c r="OU617" s="23"/>
      <c r="OV617" s="23"/>
      <c r="OW617" s="23"/>
      <c r="OX617" s="23"/>
      <c r="OY617" s="23"/>
      <c r="OZ617" s="23"/>
      <c r="PA617" s="23"/>
      <c r="PB617" s="23"/>
      <c r="PC617" s="23"/>
      <c r="PD617" s="23"/>
      <c r="PE617" s="23"/>
      <c r="PF617" s="23"/>
      <c r="PG617" s="23"/>
      <c r="PH617" s="23"/>
      <c r="PI617" s="23"/>
      <c r="PJ617" s="23"/>
      <c r="PK617" s="23"/>
      <c r="PL617" s="23"/>
      <c r="PM617" s="23"/>
      <c r="PN617" s="23"/>
      <c r="PO617" s="23"/>
      <c r="PP617" s="23"/>
      <c r="PQ617" s="23"/>
      <c r="PR617" s="23"/>
      <c r="PS617" s="23"/>
      <c r="PT617" s="23"/>
      <c r="PU617" s="23"/>
      <c r="PV617" s="23"/>
      <c r="PW617" s="23"/>
      <c r="PX617" s="23"/>
      <c r="PY617" s="23"/>
      <c r="PZ617" s="23"/>
      <c r="QA617" s="23"/>
      <c r="QB617" s="23"/>
      <c r="QC617" s="23"/>
      <c r="QD617" s="23"/>
      <c r="QE617" s="23"/>
      <c r="QF617" s="23"/>
      <c r="QG617" s="23"/>
      <c r="QH617" s="23"/>
      <c r="QI617" s="23"/>
      <c r="QJ617" s="23"/>
      <c r="QK617" s="23"/>
      <c r="QL617" s="23"/>
      <c r="QM617" s="23"/>
      <c r="QN617" s="23"/>
      <c r="QO617" s="23"/>
      <c r="QP617" s="23"/>
      <c r="QQ617" s="23"/>
      <c r="QR617" s="23"/>
      <c r="QS617" s="23"/>
      <c r="QT617" s="23"/>
      <c r="QU617" s="23"/>
      <c r="QV617" s="23"/>
      <c r="QW617" s="23"/>
      <c r="QX617" s="23"/>
      <c r="QY617" s="23"/>
      <c r="QZ617" s="23"/>
      <c r="RA617" s="23"/>
      <c r="RB617" s="23"/>
      <c r="RC617" s="23"/>
      <c r="RD617" s="23"/>
      <c r="RE617" s="23"/>
      <c r="RF617" s="23"/>
      <c r="RG617" s="23"/>
      <c r="RH617" s="23"/>
      <c r="RI617" s="23"/>
      <c r="RJ617" s="23"/>
      <c r="RK617" s="23"/>
      <c r="RL617" s="23"/>
      <c r="RM617" s="23"/>
      <c r="RN617" s="23"/>
      <c r="RO617" s="23"/>
      <c r="RP617" s="23"/>
      <c r="RQ617" s="23"/>
      <c r="RR617" s="23"/>
      <c r="RS617" s="23"/>
      <c r="RT617" s="23"/>
      <c r="RU617" s="23"/>
      <c r="RV617" s="23"/>
      <c r="RW617" s="23"/>
      <c r="RX617" s="23"/>
      <c r="RY617" s="23"/>
      <c r="RZ617" s="23"/>
      <c r="SA617" s="23"/>
      <c r="SB617" s="23"/>
      <c r="SC617" s="23"/>
      <c r="SD617" s="23"/>
      <c r="SE617" s="23"/>
      <c r="SF617" s="23"/>
      <c r="SG617" s="23"/>
      <c r="SH617" s="23"/>
      <c r="SI617" s="23"/>
      <c r="SJ617" s="23"/>
      <c r="SK617" s="23"/>
      <c r="SL617" s="23"/>
      <c r="SM617" s="23"/>
      <c r="SN617" s="23"/>
      <c r="SO617" s="23"/>
      <c r="SP617" s="23"/>
      <c r="SQ617" s="23"/>
      <c r="SR617" s="23"/>
      <c r="SS617" s="23"/>
      <c r="ST617" s="23"/>
      <c r="SU617" s="23"/>
      <c r="SV617" s="23"/>
      <c r="SW617" s="23"/>
      <c r="SX617" s="23"/>
      <c r="SY617" s="23"/>
      <c r="SZ617" s="23"/>
      <c r="TA617" s="23"/>
      <c r="TB617" s="23"/>
      <c r="TC617" s="23"/>
      <c r="TD617" s="23"/>
      <c r="TE617" s="23"/>
      <c r="TF617" s="23"/>
      <c r="TG617" s="23"/>
      <c r="TH617" s="23"/>
      <c r="TI617" s="23"/>
      <c r="TJ617" s="23"/>
      <c r="TK617" s="23"/>
      <c r="TL617" s="23"/>
      <c r="TM617" s="23"/>
      <c r="TN617" s="23"/>
      <c r="TO617" s="23"/>
      <c r="TP617" s="23"/>
      <c r="TQ617" s="23"/>
      <c r="TR617" s="23"/>
      <c r="TS617" s="23"/>
      <c r="TT617" s="23"/>
      <c r="TU617" s="23"/>
      <c r="TV617" s="23"/>
      <c r="TW617" s="23"/>
      <c r="TX617" s="23"/>
      <c r="TY617" s="23"/>
      <c r="TZ617" s="23"/>
      <c r="UA617" s="23"/>
      <c r="UB617" s="23"/>
      <c r="UC617" s="23"/>
      <c r="UD617" s="23"/>
      <c r="UE617" s="23"/>
      <c r="UF617" s="23"/>
      <c r="UG617" s="23"/>
      <c r="UH617" s="23"/>
      <c r="UI617" s="23"/>
      <c r="UJ617" s="23"/>
      <c r="UK617" s="23"/>
      <c r="UL617" s="23"/>
      <c r="UM617" s="23"/>
      <c r="UN617" s="23"/>
      <c r="UO617" s="23"/>
      <c r="UP617" s="23"/>
      <c r="UQ617" s="23"/>
      <c r="UR617" s="23"/>
      <c r="US617" s="23"/>
      <c r="UT617" s="23"/>
      <c r="UU617" s="23"/>
      <c r="UV617" s="23"/>
      <c r="UW617" s="23"/>
      <c r="UX617" s="23"/>
      <c r="UY617" s="23"/>
      <c r="UZ617" s="23"/>
      <c r="VA617" s="23"/>
      <c r="VB617" s="23"/>
      <c r="VC617" s="23"/>
      <c r="VD617" s="23"/>
      <c r="VE617" s="23"/>
      <c r="VF617" s="23"/>
      <c r="VG617" s="23"/>
      <c r="VH617" s="23"/>
      <c r="VI617" s="23"/>
      <c r="VJ617" s="23"/>
      <c r="VK617" s="23"/>
      <c r="VL617" s="23"/>
      <c r="VM617" s="23"/>
      <c r="VN617" s="23"/>
      <c r="VO617" s="23"/>
      <c r="VP617" s="23"/>
      <c r="VQ617" s="23"/>
      <c r="VR617" s="23"/>
      <c r="VS617" s="23"/>
      <c r="VT617" s="23"/>
      <c r="VU617" s="23"/>
      <c r="VV617" s="23"/>
      <c r="VW617" s="23"/>
      <c r="VX617" s="23"/>
      <c r="VY617" s="23"/>
      <c r="VZ617" s="23"/>
      <c r="WA617" s="23"/>
      <c r="WB617" s="23"/>
      <c r="WC617" s="23"/>
      <c r="WD617" s="23"/>
      <c r="WE617" s="23"/>
      <c r="WF617" s="23"/>
      <c r="WG617" s="23"/>
      <c r="WH617" s="23"/>
      <c r="WI617" s="23"/>
      <c r="WJ617" s="23"/>
      <c r="WK617" s="23"/>
      <c r="WL617" s="23"/>
      <c r="WM617" s="23"/>
      <c r="WN617" s="23"/>
      <c r="WO617" s="23"/>
      <c r="WP617" s="23"/>
      <c r="WQ617" s="23"/>
      <c r="WR617" s="23"/>
      <c r="WS617" s="23"/>
      <c r="WT617" s="23"/>
      <c r="WU617" s="23"/>
      <c r="WV617" s="23"/>
      <c r="WW617" s="23"/>
      <c r="WX617" s="23"/>
      <c r="WY617" s="23"/>
      <c r="WZ617" s="23"/>
      <c r="XA617" s="23"/>
      <c r="XB617" s="23"/>
      <c r="XC617" s="23"/>
      <c r="XD617" s="23"/>
      <c r="XE617" s="23"/>
      <c r="XF617" s="23"/>
      <c r="XG617" s="23"/>
      <c r="XH617" s="23"/>
      <c r="XI617" s="23"/>
      <c r="XJ617" s="23"/>
      <c r="XK617" s="23"/>
      <c r="XL617" s="23"/>
      <c r="XM617" s="23"/>
      <c r="XN617" s="23"/>
      <c r="XO617" s="23"/>
      <c r="XP617" s="23"/>
      <c r="XQ617" s="23"/>
      <c r="XR617" s="23"/>
      <c r="XS617" s="23"/>
      <c r="XT617" s="23"/>
      <c r="XU617" s="23"/>
      <c r="XV617" s="23"/>
      <c r="XW617" s="23"/>
      <c r="XX617" s="23"/>
      <c r="XY617" s="23"/>
      <c r="XZ617" s="23"/>
      <c r="YA617" s="23"/>
      <c r="YB617" s="23"/>
      <c r="YC617" s="23"/>
      <c r="YD617" s="23"/>
      <c r="YE617" s="23"/>
      <c r="YF617" s="23"/>
      <c r="YG617" s="23"/>
      <c r="YH617" s="23"/>
      <c r="YI617" s="23"/>
      <c r="YJ617" s="23"/>
      <c r="YK617" s="23"/>
      <c r="YL617" s="23"/>
      <c r="YM617" s="23"/>
      <c r="YN617" s="23"/>
      <c r="YO617" s="23"/>
      <c r="YP617" s="23"/>
      <c r="YQ617" s="23"/>
      <c r="YR617" s="23"/>
      <c r="YS617" s="23"/>
      <c r="YT617" s="23"/>
      <c r="YU617" s="23"/>
      <c r="YV617" s="23"/>
      <c r="YW617" s="23"/>
      <c r="YX617" s="23"/>
      <c r="YY617" s="23"/>
      <c r="YZ617" s="23"/>
      <c r="ZA617" s="23"/>
      <c r="ZB617" s="23"/>
      <c r="ZC617" s="23"/>
      <c r="ZD617" s="23"/>
      <c r="ZE617" s="23"/>
      <c r="ZF617" s="23"/>
      <c r="ZG617" s="23"/>
      <c r="ZH617" s="23"/>
      <c r="ZI617" s="23"/>
      <c r="ZJ617" s="23"/>
      <c r="ZK617" s="23"/>
      <c r="ZL617" s="23"/>
      <c r="ZM617" s="23"/>
      <c r="ZN617" s="23"/>
      <c r="ZO617" s="23"/>
      <c r="ZP617" s="23"/>
      <c r="ZQ617" s="23"/>
      <c r="ZR617" s="23"/>
      <c r="ZS617" s="23"/>
      <c r="ZT617" s="23"/>
      <c r="ZU617" s="23"/>
      <c r="ZV617" s="23"/>
      <c r="ZW617" s="23"/>
      <c r="ZX617" s="23"/>
      <c r="ZY617" s="23"/>
      <c r="ZZ617" s="23"/>
      <c r="AAA617" s="23"/>
      <c r="AAB617" s="23"/>
      <c r="AAC617" s="23"/>
      <c r="AAD617" s="23"/>
      <c r="AAE617" s="23"/>
      <c r="AAF617" s="23"/>
      <c r="AAG617" s="23"/>
      <c r="AAH617" s="23"/>
      <c r="AAI617" s="23"/>
      <c r="AAJ617" s="23"/>
      <c r="AAK617" s="23"/>
      <c r="AAL617" s="23"/>
      <c r="AAM617" s="23"/>
      <c r="AAN617" s="23"/>
      <c r="AAO617" s="23"/>
      <c r="AAP617" s="23"/>
      <c r="AAQ617" s="23"/>
      <c r="AAR617" s="23"/>
      <c r="AAS617" s="23"/>
      <c r="AAT617" s="23"/>
      <c r="AAU617" s="23"/>
      <c r="AAV617" s="23"/>
      <c r="AAW617" s="23"/>
      <c r="AAX617" s="23"/>
      <c r="AAY617" s="23"/>
      <c r="AAZ617" s="23"/>
      <c r="ABA617" s="23"/>
      <c r="ABB617" s="23"/>
      <c r="ABC617" s="23"/>
      <c r="ABD617" s="23"/>
      <c r="ABE617" s="23"/>
      <c r="ABF617" s="23"/>
      <c r="ABG617" s="23"/>
      <c r="ABH617" s="23"/>
      <c r="ABI617" s="23"/>
      <c r="ABJ617" s="23"/>
      <c r="ABK617" s="23"/>
      <c r="ABL617" s="23"/>
      <c r="ABM617" s="23"/>
      <c r="ABN617" s="23"/>
      <c r="ABO617" s="23"/>
      <c r="ABP617" s="23"/>
      <c r="ABQ617" s="23"/>
      <c r="ABR617" s="23"/>
      <c r="ABS617" s="23"/>
      <c r="ABT617" s="23"/>
      <c r="ABU617" s="23"/>
      <c r="ABV617" s="23"/>
      <c r="ABW617" s="23"/>
      <c r="ABX617" s="23"/>
      <c r="ABY617" s="23"/>
      <c r="ABZ617" s="23"/>
      <c r="ACA617" s="23"/>
      <c r="ACB617" s="23"/>
      <c r="ACC617" s="23"/>
      <c r="ACD617" s="23"/>
      <c r="ACE617" s="23"/>
      <c r="ACF617" s="23"/>
      <c r="ACG617" s="23"/>
      <c r="ACH617" s="23"/>
      <c r="ACI617" s="23"/>
      <c r="ACJ617" s="23"/>
      <c r="ACK617" s="23"/>
      <c r="ACL617" s="23"/>
      <c r="ACM617" s="23"/>
      <c r="ACN617" s="23"/>
      <c r="ACO617" s="23"/>
      <c r="ACP617" s="23"/>
      <c r="ACQ617" s="23"/>
      <c r="ACR617" s="23"/>
      <c r="ACS617" s="23"/>
      <c r="ACT617" s="23"/>
      <c r="ACU617" s="23"/>
      <c r="ACV617" s="23"/>
      <c r="ACW617" s="23"/>
      <c r="ACX617" s="23"/>
      <c r="ACY617" s="23"/>
      <c r="ACZ617" s="23"/>
      <c r="ADA617" s="23"/>
      <c r="ADB617" s="23"/>
      <c r="ADC617" s="23"/>
      <c r="ADD617" s="23"/>
      <c r="ADE617" s="23"/>
      <c r="ADF617" s="23"/>
      <c r="ADG617" s="23"/>
      <c r="ADH617" s="23"/>
      <c r="ADI617" s="23"/>
      <c r="ADJ617" s="23"/>
      <c r="ADK617" s="23"/>
      <c r="ADL617" s="23"/>
      <c r="ADM617" s="23"/>
      <c r="ADN617" s="23"/>
      <c r="ADO617" s="23"/>
      <c r="ADP617" s="23"/>
      <c r="ADQ617" s="23"/>
      <c r="ADR617" s="23"/>
      <c r="ADS617" s="23"/>
      <c r="ADT617" s="23"/>
      <c r="ADU617" s="23"/>
      <c r="ADV617" s="23"/>
      <c r="ADW617" s="23"/>
      <c r="ADX617" s="23"/>
      <c r="ADY617" s="23"/>
      <c r="ADZ617" s="23"/>
      <c r="AEA617" s="23"/>
      <c r="AEB617" s="23"/>
      <c r="AEC617" s="23"/>
      <c r="AED617" s="23"/>
      <c r="AEE617" s="23"/>
      <c r="AEF617" s="23"/>
      <c r="AEG617" s="23"/>
      <c r="AEH617" s="23"/>
      <c r="AEI617" s="23"/>
      <c r="AEJ617" s="23"/>
      <c r="AEK617" s="23"/>
      <c r="AEL617" s="23"/>
      <c r="AEM617" s="23"/>
      <c r="AEN617" s="23"/>
      <c r="AEO617" s="23"/>
      <c r="AEP617" s="23"/>
      <c r="AEQ617" s="23"/>
      <c r="AER617" s="23"/>
      <c r="AES617" s="23"/>
      <c r="AET617" s="23"/>
      <c r="AEU617" s="23"/>
      <c r="AEV617" s="23"/>
      <c r="AEW617" s="23"/>
      <c r="AEX617" s="23"/>
      <c r="AEY617" s="23"/>
      <c r="AEZ617" s="23"/>
      <c r="AFA617" s="23"/>
      <c r="AFB617" s="23"/>
      <c r="AFC617" s="23"/>
      <c r="AFD617" s="23"/>
      <c r="AFE617" s="23"/>
      <c r="AFF617" s="23"/>
      <c r="AFG617" s="23"/>
      <c r="AFH617" s="23"/>
      <c r="AFI617" s="23"/>
      <c r="AFJ617" s="23"/>
      <c r="AFK617" s="23"/>
      <c r="AFL617" s="23"/>
      <c r="AFM617" s="23"/>
      <c r="AFN617" s="23"/>
      <c r="AFO617" s="23"/>
      <c r="AFP617" s="23"/>
      <c r="AFQ617" s="23"/>
      <c r="AFR617" s="23"/>
      <c r="AFS617" s="23"/>
      <c r="AFT617" s="23"/>
      <c r="AFU617" s="23"/>
      <c r="AFV617" s="23"/>
      <c r="AFW617" s="23"/>
      <c r="AFX617" s="23"/>
      <c r="AFY617" s="23"/>
      <c r="AFZ617" s="23"/>
      <c r="AGA617" s="23"/>
      <c r="AGB617" s="23"/>
      <c r="AGC617" s="23"/>
      <c r="AGD617" s="23"/>
      <c r="AGE617" s="23"/>
      <c r="AGF617" s="23"/>
      <c r="AGG617" s="23"/>
      <c r="AGH617" s="23"/>
      <c r="AGI617" s="23"/>
      <c r="AGJ617" s="23"/>
      <c r="AGK617" s="23"/>
      <c r="AGL617" s="23"/>
      <c r="AGM617" s="23"/>
      <c r="AGN617" s="23"/>
      <c r="AGO617" s="23"/>
      <c r="AGP617" s="23"/>
      <c r="AGQ617" s="23"/>
      <c r="AGR617" s="23"/>
      <c r="AGS617" s="23"/>
      <c r="AGT617" s="23"/>
      <c r="AGU617" s="23"/>
      <c r="AGV617" s="23"/>
      <c r="AGW617" s="23"/>
      <c r="AGX617" s="23"/>
      <c r="AGY617" s="23"/>
      <c r="AGZ617" s="23"/>
      <c r="AHA617" s="23"/>
      <c r="AHB617" s="23"/>
      <c r="AHC617" s="23"/>
      <c r="AHD617" s="23"/>
      <c r="AHE617" s="23"/>
      <c r="AHF617" s="23"/>
      <c r="AHG617" s="23"/>
      <c r="AHH617" s="23"/>
      <c r="AHI617" s="23"/>
      <c r="AHJ617" s="23"/>
      <c r="AHK617" s="23"/>
      <c r="AHL617" s="23"/>
      <c r="AHM617" s="23"/>
      <c r="AHN617" s="23"/>
      <c r="AHO617" s="23"/>
      <c r="AHP617" s="23"/>
      <c r="AHQ617" s="23"/>
      <c r="AHR617" s="23"/>
      <c r="AHS617" s="23"/>
      <c r="AHT617" s="23"/>
      <c r="AHU617" s="23"/>
      <c r="AHV617" s="23"/>
      <c r="AHW617" s="23"/>
      <c r="AHX617" s="23"/>
      <c r="AHY617" s="23"/>
      <c r="AHZ617" s="23"/>
      <c r="AIA617" s="23"/>
      <c r="AIB617" s="23"/>
      <c r="AIC617" s="23"/>
      <c r="AID617" s="23"/>
      <c r="AIE617" s="23"/>
      <c r="AIF617" s="23"/>
      <c r="AIG617" s="23"/>
      <c r="AIH617" s="23"/>
      <c r="AII617" s="23"/>
      <c r="AIJ617" s="23"/>
      <c r="AIK617" s="23"/>
      <c r="AIL617" s="23"/>
      <c r="AIM617" s="23"/>
      <c r="AIN617" s="23"/>
      <c r="AIO617" s="23"/>
      <c r="AIP617" s="23"/>
      <c r="AIQ617" s="23"/>
      <c r="AIR617" s="23"/>
      <c r="AIS617" s="23"/>
      <c r="AIT617" s="23"/>
      <c r="AIU617" s="23"/>
      <c r="AIV617" s="23"/>
      <c r="AIW617" s="23"/>
      <c r="AIX617" s="23"/>
      <c r="AIY617" s="23"/>
      <c r="AIZ617" s="23"/>
      <c r="AJA617" s="23"/>
      <c r="AJB617" s="23"/>
      <c r="AJC617" s="23"/>
      <c r="AJD617" s="23"/>
      <c r="AJE617" s="23"/>
      <c r="AJF617" s="23"/>
      <c r="AJG617" s="23"/>
      <c r="AJH617" s="23"/>
      <c r="AJI617" s="23"/>
      <c r="AJJ617" s="23"/>
      <c r="AJK617" s="23"/>
      <c r="AJL617" s="23"/>
      <c r="AJM617" s="23"/>
      <c r="AJN617" s="23"/>
      <c r="AJO617" s="23"/>
      <c r="AJP617" s="23"/>
      <c r="AJQ617" s="23"/>
      <c r="AJR617" s="23"/>
      <c r="AJS617" s="23"/>
      <c r="AJT617" s="23"/>
      <c r="AJU617" s="23"/>
      <c r="AJV617" s="23"/>
      <c r="AJW617" s="23"/>
      <c r="AJX617" s="23"/>
      <c r="AJY617" s="23"/>
      <c r="AJZ617" s="23"/>
      <c r="AKA617" s="23"/>
      <c r="AKB617" s="23"/>
      <c r="AKC617" s="23"/>
      <c r="AKD617" s="23"/>
      <c r="AKE617" s="23"/>
      <c r="AKF617" s="23"/>
      <c r="AKG617" s="23"/>
      <c r="AKH617" s="23"/>
      <c r="AKI617" s="23"/>
      <c r="AKJ617" s="23"/>
      <c r="AKK617" s="23"/>
      <c r="AKL617" s="23"/>
      <c r="AKM617" s="23"/>
      <c r="AKN617" s="23"/>
      <c r="AKO617" s="23"/>
      <c r="AKP617" s="23"/>
      <c r="AKQ617" s="23"/>
      <c r="AKR617" s="23"/>
      <c r="AKS617" s="23"/>
      <c r="AKT617" s="23"/>
      <c r="AKU617" s="23"/>
      <c r="AKV617" s="23"/>
      <c r="AKW617" s="23"/>
      <c r="AKX617" s="23"/>
      <c r="AKY617" s="23"/>
      <c r="AKZ617" s="23"/>
      <c r="ALA617" s="23"/>
      <c r="ALB617" s="23"/>
      <c r="ALC617" s="23"/>
      <c r="ALD617" s="23"/>
      <c r="ALE617" s="23"/>
      <c r="ALF617" s="23"/>
      <c r="ALG617" s="23"/>
      <c r="ALH617" s="23"/>
      <c r="ALI617" s="23"/>
      <c r="ALJ617" s="23"/>
      <c r="ALK617" s="23"/>
      <c r="ALL617" s="23"/>
      <c r="ALM617" s="23"/>
      <c r="ALN617" s="23"/>
      <c r="ALO617" s="23"/>
      <c r="ALP617" s="23"/>
      <c r="ALQ617" s="23"/>
      <c r="ALR617" s="23"/>
      <c r="ALS617" s="23"/>
      <c r="ALT617" s="23"/>
      <c r="ALU617" s="23"/>
      <c r="ALV617" s="23"/>
      <c r="ALW617" s="23"/>
      <c r="ALX617" s="23"/>
      <c r="ALY617" s="23"/>
      <c r="ALZ617" s="23"/>
      <c r="AMA617" s="23"/>
      <c r="AMB617" s="23"/>
      <c r="AMC617" s="23"/>
      <c r="AMD617" s="23"/>
      <c r="AME617" s="23"/>
      <c r="AMF617" s="23"/>
      <c r="AMG617" s="23"/>
      <c r="AMH617" s="23"/>
      <c r="AMI617" s="23"/>
      <c r="AMJ617" s="23"/>
      <c r="AMK617" s="23"/>
      <c r="AML617" s="23"/>
      <c r="AMM617" s="23"/>
      <c r="AMN617" s="23"/>
      <c r="AMO617" s="23"/>
      <c r="AMP617" s="23"/>
      <c r="AMQ617" s="23"/>
      <c r="AMR617" s="23"/>
      <c r="AMS617" s="23"/>
      <c r="AMT617" s="23"/>
      <c r="AMU617" s="23"/>
      <c r="AMV617" s="23"/>
      <c r="AMW617" s="23"/>
      <c r="AMX617" s="23"/>
      <c r="AMY617" s="23"/>
      <c r="AMZ617" s="23"/>
      <c r="ANA617" s="23"/>
      <c r="ANB617" s="23"/>
      <c r="ANC617" s="23"/>
      <c r="AND617" s="23"/>
      <c r="ANE617" s="23"/>
      <c r="ANF617" s="23"/>
      <c r="ANG617" s="23"/>
      <c r="ANH617" s="23"/>
      <c r="ANI617" s="23"/>
      <c r="ANJ617" s="23"/>
      <c r="ANK617" s="23"/>
      <c r="ANL617" s="23"/>
      <c r="ANM617" s="23"/>
      <c r="ANN617" s="23"/>
      <c r="ANO617" s="23"/>
      <c r="ANP617" s="23"/>
      <c r="ANQ617" s="23"/>
      <c r="ANR617" s="23"/>
      <c r="ANS617" s="23"/>
      <c r="ANT617" s="23"/>
      <c r="ANU617" s="23"/>
      <c r="ANV617" s="23"/>
      <c r="ANW617" s="23"/>
      <c r="ANX617" s="23"/>
      <c r="ANY617" s="23"/>
      <c r="ANZ617" s="23"/>
      <c r="AOA617" s="23"/>
      <c r="AOB617" s="23"/>
      <c r="AOC617" s="23"/>
      <c r="AOD617" s="23"/>
      <c r="AOE617" s="23"/>
      <c r="AOF617" s="23"/>
      <c r="AOG617" s="23"/>
      <c r="AOH617" s="23"/>
      <c r="AOI617" s="23"/>
      <c r="AOJ617" s="23"/>
      <c r="AOK617" s="23"/>
      <c r="AOL617" s="23"/>
      <c r="AOM617" s="23"/>
      <c r="AON617" s="23"/>
      <c r="AOO617" s="23"/>
      <c r="AOP617" s="23"/>
      <c r="AOQ617" s="23"/>
      <c r="AOR617" s="23"/>
      <c r="AOS617" s="23"/>
      <c r="AOT617" s="23"/>
      <c r="AOU617" s="23"/>
      <c r="AOV617" s="23"/>
      <c r="AOW617" s="23"/>
      <c r="AOX617" s="23"/>
      <c r="AOY617" s="23"/>
      <c r="AOZ617" s="23"/>
      <c r="APA617" s="23"/>
      <c r="APB617" s="23"/>
      <c r="APC617" s="23"/>
      <c r="APD617" s="23"/>
      <c r="APE617" s="23"/>
      <c r="APF617" s="23"/>
      <c r="APG617" s="23"/>
      <c r="APH617" s="23"/>
      <c r="API617" s="23"/>
      <c r="APJ617" s="23"/>
      <c r="APK617" s="23"/>
      <c r="APL617" s="23"/>
      <c r="APM617" s="23"/>
      <c r="APN617" s="23"/>
      <c r="APO617" s="23"/>
      <c r="APP617" s="23"/>
      <c r="APQ617" s="23"/>
      <c r="APR617" s="23"/>
      <c r="APS617" s="23"/>
      <c r="APT617" s="23"/>
      <c r="APU617" s="23"/>
      <c r="APV617" s="23"/>
      <c r="APW617" s="23"/>
      <c r="APX617" s="23"/>
      <c r="APY617" s="23"/>
      <c r="APZ617" s="23"/>
      <c r="AQA617" s="23"/>
      <c r="AQB617" s="23"/>
      <c r="AQC617" s="23"/>
      <c r="AQD617" s="23"/>
      <c r="AQE617" s="23"/>
      <c r="AQF617" s="23"/>
      <c r="AQG617" s="23"/>
      <c r="AQH617" s="23"/>
      <c r="AQI617" s="23"/>
      <c r="AQJ617" s="23"/>
      <c r="AQK617" s="23"/>
      <c r="AQL617" s="23"/>
      <c r="AQM617" s="23"/>
      <c r="AQN617" s="23"/>
      <c r="AQO617" s="23"/>
      <c r="AQP617" s="23"/>
      <c r="AQQ617" s="23"/>
      <c r="AQR617" s="23"/>
      <c r="AQS617" s="23"/>
      <c r="AQT617" s="23"/>
      <c r="AQU617" s="23"/>
      <c r="AQV617" s="23"/>
      <c r="AQW617" s="23"/>
      <c r="AQX617" s="23"/>
      <c r="AQY617" s="23"/>
      <c r="AQZ617" s="23"/>
      <c r="ARA617" s="23"/>
      <c r="ARB617" s="23"/>
      <c r="ARC617" s="23"/>
      <c r="ARD617" s="23"/>
      <c r="ARE617" s="23"/>
      <c r="ARF617" s="23"/>
      <c r="ARG617" s="23"/>
      <c r="ARH617" s="23"/>
      <c r="ARI617" s="23"/>
      <c r="ARJ617" s="23"/>
      <c r="ARK617" s="23"/>
      <c r="ARL617" s="23"/>
      <c r="ARM617" s="23"/>
      <c r="ARN617" s="23"/>
      <c r="ARO617" s="23"/>
      <c r="ARP617" s="23"/>
      <c r="ARQ617" s="23"/>
      <c r="ARR617" s="23"/>
      <c r="ARS617" s="23"/>
      <c r="ART617" s="23"/>
      <c r="ARU617" s="23"/>
      <c r="ARV617" s="23"/>
      <c r="ARW617" s="23"/>
      <c r="ARX617" s="23"/>
      <c r="ARY617" s="23"/>
      <c r="ARZ617" s="23"/>
      <c r="ASA617" s="23"/>
      <c r="ASB617" s="23"/>
      <c r="ASC617" s="23"/>
      <c r="ASD617" s="23"/>
      <c r="ASE617" s="23"/>
      <c r="ASF617" s="23"/>
      <c r="ASG617" s="23"/>
      <c r="ASH617" s="23"/>
      <c r="ASI617" s="23"/>
      <c r="ASJ617" s="23"/>
      <c r="ASK617" s="23"/>
      <c r="ASL617" s="23"/>
      <c r="ASM617" s="23"/>
      <c r="ASN617" s="23"/>
      <c r="ASO617" s="23"/>
      <c r="ASP617" s="23"/>
      <c r="ASQ617" s="23"/>
      <c r="ASR617" s="23"/>
      <c r="ASS617" s="23"/>
      <c r="AST617" s="23"/>
      <c r="ASU617" s="23"/>
      <c r="ASV617" s="23"/>
      <c r="ASW617" s="23"/>
      <c r="ASX617" s="23"/>
      <c r="ASY617" s="23"/>
      <c r="ASZ617" s="23"/>
      <c r="ATA617" s="23"/>
      <c r="ATB617" s="23"/>
      <c r="ATC617" s="23"/>
      <c r="ATD617" s="23"/>
      <c r="ATE617" s="23"/>
      <c r="ATF617" s="23"/>
      <c r="ATG617" s="23"/>
      <c r="ATH617" s="23"/>
      <c r="ATI617" s="23"/>
      <c r="ATJ617" s="23"/>
      <c r="ATK617" s="23"/>
      <c r="ATL617" s="23"/>
      <c r="ATM617" s="23"/>
      <c r="ATN617" s="23"/>
      <c r="ATO617" s="23"/>
      <c r="ATP617" s="23"/>
      <c r="ATQ617" s="23"/>
      <c r="ATR617" s="23"/>
      <c r="ATS617" s="23"/>
      <c r="ATT617" s="23"/>
      <c r="ATU617" s="23"/>
      <c r="ATV617" s="23"/>
      <c r="ATW617" s="23"/>
      <c r="ATX617" s="23"/>
      <c r="ATY617" s="23"/>
      <c r="ATZ617" s="23"/>
      <c r="AUA617" s="23"/>
      <c r="AUB617" s="23"/>
      <c r="AUC617" s="23"/>
      <c r="AUD617" s="23"/>
      <c r="AUE617" s="23"/>
      <c r="AUF617" s="23"/>
      <c r="AUG617" s="23"/>
      <c r="AUH617" s="23"/>
      <c r="AUI617" s="23"/>
      <c r="AUJ617" s="23"/>
      <c r="AUK617" s="23"/>
      <c r="AUL617" s="23"/>
      <c r="AUM617" s="23"/>
      <c r="AUN617" s="23"/>
      <c r="AUO617" s="23"/>
      <c r="AUP617" s="23"/>
      <c r="AUQ617" s="23"/>
      <c r="AUR617" s="23"/>
      <c r="AUS617" s="23"/>
      <c r="AUT617" s="23"/>
      <c r="AUU617" s="23"/>
      <c r="AUV617" s="23"/>
      <c r="AUW617" s="23"/>
      <c r="AUX617" s="23"/>
      <c r="AUY617" s="23"/>
      <c r="AUZ617" s="23"/>
      <c r="AVA617" s="23"/>
      <c r="AVB617" s="23"/>
      <c r="AVC617" s="23"/>
      <c r="AVD617" s="23"/>
      <c r="AVE617" s="23"/>
      <c r="AVF617" s="23"/>
      <c r="AVG617" s="23"/>
      <c r="AVH617" s="23"/>
      <c r="AVI617" s="23"/>
      <c r="AVJ617" s="23"/>
      <c r="AVK617" s="23"/>
      <c r="AVL617" s="23"/>
      <c r="AVM617" s="23"/>
      <c r="AVN617" s="23"/>
      <c r="AVO617" s="23"/>
      <c r="AVP617" s="23"/>
      <c r="AVQ617" s="23"/>
      <c r="AVR617" s="23"/>
      <c r="AVS617" s="23"/>
      <c r="AVT617" s="23"/>
      <c r="AVU617" s="23"/>
      <c r="AVV617" s="23"/>
      <c r="AVW617" s="23"/>
      <c r="AVX617" s="23"/>
      <c r="AVY617" s="23"/>
      <c r="AVZ617" s="23"/>
      <c r="AWA617" s="23"/>
      <c r="AWB617" s="23"/>
      <c r="AWC617" s="23"/>
      <c r="AWD617" s="23"/>
      <c r="AWE617" s="23"/>
      <c r="AWF617" s="23"/>
      <c r="AWG617" s="23"/>
      <c r="AWH617" s="23"/>
      <c r="AWI617" s="23"/>
      <c r="AWJ617" s="23"/>
      <c r="AWK617" s="23"/>
      <c r="AWL617" s="23"/>
      <c r="AWM617" s="23"/>
      <c r="AWN617" s="23"/>
      <c r="AWO617" s="23"/>
      <c r="AWP617" s="23"/>
      <c r="AWQ617" s="23"/>
      <c r="AWR617" s="23"/>
      <c r="AWS617" s="23"/>
      <c r="AWT617" s="23"/>
      <c r="AWU617" s="23"/>
      <c r="AWV617" s="23"/>
      <c r="AWW617" s="23"/>
      <c r="AWX617" s="23"/>
      <c r="AWY617" s="23"/>
      <c r="AWZ617" s="23"/>
      <c r="AXA617" s="23"/>
      <c r="AXB617" s="23"/>
      <c r="AXC617" s="23"/>
      <c r="AXD617" s="23"/>
      <c r="AXE617" s="23"/>
      <c r="AXF617" s="23"/>
      <c r="AXG617" s="23"/>
      <c r="AXH617" s="23"/>
      <c r="AXI617" s="23"/>
      <c r="AXJ617" s="23"/>
      <c r="AXK617" s="23"/>
      <c r="AXL617" s="23"/>
      <c r="AXM617" s="23"/>
      <c r="AXN617" s="23"/>
      <c r="AXO617" s="23"/>
      <c r="AXP617" s="23"/>
      <c r="AXQ617" s="23"/>
      <c r="AXR617" s="23"/>
      <c r="AXS617" s="23"/>
      <c r="AXT617" s="23"/>
      <c r="AXU617" s="23"/>
      <c r="AXV617" s="23"/>
      <c r="AXW617" s="23"/>
      <c r="AXX617" s="23"/>
      <c r="AXY617" s="23"/>
      <c r="AXZ617" s="23"/>
      <c r="AYA617" s="23"/>
      <c r="AYB617" s="23"/>
      <c r="AYC617" s="23"/>
      <c r="AYD617" s="23"/>
      <c r="AYE617" s="23"/>
      <c r="AYF617" s="23"/>
      <c r="AYG617" s="23"/>
      <c r="AYH617" s="23"/>
      <c r="AYI617" s="23"/>
      <c r="AYJ617" s="23"/>
      <c r="AYK617" s="23"/>
      <c r="AYL617" s="23"/>
      <c r="AYM617" s="23"/>
      <c r="AYN617" s="23"/>
      <c r="AYO617" s="23"/>
      <c r="AYP617" s="23"/>
      <c r="AYQ617" s="23"/>
      <c r="AYR617" s="23"/>
      <c r="AYS617" s="23"/>
      <c r="AYT617" s="23"/>
      <c r="AYU617" s="23"/>
      <c r="AYV617" s="23"/>
      <c r="AYW617" s="23"/>
      <c r="AYX617" s="23"/>
      <c r="AYY617" s="23"/>
      <c r="AYZ617" s="23"/>
      <c r="AZA617" s="23"/>
      <c r="AZB617" s="23"/>
      <c r="AZC617" s="23"/>
      <c r="AZD617" s="23"/>
      <c r="AZE617" s="23"/>
      <c r="AZF617" s="23"/>
      <c r="AZG617" s="23"/>
      <c r="AZH617" s="23"/>
      <c r="AZI617" s="23"/>
      <c r="AZJ617" s="23"/>
      <c r="AZK617" s="23"/>
      <c r="AZL617" s="23"/>
      <c r="AZM617" s="23"/>
      <c r="AZN617" s="23"/>
      <c r="AZO617" s="23"/>
      <c r="AZP617" s="23"/>
      <c r="AZQ617" s="23"/>
      <c r="AZR617" s="23"/>
      <c r="AZS617" s="23"/>
      <c r="AZT617" s="23"/>
      <c r="AZU617" s="23"/>
      <c r="AZV617" s="23"/>
      <c r="AZW617" s="23"/>
      <c r="AZX617" s="23"/>
      <c r="AZY617" s="23"/>
      <c r="AZZ617" s="23"/>
      <c r="BAA617" s="23"/>
      <c r="BAB617" s="23"/>
      <c r="BAC617" s="23"/>
      <c r="BAD617" s="23"/>
      <c r="BAE617" s="23"/>
      <c r="BAF617" s="23"/>
      <c r="BAG617" s="23"/>
      <c r="BAH617" s="23"/>
      <c r="BAI617" s="23"/>
      <c r="BAJ617" s="23"/>
      <c r="BAK617" s="23"/>
      <c r="BAL617" s="23"/>
      <c r="BAM617" s="23"/>
      <c r="BAN617" s="23"/>
      <c r="BAO617" s="23"/>
      <c r="BAP617" s="23"/>
      <c r="BAQ617" s="23"/>
      <c r="BAR617" s="23"/>
      <c r="BAS617" s="23"/>
      <c r="BAT617" s="23"/>
      <c r="BAU617" s="23"/>
      <c r="BAV617" s="23"/>
      <c r="BAW617" s="23"/>
      <c r="BAX617" s="23"/>
      <c r="BAY617" s="23"/>
      <c r="BAZ617" s="23"/>
      <c r="BBA617" s="23"/>
      <c r="BBB617" s="23"/>
      <c r="BBC617" s="23"/>
      <c r="BBD617" s="23"/>
      <c r="BBE617" s="23"/>
      <c r="BBF617" s="23"/>
      <c r="BBG617" s="23"/>
      <c r="BBH617" s="23"/>
      <c r="BBI617" s="23"/>
      <c r="BBJ617" s="23"/>
      <c r="BBK617" s="23"/>
      <c r="BBL617" s="23"/>
      <c r="BBM617" s="23"/>
      <c r="BBN617" s="23"/>
      <c r="BBO617" s="23"/>
      <c r="BBP617" s="23"/>
      <c r="BBQ617" s="23"/>
      <c r="BBR617" s="23"/>
      <c r="BBS617" s="23"/>
      <c r="BBT617" s="23"/>
      <c r="BBU617" s="23"/>
      <c r="BBV617" s="23"/>
      <c r="BBW617" s="23"/>
      <c r="BBX617" s="23"/>
      <c r="BBY617" s="23"/>
      <c r="BBZ617" s="23"/>
      <c r="BCA617" s="23"/>
      <c r="BCB617" s="23"/>
      <c r="BCC617" s="23"/>
      <c r="BCD617" s="23"/>
      <c r="BCE617" s="23"/>
      <c r="BCF617" s="23"/>
      <c r="BCG617" s="23"/>
      <c r="BCH617" s="23"/>
      <c r="BCI617" s="23"/>
      <c r="BCJ617" s="23"/>
      <c r="BCK617" s="23"/>
      <c r="BCL617" s="23"/>
      <c r="BCM617" s="23"/>
      <c r="BCN617" s="23"/>
      <c r="BCO617" s="23"/>
      <c r="BCP617" s="23"/>
      <c r="BCQ617" s="23"/>
      <c r="BCR617" s="23"/>
      <c r="BCS617" s="23"/>
      <c r="BCT617" s="23"/>
      <c r="BCU617" s="23"/>
      <c r="BCV617" s="23"/>
      <c r="BCW617" s="23"/>
      <c r="BCX617" s="23"/>
      <c r="BCY617" s="23"/>
      <c r="BCZ617" s="23"/>
      <c r="BDA617" s="23"/>
      <c r="BDB617" s="23"/>
      <c r="BDC617" s="23"/>
      <c r="BDD617" s="23"/>
      <c r="BDE617" s="23"/>
      <c r="BDF617" s="23"/>
      <c r="BDG617" s="23"/>
      <c r="BDH617" s="23"/>
      <c r="BDI617" s="23"/>
      <c r="BDJ617" s="23"/>
      <c r="BDK617" s="23"/>
      <c r="BDL617" s="23"/>
      <c r="BDM617" s="23"/>
      <c r="BDN617" s="23"/>
      <c r="BDO617" s="23"/>
      <c r="BDP617" s="23"/>
      <c r="BDQ617" s="23"/>
      <c r="BDR617" s="23"/>
      <c r="BDS617" s="23"/>
      <c r="BDT617" s="23"/>
      <c r="BDU617" s="23"/>
      <c r="BDV617" s="23"/>
      <c r="BDW617" s="23"/>
      <c r="BDX617" s="23"/>
      <c r="BDY617" s="23"/>
      <c r="BDZ617" s="23"/>
      <c r="BEA617" s="23"/>
      <c r="BEB617" s="23"/>
      <c r="BEC617" s="23"/>
      <c r="BED617" s="23"/>
      <c r="BEE617" s="23"/>
      <c r="BEF617" s="23"/>
      <c r="BEG617" s="23"/>
      <c r="BEH617" s="23"/>
      <c r="BEI617" s="23"/>
      <c r="BEJ617" s="23"/>
      <c r="BEK617" s="23"/>
      <c r="BEL617" s="23"/>
      <c r="BEM617" s="23"/>
      <c r="BEN617" s="23"/>
      <c r="BEO617" s="23"/>
      <c r="BEP617" s="23"/>
      <c r="BEQ617" s="23"/>
      <c r="BER617" s="23"/>
      <c r="BES617" s="23"/>
      <c r="BET617" s="23"/>
      <c r="BEU617" s="23"/>
      <c r="BEV617" s="23"/>
      <c r="BEW617" s="23"/>
      <c r="BEX617" s="23"/>
      <c r="BEY617" s="23"/>
      <c r="BEZ617" s="23"/>
      <c r="BFA617" s="23"/>
      <c r="BFB617" s="23"/>
      <c r="BFC617" s="23"/>
      <c r="BFD617" s="23"/>
      <c r="BFE617" s="23"/>
      <c r="BFF617" s="23"/>
      <c r="BFG617" s="23"/>
      <c r="BFH617" s="23"/>
      <c r="BFI617" s="23"/>
      <c r="BFJ617" s="23"/>
      <c r="BFK617" s="23"/>
      <c r="BFL617" s="23"/>
      <c r="BFM617" s="23"/>
      <c r="BFN617" s="23"/>
      <c r="BFO617" s="23"/>
      <c r="BFP617" s="23"/>
      <c r="BFQ617" s="23"/>
      <c r="BFR617" s="23"/>
      <c r="BFS617" s="23"/>
      <c r="BFT617" s="23"/>
      <c r="BFU617" s="23"/>
      <c r="BFV617" s="23"/>
      <c r="BFW617" s="23"/>
      <c r="BFX617" s="23"/>
      <c r="BFY617" s="23"/>
      <c r="BFZ617" s="23"/>
      <c r="BGA617" s="23"/>
      <c r="BGB617" s="23"/>
      <c r="BGC617" s="23"/>
      <c r="BGD617" s="23"/>
      <c r="BGE617" s="23"/>
      <c r="BGF617" s="23"/>
      <c r="BGG617" s="23"/>
      <c r="BGH617" s="23"/>
      <c r="BGI617" s="23"/>
      <c r="BGJ617" s="23"/>
      <c r="BGK617" s="23"/>
      <c r="BGL617" s="23"/>
      <c r="BGM617" s="23"/>
      <c r="BGN617" s="23"/>
      <c r="BGO617" s="23"/>
      <c r="BGP617" s="23"/>
      <c r="BGQ617" s="23"/>
      <c r="BGR617" s="23"/>
      <c r="BGS617" s="23"/>
      <c r="BGT617" s="23"/>
      <c r="BGU617" s="23"/>
      <c r="BGV617" s="23"/>
      <c r="BGW617" s="23"/>
      <c r="BGX617" s="23"/>
      <c r="BGY617" s="23"/>
      <c r="BGZ617" s="23"/>
      <c r="BHA617" s="23"/>
      <c r="BHB617" s="23"/>
      <c r="BHC617" s="23"/>
      <c r="BHD617" s="23"/>
      <c r="BHE617" s="23"/>
      <c r="BHF617" s="23"/>
      <c r="BHG617" s="23"/>
      <c r="BHH617" s="23"/>
      <c r="BHI617" s="23"/>
      <c r="BHJ617" s="23"/>
      <c r="BHK617" s="23"/>
      <c r="BHL617" s="23"/>
      <c r="BHM617" s="23"/>
      <c r="BHN617" s="23"/>
      <c r="BHO617" s="23"/>
      <c r="BHP617" s="23"/>
      <c r="BHQ617" s="23"/>
      <c r="BHR617" s="23"/>
      <c r="BHS617" s="23"/>
      <c r="BHT617" s="23"/>
      <c r="BHU617" s="23"/>
      <c r="BHV617" s="23"/>
      <c r="BHW617" s="23"/>
      <c r="BHX617" s="23"/>
      <c r="BHY617" s="23"/>
      <c r="BHZ617" s="23"/>
      <c r="BIA617" s="23"/>
      <c r="BIB617" s="23"/>
      <c r="BIC617" s="23"/>
      <c r="BID617" s="23"/>
      <c r="BIE617" s="23"/>
      <c r="BIF617" s="23"/>
      <c r="BIG617" s="23"/>
      <c r="BIH617" s="23"/>
      <c r="BII617" s="23"/>
      <c r="BIJ617" s="23"/>
      <c r="BIK617" s="23"/>
      <c r="BIL617" s="23"/>
      <c r="BIM617" s="23"/>
      <c r="BIN617" s="23"/>
      <c r="BIO617" s="23"/>
      <c r="BIP617" s="23"/>
      <c r="BIQ617" s="23"/>
      <c r="BIR617" s="23"/>
      <c r="BIS617" s="23"/>
      <c r="BIT617" s="23"/>
      <c r="BIU617" s="23"/>
      <c r="BIV617" s="23"/>
      <c r="BIW617" s="23"/>
      <c r="BIX617" s="23"/>
      <c r="BIY617" s="23"/>
      <c r="BIZ617" s="23"/>
      <c r="BJA617" s="23"/>
      <c r="BJB617" s="23"/>
      <c r="BJC617" s="23"/>
      <c r="BJD617" s="23"/>
      <c r="BJE617" s="23"/>
      <c r="BJF617" s="23"/>
      <c r="BJG617" s="23"/>
      <c r="BJH617" s="23"/>
      <c r="BJI617" s="23"/>
      <c r="BJJ617" s="23"/>
      <c r="BJK617" s="23"/>
      <c r="BJL617" s="23"/>
      <c r="BJM617" s="23"/>
      <c r="BJN617" s="23"/>
      <c r="BJO617" s="23"/>
      <c r="BJP617" s="23"/>
      <c r="BJQ617" s="23"/>
      <c r="BJR617" s="23"/>
      <c r="BJS617" s="23"/>
      <c r="BJT617" s="23"/>
      <c r="BJU617" s="23"/>
      <c r="BJV617" s="23"/>
      <c r="BJW617" s="23"/>
      <c r="BJX617" s="23"/>
      <c r="BJY617" s="23"/>
      <c r="BJZ617" s="23"/>
      <c r="BKA617" s="23"/>
      <c r="BKB617" s="23"/>
      <c r="BKC617" s="23"/>
      <c r="BKD617" s="23"/>
      <c r="BKE617" s="23"/>
      <c r="BKF617" s="23"/>
      <c r="BKG617" s="23"/>
      <c r="BKH617" s="23"/>
      <c r="BKI617" s="23"/>
      <c r="BKJ617" s="23"/>
      <c r="BKK617" s="23"/>
      <c r="BKL617" s="23"/>
      <c r="BKM617" s="23"/>
      <c r="BKN617" s="23"/>
      <c r="BKO617" s="23"/>
      <c r="BKP617" s="23"/>
      <c r="BKQ617" s="23"/>
      <c r="BKR617" s="23"/>
      <c r="BKS617" s="23"/>
      <c r="BKT617" s="23"/>
      <c r="BKU617" s="23"/>
      <c r="BKV617" s="23"/>
      <c r="BKW617" s="23"/>
      <c r="BKX617" s="23"/>
      <c r="BKY617" s="23"/>
      <c r="BKZ617" s="23"/>
      <c r="BLA617" s="23"/>
      <c r="BLB617" s="23"/>
      <c r="BLC617" s="23"/>
      <c r="BLD617" s="23"/>
      <c r="BLE617" s="23"/>
      <c r="BLF617" s="23"/>
      <c r="BLG617" s="23"/>
      <c r="BLH617" s="23"/>
      <c r="BLI617" s="23"/>
      <c r="BLJ617" s="23"/>
      <c r="BLK617" s="23"/>
      <c r="BLL617" s="23"/>
      <c r="BLM617" s="23"/>
      <c r="BLN617" s="23"/>
      <c r="BLO617" s="23"/>
      <c r="BLP617" s="23"/>
      <c r="BLQ617" s="23"/>
      <c r="BLR617" s="23"/>
      <c r="BLS617" s="23"/>
      <c r="BLT617" s="23"/>
      <c r="BLU617" s="23"/>
      <c r="BLV617" s="23"/>
      <c r="BLW617" s="23"/>
      <c r="BLX617" s="23"/>
      <c r="BLY617" s="23"/>
      <c r="BLZ617" s="23"/>
      <c r="BMA617" s="23"/>
      <c r="BMB617" s="23"/>
      <c r="BMC617" s="23"/>
      <c r="BMD617" s="23"/>
      <c r="BME617" s="23"/>
      <c r="BMF617" s="23"/>
      <c r="BMG617" s="23"/>
      <c r="BMH617" s="23"/>
      <c r="BMI617" s="23"/>
      <c r="BMJ617" s="23"/>
      <c r="BMK617" s="23"/>
      <c r="BML617" s="23"/>
      <c r="BMM617" s="23"/>
      <c r="BMN617" s="23"/>
      <c r="BMO617" s="23"/>
      <c r="BMP617" s="23"/>
      <c r="BMQ617" s="23"/>
      <c r="BMR617" s="23"/>
      <c r="BMS617" s="23"/>
      <c r="BMT617" s="23"/>
      <c r="BMU617" s="23"/>
      <c r="BMV617" s="23"/>
      <c r="BMW617" s="23"/>
      <c r="BMX617" s="23"/>
      <c r="BMY617" s="23"/>
      <c r="BMZ617" s="23"/>
      <c r="BNA617" s="23"/>
      <c r="BNB617" s="23"/>
      <c r="BNC617" s="23"/>
      <c r="BND617" s="23"/>
      <c r="BNE617" s="23"/>
      <c r="BNF617" s="23"/>
      <c r="BNG617" s="23"/>
      <c r="BNH617" s="23"/>
      <c r="BNI617" s="23"/>
      <c r="BNJ617" s="23"/>
      <c r="BNK617" s="23"/>
      <c r="BNL617" s="23"/>
      <c r="BNM617" s="23"/>
      <c r="BNN617" s="23"/>
      <c r="BNO617" s="23"/>
      <c r="BNP617" s="23"/>
      <c r="BNQ617" s="23"/>
      <c r="BNR617" s="23"/>
      <c r="BNS617" s="23"/>
      <c r="BNT617" s="23"/>
      <c r="BNU617" s="23"/>
      <c r="BNV617" s="23"/>
      <c r="BNW617" s="23"/>
      <c r="BNX617" s="23"/>
      <c r="BNY617" s="23"/>
      <c r="BNZ617" s="23"/>
      <c r="BOA617" s="23"/>
      <c r="BOB617" s="23"/>
      <c r="BOC617" s="23"/>
      <c r="BOD617" s="23"/>
      <c r="BOE617" s="23"/>
      <c r="BOF617" s="23"/>
      <c r="BOG617" s="23"/>
      <c r="BOH617" s="23"/>
      <c r="BOI617" s="23"/>
      <c r="BOJ617" s="23"/>
      <c r="BOK617" s="23"/>
      <c r="BOL617" s="23"/>
      <c r="BOM617" s="23"/>
      <c r="BON617" s="23"/>
      <c r="BOO617" s="23"/>
      <c r="BOP617" s="23"/>
      <c r="BOQ617" s="23"/>
      <c r="BOR617" s="23"/>
      <c r="BOS617" s="23"/>
      <c r="BOT617" s="23"/>
      <c r="BOU617" s="23"/>
      <c r="BOV617" s="23"/>
      <c r="BOW617" s="23"/>
      <c r="BOX617" s="23"/>
      <c r="BOY617" s="23"/>
      <c r="BOZ617" s="23"/>
      <c r="BPA617" s="23"/>
      <c r="BPB617" s="23"/>
      <c r="BPC617" s="23"/>
      <c r="BPD617" s="23"/>
      <c r="BPE617" s="23"/>
      <c r="BPF617" s="23"/>
      <c r="BPG617" s="23"/>
      <c r="BPH617" s="23"/>
      <c r="BPI617" s="23"/>
      <c r="BPJ617" s="23"/>
      <c r="BPK617" s="23"/>
      <c r="BPL617" s="23"/>
      <c r="BPM617" s="23"/>
      <c r="BPN617" s="23"/>
      <c r="BPO617" s="23"/>
      <c r="BPP617" s="23"/>
      <c r="BPQ617" s="23"/>
      <c r="BPR617" s="23"/>
      <c r="BPS617" s="23"/>
      <c r="BPT617" s="23"/>
      <c r="BPU617" s="23"/>
      <c r="BPV617" s="23"/>
      <c r="BPW617" s="23"/>
      <c r="BPX617" s="23"/>
      <c r="BPY617" s="23"/>
      <c r="BPZ617" s="23"/>
      <c r="BQA617" s="23"/>
      <c r="BQB617" s="23"/>
      <c r="BQC617" s="23"/>
      <c r="BQD617" s="23"/>
      <c r="BQE617" s="23"/>
      <c r="BQF617" s="23"/>
      <c r="BQG617" s="23"/>
      <c r="BQH617" s="23"/>
      <c r="BQI617" s="23"/>
      <c r="BQJ617" s="23"/>
      <c r="BQK617" s="23"/>
      <c r="BQL617" s="23"/>
      <c r="BQM617" s="23"/>
      <c r="BQN617" s="23"/>
      <c r="BQO617" s="23"/>
      <c r="BQP617" s="23"/>
      <c r="BQQ617" s="23"/>
      <c r="BQR617" s="23"/>
      <c r="BQS617" s="23"/>
      <c r="BQT617" s="23"/>
      <c r="BQU617" s="23"/>
      <c r="BQV617" s="23"/>
      <c r="BQW617" s="23"/>
      <c r="BQX617" s="23"/>
      <c r="BQY617" s="23"/>
      <c r="BQZ617" s="23"/>
      <c r="BRA617" s="23"/>
      <c r="BRB617" s="23"/>
      <c r="BRC617" s="23"/>
      <c r="BRD617" s="23"/>
      <c r="BRE617" s="23"/>
      <c r="BRF617" s="23"/>
      <c r="BRG617" s="23"/>
      <c r="BRH617" s="23"/>
      <c r="BRI617" s="23"/>
      <c r="BRJ617" s="23"/>
      <c r="BRK617" s="23"/>
      <c r="BRL617" s="23"/>
      <c r="BRM617" s="23"/>
      <c r="BRN617" s="23"/>
      <c r="BRO617" s="23"/>
      <c r="BRP617" s="23"/>
      <c r="BRQ617" s="23"/>
      <c r="BRR617" s="23"/>
      <c r="BRS617" s="23"/>
      <c r="BRT617" s="23"/>
      <c r="BRU617" s="23"/>
      <c r="BRV617" s="23"/>
      <c r="BRW617" s="23"/>
      <c r="BRX617" s="23"/>
      <c r="BRY617" s="23"/>
      <c r="BRZ617" s="23"/>
      <c r="BSA617" s="23"/>
      <c r="BSB617" s="23"/>
      <c r="BSC617" s="23"/>
      <c r="BSD617" s="23"/>
      <c r="BSE617" s="23"/>
      <c r="BSF617" s="23"/>
      <c r="BSG617" s="23"/>
      <c r="BSH617" s="23"/>
      <c r="BSI617" s="23"/>
      <c r="BSJ617" s="23"/>
      <c r="BSK617" s="23"/>
      <c r="BSL617" s="23"/>
      <c r="BSM617" s="23"/>
      <c r="BSN617" s="23"/>
      <c r="BSO617" s="23"/>
      <c r="BSP617" s="23"/>
      <c r="BSQ617" s="23"/>
      <c r="BSR617" s="23"/>
      <c r="BSS617" s="23"/>
      <c r="BST617" s="23"/>
      <c r="BSU617" s="23"/>
      <c r="BSV617" s="23"/>
      <c r="BSW617" s="23"/>
      <c r="BSX617" s="23"/>
      <c r="BSY617" s="23"/>
      <c r="BSZ617" s="23"/>
      <c r="BTA617" s="23"/>
    </row>
    <row r="618" spans="1:1873" s="23" customFormat="1" x14ac:dyDescent="0.2">
      <c r="A618" s="323"/>
      <c r="B618" s="29"/>
      <c r="C618" s="29"/>
      <c r="D618" s="29"/>
      <c r="E618" s="29"/>
      <c r="F618" s="29"/>
      <c r="G618" s="29"/>
      <c r="H618" s="30"/>
      <c r="I618" s="29"/>
      <c r="J618" s="29"/>
      <c r="K618" s="428"/>
      <c r="L618" s="29"/>
      <c r="M618" s="31"/>
      <c r="N618" s="29"/>
      <c r="O618" s="29"/>
      <c r="P618" s="31"/>
      <c r="Q618" s="29"/>
      <c r="R618" s="31"/>
      <c r="S618" s="29"/>
      <c r="T618" s="31"/>
      <c r="U618" s="31"/>
      <c r="V618" s="31"/>
      <c r="W618" s="31"/>
      <c r="X618" s="29"/>
      <c r="Y618" s="29"/>
      <c r="Z618" s="429"/>
      <c r="AA618" s="115"/>
      <c r="AB618" s="31"/>
      <c r="AC618" s="29"/>
      <c r="AD618" s="29"/>
      <c r="AE618" s="112"/>
      <c r="AF618" s="29"/>
      <c r="AG618" s="29"/>
      <c r="AH618" s="29"/>
      <c r="AI618" s="29"/>
      <c r="AJ618" s="29"/>
      <c r="AK618" s="29"/>
      <c r="AL618" s="29"/>
      <c r="AM618" s="29"/>
      <c r="AN618" s="29"/>
      <c r="AO618" s="29"/>
      <c r="AP618" s="29"/>
      <c r="AQ618" s="29"/>
      <c r="AR618" s="29"/>
      <c r="AS618" s="29"/>
      <c r="AT618" s="29"/>
      <c r="AU618" s="29"/>
      <c r="AV618" s="29"/>
      <c r="AW618" s="29"/>
      <c r="AX618" s="29"/>
      <c r="AY618" s="29"/>
      <c r="AZ618" s="29"/>
      <c r="BA618" s="29"/>
      <c r="BB618" s="29"/>
      <c r="BC618" s="29"/>
      <c r="BD618" s="29"/>
      <c r="BE618" s="29"/>
      <c r="BF618" s="29"/>
      <c r="BG618" s="29"/>
      <c r="BH618" s="29"/>
      <c r="BI618" s="29"/>
      <c r="BJ618" s="29"/>
      <c r="BK618" s="29"/>
      <c r="BL618" s="29"/>
      <c r="BM618" s="29"/>
      <c r="BN618" s="29"/>
      <c r="BO618" s="29"/>
      <c r="BP618" s="29"/>
      <c r="BQ618" s="29"/>
      <c r="BR618" s="29"/>
      <c r="BS618" s="30"/>
      <c r="BT618" s="29"/>
      <c r="BU618" s="29"/>
      <c r="BV618" s="29"/>
      <c r="BW618" s="29"/>
      <c r="BX618" s="29"/>
      <c r="BY618" s="29"/>
      <c r="BZ618" s="29"/>
      <c r="CA618" s="333"/>
      <c r="CC618" s="29"/>
      <c r="CD618" s="29"/>
      <c r="CE618" s="342" t="s">
        <v>1576</v>
      </c>
      <c r="CF618" s="342" t="s">
        <v>1575</v>
      </c>
      <c r="CG618" s="30"/>
    </row>
    <row r="619" spans="1:1873" s="118" customFormat="1" ht="14.45" customHeight="1" x14ac:dyDescent="0.2">
      <c r="A619" s="304" t="s">
        <v>2090</v>
      </c>
      <c r="B619" s="223" t="s">
        <v>800</v>
      </c>
      <c r="C619" s="223" t="s">
        <v>1030</v>
      </c>
      <c r="D619" s="450" t="s">
        <v>619</v>
      </c>
      <c r="E619" s="305" t="s">
        <v>1451</v>
      </c>
      <c r="F619" s="548">
        <v>1</v>
      </c>
      <c r="G619" s="450">
        <v>3</v>
      </c>
      <c r="H619" s="549">
        <v>3</v>
      </c>
      <c r="I619" s="223" t="s">
        <v>807</v>
      </c>
      <c r="J619" s="450">
        <v>1987</v>
      </c>
      <c r="K619" s="560" t="s">
        <v>1211</v>
      </c>
      <c r="L619" s="450">
        <v>1989</v>
      </c>
      <c r="M619" s="550">
        <v>-9999</v>
      </c>
      <c r="N619" s="223">
        <v>-9999</v>
      </c>
      <c r="O619" s="29"/>
      <c r="P619" s="244">
        <f t="shared" ref="P619:P627" si="55">+T619*G619</f>
        <v>3.69</v>
      </c>
      <c r="Q619" s="450">
        <v>-9999</v>
      </c>
      <c r="R619" s="550"/>
      <c r="S619" s="450"/>
      <c r="T619" s="243">
        <v>1.23</v>
      </c>
      <c r="U619" s="450">
        <v>-9999</v>
      </c>
      <c r="V619" s="450"/>
      <c r="W619" s="243">
        <v>-9999</v>
      </c>
      <c r="X619" s="223">
        <v>-9999</v>
      </c>
      <c r="Y619" s="223"/>
      <c r="Z619" s="561" t="s">
        <v>1702</v>
      </c>
      <c r="AA619" s="425">
        <f t="shared" ref="AA619:AA627" si="56">681*2.47</f>
        <v>1682.0700000000002</v>
      </c>
      <c r="AB619" s="243">
        <v>-9999</v>
      </c>
      <c r="AC619" s="560">
        <v>4.0460000000000003</v>
      </c>
      <c r="AD619" s="560">
        <f t="shared" ref="AD619:AD627" si="57">0.33*10000</f>
        <v>3300</v>
      </c>
      <c r="AE619" s="675" t="s">
        <v>97</v>
      </c>
      <c r="AF619" s="223">
        <v>3</v>
      </c>
      <c r="AG619" s="450">
        <v>-9999</v>
      </c>
      <c r="AH619" s="450">
        <v>-9999</v>
      </c>
      <c r="AI619" s="450">
        <v>-9999</v>
      </c>
      <c r="AJ619" s="450">
        <v>-9999</v>
      </c>
      <c r="AK619" s="450">
        <v>-9999</v>
      </c>
      <c r="AL619" s="450">
        <v>-9999</v>
      </c>
      <c r="AM619" s="450">
        <v>-9999</v>
      </c>
      <c r="AN619" s="223" t="s">
        <v>631</v>
      </c>
      <c r="AO619" s="223">
        <v>-9999</v>
      </c>
      <c r="AP619" s="223">
        <v>-9999</v>
      </c>
      <c r="AQ619" s="223" t="s">
        <v>631</v>
      </c>
      <c r="AR619" s="223">
        <v>0</v>
      </c>
      <c r="AS619" s="223">
        <v>-9999</v>
      </c>
      <c r="AT619" s="223">
        <v>-9999</v>
      </c>
      <c r="AU619" s="223">
        <v>0</v>
      </c>
      <c r="AV619" s="223">
        <v>-9999</v>
      </c>
      <c r="AW619" s="223">
        <v>-9999</v>
      </c>
      <c r="AX619" s="223">
        <v>0</v>
      </c>
      <c r="AY619" s="223">
        <v>-9999</v>
      </c>
      <c r="AZ619" s="223">
        <v>-9999</v>
      </c>
      <c r="BA619" s="223">
        <v>-9999</v>
      </c>
      <c r="BB619" s="223" t="s">
        <v>631</v>
      </c>
      <c r="BC619" s="223">
        <v>-9999</v>
      </c>
      <c r="BD619" s="223">
        <v>-9999</v>
      </c>
      <c r="BE619" s="223">
        <v>-9999</v>
      </c>
      <c r="BF619" s="223">
        <v>-9999</v>
      </c>
      <c r="BG619" s="223">
        <v>-9999</v>
      </c>
      <c r="BH619" s="223">
        <v>-9999</v>
      </c>
      <c r="BI619" s="223" t="s">
        <v>1056</v>
      </c>
      <c r="BJ619" s="450">
        <v>-9999</v>
      </c>
      <c r="BK619" s="450">
        <v>-9999</v>
      </c>
      <c r="BL619" s="450">
        <v>-9999</v>
      </c>
      <c r="BM619" s="450">
        <v>-9999</v>
      </c>
      <c r="BN619" s="450">
        <v>-9999</v>
      </c>
      <c r="BO619" s="450">
        <v>-9999</v>
      </c>
      <c r="BP619" s="450">
        <v>-9999</v>
      </c>
      <c r="BQ619" s="450">
        <v>-9999</v>
      </c>
      <c r="BR619" s="450">
        <v>-9999</v>
      </c>
      <c r="BS619" s="242">
        <v>-9999</v>
      </c>
      <c r="BT619" s="223">
        <v>-9999</v>
      </c>
      <c r="BU619" s="450">
        <v>-9999</v>
      </c>
      <c r="BV619" s="450">
        <v>-9999</v>
      </c>
      <c r="BW619" s="450"/>
      <c r="BX619" s="450">
        <v>-9999</v>
      </c>
      <c r="BY619" s="450">
        <v>-9999</v>
      </c>
      <c r="BZ619" s="450">
        <v>-9999</v>
      </c>
      <c r="CA619" s="334" t="s">
        <v>797</v>
      </c>
      <c r="CB619" s="542"/>
      <c r="CC619" s="78">
        <v>1</v>
      </c>
      <c r="CD619" s="76">
        <v>3</v>
      </c>
      <c r="CE619" s="343">
        <v>1.23</v>
      </c>
      <c r="CF619" s="343"/>
      <c r="CG619" s="160">
        <v>3</v>
      </c>
    </row>
    <row r="620" spans="1:1873" s="23" customFormat="1" ht="25.5" x14ac:dyDescent="0.2">
      <c r="A620" s="304" t="s">
        <v>2090</v>
      </c>
      <c r="B620" s="223" t="s">
        <v>800</v>
      </c>
      <c r="C620" s="223" t="s">
        <v>1030</v>
      </c>
      <c r="D620" s="223" t="s">
        <v>619</v>
      </c>
      <c r="E620" s="305" t="s">
        <v>1451</v>
      </c>
      <c r="F620" s="241">
        <v>1</v>
      </c>
      <c r="G620" s="223">
        <v>4</v>
      </c>
      <c r="H620" s="242">
        <v>4</v>
      </c>
      <c r="I620" s="223" t="s">
        <v>807</v>
      </c>
      <c r="J620" s="450">
        <v>1987</v>
      </c>
      <c r="K620" s="560" t="s">
        <v>1211</v>
      </c>
      <c r="L620" s="450">
        <v>1990</v>
      </c>
      <c r="M620" s="243">
        <v>-9999</v>
      </c>
      <c r="N620" s="223">
        <v>-9999</v>
      </c>
      <c r="O620" s="29"/>
      <c r="P620" s="244">
        <f t="shared" si="55"/>
        <v>16.32</v>
      </c>
      <c r="Q620" s="223">
        <v>-9999</v>
      </c>
      <c r="R620" s="243"/>
      <c r="S620" s="223"/>
      <c r="T620" s="243">
        <v>4.08</v>
      </c>
      <c r="U620" s="223">
        <v>-9999</v>
      </c>
      <c r="V620" s="223"/>
      <c r="W620" s="285">
        <f t="shared" ref="W620:W627" si="58">+P620-P619</f>
        <v>12.63</v>
      </c>
      <c r="X620" s="223">
        <v>-9999</v>
      </c>
      <c r="Y620" s="223"/>
      <c r="Z620" s="561" t="s">
        <v>1702</v>
      </c>
      <c r="AA620" s="425">
        <f t="shared" si="56"/>
        <v>1682.0700000000002</v>
      </c>
      <c r="AB620" s="243">
        <v>-9999</v>
      </c>
      <c r="AC620" s="245">
        <v>4.0460000000000003</v>
      </c>
      <c r="AD620" s="560">
        <f t="shared" si="57"/>
        <v>3300</v>
      </c>
      <c r="AE620" s="675" t="s">
        <v>97</v>
      </c>
      <c r="AF620" s="223">
        <v>3</v>
      </c>
      <c r="AG620" s="223">
        <v>-9999</v>
      </c>
      <c r="AH620" s="223">
        <v>-9999</v>
      </c>
      <c r="AI620" s="223">
        <v>-9999</v>
      </c>
      <c r="AJ620" s="223">
        <v>-9999</v>
      </c>
      <c r="AK620" s="223">
        <v>-9999</v>
      </c>
      <c r="AL620" s="223">
        <v>-9999</v>
      </c>
      <c r="AM620" s="223">
        <v>-9999</v>
      </c>
      <c r="AN620" s="223" t="s">
        <v>631</v>
      </c>
      <c r="AO620" s="223">
        <v>-9999</v>
      </c>
      <c r="AP620" s="223">
        <v>-9999</v>
      </c>
      <c r="AQ620" s="223" t="s">
        <v>631</v>
      </c>
      <c r="AR620" s="223">
        <v>0</v>
      </c>
      <c r="AS620" s="223">
        <v>-9999</v>
      </c>
      <c r="AT620" s="223">
        <v>-9999</v>
      </c>
      <c r="AU620" s="223">
        <v>0</v>
      </c>
      <c r="AV620" s="223">
        <v>-9999</v>
      </c>
      <c r="AW620" s="223">
        <v>-9999</v>
      </c>
      <c r="AX620" s="223">
        <v>0</v>
      </c>
      <c r="AY620" s="223">
        <v>-9999</v>
      </c>
      <c r="AZ620" s="223">
        <v>-9999</v>
      </c>
      <c r="BA620" s="223">
        <v>-9999</v>
      </c>
      <c r="BB620" s="223" t="s">
        <v>631</v>
      </c>
      <c r="BC620" s="223">
        <v>-9999</v>
      </c>
      <c r="BD620" s="223">
        <v>-9999</v>
      </c>
      <c r="BE620" s="223">
        <v>-9999</v>
      </c>
      <c r="BF620" s="223">
        <v>-9999</v>
      </c>
      <c r="BG620" s="223">
        <v>-9999</v>
      </c>
      <c r="BH620" s="223">
        <v>-9999</v>
      </c>
      <c r="BI620" s="223" t="s">
        <v>1056</v>
      </c>
      <c r="BJ620" s="223">
        <v>-9999</v>
      </c>
      <c r="BK620" s="223">
        <v>-9999</v>
      </c>
      <c r="BL620" s="223">
        <v>-9999</v>
      </c>
      <c r="BM620" s="223">
        <v>-9999</v>
      </c>
      <c r="BN620" s="223">
        <v>-9999</v>
      </c>
      <c r="BO620" s="223">
        <v>-9999</v>
      </c>
      <c r="BP620" s="223">
        <v>-9999</v>
      </c>
      <c r="BQ620" s="223">
        <v>-9999</v>
      </c>
      <c r="BR620" s="223">
        <v>-9999</v>
      </c>
      <c r="BS620" s="242">
        <v>-9999</v>
      </c>
      <c r="BT620" s="223">
        <v>-9999</v>
      </c>
      <c r="BU620" s="223">
        <v>-9999</v>
      </c>
      <c r="BV620" s="223">
        <v>-9999</v>
      </c>
      <c r="BW620" s="223"/>
      <c r="BX620" s="450">
        <v>-9999</v>
      </c>
      <c r="BY620" s="223">
        <v>-9999</v>
      </c>
      <c r="BZ620" s="223">
        <v>-9999</v>
      </c>
      <c r="CA620" s="334" t="s">
        <v>797</v>
      </c>
      <c r="CB620" s="247"/>
      <c r="CC620" s="83">
        <v>1</v>
      </c>
      <c r="CD620" s="32">
        <v>4</v>
      </c>
      <c r="CE620" s="292">
        <v>4.08</v>
      </c>
      <c r="CF620" s="292">
        <v>12.63</v>
      </c>
      <c r="CG620" s="84">
        <v>4</v>
      </c>
    </row>
    <row r="621" spans="1:1873" s="23" customFormat="1" ht="25.5" x14ac:dyDescent="0.2">
      <c r="A621" s="304" t="s">
        <v>2090</v>
      </c>
      <c r="B621" s="223" t="s">
        <v>800</v>
      </c>
      <c r="C621" s="223" t="s">
        <v>1030</v>
      </c>
      <c r="D621" s="223" t="s">
        <v>619</v>
      </c>
      <c r="E621" s="305" t="s">
        <v>1451</v>
      </c>
      <c r="F621" s="241">
        <v>1</v>
      </c>
      <c r="G621" s="223">
        <v>5</v>
      </c>
      <c r="H621" s="242">
        <v>5</v>
      </c>
      <c r="I621" s="223" t="s">
        <v>807</v>
      </c>
      <c r="J621" s="450">
        <v>1987</v>
      </c>
      <c r="K621" s="560" t="s">
        <v>1211</v>
      </c>
      <c r="L621" s="450">
        <v>1991</v>
      </c>
      <c r="M621" s="243">
        <v>-9999</v>
      </c>
      <c r="N621" s="223">
        <v>-9999</v>
      </c>
      <c r="O621" s="29"/>
      <c r="P621" s="244">
        <f t="shared" si="55"/>
        <v>28.35</v>
      </c>
      <c r="Q621" s="223">
        <v>-9999</v>
      </c>
      <c r="R621" s="243"/>
      <c r="S621" s="223"/>
      <c r="T621" s="243">
        <v>5.67</v>
      </c>
      <c r="U621" s="223">
        <v>-9999</v>
      </c>
      <c r="V621" s="223"/>
      <c r="W621" s="285">
        <f t="shared" si="58"/>
        <v>12.030000000000001</v>
      </c>
      <c r="X621" s="223">
        <v>-9999</v>
      </c>
      <c r="Y621" s="223"/>
      <c r="Z621" s="561" t="s">
        <v>1702</v>
      </c>
      <c r="AA621" s="425">
        <f t="shared" si="56"/>
        <v>1682.0700000000002</v>
      </c>
      <c r="AB621" s="243">
        <v>-9999</v>
      </c>
      <c r="AC621" s="245">
        <v>4.0460000000000003</v>
      </c>
      <c r="AD621" s="560">
        <f t="shared" si="57"/>
        <v>3300</v>
      </c>
      <c r="AE621" s="675" t="s">
        <v>97</v>
      </c>
      <c r="AF621" s="223">
        <v>3</v>
      </c>
      <c r="AG621" s="223">
        <v>-9999</v>
      </c>
      <c r="AH621" s="223">
        <v>-9999</v>
      </c>
      <c r="AI621" s="223">
        <v>-9999</v>
      </c>
      <c r="AJ621" s="223">
        <v>-9999</v>
      </c>
      <c r="AK621" s="223">
        <v>-9999</v>
      </c>
      <c r="AL621" s="223">
        <v>-9999</v>
      </c>
      <c r="AM621" s="223">
        <v>-9999</v>
      </c>
      <c r="AN621" s="223" t="s">
        <v>631</v>
      </c>
      <c r="AO621" s="223">
        <v>-9999</v>
      </c>
      <c r="AP621" s="223">
        <v>-9999</v>
      </c>
      <c r="AQ621" s="223" t="s">
        <v>631</v>
      </c>
      <c r="AR621" s="223">
        <v>0</v>
      </c>
      <c r="AS621" s="223">
        <v>-9999</v>
      </c>
      <c r="AT621" s="223">
        <v>-9999</v>
      </c>
      <c r="AU621" s="223">
        <v>0</v>
      </c>
      <c r="AV621" s="223">
        <v>-9999</v>
      </c>
      <c r="AW621" s="223">
        <v>-9999</v>
      </c>
      <c r="AX621" s="223">
        <v>0</v>
      </c>
      <c r="AY621" s="223">
        <v>-9999</v>
      </c>
      <c r="AZ621" s="223">
        <v>-9999</v>
      </c>
      <c r="BA621" s="223">
        <v>-9999</v>
      </c>
      <c r="BB621" s="223" t="s">
        <v>631</v>
      </c>
      <c r="BC621" s="223">
        <v>-9999</v>
      </c>
      <c r="BD621" s="223">
        <v>-9999</v>
      </c>
      <c r="BE621" s="223">
        <v>-9999</v>
      </c>
      <c r="BF621" s="223">
        <v>-9999</v>
      </c>
      <c r="BG621" s="223">
        <v>-9999</v>
      </c>
      <c r="BH621" s="223">
        <v>-9999</v>
      </c>
      <c r="BI621" s="223" t="s">
        <v>1056</v>
      </c>
      <c r="BJ621" s="223">
        <v>-9999</v>
      </c>
      <c r="BK621" s="223">
        <v>-9999</v>
      </c>
      <c r="BL621" s="223">
        <v>-9999</v>
      </c>
      <c r="BM621" s="223">
        <v>-9999</v>
      </c>
      <c r="BN621" s="223">
        <v>-9999</v>
      </c>
      <c r="BO621" s="223">
        <v>-9999</v>
      </c>
      <c r="BP621" s="223">
        <v>-9999</v>
      </c>
      <c r="BQ621" s="223">
        <v>-9999</v>
      </c>
      <c r="BR621" s="223">
        <v>-9999</v>
      </c>
      <c r="BS621" s="242">
        <v>-9999</v>
      </c>
      <c r="BT621" s="223">
        <v>-9999</v>
      </c>
      <c r="BU621" s="223">
        <v>-9999</v>
      </c>
      <c r="BV621" s="223">
        <v>-9999</v>
      </c>
      <c r="BW621" s="223"/>
      <c r="BX621" s="450">
        <v>-9999</v>
      </c>
      <c r="BY621" s="223">
        <v>-9999</v>
      </c>
      <c r="BZ621" s="223">
        <v>-9999</v>
      </c>
      <c r="CA621" s="334" t="s">
        <v>797</v>
      </c>
      <c r="CB621" s="247"/>
      <c r="CC621" s="83">
        <v>1</v>
      </c>
      <c r="CD621" s="32">
        <v>5</v>
      </c>
      <c r="CE621" s="292">
        <v>5.67</v>
      </c>
      <c r="CF621" s="292">
        <v>12.030000000000001</v>
      </c>
      <c r="CG621" s="84">
        <v>5</v>
      </c>
    </row>
    <row r="622" spans="1:1873" s="23" customFormat="1" ht="25.5" x14ac:dyDescent="0.2">
      <c r="A622" s="304" t="s">
        <v>2090</v>
      </c>
      <c r="B622" s="223" t="s">
        <v>800</v>
      </c>
      <c r="C622" s="223" t="s">
        <v>1030</v>
      </c>
      <c r="D622" s="223" t="s">
        <v>619</v>
      </c>
      <c r="E622" s="305" t="s">
        <v>1451</v>
      </c>
      <c r="F622" s="241">
        <v>1</v>
      </c>
      <c r="G622" s="223">
        <v>6</v>
      </c>
      <c r="H622" s="242">
        <v>6</v>
      </c>
      <c r="I622" s="223" t="s">
        <v>807</v>
      </c>
      <c r="J622" s="450">
        <v>1987</v>
      </c>
      <c r="K622" s="560" t="s">
        <v>1211</v>
      </c>
      <c r="L622" s="450">
        <v>1992</v>
      </c>
      <c r="M622" s="243">
        <v>-9999</v>
      </c>
      <c r="N622" s="223">
        <v>-9999</v>
      </c>
      <c r="O622" s="29"/>
      <c r="P622" s="244">
        <f t="shared" si="55"/>
        <v>43.44</v>
      </c>
      <c r="Q622" s="223">
        <v>-9999</v>
      </c>
      <c r="R622" s="243"/>
      <c r="S622" s="223"/>
      <c r="T622" s="243">
        <v>7.24</v>
      </c>
      <c r="U622" s="223">
        <v>-9999</v>
      </c>
      <c r="V622" s="223"/>
      <c r="W622" s="285">
        <f t="shared" si="58"/>
        <v>15.089999999999996</v>
      </c>
      <c r="X622" s="223">
        <v>-9999</v>
      </c>
      <c r="Y622" s="223"/>
      <c r="Z622" s="561" t="s">
        <v>1702</v>
      </c>
      <c r="AA622" s="425">
        <f t="shared" si="56"/>
        <v>1682.0700000000002</v>
      </c>
      <c r="AB622" s="243">
        <v>-9999</v>
      </c>
      <c r="AC622" s="245">
        <v>4.0460000000000003</v>
      </c>
      <c r="AD622" s="560">
        <f t="shared" si="57"/>
        <v>3300</v>
      </c>
      <c r="AE622" s="675" t="s">
        <v>97</v>
      </c>
      <c r="AF622" s="223">
        <v>3</v>
      </c>
      <c r="AG622" s="223">
        <v>-9999</v>
      </c>
      <c r="AH622" s="223">
        <v>-9999</v>
      </c>
      <c r="AI622" s="223">
        <v>-9999</v>
      </c>
      <c r="AJ622" s="223">
        <v>-9999</v>
      </c>
      <c r="AK622" s="223">
        <v>-9999</v>
      </c>
      <c r="AL622" s="223">
        <v>-9999</v>
      </c>
      <c r="AM622" s="223">
        <v>-9999</v>
      </c>
      <c r="AN622" s="223" t="s">
        <v>631</v>
      </c>
      <c r="AO622" s="223">
        <v>-9999</v>
      </c>
      <c r="AP622" s="223">
        <v>-9999</v>
      </c>
      <c r="AQ622" s="223" t="s">
        <v>631</v>
      </c>
      <c r="AR622" s="223">
        <v>0</v>
      </c>
      <c r="AS622" s="223">
        <v>-9999</v>
      </c>
      <c r="AT622" s="223">
        <v>-9999</v>
      </c>
      <c r="AU622" s="223">
        <v>0</v>
      </c>
      <c r="AV622" s="223">
        <v>-9999</v>
      </c>
      <c r="AW622" s="223">
        <v>-9999</v>
      </c>
      <c r="AX622" s="223">
        <v>0</v>
      </c>
      <c r="AY622" s="223">
        <v>-9999</v>
      </c>
      <c r="AZ622" s="223">
        <v>-9999</v>
      </c>
      <c r="BA622" s="223">
        <v>-9999</v>
      </c>
      <c r="BB622" s="223" t="s">
        <v>631</v>
      </c>
      <c r="BC622" s="223">
        <v>-9999</v>
      </c>
      <c r="BD622" s="223">
        <v>-9999</v>
      </c>
      <c r="BE622" s="223">
        <v>-9999</v>
      </c>
      <c r="BF622" s="223">
        <v>-9999</v>
      </c>
      <c r="BG622" s="223">
        <v>-9999</v>
      </c>
      <c r="BH622" s="223">
        <v>-9999</v>
      </c>
      <c r="BI622" s="223" t="s">
        <v>1056</v>
      </c>
      <c r="BJ622" s="223">
        <v>-9999</v>
      </c>
      <c r="BK622" s="223">
        <v>-9999</v>
      </c>
      <c r="BL622" s="223">
        <v>-9999</v>
      </c>
      <c r="BM622" s="223">
        <v>-9999</v>
      </c>
      <c r="BN622" s="223">
        <v>-9999</v>
      </c>
      <c r="BO622" s="223">
        <v>-9999</v>
      </c>
      <c r="BP622" s="223">
        <v>-9999</v>
      </c>
      <c r="BQ622" s="223">
        <v>-9999</v>
      </c>
      <c r="BR622" s="223">
        <v>-9999</v>
      </c>
      <c r="BS622" s="242">
        <v>-9999</v>
      </c>
      <c r="BT622" s="223">
        <v>-9999</v>
      </c>
      <c r="BU622" s="223">
        <v>-9999</v>
      </c>
      <c r="BV622" s="223">
        <v>-9999</v>
      </c>
      <c r="BW622" s="223"/>
      <c r="BX622" s="450">
        <v>-9999</v>
      </c>
      <c r="BY622" s="223">
        <v>-9999</v>
      </c>
      <c r="BZ622" s="223">
        <v>-9999</v>
      </c>
      <c r="CA622" s="334" t="s">
        <v>797</v>
      </c>
      <c r="CB622" s="247"/>
      <c r="CC622" s="83">
        <v>1</v>
      </c>
      <c r="CD622" s="32">
        <v>6</v>
      </c>
      <c r="CE622" s="292">
        <v>7.24</v>
      </c>
      <c r="CF622" s="292">
        <v>15.089999999999996</v>
      </c>
      <c r="CG622" s="84">
        <v>6</v>
      </c>
    </row>
    <row r="623" spans="1:1873" s="202" customFormat="1" ht="25.5" x14ac:dyDescent="0.2">
      <c r="A623" s="304" t="s">
        <v>2090</v>
      </c>
      <c r="B623" s="223" t="s">
        <v>800</v>
      </c>
      <c r="C623" s="223" t="s">
        <v>1030</v>
      </c>
      <c r="D623" s="223" t="s">
        <v>619</v>
      </c>
      <c r="E623" s="241" t="s">
        <v>1451</v>
      </c>
      <c r="F623" s="241">
        <v>1</v>
      </c>
      <c r="G623" s="223">
        <v>7</v>
      </c>
      <c r="H623" s="242">
        <v>7</v>
      </c>
      <c r="I623" s="223" t="s">
        <v>807</v>
      </c>
      <c r="J623" s="450">
        <v>1987</v>
      </c>
      <c r="K623" s="560" t="s">
        <v>1211</v>
      </c>
      <c r="L623" s="450">
        <v>1993</v>
      </c>
      <c r="M623" s="243">
        <v>-9999</v>
      </c>
      <c r="N623" s="223">
        <v>-9999</v>
      </c>
      <c r="O623" s="29"/>
      <c r="P623" s="285">
        <f t="shared" si="55"/>
        <v>60.129999999999995</v>
      </c>
      <c r="Q623" s="223">
        <v>-9999</v>
      </c>
      <c r="R623" s="243"/>
      <c r="S623" s="223"/>
      <c r="T623" s="243">
        <v>8.59</v>
      </c>
      <c r="U623" s="223">
        <v>-9999</v>
      </c>
      <c r="V623" s="223"/>
      <c r="W623" s="244">
        <f t="shared" si="58"/>
        <v>16.689999999999998</v>
      </c>
      <c r="X623" s="223">
        <v>-9999</v>
      </c>
      <c r="Y623" s="223"/>
      <c r="Z623" s="561" t="s">
        <v>1702</v>
      </c>
      <c r="AA623" s="425">
        <f t="shared" si="56"/>
        <v>1682.0700000000002</v>
      </c>
      <c r="AB623" s="243">
        <v>-9999</v>
      </c>
      <c r="AC623" s="245">
        <v>4.0460000000000003</v>
      </c>
      <c r="AD623" s="560">
        <f t="shared" si="57"/>
        <v>3300</v>
      </c>
      <c r="AE623" s="675" t="s">
        <v>97</v>
      </c>
      <c r="AF623" s="223">
        <v>3</v>
      </c>
      <c r="AG623" s="223">
        <v>-9999</v>
      </c>
      <c r="AH623" s="223">
        <v>-9999</v>
      </c>
      <c r="AI623" s="223">
        <v>-9999</v>
      </c>
      <c r="AJ623" s="223">
        <v>-9999</v>
      </c>
      <c r="AK623" s="223">
        <v>-9999</v>
      </c>
      <c r="AL623" s="223">
        <v>-9999</v>
      </c>
      <c r="AM623" s="223">
        <v>-9999</v>
      </c>
      <c r="AN623" s="223" t="s">
        <v>631</v>
      </c>
      <c r="AO623" s="223">
        <v>-9999</v>
      </c>
      <c r="AP623" s="223">
        <v>-9999</v>
      </c>
      <c r="AQ623" s="223" t="s">
        <v>631</v>
      </c>
      <c r="AR623" s="223">
        <v>0</v>
      </c>
      <c r="AS623" s="223">
        <v>-9999</v>
      </c>
      <c r="AT623" s="223">
        <v>-9999</v>
      </c>
      <c r="AU623" s="223">
        <v>0</v>
      </c>
      <c r="AV623" s="223">
        <v>-9999</v>
      </c>
      <c r="AW623" s="223">
        <v>-9999</v>
      </c>
      <c r="AX623" s="223">
        <v>0</v>
      </c>
      <c r="AY623" s="223">
        <v>-9999</v>
      </c>
      <c r="AZ623" s="223">
        <v>-9999</v>
      </c>
      <c r="BA623" s="223">
        <v>-9999</v>
      </c>
      <c r="BB623" s="223" t="s">
        <v>631</v>
      </c>
      <c r="BC623" s="223">
        <v>-9999</v>
      </c>
      <c r="BD623" s="223">
        <v>-9999</v>
      </c>
      <c r="BE623" s="223">
        <v>-9999</v>
      </c>
      <c r="BF623" s="223">
        <v>-9999</v>
      </c>
      <c r="BG623" s="223">
        <v>-9999</v>
      </c>
      <c r="BH623" s="223">
        <v>-9999</v>
      </c>
      <c r="BI623" s="223" t="s">
        <v>1056</v>
      </c>
      <c r="BJ623" s="223">
        <v>-9999</v>
      </c>
      <c r="BK623" s="223">
        <v>-9999</v>
      </c>
      <c r="BL623" s="223">
        <v>-9999</v>
      </c>
      <c r="BM623" s="223">
        <v>-9999</v>
      </c>
      <c r="BN623" s="223">
        <v>-9999</v>
      </c>
      <c r="BO623" s="223">
        <v>-9999</v>
      </c>
      <c r="BP623" s="223">
        <v>-9999</v>
      </c>
      <c r="BQ623" s="223">
        <v>-9999</v>
      </c>
      <c r="BR623" s="223">
        <v>-9999</v>
      </c>
      <c r="BS623" s="242">
        <v>-9999</v>
      </c>
      <c r="BT623" s="223">
        <v>-9999</v>
      </c>
      <c r="BU623" s="223">
        <v>-9999</v>
      </c>
      <c r="BV623" s="223">
        <v>-9999</v>
      </c>
      <c r="BW623" s="223"/>
      <c r="BX623" s="450">
        <v>-9999</v>
      </c>
      <c r="BY623" s="223">
        <v>-9999</v>
      </c>
      <c r="BZ623" s="223">
        <v>-9999</v>
      </c>
      <c r="CA623" s="334" t="s">
        <v>797</v>
      </c>
      <c r="CB623" s="247"/>
      <c r="CC623" s="201">
        <v>1</v>
      </c>
      <c r="CD623" s="192">
        <v>7</v>
      </c>
      <c r="CE623" s="394">
        <v>8.59</v>
      </c>
      <c r="CF623" s="292">
        <v>16.689999999999998</v>
      </c>
      <c r="CG623" s="196">
        <v>7</v>
      </c>
      <c r="CH623" s="438" t="s">
        <v>1757</v>
      </c>
      <c r="CI623" s="23"/>
      <c r="CJ623" s="23"/>
      <c r="CK623" s="23"/>
      <c r="CL623" s="23"/>
      <c r="CM623" s="23"/>
      <c r="CN623" s="23"/>
      <c r="CO623" s="23"/>
      <c r="CP623" s="23"/>
      <c r="CQ623" s="23"/>
      <c r="CR623" s="23"/>
      <c r="CS623" s="23"/>
      <c r="CT623" s="23"/>
      <c r="CU623" s="23"/>
      <c r="CV623" s="23"/>
      <c r="CW623" s="23"/>
      <c r="CX623" s="23"/>
      <c r="CY623" s="23"/>
      <c r="CZ623" s="23"/>
      <c r="DA623" s="23"/>
      <c r="DB623" s="23"/>
      <c r="DC623" s="23"/>
      <c r="DD623" s="23"/>
      <c r="DE623" s="23"/>
      <c r="DF623" s="23"/>
      <c r="DG623" s="23"/>
      <c r="DH623" s="23"/>
      <c r="DI623" s="23"/>
      <c r="DJ623" s="23"/>
      <c r="DK623" s="23"/>
      <c r="DL623" s="23"/>
      <c r="DM623" s="23"/>
      <c r="DN623" s="23"/>
      <c r="DO623" s="23"/>
      <c r="DP623" s="23"/>
      <c r="DQ623" s="23"/>
      <c r="DR623" s="23"/>
      <c r="DS623" s="23"/>
      <c r="DT623" s="23"/>
      <c r="DU623" s="23"/>
      <c r="DV623" s="23"/>
      <c r="DW623" s="23"/>
      <c r="DX623" s="23"/>
      <c r="DY623" s="23"/>
      <c r="DZ623" s="23"/>
      <c r="EA623" s="23"/>
      <c r="EB623" s="23"/>
      <c r="EC623" s="23"/>
      <c r="ED623" s="23"/>
      <c r="EE623" s="23"/>
      <c r="EF623" s="23"/>
      <c r="EG623" s="23"/>
      <c r="EH623" s="23"/>
      <c r="EI623" s="23"/>
      <c r="EJ623" s="23"/>
      <c r="EK623" s="23"/>
      <c r="EL623" s="23"/>
      <c r="EM623" s="23"/>
      <c r="EN623" s="23"/>
      <c r="EO623" s="23"/>
      <c r="EP623" s="23"/>
      <c r="EQ623" s="23"/>
      <c r="ER623" s="23"/>
      <c r="ES623" s="23"/>
      <c r="ET623" s="23"/>
      <c r="EU623" s="23"/>
      <c r="EV623" s="23"/>
      <c r="EW623" s="23"/>
      <c r="EX623" s="23"/>
      <c r="EY623" s="23"/>
      <c r="EZ623" s="23"/>
      <c r="FA623" s="23"/>
      <c r="FB623" s="23"/>
      <c r="FC623" s="23"/>
      <c r="FD623" s="23"/>
      <c r="FE623" s="23"/>
      <c r="FF623" s="23"/>
      <c r="FG623" s="23"/>
      <c r="FH623" s="23"/>
      <c r="FI623" s="23"/>
      <c r="FJ623" s="23"/>
      <c r="FK623" s="23"/>
      <c r="FL623" s="23"/>
      <c r="FM623" s="23"/>
      <c r="FN623" s="23"/>
      <c r="FO623" s="23"/>
      <c r="FP623" s="23"/>
      <c r="FQ623" s="23"/>
      <c r="FR623" s="23"/>
      <c r="FS623" s="23"/>
      <c r="FT623" s="23"/>
      <c r="FU623" s="23"/>
      <c r="FV623" s="23"/>
      <c r="FW623" s="23"/>
      <c r="FX623" s="23"/>
      <c r="FY623" s="23"/>
      <c r="FZ623" s="23"/>
      <c r="GA623" s="23"/>
      <c r="GB623" s="23"/>
      <c r="GC623" s="23"/>
      <c r="GD623" s="23"/>
      <c r="GE623" s="23"/>
      <c r="GF623" s="23"/>
      <c r="GG623" s="23"/>
      <c r="GH623" s="23"/>
      <c r="GI623" s="23"/>
      <c r="GJ623" s="23"/>
      <c r="GK623" s="23"/>
      <c r="GL623" s="23"/>
      <c r="GM623" s="23"/>
      <c r="GN623" s="23"/>
      <c r="GO623" s="23"/>
      <c r="GP623" s="23"/>
      <c r="GQ623" s="23"/>
      <c r="GR623" s="23"/>
      <c r="GS623" s="23"/>
      <c r="GT623" s="23"/>
      <c r="GU623" s="23"/>
      <c r="GV623" s="23"/>
      <c r="GW623" s="23"/>
      <c r="GX623" s="23"/>
      <c r="GY623" s="23"/>
      <c r="GZ623" s="23"/>
      <c r="HA623" s="23"/>
      <c r="HB623" s="23"/>
      <c r="HC623" s="23"/>
      <c r="HD623" s="23"/>
      <c r="HE623" s="23"/>
      <c r="HF623" s="23"/>
      <c r="HG623" s="23"/>
      <c r="HH623" s="23"/>
      <c r="HI623" s="23"/>
      <c r="HJ623" s="23"/>
      <c r="HK623" s="23"/>
      <c r="HL623" s="23"/>
      <c r="HM623" s="23"/>
      <c r="HN623" s="23"/>
      <c r="HO623" s="23"/>
      <c r="HP623" s="23"/>
      <c r="HQ623" s="23"/>
      <c r="HR623" s="23"/>
      <c r="HS623" s="23"/>
      <c r="HT623" s="23"/>
      <c r="HU623" s="23"/>
      <c r="HV623" s="23"/>
      <c r="HW623" s="23"/>
      <c r="HX623" s="23"/>
      <c r="HY623" s="23"/>
      <c r="HZ623" s="23"/>
      <c r="IA623" s="23"/>
      <c r="IB623" s="23"/>
      <c r="IC623" s="23"/>
      <c r="ID623" s="23"/>
      <c r="IE623" s="23"/>
      <c r="IF623" s="23"/>
      <c r="IG623" s="23"/>
      <c r="IH623" s="23"/>
      <c r="II623" s="23"/>
      <c r="IJ623" s="23"/>
      <c r="IK623" s="23"/>
      <c r="IL623" s="23"/>
      <c r="IM623" s="23"/>
      <c r="IN623" s="23"/>
      <c r="IO623" s="23"/>
      <c r="IP623" s="23"/>
      <c r="IQ623" s="23"/>
      <c r="IR623" s="23"/>
      <c r="IS623" s="23"/>
      <c r="IT623" s="23"/>
      <c r="IU623" s="23"/>
      <c r="IV623" s="23"/>
      <c r="IW623" s="23"/>
      <c r="IX623" s="23"/>
      <c r="IY623" s="23"/>
      <c r="IZ623" s="23"/>
      <c r="JA623" s="23"/>
      <c r="JB623" s="23"/>
      <c r="JC623" s="23"/>
      <c r="JD623" s="23"/>
      <c r="JE623" s="23"/>
      <c r="JF623" s="23"/>
      <c r="JG623" s="23"/>
      <c r="JH623" s="23"/>
      <c r="JI623" s="23"/>
      <c r="JJ623" s="23"/>
      <c r="JK623" s="23"/>
      <c r="JL623" s="23"/>
      <c r="JM623" s="23"/>
      <c r="JN623" s="23"/>
      <c r="JO623" s="23"/>
      <c r="JP623" s="23"/>
      <c r="JQ623" s="23"/>
      <c r="JR623" s="23"/>
      <c r="JS623" s="23"/>
      <c r="JT623" s="23"/>
      <c r="JU623" s="23"/>
      <c r="JV623" s="23"/>
      <c r="JW623" s="23"/>
      <c r="JX623" s="23"/>
      <c r="JY623" s="23"/>
      <c r="JZ623" s="23"/>
      <c r="KA623" s="23"/>
      <c r="KB623" s="23"/>
      <c r="KC623" s="23"/>
      <c r="KD623" s="23"/>
      <c r="KE623" s="23"/>
      <c r="KF623" s="23"/>
      <c r="KG623" s="23"/>
      <c r="KH623" s="23"/>
      <c r="KI623" s="23"/>
      <c r="KJ623" s="23"/>
      <c r="KK623" s="23"/>
      <c r="KL623" s="23"/>
      <c r="KM623" s="23"/>
      <c r="KN623" s="23"/>
      <c r="KO623" s="23"/>
      <c r="KP623" s="23"/>
      <c r="KQ623" s="23"/>
      <c r="KR623" s="23"/>
      <c r="KS623" s="23"/>
      <c r="KT623" s="23"/>
      <c r="KU623" s="23"/>
      <c r="KV623" s="23"/>
      <c r="KW623" s="23"/>
      <c r="KX623" s="23"/>
      <c r="KY623" s="23"/>
      <c r="KZ623" s="23"/>
      <c r="LA623" s="23"/>
      <c r="LB623" s="23"/>
      <c r="LC623" s="23"/>
      <c r="LD623" s="23"/>
      <c r="LE623" s="23"/>
      <c r="LF623" s="23"/>
      <c r="LG623" s="23"/>
      <c r="LH623" s="23"/>
      <c r="LI623" s="23"/>
      <c r="LJ623" s="23"/>
      <c r="LK623" s="23"/>
      <c r="LL623" s="23"/>
      <c r="LM623" s="23"/>
      <c r="LN623" s="23"/>
      <c r="LO623" s="23"/>
      <c r="LP623" s="23"/>
      <c r="LQ623" s="23"/>
      <c r="LR623" s="23"/>
      <c r="LS623" s="23"/>
      <c r="LT623" s="23"/>
      <c r="LU623" s="23"/>
      <c r="LV623" s="23"/>
      <c r="LW623" s="23"/>
      <c r="LX623" s="23"/>
      <c r="LY623" s="23"/>
      <c r="LZ623" s="23"/>
      <c r="MA623" s="23"/>
      <c r="MB623" s="23"/>
      <c r="MC623" s="23"/>
      <c r="MD623" s="23"/>
      <c r="ME623" s="23"/>
      <c r="MF623" s="23"/>
      <c r="MG623" s="23"/>
      <c r="MH623" s="23"/>
      <c r="MI623" s="23"/>
      <c r="MJ623" s="23"/>
      <c r="MK623" s="23"/>
      <c r="ML623" s="23"/>
      <c r="MM623" s="23"/>
      <c r="MN623" s="23"/>
      <c r="MO623" s="23"/>
      <c r="MP623" s="23"/>
      <c r="MQ623" s="23"/>
      <c r="MR623" s="23"/>
      <c r="MS623" s="23"/>
      <c r="MT623" s="23"/>
      <c r="MU623" s="23"/>
      <c r="MV623" s="23"/>
      <c r="MW623" s="23"/>
      <c r="MX623" s="23"/>
      <c r="MY623" s="23"/>
      <c r="MZ623" s="23"/>
      <c r="NA623" s="23"/>
      <c r="NB623" s="23"/>
      <c r="NC623" s="23"/>
      <c r="ND623" s="23"/>
      <c r="NE623" s="23"/>
      <c r="NF623" s="23"/>
      <c r="NG623" s="23"/>
      <c r="NH623" s="23"/>
      <c r="NI623" s="23"/>
      <c r="NJ623" s="23"/>
      <c r="NK623" s="23"/>
      <c r="NL623" s="23"/>
      <c r="NM623" s="23"/>
      <c r="NN623" s="23"/>
      <c r="NO623" s="23"/>
      <c r="NP623" s="23"/>
      <c r="NQ623" s="23"/>
      <c r="NR623" s="23"/>
      <c r="NS623" s="23"/>
      <c r="NT623" s="23"/>
      <c r="NU623" s="23"/>
      <c r="NV623" s="23"/>
      <c r="NW623" s="23"/>
      <c r="NX623" s="23"/>
      <c r="NY623" s="23"/>
      <c r="NZ623" s="23"/>
      <c r="OA623" s="23"/>
      <c r="OB623" s="23"/>
      <c r="OC623" s="23"/>
      <c r="OD623" s="23"/>
      <c r="OE623" s="23"/>
      <c r="OF623" s="23"/>
      <c r="OG623" s="23"/>
      <c r="OH623" s="23"/>
      <c r="OI623" s="23"/>
      <c r="OJ623" s="23"/>
      <c r="OK623" s="23"/>
      <c r="OL623" s="23"/>
      <c r="OM623" s="23"/>
      <c r="ON623" s="23"/>
      <c r="OO623" s="23"/>
      <c r="OP623" s="23"/>
      <c r="OQ623" s="23"/>
      <c r="OR623" s="23"/>
      <c r="OS623" s="23"/>
      <c r="OT623" s="23"/>
      <c r="OU623" s="23"/>
      <c r="OV623" s="23"/>
      <c r="OW623" s="23"/>
      <c r="OX623" s="23"/>
      <c r="OY623" s="23"/>
      <c r="OZ623" s="23"/>
      <c r="PA623" s="23"/>
      <c r="PB623" s="23"/>
      <c r="PC623" s="23"/>
      <c r="PD623" s="23"/>
      <c r="PE623" s="23"/>
      <c r="PF623" s="23"/>
      <c r="PG623" s="23"/>
      <c r="PH623" s="23"/>
      <c r="PI623" s="23"/>
      <c r="PJ623" s="23"/>
      <c r="PK623" s="23"/>
      <c r="PL623" s="23"/>
      <c r="PM623" s="23"/>
      <c r="PN623" s="23"/>
      <c r="PO623" s="23"/>
      <c r="PP623" s="23"/>
      <c r="PQ623" s="23"/>
      <c r="PR623" s="23"/>
      <c r="PS623" s="23"/>
      <c r="PT623" s="23"/>
      <c r="PU623" s="23"/>
      <c r="PV623" s="23"/>
      <c r="PW623" s="23"/>
      <c r="PX623" s="23"/>
      <c r="PY623" s="23"/>
      <c r="PZ623" s="23"/>
      <c r="QA623" s="23"/>
      <c r="QB623" s="23"/>
      <c r="QC623" s="23"/>
      <c r="QD623" s="23"/>
      <c r="QE623" s="23"/>
      <c r="QF623" s="23"/>
      <c r="QG623" s="23"/>
      <c r="QH623" s="23"/>
      <c r="QI623" s="23"/>
      <c r="QJ623" s="23"/>
      <c r="QK623" s="23"/>
      <c r="QL623" s="23"/>
      <c r="QM623" s="23"/>
      <c r="QN623" s="23"/>
      <c r="QO623" s="23"/>
      <c r="QP623" s="23"/>
      <c r="QQ623" s="23"/>
      <c r="QR623" s="23"/>
      <c r="QS623" s="23"/>
      <c r="QT623" s="23"/>
      <c r="QU623" s="23"/>
      <c r="QV623" s="23"/>
      <c r="QW623" s="23"/>
      <c r="QX623" s="23"/>
      <c r="QY623" s="23"/>
      <c r="QZ623" s="23"/>
      <c r="RA623" s="23"/>
      <c r="RB623" s="23"/>
      <c r="RC623" s="23"/>
      <c r="RD623" s="23"/>
      <c r="RE623" s="23"/>
      <c r="RF623" s="23"/>
      <c r="RG623" s="23"/>
      <c r="RH623" s="23"/>
      <c r="RI623" s="23"/>
      <c r="RJ623" s="23"/>
      <c r="RK623" s="23"/>
      <c r="RL623" s="23"/>
      <c r="RM623" s="23"/>
      <c r="RN623" s="23"/>
      <c r="RO623" s="23"/>
      <c r="RP623" s="23"/>
      <c r="RQ623" s="23"/>
      <c r="RR623" s="23"/>
      <c r="RS623" s="23"/>
      <c r="RT623" s="23"/>
      <c r="RU623" s="23"/>
      <c r="RV623" s="23"/>
      <c r="RW623" s="23"/>
      <c r="RX623" s="23"/>
      <c r="RY623" s="23"/>
      <c r="RZ623" s="23"/>
      <c r="SA623" s="23"/>
      <c r="SB623" s="23"/>
      <c r="SC623" s="23"/>
      <c r="SD623" s="23"/>
      <c r="SE623" s="23"/>
      <c r="SF623" s="23"/>
      <c r="SG623" s="23"/>
      <c r="SH623" s="23"/>
      <c r="SI623" s="23"/>
      <c r="SJ623" s="23"/>
      <c r="SK623" s="23"/>
      <c r="SL623" s="23"/>
      <c r="SM623" s="23"/>
      <c r="SN623" s="23"/>
      <c r="SO623" s="23"/>
      <c r="SP623" s="23"/>
      <c r="SQ623" s="23"/>
      <c r="SR623" s="23"/>
      <c r="SS623" s="23"/>
      <c r="ST623" s="23"/>
      <c r="SU623" s="23"/>
      <c r="SV623" s="23"/>
      <c r="SW623" s="23"/>
      <c r="SX623" s="23"/>
      <c r="SY623" s="23"/>
      <c r="SZ623" s="23"/>
      <c r="TA623" s="23"/>
      <c r="TB623" s="23"/>
      <c r="TC623" s="23"/>
      <c r="TD623" s="23"/>
      <c r="TE623" s="23"/>
      <c r="TF623" s="23"/>
      <c r="TG623" s="23"/>
      <c r="TH623" s="23"/>
      <c r="TI623" s="23"/>
      <c r="TJ623" s="23"/>
      <c r="TK623" s="23"/>
      <c r="TL623" s="23"/>
      <c r="TM623" s="23"/>
      <c r="TN623" s="23"/>
      <c r="TO623" s="23"/>
      <c r="TP623" s="23"/>
      <c r="TQ623" s="23"/>
      <c r="TR623" s="23"/>
      <c r="TS623" s="23"/>
      <c r="TT623" s="23"/>
      <c r="TU623" s="23"/>
      <c r="TV623" s="23"/>
      <c r="TW623" s="23"/>
      <c r="TX623" s="23"/>
      <c r="TY623" s="23"/>
      <c r="TZ623" s="23"/>
      <c r="UA623" s="23"/>
      <c r="UB623" s="23"/>
      <c r="UC623" s="23"/>
      <c r="UD623" s="23"/>
      <c r="UE623" s="23"/>
      <c r="UF623" s="23"/>
      <c r="UG623" s="23"/>
      <c r="UH623" s="23"/>
      <c r="UI623" s="23"/>
      <c r="UJ623" s="23"/>
      <c r="UK623" s="23"/>
      <c r="UL623" s="23"/>
      <c r="UM623" s="23"/>
      <c r="UN623" s="23"/>
      <c r="UO623" s="23"/>
      <c r="UP623" s="23"/>
      <c r="UQ623" s="23"/>
      <c r="UR623" s="23"/>
      <c r="US623" s="23"/>
      <c r="UT623" s="23"/>
      <c r="UU623" s="23"/>
      <c r="UV623" s="23"/>
      <c r="UW623" s="23"/>
      <c r="UX623" s="23"/>
      <c r="UY623" s="23"/>
      <c r="UZ623" s="23"/>
      <c r="VA623" s="23"/>
      <c r="VB623" s="23"/>
      <c r="VC623" s="23"/>
      <c r="VD623" s="23"/>
      <c r="VE623" s="23"/>
      <c r="VF623" s="23"/>
      <c r="VG623" s="23"/>
      <c r="VH623" s="23"/>
      <c r="VI623" s="23"/>
      <c r="VJ623" s="23"/>
      <c r="VK623" s="23"/>
      <c r="VL623" s="23"/>
      <c r="VM623" s="23"/>
      <c r="VN623" s="23"/>
      <c r="VO623" s="23"/>
      <c r="VP623" s="23"/>
      <c r="VQ623" s="23"/>
      <c r="VR623" s="23"/>
      <c r="VS623" s="23"/>
      <c r="VT623" s="23"/>
      <c r="VU623" s="23"/>
      <c r="VV623" s="23"/>
      <c r="VW623" s="23"/>
      <c r="VX623" s="23"/>
      <c r="VY623" s="23"/>
      <c r="VZ623" s="23"/>
      <c r="WA623" s="23"/>
      <c r="WB623" s="23"/>
      <c r="WC623" s="23"/>
      <c r="WD623" s="23"/>
      <c r="WE623" s="23"/>
      <c r="WF623" s="23"/>
      <c r="WG623" s="23"/>
      <c r="WH623" s="23"/>
      <c r="WI623" s="23"/>
      <c r="WJ623" s="23"/>
      <c r="WK623" s="23"/>
      <c r="WL623" s="23"/>
      <c r="WM623" s="23"/>
      <c r="WN623" s="23"/>
      <c r="WO623" s="23"/>
      <c r="WP623" s="23"/>
      <c r="WQ623" s="23"/>
      <c r="WR623" s="23"/>
      <c r="WS623" s="23"/>
      <c r="WT623" s="23"/>
      <c r="WU623" s="23"/>
      <c r="WV623" s="23"/>
      <c r="WW623" s="23"/>
      <c r="WX623" s="23"/>
      <c r="WY623" s="23"/>
      <c r="WZ623" s="23"/>
      <c r="XA623" s="23"/>
      <c r="XB623" s="23"/>
      <c r="XC623" s="23"/>
      <c r="XD623" s="23"/>
      <c r="XE623" s="23"/>
      <c r="XF623" s="23"/>
      <c r="XG623" s="23"/>
      <c r="XH623" s="23"/>
      <c r="XI623" s="23"/>
      <c r="XJ623" s="23"/>
      <c r="XK623" s="23"/>
      <c r="XL623" s="23"/>
      <c r="XM623" s="23"/>
      <c r="XN623" s="23"/>
      <c r="XO623" s="23"/>
      <c r="XP623" s="23"/>
      <c r="XQ623" s="23"/>
      <c r="XR623" s="23"/>
      <c r="XS623" s="23"/>
      <c r="XT623" s="23"/>
      <c r="XU623" s="23"/>
      <c r="XV623" s="23"/>
      <c r="XW623" s="23"/>
      <c r="XX623" s="23"/>
      <c r="XY623" s="23"/>
      <c r="XZ623" s="23"/>
      <c r="YA623" s="23"/>
      <c r="YB623" s="23"/>
      <c r="YC623" s="23"/>
      <c r="YD623" s="23"/>
      <c r="YE623" s="23"/>
      <c r="YF623" s="23"/>
      <c r="YG623" s="23"/>
      <c r="YH623" s="23"/>
      <c r="YI623" s="23"/>
      <c r="YJ623" s="23"/>
      <c r="YK623" s="23"/>
      <c r="YL623" s="23"/>
      <c r="YM623" s="23"/>
      <c r="YN623" s="23"/>
      <c r="YO623" s="23"/>
      <c r="YP623" s="23"/>
      <c r="YQ623" s="23"/>
      <c r="YR623" s="23"/>
      <c r="YS623" s="23"/>
      <c r="YT623" s="23"/>
      <c r="YU623" s="23"/>
      <c r="YV623" s="23"/>
      <c r="YW623" s="23"/>
      <c r="YX623" s="23"/>
      <c r="YY623" s="23"/>
      <c r="YZ623" s="23"/>
      <c r="ZA623" s="23"/>
      <c r="ZB623" s="23"/>
      <c r="ZC623" s="23"/>
      <c r="ZD623" s="23"/>
      <c r="ZE623" s="23"/>
      <c r="ZF623" s="23"/>
      <c r="ZG623" s="23"/>
      <c r="ZH623" s="23"/>
      <c r="ZI623" s="23"/>
      <c r="ZJ623" s="23"/>
      <c r="ZK623" s="23"/>
      <c r="ZL623" s="23"/>
      <c r="ZM623" s="23"/>
      <c r="ZN623" s="23"/>
      <c r="ZO623" s="23"/>
      <c r="ZP623" s="23"/>
      <c r="ZQ623" s="23"/>
      <c r="ZR623" s="23"/>
      <c r="ZS623" s="23"/>
      <c r="ZT623" s="23"/>
      <c r="ZU623" s="23"/>
      <c r="ZV623" s="23"/>
      <c r="ZW623" s="23"/>
      <c r="ZX623" s="23"/>
      <c r="ZY623" s="23"/>
      <c r="ZZ623" s="23"/>
      <c r="AAA623" s="23"/>
      <c r="AAB623" s="23"/>
      <c r="AAC623" s="23"/>
      <c r="AAD623" s="23"/>
      <c r="AAE623" s="23"/>
      <c r="AAF623" s="23"/>
      <c r="AAG623" s="23"/>
      <c r="AAH623" s="23"/>
      <c r="AAI623" s="23"/>
      <c r="AAJ623" s="23"/>
      <c r="AAK623" s="23"/>
      <c r="AAL623" s="23"/>
      <c r="AAM623" s="23"/>
      <c r="AAN623" s="23"/>
      <c r="AAO623" s="23"/>
      <c r="AAP623" s="23"/>
      <c r="AAQ623" s="23"/>
      <c r="AAR623" s="23"/>
      <c r="AAS623" s="23"/>
      <c r="AAT623" s="23"/>
      <c r="AAU623" s="23"/>
      <c r="AAV623" s="23"/>
      <c r="AAW623" s="23"/>
      <c r="AAX623" s="23"/>
      <c r="AAY623" s="23"/>
      <c r="AAZ623" s="23"/>
      <c r="ABA623" s="23"/>
      <c r="ABB623" s="23"/>
      <c r="ABC623" s="23"/>
      <c r="ABD623" s="23"/>
      <c r="ABE623" s="23"/>
      <c r="ABF623" s="23"/>
      <c r="ABG623" s="23"/>
      <c r="ABH623" s="23"/>
      <c r="ABI623" s="23"/>
      <c r="ABJ623" s="23"/>
      <c r="ABK623" s="23"/>
      <c r="ABL623" s="23"/>
      <c r="ABM623" s="23"/>
      <c r="ABN623" s="23"/>
      <c r="ABO623" s="23"/>
      <c r="ABP623" s="23"/>
      <c r="ABQ623" s="23"/>
      <c r="ABR623" s="23"/>
      <c r="ABS623" s="23"/>
      <c r="ABT623" s="23"/>
      <c r="ABU623" s="23"/>
      <c r="ABV623" s="23"/>
      <c r="ABW623" s="23"/>
      <c r="ABX623" s="23"/>
      <c r="ABY623" s="23"/>
      <c r="ABZ623" s="23"/>
      <c r="ACA623" s="23"/>
      <c r="ACB623" s="23"/>
      <c r="ACC623" s="23"/>
      <c r="ACD623" s="23"/>
      <c r="ACE623" s="23"/>
      <c r="ACF623" s="23"/>
      <c r="ACG623" s="23"/>
      <c r="ACH623" s="23"/>
      <c r="ACI623" s="23"/>
      <c r="ACJ623" s="23"/>
      <c r="ACK623" s="23"/>
      <c r="ACL623" s="23"/>
      <c r="ACM623" s="23"/>
      <c r="ACN623" s="23"/>
      <c r="ACO623" s="23"/>
      <c r="ACP623" s="23"/>
      <c r="ACQ623" s="23"/>
      <c r="ACR623" s="23"/>
      <c r="ACS623" s="23"/>
      <c r="ACT623" s="23"/>
      <c r="ACU623" s="23"/>
      <c r="ACV623" s="23"/>
      <c r="ACW623" s="23"/>
      <c r="ACX623" s="23"/>
      <c r="ACY623" s="23"/>
      <c r="ACZ623" s="23"/>
      <c r="ADA623" s="23"/>
      <c r="ADB623" s="23"/>
      <c r="ADC623" s="23"/>
      <c r="ADD623" s="23"/>
      <c r="ADE623" s="23"/>
      <c r="ADF623" s="23"/>
      <c r="ADG623" s="23"/>
      <c r="ADH623" s="23"/>
      <c r="ADI623" s="23"/>
      <c r="ADJ623" s="23"/>
      <c r="ADK623" s="23"/>
      <c r="ADL623" s="23"/>
      <c r="ADM623" s="23"/>
      <c r="ADN623" s="23"/>
      <c r="ADO623" s="23"/>
      <c r="ADP623" s="23"/>
      <c r="ADQ623" s="23"/>
      <c r="ADR623" s="23"/>
      <c r="ADS623" s="23"/>
      <c r="ADT623" s="23"/>
      <c r="ADU623" s="23"/>
      <c r="ADV623" s="23"/>
      <c r="ADW623" s="23"/>
      <c r="ADX623" s="23"/>
      <c r="ADY623" s="23"/>
      <c r="ADZ623" s="23"/>
      <c r="AEA623" s="23"/>
      <c r="AEB623" s="23"/>
      <c r="AEC623" s="23"/>
      <c r="AED623" s="23"/>
      <c r="AEE623" s="23"/>
      <c r="AEF623" s="23"/>
      <c r="AEG623" s="23"/>
      <c r="AEH623" s="23"/>
      <c r="AEI623" s="23"/>
      <c r="AEJ623" s="23"/>
      <c r="AEK623" s="23"/>
      <c r="AEL623" s="23"/>
      <c r="AEM623" s="23"/>
      <c r="AEN623" s="23"/>
      <c r="AEO623" s="23"/>
      <c r="AEP623" s="23"/>
      <c r="AEQ623" s="23"/>
      <c r="AER623" s="23"/>
      <c r="AES623" s="23"/>
      <c r="AET623" s="23"/>
      <c r="AEU623" s="23"/>
      <c r="AEV623" s="23"/>
      <c r="AEW623" s="23"/>
      <c r="AEX623" s="23"/>
      <c r="AEY623" s="23"/>
      <c r="AEZ623" s="23"/>
      <c r="AFA623" s="23"/>
      <c r="AFB623" s="23"/>
      <c r="AFC623" s="23"/>
      <c r="AFD623" s="23"/>
      <c r="AFE623" s="23"/>
      <c r="AFF623" s="23"/>
      <c r="AFG623" s="23"/>
      <c r="AFH623" s="23"/>
      <c r="AFI623" s="23"/>
      <c r="AFJ623" s="23"/>
      <c r="AFK623" s="23"/>
      <c r="AFL623" s="23"/>
      <c r="AFM623" s="23"/>
      <c r="AFN623" s="23"/>
      <c r="AFO623" s="23"/>
      <c r="AFP623" s="23"/>
      <c r="AFQ623" s="23"/>
      <c r="AFR623" s="23"/>
      <c r="AFS623" s="23"/>
      <c r="AFT623" s="23"/>
      <c r="AFU623" s="23"/>
      <c r="AFV623" s="23"/>
      <c r="AFW623" s="23"/>
      <c r="AFX623" s="23"/>
      <c r="AFY623" s="23"/>
      <c r="AFZ623" s="23"/>
      <c r="AGA623" s="23"/>
      <c r="AGB623" s="23"/>
      <c r="AGC623" s="23"/>
      <c r="AGD623" s="23"/>
      <c r="AGE623" s="23"/>
      <c r="AGF623" s="23"/>
      <c r="AGG623" s="23"/>
      <c r="AGH623" s="23"/>
      <c r="AGI623" s="23"/>
      <c r="AGJ623" s="23"/>
      <c r="AGK623" s="23"/>
      <c r="AGL623" s="23"/>
      <c r="AGM623" s="23"/>
      <c r="AGN623" s="23"/>
      <c r="AGO623" s="23"/>
      <c r="AGP623" s="23"/>
      <c r="AGQ623" s="23"/>
      <c r="AGR623" s="23"/>
      <c r="AGS623" s="23"/>
      <c r="AGT623" s="23"/>
      <c r="AGU623" s="23"/>
      <c r="AGV623" s="23"/>
      <c r="AGW623" s="23"/>
      <c r="AGX623" s="23"/>
      <c r="AGY623" s="23"/>
      <c r="AGZ623" s="23"/>
      <c r="AHA623" s="23"/>
      <c r="AHB623" s="23"/>
      <c r="AHC623" s="23"/>
      <c r="AHD623" s="23"/>
      <c r="AHE623" s="23"/>
      <c r="AHF623" s="23"/>
      <c r="AHG623" s="23"/>
      <c r="AHH623" s="23"/>
      <c r="AHI623" s="23"/>
      <c r="AHJ623" s="23"/>
      <c r="AHK623" s="23"/>
      <c r="AHL623" s="23"/>
      <c r="AHM623" s="23"/>
      <c r="AHN623" s="23"/>
      <c r="AHO623" s="23"/>
      <c r="AHP623" s="23"/>
      <c r="AHQ623" s="23"/>
      <c r="AHR623" s="23"/>
      <c r="AHS623" s="23"/>
      <c r="AHT623" s="23"/>
      <c r="AHU623" s="23"/>
      <c r="AHV623" s="23"/>
      <c r="AHW623" s="23"/>
      <c r="AHX623" s="23"/>
      <c r="AHY623" s="23"/>
      <c r="AHZ623" s="23"/>
      <c r="AIA623" s="23"/>
      <c r="AIB623" s="23"/>
      <c r="AIC623" s="23"/>
      <c r="AID623" s="23"/>
      <c r="AIE623" s="23"/>
      <c r="AIF623" s="23"/>
      <c r="AIG623" s="23"/>
      <c r="AIH623" s="23"/>
      <c r="AII623" s="23"/>
      <c r="AIJ623" s="23"/>
      <c r="AIK623" s="23"/>
      <c r="AIL623" s="23"/>
      <c r="AIM623" s="23"/>
      <c r="AIN623" s="23"/>
      <c r="AIO623" s="23"/>
      <c r="AIP623" s="23"/>
      <c r="AIQ623" s="23"/>
      <c r="AIR623" s="23"/>
      <c r="AIS623" s="23"/>
      <c r="AIT623" s="23"/>
      <c r="AIU623" s="23"/>
      <c r="AIV623" s="23"/>
      <c r="AIW623" s="23"/>
      <c r="AIX623" s="23"/>
      <c r="AIY623" s="23"/>
      <c r="AIZ623" s="23"/>
      <c r="AJA623" s="23"/>
      <c r="AJB623" s="23"/>
      <c r="AJC623" s="23"/>
      <c r="AJD623" s="23"/>
      <c r="AJE623" s="23"/>
      <c r="AJF623" s="23"/>
      <c r="AJG623" s="23"/>
      <c r="AJH623" s="23"/>
      <c r="AJI623" s="23"/>
      <c r="AJJ623" s="23"/>
      <c r="AJK623" s="23"/>
      <c r="AJL623" s="23"/>
      <c r="AJM623" s="23"/>
      <c r="AJN623" s="23"/>
      <c r="AJO623" s="23"/>
      <c r="AJP623" s="23"/>
      <c r="AJQ623" s="23"/>
      <c r="AJR623" s="23"/>
      <c r="AJS623" s="23"/>
      <c r="AJT623" s="23"/>
      <c r="AJU623" s="23"/>
      <c r="AJV623" s="23"/>
      <c r="AJW623" s="23"/>
      <c r="AJX623" s="23"/>
      <c r="AJY623" s="23"/>
      <c r="AJZ623" s="23"/>
      <c r="AKA623" s="23"/>
      <c r="AKB623" s="23"/>
      <c r="AKC623" s="23"/>
      <c r="AKD623" s="23"/>
      <c r="AKE623" s="23"/>
      <c r="AKF623" s="23"/>
      <c r="AKG623" s="23"/>
      <c r="AKH623" s="23"/>
      <c r="AKI623" s="23"/>
      <c r="AKJ623" s="23"/>
      <c r="AKK623" s="23"/>
      <c r="AKL623" s="23"/>
      <c r="AKM623" s="23"/>
      <c r="AKN623" s="23"/>
      <c r="AKO623" s="23"/>
      <c r="AKP623" s="23"/>
      <c r="AKQ623" s="23"/>
      <c r="AKR623" s="23"/>
      <c r="AKS623" s="23"/>
      <c r="AKT623" s="23"/>
      <c r="AKU623" s="23"/>
      <c r="AKV623" s="23"/>
      <c r="AKW623" s="23"/>
      <c r="AKX623" s="23"/>
      <c r="AKY623" s="23"/>
      <c r="AKZ623" s="23"/>
      <c r="ALA623" s="23"/>
      <c r="ALB623" s="23"/>
      <c r="ALC623" s="23"/>
      <c r="ALD623" s="23"/>
      <c r="ALE623" s="23"/>
      <c r="ALF623" s="23"/>
      <c r="ALG623" s="23"/>
      <c r="ALH623" s="23"/>
      <c r="ALI623" s="23"/>
      <c r="ALJ623" s="23"/>
      <c r="ALK623" s="23"/>
      <c r="ALL623" s="23"/>
      <c r="ALM623" s="23"/>
      <c r="ALN623" s="23"/>
      <c r="ALO623" s="23"/>
      <c r="ALP623" s="23"/>
      <c r="ALQ623" s="23"/>
      <c r="ALR623" s="23"/>
      <c r="ALS623" s="23"/>
      <c r="ALT623" s="23"/>
      <c r="ALU623" s="23"/>
      <c r="ALV623" s="23"/>
      <c r="ALW623" s="23"/>
      <c r="ALX623" s="23"/>
      <c r="ALY623" s="23"/>
      <c r="ALZ623" s="23"/>
      <c r="AMA623" s="23"/>
      <c r="AMB623" s="23"/>
      <c r="AMC623" s="23"/>
      <c r="AMD623" s="23"/>
      <c r="AME623" s="23"/>
      <c r="AMF623" s="23"/>
      <c r="AMG623" s="23"/>
      <c r="AMH623" s="23"/>
      <c r="AMI623" s="23"/>
      <c r="AMJ623" s="23"/>
      <c r="AMK623" s="23"/>
      <c r="AML623" s="23"/>
      <c r="AMM623" s="23"/>
      <c r="AMN623" s="23"/>
      <c r="AMO623" s="23"/>
      <c r="AMP623" s="23"/>
      <c r="AMQ623" s="23"/>
      <c r="AMR623" s="23"/>
      <c r="AMS623" s="23"/>
      <c r="AMT623" s="23"/>
      <c r="AMU623" s="23"/>
      <c r="AMV623" s="23"/>
      <c r="AMW623" s="23"/>
      <c r="AMX623" s="23"/>
      <c r="AMY623" s="23"/>
      <c r="AMZ623" s="23"/>
      <c r="ANA623" s="23"/>
      <c r="ANB623" s="23"/>
      <c r="ANC623" s="23"/>
      <c r="AND623" s="23"/>
      <c r="ANE623" s="23"/>
      <c r="ANF623" s="23"/>
      <c r="ANG623" s="23"/>
      <c r="ANH623" s="23"/>
      <c r="ANI623" s="23"/>
      <c r="ANJ623" s="23"/>
      <c r="ANK623" s="23"/>
      <c r="ANL623" s="23"/>
      <c r="ANM623" s="23"/>
      <c r="ANN623" s="23"/>
      <c r="ANO623" s="23"/>
      <c r="ANP623" s="23"/>
      <c r="ANQ623" s="23"/>
      <c r="ANR623" s="23"/>
      <c r="ANS623" s="23"/>
      <c r="ANT623" s="23"/>
      <c r="ANU623" s="23"/>
      <c r="ANV623" s="23"/>
      <c r="ANW623" s="23"/>
      <c r="ANX623" s="23"/>
      <c r="ANY623" s="23"/>
      <c r="ANZ623" s="23"/>
      <c r="AOA623" s="23"/>
      <c r="AOB623" s="23"/>
      <c r="AOC623" s="23"/>
      <c r="AOD623" s="23"/>
      <c r="AOE623" s="23"/>
      <c r="AOF623" s="23"/>
      <c r="AOG623" s="23"/>
      <c r="AOH623" s="23"/>
      <c r="AOI623" s="23"/>
      <c r="AOJ623" s="23"/>
      <c r="AOK623" s="23"/>
      <c r="AOL623" s="23"/>
      <c r="AOM623" s="23"/>
      <c r="AON623" s="23"/>
      <c r="AOO623" s="23"/>
      <c r="AOP623" s="23"/>
      <c r="AOQ623" s="23"/>
      <c r="AOR623" s="23"/>
      <c r="AOS623" s="23"/>
      <c r="AOT623" s="23"/>
      <c r="AOU623" s="23"/>
      <c r="AOV623" s="23"/>
      <c r="AOW623" s="23"/>
      <c r="AOX623" s="23"/>
      <c r="AOY623" s="23"/>
      <c r="AOZ623" s="23"/>
      <c r="APA623" s="23"/>
      <c r="APB623" s="23"/>
      <c r="APC623" s="23"/>
      <c r="APD623" s="23"/>
      <c r="APE623" s="23"/>
      <c r="APF623" s="23"/>
      <c r="APG623" s="23"/>
      <c r="APH623" s="23"/>
      <c r="API623" s="23"/>
      <c r="APJ623" s="23"/>
      <c r="APK623" s="23"/>
      <c r="APL623" s="23"/>
      <c r="APM623" s="23"/>
      <c r="APN623" s="23"/>
      <c r="APO623" s="23"/>
      <c r="APP623" s="23"/>
      <c r="APQ623" s="23"/>
      <c r="APR623" s="23"/>
      <c r="APS623" s="23"/>
      <c r="APT623" s="23"/>
      <c r="APU623" s="23"/>
      <c r="APV623" s="23"/>
      <c r="APW623" s="23"/>
      <c r="APX623" s="23"/>
      <c r="APY623" s="23"/>
      <c r="APZ623" s="23"/>
      <c r="AQA623" s="23"/>
      <c r="AQB623" s="23"/>
      <c r="AQC623" s="23"/>
      <c r="AQD623" s="23"/>
      <c r="AQE623" s="23"/>
      <c r="AQF623" s="23"/>
      <c r="AQG623" s="23"/>
      <c r="AQH623" s="23"/>
      <c r="AQI623" s="23"/>
      <c r="AQJ623" s="23"/>
      <c r="AQK623" s="23"/>
      <c r="AQL623" s="23"/>
      <c r="AQM623" s="23"/>
      <c r="AQN623" s="23"/>
      <c r="AQO623" s="23"/>
      <c r="AQP623" s="23"/>
      <c r="AQQ623" s="23"/>
      <c r="AQR623" s="23"/>
      <c r="AQS623" s="23"/>
      <c r="AQT623" s="23"/>
      <c r="AQU623" s="23"/>
      <c r="AQV623" s="23"/>
      <c r="AQW623" s="23"/>
      <c r="AQX623" s="23"/>
      <c r="AQY623" s="23"/>
      <c r="AQZ623" s="23"/>
      <c r="ARA623" s="23"/>
      <c r="ARB623" s="23"/>
      <c r="ARC623" s="23"/>
      <c r="ARD623" s="23"/>
      <c r="ARE623" s="23"/>
      <c r="ARF623" s="23"/>
      <c r="ARG623" s="23"/>
      <c r="ARH623" s="23"/>
      <c r="ARI623" s="23"/>
      <c r="ARJ623" s="23"/>
      <c r="ARK623" s="23"/>
      <c r="ARL623" s="23"/>
      <c r="ARM623" s="23"/>
      <c r="ARN623" s="23"/>
      <c r="ARO623" s="23"/>
      <c r="ARP623" s="23"/>
      <c r="ARQ623" s="23"/>
      <c r="ARR623" s="23"/>
      <c r="ARS623" s="23"/>
      <c r="ART623" s="23"/>
      <c r="ARU623" s="23"/>
      <c r="ARV623" s="23"/>
      <c r="ARW623" s="23"/>
      <c r="ARX623" s="23"/>
      <c r="ARY623" s="23"/>
      <c r="ARZ623" s="23"/>
      <c r="ASA623" s="23"/>
      <c r="ASB623" s="23"/>
      <c r="ASC623" s="23"/>
      <c r="ASD623" s="23"/>
      <c r="ASE623" s="23"/>
      <c r="ASF623" s="23"/>
      <c r="ASG623" s="23"/>
      <c r="ASH623" s="23"/>
      <c r="ASI623" s="23"/>
      <c r="ASJ623" s="23"/>
      <c r="ASK623" s="23"/>
      <c r="ASL623" s="23"/>
      <c r="ASM623" s="23"/>
      <c r="ASN623" s="23"/>
      <c r="ASO623" s="23"/>
      <c r="ASP623" s="23"/>
      <c r="ASQ623" s="23"/>
      <c r="ASR623" s="23"/>
      <c r="ASS623" s="23"/>
      <c r="AST623" s="23"/>
      <c r="ASU623" s="23"/>
      <c r="ASV623" s="23"/>
      <c r="ASW623" s="23"/>
      <c r="ASX623" s="23"/>
      <c r="ASY623" s="23"/>
      <c r="ASZ623" s="23"/>
      <c r="ATA623" s="23"/>
      <c r="ATB623" s="23"/>
      <c r="ATC623" s="23"/>
      <c r="ATD623" s="23"/>
      <c r="ATE623" s="23"/>
      <c r="ATF623" s="23"/>
      <c r="ATG623" s="23"/>
      <c r="ATH623" s="23"/>
      <c r="ATI623" s="23"/>
      <c r="ATJ623" s="23"/>
      <c r="ATK623" s="23"/>
      <c r="ATL623" s="23"/>
      <c r="ATM623" s="23"/>
      <c r="ATN623" s="23"/>
      <c r="ATO623" s="23"/>
      <c r="ATP623" s="23"/>
      <c r="ATQ623" s="23"/>
      <c r="ATR623" s="23"/>
      <c r="ATS623" s="23"/>
      <c r="ATT623" s="23"/>
      <c r="ATU623" s="23"/>
      <c r="ATV623" s="23"/>
      <c r="ATW623" s="23"/>
      <c r="ATX623" s="23"/>
      <c r="ATY623" s="23"/>
      <c r="ATZ623" s="23"/>
      <c r="AUA623" s="23"/>
      <c r="AUB623" s="23"/>
      <c r="AUC623" s="23"/>
      <c r="AUD623" s="23"/>
      <c r="AUE623" s="23"/>
      <c r="AUF623" s="23"/>
      <c r="AUG623" s="23"/>
      <c r="AUH623" s="23"/>
      <c r="AUI623" s="23"/>
      <c r="AUJ623" s="23"/>
      <c r="AUK623" s="23"/>
      <c r="AUL623" s="23"/>
      <c r="AUM623" s="23"/>
      <c r="AUN623" s="23"/>
      <c r="AUO623" s="23"/>
      <c r="AUP623" s="23"/>
      <c r="AUQ623" s="23"/>
      <c r="AUR623" s="23"/>
      <c r="AUS623" s="23"/>
      <c r="AUT623" s="23"/>
      <c r="AUU623" s="23"/>
      <c r="AUV623" s="23"/>
      <c r="AUW623" s="23"/>
      <c r="AUX623" s="23"/>
      <c r="AUY623" s="23"/>
      <c r="AUZ623" s="23"/>
      <c r="AVA623" s="23"/>
      <c r="AVB623" s="23"/>
      <c r="AVC623" s="23"/>
      <c r="AVD623" s="23"/>
      <c r="AVE623" s="23"/>
      <c r="AVF623" s="23"/>
      <c r="AVG623" s="23"/>
      <c r="AVH623" s="23"/>
      <c r="AVI623" s="23"/>
      <c r="AVJ623" s="23"/>
      <c r="AVK623" s="23"/>
      <c r="AVL623" s="23"/>
      <c r="AVM623" s="23"/>
      <c r="AVN623" s="23"/>
      <c r="AVO623" s="23"/>
      <c r="AVP623" s="23"/>
      <c r="AVQ623" s="23"/>
      <c r="AVR623" s="23"/>
      <c r="AVS623" s="23"/>
      <c r="AVT623" s="23"/>
      <c r="AVU623" s="23"/>
      <c r="AVV623" s="23"/>
      <c r="AVW623" s="23"/>
      <c r="AVX623" s="23"/>
      <c r="AVY623" s="23"/>
      <c r="AVZ623" s="23"/>
      <c r="AWA623" s="23"/>
      <c r="AWB623" s="23"/>
      <c r="AWC623" s="23"/>
      <c r="AWD623" s="23"/>
      <c r="AWE623" s="23"/>
      <c r="AWF623" s="23"/>
      <c r="AWG623" s="23"/>
      <c r="AWH623" s="23"/>
      <c r="AWI623" s="23"/>
      <c r="AWJ623" s="23"/>
      <c r="AWK623" s="23"/>
      <c r="AWL623" s="23"/>
      <c r="AWM623" s="23"/>
      <c r="AWN623" s="23"/>
      <c r="AWO623" s="23"/>
      <c r="AWP623" s="23"/>
      <c r="AWQ623" s="23"/>
      <c r="AWR623" s="23"/>
      <c r="AWS623" s="23"/>
      <c r="AWT623" s="23"/>
      <c r="AWU623" s="23"/>
      <c r="AWV623" s="23"/>
      <c r="AWW623" s="23"/>
      <c r="AWX623" s="23"/>
      <c r="AWY623" s="23"/>
      <c r="AWZ623" s="23"/>
      <c r="AXA623" s="23"/>
      <c r="AXB623" s="23"/>
      <c r="AXC623" s="23"/>
      <c r="AXD623" s="23"/>
      <c r="AXE623" s="23"/>
      <c r="AXF623" s="23"/>
      <c r="AXG623" s="23"/>
      <c r="AXH623" s="23"/>
      <c r="AXI623" s="23"/>
      <c r="AXJ623" s="23"/>
      <c r="AXK623" s="23"/>
      <c r="AXL623" s="23"/>
      <c r="AXM623" s="23"/>
      <c r="AXN623" s="23"/>
      <c r="AXO623" s="23"/>
      <c r="AXP623" s="23"/>
      <c r="AXQ623" s="23"/>
      <c r="AXR623" s="23"/>
      <c r="AXS623" s="23"/>
      <c r="AXT623" s="23"/>
      <c r="AXU623" s="23"/>
      <c r="AXV623" s="23"/>
      <c r="AXW623" s="23"/>
      <c r="AXX623" s="23"/>
      <c r="AXY623" s="23"/>
      <c r="AXZ623" s="23"/>
      <c r="AYA623" s="23"/>
      <c r="AYB623" s="23"/>
      <c r="AYC623" s="23"/>
      <c r="AYD623" s="23"/>
      <c r="AYE623" s="23"/>
      <c r="AYF623" s="23"/>
      <c r="AYG623" s="23"/>
      <c r="AYH623" s="23"/>
      <c r="AYI623" s="23"/>
      <c r="AYJ623" s="23"/>
      <c r="AYK623" s="23"/>
      <c r="AYL623" s="23"/>
      <c r="AYM623" s="23"/>
      <c r="AYN623" s="23"/>
      <c r="AYO623" s="23"/>
      <c r="AYP623" s="23"/>
      <c r="AYQ623" s="23"/>
      <c r="AYR623" s="23"/>
      <c r="AYS623" s="23"/>
      <c r="AYT623" s="23"/>
      <c r="AYU623" s="23"/>
      <c r="AYV623" s="23"/>
      <c r="AYW623" s="23"/>
      <c r="AYX623" s="23"/>
      <c r="AYY623" s="23"/>
      <c r="AYZ623" s="23"/>
      <c r="AZA623" s="23"/>
      <c r="AZB623" s="23"/>
      <c r="AZC623" s="23"/>
      <c r="AZD623" s="23"/>
      <c r="AZE623" s="23"/>
      <c r="AZF623" s="23"/>
      <c r="AZG623" s="23"/>
      <c r="AZH623" s="23"/>
      <c r="AZI623" s="23"/>
      <c r="AZJ623" s="23"/>
      <c r="AZK623" s="23"/>
      <c r="AZL623" s="23"/>
      <c r="AZM623" s="23"/>
      <c r="AZN623" s="23"/>
      <c r="AZO623" s="23"/>
      <c r="AZP623" s="23"/>
      <c r="AZQ623" s="23"/>
      <c r="AZR623" s="23"/>
      <c r="AZS623" s="23"/>
      <c r="AZT623" s="23"/>
      <c r="AZU623" s="23"/>
      <c r="AZV623" s="23"/>
      <c r="AZW623" s="23"/>
      <c r="AZX623" s="23"/>
      <c r="AZY623" s="23"/>
      <c r="AZZ623" s="23"/>
      <c r="BAA623" s="23"/>
      <c r="BAB623" s="23"/>
      <c r="BAC623" s="23"/>
      <c r="BAD623" s="23"/>
      <c r="BAE623" s="23"/>
      <c r="BAF623" s="23"/>
      <c r="BAG623" s="23"/>
      <c r="BAH623" s="23"/>
      <c r="BAI623" s="23"/>
      <c r="BAJ623" s="23"/>
      <c r="BAK623" s="23"/>
      <c r="BAL623" s="23"/>
      <c r="BAM623" s="23"/>
      <c r="BAN623" s="23"/>
      <c r="BAO623" s="23"/>
      <c r="BAP623" s="23"/>
      <c r="BAQ623" s="23"/>
      <c r="BAR623" s="23"/>
      <c r="BAS623" s="23"/>
      <c r="BAT623" s="23"/>
      <c r="BAU623" s="23"/>
      <c r="BAV623" s="23"/>
      <c r="BAW623" s="23"/>
      <c r="BAX623" s="23"/>
      <c r="BAY623" s="23"/>
      <c r="BAZ623" s="23"/>
      <c r="BBA623" s="23"/>
      <c r="BBB623" s="23"/>
      <c r="BBC623" s="23"/>
      <c r="BBD623" s="23"/>
      <c r="BBE623" s="23"/>
      <c r="BBF623" s="23"/>
      <c r="BBG623" s="23"/>
      <c r="BBH623" s="23"/>
      <c r="BBI623" s="23"/>
      <c r="BBJ623" s="23"/>
      <c r="BBK623" s="23"/>
      <c r="BBL623" s="23"/>
      <c r="BBM623" s="23"/>
      <c r="BBN623" s="23"/>
      <c r="BBO623" s="23"/>
      <c r="BBP623" s="23"/>
      <c r="BBQ623" s="23"/>
      <c r="BBR623" s="23"/>
      <c r="BBS623" s="23"/>
      <c r="BBT623" s="23"/>
      <c r="BBU623" s="23"/>
      <c r="BBV623" s="23"/>
      <c r="BBW623" s="23"/>
      <c r="BBX623" s="23"/>
      <c r="BBY623" s="23"/>
      <c r="BBZ623" s="23"/>
      <c r="BCA623" s="23"/>
      <c r="BCB623" s="23"/>
      <c r="BCC623" s="23"/>
      <c r="BCD623" s="23"/>
      <c r="BCE623" s="23"/>
      <c r="BCF623" s="23"/>
      <c r="BCG623" s="23"/>
      <c r="BCH623" s="23"/>
      <c r="BCI623" s="23"/>
      <c r="BCJ623" s="23"/>
      <c r="BCK623" s="23"/>
      <c r="BCL623" s="23"/>
      <c r="BCM623" s="23"/>
      <c r="BCN623" s="23"/>
      <c r="BCO623" s="23"/>
      <c r="BCP623" s="23"/>
      <c r="BCQ623" s="23"/>
      <c r="BCR623" s="23"/>
      <c r="BCS623" s="23"/>
      <c r="BCT623" s="23"/>
      <c r="BCU623" s="23"/>
      <c r="BCV623" s="23"/>
      <c r="BCW623" s="23"/>
      <c r="BCX623" s="23"/>
      <c r="BCY623" s="23"/>
      <c r="BCZ623" s="23"/>
      <c r="BDA623" s="23"/>
      <c r="BDB623" s="23"/>
      <c r="BDC623" s="23"/>
      <c r="BDD623" s="23"/>
      <c r="BDE623" s="23"/>
      <c r="BDF623" s="23"/>
      <c r="BDG623" s="23"/>
      <c r="BDH623" s="23"/>
      <c r="BDI623" s="23"/>
      <c r="BDJ623" s="23"/>
      <c r="BDK623" s="23"/>
      <c r="BDL623" s="23"/>
      <c r="BDM623" s="23"/>
      <c r="BDN623" s="23"/>
      <c r="BDO623" s="23"/>
      <c r="BDP623" s="23"/>
      <c r="BDQ623" s="23"/>
      <c r="BDR623" s="23"/>
      <c r="BDS623" s="23"/>
      <c r="BDT623" s="23"/>
      <c r="BDU623" s="23"/>
      <c r="BDV623" s="23"/>
      <c r="BDW623" s="23"/>
      <c r="BDX623" s="23"/>
      <c r="BDY623" s="23"/>
      <c r="BDZ623" s="23"/>
      <c r="BEA623" s="23"/>
      <c r="BEB623" s="23"/>
      <c r="BEC623" s="23"/>
      <c r="BED623" s="23"/>
      <c r="BEE623" s="23"/>
      <c r="BEF623" s="23"/>
      <c r="BEG623" s="23"/>
      <c r="BEH623" s="23"/>
      <c r="BEI623" s="23"/>
      <c r="BEJ623" s="23"/>
      <c r="BEK623" s="23"/>
      <c r="BEL623" s="23"/>
      <c r="BEM623" s="23"/>
      <c r="BEN623" s="23"/>
      <c r="BEO623" s="23"/>
      <c r="BEP623" s="23"/>
      <c r="BEQ623" s="23"/>
      <c r="BER623" s="23"/>
      <c r="BES623" s="23"/>
      <c r="BET623" s="23"/>
      <c r="BEU623" s="23"/>
      <c r="BEV623" s="23"/>
      <c r="BEW623" s="23"/>
      <c r="BEX623" s="23"/>
      <c r="BEY623" s="23"/>
      <c r="BEZ623" s="23"/>
      <c r="BFA623" s="23"/>
      <c r="BFB623" s="23"/>
      <c r="BFC623" s="23"/>
      <c r="BFD623" s="23"/>
      <c r="BFE623" s="23"/>
      <c r="BFF623" s="23"/>
      <c r="BFG623" s="23"/>
      <c r="BFH623" s="23"/>
      <c r="BFI623" s="23"/>
      <c r="BFJ623" s="23"/>
      <c r="BFK623" s="23"/>
      <c r="BFL623" s="23"/>
      <c r="BFM623" s="23"/>
      <c r="BFN623" s="23"/>
      <c r="BFO623" s="23"/>
      <c r="BFP623" s="23"/>
      <c r="BFQ623" s="23"/>
      <c r="BFR623" s="23"/>
      <c r="BFS623" s="23"/>
      <c r="BFT623" s="23"/>
      <c r="BFU623" s="23"/>
      <c r="BFV623" s="23"/>
      <c r="BFW623" s="23"/>
      <c r="BFX623" s="23"/>
      <c r="BFY623" s="23"/>
      <c r="BFZ623" s="23"/>
      <c r="BGA623" s="23"/>
      <c r="BGB623" s="23"/>
      <c r="BGC623" s="23"/>
      <c r="BGD623" s="23"/>
      <c r="BGE623" s="23"/>
      <c r="BGF623" s="23"/>
      <c r="BGG623" s="23"/>
      <c r="BGH623" s="23"/>
      <c r="BGI623" s="23"/>
      <c r="BGJ623" s="23"/>
      <c r="BGK623" s="23"/>
      <c r="BGL623" s="23"/>
      <c r="BGM623" s="23"/>
      <c r="BGN623" s="23"/>
      <c r="BGO623" s="23"/>
      <c r="BGP623" s="23"/>
      <c r="BGQ623" s="23"/>
      <c r="BGR623" s="23"/>
      <c r="BGS623" s="23"/>
      <c r="BGT623" s="23"/>
      <c r="BGU623" s="23"/>
      <c r="BGV623" s="23"/>
      <c r="BGW623" s="23"/>
      <c r="BGX623" s="23"/>
      <c r="BGY623" s="23"/>
      <c r="BGZ623" s="23"/>
      <c r="BHA623" s="23"/>
      <c r="BHB623" s="23"/>
      <c r="BHC623" s="23"/>
      <c r="BHD623" s="23"/>
      <c r="BHE623" s="23"/>
      <c r="BHF623" s="23"/>
      <c r="BHG623" s="23"/>
      <c r="BHH623" s="23"/>
      <c r="BHI623" s="23"/>
      <c r="BHJ623" s="23"/>
      <c r="BHK623" s="23"/>
      <c r="BHL623" s="23"/>
      <c r="BHM623" s="23"/>
      <c r="BHN623" s="23"/>
      <c r="BHO623" s="23"/>
      <c r="BHP623" s="23"/>
      <c r="BHQ623" s="23"/>
      <c r="BHR623" s="23"/>
      <c r="BHS623" s="23"/>
      <c r="BHT623" s="23"/>
      <c r="BHU623" s="23"/>
      <c r="BHV623" s="23"/>
      <c r="BHW623" s="23"/>
      <c r="BHX623" s="23"/>
      <c r="BHY623" s="23"/>
      <c r="BHZ623" s="23"/>
      <c r="BIA623" s="23"/>
      <c r="BIB623" s="23"/>
      <c r="BIC623" s="23"/>
      <c r="BID623" s="23"/>
      <c r="BIE623" s="23"/>
      <c r="BIF623" s="23"/>
      <c r="BIG623" s="23"/>
      <c r="BIH623" s="23"/>
      <c r="BII623" s="23"/>
      <c r="BIJ623" s="23"/>
      <c r="BIK623" s="23"/>
      <c r="BIL623" s="23"/>
      <c r="BIM623" s="23"/>
      <c r="BIN623" s="23"/>
      <c r="BIO623" s="23"/>
      <c r="BIP623" s="23"/>
      <c r="BIQ623" s="23"/>
      <c r="BIR623" s="23"/>
      <c r="BIS623" s="23"/>
      <c r="BIT623" s="23"/>
      <c r="BIU623" s="23"/>
      <c r="BIV623" s="23"/>
      <c r="BIW623" s="23"/>
      <c r="BIX623" s="23"/>
      <c r="BIY623" s="23"/>
      <c r="BIZ623" s="23"/>
      <c r="BJA623" s="23"/>
      <c r="BJB623" s="23"/>
      <c r="BJC623" s="23"/>
      <c r="BJD623" s="23"/>
      <c r="BJE623" s="23"/>
      <c r="BJF623" s="23"/>
      <c r="BJG623" s="23"/>
      <c r="BJH623" s="23"/>
      <c r="BJI623" s="23"/>
      <c r="BJJ623" s="23"/>
      <c r="BJK623" s="23"/>
      <c r="BJL623" s="23"/>
      <c r="BJM623" s="23"/>
      <c r="BJN623" s="23"/>
      <c r="BJO623" s="23"/>
      <c r="BJP623" s="23"/>
      <c r="BJQ623" s="23"/>
      <c r="BJR623" s="23"/>
      <c r="BJS623" s="23"/>
      <c r="BJT623" s="23"/>
      <c r="BJU623" s="23"/>
      <c r="BJV623" s="23"/>
      <c r="BJW623" s="23"/>
      <c r="BJX623" s="23"/>
      <c r="BJY623" s="23"/>
      <c r="BJZ623" s="23"/>
      <c r="BKA623" s="23"/>
      <c r="BKB623" s="23"/>
      <c r="BKC623" s="23"/>
      <c r="BKD623" s="23"/>
      <c r="BKE623" s="23"/>
      <c r="BKF623" s="23"/>
      <c r="BKG623" s="23"/>
      <c r="BKH623" s="23"/>
      <c r="BKI623" s="23"/>
      <c r="BKJ623" s="23"/>
      <c r="BKK623" s="23"/>
      <c r="BKL623" s="23"/>
      <c r="BKM623" s="23"/>
      <c r="BKN623" s="23"/>
      <c r="BKO623" s="23"/>
      <c r="BKP623" s="23"/>
      <c r="BKQ623" s="23"/>
      <c r="BKR623" s="23"/>
      <c r="BKS623" s="23"/>
      <c r="BKT623" s="23"/>
      <c r="BKU623" s="23"/>
      <c r="BKV623" s="23"/>
      <c r="BKW623" s="23"/>
      <c r="BKX623" s="23"/>
      <c r="BKY623" s="23"/>
      <c r="BKZ623" s="23"/>
      <c r="BLA623" s="23"/>
      <c r="BLB623" s="23"/>
      <c r="BLC623" s="23"/>
      <c r="BLD623" s="23"/>
      <c r="BLE623" s="23"/>
      <c r="BLF623" s="23"/>
      <c r="BLG623" s="23"/>
      <c r="BLH623" s="23"/>
      <c r="BLI623" s="23"/>
      <c r="BLJ623" s="23"/>
      <c r="BLK623" s="23"/>
      <c r="BLL623" s="23"/>
      <c r="BLM623" s="23"/>
      <c r="BLN623" s="23"/>
      <c r="BLO623" s="23"/>
      <c r="BLP623" s="23"/>
      <c r="BLQ623" s="23"/>
      <c r="BLR623" s="23"/>
      <c r="BLS623" s="23"/>
      <c r="BLT623" s="23"/>
      <c r="BLU623" s="23"/>
      <c r="BLV623" s="23"/>
      <c r="BLW623" s="23"/>
      <c r="BLX623" s="23"/>
      <c r="BLY623" s="23"/>
      <c r="BLZ623" s="23"/>
      <c r="BMA623" s="23"/>
      <c r="BMB623" s="23"/>
      <c r="BMC623" s="23"/>
      <c r="BMD623" s="23"/>
      <c r="BME623" s="23"/>
      <c r="BMF623" s="23"/>
      <c r="BMG623" s="23"/>
      <c r="BMH623" s="23"/>
      <c r="BMI623" s="23"/>
      <c r="BMJ623" s="23"/>
      <c r="BMK623" s="23"/>
      <c r="BML623" s="23"/>
      <c r="BMM623" s="23"/>
      <c r="BMN623" s="23"/>
      <c r="BMO623" s="23"/>
      <c r="BMP623" s="23"/>
      <c r="BMQ623" s="23"/>
      <c r="BMR623" s="23"/>
      <c r="BMS623" s="23"/>
      <c r="BMT623" s="23"/>
      <c r="BMU623" s="23"/>
      <c r="BMV623" s="23"/>
      <c r="BMW623" s="23"/>
      <c r="BMX623" s="23"/>
      <c r="BMY623" s="23"/>
      <c r="BMZ623" s="23"/>
      <c r="BNA623" s="23"/>
      <c r="BNB623" s="23"/>
      <c r="BNC623" s="23"/>
      <c r="BND623" s="23"/>
      <c r="BNE623" s="23"/>
      <c r="BNF623" s="23"/>
      <c r="BNG623" s="23"/>
      <c r="BNH623" s="23"/>
      <c r="BNI623" s="23"/>
      <c r="BNJ623" s="23"/>
      <c r="BNK623" s="23"/>
      <c r="BNL623" s="23"/>
      <c r="BNM623" s="23"/>
      <c r="BNN623" s="23"/>
      <c r="BNO623" s="23"/>
      <c r="BNP623" s="23"/>
      <c r="BNQ623" s="23"/>
      <c r="BNR623" s="23"/>
      <c r="BNS623" s="23"/>
      <c r="BNT623" s="23"/>
      <c r="BNU623" s="23"/>
      <c r="BNV623" s="23"/>
      <c r="BNW623" s="23"/>
      <c r="BNX623" s="23"/>
      <c r="BNY623" s="23"/>
      <c r="BNZ623" s="23"/>
      <c r="BOA623" s="23"/>
      <c r="BOB623" s="23"/>
      <c r="BOC623" s="23"/>
      <c r="BOD623" s="23"/>
      <c r="BOE623" s="23"/>
      <c r="BOF623" s="23"/>
      <c r="BOG623" s="23"/>
      <c r="BOH623" s="23"/>
      <c r="BOI623" s="23"/>
      <c r="BOJ623" s="23"/>
      <c r="BOK623" s="23"/>
      <c r="BOL623" s="23"/>
      <c r="BOM623" s="23"/>
      <c r="BON623" s="23"/>
      <c r="BOO623" s="23"/>
      <c r="BOP623" s="23"/>
      <c r="BOQ623" s="23"/>
      <c r="BOR623" s="23"/>
      <c r="BOS623" s="23"/>
      <c r="BOT623" s="23"/>
      <c r="BOU623" s="23"/>
      <c r="BOV623" s="23"/>
      <c r="BOW623" s="23"/>
      <c r="BOX623" s="23"/>
      <c r="BOY623" s="23"/>
      <c r="BOZ623" s="23"/>
      <c r="BPA623" s="23"/>
      <c r="BPB623" s="23"/>
      <c r="BPC623" s="23"/>
      <c r="BPD623" s="23"/>
      <c r="BPE623" s="23"/>
      <c r="BPF623" s="23"/>
      <c r="BPG623" s="23"/>
      <c r="BPH623" s="23"/>
      <c r="BPI623" s="23"/>
      <c r="BPJ623" s="23"/>
      <c r="BPK623" s="23"/>
      <c r="BPL623" s="23"/>
      <c r="BPM623" s="23"/>
      <c r="BPN623" s="23"/>
      <c r="BPO623" s="23"/>
      <c r="BPP623" s="23"/>
      <c r="BPQ623" s="23"/>
      <c r="BPR623" s="23"/>
      <c r="BPS623" s="23"/>
      <c r="BPT623" s="23"/>
      <c r="BPU623" s="23"/>
      <c r="BPV623" s="23"/>
      <c r="BPW623" s="23"/>
      <c r="BPX623" s="23"/>
      <c r="BPY623" s="23"/>
      <c r="BPZ623" s="23"/>
      <c r="BQA623" s="23"/>
      <c r="BQB623" s="23"/>
      <c r="BQC623" s="23"/>
      <c r="BQD623" s="23"/>
      <c r="BQE623" s="23"/>
      <c r="BQF623" s="23"/>
      <c r="BQG623" s="23"/>
      <c r="BQH623" s="23"/>
      <c r="BQI623" s="23"/>
      <c r="BQJ623" s="23"/>
      <c r="BQK623" s="23"/>
      <c r="BQL623" s="23"/>
      <c r="BQM623" s="23"/>
      <c r="BQN623" s="23"/>
      <c r="BQO623" s="23"/>
      <c r="BQP623" s="23"/>
      <c r="BQQ623" s="23"/>
      <c r="BQR623" s="23"/>
      <c r="BQS623" s="23"/>
      <c r="BQT623" s="23"/>
      <c r="BQU623" s="23"/>
      <c r="BQV623" s="23"/>
      <c r="BQW623" s="23"/>
      <c r="BQX623" s="23"/>
      <c r="BQY623" s="23"/>
      <c r="BQZ623" s="23"/>
      <c r="BRA623" s="23"/>
      <c r="BRB623" s="23"/>
      <c r="BRC623" s="23"/>
      <c r="BRD623" s="23"/>
      <c r="BRE623" s="23"/>
      <c r="BRF623" s="23"/>
      <c r="BRG623" s="23"/>
      <c r="BRH623" s="23"/>
      <c r="BRI623" s="23"/>
      <c r="BRJ623" s="23"/>
      <c r="BRK623" s="23"/>
      <c r="BRL623" s="23"/>
      <c r="BRM623" s="23"/>
      <c r="BRN623" s="23"/>
      <c r="BRO623" s="23"/>
      <c r="BRP623" s="23"/>
      <c r="BRQ623" s="23"/>
      <c r="BRR623" s="23"/>
      <c r="BRS623" s="23"/>
      <c r="BRT623" s="23"/>
      <c r="BRU623" s="23"/>
      <c r="BRV623" s="23"/>
      <c r="BRW623" s="23"/>
      <c r="BRX623" s="23"/>
      <c r="BRY623" s="23"/>
      <c r="BRZ623" s="23"/>
      <c r="BSA623" s="23"/>
      <c r="BSB623" s="23"/>
      <c r="BSC623" s="23"/>
      <c r="BSD623" s="23"/>
      <c r="BSE623" s="23"/>
      <c r="BSF623" s="23"/>
      <c r="BSG623" s="23"/>
      <c r="BSH623" s="23"/>
      <c r="BSI623" s="23"/>
      <c r="BSJ623" s="23"/>
      <c r="BSK623" s="23"/>
      <c r="BSL623" s="23"/>
      <c r="BSM623" s="23"/>
      <c r="BSN623" s="23"/>
      <c r="BSO623" s="23"/>
      <c r="BSP623" s="23"/>
      <c r="BSQ623" s="23"/>
      <c r="BSR623" s="23"/>
      <c r="BSS623" s="23"/>
      <c r="BST623" s="23"/>
      <c r="BSU623" s="23"/>
      <c r="BSV623" s="23"/>
      <c r="BSW623" s="23"/>
      <c r="BSX623" s="23"/>
      <c r="BSY623" s="23"/>
      <c r="BSZ623" s="23"/>
      <c r="BTA623" s="23"/>
    </row>
    <row r="624" spans="1:1873" s="23" customFormat="1" ht="25.5" x14ac:dyDescent="0.2">
      <c r="A624" s="304" t="s">
        <v>2090</v>
      </c>
      <c r="B624" s="223" t="s">
        <v>800</v>
      </c>
      <c r="C624" s="223" t="s">
        <v>1030</v>
      </c>
      <c r="D624" s="223" t="s">
        <v>619</v>
      </c>
      <c r="E624" s="305" t="s">
        <v>1451</v>
      </c>
      <c r="F624" s="241">
        <v>1</v>
      </c>
      <c r="G624" s="223">
        <v>8</v>
      </c>
      <c r="H624" s="242">
        <v>8</v>
      </c>
      <c r="I624" s="223" t="s">
        <v>807</v>
      </c>
      <c r="J624" s="450">
        <v>1987</v>
      </c>
      <c r="K624" s="560" t="s">
        <v>1211</v>
      </c>
      <c r="L624" s="450">
        <v>1994</v>
      </c>
      <c r="M624" s="243">
        <v>-9999</v>
      </c>
      <c r="N624" s="223">
        <v>-9999</v>
      </c>
      <c r="O624" s="29"/>
      <c r="P624" s="244">
        <f t="shared" si="55"/>
        <v>65.84</v>
      </c>
      <c r="Q624" s="223">
        <v>-9999</v>
      </c>
      <c r="R624" s="243"/>
      <c r="S624" s="223"/>
      <c r="T624" s="243">
        <v>8.23</v>
      </c>
      <c r="U624" s="223">
        <v>-9999</v>
      </c>
      <c r="V624" s="223"/>
      <c r="W624" s="285">
        <f t="shared" si="58"/>
        <v>5.710000000000008</v>
      </c>
      <c r="X624" s="223">
        <v>-9999</v>
      </c>
      <c r="Y624" s="223"/>
      <c r="Z624" s="561" t="s">
        <v>1702</v>
      </c>
      <c r="AA624" s="425">
        <f t="shared" si="56"/>
        <v>1682.0700000000002</v>
      </c>
      <c r="AB624" s="243">
        <v>-9999</v>
      </c>
      <c r="AC624" s="245">
        <v>4.0460000000000003</v>
      </c>
      <c r="AD624" s="560">
        <f t="shared" si="57"/>
        <v>3300</v>
      </c>
      <c r="AE624" s="675" t="s">
        <v>97</v>
      </c>
      <c r="AF624" s="223">
        <v>3</v>
      </c>
      <c r="AG624" s="223">
        <v>-9999</v>
      </c>
      <c r="AH624" s="223">
        <v>-9999</v>
      </c>
      <c r="AI624" s="223">
        <v>-9999</v>
      </c>
      <c r="AJ624" s="223">
        <v>-9999</v>
      </c>
      <c r="AK624" s="223">
        <v>-9999</v>
      </c>
      <c r="AL624" s="223">
        <v>-9999</v>
      </c>
      <c r="AM624" s="223">
        <v>-9999</v>
      </c>
      <c r="AN624" s="223" t="s">
        <v>631</v>
      </c>
      <c r="AO624" s="223">
        <v>-9999</v>
      </c>
      <c r="AP624" s="223">
        <v>-9999</v>
      </c>
      <c r="AQ624" s="223" t="s">
        <v>631</v>
      </c>
      <c r="AR624" s="223">
        <v>0</v>
      </c>
      <c r="AS624" s="223">
        <v>-9999</v>
      </c>
      <c r="AT624" s="223">
        <v>-9999</v>
      </c>
      <c r="AU624" s="223">
        <v>0</v>
      </c>
      <c r="AV624" s="223">
        <v>-9999</v>
      </c>
      <c r="AW624" s="223">
        <v>-9999</v>
      </c>
      <c r="AX624" s="223">
        <v>0</v>
      </c>
      <c r="AY624" s="223">
        <v>-9999</v>
      </c>
      <c r="AZ624" s="223">
        <v>-9999</v>
      </c>
      <c r="BA624" s="223">
        <v>-9999</v>
      </c>
      <c r="BB624" s="223" t="s">
        <v>631</v>
      </c>
      <c r="BC624" s="223">
        <v>-9999</v>
      </c>
      <c r="BD624" s="223">
        <v>-9999</v>
      </c>
      <c r="BE624" s="223">
        <v>-9999</v>
      </c>
      <c r="BF624" s="223">
        <v>-9999</v>
      </c>
      <c r="BG624" s="223">
        <v>-9999</v>
      </c>
      <c r="BH624" s="223">
        <v>-9999</v>
      </c>
      <c r="BI624" s="223" t="s">
        <v>1056</v>
      </c>
      <c r="BJ624" s="223">
        <v>-9999</v>
      </c>
      <c r="BK624" s="223">
        <v>-9999</v>
      </c>
      <c r="BL624" s="223">
        <v>-9999</v>
      </c>
      <c r="BM624" s="223">
        <v>-9999</v>
      </c>
      <c r="BN624" s="223">
        <v>-9999</v>
      </c>
      <c r="BO624" s="223">
        <v>-9999</v>
      </c>
      <c r="BP624" s="223">
        <v>-9999</v>
      </c>
      <c r="BQ624" s="223">
        <v>-9999</v>
      </c>
      <c r="BR624" s="223">
        <v>-9999</v>
      </c>
      <c r="BS624" s="242">
        <v>-9999</v>
      </c>
      <c r="BT624" s="223">
        <v>-9999</v>
      </c>
      <c r="BU624" s="223">
        <v>-9999</v>
      </c>
      <c r="BV624" s="223">
        <v>-9999</v>
      </c>
      <c r="BW624" s="223"/>
      <c r="BX624" s="450">
        <v>-9999</v>
      </c>
      <c r="BY624" s="223">
        <v>-9999</v>
      </c>
      <c r="BZ624" s="223">
        <v>-9999</v>
      </c>
      <c r="CA624" s="334" t="s">
        <v>797</v>
      </c>
      <c r="CB624" s="247"/>
      <c r="CC624" s="83">
        <v>1</v>
      </c>
      <c r="CD624" s="32">
        <v>8</v>
      </c>
      <c r="CE624" s="292">
        <v>8.23</v>
      </c>
      <c r="CF624" s="292">
        <v>5.710000000000008</v>
      </c>
      <c r="CG624" s="84">
        <v>8</v>
      </c>
    </row>
    <row r="625" spans="1:1873" s="23" customFormat="1" ht="25.5" x14ac:dyDescent="0.2">
      <c r="A625" s="304" t="s">
        <v>2090</v>
      </c>
      <c r="B625" s="223" t="s">
        <v>800</v>
      </c>
      <c r="C625" s="223" t="s">
        <v>1030</v>
      </c>
      <c r="D625" s="223" t="s">
        <v>619</v>
      </c>
      <c r="E625" s="305" t="s">
        <v>1451</v>
      </c>
      <c r="F625" s="241">
        <v>1</v>
      </c>
      <c r="G625" s="223">
        <v>9</v>
      </c>
      <c r="H625" s="242">
        <v>9</v>
      </c>
      <c r="I625" s="223" t="s">
        <v>807</v>
      </c>
      <c r="J625" s="450">
        <v>1987</v>
      </c>
      <c r="K625" s="560" t="s">
        <v>1211</v>
      </c>
      <c r="L625" s="450">
        <v>1995</v>
      </c>
      <c r="M625" s="243">
        <v>-9999</v>
      </c>
      <c r="N625" s="223">
        <v>-9999</v>
      </c>
      <c r="O625" s="29"/>
      <c r="P625" s="244">
        <f t="shared" si="55"/>
        <v>72.989999999999995</v>
      </c>
      <c r="Q625" s="223">
        <v>-9999</v>
      </c>
      <c r="R625" s="243"/>
      <c r="S625" s="223"/>
      <c r="T625" s="243">
        <v>8.11</v>
      </c>
      <c r="U625" s="223">
        <v>-9999</v>
      </c>
      <c r="V625" s="223"/>
      <c r="W625" s="285">
        <f t="shared" si="58"/>
        <v>7.1499999999999915</v>
      </c>
      <c r="X625" s="223">
        <v>-9999</v>
      </c>
      <c r="Y625" s="223"/>
      <c r="Z625" s="561" t="s">
        <v>1702</v>
      </c>
      <c r="AA625" s="425">
        <f t="shared" si="56"/>
        <v>1682.0700000000002</v>
      </c>
      <c r="AB625" s="243">
        <v>-9999</v>
      </c>
      <c r="AC625" s="245">
        <v>4.0460000000000003</v>
      </c>
      <c r="AD625" s="560">
        <f t="shared" si="57"/>
        <v>3300</v>
      </c>
      <c r="AE625" s="675" t="s">
        <v>97</v>
      </c>
      <c r="AF625" s="223">
        <v>3</v>
      </c>
      <c r="AG625" s="223">
        <v>-9999</v>
      </c>
      <c r="AH625" s="223">
        <v>-9999</v>
      </c>
      <c r="AI625" s="223">
        <v>-9999</v>
      </c>
      <c r="AJ625" s="223">
        <v>-9999</v>
      </c>
      <c r="AK625" s="223">
        <v>-9999</v>
      </c>
      <c r="AL625" s="223">
        <v>-9999</v>
      </c>
      <c r="AM625" s="223">
        <v>-9999</v>
      </c>
      <c r="AN625" s="223" t="s">
        <v>631</v>
      </c>
      <c r="AO625" s="223">
        <v>-9999</v>
      </c>
      <c r="AP625" s="223">
        <v>-9999</v>
      </c>
      <c r="AQ625" s="223" t="s">
        <v>631</v>
      </c>
      <c r="AR625" s="223">
        <v>0</v>
      </c>
      <c r="AS625" s="223">
        <v>-9999</v>
      </c>
      <c r="AT625" s="223">
        <v>-9999</v>
      </c>
      <c r="AU625" s="223">
        <v>0</v>
      </c>
      <c r="AV625" s="223">
        <v>-9999</v>
      </c>
      <c r="AW625" s="223">
        <v>-9999</v>
      </c>
      <c r="AX625" s="223">
        <v>0</v>
      </c>
      <c r="AY625" s="223">
        <v>-9999</v>
      </c>
      <c r="AZ625" s="223">
        <v>-9999</v>
      </c>
      <c r="BA625" s="223">
        <v>-9999</v>
      </c>
      <c r="BB625" s="223" t="s">
        <v>631</v>
      </c>
      <c r="BC625" s="223">
        <v>-9999</v>
      </c>
      <c r="BD625" s="223">
        <v>-9999</v>
      </c>
      <c r="BE625" s="223">
        <v>-9999</v>
      </c>
      <c r="BF625" s="223">
        <v>-9999</v>
      </c>
      <c r="BG625" s="223">
        <v>-9999</v>
      </c>
      <c r="BH625" s="223">
        <v>-9999</v>
      </c>
      <c r="BI625" s="223" t="s">
        <v>1056</v>
      </c>
      <c r="BJ625" s="223">
        <v>-9999</v>
      </c>
      <c r="BK625" s="223">
        <v>-9999</v>
      </c>
      <c r="BL625" s="223">
        <v>-9999</v>
      </c>
      <c r="BM625" s="223">
        <v>-9999</v>
      </c>
      <c r="BN625" s="223">
        <v>-9999</v>
      </c>
      <c r="BO625" s="223">
        <v>-9999</v>
      </c>
      <c r="BP625" s="223">
        <v>-9999</v>
      </c>
      <c r="BQ625" s="223">
        <v>-9999</v>
      </c>
      <c r="BR625" s="223">
        <v>-9999</v>
      </c>
      <c r="BS625" s="242">
        <v>-9999</v>
      </c>
      <c r="BT625" s="223">
        <v>-9999</v>
      </c>
      <c r="BU625" s="223">
        <v>-9999</v>
      </c>
      <c r="BV625" s="223">
        <v>-9999</v>
      </c>
      <c r="BW625" s="223"/>
      <c r="BX625" s="450">
        <v>-9999</v>
      </c>
      <c r="BY625" s="223">
        <v>-9999</v>
      </c>
      <c r="BZ625" s="223">
        <v>-9999</v>
      </c>
      <c r="CA625" s="334" t="s">
        <v>797</v>
      </c>
      <c r="CB625" s="247"/>
      <c r="CC625" s="83">
        <v>1</v>
      </c>
      <c r="CD625" s="32">
        <v>9</v>
      </c>
      <c r="CE625" s="292">
        <v>8.11</v>
      </c>
      <c r="CF625" s="292">
        <v>7.1499999999999915</v>
      </c>
      <c r="CG625" s="84">
        <v>9</v>
      </c>
    </row>
    <row r="626" spans="1:1873" s="23" customFormat="1" ht="25.5" x14ac:dyDescent="0.2">
      <c r="A626" s="304" t="s">
        <v>2090</v>
      </c>
      <c r="B626" s="223" t="s">
        <v>800</v>
      </c>
      <c r="C626" s="223" t="s">
        <v>1030</v>
      </c>
      <c r="D626" s="223" t="s">
        <v>619</v>
      </c>
      <c r="E626" s="305" t="s">
        <v>1451</v>
      </c>
      <c r="F626" s="241">
        <v>1</v>
      </c>
      <c r="G626" s="223">
        <v>10</v>
      </c>
      <c r="H626" s="242">
        <v>10</v>
      </c>
      <c r="I626" s="223" t="s">
        <v>807</v>
      </c>
      <c r="J626" s="450">
        <v>1987</v>
      </c>
      <c r="K626" s="560" t="s">
        <v>1211</v>
      </c>
      <c r="L626" s="450">
        <v>1996</v>
      </c>
      <c r="M626" s="243">
        <v>-9999</v>
      </c>
      <c r="N626" s="223">
        <v>-9999</v>
      </c>
      <c r="O626" s="29"/>
      <c r="P626" s="244">
        <f t="shared" si="55"/>
        <v>78</v>
      </c>
      <c r="Q626" s="223">
        <v>-9999</v>
      </c>
      <c r="R626" s="243"/>
      <c r="S626" s="223"/>
      <c r="T626" s="243">
        <v>7.8</v>
      </c>
      <c r="U626" s="223">
        <v>-9999</v>
      </c>
      <c r="V626" s="223"/>
      <c r="W626" s="285">
        <f t="shared" si="58"/>
        <v>5.0100000000000051</v>
      </c>
      <c r="X626" s="223">
        <v>-9999</v>
      </c>
      <c r="Y626" s="223"/>
      <c r="Z626" s="561" t="s">
        <v>1702</v>
      </c>
      <c r="AA626" s="425">
        <f t="shared" si="56"/>
        <v>1682.0700000000002</v>
      </c>
      <c r="AB626" s="243">
        <v>-9999</v>
      </c>
      <c r="AC626" s="245">
        <v>4.0460000000000003</v>
      </c>
      <c r="AD626" s="560">
        <f t="shared" si="57"/>
        <v>3300</v>
      </c>
      <c r="AE626" s="675" t="s">
        <v>97</v>
      </c>
      <c r="AF626" s="223">
        <v>3</v>
      </c>
      <c r="AG626" s="223">
        <v>-9999</v>
      </c>
      <c r="AH626" s="223">
        <v>-9999</v>
      </c>
      <c r="AI626" s="223">
        <v>-9999</v>
      </c>
      <c r="AJ626" s="223">
        <v>-9999</v>
      </c>
      <c r="AK626" s="223">
        <v>-9999</v>
      </c>
      <c r="AL626" s="223">
        <v>-9999</v>
      </c>
      <c r="AM626" s="223">
        <v>-9999</v>
      </c>
      <c r="AN626" s="223" t="s">
        <v>631</v>
      </c>
      <c r="AO626" s="223">
        <v>-9999</v>
      </c>
      <c r="AP626" s="223">
        <v>-9999</v>
      </c>
      <c r="AQ626" s="223" t="s">
        <v>631</v>
      </c>
      <c r="AR626" s="223">
        <v>0</v>
      </c>
      <c r="AS626" s="223">
        <v>-9999</v>
      </c>
      <c r="AT626" s="223">
        <v>-9999</v>
      </c>
      <c r="AU626" s="223">
        <v>0</v>
      </c>
      <c r="AV626" s="223">
        <v>-9999</v>
      </c>
      <c r="AW626" s="223">
        <v>-9999</v>
      </c>
      <c r="AX626" s="223">
        <v>0</v>
      </c>
      <c r="AY626" s="223">
        <v>-9999</v>
      </c>
      <c r="AZ626" s="223">
        <v>-9999</v>
      </c>
      <c r="BA626" s="223">
        <v>-9999</v>
      </c>
      <c r="BB626" s="223" t="s">
        <v>631</v>
      </c>
      <c r="BC626" s="223">
        <v>-9999</v>
      </c>
      <c r="BD626" s="223">
        <v>-9999</v>
      </c>
      <c r="BE626" s="223">
        <v>-9999</v>
      </c>
      <c r="BF626" s="223">
        <v>-9999</v>
      </c>
      <c r="BG626" s="223">
        <v>-9999</v>
      </c>
      <c r="BH626" s="223">
        <v>-9999</v>
      </c>
      <c r="BI626" s="223" t="s">
        <v>1056</v>
      </c>
      <c r="BJ626" s="223">
        <v>-9999</v>
      </c>
      <c r="BK626" s="223">
        <v>-9999</v>
      </c>
      <c r="BL626" s="223">
        <v>-9999</v>
      </c>
      <c r="BM626" s="223">
        <v>-9999</v>
      </c>
      <c r="BN626" s="223">
        <v>-9999</v>
      </c>
      <c r="BO626" s="223">
        <v>-9999</v>
      </c>
      <c r="BP626" s="223">
        <v>-9999</v>
      </c>
      <c r="BQ626" s="223">
        <v>-9999</v>
      </c>
      <c r="BR626" s="223">
        <v>-9999</v>
      </c>
      <c r="BS626" s="242">
        <v>-9999</v>
      </c>
      <c r="BT626" s="223">
        <v>-9999</v>
      </c>
      <c r="BU626" s="223">
        <v>-9999</v>
      </c>
      <c r="BV626" s="223">
        <v>-9999</v>
      </c>
      <c r="BW626" s="223"/>
      <c r="BX626" s="450">
        <v>-9999</v>
      </c>
      <c r="BY626" s="223">
        <v>-9999</v>
      </c>
      <c r="BZ626" s="223">
        <v>-9999</v>
      </c>
      <c r="CA626" s="334" t="s">
        <v>797</v>
      </c>
      <c r="CB626" s="247"/>
      <c r="CC626" s="83">
        <v>1</v>
      </c>
      <c r="CD626" s="32">
        <v>10</v>
      </c>
      <c r="CE626" s="292">
        <v>7.8</v>
      </c>
      <c r="CF626" s="292">
        <v>5.0100000000000051</v>
      </c>
      <c r="CG626" s="84">
        <v>10</v>
      </c>
    </row>
    <row r="627" spans="1:1873" s="23" customFormat="1" ht="25.5" x14ac:dyDescent="0.2">
      <c r="A627" s="304" t="s">
        <v>2090</v>
      </c>
      <c r="B627" s="223" t="s">
        <v>800</v>
      </c>
      <c r="C627" s="223" t="s">
        <v>1030</v>
      </c>
      <c r="D627" s="223" t="s">
        <v>619</v>
      </c>
      <c r="E627" s="305" t="s">
        <v>1451</v>
      </c>
      <c r="F627" s="241">
        <v>1</v>
      </c>
      <c r="G627" s="223">
        <v>11</v>
      </c>
      <c r="H627" s="242">
        <v>11</v>
      </c>
      <c r="I627" s="223" t="s">
        <v>807</v>
      </c>
      <c r="J627" s="450">
        <v>1987</v>
      </c>
      <c r="K627" s="560" t="s">
        <v>1211</v>
      </c>
      <c r="L627" s="450">
        <v>1997</v>
      </c>
      <c r="M627" s="243">
        <v>-9999</v>
      </c>
      <c r="N627" s="223">
        <v>-9999</v>
      </c>
      <c r="O627" s="29"/>
      <c r="P627" s="244">
        <f t="shared" si="55"/>
        <v>83.05</v>
      </c>
      <c r="Q627" s="223">
        <v>-9999</v>
      </c>
      <c r="R627" s="243"/>
      <c r="S627" s="223"/>
      <c r="T627" s="243">
        <v>7.55</v>
      </c>
      <c r="U627" s="223">
        <v>-9999</v>
      </c>
      <c r="V627" s="223"/>
      <c r="W627" s="285">
        <f t="shared" si="58"/>
        <v>5.0499999999999972</v>
      </c>
      <c r="X627" s="223">
        <v>-9999</v>
      </c>
      <c r="Y627" s="223"/>
      <c r="Z627" s="561" t="s">
        <v>1702</v>
      </c>
      <c r="AA627" s="425">
        <f t="shared" si="56"/>
        <v>1682.0700000000002</v>
      </c>
      <c r="AB627" s="243">
        <v>-9999</v>
      </c>
      <c r="AC627" s="245">
        <v>4.0460000000000003</v>
      </c>
      <c r="AD627" s="560">
        <f t="shared" si="57"/>
        <v>3300</v>
      </c>
      <c r="AE627" s="675" t="s">
        <v>97</v>
      </c>
      <c r="AF627" s="223">
        <v>3</v>
      </c>
      <c r="AG627" s="223">
        <v>-9999</v>
      </c>
      <c r="AH627" s="223">
        <v>-9999</v>
      </c>
      <c r="AI627" s="223">
        <v>-9999</v>
      </c>
      <c r="AJ627" s="223">
        <v>-9999</v>
      </c>
      <c r="AK627" s="223">
        <v>-9999</v>
      </c>
      <c r="AL627" s="223">
        <v>-9999</v>
      </c>
      <c r="AM627" s="223">
        <v>-9999</v>
      </c>
      <c r="AN627" s="223" t="s">
        <v>631</v>
      </c>
      <c r="AO627" s="223">
        <v>-9999</v>
      </c>
      <c r="AP627" s="223">
        <v>-9999</v>
      </c>
      <c r="AQ627" s="223" t="s">
        <v>631</v>
      </c>
      <c r="AR627" s="223">
        <v>0</v>
      </c>
      <c r="AS627" s="223">
        <v>-9999</v>
      </c>
      <c r="AT627" s="223">
        <v>-9999</v>
      </c>
      <c r="AU627" s="223">
        <v>0</v>
      </c>
      <c r="AV627" s="223">
        <v>-9999</v>
      </c>
      <c r="AW627" s="223">
        <v>-9999</v>
      </c>
      <c r="AX627" s="223">
        <v>0</v>
      </c>
      <c r="AY627" s="223">
        <v>-9999</v>
      </c>
      <c r="AZ627" s="223">
        <v>-9999</v>
      </c>
      <c r="BA627" s="223">
        <v>-9999</v>
      </c>
      <c r="BB627" s="223" t="s">
        <v>631</v>
      </c>
      <c r="BC627" s="223">
        <v>-9999</v>
      </c>
      <c r="BD627" s="223">
        <v>-9999</v>
      </c>
      <c r="BE627" s="223">
        <v>-9999</v>
      </c>
      <c r="BF627" s="223">
        <v>-9999</v>
      </c>
      <c r="BG627" s="223">
        <v>-9999</v>
      </c>
      <c r="BH627" s="223">
        <v>-9999</v>
      </c>
      <c r="BI627" s="223" t="s">
        <v>1056</v>
      </c>
      <c r="BJ627" s="223">
        <v>-9999</v>
      </c>
      <c r="BK627" s="223">
        <v>-9999</v>
      </c>
      <c r="BL627" s="223">
        <v>-9999</v>
      </c>
      <c r="BM627" s="223">
        <v>-9999</v>
      </c>
      <c r="BN627" s="223">
        <v>-9999</v>
      </c>
      <c r="BO627" s="223">
        <v>-9999</v>
      </c>
      <c r="BP627" s="223">
        <v>-9999</v>
      </c>
      <c r="BQ627" s="223">
        <v>-9999</v>
      </c>
      <c r="BR627" s="223">
        <v>-9999</v>
      </c>
      <c r="BS627" s="242">
        <v>-9999</v>
      </c>
      <c r="BT627" s="223">
        <v>-9999</v>
      </c>
      <c r="BU627" s="223">
        <v>-9999</v>
      </c>
      <c r="BV627" s="223">
        <v>-9999</v>
      </c>
      <c r="BW627" s="223"/>
      <c r="BX627" s="223">
        <v>-9999</v>
      </c>
      <c r="BY627" s="223">
        <v>-9999</v>
      </c>
      <c r="BZ627" s="223">
        <v>-9999</v>
      </c>
      <c r="CA627" s="334" t="s">
        <v>797</v>
      </c>
      <c r="CB627" s="247"/>
      <c r="CC627" s="83">
        <v>1</v>
      </c>
      <c r="CD627" s="32">
        <v>11</v>
      </c>
      <c r="CE627" s="292">
        <v>7.55</v>
      </c>
      <c r="CF627" s="292">
        <v>5.0499999999999972</v>
      </c>
      <c r="CG627" s="84">
        <v>11</v>
      </c>
    </row>
    <row r="628" spans="1:1873" s="23" customFormat="1" x14ac:dyDescent="0.2">
      <c r="A628" s="323"/>
      <c r="B628" s="29"/>
      <c r="C628" s="29"/>
      <c r="D628" s="29"/>
      <c r="E628" s="66"/>
      <c r="F628" s="66"/>
      <c r="G628" s="29"/>
      <c r="H628" s="30"/>
      <c r="I628" s="29"/>
      <c r="J628" s="112"/>
      <c r="K628" s="428"/>
      <c r="L628" s="112"/>
      <c r="M628" s="31"/>
      <c r="N628" s="29"/>
      <c r="O628" s="29"/>
      <c r="P628" s="31"/>
      <c r="Q628" s="29"/>
      <c r="R628" s="31"/>
      <c r="S628" s="29"/>
      <c r="T628" s="31"/>
      <c r="U628" s="29"/>
      <c r="V628" s="29"/>
      <c r="W628" s="31"/>
      <c r="X628" s="29"/>
      <c r="Y628" s="29"/>
      <c r="Z628" s="429"/>
      <c r="AA628" s="115"/>
      <c r="AB628" s="31"/>
      <c r="AC628" s="71"/>
      <c r="AD628" s="29"/>
      <c r="AE628" s="112"/>
      <c r="AF628" s="29"/>
      <c r="AG628" s="29"/>
      <c r="AH628" s="29"/>
      <c r="AI628" s="29"/>
      <c r="AJ628" s="29"/>
      <c r="AK628" s="29"/>
      <c r="AL628" s="29"/>
      <c r="AM628" s="29"/>
      <c r="AN628" s="29"/>
      <c r="AO628" s="29"/>
      <c r="AP628" s="29"/>
      <c r="AQ628" s="29"/>
      <c r="AR628" s="29"/>
      <c r="AS628" s="29"/>
      <c r="AT628" s="29"/>
      <c r="AU628" s="29"/>
      <c r="AV628" s="29"/>
      <c r="AW628" s="29"/>
      <c r="AX628" s="29"/>
      <c r="AY628" s="29"/>
      <c r="AZ628" s="29"/>
      <c r="BA628" s="29"/>
      <c r="BB628" s="29"/>
      <c r="BC628" s="29"/>
      <c r="BD628" s="29"/>
      <c r="BE628" s="29"/>
      <c r="BF628" s="29"/>
      <c r="BG628" s="29"/>
      <c r="BH628" s="29"/>
      <c r="BI628" s="29"/>
      <c r="BJ628" s="29"/>
      <c r="BK628" s="29"/>
      <c r="BL628" s="29"/>
      <c r="BM628" s="29"/>
      <c r="BN628" s="29"/>
      <c r="BO628" s="29"/>
      <c r="BP628" s="29"/>
      <c r="BQ628" s="29"/>
      <c r="BR628" s="29"/>
      <c r="BS628" s="30"/>
      <c r="BT628" s="29"/>
      <c r="BU628" s="29"/>
      <c r="BV628" s="29"/>
      <c r="BW628" s="29"/>
      <c r="BX628" s="29"/>
      <c r="BY628" s="29"/>
      <c r="BZ628" s="29"/>
      <c r="CA628" s="333"/>
      <c r="CC628" s="66"/>
      <c r="CD628" s="29"/>
      <c r="CE628" s="342" t="s">
        <v>1576</v>
      </c>
      <c r="CF628" s="342" t="s">
        <v>1575</v>
      </c>
      <c r="CG628" s="30"/>
    </row>
    <row r="629" spans="1:1873" s="118" customFormat="1" ht="12.6" customHeight="1" x14ac:dyDescent="0.2">
      <c r="A629" s="304" t="s">
        <v>2090</v>
      </c>
      <c r="B629" s="223" t="s">
        <v>801</v>
      </c>
      <c r="C629" s="223" t="s">
        <v>1030</v>
      </c>
      <c r="D629" s="450" t="s">
        <v>619</v>
      </c>
      <c r="E629" s="305" t="s">
        <v>1451</v>
      </c>
      <c r="F629" s="548">
        <v>1</v>
      </c>
      <c r="G629" s="450">
        <v>3</v>
      </c>
      <c r="H629" s="549">
        <v>3</v>
      </c>
      <c r="I629" s="223" t="s">
        <v>807</v>
      </c>
      <c r="J629" s="450">
        <v>1987</v>
      </c>
      <c r="K629" s="560" t="s">
        <v>1211</v>
      </c>
      <c r="L629" s="450">
        <v>1989</v>
      </c>
      <c r="M629" s="550">
        <v>-9999</v>
      </c>
      <c r="N629" s="223">
        <v>-9999</v>
      </c>
      <c r="O629" s="29"/>
      <c r="P629" s="550">
        <v>-9999</v>
      </c>
      <c r="Q629" s="450">
        <v>-9999</v>
      </c>
      <c r="R629" s="550"/>
      <c r="S629" s="450"/>
      <c r="T629" s="243">
        <v>-9999</v>
      </c>
      <c r="U629" s="450">
        <v>-9999</v>
      </c>
      <c r="V629" s="450"/>
      <c r="W629" s="243">
        <v>-9999</v>
      </c>
      <c r="X629" s="223">
        <v>-9999</v>
      </c>
      <c r="Y629" s="223"/>
      <c r="Z629" s="561" t="s">
        <v>1702</v>
      </c>
      <c r="AA629" s="425">
        <f t="shared" ref="AA629:AA637" si="59">681*2.47</f>
        <v>1682.0700000000002</v>
      </c>
      <c r="AB629" s="243">
        <v>-9999</v>
      </c>
      <c r="AC629" s="560">
        <v>4.0460000000000003</v>
      </c>
      <c r="AD629" s="560">
        <f t="shared" ref="AD629:AD637" si="60">0.33*10000</f>
        <v>3300</v>
      </c>
      <c r="AE629" s="675" t="s">
        <v>97</v>
      </c>
      <c r="AF629" s="223">
        <v>3</v>
      </c>
      <c r="AG629" s="450">
        <v>-9999</v>
      </c>
      <c r="AH629" s="450">
        <v>-9999</v>
      </c>
      <c r="AI629" s="450">
        <v>-9999</v>
      </c>
      <c r="AJ629" s="450">
        <v>-9999</v>
      </c>
      <c r="AK629" s="450">
        <v>-9999</v>
      </c>
      <c r="AL629" s="450">
        <v>-9999</v>
      </c>
      <c r="AM629" s="450">
        <v>-9999</v>
      </c>
      <c r="AN629" s="223" t="s">
        <v>631</v>
      </c>
      <c r="AO629" s="223">
        <v>-9999</v>
      </c>
      <c r="AP629" s="223">
        <v>-9999</v>
      </c>
      <c r="AQ629" s="223" t="s">
        <v>631</v>
      </c>
      <c r="AR629" s="223">
        <v>0</v>
      </c>
      <c r="AS629" s="223">
        <v>-9999</v>
      </c>
      <c r="AT629" s="223">
        <v>-9999</v>
      </c>
      <c r="AU629" s="223">
        <v>0</v>
      </c>
      <c r="AV629" s="223">
        <v>-9999</v>
      </c>
      <c r="AW629" s="223">
        <v>-9999</v>
      </c>
      <c r="AX629" s="223">
        <v>0</v>
      </c>
      <c r="AY629" s="223">
        <v>-9999</v>
      </c>
      <c r="AZ629" s="223">
        <v>-9999</v>
      </c>
      <c r="BA629" s="223">
        <v>-9999</v>
      </c>
      <c r="BB629" s="223" t="s">
        <v>631</v>
      </c>
      <c r="BC629" s="223">
        <v>-9999</v>
      </c>
      <c r="BD629" s="223">
        <v>-9999</v>
      </c>
      <c r="BE629" s="223">
        <v>-9999</v>
      </c>
      <c r="BF629" s="223">
        <v>-9999</v>
      </c>
      <c r="BG629" s="223">
        <v>-9999</v>
      </c>
      <c r="BH629" s="223">
        <v>-9999</v>
      </c>
      <c r="BI629" s="223" t="s">
        <v>1057</v>
      </c>
      <c r="BJ629" s="450">
        <v>-9999</v>
      </c>
      <c r="BK629" s="450">
        <v>-9999</v>
      </c>
      <c r="BL629" s="450">
        <v>-9999</v>
      </c>
      <c r="BM629" s="450">
        <v>-9999</v>
      </c>
      <c r="BN629" s="450">
        <v>-9999</v>
      </c>
      <c r="BO629" s="450">
        <v>-9999</v>
      </c>
      <c r="BP629" s="450">
        <v>-9999</v>
      </c>
      <c r="BQ629" s="450">
        <v>-9999</v>
      </c>
      <c r="BR629" s="450">
        <v>-9999</v>
      </c>
      <c r="BS629" s="242">
        <v>-9999</v>
      </c>
      <c r="BT629" s="223">
        <v>-9999</v>
      </c>
      <c r="BU629" s="450">
        <v>-9999</v>
      </c>
      <c r="BV629" s="450">
        <v>-9999</v>
      </c>
      <c r="BW629" s="450"/>
      <c r="BX629" s="450">
        <v>-9999</v>
      </c>
      <c r="BY629" s="450">
        <v>-9999</v>
      </c>
      <c r="BZ629" s="450">
        <v>-9999</v>
      </c>
      <c r="CA629" s="334" t="s">
        <v>797</v>
      </c>
      <c r="CB629" s="542"/>
      <c r="CC629" s="78">
        <v>1</v>
      </c>
      <c r="CD629" s="76">
        <v>3</v>
      </c>
      <c r="CE629" s="343"/>
      <c r="CF629" s="343"/>
      <c r="CG629" s="160">
        <v>3</v>
      </c>
    </row>
    <row r="630" spans="1:1873" s="23" customFormat="1" ht="25.5" x14ac:dyDescent="0.2">
      <c r="A630" s="304" t="s">
        <v>2090</v>
      </c>
      <c r="B630" s="223" t="s">
        <v>801</v>
      </c>
      <c r="C630" s="223" t="s">
        <v>1030</v>
      </c>
      <c r="D630" s="223" t="s">
        <v>619</v>
      </c>
      <c r="E630" s="305" t="s">
        <v>1451</v>
      </c>
      <c r="F630" s="241">
        <v>1</v>
      </c>
      <c r="G630" s="223">
        <v>4</v>
      </c>
      <c r="H630" s="242">
        <v>4</v>
      </c>
      <c r="I630" s="223" t="s">
        <v>807</v>
      </c>
      <c r="J630" s="450">
        <v>1987</v>
      </c>
      <c r="K630" s="560" t="s">
        <v>1211</v>
      </c>
      <c r="L630" s="450">
        <v>1990</v>
      </c>
      <c r="M630" s="243">
        <v>-9999</v>
      </c>
      <c r="N630" s="223">
        <v>-9999</v>
      </c>
      <c r="O630" s="29"/>
      <c r="P630" s="243">
        <v>-9999</v>
      </c>
      <c r="Q630" s="223">
        <v>-9999</v>
      </c>
      <c r="R630" s="243"/>
      <c r="S630" s="223"/>
      <c r="T630" s="243">
        <v>-9999</v>
      </c>
      <c r="U630" s="223">
        <v>-9999</v>
      </c>
      <c r="V630" s="223"/>
      <c r="W630" s="243">
        <v>-9999</v>
      </c>
      <c r="X630" s="223">
        <v>-9999</v>
      </c>
      <c r="Y630" s="223"/>
      <c r="Z630" s="561" t="s">
        <v>1702</v>
      </c>
      <c r="AA630" s="425">
        <f t="shared" si="59"/>
        <v>1682.0700000000002</v>
      </c>
      <c r="AB630" s="243">
        <v>-9999</v>
      </c>
      <c r="AC630" s="245">
        <v>4.0460000000000003</v>
      </c>
      <c r="AD630" s="560">
        <f t="shared" si="60"/>
        <v>3300</v>
      </c>
      <c r="AE630" s="675" t="s">
        <v>97</v>
      </c>
      <c r="AF630" s="223">
        <v>3</v>
      </c>
      <c r="AG630" s="223">
        <v>-9999</v>
      </c>
      <c r="AH630" s="223">
        <v>-9999</v>
      </c>
      <c r="AI630" s="223">
        <v>-9999</v>
      </c>
      <c r="AJ630" s="223">
        <v>-9999</v>
      </c>
      <c r="AK630" s="223">
        <v>-9999</v>
      </c>
      <c r="AL630" s="223">
        <v>-9999</v>
      </c>
      <c r="AM630" s="223">
        <v>-9999</v>
      </c>
      <c r="AN630" s="223" t="s">
        <v>631</v>
      </c>
      <c r="AO630" s="223">
        <v>-9999</v>
      </c>
      <c r="AP630" s="223">
        <v>-9999</v>
      </c>
      <c r="AQ630" s="223" t="s">
        <v>631</v>
      </c>
      <c r="AR630" s="223">
        <v>0</v>
      </c>
      <c r="AS630" s="223">
        <v>-9999</v>
      </c>
      <c r="AT630" s="223">
        <v>-9999</v>
      </c>
      <c r="AU630" s="223">
        <v>0</v>
      </c>
      <c r="AV630" s="223">
        <v>-9999</v>
      </c>
      <c r="AW630" s="223">
        <v>-9999</v>
      </c>
      <c r="AX630" s="223">
        <v>0</v>
      </c>
      <c r="AY630" s="223">
        <v>-9999</v>
      </c>
      <c r="AZ630" s="223">
        <v>-9999</v>
      </c>
      <c r="BA630" s="223">
        <v>-9999</v>
      </c>
      <c r="BB630" s="223" t="s">
        <v>631</v>
      </c>
      <c r="BC630" s="223">
        <v>-9999</v>
      </c>
      <c r="BD630" s="223">
        <v>-9999</v>
      </c>
      <c r="BE630" s="223">
        <v>-9999</v>
      </c>
      <c r="BF630" s="223">
        <v>-9999</v>
      </c>
      <c r="BG630" s="223">
        <v>-9999</v>
      </c>
      <c r="BH630" s="223">
        <v>-9999</v>
      </c>
      <c r="BI630" s="223" t="s">
        <v>1057</v>
      </c>
      <c r="BJ630" s="223">
        <v>-9999</v>
      </c>
      <c r="BK630" s="223">
        <v>-9999</v>
      </c>
      <c r="BL630" s="223">
        <v>-9999</v>
      </c>
      <c r="BM630" s="223">
        <v>-9999</v>
      </c>
      <c r="BN630" s="223">
        <v>-9999</v>
      </c>
      <c r="BO630" s="223">
        <v>-9999</v>
      </c>
      <c r="BP630" s="223">
        <v>-9999</v>
      </c>
      <c r="BQ630" s="223">
        <v>-9999</v>
      </c>
      <c r="BR630" s="223">
        <v>-9999</v>
      </c>
      <c r="BS630" s="242">
        <v>-9999</v>
      </c>
      <c r="BT630" s="223">
        <v>-9999</v>
      </c>
      <c r="BU630" s="223">
        <v>-9999</v>
      </c>
      <c r="BV630" s="223">
        <v>-9999</v>
      </c>
      <c r="BW630" s="223"/>
      <c r="BX630" s="450">
        <v>-9999</v>
      </c>
      <c r="BY630" s="223">
        <v>-9999</v>
      </c>
      <c r="BZ630" s="223">
        <v>-9999</v>
      </c>
      <c r="CA630" s="334" t="s">
        <v>797</v>
      </c>
      <c r="CB630" s="247"/>
      <c r="CC630" s="83">
        <v>1</v>
      </c>
      <c r="CD630" s="32">
        <v>4</v>
      </c>
      <c r="CE630" s="292"/>
      <c r="CF630" s="292"/>
      <c r="CG630" s="84">
        <v>4</v>
      </c>
    </row>
    <row r="631" spans="1:1873" s="23" customFormat="1" ht="25.5" x14ac:dyDescent="0.2">
      <c r="A631" s="304" t="s">
        <v>2090</v>
      </c>
      <c r="B631" s="223" t="s">
        <v>801</v>
      </c>
      <c r="C631" s="223" t="s">
        <v>1030</v>
      </c>
      <c r="D631" s="223" t="s">
        <v>619</v>
      </c>
      <c r="E631" s="305" t="s">
        <v>1451</v>
      </c>
      <c r="F631" s="241">
        <v>1</v>
      </c>
      <c r="G631" s="223">
        <v>5</v>
      </c>
      <c r="H631" s="242">
        <v>5</v>
      </c>
      <c r="I631" s="223" t="s">
        <v>807</v>
      </c>
      <c r="J631" s="450">
        <v>1987</v>
      </c>
      <c r="K631" s="560" t="s">
        <v>1211</v>
      </c>
      <c r="L631" s="450">
        <v>1991</v>
      </c>
      <c r="M631" s="243">
        <v>-9999</v>
      </c>
      <c r="N631" s="223">
        <v>-9999</v>
      </c>
      <c r="O631" s="29"/>
      <c r="P631" s="244">
        <f t="shared" ref="P631:P637" si="61">+T631*G631</f>
        <v>18.25</v>
      </c>
      <c r="Q631" s="223">
        <v>-9999</v>
      </c>
      <c r="R631" s="243"/>
      <c r="S631" s="223"/>
      <c r="T631" s="243">
        <v>3.65</v>
      </c>
      <c r="U631" s="223">
        <v>-9999</v>
      </c>
      <c r="V631" s="223"/>
      <c r="W631" s="243">
        <v>-9999</v>
      </c>
      <c r="X631" s="223">
        <v>-9999</v>
      </c>
      <c r="Y631" s="223"/>
      <c r="Z631" s="561" t="s">
        <v>1702</v>
      </c>
      <c r="AA631" s="425">
        <f t="shared" si="59"/>
        <v>1682.0700000000002</v>
      </c>
      <c r="AB631" s="243">
        <v>-9999</v>
      </c>
      <c r="AC631" s="245">
        <v>4.0460000000000003</v>
      </c>
      <c r="AD631" s="560">
        <f t="shared" si="60"/>
        <v>3300</v>
      </c>
      <c r="AE631" s="675" t="s">
        <v>97</v>
      </c>
      <c r="AF631" s="223">
        <v>3</v>
      </c>
      <c r="AG631" s="223">
        <v>-9999</v>
      </c>
      <c r="AH631" s="223">
        <v>-9999</v>
      </c>
      <c r="AI631" s="223">
        <v>-9999</v>
      </c>
      <c r="AJ631" s="223">
        <v>-9999</v>
      </c>
      <c r="AK631" s="223">
        <v>-9999</v>
      </c>
      <c r="AL631" s="223">
        <v>-9999</v>
      </c>
      <c r="AM631" s="223">
        <v>-9999</v>
      </c>
      <c r="AN631" s="223" t="s">
        <v>631</v>
      </c>
      <c r="AO631" s="223">
        <v>-9999</v>
      </c>
      <c r="AP631" s="223">
        <v>-9999</v>
      </c>
      <c r="AQ631" s="223" t="s">
        <v>631</v>
      </c>
      <c r="AR631" s="223">
        <v>0</v>
      </c>
      <c r="AS631" s="223">
        <v>-9999</v>
      </c>
      <c r="AT631" s="223">
        <v>-9999</v>
      </c>
      <c r="AU631" s="223">
        <v>0</v>
      </c>
      <c r="AV631" s="223">
        <v>-9999</v>
      </c>
      <c r="AW631" s="223">
        <v>-9999</v>
      </c>
      <c r="AX631" s="223">
        <v>0</v>
      </c>
      <c r="AY631" s="223">
        <v>-9999</v>
      </c>
      <c r="AZ631" s="223">
        <v>-9999</v>
      </c>
      <c r="BA631" s="223">
        <v>-9999</v>
      </c>
      <c r="BB631" s="223" t="s">
        <v>631</v>
      </c>
      <c r="BC631" s="223">
        <v>-9999</v>
      </c>
      <c r="BD631" s="223">
        <v>-9999</v>
      </c>
      <c r="BE631" s="223">
        <v>-9999</v>
      </c>
      <c r="BF631" s="223">
        <v>-9999</v>
      </c>
      <c r="BG631" s="223">
        <v>-9999</v>
      </c>
      <c r="BH631" s="223">
        <v>-9999</v>
      </c>
      <c r="BI631" s="223" t="s">
        <v>1057</v>
      </c>
      <c r="BJ631" s="223">
        <v>-9999</v>
      </c>
      <c r="BK631" s="223">
        <v>-9999</v>
      </c>
      <c r="BL631" s="223">
        <v>-9999</v>
      </c>
      <c r="BM631" s="223">
        <v>-9999</v>
      </c>
      <c r="BN631" s="223">
        <v>-9999</v>
      </c>
      <c r="BO631" s="223">
        <v>-9999</v>
      </c>
      <c r="BP631" s="223">
        <v>-9999</v>
      </c>
      <c r="BQ631" s="223">
        <v>-9999</v>
      </c>
      <c r="BR631" s="223">
        <v>-9999</v>
      </c>
      <c r="BS631" s="242">
        <v>-9999</v>
      </c>
      <c r="BT631" s="223">
        <v>-9999</v>
      </c>
      <c r="BU631" s="223">
        <v>-9999</v>
      </c>
      <c r="BV631" s="223">
        <v>-9999</v>
      </c>
      <c r="BW631" s="223"/>
      <c r="BX631" s="450">
        <v>-9999</v>
      </c>
      <c r="BY631" s="223">
        <v>-9999</v>
      </c>
      <c r="BZ631" s="223">
        <v>-9999</v>
      </c>
      <c r="CA631" s="334" t="s">
        <v>797</v>
      </c>
      <c r="CB631" s="247"/>
      <c r="CC631" s="83">
        <v>1</v>
      </c>
      <c r="CD631" s="32">
        <v>5</v>
      </c>
      <c r="CE631" s="292">
        <v>3.65</v>
      </c>
      <c r="CF631" s="292"/>
      <c r="CG631" s="84">
        <v>5</v>
      </c>
    </row>
    <row r="632" spans="1:1873" s="23" customFormat="1" ht="25.5" x14ac:dyDescent="0.2">
      <c r="A632" s="304" t="s">
        <v>2090</v>
      </c>
      <c r="B632" s="223" t="s">
        <v>801</v>
      </c>
      <c r="C632" s="223" t="s">
        <v>1030</v>
      </c>
      <c r="D632" s="223" t="s">
        <v>619</v>
      </c>
      <c r="E632" s="305" t="s">
        <v>1451</v>
      </c>
      <c r="F632" s="241">
        <v>1</v>
      </c>
      <c r="G632" s="223">
        <v>6</v>
      </c>
      <c r="H632" s="242">
        <v>6</v>
      </c>
      <c r="I632" s="223" t="s">
        <v>807</v>
      </c>
      <c r="J632" s="450">
        <v>1987</v>
      </c>
      <c r="K632" s="560" t="s">
        <v>1211</v>
      </c>
      <c r="L632" s="450">
        <v>1992</v>
      </c>
      <c r="M632" s="243">
        <v>-9999</v>
      </c>
      <c r="N632" s="223">
        <v>-9999</v>
      </c>
      <c r="O632" s="29"/>
      <c r="P632" s="244">
        <f t="shared" si="61"/>
        <v>25.56</v>
      </c>
      <c r="Q632" s="223">
        <v>-9999</v>
      </c>
      <c r="R632" s="243"/>
      <c r="S632" s="223"/>
      <c r="T632" s="243">
        <v>4.26</v>
      </c>
      <c r="U632" s="223">
        <v>-9999</v>
      </c>
      <c r="V632" s="223"/>
      <c r="W632" s="285">
        <f t="shared" ref="W632:W637" si="62">+P632-P631</f>
        <v>7.3099999999999987</v>
      </c>
      <c r="X632" s="223">
        <v>-9999</v>
      </c>
      <c r="Y632" s="223"/>
      <c r="Z632" s="561" t="s">
        <v>1702</v>
      </c>
      <c r="AA632" s="425">
        <f t="shared" si="59"/>
        <v>1682.0700000000002</v>
      </c>
      <c r="AB632" s="243">
        <v>-9999</v>
      </c>
      <c r="AC632" s="245">
        <v>4.0460000000000003</v>
      </c>
      <c r="AD632" s="560">
        <f t="shared" si="60"/>
        <v>3300</v>
      </c>
      <c r="AE632" s="675" t="s">
        <v>97</v>
      </c>
      <c r="AF632" s="223">
        <v>3</v>
      </c>
      <c r="AG632" s="223">
        <v>-9999</v>
      </c>
      <c r="AH632" s="223">
        <v>-9999</v>
      </c>
      <c r="AI632" s="223">
        <v>-9999</v>
      </c>
      <c r="AJ632" s="223">
        <v>-9999</v>
      </c>
      <c r="AK632" s="223">
        <v>-9999</v>
      </c>
      <c r="AL632" s="223">
        <v>-9999</v>
      </c>
      <c r="AM632" s="223">
        <v>-9999</v>
      </c>
      <c r="AN632" s="223" t="s">
        <v>631</v>
      </c>
      <c r="AO632" s="223">
        <v>-9999</v>
      </c>
      <c r="AP632" s="223">
        <v>-9999</v>
      </c>
      <c r="AQ632" s="223" t="s">
        <v>631</v>
      </c>
      <c r="AR632" s="223">
        <v>0</v>
      </c>
      <c r="AS632" s="223">
        <v>-9999</v>
      </c>
      <c r="AT632" s="223">
        <v>-9999</v>
      </c>
      <c r="AU632" s="223">
        <v>0</v>
      </c>
      <c r="AV632" s="223">
        <v>-9999</v>
      </c>
      <c r="AW632" s="223">
        <v>-9999</v>
      </c>
      <c r="AX632" s="223">
        <v>0</v>
      </c>
      <c r="AY632" s="223">
        <v>-9999</v>
      </c>
      <c r="AZ632" s="223">
        <v>-9999</v>
      </c>
      <c r="BA632" s="223">
        <v>-9999</v>
      </c>
      <c r="BB632" s="223" t="s">
        <v>631</v>
      </c>
      <c r="BC632" s="223">
        <v>-9999</v>
      </c>
      <c r="BD632" s="223">
        <v>-9999</v>
      </c>
      <c r="BE632" s="223">
        <v>-9999</v>
      </c>
      <c r="BF632" s="223">
        <v>-9999</v>
      </c>
      <c r="BG632" s="223">
        <v>-9999</v>
      </c>
      <c r="BH632" s="223">
        <v>-9999</v>
      </c>
      <c r="BI632" s="223" t="s">
        <v>1057</v>
      </c>
      <c r="BJ632" s="223">
        <v>-9999</v>
      </c>
      <c r="BK632" s="223">
        <v>-9999</v>
      </c>
      <c r="BL632" s="223">
        <v>-9999</v>
      </c>
      <c r="BM632" s="223">
        <v>-9999</v>
      </c>
      <c r="BN632" s="223">
        <v>-9999</v>
      </c>
      <c r="BO632" s="223">
        <v>-9999</v>
      </c>
      <c r="BP632" s="223">
        <v>-9999</v>
      </c>
      <c r="BQ632" s="223">
        <v>-9999</v>
      </c>
      <c r="BR632" s="223">
        <v>-9999</v>
      </c>
      <c r="BS632" s="242">
        <v>-9999</v>
      </c>
      <c r="BT632" s="223">
        <v>-9999</v>
      </c>
      <c r="BU632" s="223">
        <v>-9999</v>
      </c>
      <c r="BV632" s="223">
        <v>-9999</v>
      </c>
      <c r="BW632" s="223"/>
      <c r="BX632" s="450">
        <v>-9999</v>
      </c>
      <c r="BY632" s="223">
        <v>-9999</v>
      </c>
      <c r="BZ632" s="223">
        <v>-9999</v>
      </c>
      <c r="CA632" s="334" t="s">
        <v>797</v>
      </c>
      <c r="CB632" s="247"/>
      <c r="CC632" s="83">
        <v>1</v>
      </c>
      <c r="CD632" s="32">
        <v>6</v>
      </c>
      <c r="CE632" s="292">
        <v>4.26</v>
      </c>
      <c r="CF632" s="292">
        <v>7.3099999999999987</v>
      </c>
      <c r="CG632" s="84">
        <v>6</v>
      </c>
    </row>
    <row r="633" spans="1:1873" s="23" customFormat="1" ht="25.5" x14ac:dyDescent="0.2">
      <c r="A633" s="304" t="s">
        <v>2090</v>
      </c>
      <c r="B633" s="223" t="s">
        <v>801</v>
      </c>
      <c r="C633" s="223" t="s">
        <v>1030</v>
      </c>
      <c r="D633" s="223" t="s">
        <v>619</v>
      </c>
      <c r="E633" s="305" t="s">
        <v>1451</v>
      </c>
      <c r="F633" s="241">
        <v>1</v>
      </c>
      <c r="G633" s="223">
        <v>7</v>
      </c>
      <c r="H633" s="242">
        <v>7</v>
      </c>
      <c r="I633" s="223" t="s">
        <v>807</v>
      </c>
      <c r="J633" s="450">
        <v>1987</v>
      </c>
      <c r="K633" s="560" t="s">
        <v>1211</v>
      </c>
      <c r="L633" s="450">
        <v>1993</v>
      </c>
      <c r="M633" s="243">
        <v>-9999</v>
      </c>
      <c r="N633" s="223">
        <v>-9999</v>
      </c>
      <c r="O633" s="29"/>
      <c r="P633" s="244">
        <f t="shared" si="61"/>
        <v>53.34</v>
      </c>
      <c r="Q633" s="223">
        <v>-9999</v>
      </c>
      <c r="R633" s="243"/>
      <c r="S633" s="223"/>
      <c r="T633" s="243">
        <v>7.62</v>
      </c>
      <c r="U633" s="223">
        <v>-9999</v>
      </c>
      <c r="V633" s="223"/>
      <c r="W633" s="285">
        <f t="shared" si="62"/>
        <v>27.780000000000005</v>
      </c>
      <c r="X633" s="223">
        <v>-9999</v>
      </c>
      <c r="Y633" s="223"/>
      <c r="Z633" s="561" t="s">
        <v>1702</v>
      </c>
      <c r="AA633" s="425">
        <f t="shared" si="59"/>
        <v>1682.0700000000002</v>
      </c>
      <c r="AB633" s="243">
        <v>-9999</v>
      </c>
      <c r="AC633" s="245">
        <v>4.0460000000000003</v>
      </c>
      <c r="AD633" s="560">
        <f t="shared" si="60"/>
        <v>3300</v>
      </c>
      <c r="AE633" s="675" t="s">
        <v>97</v>
      </c>
      <c r="AF633" s="223">
        <v>3</v>
      </c>
      <c r="AG633" s="223">
        <v>-9999</v>
      </c>
      <c r="AH633" s="223">
        <v>-9999</v>
      </c>
      <c r="AI633" s="223">
        <v>-9999</v>
      </c>
      <c r="AJ633" s="223">
        <v>-9999</v>
      </c>
      <c r="AK633" s="223">
        <v>-9999</v>
      </c>
      <c r="AL633" s="223">
        <v>-9999</v>
      </c>
      <c r="AM633" s="223">
        <v>-9999</v>
      </c>
      <c r="AN633" s="223" t="s">
        <v>631</v>
      </c>
      <c r="AO633" s="223">
        <v>-9999</v>
      </c>
      <c r="AP633" s="223">
        <v>-9999</v>
      </c>
      <c r="AQ633" s="223" t="s">
        <v>631</v>
      </c>
      <c r="AR633" s="223">
        <v>0</v>
      </c>
      <c r="AS633" s="223">
        <v>-9999</v>
      </c>
      <c r="AT633" s="223">
        <v>-9999</v>
      </c>
      <c r="AU633" s="223">
        <v>0</v>
      </c>
      <c r="AV633" s="223">
        <v>-9999</v>
      </c>
      <c r="AW633" s="223">
        <v>-9999</v>
      </c>
      <c r="AX633" s="223">
        <v>0</v>
      </c>
      <c r="AY633" s="223">
        <v>-9999</v>
      </c>
      <c r="AZ633" s="223">
        <v>-9999</v>
      </c>
      <c r="BA633" s="223">
        <v>-9999</v>
      </c>
      <c r="BB633" s="223" t="s">
        <v>631</v>
      </c>
      <c r="BC633" s="223">
        <v>-9999</v>
      </c>
      <c r="BD633" s="223">
        <v>-9999</v>
      </c>
      <c r="BE633" s="223">
        <v>-9999</v>
      </c>
      <c r="BF633" s="223">
        <v>-9999</v>
      </c>
      <c r="BG633" s="223">
        <v>-9999</v>
      </c>
      <c r="BH633" s="223">
        <v>-9999</v>
      </c>
      <c r="BI633" s="223" t="s">
        <v>1057</v>
      </c>
      <c r="BJ633" s="223">
        <v>-9999</v>
      </c>
      <c r="BK633" s="223">
        <v>-9999</v>
      </c>
      <c r="BL633" s="223">
        <v>-9999</v>
      </c>
      <c r="BM633" s="223">
        <v>-9999</v>
      </c>
      <c r="BN633" s="223">
        <v>-9999</v>
      </c>
      <c r="BO633" s="223">
        <v>-9999</v>
      </c>
      <c r="BP633" s="223">
        <v>-9999</v>
      </c>
      <c r="BQ633" s="223">
        <v>-9999</v>
      </c>
      <c r="BR633" s="223">
        <v>-9999</v>
      </c>
      <c r="BS633" s="242">
        <v>-9999</v>
      </c>
      <c r="BT633" s="223">
        <v>-9999</v>
      </c>
      <c r="BU633" s="223">
        <v>-9999</v>
      </c>
      <c r="BV633" s="223">
        <v>-9999</v>
      </c>
      <c r="BW633" s="223"/>
      <c r="BX633" s="450">
        <v>-9999</v>
      </c>
      <c r="BY633" s="223">
        <v>-9999</v>
      </c>
      <c r="BZ633" s="223">
        <v>-9999</v>
      </c>
      <c r="CA633" s="334" t="s">
        <v>797</v>
      </c>
      <c r="CB633" s="247"/>
      <c r="CC633" s="83">
        <v>1</v>
      </c>
      <c r="CD633" s="32">
        <v>7</v>
      </c>
      <c r="CE633" s="292">
        <v>7.62</v>
      </c>
      <c r="CF633" s="292">
        <v>27.780000000000005</v>
      </c>
      <c r="CG633" s="84">
        <v>7</v>
      </c>
    </row>
    <row r="634" spans="1:1873" s="23" customFormat="1" ht="25.5" x14ac:dyDescent="0.2">
      <c r="A634" s="304" t="s">
        <v>2090</v>
      </c>
      <c r="B634" s="223" t="s">
        <v>801</v>
      </c>
      <c r="C634" s="223" t="s">
        <v>1030</v>
      </c>
      <c r="D634" s="223" t="s">
        <v>619</v>
      </c>
      <c r="E634" s="305" t="s">
        <v>1451</v>
      </c>
      <c r="F634" s="241">
        <v>1</v>
      </c>
      <c r="G634" s="223">
        <v>8</v>
      </c>
      <c r="H634" s="242">
        <v>8</v>
      </c>
      <c r="I634" s="223" t="s">
        <v>807</v>
      </c>
      <c r="J634" s="450">
        <v>1987</v>
      </c>
      <c r="K634" s="560" t="s">
        <v>1211</v>
      </c>
      <c r="L634" s="450">
        <v>1994</v>
      </c>
      <c r="M634" s="243">
        <v>-9999</v>
      </c>
      <c r="N634" s="223">
        <v>-9999</v>
      </c>
      <c r="O634" s="29"/>
      <c r="P634" s="244">
        <f t="shared" si="61"/>
        <v>65.44</v>
      </c>
      <c r="Q634" s="223">
        <v>-9999</v>
      </c>
      <c r="R634" s="243"/>
      <c r="S634" s="223"/>
      <c r="T634" s="243">
        <v>8.18</v>
      </c>
      <c r="U634" s="223">
        <v>-9999</v>
      </c>
      <c r="V634" s="223"/>
      <c r="W634" s="285">
        <f t="shared" si="62"/>
        <v>12.099999999999994</v>
      </c>
      <c r="X634" s="223">
        <v>-9999</v>
      </c>
      <c r="Y634" s="223"/>
      <c r="Z634" s="561" t="s">
        <v>1702</v>
      </c>
      <c r="AA634" s="425">
        <f t="shared" si="59"/>
        <v>1682.0700000000002</v>
      </c>
      <c r="AB634" s="243">
        <v>-9999</v>
      </c>
      <c r="AC634" s="245">
        <v>4.0460000000000003</v>
      </c>
      <c r="AD634" s="560">
        <f t="shared" si="60"/>
        <v>3300</v>
      </c>
      <c r="AE634" s="675" t="s">
        <v>97</v>
      </c>
      <c r="AF634" s="223">
        <v>3</v>
      </c>
      <c r="AG634" s="223">
        <v>-9999</v>
      </c>
      <c r="AH634" s="223">
        <v>-9999</v>
      </c>
      <c r="AI634" s="223">
        <v>-9999</v>
      </c>
      <c r="AJ634" s="223">
        <v>-9999</v>
      </c>
      <c r="AK634" s="223">
        <v>-9999</v>
      </c>
      <c r="AL634" s="223">
        <v>-9999</v>
      </c>
      <c r="AM634" s="223">
        <v>-9999</v>
      </c>
      <c r="AN634" s="223" t="s">
        <v>631</v>
      </c>
      <c r="AO634" s="223">
        <v>-9999</v>
      </c>
      <c r="AP634" s="223">
        <v>-9999</v>
      </c>
      <c r="AQ634" s="223" t="s">
        <v>631</v>
      </c>
      <c r="AR634" s="223">
        <v>0</v>
      </c>
      <c r="AS634" s="223">
        <v>-9999</v>
      </c>
      <c r="AT634" s="223">
        <v>-9999</v>
      </c>
      <c r="AU634" s="223">
        <v>0</v>
      </c>
      <c r="AV634" s="223">
        <v>-9999</v>
      </c>
      <c r="AW634" s="223">
        <v>-9999</v>
      </c>
      <c r="AX634" s="223">
        <v>0</v>
      </c>
      <c r="AY634" s="223">
        <v>-9999</v>
      </c>
      <c r="AZ634" s="223">
        <v>-9999</v>
      </c>
      <c r="BA634" s="223">
        <v>-9999</v>
      </c>
      <c r="BB634" s="223" t="s">
        <v>631</v>
      </c>
      <c r="BC634" s="223">
        <v>-9999</v>
      </c>
      <c r="BD634" s="223">
        <v>-9999</v>
      </c>
      <c r="BE634" s="223">
        <v>-9999</v>
      </c>
      <c r="BF634" s="223">
        <v>-9999</v>
      </c>
      <c r="BG634" s="223">
        <v>-9999</v>
      </c>
      <c r="BH634" s="223">
        <v>-9999</v>
      </c>
      <c r="BI634" s="223" t="s">
        <v>1057</v>
      </c>
      <c r="BJ634" s="223">
        <v>-9999</v>
      </c>
      <c r="BK634" s="223">
        <v>-9999</v>
      </c>
      <c r="BL634" s="223">
        <v>-9999</v>
      </c>
      <c r="BM634" s="223">
        <v>-9999</v>
      </c>
      <c r="BN634" s="223">
        <v>-9999</v>
      </c>
      <c r="BO634" s="223">
        <v>-9999</v>
      </c>
      <c r="BP634" s="223">
        <v>-9999</v>
      </c>
      <c r="BQ634" s="223">
        <v>-9999</v>
      </c>
      <c r="BR634" s="223">
        <v>-9999</v>
      </c>
      <c r="BS634" s="242">
        <v>-9999</v>
      </c>
      <c r="BT634" s="223">
        <v>-9999</v>
      </c>
      <c r="BU634" s="223">
        <v>-9999</v>
      </c>
      <c r="BV634" s="223">
        <v>-9999</v>
      </c>
      <c r="BW634" s="223"/>
      <c r="BX634" s="450">
        <v>-9999</v>
      </c>
      <c r="BY634" s="223">
        <v>-9999</v>
      </c>
      <c r="BZ634" s="223">
        <v>-9999</v>
      </c>
      <c r="CA634" s="334" t="s">
        <v>797</v>
      </c>
      <c r="CB634" s="247"/>
      <c r="CC634" s="83">
        <v>1</v>
      </c>
      <c r="CD634" s="32">
        <v>8</v>
      </c>
      <c r="CE634" s="292">
        <v>8.18</v>
      </c>
      <c r="CF634" s="292">
        <v>12.099999999999994</v>
      </c>
      <c r="CG634" s="84">
        <v>8</v>
      </c>
    </row>
    <row r="635" spans="1:1873" s="23" customFormat="1" ht="25.5" x14ac:dyDescent="0.2">
      <c r="A635" s="304" t="s">
        <v>2090</v>
      </c>
      <c r="B635" s="223" t="s">
        <v>801</v>
      </c>
      <c r="C635" s="223" t="s">
        <v>1030</v>
      </c>
      <c r="D635" s="223" t="s">
        <v>619</v>
      </c>
      <c r="E635" s="305" t="s">
        <v>1451</v>
      </c>
      <c r="F635" s="241">
        <v>1</v>
      </c>
      <c r="G635" s="223">
        <v>9</v>
      </c>
      <c r="H635" s="242">
        <v>9</v>
      </c>
      <c r="I635" s="223" t="s">
        <v>807</v>
      </c>
      <c r="J635" s="450">
        <v>1987</v>
      </c>
      <c r="K635" s="560" t="s">
        <v>1211</v>
      </c>
      <c r="L635" s="450">
        <v>1995</v>
      </c>
      <c r="M635" s="243">
        <v>-9999</v>
      </c>
      <c r="N635" s="223">
        <v>-9999</v>
      </c>
      <c r="O635" s="29"/>
      <c r="P635" s="244">
        <f t="shared" si="61"/>
        <v>76.679999999999993</v>
      </c>
      <c r="Q635" s="223">
        <v>-9999</v>
      </c>
      <c r="R635" s="243"/>
      <c r="S635" s="223"/>
      <c r="T635" s="243">
        <v>8.52</v>
      </c>
      <c r="U635" s="223">
        <v>-9999</v>
      </c>
      <c r="V635" s="223"/>
      <c r="W635" s="285">
        <f t="shared" si="62"/>
        <v>11.239999999999995</v>
      </c>
      <c r="X635" s="223">
        <v>-9999</v>
      </c>
      <c r="Y635" s="223"/>
      <c r="Z635" s="561" t="s">
        <v>1702</v>
      </c>
      <c r="AA635" s="425">
        <f t="shared" si="59"/>
        <v>1682.0700000000002</v>
      </c>
      <c r="AB635" s="243">
        <v>-9999</v>
      </c>
      <c r="AC635" s="245">
        <v>4.0460000000000003</v>
      </c>
      <c r="AD635" s="560">
        <f t="shared" si="60"/>
        <v>3300</v>
      </c>
      <c r="AE635" s="675" t="s">
        <v>97</v>
      </c>
      <c r="AF635" s="223">
        <v>3</v>
      </c>
      <c r="AG635" s="223">
        <v>-9999</v>
      </c>
      <c r="AH635" s="223">
        <v>-9999</v>
      </c>
      <c r="AI635" s="223">
        <v>-9999</v>
      </c>
      <c r="AJ635" s="223">
        <v>-9999</v>
      </c>
      <c r="AK635" s="223">
        <v>-9999</v>
      </c>
      <c r="AL635" s="223">
        <v>-9999</v>
      </c>
      <c r="AM635" s="223">
        <v>-9999</v>
      </c>
      <c r="AN635" s="223" t="s">
        <v>631</v>
      </c>
      <c r="AO635" s="223">
        <v>-9999</v>
      </c>
      <c r="AP635" s="223">
        <v>-9999</v>
      </c>
      <c r="AQ635" s="223" t="s">
        <v>631</v>
      </c>
      <c r="AR635" s="223">
        <v>0</v>
      </c>
      <c r="AS635" s="223">
        <v>-9999</v>
      </c>
      <c r="AT635" s="223">
        <v>-9999</v>
      </c>
      <c r="AU635" s="223">
        <v>0</v>
      </c>
      <c r="AV635" s="223">
        <v>-9999</v>
      </c>
      <c r="AW635" s="223">
        <v>-9999</v>
      </c>
      <c r="AX635" s="223">
        <v>0</v>
      </c>
      <c r="AY635" s="223">
        <v>-9999</v>
      </c>
      <c r="AZ635" s="223">
        <v>-9999</v>
      </c>
      <c r="BA635" s="223">
        <v>-9999</v>
      </c>
      <c r="BB635" s="223" t="s">
        <v>631</v>
      </c>
      <c r="BC635" s="223">
        <v>-9999</v>
      </c>
      <c r="BD635" s="223">
        <v>-9999</v>
      </c>
      <c r="BE635" s="223">
        <v>-9999</v>
      </c>
      <c r="BF635" s="223">
        <v>-9999</v>
      </c>
      <c r="BG635" s="223">
        <v>-9999</v>
      </c>
      <c r="BH635" s="223">
        <v>-9999</v>
      </c>
      <c r="BI635" s="223" t="s">
        <v>1057</v>
      </c>
      <c r="BJ635" s="223">
        <v>-9999</v>
      </c>
      <c r="BK635" s="223">
        <v>-9999</v>
      </c>
      <c r="BL635" s="223">
        <v>-9999</v>
      </c>
      <c r="BM635" s="223">
        <v>-9999</v>
      </c>
      <c r="BN635" s="223">
        <v>-9999</v>
      </c>
      <c r="BO635" s="223">
        <v>-9999</v>
      </c>
      <c r="BP635" s="223">
        <v>-9999</v>
      </c>
      <c r="BQ635" s="223">
        <v>-9999</v>
      </c>
      <c r="BR635" s="223">
        <v>-9999</v>
      </c>
      <c r="BS635" s="242">
        <v>-9999</v>
      </c>
      <c r="BT635" s="223">
        <v>-9999</v>
      </c>
      <c r="BU635" s="223">
        <v>-9999</v>
      </c>
      <c r="BV635" s="223">
        <v>-9999</v>
      </c>
      <c r="BW635" s="223"/>
      <c r="BX635" s="450">
        <v>-9999</v>
      </c>
      <c r="BY635" s="223">
        <v>-9999</v>
      </c>
      <c r="BZ635" s="223">
        <v>-9999</v>
      </c>
      <c r="CA635" s="334" t="s">
        <v>797</v>
      </c>
      <c r="CB635" s="247"/>
      <c r="CC635" s="83">
        <v>1</v>
      </c>
      <c r="CD635" s="32">
        <v>9</v>
      </c>
      <c r="CE635" s="292">
        <v>8.52</v>
      </c>
      <c r="CF635" s="292">
        <v>11.239999999999995</v>
      </c>
      <c r="CG635" s="84">
        <v>9</v>
      </c>
    </row>
    <row r="636" spans="1:1873" s="202" customFormat="1" ht="25.5" x14ac:dyDescent="0.2">
      <c r="A636" s="304" t="s">
        <v>2090</v>
      </c>
      <c r="B636" s="223" t="s">
        <v>801</v>
      </c>
      <c r="C636" s="223" t="s">
        <v>1030</v>
      </c>
      <c r="D636" s="223" t="s">
        <v>619</v>
      </c>
      <c r="E636" s="241" t="s">
        <v>1451</v>
      </c>
      <c r="F636" s="241">
        <v>1</v>
      </c>
      <c r="G636" s="223">
        <v>10</v>
      </c>
      <c r="H636" s="242">
        <v>10</v>
      </c>
      <c r="I636" s="223" t="s">
        <v>807</v>
      </c>
      <c r="J636" s="450">
        <v>1987</v>
      </c>
      <c r="K636" s="560" t="s">
        <v>1211</v>
      </c>
      <c r="L636" s="450">
        <v>1996</v>
      </c>
      <c r="M636" s="243">
        <v>-9999</v>
      </c>
      <c r="N636" s="223">
        <v>-9999</v>
      </c>
      <c r="O636" s="29"/>
      <c r="P636" s="285">
        <f t="shared" si="61"/>
        <v>86.5</v>
      </c>
      <c r="Q636" s="223">
        <v>-9999</v>
      </c>
      <c r="R636" s="243"/>
      <c r="S636" s="223"/>
      <c r="T636" s="243">
        <v>8.65</v>
      </c>
      <c r="U636" s="223">
        <v>-9999</v>
      </c>
      <c r="V636" s="223"/>
      <c r="W636" s="244">
        <f t="shared" si="62"/>
        <v>9.8200000000000074</v>
      </c>
      <c r="X636" s="223">
        <v>-9999</v>
      </c>
      <c r="Y636" s="223"/>
      <c r="Z636" s="561" t="s">
        <v>1702</v>
      </c>
      <c r="AA636" s="425">
        <f t="shared" si="59"/>
        <v>1682.0700000000002</v>
      </c>
      <c r="AB636" s="243">
        <v>-9999</v>
      </c>
      <c r="AC636" s="245">
        <v>4.0460000000000003</v>
      </c>
      <c r="AD636" s="560">
        <f t="shared" si="60"/>
        <v>3300</v>
      </c>
      <c r="AE636" s="675" t="s">
        <v>97</v>
      </c>
      <c r="AF636" s="223">
        <v>3</v>
      </c>
      <c r="AG636" s="223">
        <v>-9999</v>
      </c>
      <c r="AH636" s="223">
        <v>-9999</v>
      </c>
      <c r="AI636" s="223">
        <v>-9999</v>
      </c>
      <c r="AJ636" s="223">
        <v>-9999</v>
      </c>
      <c r="AK636" s="223">
        <v>-9999</v>
      </c>
      <c r="AL636" s="223">
        <v>-9999</v>
      </c>
      <c r="AM636" s="223">
        <v>-9999</v>
      </c>
      <c r="AN636" s="223" t="s">
        <v>631</v>
      </c>
      <c r="AO636" s="223">
        <v>-9999</v>
      </c>
      <c r="AP636" s="223">
        <v>-9999</v>
      </c>
      <c r="AQ636" s="223" t="s">
        <v>631</v>
      </c>
      <c r="AR636" s="223">
        <v>0</v>
      </c>
      <c r="AS636" s="223">
        <v>-9999</v>
      </c>
      <c r="AT636" s="223">
        <v>-9999</v>
      </c>
      <c r="AU636" s="223">
        <v>0</v>
      </c>
      <c r="AV636" s="223">
        <v>-9999</v>
      </c>
      <c r="AW636" s="223">
        <v>-9999</v>
      </c>
      <c r="AX636" s="223">
        <v>0</v>
      </c>
      <c r="AY636" s="223">
        <v>-9999</v>
      </c>
      <c r="AZ636" s="223">
        <v>-9999</v>
      </c>
      <c r="BA636" s="223">
        <v>-9999</v>
      </c>
      <c r="BB636" s="223" t="s">
        <v>631</v>
      </c>
      <c r="BC636" s="223">
        <v>-9999</v>
      </c>
      <c r="BD636" s="223">
        <v>-9999</v>
      </c>
      <c r="BE636" s="223">
        <v>-9999</v>
      </c>
      <c r="BF636" s="223">
        <v>-9999</v>
      </c>
      <c r="BG636" s="223">
        <v>-9999</v>
      </c>
      <c r="BH636" s="223">
        <v>-9999</v>
      </c>
      <c r="BI636" s="223" t="s">
        <v>1057</v>
      </c>
      <c r="BJ636" s="223">
        <v>-9999</v>
      </c>
      <c r="BK636" s="223">
        <v>-9999</v>
      </c>
      <c r="BL636" s="223">
        <v>-9999</v>
      </c>
      <c r="BM636" s="223">
        <v>-9999</v>
      </c>
      <c r="BN636" s="223">
        <v>-9999</v>
      </c>
      <c r="BO636" s="223">
        <v>-9999</v>
      </c>
      <c r="BP636" s="223">
        <v>-9999</v>
      </c>
      <c r="BQ636" s="223">
        <v>-9999</v>
      </c>
      <c r="BR636" s="223">
        <v>-9999</v>
      </c>
      <c r="BS636" s="242">
        <v>-9999</v>
      </c>
      <c r="BT636" s="223">
        <v>-9999</v>
      </c>
      <c r="BU636" s="223">
        <v>-9999</v>
      </c>
      <c r="BV636" s="223">
        <v>-9999</v>
      </c>
      <c r="BW636" s="223"/>
      <c r="BX636" s="450">
        <v>-9999</v>
      </c>
      <c r="BY636" s="223">
        <v>-9999</v>
      </c>
      <c r="BZ636" s="223">
        <v>-9999</v>
      </c>
      <c r="CA636" s="334" t="s">
        <v>797</v>
      </c>
      <c r="CB636" s="247"/>
      <c r="CC636" s="201">
        <v>1</v>
      </c>
      <c r="CD636" s="192">
        <v>10</v>
      </c>
      <c r="CE636" s="394">
        <v>8.65</v>
      </c>
      <c r="CF636" s="292">
        <v>9.8200000000000074</v>
      </c>
      <c r="CG636" s="196">
        <v>10</v>
      </c>
      <c r="CH636" s="438" t="s">
        <v>1757</v>
      </c>
      <c r="CI636" s="23"/>
      <c r="CJ636" s="23"/>
      <c r="CK636" s="23"/>
      <c r="CL636" s="23"/>
      <c r="CM636" s="23"/>
      <c r="CN636" s="23"/>
      <c r="CO636" s="23"/>
      <c r="CP636" s="23"/>
      <c r="CQ636" s="23"/>
      <c r="CR636" s="23"/>
      <c r="CS636" s="23"/>
      <c r="CT636" s="23"/>
      <c r="CU636" s="23"/>
      <c r="CV636" s="23"/>
      <c r="CW636" s="23"/>
      <c r="CX636" s="23"/>
      <c r="CY636" s="23"/>
      <c r="CZ636" s="23"/>
      <c r="DA636" s="23"/>
      <c r="DB636" s="23"/>
      <c r="DC636" s="23"/>
      <c r="DD636" s="23"/>
      <c r="DE636" s="23"/>
      <c r="DF636" s="23"/>
      <c r="DG636" s="23"/>
      <c r="DH636" s="23"/>
      <c r="DI636" s="23"/>
      <c r="DJ636" s="23"/>
      <c r="DK636" s="23"/>
      <c r="DL636" s="23"/>
      <c r="DM636" s="23"/>
      <c r="DN636" s="23"/>
      <c r="DO636" s="23"/>
      <c r="DP636" s="23"/>
      <c r="DQ636" s="23"/>
      <c r="DR636" s="23"/>
      <c r="DS636" s="23"/>
      <c r="DT636" s="23"/>
      <c r="DU636" s="23"/>
      <c r="DV636" s="23"/>
      <c r="DW636" s="23"/>
      <c r="DX636" s="23"/>
      <c r="DY636" s="23"/>
      <c r="DZ636" s="23"/>
      <c r="EA636" s="23"/>
      <c r="EB636" s="23"/>
      <c r="EC636" s="23"/>
      <c r="ED636" s="23"/>
      <c r="EE636" s="23"/>
      <c r="EF636" s="23"/>
      <c r="EG636" s="23"/>
      <c r="EH636" s="23"/>
      <c r="EI636" s="23"/>
      <c r="EJ636" s="23"/>
      <c r="EK636" s="23"/>
      <c r="EL636" s="23"/>
      <c r="EM636" s="23"/>
      <c r="EN636" s="23"/>
      <c r="EO636" s="23"/>
      <c r="EP636" s="23"/>
      <c r="EQ636" s="23"/>
      <c r="ER636" s="23"/>
      <c r="ES636" s="23"/>
      <c r="ET636" s="23"/>
      <c r="EU636" s="23"/>
      <c r="EV636" s="23"/>
      <c r="EW636" s="23"/>
      <c r="EX636" s="23"/>
      <c r="EY636" s="23"/>
      <c r="EZ636" s="23"/>
      <c r="FA636" s="23"/>
      <c r="FB636" s="23"/>
      <c r="FC636" s="23"/>
      <c r="FD636" s="23"/>
      <c r="FE636" s="23"/>
      <c r="FF636" s="23"/>
      <c r="FG636" s="23"/>
      <c r="FH636" s="23"/>
      <c r="FI636" s="23"/>
      <c r="FJ636" s="23"/>
      <c r="FK636" s="23"/>
      <c r="FL636" s="23"/>
      <c r="FM636" s="23"/>
      <c r="FN636" s="23"/>
      <c r="FO636" s="23"/>
      <c r="FP636" s="23"/>
      <c r="FQ636" s="23"/>
      <c r="FR636" s="23"/>
      <c r="FS636" s="23"/>
      <c r="FT636" s="23"/>
      <c r="FU636" s="23"/>
      <c r="FV636" s="23"/>
      <c r="FW636" s="23"/>
      <c r="FX636" s="23"/>
      <c r="FY636" s="23"/>
      <c r="FZ636" s="23"/>
      <c r="GA636" s="23"/>
      <c r="GB636" s="23"/>
      <c r="GC636" s="23"/>
      <c r="GD636" s="23"/>
      <c r="GE636" s="23"/>
      <c r="GF636" s="23"/>
      <c r="GG636" s="23"/>
      <c r="GH636" s="23"/>
      <c r="GI636" s="23"/>
      <c r="GJ636" s="23"/>
      <c r="GK636" s="23"/>
      <c r="GL636" s="23"/>
      <c r="GM636" s="23"/>
      <c r="GN636" s="23"/>
      <c r="GO636" s="23"/>
      <c r="GP636" s="23"/>
      <c r="GQ636" s="23"/>
      <c r="GR636" s="23"/>
      <c r="GS636" s="23"/>
      <c r="GT636" s="23"/>
      <c r="GU636" s="23"/>
      <c r="GV636" s="23"/>
      <c r="GW636" s="23"/>
      <c r="GX636" s="23"/>
      <c r="GY636" s="23"/>
      <c r="GZ636" s="23"/>
      <c r="HA636" s="23"/>
      <c r="HB636" s="23"/>
      <c r="HC636" s="23"/>
      <c r="HD636" s="23"/>
      <c r="HE636" s="23"/>
      <c r="HF636" s="23"/>
      <c r="HG636" s="23"/>
      <c r="HH636" s="23"/>
      <c r="HI636" s="23"/>
      <c r="HJ636" s="23"/>
      <c r="HK636" s="23"/>
      <c r="HL636" s="23"/>
      <c r="HM636" s="23"/>
      <c r="HN636" s="23"/>
      <c r="HO636" s="23"/>
      <c r="HP636" s="23"/>
      <c r="HQ636" s="23"/>
      <c r="HR636" s="23"/>
      <c r="HS636" s="23"/>
      <c r="HT636" s="23"/>
      <c r="HU636" s="23"/>
      <c r="HV636" s="23"/>
      <c r="HW636" s="23"/>
      <c r="HX636" s="23"/>
      <c r="HY636" s="23"/>
      <c r="HZ636" s="23"/>
      <c r="IA636" s="23"/>
      <c r="IB636" s="23"/>
      <c r="IC636" s="23"/>
      <c r="ID636" s="23"/>
      <c r="IE636" s="23"/>
      <c r="IF636" s="23"/>
      <c r="IG636" s="23"/>
      <c r="IH636" s="23"/>
      <c r="II636" s="23"/>
      <c r="IJ636" s="23"/>
      <c r="IK636" s="23"/>
      <c r="IL636" s="23"/>
      <c r="IM636" s="23"/>
      <c r="IN636" s="23"/>
      <c r="IO636" s="23"/>
      <c r="IP636" s="23"/>
      <c r="IQ636" s="23"/>
      <c r="IR636" s="23"/>
      <c r="IS636" s="23"/>
      <c r="IT636" s="23"/>
      <c r="IU636" s="23"/>
      <c r="IV636" s="23"/>
      <c r="IW636" s="23"/>
      <c r="IX636" s="23"/>
      <c r="IY636" s="23"/>
      <c r="IZ636" s="23"/>
      <c r="JA636" s="23"/>
      <c r="JB636" s="23"/>
      <c r="JC636" s="23"/>
      <c r="JD636" s="23"/>
      <c r="JE636" s="23"/>
      <c r="JF636" s="23"/>
      <c r="JG636" s="23"/>
      <c r="JH636" s="23"/>
      <c r="JI636" s="23"/>
      <c r="JJ636" s="23"/>
      <c r="JK636" s="23"/>
      <c r="JL636" s="23"/>
      <c r="JM636" s="23"/>
      <c r="JN636" s="23"/>
      <c r="JO636" s="23"/>
      <c r="JP636" s="23"/>
      <c r="JQ636" s="23"/>
      <c r="JR636" s="23"/>
      <c r="JS636" s="23"/>
      <c r="JT636" s="23"/>
      <c r="JU636" s="23"/>
      <c r="JV636" s="23"/>
      <c r="JW636" s="23"/>
      <c r="JX636" s="23"/>
      <c r="JY636" s="23"/>
      <c r="JZ636" s="23"/>
      <c r="KA636" s="23"/>
      <c r="KB636" s="23"/>
      <c r="KC636" s="23"/>
      <c r="KD636" s="23"/>
      <c r="KE636" s="23"/>
      <c r="KF636" s="23"/>
      <c r="KG636" s="23"/>
      <c r="KH636" s="23"/>
      <c r="KI636" s="23"/>
      <c r="KJ636" s="23"/>
      <c r="KK636" s="23"/>
      <c r="KL636" s="23"/>
      <c r="KM636" s="23"/>
      <c r="KN636" s="23"/>
      <c r="KO636" s="23"/>
      <c r="KP636" s="23"/>
      <c r="KQ636" s="23"/>
      <c r="KR636" s="23"/>
      <c r="KS636" s="23"/>
      <c r="KT636" s="23"/>
      <c r="KU636" s="23"/>
      <c r="KV636" s="23"/>
      <c r="KW636" s="23"/>
      <c r="KX636" s="23"/>
      <c r="KY636" s="23"/>
      <c r="KZ636" s="23"/>
      <c r="LA636" s="23"/>
      <c r="LB636" s="23"/>
      <c r="LC636" s="23"/>
      <c r="LD636" s="23"/>
      <c r="LE636" s="23"/>
      <c r="LF636" s="23"/>
      <c r="LG636" s="23"/>
      <c r="LH636" s="23"/>
      <c r="LI636" s="23"/>
      <c r="LJ636" s="23"/>
      <c r="LK636" s="23"/>
      <c r="LL636" s="23"/>
      <c r="LM636" s="23"/>
      <c r="LN636" s="23"/>
      <c r="LO636" s="23"/>
      <c r="LP636" s="23"/>
      <c r="LQ636" s="23"/>
      <c r="LR636" s="23"/>
      <c r="LS636" s="23"/>
      <c r="LT636" s="23"/>
      <c r="LU636" s="23"/>
      <c r="LV636" s="23"/>
      <c r="LW636" s="23"/>
      <c r="LX636" s="23"/>
      <c r="LY636" s="23"/>
      <c r="LZ636" s="23"/>
      <c r="MA636" s="23"/>
      <c r="MB636" s="23"/>
      <c r="MC636" s="23"/>
      <c r="MD636" s="23"/>
      <c r="ME636" s="23"/>
      <c r="MF636" s="23"/>
      <c r="MG636" s="23"/>
      <c r="MH636" s="23"/>
      <c r="MI636" s="23"/>
      <c r="MJ636" s="23"/>
      <c r="MK636" s="23"/>
      <c r="ML636" s="23"/>
      <c r="MM636" s="23"/>
      <c r="MN636" s="23"/>
      <c r="MO636" s="23"/>
      <c r="MP636" s="23"/>
      <c r="MQ636" s="23"/>
      <c r="MR636" s="23"/>
      <c r="MS636" s="23"/>
      <c r="MT636" s="23"/>
      <c r="MU636" s="23"/>
      <c r="MV636" s="23"/>
      <c r="MW636" s="23"/>
      <c r="MX636" s="23"/>
      <c r="MY636" s="23"/>
      <c r="MZ636" s="23"/>
      <c r="NA636" s="23"/>
      <c r="NB636" s="23"/>
      <c r="NC636" s="23"/>
      <c r="ND636" s="23"/>
      <c r="NE636" s="23"/>
      <c r="NF636" s="23"/>
      <c r="NG636" s="23"/>
      <c r="NH636" s="23"/>
      <c r="NI636" s="23"/>
      <c r="NJ636" s="23"/>
      <c r="NK636" s="23"/>
      <c r="NL636" s="23"/>
      <c r="NM636" s="23"/>
      <c r="NN636" s="23"/>
      <c r="NO636" s="23"/>
      <c r="NP636" s="23"/>
      <c r="NQ636" s="23"/>
      <c r="NR636" s="23"/>
      <c r="NS636" s="23"/>
      <c r="NT636" s="23"/>
      <c r="NU636" s="23"/>
      <c r="NV636" s="23"/>
      <c r="NW636" s="23"/>
      <c r="NX636" s="23"/>
      <c r="NY636" s="23"/>
      <c r="NZ636" s="23"/>
      <c r="OA636" s="23"/>
      <c r="OB636" s="23"/>
      <c r="OC636" s="23"/>
      <c r="OD636" s="23"/>
      <c r="OE636" s="23"/>
      <c r="OF636" s="23"/>
      <c r="OG636" s="23"/>
      <c r="OH636" s="23"/>
      <c r="OI636" s="23"/>
      <c r="OJ636" s="23"/>
      <c r="OK636" s="23"/>
      <c r="OL636" s="23"/>
      <c r="OM636" s="23"/>
      <c r="ON636" s="23"/>
      <c r="OO636" s="23"/>
      <c r="OP636" s="23"/>
      <c r="OQ636" s="23"/>
      <c r="OR636" s="23"/>
      <c r="OS636" s="23"/>
      <c r="OT636" s="23"/>
      <c r="OU636" s="23"/>
      <c r="OV636" s="23"/>
      <c r="OW636" s="23"/>
      <c r="OX636" s="23"/>
      <c r="OY636" s="23"/>
      <c r="OZ636" s="23"/>
      <c r="PA636" s="23"/>
      <c r="PB636" s="23"/>
      <c r="PC636" s="23"/>
      <c r="PD636" s="23"/>
      <c r="PE636" s="23"/>
      <c r="PF636" s="23"/>
      <c r="PG636" s="23"/>
      <c r="PH636" s="23"/>
      <c r="PI636" s="23"/>
      <c r="PJ636" s="23"/>
      <c r="PK636" s="23"/>
      <c r="PL636" s="23"/>
      <c r="PM636" s="23"/>
      <c r="PN636" s="23"/>
      <c r="PO636" s="23"/>
      <c r="PP636" s="23"/>
      <c r="PQ636" s="23"/>
      <c r="PR636" s="23"/>
      <c r="PS636" s="23"/>
      <c r="PT636" s="23"/>
      <c r="PU636" s="23"/>
      <c r="PV636" s="23"/>
      <c r="PW636" s="23"/>
      <c r="PX636" s="23"/>
      <c r="PY636" s="23"/>
      <c r="PZ636" s="23"/>
      <c r="QA636" s="23"/>
      <c r="QB636" s="23"/>
      <c r="QC636" s="23"/>
      <c r="QD636" s="23"/>
      <c r="QE636" s="23"/>
      <c r="QF636" s="23"/>
      <c r="QG636" s="23"/>
      <c r="QH636" s="23"/>
      <c r="QI636" s="23"/>
      <c r="QJ636" s="23"/>
      <c r="QK636" s="23"/>
      <c r="QL636" s="23"/>
      <c r="QM636" s="23"/>
      <c r="QN636" s="23"/>
      <c r="QO636" s="23"/>
      <c r="QP636" s="23"/>
      <c r="QQ636" s="23"/>
      <c r="QR636" s="23"/>
      <c r="QS636" s="23"/>
      <c r="QT636" s="23"/>
      <c r="QU636" s="23"/>
      <c r="QV636" s="23"/>
      <c r="QW636" s="23"/>
      <c r="QX636" s="23"/>
      <c r="QY636" s="23"/>
      <c r="QZ636" s="23"/>
      <c r="RA636" s="23"/>
      <c r="RB636" s="23"/>
      <c r="RC636" s="23"/>
      <c r="RD636" s="23"/>
      <c r="RE636" s="23"/>
      <c r="RF636" s="23"/>
      <c r="RG636" s="23"/>
      <c r="RH636" s="23"/>
      <c r="RI636" s="23"/>
      <c r="RJ636" s="23"/>
      <c r="RK636" s="23"/>
      <c r="RL636" s="23"/>
      <c r="RM636" s="23"/>
      <c r="RN636" s="23"/>
      <c r="RO636" s="23"/>
      <c r="RP636" s="23"/>
      <c r="RQ636" s="23"/>
      <c r="RR636" s="23"/>
      <c r="RS636" s="23"/>
      <c r="RT636" s="23"/>
      <c r="RU636" s="23"/>
      <c r="RV636" s="23"/>
      <c r="RW636" s="23"/>
      <c r="RX636" s="23"/>
      <c r="RY636" s="23"/>
      <c r="RZ636" s="23"/>
      <c r="SA636" s="23"/>
      <c r="SB636" s="23"/>
      <c r="SC636" s="23"/>
      <c r="SD636" s="23"/>
      <c r="SE636" s="23"/>
      <c r="SF636" s="23"/>
      <c r="SG636" s="23"/>
      <c r="SH636" s="23"/>
      <c r="SI636" s="23"/>
      <c r="SJ636" s="23"/>
      <c r="SK636" s="23"/>
      <c r="SL636" s="23"/>
      <c r="SM636" s="23"/>
      <c r="SN636" s="23"/>
      <c r="SO636" s="23"/>
      <c r="SP636" s="23"/>
      <c r="SQ636" s="23"/>
      <c r="SR636" s="23"/>
      <c r="SS636" s="23"/>
      <c r="ST636" s="23"/>
      <c r="SU636" s="23"/>
      <c r="SV636" s="23"/>
      <c r="SW636" s="23"/>
      <c r="SX636" s="23"/>
      <c r="SY636" s="23"/>
      <c r="SZ636" s="23"/>
      <c r="TA636" s="23"/>
      <c r="TB636" s="23"/>
      <c r="TC636" s="23"/>
      <c r="TD636" s="23"/>
      <c r="TE636" s="23"/>
      <c r="TF636" s="23"/>
      <c r="TG636" s="23"/>
      <c r="TH636" s="23"/>
      <c r="TI636" s="23"/>
      <c r="TJ636" s="23"/>
      <c r="TK636" s="23"/>
      <c r="TL636" s="23"/>
      <c r="TM636" s="23"/>
      <c r="TN636" s="23"/>
      <c r="TO636" s="23"/>
      <c r="TP636" s="23"/>
      <c r="TQ636" s="23"/>
      <c r="TR636" s="23"/>
      <c r="TS636" s="23"/>
      <c r="TT636" s="23"/>
      <c r="TU636" s="23"/>
      <c r="TV636" s="23"/>
      <c r="TW636" s="23"/>
      <c r="TX636" s="23"/>
      <c r="TY636" s="23"/>
      <c r="TZ636" s="23"/>
      <c r="UA636" s="23"/>
      <c r="UB636" s="23"/>
      <c r="UC636" s="23"/>
      <c r="UD636" s="23"/>
      <c r="UE636" s="23"/>
      <c r="UF636" s="23"/>
      <c r="UG636" s="23"/>
      <c r="UH636" s="23"/>
      <c r="UI636" s="23"/>
      <c r="UJ636" s="23"/>
      <c r="UK636" s="23"/>
      <c r="UL636" s="23"/>
      <c r="UM636" s="23"/>
      <c r="UN636" s="23"/>
      <c r="UO636" s="23"/>
      <c r="UP636" s="23"/>
      <c r="UQ636" s="23"/>
      <c r="UR636" s="23"/>
      <c r="US636" s="23"/>
      <c r="UT636" s="23"/>
      <c r="UU636" s="23"/>
      <c r="UV636" s="23"/>
      <c r="UW636" s="23"/>
      <c r="UX636" s="23"/>
      <c r="UY636" s="23"/>
      <c r="UZ636" s="23"/>
      <c r="VA636" s="23"/>
      <c r="VB636" s="23"/>
      <c r="VC636" s="23"/>
      <c r="VD636" s="23"/>
      <c r="VE636" s="23"/>
      <c r="VF636" s="23"/>
      <c r="VG636" s="23"/>
      <c r="VH636" s="23"/>
      <c r="VI636" s="23"/>
      <c r="VJ636" s="23"/>
      <c r="VK636" s="23"/>
      <c r="VL636" s="23"/>
      <c r="VM636" s="23"/>
      <c r="VN636" s="23"/>
      <c r="VO636" s="23"/>
      <c r="VP636" s="23"/>
      <c r="VQ636" s="23"/>
      <c r="VR636" s="23"/>
      <c r="VS636" s="23"/>
      <c r="VT636" s="23"/>
      <c r="VU636" s="23"/>
      <c r="VV636" s="23"/>
      <c r="VW636" s="23"/>
      <c r="VX636" s="23"/>
      <c r="VY636" s="23"/>
      <c r="VZ636" s="23"/>
      <c r="WA636" s="23"/>
      <c r="WB636" s="23"/>
      <c r="WC636" s="23"/>
      <c r="WD636" s="23"/>
      <c r="WE636" s="23"/>
      <c r="WF636" s="23"/>
      <c r="WG636" s="23"/>
      <c r="WH636" s="23"/>
      <c r="WI636" s="23"/>
      <c r="WJ636" s="23"/>
      <c r="WK636" s="23"/>
      <c r="WL636" s="23"/>
      <c r="WM636" s="23"/>
      <c r="WN636" s="23"/>
      <c r="WO636" s="23"/>
      <c r="WP636" s="23"/>
      <c r="WQ636" s="23"/>
      <c r="WR636" s="23"/>
      <c r="WS636" s="23"/>
      <c r="WT636" s="23"/>
      <c r="WU636" s="23"/>
      <c r="WV636" s="23"/>
      <c r="WW636" s="23"/>
      <c r="WX636" s="23"/>
      <c r="WY636" s="23"/>
      <c r="WZ636" s="23"/>
      <c r="XA636" s="23"/>
      <c r="XB636" s="23"/>
      <c r="XC636" s="23"/>
      <c r="XD636" s="23"/>
      <c r="XE636" s="23"/>
      <c r="XF636" s="23"/>
      <c r="XG636" s="23"/>
      <c r="XH636" s="23"/>
      <c r="XI636" s="23"/>
      <c r="XJ636" s="23"/>
      <c r="XK636" s="23"/>
      <c r="XL636" s="23"/>
      <c r="XM636" s="23"/>
      <c r="XN636" s="23"/>
      <c r="XO636" s="23"/>
      <c r="XP636" s="23"/>
      <c r="XQ636" s="23"/>
      <c r="XR636" s="23"/>
      <c r="XS636" s="23"/>
      <c r="XT636" s="23"/>
      <c r="XU636" s="23"/>
      <c r="XV636" s="23"/>
      <c r="XW636" s="23"/>
      <c r="XX636" s="23"/>
      <c r="XY636" s="23"/>
      <c r="XZ636" s="23"/>
      <c r="YA636" s="23"/>
      <c r="YB636" s="23"/>
      <c r="YC636" s="23"/>
      <c r="YD636" s="23"/>
      <c r="YE636" s="23"/>
      <c r="YF636" s="23"/>
      <c r="YG636" s="23"/>
      <c r="YH636" s="23"/>
      <c r="YI636" s="23"/>
      <c r="YJ636" s="23"/>
      <c r="YK636" s="23"/>
      <c r="YL636" s="23"/>
      <c r="YM636" s="23"/>
      <c r="YN636" s="23"/>
      <c r="YO636" s="23"/>
      <c r="YP636" s="23"/>
      <c r="YQ636" s="23"/>
      <c r="YR636" s="23"/>
      <c r="YS636" s="23"/>
      <c r="YT636" s="23"/>
      <c r="YU636" s="23"/>
      <c r="YV636" s="23"/>
      <c r="YW636" s="23"/>
      <c r="YX636" s="23"/>
      <c r="YY636" s="23"/>
      <c r="YZ636" s="23"/>
      <c r="ZA636" s="23"/>
      <c r="ZB636" s="23"/>
      <c r="ZC636" s="23"/>
      <c r="ZD636" s="23"/>
      <c r="ZE636" s="23"/>
      <c r="ZF636" s="23"/>
      <c r="ZG636" s="23"/>
      <c r="ZH636" s="23"/>
      <c r="ZI636" s="23"/>
      <c r="ZJ636" s="23"/>
      <c r="ZK636" s="23"/>
      <c r="ZL636" s="23"/>
      <c r="ZM636" s="23"/>
      <c r="ZN636" s="23"/>
      <c r="ZO636" s="23"/>
      <c r="ZP636" s="23"/>
      <c r="ZQ636" s="23"/>
      <c r="ZR636" s="23"/>
      <c r="ZS636" s="23"/>
      <c r="ZT636" s="23"/>
      <c r="ZU636" s="23"/>
      <c r="ZV636" s="23"/>
      <c r="ZW636" s="23"/>
      <c r="ZX636" s="23"/>
      <c r="ZY636" s="23"/>
      <c r="ZZ636" s="23"/>
      <c r="AAA636" s="23"/>
      <c r="AAB636" s="23"/>
      <c r="AAC636" s="23"/>
      <c r="AAD636" s="23"/>
      <c r="AAE636" s="23"/>
      <c r="AAF636" s="23"/>
      <c r="AAG636" s="23"/>
      <c r="AAH636" s="23"/>
      <c r="AAI636" s="23"/>
      <c r="AAJ636" s="23"/>
      <c r="AAK636" s="23"/>
      <c r="AAL636" s="23"/>
      <c r="AAM636" s="23"/>
      <c r="AAN636" s="23"/>
      <c r="AAO636" s="23"/>
      <c r="AAP636" s="23"/>
      <c r="AAQ636" s="23"/>
      <c r="AAR636" s="23"/>
      <c r="AAS636" s="23"/>
      <c r="AAT636" s="23"/>
      <c r="AAU636" s="23"/>
      <c r="AAV636" s="23"/>
      <c r="AAW636" s="23"/>
      <c r="AAX636" s="23"/>
      <c r="AAY636" s="23"/>
      <c r="AAZ636" s="23"/>
      <c r="ABA636" s="23"/>
      <c r="ABB636" s="23"/>
      <c r="ABC636" s="23"/>
      <c r="ABD636" s="23"/>
      <c r="ABE636" s="23"/>
      <c r="ABF636" s="23"/>
      <c r="ABG636" s="23"/>
      <c r="ABH636" s="23"/>
      <c r="ABI636" s="23"/>
      <c r="ABJ636" s="23"/>
      <c r="ABK636" s="23"/>
      <c r="ABL636" s="23"/>
      <c r="ABM636" s="23"/>
      <c r="ABN636" s="23"/>
      <c r="ABO636" s="23"/>
      <c r="ABP636" s="23"/>
      <c r="ABQ636" s="23"/>
      <c r="ABR636" s="23"/>
      <c r="ABS636" s="23"/>
      <c r="ABT636" s="23"/>
      <c r="ABU636" s="23"/>
      <c r="ABV636" s="23"/>
      <c r="ABW636" s="23"/>
      <c r="ABX636" s="23"/>
      <c r="ABY636" s="23"/>
      <c r="ABZ636" s="23"/>
      <c r="ACA636" s="23"/>
      <c r="ACB636" s="23"/>
      <c r="ACC636" s="23"/>
      <c r="ACD636" s="23"/>
      <c r="ACE636" s="23"/>
      <c r="ACF636" s="23"/>
      <c r="ACG636" s="23"/>
      <c r="ACH636" s="23"/>
      <c r="ACI636" s="23"/>
      <c r="ACJ636" s="23"/>
      <c r="ACK636" s="23"/>
      <c r="ACL636" s="23"/>
      <c r="ACM636" s="23"/>
      <c r="ACN636" s="23"/>
      <c r="ACO636" s="23"/>
      <c r="ACP636" s="23"/>
      <c r="ACQ636" s="23"/>
      <c r="ACR636" s="23"/>
      <c r="ACS636" s="23"/>
      <c r="ACT636" s="23"/>
      <c r="ACU636" s="23"/>
      <c r="ACV636" s="23"/>
      <c r="ACW636" s="23"/>
      <c r="ACX636" s="23"/>
      <c r="ACY636" s="23"/>
      <c r="ACZ636" s="23"/>
      <c r="ADA636" s="23"/>
      <c r="ADB636" s="23"/>
      <c r="ADC636" s="23"/>
      <c r="ADD636" s="23"/>
      <c r="ADE636" s="23"/>
      <c r="ADF636" s="23"/>
      <c r="ADG636" s="23"/>
      <c r="ADH636" s="23"/>
      <c r="ADI636" s="23"/>
      <c r="ADJ636" s="23"/>
      <c r="ADK636" s="23"/>
      <c r="ADL636" s="23"/>
      <c r="ADM636" s="23"/>
      <c r="ADN636" s="23"/>
      <c r="ADO636" s="23"/>
      <c r="ADP636" s="23"/>
      <c r="ADQ636" s="23"/>
      <c r="ADR636" s="23"/>
      <c r="ADS636" s="23"/>
      <c r="ADT636" s="23"/>
      <c r="ADU636" s="23"/>
      <c r="ADV636" s="23"/>
      <c r="ADW636" s="23"/>
      <c r="ADX636" s="23"/>
      <c r="ADY636" s="23"/>
      <c r="ADZ636" s="23"/>
      <c r="AEA636" s="23"/>
      <c r="AEB636" s="23"/>
      <c r="AEC636" s="23"/>
      <c r="AED636" s="23"/>
      <c r="AEE636" s="23"/>
      <c r="AEF636" s="23"/>
      <c r="AEG636" s="23"/>
      <c r="AEH636" s="23"/>
      <c r="AEI636" s="23"/>
      <c r="AEJ636" s="23"/>
      <c r="AEK636" s="23"/>
      <c r="AEL636" s="23"/>
      <c r="AEM636" s="23"/>
      <c r="AEN636" s="23"/>
      <c r="AEO636" s="23"/>
      <c r="AEP636" s="23"/>
      <c r="AEQ636" s="23"/>
      <c r="AER636" s="23"/>
      <c r="AES636" s="23"/>
      <c r="AET636" s="23"/>
      <c r="AEU636" s="23"/>
      <c r="AEV636" s="23"/>
      <c r="AEW636" s="23"/>
      <c r="AEX636" s="23"/>
      <c r="AEY636" s="23"/>
      <c r="AEZ636" s="23"/>
      <c r="AFA636" s="23"/>
      <c r="AFB636" s="23"/>
      <c r="AFC636" s="23"/>
      <c r="AFD636" s="23"/>
      <c r="AFE636" s="23"/>
      <c r="AFF636" s="23"/>
      <c r="AFG636" s="23"/>
      <c r="AFH636" s="23"/>
      <c r="AFI636" s="23"/>
      <c r="AFJ636" s="23"/>
      <c r="AFK636" s="23"/>
      <c r="AFL636" s="23"/>
      <c r="AFM636" s="23"/>
      <c r="AFN636" s="23"/>
      <c r="AFO636" s="23"/>
      <c r="AFP636" s="23"/>
      <c r="AFQ636" s="23"/>
      <c r="AFR636" s="23"/>
      <c r="AFS636" s="23"/>
      <c r="AFT636" s="23"/>
      <c r="AFU636" s="23"/>
      <c r="AFV636" s="23"/>
      <c r="AFW636" s="23"/>
      <c r="AFX636" s="23"/>
      <c r="AFY636" s="23"/>
      <c r="AFZ636" s="23"/>
      <c r="AGA636" s="23"/>
      <c r="AGB636" s="23"/>
      <c r="AGC636" s="23"/>
      <c r="AGD636" s="23"/>
      <c r="AGE636" s="23"/>
      <c r="AGF636" s="23"/>
      <c r="AGG636" s="23"/>
      <c r="AGH636" s="23"/>
      <c r="AGI636" s="23"/>
      <c r="AGJ636" s="23"/>
      <c r="AGK636" s="23"/>
      <c r="AGL636" s="23"/>
      <c r="AGM636" s="23"/>
      <c r="AGN636" s="23"/>
      <c r="AGO636" s="23"/>
      <c r="AGP636" s="23"/>
      <c r="AGQ636" s="23"/>
      <c r="AGR636" s="23"/>
      <c r="AGS636" s="23"/>
      <c r="AGT636" s="23"/>
      <c r="AGU636" s="23"/>
      <c r="AGV636" s="23"/>
      <c r="AGW636" s="23"/>
      <c r="AGX636" s="23"/>
      <c r="AGY636" s="23"/>
      <c r="AGZ636" s="23"/>
      <c r="AHA636" s="23"/>
      <c r="AHB636" s="23"/>
      <c r="AHC636" s="23"/>
      <c r="AHD636" s="23"/>
      <c r="AHE636" s="23"/>
      <c r="AHF636" s="23"/>
      <c r="AHG636" s="23"/>
      <c r="AHH636" s="23"/>
      <c r="AHI636" s="23"/>
      <c r="AHJ636" s="23"/>
      <c r="AHK636" s="23"/>
      <c r="AHL636" s="23"/>
      <c r="AHM636" s="23"/>
      <c r="AHN636" s="23"/>
      <c r="AHO636" s="23"/>
      <c r="AHP636" s="23"/>
      <c r="AHQ636" s="23"/>
      <c r="AHR636" s="23"/>
      <c r="AHS636" s="23"/>
      <c r="AHT636" s="23"/>
      <c r="AHU636" s="23"/>
      <c r="AHV636" s="23"/>
      <c r="AHW636" s="23"/>
      <c r="AHX636" s="23"/>
      <c r="AHY636" s="23"/>
      <c r="AHZ636" s="23"/>
      <c r="AIA636" s="23"/>
      <c r="AIB636" s="23"/>
      <c r="AIC636" s="23"/>
      <c r="AID636" s="23"/>
      <c r="AIE636" s="23"/>
      <c r="AIF636" s="23"/>
      <c r="AIG636" s="23"/>
      <c r="AIH636" s="23"/>
      <c r="AII636" s="23"/>
      <c r="AIJ636" s="23"/>
      <c r="AIK636" s="23"/>
      <c r="AIL636" s="23"/>
      <c r="AIM636" s="23"/>
      <c r="AIN636" s="23"/>
      <c r="AIO636" s="23"/>
      <c r="AIP636" s="23"/>
      <c r="AIQ636" s="23"/>
      <c r="AIR636" s="23"/>
      <c r="AIS636" s="23"/>
      <c r="AIT636" s="23"/>
      <c r="AIU636" s="23"/>
      <c r="AIV636" s="23"/>
      <c r="AIW636" s="23"/>
      <c r="AIX636" s="23"/>
      <c r="AIY636" s="23"/>
      <c r="AIZ636" s="23"/>
      <c r="AJA636" s="23"/>
      <c r="AJB636" s="23"/>
      <c r="AJC636" s="23"/>
      <c r="AJD636" s="23"/>
      <c r="AJE636" s="23"/>
      <c r="AJF636" s="23"/>
      <c r="AJG636" s="23"/>
      <c r="AJH636" s="23"/>
      <c r="AJI636" s="23"/>
      <c r="AJJ636" s="23"/>
      <c r="AJK636" s="23"/>
      <c r="AJL636" s="23"/>
      <c r="AJM636" s="23"/>
      <c r="AJN636" s="23"/>
      <c r="AJO636" s="23"/>
      <c r="AJP636" s="23"/>
      <c r="AJQ636" s="23"/>
      <c r="AJR636" s="23"/>
      <c r="AJS636" s="23"/>
      <c r="AJT636" s="23"/>
      <c r="AJU636" s="23"/>
      <c r="AJV636" s="23"/>
      <c r="AJW636" s="23"/>
      <c r="AJX636" s="23"/>
      <c r="AJY636" s="23"/>
      <c r="AJZ636" s="23"/>
      <c r="AKA636" s="23"/>
      <c r="AKB636" s="23"/>
      <c r="AKC636" s="23"/>
      <c r="AKD636" s="23"/>
      <c r="AKE636" s="23"/>
      <c r="AKF636" s="23"/>
      <c r="AKG636" s="23"/>
      <c r="AKH636" s="23"/>
      <c r="AKI636" s="23"/>
      <c r="AKJ636" s="23"/>
      <c r="AKK636" s="23"/>
      <c r="AKL636" s="23"/>
      <c r="AKM636" s="23"/>
      <c r="AKN636" s="23"/>
      <c r="AKO636" s="23"/>
      <c r="AKP636" s="23"/>
      <c r="AKQ636" s="23"/>
      <c r="AKR636" s="23"/>
      <c r="AKS636" s="23"/>
      <c r="AKT636" s="23"/>
      <c r="AKU636" s="23"/>
      <c r="AKV636" s="23"/>
      <c r="AKW636" s="23"/>
      <c r="AKX636" s="23"/>
      <c r="AKY636" s="23"/>
      <c r="AKZ636" s="23"/>
      <c r="ALA636" s="23"/>
      <c r="ALB636" s="23"/>
      <c r="ALC636" s="23"/>
      <c r="ALD636" s="23"/>
      <c r="ALE636" s="23"/>
      <c r="ALF636" s="23"/>
      <c r="ALG636" s="23"/>
      <c r="ALH636" s="23"/>
      <c r="ALI636" s="23"/>
      <c r="ALJ636" s="23"/>
      <c r="ALK636" s="23"/>
      <c r="ALL636" s="23"/>
      <c r="ALM636" s="23"/>
      <c r="ALN636" s="23"/>
      <c r="ALO636" s="23"/>
      <c r="ALP636" s="23"/>
      <c r="ALQ636" s="23"/>
      <c r="ALR636" s="23"/>
      <c r="ALS636" s="23"/>
      <c r="ALT636" s="23"/>
      <c r="ALU636" s="23"/>
      <c r="ALV636" s="23"/>
      <c r="ALW636" s="23"/>
      <c r="ALX636" s="23"/>
      <c r="ALY636" s="23"/>
      <c r="ALZ636" s="23"/>
      <c r="AMA636" s="23"/>
      <c r="AMB636" s="23"/>
      <c r="AMC636" s="23"/>
      <c r="AMD636" s="23"/>
      <c r="AME636" s="23"/>
      <c r="AMF636" s="23"/>
      <c r="AMG636" s="23"/>
      <c r="AMH636" s="23"/>
      <c r="AMI636" s="23"/>
      <c r="AMJ636" s="23"/>
      <c r="AMK636" s="23"/>
      <c r="AML636" s="23"/>
      <c r="AMM636" s="23"/>
      <c r="AMN636" s="23"/>
      <c r="AMO636" s="23"/>
      <c r="AMP636" s="23"/>
      <c r="AMQ636" s="23"/>
      <c r="AMR636" s="23"/>
      <c r="AMS636" s="23"/>
      <c r="AMT636" s="23"/>
      <c r="AMU636" s="23"/>
      <c r="AMV636" s="23"/>
      <c r="AMW636" s="23"/>
      <c r="AMX636" s="23"/>
      <c r="AMY636" s="23"/>
      <c r="AMZ636" s="23"/>
      <c r="ANA636" s="23"/>
      <c r="ANB636" s="23"/>
      <c r="ANC636" s="23"/>
      <c r="AND636" s="23"/>
      <c r="ANE636" s="23"/>
      <c r="ANF636" s="23"/>
      <c r="ANG636" s="23"/>
      <c r="ANH636" s="23"/>
      <c r="ANI636" s="23"/>
      <c r="ANJ636" s="23"/>
      <c r="ANK636" s="23"/>
      <c r="ANL636" s="23"/>
      <c r="ANM636" s="23"/>
      <c r="ANN636" s="23"/>
      <c r="ANO636" s="23"/>
      <c r="ANP636" s="23"/>
      <c r="ANQ636" s="23"/>
      <c r="ANR636" s="23"/>
      <c r="ANS636" s="23"/>
      <c r="ANT636" s="23"/>
      <c r="ANU636" s="23"/>
      <c r="ANV636" s="23"/>
      <c r="ANW636" s="23"/>
      <c r="ANX636" s="23"/>
      <c r="ANY636" s="23"/>
      <c r="ANZ636" s="23"/>
      <c r="AOA636" s="23"/>
      <c r="AOB636" s="23"/>
      <c r="AOC636" s="23"/>
      <c r="AOD636" s="23"/>
      <c r="AOE636" s="23"/>
      <c r="AOF636" s="23"/>
      <c r="AOG636" s="23"/>
      <c r="AOH636" s="23"/>
      <c r="AOI636" s="23"/>
      <c r="AOJ636" s="23"/>
      <c r="AOK636" s="23"/>
      <c r="AOL636" s="23"/>
      <c r="AOM636" s="23"/>
      <c r="AON636" s="23"/>
      <c r="AOO636" s="23"/>
      <c r="AOP636" s="23"/>
      <c r="AOQ636" s="23"/>
      <c r="AOR636" s="23"/>
      <c r="AOS636" s="23"/>
      <c r="AOT636" s="23"/>
      <c r="AOU636" s="23"/>
      <c r="AOV636" s="23"/>
      <c r="AOW636" s="23"/>
      <c r="AOX636" s="23"/>
      <c r="AOY636" s="23"/>
      <c r="AOZ636" s="23"/>
      <c r="APA636" s="23"/>
      <c r="APB636" s="23"/>
      <c r="APC636" s="23"/>
      <c r="APD636" s="23"/>
      <c r="APE636" s="23"/>
      <c r="APF636" s="23"/>
      <c r="APG636" s="23"/>
      <c r="APH636" s="23"/>
      <c r="API636" s="23"/>
      <c r="APJ636" s="23"/>
      <c r="APK636" s="23"/>
      <c r="APL636" s="23"/>
      <c r="APM636" s="23"/>
      <c r="APN636" s="23"/>
      <c r="APO636" s="23"/>
      <c r="APP636" s="23"/>
      <c r="APQ636" s="23"/>
      <c r="APR636" s="23"/>
      <c r="APS636" s="23"/>
      <c r="APT636" s="23"/>
      <c r="APU636" s="23"/>
      <c r="APV636" s="23"/>
      <c r="APW636" s="23"/>
      <c r="APX636" s="23"/>
      <c r="APY636" s="23"/>
      <c r="APZ636" s="23"/>
      <c r="AQA636" s="23"/>
      <c r="AQB636" s="23"/>
      <c r="AQC636" s="23"/>
      <c r="AQD636" s="23"/>
      <c r="AQE636" s="23"/>
      <c r="AQF636" s="23"/>
      <c r="AQG636" s="23"/>
      <c r="AQH636" s="23"/>
      <c r="AQI636" s="23"/>
      <c r="AQJ636" s="23"/>
      <c r="AQK636" s="23"/>
      <c r="AQL636" s="23"/>
      <c r="AQM636" s="23"/>
      <c r="AQN636" s="23"/>
      <c r="AQO636" s="23"/>
      <c r="AQP636" s="23"/>
      <c r="AQQ636" s="23"/>
      <c r="AQR636" s="23"/>
      <c r="AQS636" s="23"/>
      <c r="AQT636" s="23"/>
      <c r="AQU636" s="23"/>
      <c r="AQV636" s="23"/>
      <c r="AQW636" s="23"/>
      <c r="AQX636" s="23"/>
      <c r="AQY636" s="23"/>
      <c r="AQZ636" s="23"/>
      <c r="ARA636" s="23"/>
      <c r="ARB636" s="23"/>
      <c r="ARC636" s="23"/>
      <c r="ARD636" s="23"/>
      <c r="ARE636" s="23"/>
      <c r="ARF636" s="23"/>
      <c r="ARG636" s="23"/>
      <c r="ARH636" s="23"/>
      <c r="ARI636" s="23"/>
      <c r="ARJ636" s="23"/>
      <c r="ARK636" s="23"/>
      <c r="ARL636" s="23"/>
      <c r="ARM636" s="23"/>
      <c r="ARN636" s="23"/>
      <c r="ARO636" s="23"/>
      <c r="ARP636" s="23"/>
      <c r="ARQ636" s="23"/>
      <c r="ARR636" s="23"/>
      <c r="ARS636" s="23"/>
      <c r="ART636" s="23"/>
      <c r="ARU636" s="23"/>
      <c r="ARV636" s="23"/>
      <c r="ARW636" s="23"/>
      <c r="ARX636" s="23"/>
      <c r="ARY636" s="23"/>
      <c r="ARZ636" s="23"/>
      <c r="ASA636" s="23"/>
      <c r="ASB636" s="23"/>
      <c r="ASC636" s="23"/>
      <c r="ASD636" s="23"/>
      <c r="ASE636" s="23"/>
      <c r="ASF636" s="23"/>
      <c r="ASG636" s="23"/>
      <c r="ASH636" s="23"/>
      <c r="ASI636" s="23"/>
      <c r="ASJ636" s="23"/>
      <c r="ASK636" s="23"/>
      <c r="ASL636" s="23"/>
      <c r="ASM636" s="23"/>
      <c r="ASN636" s="23"/>
      <c r="ASO636" s="23"/>
      <c r="ASP636" s="23"/>
      <c r="ASQ636" s="23"/>
      <c r="ASR636" s="23"/>
      <c r="ASS636" s="23"/>
      <c r="AST636" s="23"/>
      <c r="ASU636" s="23"/>
      <c r="ASV636" s="23"/>
      <c r="ASW636" s="23"/>
      <c r="ASX636" s="23"/>
      <c r="ASY636" s="23"/>
      <c r="ASZ636" s="23"/>
      <c r="ATA636" s="23"/>
      <c r="ATB636" s="23"/>
      <c r="ATC636" s="23"/>
      <c r="ATD636" s="23"/>
      <c r="ATE636" s="23"/>
      <c r="ATF636" s="23"/>
      <c r="ATG636" s="23"/>
      <c r="ATH636" s="23"/>
      <c r="ATI636" s="23"/>
      <c r="ATJ636" s="23"/>
      <c r="ATK636" s="23"/>
      <c r="ATL636" s="23"/>
      <c r="ATM636" s="23"/>
      <c r="ATN636" s="23"/>
      <c r="ATO636" s="23"/>
      <c r="ATP636" s="23"/>
      <c r="ATQ636" s="23"/>
      <c r="ATR636" s="23"/>
      <c r="ATS636" s="23"/>
      <c r="ATT636" s="23"/>
      <c r="ATU636" s="23"/>
      <c r="ATV636" s="23"/>
      <c r="ATW636" s="23"/>
      <c r="ATX636" s="23"/>
      <c r="ATY636" s="23"/>
      <c r="ATZ636" s="23"/>
      <c r="AUA636" s="23"/>
      <c r="AUB636" s="23"/>
      <c r="AUC636" s="23"/>
      <c r="AUD636" s="23"/>
      <c r="AUE636" s="23"/>
      <c r="AUF636" s="23"/>
      <c r="AUG636" s="23"/>
      <c r="AUH636" s="23"/>
      <c r="AUI636" s="23"/>
      <c r="AUJ636" s="23"/>
      <c r="AUK636" s="23"/>
      <c r="AUL636" s="23"/>
      <c r="AUM636" s="23"/>
      <c r="AUN636" s="23"/>
      <c r="AUO636" s="23"/>
      <c r="AUP636" s="23"/>
      <c r="AUQ636" s="23"/>
      <c r="AUR636" s="23"/>
      <c r="AUS636" s="23"/>
      <c r="AUT636" s="23"/>
      <c r="AUU636" s="23"/>
      <c r="AUV636" s="23"/>
      <c r="AUW636" s="23"/>
      <c r="AUX636" s="23"/>
      <c r="AUY636" s="23"/>
      <c r="AUZ636" s="23"/>
      <c r="AVA636" s="23"/>
      <c r="AVB636" s="23"/>
      <c r="AVC636" s="23"/>
      <c r="AVD636" s="23"/>
      <c r="AVE636" s="23"/>
      <c r="AVF636" s="23"/>
      <c r="AVG636" s="23"/>
      <c r="AVH636" s="23"/>
      <c r="AVI636" s="23"/>
      <c r="AVJ636" s="23"/>
      <c r="AVK636" s="23"/>
      <c r="AVL636" s="23"/>
      <c r="AVM636" s="23"/>
      <c r="AVN636" s="23"/>
      <c r="AVO636" s="23"/>
      <c r="AVP636" s="23"/>
      <c r="AVQ636" s="23"/>
      <c r="AVR636" s="23"/>
      <c r="AVS636" s="23"/>
      <c r="AVT636" s="23"/>
      <c r="AVU636" s="23"/>
      <c r="AVV636" s="23"/>
      <c r="AVW636" s="23"/>
      <c r="AVX636" s="23"/>
      <c r="AVY636" s="23"/>
      <c r="AVZ636" s="23"/>
      <c r="AWA636" s="23"/>
      <c r="AWB636" s="23"/>
      <c r="AWC636" s="23"/>
      <c r="AWD636" s="23"/>
      <c r="AWE636" s="23"/>
      <c r="AWF636" s="23"/>
      <c r="AWG636" s="23"/>
      <c r="AWH636" s="23"/>
      <c r="AWI636" s="23"/>
      <c r="AWJ636" s="23"/>
      <c r="AWK636" s="23"/>
      <c r="AWL636" s="23"/>
      <c r="AWM636" s="23"/>
      <c r="AWN636" s="23"/>
      <c r="AWO636" s="23"/>
      <c r="AWP636" s="23"/>
      <c r="AWQ636" s="23"/>
      <c r="AWR636" s="23"/>
      <c r="AWS636" s="23"/>
      <c r="AWT636" s="23"/>
      <c r="AWU636" s="23"/>
      <c r="AWV636" s="23"/>
      <c r="AWW636" s="23"/>
      <c r="AWX636" s="23"/>
      <c r="AWY636" s="23"/>
      <c r="AWZ636" s="23"/>
      <c r="AXA636" s="23"/>
      <c r="AXB636" s="23"/>
      <c r="AXC636" s="23"/>
      <c r="AXD636" s="23"/>
      <c r="AXE636" s="23"/>
      <c r="AXF636" s="23"/>
      <c r="AXG636" s="23"/>
      <c r="AXH636" s="23"/>
      <c r="AXI636" s="23"/>
      <c r="AXJ636" s="23"/>
      <c r="AXK636" s="23"/>
      <c r="AXL636" s="23"/>
      <c r="AXM636" s="23"/>
      <c r="AXN636" s="23"/>
      <c r="AXO636" s="23"/>
      <c r="AXP636" s="23"/>
      <c r="AXQ636" s="23"/>
      <c r="AXR636" s="23"/>
      <c r="AXS636" s="23"/>
      <c r="AXT636" s="23"/>
      <c r="AXU636" s="23"/>
      <c r="AXV636" s="23"/>
      <c r="AXW636" s="23"/>
      <c r="AXX636" s="23"/>
      <c r="AXY636" s="23"/>
      <c r="AXZ636" s="23"/>
      <c r="AYA636" s="23"/>
      <c r="AYB636" s="23"/>
      <c r="AYC636" s="23"/>
      <c r="AYD636" s="23"/>
      <c r="AYE636" s="23"/>
      <c r="AYF636" s="23"/>
      <c r="AYG636" s="23"/>
      <c r="AYH636" s="23"/>
      <c r="AYI636" s="23"/>
      <c r="AYJ636" s="23"/>
      <c r="AYK636" s="23"/>
      <c r="AYL636" s="23"/>
      <c r="AYM636" s="23"/>
      <c r="AYN636" s="23"/>
      <c r="AYO636" s="23"/>
      <c r="AYP636" s="23"/>
      <c r="AYQ636" s="23"/>
      <c r="AYR636" s="23"/>
      <c r="AYS636" s="23"/>
      <c r="AYT636" s="23"/>
      <c r="AYU636" s="23"/>
      <c r="AYV636" s="23"/>
      <c r="AYW636" s="23"/>
      <c r="AYX636" s="23"/>
      <c r="AYY636" s="23"/>
      <c r="AYZ636" s="23"/>
      <c r="AZA636" s="23"/>
      <c r="AZB636" s="23"/>
      <c r="AZC636" s="23"/>
      <c r="AZD636" s="23"/>
      <c r="AZE636" s="23"/>
      <c r="AZF636" s="23"/>
      <c r="AZG636" s="23"/>
      <c r="AZH636" s="23"/>
      <c r="AZI636" s="23"/>
      <c r="AZJ636" s="23"/>
      <c r="AZK636" s="23"/>
      <c r="AZL636" s="23"/>
      <c r="AZM636" s="23"/>
      <c r="AZN636" s="23"/>
      <c r="AZO636" s="23"/>
      <c r="AZP636" s="23"/>
      <c r="AZQ636" s="23"/>
      <c r="AZR636" s="23"/>
      <c r="AZS636" s="23"/>
      <c r="AZT636" s="23"/>
      <c r="AZU636" s="23"/>
      <c r="AZV636" s="23"/>
      <c r="AZW636" s="23"/>
      <c r="AZX636" s="23"/>
      <c r="AZY636" s="23"/>
      <c r="AZZ636" s="23"/>
      <c r="BAA636" s="23"/>
      <c r="BAB636" s="23"/>
      <c r="BAC636" s="23"/>
      <c r="BAD636" s="23"/>
      <c r="BAE636" s="23"/>
      <c r="BAF636" s="23"/>
      <c r="BAG636" s="23"/>
      <c r="BAH636" s="23"/>
      <c r="BAI636" s="23"/>
      <c r="BAJ636" s="23"/>
      <c r="BAK636" s="23"/>
      <c r="BAL636" s="23"/>
      <c r="BAM636" s="23"/>
      <c r="BAN636" s="23"/>
      <c r="BAO636" s="23"/>
      <c r="BAP636" s="23"/>
      <c r="BAQ636" s="23"/>
      <c r="BAR636" s="23"/>
      <c r="BAS636" s="23"/>
      <c r="BAT636" s="23"/>
      <c r="BAU636" s="23"/>
      <c r="BAV636" s="23"/>
      <c r="BAW636" s="23"/>
      <c r="BAX636" s="23"/>
      <c r="BAY636" s="23"/>
      <c r="BAZ636" s="23"/>
      <c r="BBA636" s="23"/>
      <c r="BBB636" s="23"/>
      <c r="BBC636" s="23"/>
      <c r="BBD636" s="23"/>
      <c r="BBE636" s="23"/>
      <c r="BBF636" s="23"/>
      <c r="BBG636" s="23"/>
      <c r="BBH636" s="23"/>
      <c r="BBI636" s="23"/>
      <c r="BBJ636" s="23"/>
      <c r="BBK636" s="23"/>
      <c r="BBL636" s="23"/>
      <c r="BBM636" s="23"/>
      <c r="BBN636" s="23"/>
      <c r="BBO636" s="23"/>
      <c r="BBP636" s="23"/>
      <c r="BBQ636" s="23"/>
      <c r="BBR636" s="23"/>
      <c r="BBS636" s="23"/>
      <c r="BBT636" s="23"/>
      <c r="BBU636" s="23"/>
      <c r="BBV636" s="23"/>
      <c r="BBW636" s="23"/>
      <c r="BBX636" s="23"/>
      <c r="BBY636" s="23"/>
      <c r="BBZ636" s="23"/>
      <c r="BCA636" s="23"/>
      <c r="BCB636" s="23"/>
      <c r="BCC636" s="23"/>
      <c r="BCD636" s="23"/>
      <c r="BCE636" s="23"/>
      <c r="BCF636" s="23"/>
      <c r="BCG636" s="23"/>
      <c r="BCH636" s="23"/>
      <c r="BCI636" s="23"/>
      <c r="BCJ636" s="23"/>
      <c r="BCK636" s="23"/>
      <c r="BCL636" s="23"/>
      <c r="BCM636" s="23"/>
      <c r="BCN636" s="23"/>
      <c r="BCO636" s="23"/>
      <c r="BCP636" s="23"/>
      <c r="BCQ636" s="23"/>
      <c r="BCR636" s="23"/>
      <c r="BCS636" s="23"/>
      <c r="BCT636" s="23"/>
      <c r="BCU636" s="23"/>
      <c r="BCV636" s="23"/>
      <c r="BCW636" s="23"/>
      <c r="BCX636" s="23"/>
      <c r="BCY636" s="23"/>
      <c r="BCZ636" s="23"/>
      <c r="BDA636" s="23"/>
      <c r="BDB636" s="23"/>
      <c r="BDC636" s="23"/>
      <c r="BDD636" s="23"/>
      <c r="BDE636" s="23"/>
      <c r="BDF636" s="23"/>
      <c r="BDG636" s="23"/>
      <c r="BDH636" s="23"/>
      <c r="BDI636" s="23"/>
      <c r="BDJ636" s="23"/>
      <c r="BDK636" s="23"/>
      <c r="BDL636" s="23"/>
      <c r="BDM636" s="23"/>
      <c r="BDN636" s="23"/>
      <c r="BDO636" s="23"/>
      <c r="BDP636" s="23"/>
      <c r="BDQ636" s="23"/>
      <c r="BDR636" s="23"/>
      <c r="BDS636" s="23"/>
      <c r="BDT636" s="23"/>
      <c r="BDU636" s="23"/>
      <c r="BDV636" s="23"/>
      <c r="BDW636" s="23"/>
      <c r="BDX636" s="23"/>
      <c r="BDY636" s="23"/>
      <c r="BDZ636" s="23"/>
      <c r="BEA636" s="23"/>
      <c r="BEB636" s="23"/>
      <c r="BEC636" s="23"/>
      <c r="BED636" s="23"/>
      <c r="BEE636" s="23"/>
      <c r="BEF636" s="23"/>
      <c r="BEG636" s="23"/>
      <c r="BEH636" s="23"/>
      <c r="BEI636" s="23"/>
      <c r="BEJ636" s="23"/>
      <c r="BEK636" s="23"/>
      <c r="BEL636" s="23"/>
      <c r="BEM636" s="23"/>
      <c r="BEN636" s="23"/>
      <c r="BEO636" s="23"/>
      <c r="BEP636" s="23"/>
      <c r="BEQ636" s="23"/>
      <c r="BER636" s="23"/>
      <c r="BES636" s="23"/>
      <c r="BET636" s="23"/>
      <c r="BEU636" s="23"/>
      <c r="BEV636" s="23"/>
      <c r="BEW636" s="23"/>
      <c r="BEX636" s="23"/>
      <c r="BEY636" s="23"/>
      <c r="BEZ636" s="23"/>
      <c r="BFA636" s="23"/>
      <c r="BFB636" s="23"/>
      <c r="BFC636" s="23"/>
      <c r="BFD636" s="23"/>
      <c r="BFE636" s="23"/>
      <c r="BFF636" s="23"/>
      <c r="BFG636" s="23"/>
      <c r="BFH636" s="23"/>
      <c r="BFI636" s="23"/>
      <c r="BFJ636" s="23"/>
      <c r="BFK636" s="23"/>
      <c r="BFL636" s="23"/>
      <c r="BFM636" s="23"/>
      <c r="BFN636" s="23"/>
      <c r="BFO636" s="23"/>
      <c r="BFP636" s="23"/>
      <c r="BFQ636" s="23"/>
      <c r="BFR636" s="23"/>
      <c r="BFS636" s="23"/>
      <c r="BFT636" s="23"/>
      <c r="BFU636" s="23"/>
      <c r="BFV636" s="23"/>
      <c r="BFW636" s="23"/>
      <c r="BFX636" s="23"/>
      <c r="BFY636" s="23"/>
      <c r="BFZ636" s="23"/>
      <c r="BGA636" s="23"/>
      <c r="BGB636" s="23"/>
      <c r="BGC636" s="23"/>
      <c r="BGD636" s="23"/>
      <c r="BGE636" s="23"/>
      <c r="BGF636" s="23"/>
      <c r="BGG636" s="23"/>
      <c r="BGH636" s="23"/>
      <c r="BGI636" s="23"/>
      <c r="BGJ636" s="23"/>
      <c r="BGK636" s="23"/>
      <c r="BGL636" s="23"/>
      <c r="BGM636" s="23"/>
      <c r="BGN636" s="23"/>
      <c r="BGO636" s="23"/>
      <c r="BGP636" s="23"/>
      <c r="BGQ636" s="23"/>
      <c r="BGR636" s="23"/>
      <c r="BGS636" s="23"/>
      <c r="BGT636" s="23"/>
      <c r="BGU636" s="23"/>
      <c r="BGV636" s="23"/>
      <c r="BGW636" s="23"/>
      <c r="BGX636" s="23"/>
      <c r="BGY636" s="23"/>
      <c r="BGZ636" s="23"/>
      <c r="BHA636" s="23"/>
      <c r="BHB636" s="23"/>
      <c r="BHC636" s="23"/>
      <c r="BHD636" s="23"/>
      <c r="BHE636" s="23"/>
      <c r="BHF636" s="23"/>
      <c r="BHG636" s="23"/>
      <c r="BHH636" s="23"/>
      <c r="BHI636" s="23"/>
      <c r="BHJ636" s="23"/>
      <c r="BHK636" s="23"/>
      <c r="BHL636" s="23"/>
      <c r="BHM636" s="23"/>
      <c r="BHN636" s="23"/>
      <c r="BHO636" s="23"/>
      <c r="BHP636" s="23"/>
      <c r="BHQ636" s="23"/>
      <c r="BHR636" s="23"/>
      <c r="BHS636" s="23"/>
      <c r="BHT636" s="23"/>
      <c r="BHU636" s="23"/>
      <c r="BHV636" s="23"/>
      <c r="BHW636" s="23"/>
      <c r="BHX636" s="23"/>
      <c r="BHY636" s="23"/>
      <c r="BHZ636" s="23"/>
      <c r="BIA636" s="23"/>
      <c r="BIB636" s="23"/>
      <c r="BIC636" s="23"/>
      <c r="BID636" s="23"/>
      <c r="BIE636" s="23"/>
      <c r="BIF636" s="23"/>
      <c r="BIG636" s="23"/>
      <c r="BIH636" s="23"/>
      <c r="BII636" s="23"/>
      <c r="BIJ636" s="23"/>
      <c r="BIK636" s="23"/>
      <c r="BIL636" s="23"/>
      <c r="BIM636" s="23"/>
      <c r="BIN636" s="23"/>
      <c r="BIO636" s="23"/>
      <c r="BIP636" s="23"/>
      <c r="BIQ636" s="23"/>
      <c r="BIR636" s="23"/>
      <c r="BIS636" s="23"/>
      <c r="BIT636" s="23"/>
      <c r="BIU636" s="23"/>
      <c r="BIV636" s="23"/>
      <c r="BIW636" s="23"/>
      <c r="BIX636" s="23"/>
      <c r="BIY636" s="23"/>
      <c r="BIZ636" s="23"/>
      <c r="BJA636" s="23"/>
      <c r="BJB636" s="23"/>
      <c r="BJC636" s="23"/>
      <c r="BJD636" s="23"/>
      <c r="BJE636" s="23"/>
      <c r="BJF636" s="23"/>
      <c r="BJG636" s="23"/>
      <c r="BJH636" s="23"/>
      <c r="BJI636" s="23"/>
      <c r="BJJ636" s="23"/>
      <c r="BJK636" s="23"/>
      <c r="BJL636" s="23"/>
      <c r="BJM636" s="23"/>
      <c r="BJN636" s="23"/>
      <c r="BJO636" s="23"/>
      <c r="BJP636" s="23"/>
      <c r="BJQ636" s="23"/>
      <c r="BJR636" s="23"/>
      <c r="BJS636" s="23"/>
      <c r="BJT636" s="23"/>
      <c r="BJU636" s="23"/>
      <c r="BJV636" s="23"/>
      <c r="BJW636" s="23"/>
      <c r="BJX636" s="23"/>
      <c r="BJY636" s="23"/>
      <c r="BJZ636" s="23"/>
      <c r="BKA636" s="23"/>
      <c r="BKB636" s="23"/>
      <c r="BKC636" s="23"/>
      <c r="BKD636" s="23"/>
      <c r="BKE636" s="23"/>
      <c r="BKF636" s="23"/>
      <c r="BKG636" s="23"/>
      <c r="BKH636" s="23"/>
      <c r="BKI636" s="23"/>
      <c r="BKJ636" s="23"/>
      <c r="BKK636" s="23"/>
      <c r="BKL636" s="23"/>
      <c r="BKM636" s="23"/>
      <c r="BKN636" s="23"/>
      <c r="BKO636" s="23"/>
      <c r="BKP636" s="23"/>
      <c r="BKQ636" s="23"/>
      <c r="BKR636" s="23"/>
      <c r="BKS636" s="23"/>
      <c r="BKT636" s="23"/>
      <c r="BKU636" s="23"/>
      <c r="BKV636" s="23"/>
      <c r="BKW636" s="23"/>
      <c r="BKX636" s="23"/>
      <c r="BKY636" s="23"/>
      <c r="BKZ636" s="23"/>
      <c r="BLA636" s="23"/>
      <c r="BLB636" s="23"/>
      <c r="BLC636" s="23"/>
      <c r="BLD636" s="23"/>
      <c r="BLE636" s="23"/>
      <c r="BLF636" s="23"/>
      <c r="BLG636" s="23"/>
      <c r="BLH636" s="23"/>
      <c r="BLI636" s="23"/>
      <c r="BLJ636" s="23"/>
      <c r="BLK636" s="23"/>
      <c r="BLL636" s="23"/>
      <c r="BLM636" s="23"/>
      <c r="BLN636" s="23"/>
      <c r="BLO636" s="23"/>
      <c r="BLP636" s="23"/>
      <c r="BLQ636" s="23"/>
      <c r="BLR636" s="23"/>
      <c r="BLS636" s="23"/>
      <c r="BLT636" s="23"/>
      <c r="BLU636" s="23"/>
      <c r="BLV636" s="23"/>
      <c r="BLW636" s="23"/>
      <c r="BLX636" s="23"/>
      <c r="BLY636" s="23"/>
      <c r="BLZ636" s="23"/>
      <c r="BMA636" s="23"/>
      <c r="BMB636" s="23"/>
      <c r="BMC636" s="23"/>
      <c r="BMD636" s="23"/>
      <c r="BME636" s="23"/>
      <c r="BMF636" s="23"/>
      <c r="BMG636" s="23"/>
      <c r="BMH636" s="23"/>
      <c r="BMI636" s="23"/>
      <c r="BMJ636" s="23"/>
      <c r="BMK636" s="23"/>
      <c r="BML636" s="23"/>
      <c r="BMM636" s="23"/>
      <c r="BMN636" s="23"/>
      <c r="BMO636" s="23"/>
      <c r="BMP636" s="23"/>
      <c r="BMQ636" s="23"/>
      <c r="BMR636" s="23"/>
      <c r="BMS636" s="23"/>
      <c r="BMT636" s="23"/>
      <c r="BMU636" s="23"/>
      <c r="BMV636" s="23"/>
      <c r="BMW636" s="23"/>
      <c r="BMX636" s="23"/>
      <c r="BMY636" s="23"/>
      <c r="BMZ636" s="23"/>
      <c r="BNA636" s="23"/>
      <c r="BNB636" s="23"/>
      <c r="BNC636" s="23"/>
      <c r="BND636" s="23"/>
      <c r="BNE636" s="23"/>
      <c r="BNF636" s="23"/>
      <c r="BNG636" s="23"/>
      <c r="BNH636" s="23"/>
      <c r="BNI636" s="23"/>
      <c r="BNJ636" s="23"/>
      <c r="BNK636" s="23"/>
      <c r="BNL636" s="23"/>
      <c r="BNM636" s="23"/>
      <c r="BNN636" s="23"/>
      <c r="BNO636" s="23"/>
      <c r="BNP636" s="23"/>
      <c r="BNQ636" s="23"/>
      <c r="BNR636" s="23"/>
      <c r="BNS636" s="23"/>
      <c r="BNT636" s="23"/>
      <c r="BNU636" s="23"/>
      <c r="BNV636" s="23"/>
      <c r="BNW636" s="23"/>
      <c r="BNX636" s="23"/>
      <c r="BNY636" s="23"/>
      <c r="BNZ636" s="23"/>
      <c r="BOA636" s="23"/>
      <c r="BOB636" s="23"/>
      <c r="BOC636" s="23"/>
      <c r="BOD636" s="23"/>
      <c r="BOE636" s="23"/>
      <c r="BOF636" s="23"/>
      <c r="BOG636" s="23"/>
      <c r="BOH636" s="23"/>
      <c r="BOI636" s="23"/>
      <c r="BOJ636" s="23"/>
      <c r="BOK636" s="23"/>
      <c r="BOL636" s="23"/>
      <c r="BOM636" s="23"/>
      <c r="BON636" s="23"/>
      <c r="BOO636" s="23"/>
      <c r="BOP636" s="23"/>
      <c r="BOQ636" s="23"/>
      <c r="BOR636" s="23"/>
      <c r="BOS636" s="23"/>
      <c r="BOT636" s="23"/>
      <c r="BOU636" s="23"/>
      <c r="BOV636" s="23"/>
      <c r="BOW636" s="23"/>
      <c r="BOX636" s="23"/>
      <c r="BOY636" s="23"/>
      <c r="BOZ636" s="23"/>
      <c r="BPA636" s="23"/>
      <c r="BPB636" s="23"/>
      <c r="BPC636" s="23"/>
      <c r="BPD636" s="23"/>
      <c r="BPE636" s="23"/>
      <c r="BPF636" s="23"/>
      <c r="BPG636" s="23"/>
      <c r="BPH636" s="23"/>
      <c r="BPI636" s="23"/>
      <c r="BPJ636" s="23"/>
      <c r="BPK636" s="23"/>
      <c r="BPL636" s="23"/>
      <c r="BPM636" s="23"/>
      <c r="BPN636" s="23"/>
      <c r="BPO636" s="23"/>
      <c r="BPP636" s="23"/>
      <c r="BPQ636" s="23"/>
      <c r="BPR636" s="23"/>
      <c r="BPS636" s="23"/>
      <c r="BPT636" s="23"/>
      <c r="BPU636" s="23"/>
      <c r="BPV636" s="23"/>
      <c r="BPW636" s="23"/>
      <c r="BPX636" s="23"/>
      <c r="BPY636" s="23"/>
      <c r="BPZ636" s="23"/>
      <c r="BQA636" s="23"/>
      <c r="BQB636" s="23"/>
      <c r="BQC636" s="23"/>
      <c r="BQD636" s="23"/>
      <c r="BQE636" s="23"/>
      <c r="BQF636" s="23"/>
      <c r="BQG636" s="23"/>
      <c r="BQH636" s="23"/>
      <c r="BQI636" s="23"/>
      <c r="BQJ636" s="23"/>
      <c r="BQK636" s="23"/>
      <c r="BQL636" s="23"/>
      <c r="BQM636" s="23"/>
      <c r="BQN636" s="23"/>
      <c r="BQO636" s="23"/>
      <c r="BQP636" s="23"/>
      <c r="BQQ636" s="23"/>
      <c r="BQR636" s="23"/>
      <c r="BQS636" s="23"/>
      <c r="BQT636" s="23"/>
      <c r="BQU636" s="23"/>
      <c r="BQV636" s="23"/>
      <c r="BQW636" s="23"/>
      <c r="BQX636" s="23"/>
      <c r="BQY636" s="23"/>
      <c r="BQZ636" s="23"/>
      <c r="BRA636" s="23"/>
      <c r="BRB636" s="23"/>
      <c r="BRC636" s="23"/>
      <c r="BRD636" s="23"/>
      <c r="BRE636" s="23"/>
      <c r="BRF636" s="23"/>
      <c r="BRG636" s="23"/>
      <c r="BRH636" s="23"/>
      <c r="BRI636" s="23"/>
      <c r="BRJ636" s="23"/>
      <c r="BRK636" s="23"/>
      <c r="BRL636" s="23"/>
      <c r="BRM636" s="23"/>
      <c r="BRN636" s="23"/>
      <c r="BRO636" s="23"/>
      <c r="BRP636" s="23"/>
      <c r="BRQ636" s="23"/>
      <c r="BRR636" s="23"/>
      <c r="BRS636" s="23"/>
      <c r="BRT636" s="23"/>
      <c r="BRU636" s="23"/>
      <c r="BRV636" s="23"/>
      <c r="BRW636" s="23"/>
      <c r="BRX636" s="23"/>
      <c r="BRY636" s="23"/>
      <c r="BRZ636" s="23"/>
      <c r="BSA636" s="23"/>
      <c r="BSB636" s="23"/>
      <c r="BSC636" s="23"/>
      <c r="BSD636" s="23"/>
      <c r="BSE636" s="23"/>
      <c r="BSF636" s="23"/>
      <c r="BSG636" s="23"/>
      <c r="BSH636" s="23"/>
      <c r="BSI636" s="23"/>
      <c r="BSJ636" s="23"/>
      <c r="BSK636" s="23"/>
      <c r="BSL636" s="23"/>
      <c r="BSM636" s="23"/>
      <c r="BSN636" s="23"/>
      <c r="BSO636" s="23"/>
      <c r="BSP636" s="23"/>
      <c r="BSQ636" s="23"/>
      <c r="BSR636" s="23"/>
      <c r="BSS636" s="23"/>
      <c r="BST636" s="23"/>
      <c r="BSU636" s="23"/>
      <c r="BSV636" s="23"/>
      <c r="BSW636" s="23"/>
      <c r="BSX636" s="23"/>
      <c r="BSY636" s="23"/>
      <c r="BSZ636" s="23"/>
      <c r="BTA636" s="23"/>
    </row>
    <row r="637" spans="1:1873" s="23" customFormat="1" ht="25.5" x14ac:dyDescent="0.2">
      <c r="A637" s="304" t="s">
        <v>2090</v>
      </c>
      <c r="B637" s="223" t="s">
        <v>801</v>
      </c>
      <c r="C637" s="223" t="s">
        <v>1030</v>
      </c>
      <c r="D637" s="223" t="s">
        <v>619</v>
      </c>
      <c r="E637" s="305" t="s">
        <v>1451</v>
      </c>
      <c r="F637" s="241">
        <v>1</v>
      </c>
      <c r="G637" s="223">
        <v>11</v>
      </c>
      <c r="H637" s="242">
        <v>11</v>
      </c>
      <c r="I637" s="223" t="s">
        <v>807</v>
      </c>
      <c r="J637" s="450">
        <v>1987</v>
      </c>
      <c r="K637" s="560" t="s">
        <v>1211</v>
      </c>
      <c r="L637" s="450">
        <v>1997</v>
      </c>
      <c r="M637" s="243">
        <v>-9999</v>
      </c>
      <c r="N637" s="223">
        <v>-9999</v>
      </c>
      <c r="O637" s="29"/>
      <c r="P637" s="244">
        <f t="shared" si="61"/>
        <v>92.72999999999999</v>
      </c>
      <c r="Q637" s="223">
        <v>-9999</v>
      </c>
      <c r="R637" s="243"/>
      <c r="S637" s="223"/>
      <c r="T637" s="243">
        <v>8.43</v>
      </c>
      <c r="U637" s="223">
        <v>-9999</v>
      </c>
      <c r="V637" s="223"/>
      <c r="W637" s="285">
        <f t="shared" si="62"/>
        <v>6.2299999999999898</v>
      </c>
      <c r="X637" s="223">
        <v>-9999</v>
      </c>
      <c r="Y637" s="223"/>
      <c r="Z637" s="561" t="s">
        <v>1702</v>
      </c>
      <c r="AA637" s="425">
        <f t="shared" si="59"/>
        <v>1682.0700000000002</v>
      </c>
      <c r="AB637" s="243">
        <v>-9999</v>
      </c>
      <c r="AC637" s="245">
        <v>4.0460000000000003</v>
      </c>
      <c r="AD637" s="560">
        <f t="shared" si="60"/>
        <v>3300</v>
      </c>
      <c r="AE637" s="675" t="s">
        <v>97</v>
      </c>
      <c r="AF637" s="223">
        <v>3</v>
      </c>
      <c r="AG637" s="223">
        <v>-9999</v>
      </c>
      <c r="AH637" s="223">
        <v>-9999</v>
      </c>
      <c r="AI637" s="223">
        <v>-9999</v>
      </c>
      <c r="AJ637" s="223">
        <v>-9999</v>
      </c>
      <c r="AK637" s="223">
        <v>-9999</v>
      </c>
      <c r="AL637" s="223">
        <v>-9999</v>
      </c>
      <c r="AM637" s="223">
        <v>-9999</v>
      </c>
      <c r="AN637" s="223" t="s">
        <v>631</v>
      </c>
      <c r="AO637" s="223">
        <v>-9999</v>
      </c>
      <c r="AP637" s="223">
        <v>-9999</v>
      </c>
      <c r="AQ637" s="223" t="s">
        <v>631</v>
      </c>
      <c r="AR637" s="223">
        <v>0</v>
      </c>
      <c r="AS637" s="223">
        <v>-9999</v>
      </c>
      <c r="AT637" s="223">
        <v>-9999</v>
      </c>
      <c r="AU637" s="223">
        <v>0</v>
      </c>
      <c r="AV637" s="223">
        <v>-9999</v>
      </c>
      <c r="AW637" s="223">
        <v>-9999</v>
      </c>
      <c r="AX637" s="223">
        <v>0</v>
      </c>
      <c r="AY637" s="223">
        <v>-9999</v>
      </c>
      <c r="AZ637" s="223">
        <v>-9999</v>
      </c>
      <c r="BA637" s="223">
        <v>-9999</v>
      </c>
      <c r="BB637" s="223" t="s">
        <v>631</v>
      </c>
      <c r="BC637" s="223">
        <v>-9999</v>
      </c>
      <c r="BD637" s="223">
        <v>-9999</v>
      </c>
      <c r="BE637" s="223">
        <v>-9999</v>
      </c>
      <c r="BF637" s="223">
        <v>-9999</v>
      </c>
      <c r="BG637" s="223">
        <v>-9999</v>
      </c>
      <c r="BH637" s="223">
        <v>-9999</v>
      </c>
      <c r="BI637" s="223" t="s">
        <v>1057</v>
      </c>
      <c r="BJ637" s="223">
        <v>-9999</v>
      </c>
      <c r="BK637" s="223">
        <v>-9999</v>
      </c>
      <c r="BL637" s="223">
        <v>-9999</v>
      </c>
      <c r="BM637" s="223">
        <v>-9999</v>
      </c>
      <c r="BN637" s="223">
        <v>-9999</v>
      </c>
      <c r="BO637" s="223">
        <v>-9999</v>
      </c>
      <c r="BP637" s="223">
        <v>-9999</v>
      </c>
      <c r="BQ637" s="223">
        <v>-9999</v>
      </c>
      <c r="BR637" s="223">
        <v>-9999</v>
      </c>
      <c r="BS637" s="242">
        <v>-9999</v>
      </c>
      <c r="BT637" s="223">
        <v>-9999</v>
      </c>
      <c r="BU637" s="223">
        <v>-9999</v>
      </c>
      <c r="BV637" s="223">
        <v>-9999</v>
      </c>
      <c r="BW637" s="223"/>
      <c r="BX637" s="223">
        <v>-9999</v>
      </c>
      <c r="BY637" s="223">
        <v>-9999</v>
      </c>
      <c r="BZ637" s="223">
        <v>-9999</v>
      </c>
      <c r="CA637" s="334" t="s">
        <v>797</v>
      </c>
      <c r="CB637" s="247"/>
      <c r="CC637" s="83">
        <v>1</v>
      </c>
      <c r="CD637" s="32">
        <v>11</v>
      </c>
      <c r="CE637" s="292">
        <v>8.43</v>
      </c>
      <c r="CF637" s="292">
        <v>6.2299999999999898</v>
      </c>
      <c r="CG637" s="84">
        <v>11</v>
      </c>
    </row>
    <row r="638" spans="1:1873" s="23" customFormat="1" x14ac:dyDescent="0.2">
      <c r="A638" s="323"/>
      <c r="B638" s="29"/>
      <c r="C638" s="29"/>
      <c r="D638" s="29"/>
      <c r="E638" s="66"/>
      <c r="F638" s="66"/>
      <c r="G638" s="29"/>
      <c r="H638" s="30"/>
      <c r="I638" s="29"/>
      <c r="J638" s="112"/>
      <c r="K638" s="428"/>
      <c r="L638" s="112"/>
      <c r="M638" s="31"/>
      <c r="N638" s="29"/>
      <c r="O638" s="29"/>
      <c r="P638" s="31"/>
      <c r="Q638" s="29"/>
      <c r="R638" s="31"/>
      <c r="S638" s="29"/>
      <c r="T638" s="31"/>
      <c r="U638" s="29"/>
      <c r="V638" s="29"/>
      <c r="W638" s="31"/>
      <c r="X638" s="29"/>
      <c r="Y638" s="29"/>
      <c r="Z638" s="429"/>
      <c r="AA638" s="115"/>
      <c r="AB638" s="31"/>
      <c r="AC638" s="71"/>
      <c r="AD638" s="71"/>
      <c r="AE638" s="112"/>
      <c r="AF638" s="29"/>
      <c r="AG638" s="29"/>
      <c r="AH638" s="29"/>
      <c r="AI638" s="29"/>
      <c r="AJ638" s="29"/>
      <c r="AK638" s="29"/>
      <c r="AL638" s="29"/>
      <c r="AM638" s="29"/>
      <c r="AN638" s="29"/>
      <c r="AO638" s="29"/>
      <c r="AP638" s="29"/>
      <c r="AQ638" s="29"/>
      <c r="AR638" s="29"/>
      <c r="AS638" s="29"/>
      <c r="AT638" s="29"/>
      <c r="AU638" s="29"/>
      <c r="AV638" s="29"/>
      <c r="AW638" s="29"/>
      <c r="AX638" s="29"/>
      <c r="AY638" s="29"/>
      <c r="AZ638" s="29"/>
      <c r="BA638" s="29"/>
      <c r="BB638" s="29"/>
      <c r="BC638" s="29"/>
      <c r="BD638" s="29"/>
      <c r="BE638" s="29"/>
      <c r="BF638" s="29"/>
      <c r="BG638" s="29"/>
      <c r="BH638" s="29"/>
      <c r="BI638" s="29"/>
      <c r="BJ638" s="29"/>
      <c r="BK638" s="29"/>
      <c r="BL638" s="29"/>
      <c r="BM638" s="29"/>
      <c r="BN638" s="29"/>
      <c r="BO638" s="29"/>
      <c r="BP638" s="29"/>
      <c r="BQ638" s="29"/>
      <c r="BR638" s="29"/>
      <c r="BS638" s="30"/>
      <c r="BT638" s="29"/>
      <c r="BU638" s="29"/>
      <c r="BV638" s="29"/>
      <c r="BW638" s="29"/>
      <c r="BX638" s="29"/>
      <c r="BY638" s="29"/>
      <c r="BZ638" s="29"/>
      <c r="CA638" s="333"/>
      <c r="CC638" s="66"/>
      <c r="CD638" s="323" t="s">
        <v>1577</v>
      </c>
      <c r="CE638" s="342" t="s">
        <v>1576</v>
      </c>
      <c r="CF638" s="342" t="s">
        <v>1575</v>
      </c>
      <c r="CG638" s="30"/>
    </row>
    <row r="639" spans="1:1873" s="118" customFormat="1" ht="13.9" customHeight="1" x14ac:dyDescent="0.2">
      <c r="A639" s="304" t="s">
        <v>2090</v>
      </c>
      <c r="B639" s="223" t="s">
        <v>798</v>
      </c>
      <c r="C639" s="223" t="s">
        <v>1030</v>
      </c>
      <c r="D639" s="450" t="s">
        <v>619</v>
      </c>
      <c r="E639" s="305" t="s">
        <v>1451</v>
      </c>
      <c r="F639" s="548">
        <v>1</v>
      </c>
      <c r="G639" s="450">
        <v>3</v>
      </c>
      <c r="H639" s="549">
        <v>3</v>
      </c>
      <c r="I639" s="223" t="s">
        <v>807</v>
      </c>
      <c r="J639" s="450">
        <v>1987</v>
      </c>
      <c r="K639" s="560" t="s">
        <v>1211</v>
      </c>
      <c r="L639" s="450">
        <v>1989</v>
      </c>
      <c r="M639" s="550">
        <v>-9999</v>
      </c>
      <c r="N639" s="223">
        <v>-9999</v>
      </c>
      <c r="O639" s="29"/>
      <c r="P639" s="244">
        <f t="shared" ref="P639:P647" si="63">+T639*G639</f>
        <v>5.04</v>
      </c>
      <c r="Q639" s="450">
        <v>-9999</v>
      </c>
      <c r="R639" s="550"/>
      <c r="S639" s="450"/>
      <c r="T639" s="243">
        <v>1.68</v>
      </c>
      <c r="U639" s="450">
        <v>-9999</v>
      </c>
      <c r="V639" s="450"/>
      <c r="W639" s="243">
        <v>-9999</v>
      </c>
      <c r="X639" s="223">
        <v>-9999</v>
      </c>
      <c r="Y639" s="223"/>
      <c r="Z639" s="561" t="s">
        <v>1702</v>
      </c>
      <c r="AA639" s="425">
        <f t="shared" ref="AA639:AA647" si="64">681*2.47</f>
        <v>1682.0700000000002</v>
      </c>
      <c r="AB639" s="243">
        <v>-9999</v>
      </c>
      <c r="AC639" s="560">
        <v>4.0460000000000003</v>
      </c>
      <c r="AD639" s="560">
        <f t="shared" ref="AD639:AD647" si="65">0.33*10000</f>
        <v>3300</v>
      </c>
      <c r="AE639" s="675" t="s">
        <v>97</v>
      </c>
      <c r="AF639" s="223">
        <v>3</v>
      </c>
      <c r="AG639" s="450">
        <v>-9999</v>
      </c>
      <c r="AH639" s="450">
        <v>-9999</v>
      </c>
      <c r="AI639" s="450">
        <v>-9999</v>
      </c>
      <c r="AJ639" s="450">
        <v>-9999</v>
      </c>
      <c r="AK639" s="450">
        <v>-9999</v>
      </c>
      <c r="AL639" s="450">
        <v>-9999</v>
      </c>
      <c r="AM639" s="450">
        <v>-9999</v>
      </c>
      <c r="AN639" s="223" t="s">
        <v>631</v>
      </c>
      <c r="AO639" s="223">
        <v>-9999</v>
      </c>
      <c r="AP639" s="223">
        <v>-9999</v>
      </c>
      <c r="AQ639" s="223" t="s">
        <v>631</v>
      </c>
      <c r="AR639" s="223">
        <v>0</v>
      </c>
      <c r="AS639" s="223">
        <v>-9999</v>
      </c>
      <c r="AT639" s="223">
        <v>-9999</v>
      </c>
      <c r="AU639" s="223">
        <v>0</v>
      </c>
      <c r="AV639" s="223">
        <v>-9999</v>
      </c>
      <c r="AW639" s="223">
        <v>-9999</v>
      </c>
      <c r="AX639" s="223">
        <v>0</v>
      </c>
      <c r="AY639" s="223">
        <v>-9999</v>
      </c>
      <c r="AZ639" s="223">
        <v>-9999</v>
      </c>
      <c r="BA639" s="223">
        <v>-9999</v>
      </c>
      <c r="BB639" s="223" t="s">
        <v>631</v>
      </c>
      <c r="BC639" s="223">
        <v>-9999</v>
      </c>
      <c r="BD639" s="223">
        <v>-9999</v>
      </c>
      <c r="BE639" s="223">
        <v>-9999</v>
      </c>
      <c r="BF639" s="223">
        <v>-9999</v>
      </c>
      <c r="BG639" s="223">
        <v>-9999</v>
      </c>
      <c r="BH639" s="223">
        <v>-9999</v>
      </c>
      <c r="BI639" s="223" t="s">
        <v>1058</v>
      </c>
      <c r="BJ639" s="450">
        <v>-9999</v>
      </c>
      <c r="BK639" s="450">
        <v>-9999</v>
      </c>
      <c r="BL639" s="450">
        <v>-9999</v>
      </c>
      <c r="BM639" s="450">
        <v>-9999</v>
      </c>
      <c r="BN639" s="450">
        <v>-9999</v>
      </c>
      <c r="BO639" s="450">
        <v>-9999</v>
      </c>
      <c r="BP639" s="450">
        <v>-9999</v>
      </c>
      <c r="BQ639" s="450">
        <v>-9999</v>
      </c>
      <c r="BR639" s="450">
        <v>-9999</v>
      </c>
      <c r="BS639" s="242">
        <v>-9999</v>
      </c>
      <c r="BT639" s="223">
        <v>-9999</v>
      </c>
      <c r="BU639" s="450">
        <v>-9999</v>
      </c>
      <c r="BV639" s="450">
        <v>-9999</v>
      </c>
      <c r="BW639" s="450"/>
      <c r="BX639" s="450">
        <v>-9999</v>
      </c>
      <c r="BY639" s="450">
        <v>-9999</v>
      </c>
      <c r="BZ639" s="450">
        <v>-9999</v>
      </c>
      <c r="CA639" s="334" t="s">
        <v>797</v>
      </c>
      <c r="CB639" s="542"/>
      <c r="CC639" s="78">
        <v>1</v>
      </c>
      <c r="CD639" s="76">
        <v>3</v>
      </c>
      <c r="CE639" s="343">
        <v>1.68</v>
      </c>
      <c r="CF639" s="343"/>
      <c r="CG639" s="160">
        <v>3</v>
      </c>
    </row>
    <row r="640" spans="1:1873" s="23" customFormat="1" ht="25.5" x14ac:dyDescent="0.2">
      <c r="A640" s="304" t="s">
        <v>2090</v>
      </c>
      <c r="B640" s="223" t="s">
        <v>798</v>
      </c>
      <c r="C640" s="223" t="s">
        <v>1030</v>
      </c>
      <c r="D640" s="223" t="s">
        <v>619</v>
      </c>
      <c r="E640" s="305" t="s">
        <v>1451</v>
      </c>
      <c r="F640" s="241">
        <v>1</v>
      </c>
      <c r="G640" s="223">
        <v>4</v>
      </c>
      <c r="H640" s="242">
        <v>4</v>
      </c>
      <c r="I640" s="223" t="s">
        <v>807</v>
      </c>
      <c r="J640" s="450">
        <v>1987</v>
      </c>
      <c r="K640" s="560" t="s">
        <v>1211</v>
      </c>
      <c r="L640" s="450">
        <v>1990</v>
      </c>
      <c r="M640" s="243">
        <v>-9999</v>
      </c>
      <c r="N640" s="223">
        <v>-9999</v>
      </c>
      <c r="O640" s="29"/>
      <c r="P640" s="244">
        <f t="shared" si="63"/>
        <v>13.88</v>
      </c>
      <c r="Q640" s="223">
        <v>-9999</v>
      </c>
      <c r="R640" s="243"/>
      <c r="S640" s="223"/>
      <c r="T640" s="243">
        <v>3.47</v>
      </c>
      <c r="U640" s="223">
        <v>-9999</v>
      </c>
      <c r="V640" s="223"/>
      <c r="W640" s="285">
        <f t="shared" ref="W640:W647" si="66">+P640-P639</f>
        <v>8.84</v>
      </c>
      <c r="X640" s="223">
        <v>-9999</v>
      </c>
      <c r="Y640" s="223"/>
      <c r="Z640" s="561" t="s">
        <v>1702</v>
      </c>
      <c r="AA640" s="425">
        <f t="shared" si="64"/>
        <v>1682.0700000000002</v>
      </c>
      <c r="AB640" s="243">
        <v>-9999</v>
      </c>
      <c r="AC640" s="245">
        <v>4.0460000000000003</v>
      </c>
      <c r="AD640" s="560">
        <f t="shared" si="65"/>
        <v>3300</v>
      </c>
      <c r="AE640" s="675" t="s">
        <v>97</v>
      </c>
      <c r="AF640" s="223">
        <v>3</v>
      </c>
      <c r="AG640" s="223">
        <v>-9999</v>
      </c>
      <c r="AH640" s="223">
        <v>-9999</v>
      </c>
      <c r="AI640" s="223">
        <v>-9999</v>
      </c>
      <c r="AJ640" s="223">
        <v>-9999</v>
      </c>
      <c r="AK640" s="223">
        <v>-9999</v>
      </c>
      <c r="AL640" s="223">
        <v>-9999</v>
      </c>
      <c r="AM640" s="223">
        <v>-9999</v>
      </c>
      <c r="AN640" s="223" t="s">
        <v>631</v>
      </c>
      <c r="AO640" s="223">
        <v>-9999</v>
      </c>
      <c r="AP640" s="223">
        <v>-9999</v>
      </c>
      <c r="AQ640" s="223" t="s">
        <v>631</v>
      </c>
      <c r="AR640" s="223">
        <v>0</v>
      </c>
      <c r="AS640" s="223">
        <v>-9999</v>
      </c>
      <c r="AT640" s="223">
        <v>-9999</v>
      </c>
      <c r="AU640" s="223">
        <v>0</v>
      </c>
      <c r="AV640" s="223">
        <v>-9999</v>
      </c>
      <c r="AW640" s="223">
        <v>-9999</v>
      </c>
      <c r="AX640" s="223">
        <v>0</v>
      </c>
      <c r="AY640" s="223">
        <v>-9999</v>
      </c>
      <c r="AZ640" s="223">
        <v>-9999</v>
      </c>
      <c r="BA640" s="223">
        <v>-9999</v>
      </c>
      <c r="BB640" s="223" t="s">
        <v>631</v>
      </c>
      <c r="BC640" s="223">
        <v>-9999</v>
      </c>
      <c r="BD640" s="223">
        <v>-9999</v>
      </c>
      <c r="BE640" s="223">
        <v>-9999</v>
      </c>
      <c r="BF640" s="223">
        <v>-9999</v>
      </c>
      <c r="BG640" s="223">
        <v>-9999</v>
      </c>
      <c r="BH640" s="223">
        <v>-9999</v>
      </c>
      <c r="BI640" s="223" t="s">
        <v>1058</v>
      </c>
      <c r="BJ640" s="223">
        <v>-9999</v>
      </c>
      <c r="BK640" s="223">
        <v>-9999</v>
      </c>
      <c r="BL640" s="223">
        <v>-9999</v>
      </c>
      <c r="BM640" s="223">
        <v>-9999</v>
      </c>
      <c r="BN640" s="223">
        <v>-9999</v>
      </c>
      <c r="BO640" s="223">
        <v>-9999</v>
      </c>
      <c r="BP640" s="223">
        <v>-9999</v>
      </c>
      <c r="BQ640" s="223">
        <v>-9999</v>
      </c>
      <c r="BR640" s="223">
        <v>-9999</v>
      </c>
      <c r="BS640" s="242">
        <v>-9999</v>
      </c>
      <c r="BT640" s="223">
        <v>-9999</v>
      </c>
      <c r="BU640" s="223">
        <v>-9999</v>
      </c>
      <c r="BV640" s="223">
        <v>-9999</v>
      </c>
      <c r="BW640" s="223"/>
      <c r="BX640" s="450">
        <v>-9999</v>
      </c>
      <c r="BY640" s="223">
        <v>-9999</v>
      </c>
      <c r="BZ640" s="223">
        <v>-9999</v>
      </c>
      <c r="CA640" s="334" t="s">
        <v>797</v>
      </c>
      <c r="CB640" s="247"/>
      <c r="CC640" s="83">
        <v>1</v>
      </c>
      <c r="CD640" s="32">
        <v>4</v>
      </c>
      <c r="CE640" s="292">
        <v>3.47</v>
      </c>
      <c r="CF640" s="292">
        <v>8.84</v>
      </c>
      <c r="CG640" s="84">
        <v>4</v>
      </c>
    </row>
    <row r="641" spans="1:1873" s="23" customFormat="1" ht="25.5" x14ac:dyDescent="0.2">
      <c r="A641" s="304" t="s">
        <v>2090</v>
      </c>
      <c r="B641" s="223" t="s">
        <v>798</v>
      </c>
      <c r="C641" s="223" t="s">
        <v>1030</v>
      </c>
      <c r="D641" s="223" t="s">
        <v>619</v>
      </c>
      <c r="E641" s="305" t="s">
        <v>1451</v>
      </c>
      <c r="F641" s="241">
        <v>1</v>
      </c>
      <c r="G641" s="223">
        <v>5</v>
      </c>
      <c r="H641" s="242">
        <v>5</v>
      </c>
      <c r="I641" s="223" t="s">
        <v>807</v>
      </c>
      <c r="J641" s="450">
        <v>1987</v>
      </c>
      <c r="K641" s="560" t="s">
        <v>1211</v>
      </c>
      <c r="L641" s="450">
        <v>1991</v>
      </c>
      <c r="M641" s="243">
        <v>-9999</v>
      </c>
      <c r="N641" s="223">
        <v>-9999</v>
      </c>
      <c r="O641" s="29"/>
      <c r="P641" s="244">
        <f t="shared" si="63"/>
        <v>23.55</v>
      </c>
      <c r="Q641" s="223">
        <v>-9999</v>
      </c>
      <c r="R641" s="243"/>
      <c r="S641" s="223"/>
      <c r="T641" s="243">
        <v>4.71</v>
      </c>
      <c r="U641" s="223">
        <v>-9999</v>
      </c>
      <c r="V641" s="223"/>
      <c r="W641" s="285">
        <f t="shared" si="66"/>
        <v>9.67</v>
      </c>
      <c r="X641" s="223">
        <v>-9999</v>
      </c>
      <c r="Y641" s="223"/>
      <c r="Z641" s="561" t="s">
        <v>1702</v>
      </c>
      <c r="AA641" s="425">
        <f t="shared" si="64"/>
        <v>1682.0700000000002</v>
      </c>
      <c r="AB641" s="243">
        <v>-9999</v>
      </c>
      <c r="AC641" s="245">
        <v>4.0460000000000003</v>
      </c>
      <c r="AD641" s="560">
        <f t="shared" si="65"/>
        <v>3300</v>
      </c>
      <c r="AE641" s="675" t="s">
        <v>97</v>
      </c>
      <c r="AF641" s="223">
        <v>3</v>
      </c>
      <c r="AG641" s="223">
        <v>-9999</v>
      </c>
      <c r="AH641" s="223">
        <v>-9999</v>
      </c>
      <c r="AI641" s="223">
        <v>-9999</v>
      </c>
      <c r="AJ641" s="223">
        <v>-9999</v>
      </c>
      <c r="AK641" s="223">
        <v>-9999</v>
      </c>
      <c r="AL641" s="223">
        <v>-9999</v>
      </c>
      <c r="AM641" s="223">
        <v>-9999</v>
      </c>
      <c r="AN641" s="223" t="s">
        <v>631</v>
      </c>
      <c r="AO641" s="223">
        <v>-9999</v>
      </c>
      <c r="AP641" s="223">
        <v>-9999</v>
      </c>
      <c r="AQ641" s="223" t="s">
        <v>631</v>
      </c>
      <c r="AR641" s="223">
        <v>0</v>
      </c>
      <c r="AS641" s="223">
        <v>-9999</v>
      </c>
      <c r="AT641" s="223">
        <v>-9999</v>
      </c>
      <c r="AU641" s="223">
        <v>0</v>
      </c>
      <c r="AV641" s="223">
        <v>-9999</v>
      </c>
      <c r="AW641" s="223">
        <v>-9999</v>
      </c>
      <c r="AX641" s="223">
        <v>0</v>
      </c>
      <c r="AY641" s="223">
        <v>-9999</v>
      </c>
      <c r="AZ641" s="223">
        <v>-9999</v>
      </c>
      <c r="BA641" s="223">
        <v>-9999</v>
      </c>
      <c r="BB641" s="223" t="s">
        <v>631</v>
      </c>
      <c r="BC641" s="223">
        <v>-9999</v>
      </c>
      <c r="BD641" s="223">
        <v>-9999</v>
      </c>
      <c r="BE641" s="223">
        <v>-9999</v>
      </c>
      <c r="BF641" s="223">
        <v>-9999</v>
      </c>
      <c r="BG641" s="223">
        <v>-9999</v>
      </c>
      <c r="BH641" s="223">
        <v>-9999</v>
      </c>
      <c r="BI641" s="223" t="s">
        <v>1058</v>
      </c>
      <c r="BJ641" s="223">
        <v>-9999</v>
      </c>
      <c r="BK641" s="223">
        <v>-9999</v>
      </c>
      <c r="BL641" s="223">
        <v>-9999</v>
      </c>
      <c r="BM641" s="223">
        <v>-9999</v>
      </c>
      <c r="BN641" s="223">
        <v>-9999</v>
      </c>
      <c r="BO641" s="223">
        <v>-9999</v>
      </c>
      <c r="BP641" s="223">
        <v>-9999</v>
      </c>
      <c r="BQ641" s="223">
        <v>-9999</v>
      </c>
      <c r="BR641" s="223">
        <v>-9999</v>
      </c>
      <c r="BS641" s="242">
        <v>-9999</v>
      </c>
      <c r="BT641" s="223">
        <v>-9999</v>
      </c>
      <c r="BU641" s="223">
        <v>-9999</v>
      </c>
      <c r="BV641" s="223">
        <v>-9999</v>
      </c>
      <c r="BW641" s="223"/>
      <c r="BX641" s="450">
        <v>-9999</v>
      </c>
      <c r="BY641" s="223">
        <v>-9999</v>
      </c>
      <c r="BZ641" s="223">
        <v>-9999</v>
      </c>
      <c r="CA641" s="334" t="s">
        <v>797</v>
      </c>
      <c r="CB641" s="247"/>
      <c r="CC641" s="83">
        <v>1</v>
      </c>
      <c r="CD641" s="32">
        <v>5</v>
      </c>
      <c r="CE641" s="292">
        <v>4.71</v>
      </c>
      <c r="CF641" s="292">
        <v>9.67</v>
      </c>
      <c r="CG641" s="84">
        <v>5</v>
      </c>
    </row>
    <row r="642" spans="1:1873" s="23" customFormat="1" ht="25.5" x14ac:dyDescent="0.2">
      <c r="A642" s="304" t="s">
        <v>2090</v>
      </c>
      <c r="B642" s="223" t="s">
        <v>798</v>
      </c>
      <c r="C642" s="223" t="s">
        <v>1030</v>
      </c>
      <c r="D642" s="223" t="s">
        <v>619</v>
      </c>
      <c r="E642" s="305" t="s">
        <v>1451</v>
      </c>
      <c r="F642" s="241">
        <v>1</v>
      </c>
      <c r="G642" s="223">
        <v>6</v>
      </c>
      <c r="H642" s="242">
        <v>6</v>
      </c>
      <c r="I642" s="223" t="s">
        <v>807</v>
      </c>
      <c r="J642" s="450">
        <v>1987</v>
      </c>
      <c r="K642" s="560" t="s">
        <v>1211</v>
      </c>
      <c r="L642" s="450">
        <v>1992</v>
      </c>
      <c r="M642" s="243">
        <v>-9999</v>
      </c>
      <c r="N642" s="223">
        <v>-9999</v>
      </c>
      <c r="O642" s="29"/>
      <c r="P642" s="244">
        <f t="shared" si="63"/>
        <v>34.019999999999996</v>
      </c>
      <c r="Q642" s="223">
        <v>-9999</v>
      </c>
      <c r="R642" s="243"/>
      <c r="S642" s="223"/>
      <c r="T642" s="243">
        <v>5.67</v>
      </c>
      <c r="U642" s="223">
        <v>-9999</v>
      </c>
      <c r="V642" s="223"/>
      <c r="W642" s="285">
        <f t="shared" si="66"/>
        <v>10.469999999999995</v>
      </c>
      <c r="X642" s="223">
        <v>-9999</v>
      </c>
      <c r="Y642" s="223"/>
      <c r="Z642" s="561" t="s">
        <v>1702</v>
      </c>
      <c r="AA642" s="425">
        <f t="shared" si="64"/>
        <v>1682.0700000000002</v>
      </c>
      <c r="AB642" s="243">
        <v>-9999</v>
      </c>
      <c r="AC642" s="245">
        <v>4.0460000000000003</v>
      </c>
      <c r="AD642" s="560">
        <f t="shared" si="65"/>
        <v>3300</v>
      </c>
      <c r="AE642" s="675" t="s">
        <v>97</v>
      </c>
      <c r="AF642" s="223">
        <v>3</v>
      </c>
      <c r="AG642" s="223">
        <v>-9999</v>
      </c>
      <c r="AH642" s="223">
        <v>-9999</v>
      </c>
      <c r="AI642" s="223">
        <v>-9999</v>
      </c>
      <c r="AJ642" s="223">
        <v>-9999</v>
      </c>
      <c r="AK642" s="223">
        <v>-9999</v>
      </c>
      <c r="AL642" s="223">
        <v>-9999</v>
      </c>
      <c r="AM642" s="223">
        <v>-9999</v>
      </c>
      <c r="AN642" s="223" t="s">
        <v>631</v>
      </c>
      <c r="AO642" s="223">
        <v>-9999</v>
      </c>
      <c r="AP642" s="223">
        <v>-9999</v>
      </c>
      <c r="AQ642" s="223" t="s">
        <v>631</v>
      </c>
      <c r="AR642" s="223">
        <v>0</v>
      </c>
      <c r="AS642" s="223">
        <v>-9999</v>
      </c>
      <c r="AT642" s="223">
        <v>-9999</v>
      </c>
      <c r="AU642" s="223">
        <v>0</v>
      </c>
      <c r="AV642" s="223">
        <v>-9999</v>
      </c>
      <c r="AW642" s="223">
        <v>-9999</v>
      </c>
      <c r="AX642" s="223">
        <v>0</v>
      </c>
      <c r="AY642" s="223">
        <v>-9999</v>
      </c>
      <c r="AZ642" s="223">
        <v>-9999</v>
      </c>
      <c r="BA642" s="223">
        <v>-9999</v>
      </c>
      <c r="BB642" s="223" t="s">
        <v>631</v>
      </c>
      <c r="BC642" s="223">
        <v>-9999</v>
      </c>
      <c r="BD642" s="223">
        <v>-9999</v>
      </c>
      <c r="BE642" s="223">
        <v>-9999</v>
      </c>
      <c r="BF642" s="223">
        <v>-9999</v>
      </c>
      <c r="BG642" s="223">
        <v>-9999</v>
      </c>
      <c r="BH642" s="223">
        <v>-9999</v>
      </c>
      <c r="BI642" s="223" t="s">
        <v>1058</v>
      </c>
      <c r="BJ642" s="223">
        <v>-9999</v>
      </c>
      <c r="BK642" s="223">
        <v>-9999</v>
      </c>
      <c r="BL642" s="223">
        <v>-9999</v>
      </c>
      <c r="BM642" s="223">
        <v>-9999</v>
      </c>
      <c r="BN642" s="223">
        <v>-9999</v>
      </c>
      <c r="BO642" s="223">
        <v>-9999</v>
      </c>
      <c r="BP642" s="223">
        <v>-9999</v>
      </c>
      <c r="BQ642" s="223">
        <v>-9999</v>
      </c>
      <c r="BR642" s="223">
        <v>-9999</v>
      </c>
      <c r="BS642" s="242">
        <v>-9999</v>
      </c>
      <c r="BT642" s="223">
        <v>-9999</v>
      </c>
      <c r="BU642" s="223">
        <v>-9999</v>
      </c>
      <c r="BV642" s="223">
        <v>-9999</v>
      </c>
      <c r="BW642" s="223"/>
      <c r="BX642" s="450">
        <v>-9999</v>
      </c>
      <c r="BY642" s="223">
        <v>-9999</v>
      </c>
      <c r="BZ642" s="223">
        <v>-9999</v>
      </c>
      <c r="CA642" s="334" t="s">
        <v>797</v>
      </c>
      <c r="CB642" s="247"/>
      <c r="CC642" s="83">
        <v>1</v>
      </c>
      <c r="CD642" s="32">
        <v>6</v>
      </c>
      <c r="CE642" s="292">
        <v>5.67</v>
      </c>
      <c r="CF642" s="292">
        <v>10.469999999999995</v>
      </c>
      <c r="CG642" s="84">
        <v>6</v>
      </c>
    </row>
    <row r="643" spans="1:1873" s="23" customFormat="1" ht="25.5" x14ac:dyDescent="0.2">
      <c r="A643" s="304" t="s">
        <v>2090</v>
      </c>
      <c r="B643" s="223" t="s">
        <v>798</v>
      </c>
      <c r="C643" s="223" t="s">
        <v>1030</v>
      </c>
      <c r="D643" s="223" t="s">
        <v>619</v>
      </c>
      <c r="E643" s="305" t="s">
        <v>1451</v>
      </c>
      <c r="F643" s="241">
        <v>1</v>
      </c>
      <c r="G643" s="223">
        <v>7</v>
      </c>
      <c r="H643" s="242">
        <v>7</v>
      </c>
      <c r="I643" s="223" t="s">
        <v>807</v>
      </c>
      <c r="J643" s="450">
        <v>1987</v>
      </c>
      <c r="K643" s="560" t="s">
        <v>1211</v>
      </c>
      <c r="L643" s="450">
        <v>1993</v>
      </c>
      <c r="M643" s="243">
        <v>-9999</v>
      </c>
      <c r="N643" s="223">
        <v>-9999</v>
      </c>
      <c r="O643" s="29"/>
      <c r="P643" s="244">
        <f t="shared" si="63"/>
        <v>47.11</v>
      </c>
      <c r="Q643" s="223">
        <v>-9999</v>
      </c>
      <c r="R643" s="243"/>
      <c r="S643" s="223"/>
      <c r="T643" s="243">
        <v>6.73</v>
      </c>
      <c r="U643" s="223">
        <v>-9999</v>
      </c>
      <c r="V643" s="223"/>
      <c r="W643" s="285">
        <f t="shared" si="66"/>
        <v>13.090000000000003</v>
      </c>
      <c r="X643" s="223">
        <v>-9999</v>
      </c>
      <c r="Y643" s="223"/>
      <c r="Z643" s="561" t="s">
        <v>1702</v>
      </c>
      <c r="AA643" s="425">
        <f t="shared" si="64"/>
        <v>1682.0700000000002</v>
      </c>
      <c r="AB643" s="243">
        <v>-9999</v>
      </c>
      <c r="AC643" s="245">
        <v>4.0460000000000003</v>
      </c>
      <c r="AD643" s="560">
        <f t="shared" si="65"/>
        <v>3300</v>
      </c>
      <c r="AE643" s="675" t="s">
        <v>97</v>
      </c>
      <c r="AF643" s="223">
        <v>3</v>
      </c>
      <c r="AG643" s="223">
        <v>-9999</v>
      </c>
      <c r="AH643" s="223">
        <v>-9999</v>
      </c>
      <c r="AI643" s="223">
        <v>-9999</v>
      </c>
      <c r="AJ643" s="223">
        <v>-9999</v>
      </c>
      <c r="AK643" s="223">
        <v>-9999</v>
      </c>
      <c r="AL643" s="223">
        <v>-9999</v>
      </c>
      <c r="AM643" s="223">
        <v>-9999</v>
      </c>
      <c r="AN643" s="223" t="s">
        <v>631</v>
      </c>
      <c r="AO643" s="223">
        <v>-9999</v>
      </c>
      <c r="AP643" s="223">
        <v>-9999</v>
      </c>
      <c r="AQ643" s="223" t="s">
        <v>631</v>
      </c>
      <c r="AR643" s="223">
        <v>0</v>
      </c>
      <c r="AS643" s="223">
        <v>-9999</v>
      </c>
      <c r="AT643" s="223">
        <v>-9999</v>
      </c>
      <c r="AU643" s="223">
        <v>0</v>
      </c>
      <c r="AV643" s="223">
        <v>-9999</v>
      </c>
      <c r="AW643" s="223">
        <v>-9999</v>
      </c>
      <c r="AX643" s="223">
        <v>0</v>
      </c>
      <c r="AY643" s="223">
        <v>-9999</v>
      </c>
      <c r="AZ643" s="223">
        <v>-9999</v>
      </c>
      <c r="BA643" s="223">
        <v>-9999</v>
      </c>
      <c r="BB643" s="223" t="s">
        <v>631</v>
      </c>
      <c r="BC643" s="223">
        <v>-9999</v>
      </c>
      <c r="BD643" s="223">
        <v>-9999</v>
      </c>
      <c r="BE643" s="223">
        <v>-9999</v>
      </c>
      <c r="BF643" s="223">
        <v>-9999</v>
      </c>
      <c r="BG643" s="223">
        <v>-9999</v>
      </c>
      <c r="BH643" s="223">
        <v>-9999</v>
      </c>
      <c r="BI643" s="223" t="s">
        <v>1058</v>
      </c>
      <c r="BJ643" s="223">
        <v>-9999</v>
      </c>
      <c r="BK643" s="223">
        <v>-9999</v>
      </c>
      <c r="BL643" s="223">
        <v>-9999</v>
      </c>
      <c r="BM643" s="223">
        <v>-9999</v>
      </c>
      <c r="BN643" s="223">
        <v>-9999</v>
      </c>
      <c r="BO643" s="223">
        <v>-9999</v>
      </c>
      <c r="BP643" s="223">
        <v>-9999</v>
      </c>
      <c r="BQ643" s="223">
        <v>-9999</v>
      </c>
      <c r="BR643" s="223">
        <v>-9999</v>
      </c>
      <c r="BS643" s="242">
        <v>-9999</v>
      </c>
      <c r="BT643" s="223">
        <v>-9999</v>
      </c>
      <c r="BU643" s="223">
        <v>-9999</v>
      </c>
      <c r="BV643" s="223">
        <v>-9999</v>
      </c>
      <c r="BW643" s="223"/>
      <c r="BX643" s="450">
        <v>-9999</v>
      </c>
      <c r="BY643" s="223">
        <v>-9999</v>
      </c>
      <c r="BZ643" s="223">
        <v>-9999</v>
      </c>
      <c r="CA643" s="334" t="s">
        <v>797</v>
      </c>
      <c r="CB643" s="247"/>
      <c r="CC643" s="83">
        <v>1</v>
      </c>
      <c r="CD643" s="32">
        <v>7</v>
      </c>
      <c r="CE643" s="292">
        <v>6.73</v>
      </c>
      <c r="CF643" s="292">
        <v>13.090000000000003</v>
      </c>
      <c r="CG643" s="84">
        <v>7</v>
      </c>
    </row>
    <row r="644" spans="1:1873" s="23" customFormat="1" ht="25.5" x14ac:dyDescent="0.2">
      <c r="A644" s="304" t="s">
        <v>2090</v>
      </c>
      <c r="B644" s="223" t="s">
        <v>798</v>
      </c>
      <c r="C644" s="223" t="s">
        <v>1030</v>
      </c>
      <c r="D644" s="223" t="s">
        <v>619</v>
      </c>
      <c r="E644" s="305" t="s">
        <v>1451</v>
      </c>
      <c r="F644" s="241">
        <v>1</v>
      </c>
      <c r="G644" s="223">
        <v>8</v>
      </c>
      <c r="H644" s="242">
        <v>8</v>
      </c>
      <c r="I644" s="223" t="s">
        <v>807</v>
      </c>
      <c r="J644" s="450">
        <v>1987</v>
      </c>
      <c r="K644" s="560" t="s">
        <v>1211</v>
      </c>
      <c r="L644" s="450">
        <v>1994</v>
      </c>
      <c r="M644" s="243">
        <v>-9999</v>
      </c>
      <c r="N644" s="223">
        <v>-9999</v>
      </c>
      <c r="O644" s="29"/>
      <c r="P644" s="244">
        <f t="shared" si="63"/>
        <v>59.2</v>
      </c>
      <c r="Q644" s="223">
        <v>-9999</v>
      </c>
      <c r="R644" s="243"/>
      <c r="S644" s="223"/>
      <c r="T644" s="243">
        <v>7.4</v>
      </c>
      <c r="U644" s="223">
        <v>-9999</v>
      </c>
      <c r="V644" s="223"/>
      <c r="W644" s="285">
        <f t="shared" si="66"/>
        <v>12.090000000000003</v>
      </c>
      <c r="X644" s="223">
        <v>-9999</v>
      </c>
      <c r="Y644" s="223"/>
      <c r="Z644" s="561" t="s">
        <v>1702</v>
      </c>
      <c r="AA644" s="425">
        <f t="shared" si="64"/>
        <v>1682.0700000000002</v>
      </c>
      <c r="AB644" s="243">
        <v>-9999</v>
      </c>
      <c r="AC644" s="245">
        <v>4.0460000000000003</v>
      </c>
      <c r="AD644" s="560">
        <f t="shared" si="65"/>
        <v>3300</v>
      </c>
      <c r="AE644" s="675" t="s">
        <v>97</v>
      </c>
      <c r="AF644" s="223">
        <v>3</v>
      </c>
      <c r="AG644" s="223">
        <v>-9999</v>
      </c>
      <c r="AH644" s="223">
        <v>-9999</v>
      </c>
      <c r="AI644" s="223">
        <v>-9999</v>
      </c>
      <c r="AJ644" s="223">
        <v>-9999</v>
      </c>
      <c r="AK644" s="223">
        <v>-9999</v>
      </c>
      <c r="AL644" s="223">
        <v>-9999</v>
      </c>
      <c r="AM644" s="223">
        <v>-9999</v>
      </c>
      <c r="AN644" s="223" t="s">
        <v>631</v>
      </c>
      <c r="AO644" s="223">
        <v>-9999</v>
      </c>
      <c r="AP644" s="223">
        <v>-9999</v>
      </c>
      <c r="AQ644" s="223" t="s">
        <v>631</v>
      </c>
      <c r="AR644" s="223">
        <v>0</v>
      </c>
      <c r="AS644" s="223">
        <v>-9999</v>
      </c>
      <c r="AT644" s="223">
        <v>-9999</v>
      </c>
      <c r="AU644" s="223">
        <v>0</v>
      </c>
      <c r="AV644" s="223">
        <v>-9999</v>
      </c>
      <c r="AW644" s="223">
        <v>-9999</v>
      </c>
      <c r="AX644" s="223">
        <v>0</v>
      </c>
      <c r="AY644" s="223">
        <v>-9999</v>
      </c>
      <c r="AZ644" s="223">
        <v>-9999</v>
      </c>
      <c r="BA644" s="223">
        <v>-9999</v>
      </c>
      <c r="BB644" s="223" t="s">
        <v>631</v>
      </c>
      <c r="BC644" s="223">
        <v>-9999</v>
      </c>
      <c r="BD644" s="223">
        <v>-9999</v>
      </c>
      <c r="BE644" s="223">
        <v>-9999</v>
      </c>
      <c r="BF644" s="223">
        <v>-9999</v>
      </c>
      <c r="BG644" s="223">
        <v>-9999</v>
      </c>
      <c r="BH644" s="223">
        <v>-9999</v>
      </c>
      <c r="BI644" s="223" t="s">
        <v>1058</v>
      </c>
      <c r="BJ644" s="223">
        <v>-9999</v>
      </c>
      <c r="BK644" s="223">
        <v>-9999</v>
      </c>
      <c r="BL644" s="223">
        <v>-9999</v>
      </c>
      <c r="BM644" s="223">
        <v>-9999</v>
      </c>
      <c r="BN644" s="223">
        <v>-9999</v>
      </c>
      <c r="BO644" s="223">
        <v>-9999</v>
      </c>
      <c r="BP644" s="223">
        <v>-9999</v>
      </c>
      <c r="BQ644" s="223">
        <v>-9999</v>
      </c>
      <c r="BR644" s="223">
        <v>-9999</v>
      </c>
      <c r="BS644" s="242">
        <v>-9999</v>
      </c>
      <c r="BT644" s="223">
        <v>-9999</v>
      </c>
      <c r="BU644" s="223">
        <v>-9999</v>
      </c>
      <c r="BV644" s="223">
        <v>-9999</v>
      </c>
      <c r="BW644" s="223"/>
      <c r="BX644" s="450">
        <v>-9999</v>
      </c>
      <c r="BY644" s="223">
        <v>-9999</v>
      </c>
      <c r="BZ644" s="223">
        <v>-9999</v>
      </c>
      <c r="CA644" s="334" t="s">
        <v>797</v>
      </c>
      <c r="CB644" s="247"/>
      <c r="CC644" s="83">
        <v>1</v>
      </c>
      <c r="CD644" s="32">
        <v>8</v>
      </c>
      <c r="CE644" s="292">
        <v>7.4</v>
      </c>
      <c r="CF644" s="292">
        <v>12.090000000000003</v>
      </c>
      <c r="CG644" s="84">
        <v>8</v>
      </c>
    </row>
    <row r="645" spans="1:1873" s="23" customFormat="1" ht="25.5" x14ac:dyDescent="0.2">
      <c r="A645" s="304" t="s">
        <v>2090</v>
      </c>
      <c r="B645" s="223" t="s">
        <v>798</v>
      </c>
      <c r="C645" s="223" t="s">
        <v>1030</v>
      </c>
      <c r="D645" s="223" t="s">
        <v>619</v>
      </c>
      <c r="E645" s="305" t="s">
        <v>1451</v>
      </c>
      <c r="F645" s="241">
        <v>1</v>
      </c>
      <c r="G645" s="223">
        <v>9</v>
      </c>
      <c r="H645" s="242">
        <v>9</v>
      </c>
      <c r="I645" s="223" t="s">
        <v>807</v>
      </c>
      <c r="J645" s="450">
        <v>1987</v>
      </c>
      <c r="K645" s="560" t="s">
        <v>1211</v>
      </c>
      <c r="L645" s="450">
        <v>1995</v>
      </c>
      <c r="M645" s="243">
        <v>-9999</v>
      </c>
      <c r="N645" s="223">
        <v>-9999</v>
      </c>
      <c r="O645" s="29"/>
      <c r="P645" s="244">
        <f t="shared" si="63"/>
        <v>67.41</v>
      </c>
      <c r="Q645" s="223">
        <v>-9999</v>
      </c>
      <c r="R645" s="243"/>
      <c r="S645" s="223"/>
      <c r="T645" s="243">
        <v>7.49</v>
      </c>
      <c r="U645" s="223">
        <v>-9999</v>
      </c>
      <c r="V645" s="223"/>
      <c r="W645" s="285">
        <f t="shared" si="66"/>
        <v>8.2099999999999937</v>
      </c>
      <c r="X645" s="223">
        <v>-9999</v>
      </c>
      <c r="Y645" s="223"/>
      <c r="Z645" s="561" t="s">
        <v>1702</v>
      </c>
      <c r="AA645" s="425">
        <f t="shared" si="64"/>
        <v>1682.0700000000002</v>
      </c>
      <c r="AB645" s="243">
        <v>-9999</v>
      </c>
      <c r="AC645" s="245">
        <v>4.0460000000000003</v>
      </c>
      <c r="AD645" s="560">
        <f t="shared" si="65"/>
        <v>3300</v>
      </c>
      <c r="AE645" s="675" t="s">
        <v>97</v>
      </c>
      <c r="AF645" s="223">
        <v>3</v>
      </c>
      <c r="AG645" s="223">
        <v>-9999</v>
      </c>
      <c r="AH645" s="223">
        <v>-9999</v>
      </c>
      <c r="AI645" s="223">
        <v>-9999</v>
      </c>
      <c r="AJ645" s="223">
        <v>-9999</v>
      </c>
      <c r="AK645" s="223">
        <v>-9999</v>
      </c>
      <c r="AL645" s="223">
        <v>-9999</v>
      </c>
      <c r="AM645" s="223">
        <v>-9999</v>
      </c>
      <c r="AN645" s="223" t="s">
        <v>631</v>
      </c>
      <c r="AO645" s="223">
        <v>-9999</v>
      </c>
      <c r="AP645" s="223">
        <v>-9999</v>
      </c>
      <c r="AQ645" s="223" t="s">
        <v>631</v>
      </c>
      <c r="AR645" s="223">
        <v>0</v>
      </c>
      <c r="AS645" s="223">
        <v>-9999</v>
      </c>
      <c r="AT645" s="223">
        <v>-9999</v>
      </c>
      <c r="AU645" s="223">
        <v>0</v>
      </c>
      <c r="AV645" s="223">
        <v>-9999</v>
      </c>
      <c r="AW645" s="223">
        <v>-9999</v>
      </c>
      <c r="AX645" s="223">
        <v>0</v>
      </c>
      <c r="AY645" s="223">
        <v>-9999</v>
      </c>
      <c r="AZ645" s="223">
        <v>-9999</v>
      </c>
      <c r="BA645" s="223">
        <v>-9999</v>
      </c>
      <c r="BB645" s="223" t="s">
        <v>631</v>
      </c>
      <c r="BC645" s="223">
        <v>-9999</v>
      </c>
      <c r="BD645" s="223">
        <v>-9999</v>
      </c>
      <c r="BE645" s="223">
        <v>-9999</v>
      </c>
      <c r="BF645" s="223">
        <v>-9999</v>
      </c>
      <c r="BG645" s="223">
        <v>-9999</v>
      </c>
      <c r="BH645" s="223">
        <v>-9999</v>
      </c>
      <c r="BI645" s="223" t="s">
        <v>1058</v>
      </c>
      <c r="BJ645" s="223">
        <v>-9999</v>
      </c>
      <c r="BK645" s="223">
        <v>-9999</v>
      </c>
      <c r="BL645" s="223">
        <v>-9999</v>
      </c>
      <c r="BM645" s="223">
        <v>-9999</v>
      </c>
      <c r="BN645" s="223">
        <v>-9999</v>
      </c>
      <c r="BO645" s="223">
        <v>-9999</v>
      </c>
      <c r="BP645" s="223">
        <v>-9999</v>
      </c>
      <c r="BQ645" s="223">
        <v>-9999</v>
      </c>
      <c r="BR645" s="223">
        <v>-9999</v>
      </c>
      <c r="BS645" s="242">
        <v>-9999</v>
      </c>
      <c r="BT645" s="223">
        <v>-9999</v>
      </c>
      <c r="BU645" s="223">
        <v>-9999</v>
      </c>
      <c r="BV645" s="223">
        <v>-9999</v>
      </c>
      <c r="BW645" s="223"/>
      <c r="BX645" s="450">
        <v>-9999</v>
      </c>
      <c r="BY645" s="223">
        <v>-9999</v>
      </c>
      <c r="BZ645" s="223">
        <v>-9999</v>
      </c>
      <c r="CA645" s="334" t="s">
        <v>797</v>
      </c>
      <c r="CB645" s="247"/>
      <c r="CC645" s="83">
        <v>1</v>
      </c>
      <c r="CD645" s="32">
        <v>9</v>
      </c>
      <c r="CE645" s="292">
        <v>7.49</v>
      </c>
      <c r="CF645" s="292">
        <v>8.2099999999999937</v>
      </c>
      <c r="CG645" s="84">
        <v>9</v>
      </c>
    </row>
    <row r="646" spans="1:1873" s="202" customFormat="1" ht="25.5" x14ac:dyDescent="0.2">
      <c r="A646" s="304" t="s">
        <v>2090</v>
      </c>
      <c r="B646" s="223" t="s">
        <v>798</v>
      </c>
      <c r="C646" s="223" t="s">
        <v>1030</v>
      </c>
      <c r="D646" s="223" t="s">
        <v>619</v>
      </c>
      <c r="E646" s="241" t="s">
        <v>1451</v>
      </c>
      <c r="F646" s="241">
        <v>1</v>
      </c>
      <c r="G646" s="223">
        <v>10</v>
      </c>
      <c r="H646" s="242">
        <v>10</v>
      </c>
      <c r="I646" s="223" t="s">
        <v>807</v>
      </c>
      <c r="J646" s="450">
        <v>1987</v>
      </c>
      <c r="K646" s="560" t="s">
        <v>1211</v>
      </c>
      <c r="L646" s="450">
        <v>1996</v>
      </c>
      <c r="M646" s="243">
        <v>-9999</v>
      </c>
      <c r="N646" s="223">
        <v>-9999</v>
      </c>
      <c r="O646" s="29"/>
      <c r="P646" s="285">
        <f t="shared" si="63"/>
        <v>78.899999999999991</v>
      </c>
      <c r="Q646" s="223">
        <v>-9999</v>
      </c>
      <c r="R646" s="243"/>
      <c r="S646" s="223"/>
      <c r="T646" s="243">
        <v>7.89</v>
      </c>
      <c r="U646" s="223">
        <v>-9999</v>
      </c>
      <c r="V646" s="223"/>
      <c r="W646" s="244">
        <f t="shared" si="66"/>
        <v>11.489999999999995</v>
      </c>
      <c r="X646" s="223">
        <v>-9999</v>
      </c>
      <c r="Y646" s="223"/>
      <c r="Z646" s="561" t="s">
        <v>1702</v>
      </c>
      <c r="AA646" s="425">
        <f t="shared" si="64"/>
        <v>1682.0700000000002</v>
      </c>
      <c r="AB646" s="243">
        <v>-9999</v>
      </c>
      <c r="AC646" s="245">
        <v>4.0460000000000003</v>
      </c>
      <c r="AD646" s="560">
        <f t="shared" si="65"/>
        <v>3300</v>
      </c>
      <c r="AE646" s="675" t="s">
        <v>97</v>
      </c>
      <c r="AF646" s="223">
        <v>3</v>
      </c>
      <c r="AG646" s="223">
        <v>-9999</v>
      </c>
      <c r="AH646" s="223">
        <v>-9999</v>
      </c>
      <c r="AI646" s="223">
        <v>-9999</v>
      </c>
      <c r="AJ646" s="223">
        <v>-9999</v>
      </c>
      <c r="AK646" s="223">
        <v>-9999</v>
      </c>
      <c r="AL646" s="223">
        <v>-9999</v>
      </c>
      <c r="AM646" s="223">
        <v>-9999</v>
      </c>
      <c r="AN646" s="223" t="s">
        <v>631</v>
      </c>
      <c r="AO646" s="223">
        <v>-9999</v>
      </c>
      <c r="AP646" s="223">
        <v>-9999</v>
      </c>
      <c r="AQ646" s="223" t="s">
        <v>631</v>
      </c>
      <c r="AR646" s="223">
        <v>0</v>
      </c>
      <c r="AS646" s="223">
        <v>-9999</v>
      </c>
      <c r="AT646" s="223">
        <v>-9999</v>
      </c>
      <c r="AU646" s="223">
        <v>0</v>
      </c>
      <c r="AV646" s="223">
        <v>-9999</v>
      </c>
      <c r="AW646" s="223">
        <v>-9999</v>
      </c>
      <c r="AX646" s="223">
        <v>0</v>
      </c>
      <c r="AY646" s="223">
        <v>-9999</v>
      </c>
      <c r="AZ646" s="223">
        <v>-9999</v>
      </c>
      <c r="BA646" s="223">
        <v>-9999</v>
      </c>
      <c r="BB646" s="223" t="s">
        <v>631</v>
      </c>
      <c r="BC646" s="223">
        <v>-9999</v>
      </c>
      <c r="BD646" s="223">
        <v>-9999</v>
      </c>
      <c r="BE646" s="223">
        <v>-9999</v>
      </c>
      <c r="BF646" s="223">
        <v>-9999</v>
      </c>
      <c r="BG646" s="223">
        <v>-9999</v>
      </c>
      <c r="BH646" s="223">
        <v>-9999</v>
      </c>
      <c r="BI646" s="223" t="s">
        <v>1058</v>
      </c>
      <c r="BJ646" s="223">
        <v>-9999</v>
      </c>
      <c r="BK646" s="223">
        <v>-9999</v>
      </c>
      <c r="BL646" s="223">
        <v>-9999</v>
      </c>
      <c r="BM646" s="223">
        <v>-9999</v>
      </c>
      <c r="BN646" s="223">
        <v>-9999</v>
      </c>
      <c r="BO646" s="223">
        <v>-9999</v>
      </c>
      <c r="BP646" s="223">
        <v>-9999</v>
      </c>
      <c r="BQ646" s="223">
        <v>-9999</v>
      </c>
      <c r="BR646" s="223">
        <v>-9999</v>
      </c>
      <c r="BS646" s="242">
        <v>-9999</v>
      </c>
      <c r="BT646" s="223">
        <v>-9999</v>
      </c>
      <c r="BU646" s="223">
        <v>-9999</v>
      </c>
      <c r="BV646" s="223">
        <v>-9999</v>
      </c>
      <c r="BW646" s="223"/>
      <c r="BX646" s="450">
        <v>-9999</v>
      </c>
      <c r="BY646" s="223">
        <v>-9999</v>
      </c>
      <c r="BZ646" s="223">
        <v>-9999</v>
      </c>
      <c r="CA646" s="334" t="s">
        <v>797</v>
      </c>
      <c r="CB646" s="247"/>
      <c r="CC646" s="201">
        <v>1</v>
      </c>
      <c r="CD646" s="192">
        <v>10</v>
      </c>
      <c r="CE646" s="394">
        <v>7.89</v>
      </c>
      <c r="CF646" s="292">
        <v>11.489999999999995</v>
      </c>
      <c r="CG646" s="196">
        <v>10</v>
      </c>
      <c r="CH646" s="438" t="s">
        <v>1757</v>
      </c>
      <c r="CI646" s="23"/>
      <c r="CJ646" s="23"/>
      <c r="CK646" s="23"/>
      <c r="CL646" s="23"/>
      <c r="CM646" s="23"/>
      <c r="CN646" s="23"/>
      <c r="CO646" s="23"/>
      <c r="CP646" s="23"/>
      <c r="CQ646" s="23"/>
      <c r="CR646" s="23"/>
      <c r="CS646" s="23"/>
      <c r="CT646" s="23"/>
      <c r="CU646" s="23"/>
      <c r="CV646" s="23"/>
      <c r="CW646" s="23"/>
      <c r="CX646" s="23"/>
      <c r="CY646" s="23"/>
      <c r="CZ646" s="23"/>
      <c r="DA646" s="23"/>
      <c r="DB646" s="23"/>
      <c r="DC646" s="23"/>
      <c r="DD646" s="23"/>
      <c r="DE646" s="23"/>
      <c r="DF646" s="23"/>
      <c r="DG646" s="23"/>
      <c r="DH646" s="23"/>
      <c r="DI646" s="23"/>
      <c r="DJ646" s="23"/>
      <c r="DK646" s="23"/>
      <c r="DL646" s="23"/>
      <c r="DM646" s="23"/>
      <c r="DN646" s="23"/>
      <c r="DO646" s="23"/>
      <c r="DP646" s="23"/>
      <c r="DQ646" s="23"/>
      <c r="DR646" s="23"/>
      <c r="DS646" s="23"/>
      <c r="DT646" s="23"/>
      <c r="DU646" s="23"/>
      <c r="DV646" s="23"/>
      <c r="DW646" s="23"/>
      <c r="DX646" s="23"/>
      <c r="DY646" s="23"/>
      <c r="DZ646" s="23"/>
      <c r="EA646" s="23"/>
      <c r="EB646" s="23"/>
      <c r="EC646" s="23"/>
      <c r="ED646" s="23"/>
      <c r="EE646" s="23"/>
      <c r="EF646" s="23"/>
      <c r="EG646" s="23"/>
      <c r="EH646" s="23"/>
      <c r="EI646" s="23"/>
      <c r="EJ646" s="23"/>
      <c r="EK646" s="23"/>
      <c r="EL646" s="23"/>
      <c r="EM646" s="23"/>
      <c r="EN646" s="23"/>
      <c r="EO646" s="23"/>
      <c r="EP646" s="23"/>
      <c r="EQ646" s="23"/>
      <c r="ER646" s="23"/>
      <c r="ES646" s="23"/>
      <c r="ET646" s="23"/>
      <c r="EU646" s="23"/>
      <c r="EV646" s="23"/>
      <c r="EW646" s="23"/>
      <c r="EX646" s="23"/>
      <c r="EY646" s="23"/>
      <c r="EZ646" s="23"/>
      <c r="FA646" s="23"/>
      <c r="FB646" s="23"/>
      <c r="FC646" s="23"/>
      <c r="FD646" s="23"/>
      <c r="FE646" s="23"/>
      <c r="FF646" s="23"/>
      <c r="FG646" s="23"/>
      <c r="FH646" s="23"/>
      <c r="FI646" s="23"/>
      <c r="FJ646" s="23"/>
      <c r="FK646" s="23"/>
      <c r="FL646" s="23"/>
      <c r="FM646" s="23"/>
      <c r="FN646" s="23"/>
      <c r="FO646" s="23"/>
      <c r="FP646" s="23"/>
      <c r="FQ646" s="23"/>
      <c r="FR646" s="23"/>
      <c r="FS646" s="23"/>
      <c r="FT646" s="23"/>
      <c r="FU646" s="23"/>
      <c r="FV646" s="23"/>
      <c r="FW646" s="23"/>
      <c r="FX646" s="23"/>
      <c r="FY646" s="23"/>
      <c r="FZ646" s="23"/>
      <c r="GA646" s="23"/>
      <c r="GB646" s="23"/>
      <c r="GC646" s="23"/>
      <c r="GD646" s="23"/>
      <c r="GE646" s="23"/>
      <c r="GF646" s="23"/>
      <c r="GG646" s="23"/>
      <c r="GH646" s="23"/>
      <c r="GI646" s="23"/>
      <c r="GJ646" s="23"/>
      <c r="GK646" s="23"/>
      <c r="GL646" s="23"/>
      <c r="GM646" s="23"/>
      <c r="GN646" s="23"/>
      <c r="GO646" s="23"/>
      <c r="GP646" s="23"/>
      <c r="GQ646" s="23"/>
      <c r="GR646" s="23"/>
      <c r="GS646" s="23"/>
      <c r="GT646" s="23"/>
      <c r="GU646" s="23"/>
      <c r="GV646" s="23"/>
      <c r="GW646" s="23"/>
      <c r="GX646" s="23"/>
      <c r="GY646" s="23"/>
      <c r="GZ646" s="23"/>
      <c r="HA646" s="23"/>
      <c r="HB646" s="23"/>
      <c r="HC646" s="23"/>
      <c r="HD646" s="23"/>
      <c r="HE646" s="23"/>
      <c r="HF646" s="23"/>
      <c r="HG646" s="23"/>
      <c r="HH646" s="23"/>
      <c r="HI646" s="23"/>
      <c r="HJ646" s="23"/>
      <c r="HK646" s="23"/>
      <c r="HL646" s="23"/>
      <c r="HM646" s="23"/>
      <c r="HN646" s="23"/>
      <c r="HO646" s="23"/>
      <c r="HP646" s="23"/>
      <c r="HQ646" s="23"/>
      <c r="HR646" s="23"/>
      <c r="HS646" s="23"/>
      <c r="HT646" s="23"/>
      <c r="HU646" s="23"/>
      <c r="HV646" s="23"/>
      <c r="HW646" s="23"/>
      <c r="HX646" s="23"/>
      <c r="HY646" s="23"/>
      <c r="HZ646" s="23"/>
      <c r="IA646" s="23"/>
      <c r="IB646" s="23"/>
      <c r="IC646" s="23"/>
      <c r="ID646" s="23"/>
      <c r="IE646" s="23"/>
      <c r="IF646" s="23"/>
      <c r="IG646" s="23"/>
      <c r="IH646" s="23"/>
      <c r="II646" s="23"/>
      <c r="IJ646" s="23"/>
      <c r="IK646" s="23"/>
      <c r="IL646" s="23"/>
      <c r="IM646" s="23"/>
      <c r="IN646" s="23"/>
      <c r="IO646" s="23"/>
      <c r="IP646" s="23"/>
      <c r="IQ646" s="23"/>
      <c r="IR646" s="23"/>
      <c r="IS646" s="23"/>
      <c r="IT646" s="23"/>
      <c r="IU646" s="23"/>
      <c r="IV646" s="23"/>
      <c r="IW646" s="23"/>
      <c r="IX646" s="23"/>
      <c r="IY646" s="23"/>
      <c r="IZ646" s="23"/>
      <c r="JA646" s="23"/>
      <c r="JB646" s="23"/>
      <c r="JC646" s="23"/>
      <c r="JD646" s="23"/>
      <c r="JE646" s="23"/>
      <c r="JF646" s="23"/>
      <c r="JG646" s="23"/>
      <c r="JH646" s="23"/>
      <c r="JI646" s="23"/>
      <c r="JJ646" s="23"/>
      <c r="JK646" s="23"/>
      <c r="JL646" s="23"/>
      <c r="JM646" s="23"/>
      <c r="JN646" s="23"/>
      <c r="JO646" s="23"/>
      <c r="JP646" s="23"/>
      <c r="JQ646" s="23"/>
      <c r="JR646" s="23"/>
      <c r="JS646" s="23"/>
      <c r="JT646" s="23"/>
      <c r="JU646" s="23"/>
      <c r="JV646" s="23"/>
      <c r="JW646" s="23"/>
      <c r="JX646" s="23"/>
      <c r="JY646" s="23"/>
      <c r="JZ646" s="23"/>
      <c r="KA646" s="23"/>
      <c r="KB646" s="23"/>
      <c r="KC646" s="23"/>
      <c r="KD646" s="23"/>
      <c r="KE646" s="23"/>
      <c r="KF646" s="23"/>
      <c r="KG646" s="23"/>
      <c r="KH646" s="23"/>
      <c r="KI646" s="23"/>
      <c r="KJ646" s="23"/>
      <c r="KK646" s="23"/>
      <c r="KL646" s="23"/>
      <c r="KM646" s="23"/>
      <c r="KN646" s="23"/>
      <c r="KO646" s="23"/>
      <c r="KP646" s="23"/>
      <c r="KQ646" s="23"/>
      <c r="KR646" s="23"/>
      <c r="KS646" s="23"/>
      <c r="KT646" s="23"/>
      <c r="KU646" s="23"/>
      <c r="KV646" s="23"/>
      <c r="KW646" s="23"/>
      <c r="KX646" s="23"/>
      <c r="KY646" s="23"/>
      <c r="KZ646" s="23"/>
      <c r="LA646" s="23"/>
      <c r="LB646" s="23"/>
      <c r="LC646" s="23"/>
      <c r="LD646" s="23"/>
      <c r="LE646" s="23"/>
      <c r="LF646" s="23"/>
      <c r="LG646" s="23"/>
      <c r="LH646" s="23"/>
      <c r="LI646" s="23"/>
      <c r="LJ646" s="23"/>
      <c r="LK646" s="23"/>
      <c r="LL646" s="23"/>
      <c r="LM646" s="23"/>
      <c r="LN646" s="23"/>
      <c r="LO646" s="23"/>
      <c r="LP646" s="23"/>
      <c r="LQ646" s="23"/>
      <c r="LR646" s="23"/>
      <c r="LS646" s="23"/>
      <c r="LT646" s="23"/>
      <c r="LU646" s="23"/>
      <c r="LV646" s="23"/>
      <c r="LW646" s="23"/>
      <c r="LX646" s="23"/>
      <c r="LY646" s="23"/>
      <c r="LZ646" s="23"/>
      <c r="MA646" s="23"/>
      <c r="MB646" s="23"/>
      <c r="MC646" s="23"/>
      <c r="MD646" s="23"/>
      <c r="ME646" s="23"/>
      <c r="MF646" s="23"/>
      <c r="MG646" s="23"/>
      <c r="MH646" s="23"/>
      <c r="MI646" s="23"/>
      <c r="MJ646" s="23"/>
      <c r="MK646" s="23"/>
      <c r="ML646" s="23"/>
      <c r="MM646" s="23"/>
      <c r="MN646" s="23"/>
      <c r="MO646" s="23"/>
      <c r="MP646" s="23"/>
      <c r="MQ646" s="23"/>
      <c r="MR646" s="23"/>
      <c r="MS646" s="23"/>
      <c r="MT646" s="23"/>
      <c r="MU646" s="23"/>
      <c r="MV646" s="23"/>
      <c r="MW646" s="23"/>
      <c r="MX646" s="23"/>
      <c r="MY646" s="23"/>
      <c r="MZ646" s="23"/>
      <c r="NA646" s="23"/>
      <c r="NB646" s="23"/>
      <c r="NC646" s="23"/>
      <c r="ND646" s="23"/>
      <c r="NE646" s="23"/>
      <c r="NF646" s="23"/>
      <c r="NG646" s="23"/>
      <c r="NH646" s="23"/>
      <c r="NI646" s="23"/>
      <c r="NJ646" s="23"/>
      <c r="NK646" s="23"/>
      <c r="NL646" s="23"/>
      <c r="NM646" s="23"/>
      <c r="NN646" s="23"/>
      <c r="NO646" s="23"/>
      <c r="NP646" s="23"/>
      <c r="NQ646" s="23"/>
      <c r="NR646" s="23"/>
      <c r="NS646" s="23"/>
      <c r="NT646" s="23"/>
      <c r="NU646" s="23"/>
      <c r="NV646" s="23"/>
      <c r="NW646" s="23"/>
      <c r="NX646" s="23"/>
      <c r="NY646" s="23"/>
      <c r="NZ646" s="23"/>
      <c r="OA646" s="23"/>
      <c r="OB646" s="23"/>
      <c r="OC646" s="23"/>
      <c r="OD646" s="23"/>
      <c r="OE646" s="23"/>
      <c r="OF646" s="23"/>
      <c r="OG646" s="23"/>
      <c r="OH646" s="23"/>
      <c r="OI646" s="23"/>
      <c r="OJ646" s="23"/>
      <c r="OK646" s="23"/>
      <c r="OL646" s="23"/>
      <c r="OM646" s="23"/>
      <c r="ON646" s="23"/>
      <c r="OO646" s="23"/>
      <c r="OP646" s="23"/>
      <c r="OQ646" s="23"/>
      <c r="OR646" s="23"/>
      <c r="OS646" s="23"/>
      <c r="OT646" s="23"/>
      <c r="OU646" s="23"/>
      <c r="OV646" s="23"/>
      <c r="OW646" s="23"/>
      <c r="OX646" s="23"/>
      <c r="OY646" s="23"/>
      <c r="OZ646" s="23"/>
      <c r="PA646" s="23"/>
      <c r="PB646" s="23"/>
      <c r="PC646" s="23"/>
      <c r="PD646" s="23"/>
      <c r="PE646" s="23"/>
      <c r="PF646" s="23"/>
      <c r="PG646" s="23"/>
      <c r="PH646" s="23"/>
      <c r="PI646" s="23"/>
      <c r="PJ646" s="23"/>
      <c r="PK646" s="23"/>
      <c r="PL646" s="23"/>
      <c r="PM646" s="23"/>
      <c r="PN646" s="23"/>
      <c r="PO646" s="23"/>
      <c r="PP646" s="23"/>
      <c r="PQ646" s="23"/>
      <c r="PR646" s="23"/>
      <c r="PS646" s="23"/>
      <c r="PT646" s="23"/>
      <c r="PU646" s="23"/>
      <c r="PV646" s="23"/>
      <c r="PW646" s="23"/>
      <c r="PX646" s="23"/>
      <c r="PY646" s="23"/>
      <c r="PZ646" s="23"/>
      <c r="QA646" s="23"/>
      <c r="QB646" s="23"/>
      <c r="QC646" s="23"/>
      <c r="QD646" s="23"/>
      <c r="QE646" s="23"/>
      <c r="QF646" s="23"/>
      <c r="QG646" s="23"/>
      <c r="QH646" s="23"/>
      <c r="QI646" s="23"/>
      <c r="QJ646" s="23"/>
      <c r="QK646" s="23"/>
      <c r="QL646" s="23"/>
      <c r="QM646" s="23"/>
      <c r="QN646" s="23"/>
      <c r="QO646" s="23"/>
      <c r="QP646" s="23"/>
      <c r="QQ646" s="23"/>
      <c r="QR646" s="23"/>
      <c r="QS646" s="23"/>
      <c r="QT646" s="23"/>
      <c r="QU646" s="23"/>
      <c r="QV646" s="23"/>
      <c r="QW646" s="23"/>
      <c r="QX646" s="23"/>
      <c r="QY646" s="23"/>
      <c r="QZ646" s="23"/>
      <c r="RA646" s="23"/>
      <c r="RB646" s="23"/>
      <c r="RC646" s="23"/>
      <c r="RD646" s="23"/>
      <c r="RE646" s="23"/>
      <c r="RF646" s="23"/>
      <c r="RG646" s="23"/>
      <c r="RH646" s="23"/>
      <c r="RI646" s="23"/>
      <c r="RJ646" s="23"/>
      <c r="RK646" s="23"/>
      <c r="RL646" s="23"/>
      <c r="RM646" s="23"/>
      <c r="RN646" s="23"/>
      <c r="RO646" s="23"/>
      <c r="RP646" s="23"/>
      <c r="RQ646" s="23"/>
      <c r="RR646" s="23"/>
      <c r="RS646" s="23"/>
      <c r="RT646" s="23"/>
      <c r="RU646" s="23"/>
      <c r="RV646" s="23"/>
      <c r="RW646" s="23"/>
      <c r="RX646" s="23"/>
      <c r="RY646" s="23"/>
      <c r="RZ646" s="23"/>
      <c r="SA646" s="23"/>
      <c r="SB646" s="23"/>
      <c r="SC646" s="23"/>
      <c r="SD646" s="23"/>
      <c r="SE646" s="23"/>
      <c r="SF646" s="23"/>
      <c r="SG646" s="23"/>
      <c r="SH646" s="23"/>
      <c r="SI646" s="23"/>
      <c r="SJ646" s="23"/>
      <c r="SK646" s="23"/>
      <c r="SL646" s="23"/>
      <c r="SM646" s="23"/>
      <c r="SN646" s="23"/>
      <c r="SO646" s="23"/>
      <c r="SP646" s="23"/>
      <c r="SQ646" s="23"/>
      <c r="SR646" s="23"/>
      <c r="SS646" s="23"/>
      <c r="ST646" s="23"/>
      <c r="SU646" s="23"/>
      <c r="SV646" s="23"/>
      <c r="SW646" s="23"/>
      <c r="SX646" s="23"/>
      <c r="SY646" s="23"/>
      <c r="SZ646" s="23"/>
      <c r="TA646" s="23"/>
      <c r="TB646" s="23"/>
      <c r="TC646" s="23"/>
      <c r="TD646" s="23"/>
      <c r="TE646" s="23"/>
      <c r="TF646" s="23"/>
      <c r="TG646" s="23"/>
      <c r="TH646" s="23"/>
      <c r="TI646" s="23"/>
      <c r="TJ646" s="23"/>
      <c r="TK646" s="23"/>
      <c r="TL646" s="23"/>
      <c r="TM646" s="23"/>
      <c r="TN646" s="23"/>
      <c r="TO646" s="23"/>
      <c r="TP646" s="23"/>
      <c r="TQ646" s="23"/>
      <c r="TR646" s="23"/>
      <c r="TS646" s="23"/>
      <c r="TT646" s="23"/>
      <c r="TU646" s="23"/>
      <c r="TV646" s="23"/>
      <c r="TW646" s="23"/>
      <c r="TX646" s="23"/>
      <c r="TY646" s="23"/>
      <c r="TZ646" s="23"/>
      <c r="UA646" s="23"/>
      <c r="UB646" s="23"/>
      <c r="UC646" s="23"/>
      <c r="UD646" s="23"/>
      <c r="UE646" s="23"/>
      <c r="UF646" s="23"/>
      <c r="UG646" s="23"/>
      <c r="UH646" s="23"/>
      <c r="UI646" s="23"/>
      <c r="UJ646" s="23"/>
      <c r="UK646" s="23"/>
      <c r="UL646" s="23"/>
      <c r="UM646" s="23"/>
      <c r="UN646" s="23"/>
      <c r="UO646" s="23"/>
      <c r="UP646" s="23"/>
      <c r="UQ646" s="23"/>
      <c r="UR646" s="23"/>
      <c r="US646" s="23"/>
      <c r="UT646" s="23"/>
      <c r="UU646" s="23"/>
      <c r="UV646" s="23"/>
      <c r="UW646" s="23"/>
      <c r="UX646" s="23"/>
      <c r="UY646" s="23"/>
      <c r="UZ646" s="23"/>
      <c r="VA646" s="23"/>
      <c r="VB646" s="23"/>
      <c r="VC646" s="23"/>
      <c r="VD646" s="23"/>
      <c r="VE646" s="23"/>
      <c r="VF646" s="23"/>
      <c r="VG646" s="23"/>
      <c r="VH646" s="23"/>
      <c r="VI646" s="23"/>
      <c r="VJ646" s="23"/>
      <c r="VK646" s="23"/>
      <c r="VL646" s="23"/>
      <c r="VM646" s="23"/>
      <c r="VN646" s="23"/>
      <c r="VO646" s="23"/>
      <c r="VP646" s="23"/>
      <c r="VQ646" s="23"/>
      <c r="VR646" s="23"/>
      <c r="VS646" s="23"/>
      <c r="VT646" s="23"/>
      <c r="VU646" s="23"/>
      <c r="VV646" s="23"/>
      <c r="VW646" s="23"/>
      <c r="VX646" s="23"/>
      <c r="VY646" s="23"/>
      <c r="VZ646" s="23"/>
      <c r="WA646" s="23"/>
      <c r="WB646" s="23"/>
      <c r="WC646" s="23"/>
      <c r="WD646" s="23"/>
      <c r="WE646" s="23"/>
      <c r="WF646" s="23"/>
      <c r="WG646" s="23"/>
      <c r="WH646" s="23"/>
      <c r="WI646" s="23"/>
      <c r="WJ646" s="23"/>
      <c r="WK646" s="23"/>
      <c r="WL646" s="23"/>
      <c r="WM646" s="23"/>
      <c r="WN646" s="23"/>
      <c r="WO646" s="23"/>
      <c r="WP646" s="23"/>
      <c r="WQ646" s="23"/>
      <c r="WR646" s="23"/>
      <c r="WS646" s="23"/>
      <c r="WT646" s="23"/>
      <c r="WU646" s="23"/>
      <c r="WV646" s="23"/>
      <c r="WW646" s="23"/>
      <c r="WX646" s="23"/>
      <c r="WY646" s="23"/>
      <c r="WZ646" s="23"/>
      <c r="XA646" s="23"/>
      <c r="XB646" s="23"/>
      <c r="XC646" s="23"/>
      <c r="XD646" s="23"/>
      <c r="XE646" s="23"/>
      <c r="XF646" s="23"/>
      <c r="XG646" s="23"/>
      <c r="XH646" s="23"/>
      <c r="XI646" s="23"/>
      <c r="XJ646" s="23"/>
      <c r="XK646" s="23"/>
      <c r="XL646" s="23"/>
      <c r="XM646" s="23"/>
      <c r="XN646" s="23"/>
      <c r="XO646" s="23"/>
      <c r="XP646" s="23"/>
      <c r="XQ646" s="23"/>
      <c r="XR646" s="23"/>
      <c r="XS646" s="23"/>
      <c r="XT646" s="23"/>
      <c r="XU646" s="23"/>
      <c r="XV646" s="23"/>
      <c r="XW646" s="23"/>
      <c r="XX646" s="23"/>
      <c r="XY646" s="23"/>
      <c r="XZ646" s="23"/>
      <c r="YA646" s="23"/>
      <c r="YB646" s="23"/>
      <c r="YC646" s="23"/>
      <c r="YD646" s="23"/>
      <c r="YE646" s="23"/>
      <c r="YF646" s="23"/>
      <c r="YG646" s="23"/>
      <c r="YH646" s="23"/>
      <c r="YI646" s="23"/>
      <c r="YJ646" s="23"/>
      <c r="YK646" s="23"/>
      <c r="YL646" s="23"/>
      <c r="YM646" s="23"/>
      <c r="YN646" s="23"/>
      <c r="YO646" s="23"/>
      <c r="YP646" s="23"/>
      <c r="YQ646" s="23"/>
      <c r="YR646" s="23"/>
      <c r="YS646" s="23"/>
      <c r="YT646" s="23"/>
      <c r="YU646" s="23"/>
      <c r="YV646" s="23"/>
      <c r="YW646" s="23"/>
      <c r="YX646" s="23"/>
      <c r="YY646" s="23"/>
      <c r="YZ646" s="23"/>
      <c r="ZA646" s="23"/>
      <c r="ZB646" s="23"/>
      <c r="ZC646" s="23"/>
      <c r="ZD646" s="23"/>
      <c r="ZE646" s="23"/>
      <c r="ZF646" s="23"/>
      <c r="ZG646" s="23"/>
      <c r="ZH646" s="23"/>
      <c r="ZI646" s="23"/>
      <c r="ZJ646" s="23"/>
      <c r="ZK646" s="23"/>
      <c r="ZL646" s="23"/>
      <c r="ZM646" s="23"/>
      <c r="ZN646" s="23"/>
      <c r="ZO646" s="23"/>
      <c r="ZP646" s="23"/>
      <c r="ZQ646" s="23"/>
      <c r="ZR646" s="23"/>
      <c r="ZS646" s="23"/>
      <c r="ZT646" s="23"/>
      <c r="ZU646" s="23"/>
      <c r="ZV646" s="23"/>
      <c r="ZW646" s="23"/>
      <c r="ZX646" s="23"/>
      <c r="ZY646" s="23"/>
      <c r="ZZ646" s="23"/>
      <c r="AAA646" s="23"/>
      <c r="AAB646" s="23"/>
      <c r="AAC646" s="23"/>
      <c r="AAD646" s="23"/>
      <c r="AAE646" s="23"/>
      <c r="AAF646" s="23"/>
      <c r="AAG646" s="23"/>
      <c r="AAH646" s="23"/>
      <c r="AAI646" s="23"/>
      <c r="AAJ646" s="23"/>
      <c r="AAK646" s="23"/>
      <c r="AAL646" s="23"/>
      <c r="AAM646" s="23"/>
      <c r="AAN646" s="23"/>
      <c r="AAO646" s="23"/>
      <c r="AAP646" s="23"/>
      <c r="AAQ646" s="23"/>
      <c r="AAR646" s="23"/>
      <c r="AAS646" s="23"/>
      <c r="AAT646" s="23"/>
      <c r="AAU646" s="23"/>
      <c r="AAV646" s="23"/>
      <c r="AAW646" s="23"/>
      <c r="AAX646" s="23"/>
      <c r="AAY646" s="23"/>
      <c r="AAZ646" s="23"/>
      <c r="ABA646" s="23"/>
      <c r="ABB646" s="23"/>
      <c r="ABC646" s="23"/>
      <c r="ABD646" s="23"/>
      <c r="ABE646" s="23"/>
      <c r="ABF646" s="23"/>
      <c r="ABG646" s="23"/>
      <c r="ABH646" s="23"/>
      <c r="ABI646" s="23"/>
      <c r="ABJ646" s="23"/>
      <c r="ABK646" s="23"/>
      <c r="ABL646" s="23"/>
      <c r="ABM646" s="23"/>
      <c r="ABN646" s="23"/>
      <c r="ABO646" s="23"/>
      <c r="ABP646" s="23"/>
      <c r="ABQ646" s="23"/>
      <c r="ABR646" s="23"/>
      <c r="ABS646" s="23"/>
      <c r="ABT646" s="23"/>
      <c r="ABU646" s="23"/>
      <c r="ABV646" s="23"/>
      <c r="ABW646" s="23"/>
      <c r="ABX646" s="23"/>
      <c r="ABY646" s="23"/>
      <c r="ABZ646" s="23"/>
      <c r="ACA646" s="23"/>
      <c r="ACB646" s="23"/>
      <c r="ACC646" s="23"/>
      <c r="ACD646" s="23"/>
      <c r="ACE646" s="23"/>
      <c r="ACF646" s="23"/>
      <c r="ACG646" s="23"/>
      <c r="ACH646" s="23"/>
      <c r="ACI646" s="23"/>
      <c r="ACJ646" s="23"/>
      <c r="ACK646" s="23"/>
      <c r="ACL646" s="23"/>
      <c r="ACM646" s="23"/>
      <c r="ACN646" s="23"/>
      <c r="ACO646" s="23"/>
      <c r="ACP646" s="23"/>
      <c r="ACQ646" s="23"/>
      <c r="ACR646" s="23"/>
      <c r="ACS646" s="23"/>
      <c r="ACT646" s="23"/>
      <c r="ACU646" s="23"/>
      <c r="ACV646" s="23"/>
      <c r="ACW646" s="23"/>
      <c r="ACX646" s="23"/>
      <c r="ACY646" s="23"/>
      <c r="ACZ646" s="23"/>
      <c r="ADA646" s="23"/>
      <c r="ADB646" s="23"/>
      <c r="ADC646" s="23"/>
      <c r="ADD646" s="23"/>
      <c r="ADE646" s="23"/>
      <c r="ADF646" s="23"/>
      <c r="ADG646" s="23"/>
      <c r="ADH646" s="23"/>
      <c r="ADI646" s="23"/>
      <c r="ADJ646" s="23"/>
      <c r="ADK646" s="23"/>
      <c r="ADL646" s="23"/>
      <c r="ADM646" s="23"/>
      <c r="ADN646" s="23"/>
      <c r="ADO646" s="23"/>
      <c r="ADP646" s="23"/>
      <c r="ADQ646" s="23"/>
      <c r="ADR646" s="23"/>
      <c r="ADS646" s="23"/>
      <c r="ADT646" s="23"/>
      <c r="ADU646" s="23"/>
      <c r="ADV646" s="23"/>
      <c r="ADW646" s="23"/>
      <c r="ADX646" s="23"/>
      <c r="ADY646" s="23"/>
      <c r="ADZ646" s="23"/>
      <c r="AEA646" s="23"/>
      <c r="AEB646" s="23"/>
      <c r="AEC646" s="23"/>
      <c r="AED646" s="23"/>
      <c r="AEE646" s="23"/>
      <c r="AEF646" s="23"/>
      <c r="AEG646" s="23"/>
      <c r="AEH646" s="23"/>
      <c r="AEI646" s="23"/>
      <c r="AEJ646" s="23"/>
      <c r="AEK646" s="23"/>
      <c r="AEL646" s="23"/>
      <c r="AEM646" s="23"/>
      <c r="AEN646" s="23"/>
      <c r="AEO646" s="23"/>
      <c r="AEP646" s="23"/>
      <c r="AEQ646" s="23"/>
      <c r="AER646" s="23"/>
      <c r="AES646" s="23"/>
      <c r="AET646" s="23"/>
      <c r="AEU646" s="23"/>
      <c r="AEV646" s="23"/>
      <c r="AEW646" s="23"/>
      <c r="AEX646" s="23"/>
      <c r="AEY646" s="23"/>
      <c r="AEZ646" s="23"/>
      <c r="AFA646" s="23"/>
      <c r="AFB646" s="23"/>
      <c r="AFC646" s="23"/>
      <c r="AFD646" s="23"/>
      <c r="AFE646" s="23"/>
      <c r="AFF646" s="23"/>
      <c r="AFG646" s="23"/>
      <c r="AFH646" s="23"/>
      <c r="AFI646" s="23"/>
      <c r="AFJ646" s="23"/>
      <c r="AFK646" s="23"/>
      <c r="AFL646" s="23"/>
      <c r="AFM646" s="23"/>
      <c r="AFN646" s="23"/>
      <c r="AFO646" s="23"/>
      <c r="AFP646" s="23"/>
      <c r="AFQ646" s="23"/>
      <c r="AFR646" s="23"/>
      <c r="AFS646" s="23"/>
      <c r="AFT646" s="23"/>
      <c r="AFU646" s="23"/>
      <c r="AFV646" s="23"/>
      <c r="AFW646" s="23"/>
      <c r="AFX646" s="23"/>
      <c r="AFY646" s="23"/>
      <c r="AFZ646" s="23"/>
      <c r="AGA646" s="23"/>
      <c r="AGB646" s="23"/>
      <c r="AGC646" s="23"/>
      <c r="AGD646" s="23"/>
      <c r="AGE646" s="23"/>
      <c r="AGF646" s="23"/>
      <c r="AGG646" s="23"/>
      <c r="AGH646" s="23"/>
      <c r="AGI646" s="23"/>
      <c r="AGJ646" s="23"/>
      <c r="AGK646" s="23"/>
      <c r="AGL646" s="23"/>
      <c r="AGM646" s="23"/>
      <c r="AGN646" s="23"/>
      <c r="AGO646" s="23"/>
      <c r="AGP646" s="23"/>
      <c r="AGQ646" s="23"/>
      <c r="AGR646" s="23"/>
      <c r="AGS646" s="23"/>
      <c r="AGT646" s="23"/>
      <c r="AGU646" s="23"/>
      <c r="AGV646" s="23"/>
      <c r="AGW646" s="23"/>
      <c r="AGX646" s="23"/>
      <c r="AGY646" s="23"/>
      <c r="AGZ646" s="23"/>
      <c r="AHA646" s="23"/>
      <c r="AHB646" s="23"/>
      <c r="AHC646" s="23"/>
      <c r="AHD646" s="23"/>
      <c r="AHE646" s="23"/>
      <c r="AHF646" s="23"/>
      <c r="AHG646" s="23"/>
      <c r="AHH646" s="23"/>
      <c r="AHI646" s="23"/>
      <c r="AHJ646" s="23"/>
      <c r="AHK646" s="23"/>
      <c r="AHL646" s="23"/>
      <c r="AHM646" s="23"/>
      <c r="AHN646" s="23"/>
      <c r="AHO646" s="23"/>
      <c r="AHP646" s="23"/>
      <c r="AHQ646" s="23"/>
      <c r="AHR646" s="23"/>
      <c r="AHS646" s="23"/>
      <c r="AHT646" s="23"/>
      <c r="AHU646" s="23"/>
      <c r="AHV646" s="23"/>
      <c r="AHW646" s="23"/>
      <c r="AHX646" s="23"/>
      <c r="AHY646" s="23"/>
      <c r="AHZ646" s="23"/>
      <c r="AIA646" s="23"/>
      <c r="AIB646" s="23"/>
      <c r="AIC646" s="23"/>
      <c r="AID646" s="23"/>
      <c r="AIE646" s="23"/>
      <c r="AIF646" s="23"/>
      <c r="AIG646" s="23"/>
      <c r="AIH646" s="23"/>
      <c r="AII646" s="23"/>
      <c r="AIJ646" s="23"/>
      <c r="AIK646" s="23"/>
      <c r="AIL646" s="23"/>
      <c r="AIM646" s="23"/>
      <c r="AIN646" s="23"/>
      <c r="AIO646" s="23"/>
      <c r="AIP646" s="23"/>
      <c r="AIQ646" s="23"/>
      <c r="AIR646" s="23"/>
      <c r="AIS646" s="23"/>
      <c r="AIT646" s="23"/>
      <c r="AIU646" s="23"/>
      <c r="AIV646" s="23"/>
      <c r="AIW646" s="23"/>
      <c r="AIX646" s="23"/>
      <c r="AIY646" s="23"/>
      <c r="AIZ646" s="23"/>
      <c r="AJA646" s="23"/>
      <c r="AJB646" s="23"/>
      <c r="AJC646" s="23"/>
      <c r="AJD646" s="23"/>
      <c r="AJE646" s="23"/>
      <c r="AJF646" s="23"/>
      <c r="AJG646" s="23"/>
      <c r="AJH646" s="23"/>
      <c r="AJI646" s="23"/>
      <c r="AJJ646" s="23"/>
      <c r="AJK646" s="23"/>
      <c r="AJL646" s="23"/>
      <c r="AJM646" s="23"/>
      <c r="AJN646" s="23"/>
      <c r="AJO646" s="23"/>
      <c r="AJP646" s="23"/>
      <c r="AJQ646" s="23"/>
      <c r="AJR646" s="23"/>
      <c r="AJS646" s="23"/>
      <c r="AJT646" s="23"/>
      <c r="AJU646" s="23"/>
      <c r="AJV646" s="23"/>
      <c r="AJW646" s="23"/>
      <c r="AJX646" s="23"/>
      <c r="AJY646" s="23"/>
      <c r="AJZ646" s="23"/>
      <c r="AKA646" s="23"/>
      <c r="AKB646" s="23"/>
      <c r="AKC646" s="23"/>
      <c r="AKD646" s="23"/>
      <c r="AKE646" s="23"/>
      <c r="AKF646" s="23"/>
      <c r="AKG646" s="23"/>
      <c r="AKH646" s="23"/>
      <c r="AKI646" s="23"/>
      <c r="AKJ646" s="23"/>
      <c r="AKK646" s="23"/>
      <c r="AKL646" s="23"/>
      <c r="AKM646" s="23"/>
      <c r="AKN646" s="23"/>
      <c r="AKO646" s="23"/>
      <c r="AKP646" s="23"/>
      <c r="AKQ646" s="23"/>
      <c r="AKR646" s="23"/>
      <c r="AKS646" s="23"/>
      <c r="AKT646" s="23"/>
      <c r="AKU646" s="23"/>
      <c r="AKV646" s="23"/>
      <c r="AKW646" s="23"/>
      <c r="AKX646" s="23"/>
      <c r="AKY646" s="23"/>
      <c r="AKZ646" s="23"/>
      <c r="ALA646" s="23"/>
      <c r="ALB646" s="23"/>
      <c r="ALC646" s="23"/>
      <c r="ALD646" s="23"/>
      <c r="ALE646" s="23"/>
      <c r="ALF646" s="23"/>
      <c r="ALG646" s="23"/>
      <c r="ALH646" s="23"/>
      <c r="ALI646" s="23"/>
      <c r="ALJ646" s="23"/>
      <c r="ALK646" s="23"/>
      <c r="ALL646" s="23"/>
      <c r="ALM646" s="23"/>
      <c r="ALN646" s="23"/>
      <c r="ALO646" s="23"/>
      <c r="ALP646" s="23"/>
      <c r="ALQ646" s="23"/>
      <c r="ALR646" s="23"/>
      <c r="ALS646" s="23"/>
      <c r="ALT646" s="23"/>
      <c r="ALU646" s="23"/>
      <c r="ALV646" s="23"/>
      <c r="ALW646" s="23"/>
      <c r="ALX646" s="23"/>
      <c r="ALY646" s="23"/>
      <c r="ALZ646" s="23"/>
      <c r="AMA646" s="23"/>
      <c r="AMB646" s="23"/>
      <c r="AMC646" s="23"/>
      <c r="AMD646" s="23"/>
      <c r="AME646" s="23"/>
      <c r="AMF646" s="23"/>
      <c r="AMG646" s="23"/>
      <c r="AMH646" s="23"/>
      <c r="AMI646" s="23"/>
      <c r="AMJ646" s="23"/>
      <c r="AMK646" s="23"/>
      <c r="AML646" s="23"/>
      <c r="AMM646" s="23"/>
      <c r="AMN646" s="23"/>
      <c r="AMO646" s="23"/>
      <c r="AMP646" s="23"/>
      <c r="AMQ646" s="23"/>
      <c r="AMR646" s="23"/>
      <c r="AMS646" s="23"/>
      <c r="AMT646" s="23"/>
      <c r="AMU646" s="23"/>
      <c r="AMV646" s="23"/>
      <c r="AMW646" s="23"/>
      <c r="AMX646" s="23"/>
      <c r="AMY646" s="23"/>
      <c r="AMZ646" s="23"/>
      <c r="ANA646" s="23"/>
      <c r="ANB646" s="23"/>
      <c r="ANC646" s="23"/>
      <c r="AND646" s="23"/>
      <c r="ANE646" s="23"/>
      <c r="ANF646" s="23"/>
      <c r="ANG646" s="23"/>
      <c r="ANH646" s="23"/>
      <c r="ANI646" s="23"/>
      <c r="ANJ646" s="23"/>
      <c r="ANK646" s="23"/>
      <c r="ANL646" s="23"/>
      <c r="ANM646" s="23"/>
      <c r="ANN646" s="23"/>
      <c r="ANO646" s="23"/>
      <c r="ANP646" s="23"/>
      <c r="ANQ646" s="23"/>
      <c r="ANR646" s="23"/>
      <c r="ANS646" s="23"/>
      <c r="ANT646" s="23"/>
      <c r="ANU646" s="23"/>
      <c r="ANV646" s="23"/>
      <c r="ANW646" s="23"/>
      <c r="ANX646" s="23"/>
      <c r="ANY646" s="23"/>
      <c r="ANZ646" s="23"/>
      <c r="AOA646" s="23"/>
      <c r="AOB646" s="23"/>
      <c r="AOC646" s="23"/>
      <c r="AOD646" s="23"/>
      <c r="AOE646" s="23"/>
      <c r="AOF646" s="23"/>
      <c r="AOG646" s="23"/>
      <c r="AOH646" s="23"/>
      <c r="AOI646" s="23"/>
      <c r="AOJ646" s="23"/>
      <c r="AOK646" s="23"/>
      <c r="AOL646" s="23"/>
      <c r="AOM646" s="23"/>
      <c r="AON646" s="23"/>
      <c r="AOO646" s="23"/>
      <c r="AOP646" s="23"/>
      <c r="AOQ646" s="23"/>
      <c r="AOR646" s="23"/>
      <c r="AOS646" s="23"/>
      <c r="AOT646" s="23"/>
      <c r="AOU646" s="23"/>
      <c r="AOV646" s="23"/>
      <c r="AOW646" s="23"/>
      <c r="AOX646" s="23"/>
      <c r="AOY646" s="23"/>
      <c r="AOZ646" s="23"/>
      <c r="APA646" s="23"/>
      <c r="APB646" s="23"/>
      <c r="APC646" s="23"/>
      <c r="APD646" s="23"/>
      <c r="APE646" s="23"/>
      <c r="APF646" s="23"/>
      <c r="APG646" s="23"/>
      <c r="APH646" s="23"/>
      <c r="API646" s="23"/>
      <c r="APJ646" s="23"/>
      <c r="APK646" s="23"/>
      <c r="APL646" s="23"/>
      <c r="APM646" s="23"/>
      <c r="APN646" s="23"/>
      <c r="APO646" s="23"/>
      <c r="APP646" s="23"/>
      <c r="APQ646" s="23"/>
      <c r="APR646" s="23"/>
      <c r="APS646" s="23"/>
      <c r="APT646" s="23"/>
      <c r="APU646" s="23"/>
      <c r="APV646" s="23"/>
      <c r="APW646" s="23"/>
      <c r="APX646" s="23"/>
      <c r="APY646" s="23"/>
      <c r="APZ646" s="23"/>
      <c r="AQA646" s="23"/>
      <c r="AQB646" s="23"/>
      <c r="AQC646" s="23"/>
      <c r="AQD646" s="23"/>
      <c r="AQE646" s="23"/>
      <c r="AQF646" s="23"/>
      <c r="AQG646" s="23"/>
      <c r="AQH646" s="23"/>
      <c r="AQI646" s="23"/>
      <c r="AQJ646" s="23"/>
      <c r="AQK646" s="23"/>
      <c r="AQL646" s="23"/>
      <c r="AQM646" s="23"/>
      <c r="AQN646" s="23"/>
      <c r="AQO646" s="23"/>
      <c r="AQP646" s="23"/>
      <c r="AQQ646" s="23"/>
      <c r="AQR646" s="23"/>
      <c r="AQS646" s="23"/>
      <c r="AQT646" s="23"/>
      <c r="AQU646" s="23"/>
      <c r="AQV646" s="23"/>
      <c r="AQW646" s="23"/>
      <c r="AQX646" s="23"/>
      <c r="AQY646" s="23"/>
      <c r="AQZ646" s="23"/>
      <c r="ARA646" s="23"/>
      <c r="ARB646" s="23"/>
      <c r="ARC646" s="23"/>
      <c r="ARD646" s="23"/>
      <c r="ARE646" s="23"/>
      <c r="ARF646" s="23"/>
      <c r="ARG646" s="23"/>
      <c r="ARH646" s="23"/>
      <c r="ARI646" s="23"/>
      <c r="ARJ646" s="23"/>
      <c r="ARK646" s="23"/>
      <c r="ARL646" s="23"/>
      <c r="ARM646" s="23"/>
      <c r="ARN646" s="23"/>
      <c r="ARO646" s="23"/>
      <c r="ARP646" s="23"/>
      <c r="ARQ646" s="23"/>
      <c r="ARR646" s="23"/>
      <c r="ARS646" s="23"/>
      <c r="ART646" s="23"/>
      <c r="ARU646" s="23"/>
      <c r="ARV646" s="23"/>
      <c r="ARW646" s="23"/>
      <c r="ARX646" s="23"/>
      <c r="ARY646" s="23"/>
      <c r="ARZ646" s="23"/>
      <c r="ASA646" s="23"/>
      <c r="ASB646" s="23"/>
      <c r="ASC646" s="23"/>
      <c r="ASD646" s="23"/>
      <c r="ASE646" s="23"/>
      <c r="ASF646" s="23"/>
      <c r="ASG646" s="23"/>
      <c r="ASH646" s="23"/>
      <c r="ASI646" s="23"/>
      <c r="ASJ646" s="23"/>
      <c r="ASK646" s="23"/>
      <c r="ASL646" s="23"/>
      <c r="ASM646" s="23"/>
      <c r="ASN646" s="23"/>
      <c r="ASO646" s="23"/>
      <c r="ASP646" s="23"/>
      <c r="ASQ646" s="23"/>
      <c r="ASR646" s="23"/>
      <c r="ASS646" s="23"/>
      <c r="AST646" s="23"/>
      <c r="ASU646" s="23"/>
      <c r="ASV646" s="23"/>
      <c r="ASW646" s="23"/>
      <c r="ASX646" s="23"/>
      <c r="ASY646" s="23"/>
      <c r="ASZ646" s="23"/>
      <c r="ATA646" s="23"/>
      <c r="ATB646" s="23"/>
      <c r="ATC646" s="23"/>
      <c r="ATD646" s="23"/>
      <c r="ATE646" s="23"/>
      <c r="ATF646" s="23"/>
      <c r="ATG646" s="23"/>
      <c r="ATH646" s="23"/>
      <c r="ATI646" s="23"/>
      <c r="ATJ646" s="23"/>
      <c r="ATK646" s="23"/>
      <c r="ATL646" s="23"/>
      <c r="ATM646" s="23"/>
      <c r="ATN646" s="23"/>
      <c r="ATO646" s="23"/>
      <c r="ATP646" s="23"/>
      <c r="ATQ646" s="23"/>
      <c r="ATR646" s="23"/>
      <c r="ATS646" s="23"/>
      <c r="ATT646" s="23"/>
      <c r="ATU646" s="23"/>
      <c r="ATV646" s="23"/>
      <c r="ATW646" s="23"/>
      <c r="ATX646" s="23"/>
      <c r="ATY646" s="23"/>
      <c r="ATZ646" s="23"/>
      <c r="AUA646" s="23"/>
      <c r="AUB646" s="23"/>
      <c r="AUC646" s="23"/>
      <c r="AUD646" s="23"/>
      <c r="AUE646" s="23"/>
      <c r="AUF646" s="23"/>
      <c r="AUG646" s="23"/>
      <c r="AUH646" s="23"/>
      <c r="AUI646" s="23"/>
      <c r="AUJ646" s="23"/>
      <c r="AUK646" s="23"/>
      <c r="AUL646" s="23"/>
      <c r="AUM646" s="23"/>
      <c r="AUN646" s="23"/>
      <c r="AUO646" s="23"/>
      <c r="AUP646" s="23"/>
      <c r="AUQ646" s="23"/>
      <c r="AUR646" s="23"/>
      <c r="AUS646" s="23"/>
      <c r="AUT646" s="23"/>
      <c r="AUU646" s="23"/>
      <c r="AUV646" s="23"/>
      <c r="AUW646" s="23"/>
      <c r="AUX646" s="23"/>
      <c r="AUY646" s="23"/>
      <c r="AUZ646" s="23"/>
      <c r="AVA646" s="23"/>
      <c r="AVB646" s="23"/>
      <c r="AVC646" s="23"/>
      <c r="AVD646" s="23"/>
      <c r="AVE646" s="23"/>
      <c r="AVF646" s="23"/>
      <c r="AVG646" s="23"/>
      <c r="AVH646" s="23"/>
      <c r="AVI646" s="23"/>
      <c r="AVJ646" s="23"/>
      <c r="AVK646" s="23"/>
      <c r="AVL646" s="23"/>
      <c r="AVM646" s="23"/>
      <c r="AVN646" s="23"/>
      <c r="AVO646" s="23"/>
      <c r="AVP646" s="23"/>
      <c r="AVQ646" s="23"/>
      <c r="AVR646" s="23"/>
      <c r="AVS646" s="23"/>
      <c r="AVT646" s="23"/>
      <c r="AVU646" s="23"/>
      <c r="AVV646" s="23"/>
      <c r="AVW646" s="23"/>
      <c r="AVX646" s="23"/>
      <c r="AVY646" s="23"/>
      <c r="AVZ646" s="23"/>
      <c r="AWA646" s="23"/>
      <c r="AWB646" s="23"/>
      <c r="AWC646" s="23"/>
      <c r="AWD646" s="23"/>
      <c r="AWE646" s="23"/>
      <c r="AWF646" s="23"/>
      <c r="AWG646" s="23"/>
      <c r="AWH646" s="23"/>
      <c r="AWI646" s="23"/>
      <c r="AWJ646" s="23"/>
      <c r="AWK646" s="23"/>
      <c r="AWL646" s="23"/>
      <c r="AWM646" s="23"/>
      <c r="AWN646" s="23"/>
      <c r="AWO646" s="23"/>
      <c r="AWP646" s="23"/>
      <c r="AWQ646" s="23"/>
      <c r="AWR646" s="23"/>
      <c r="AWS646" s="23"/>
      <c r="AWT646" s="23"/>
      <c r="AWU646" s="23"/>
      <c r="AWV646" s="23"/>
      <c r="AWW646" s="23"/>
      <c r="AWX646" s="23"/>
      <c r="AWY646" s="23"/>
      <c r="AWZ646" s="23"/>
      <c r="AXA646" s="23"/>
      <c r="AXB646" s="23"/>
      <c r="AXC646" s="23"/>
      <c r="AXD646" s="23"/>
      <c r="AXE646" s="23"/>
      <c r="AXF646" s="23"/>
      <c r="AXG646" s="23"/>
      <c r="AXH646" s="23"/>
      <c r="AXI646" s="23"/>
      <c r="AXJ646" s="23"/>
      <c r="AXK646" s="23"/>
      <c r="AXL646" s="23"/>
      <c r="AXM646" s="23"/>
      <c r="AXN646" s="23"/>
      <c r="AXO646" s="23"/>
      <c r="AXP646" s="23"/>
      <c r="AXQ646" s="23"/>
      <c r="AXR646" s="23"/>
      <c r="AXS646" s="23"/>
      <c r="AXT646" s="23"/>
      <c r="AXU646" s="23"/>
      <c r="AXV646" s="23"/>
      <c r="AXW646" s="23"/>
      <c r="AXX646" s="23"/>
      <c r="AXY646" s="23"/>
      <c r="AXZ646" s="23"/>
      <c r="AYA646" s="23"/>
      <c r="AYB646" s="23"/>
      <c r="AYC646" s="23"/>
      <c r="AYD646" s="23"/>
      <c r="AYE646" s="23"/>
      <c r="AYF646" s="23"/>
      <c r="AYG646" s="23"/>
      <c r="AYH646" s="23"/>
      <c r="AYI646" s="23"/>
      <c r="AYJ646" s="23"/>
      <c r="AYK646" s="23"/>
      <c r="AYL646" s="23"/>
      <c r="AYM646" s="23"/>
      <c r="AYN646" s="23"/>
      <c r="AYO646" s="23"/>
      <c r="AYP646" s="23"/>
      <c r="AYQ646" s="23"/>
      <c r="AYR646" s="23"/>
      <c r="AYS646" s="23"/>
      <c r="AYT646" s="23"/>
      <c r="AYU646" s="23"/>
      <c r="AYV646" s="23"/>
      <c r="AYW646" s="23"/>
      <c r="AYX646" s="23"/>
      <c r="AYY646" s="23"/>
      <c r="AYZ646" s="23"/>
      <c r="AZA646" s="23"/>
      <c r="AZB646" s="23"/>
      <c r="AZC646" s="23"/>
      <c r="AZD646" s="23"/>
      <c r="AZE646" s="23"/>
      <c r="AZF646" s="23"/>
      <c r="AZG646" s="23"/>
      <c r="AZH646" s="23"/>
      <c r="AZI646" s="23"/>
      <c r="AZJ646" s="23"/>
      <c r="AZK646" s="23"/>
      <c r="AZL646" s="23"/>
      <c r="AZM646" s="23"/>
      <c r="AZN646" s="23"/>
      <c r="AZO646" s="23"/>
      <c r="AZP646" s="23"/>
      <c r="AZQ646" s="23"/>
      <c r="AZR646" s="23"/>
      <c r="AZS646" s="23"/>
      <c r="AZT646" s="23"/>
      <c r="AZU646" s="23"/>
      <c r="AZV646" s="23"/>
      <c r="AZW646" s="23"/>
      <c r="AZX646" s="23"/>
      <c r="AZY646" s="23"/>
      <c r="AZZ646" s="23"/>
      <c r="BAA646" s="23"/>
      <c r="BAB646" s="23"/>
      <c r="BAC646" s="23"/>
      <c r="BAD646" s="23"/>
      <c r="BAE646" s="23"/>
      <c r="BAF646" s="23"/>
      <c r="BAG646" s="23"/>
      <c r="BAH646" s="23"/>
      <c r="BAI646" s="23"/>
      <c r="BAJ646" s="23"/>
      <c r="BAK646" s="23"/>
      <c r="BAL646" s="23"/>
      <c r="BAM646" s="23"/>
      <c r="BAN646" s="23"/>
      <c r="BAO646" s="23"/>
      <c r="BAP646" s="23"/>
      <c r="BAQ646" s="23"/>
      <c r="BAR646" s="23"/>
      <c r="BAS646" s="23"/>
      <c r="BAT646" s="23"/>
      <c r="BAU646" s="23"/>
      <c r="BAV646" s="23"/>
      <c r="BAW646" s="23"/>
      <c r="BAX646" s="23"/>
      <c r="BAY646" s="23"/>
      <c r="BAZ646" s="23"/>
      <c r="BBA646" s="23"/>
      <c r="BBB646" s="23"/>
      <c r="BBC646" s="23"/>
      <c r="BBD646" s="23"/>
      <c r="BBE646" s="23"/>
      <c r="BBF646" s="23"/>
      <c r="BBG646" s="23"/>
      <c r="BBH646" s="23"/>
      <c r="BBI646" s="23"/>
      <c r="BBJ646" s="23"/>
      <c r="BBK646" s="23"/>
      <c r="BBL646" s="23"/>
      <c r="BBM646" s="23"/>
      <c r="BBN646" s="23"/>
      <c r="BBO646" s="23"/>
      <c r="BBP646" s="23"/>
      <c r="BBQ646" s="23"/>
      <c r="BBR646" s="23"/>
      <c r="BBS646" s="23"/>
      <c r="BBT646" s="23"/>
      <c r="BBU646" s="23"/>
      <c r="BBV646" s="23"/>
      <c r="BBW646" s="23"/>
      <c r="BBX646" s="23"/>
      <c r="BBY646" s="23"/>
      <c r="BBZ646" s="23"/>
      <c r="BCA646" s="23"/>
      <c r="BCB646" s="23"/>
      <c r="BCC646" s="23"/>
      <c r="BCD646" s="23"/>
      <c r="BCE646" s="23"/>
      <c r="BCF646" s="23"/>
      <c r="BCG646" s="23"/>
      <c r="BCH646" s="23"/>
      <c r="BCI646" s="23"/>
      <c r="BCJ646" s="23"/>
      <c r="BCK646" s="23"/>
      <c r="BCL646" s="23"/>
      <c r="BCM646" s="23"/>
      <c r="BCN646" s="23"/>
      <c r="BCO646" s="23"/>
      <c r="BCP646" s="23"/>
      <c r="BCQ646" s="23"/>
      <c r="BCR646" s="23"/>
      <c r="BCS646" s="23"/>
      <c r="BCT646" s="23"/>
      <c r="BCU646" s="23"/>
      <c r="BCV646" s="23"/>
      <c r="BCW646" s="23"/>
      <c r="BCX646" s="23"/>
      <c r="BCY646" s="23"/>
      <c r="BCZ646" s="23"/>
      <c r="BDA646" s="23"/>
      <c r="BDB646" s="23"/>
      <c r="BDC646" s="23"/>
      <c r="BDD646" s="23"/>
      <c r="BDE646" s="23"/>
      <c r="BDF646" s="23"/>
      <c r="BDG646" s="23"/>
      <c r="BDH646" s="23"/>
      <c r="BDI646" s="23"/>
      <c r="BDJ646" s="23"/>
      <c r="BDK646" s="23"/>
      <c r="BDL646" s="23"/>
      <c r="BDM646" s="23"/>
      <c r="BDN646" s="23"/>
      <c r="BDO646" s="23"/>
      <c r="BDP646" s="23"/>
      <c r="BDQ646" s="23"/>
      <c r="BDR646" s="23"/>
      <c r="BDS646" s="23"/>
      <c r="BDT646" s="23"/>
      <c r="BDU646" s="23"/>
      <c r="BDV646" s="23"/>
      <c r="BDW646" s="23"/>
      <c r="BDX646" s="23"/>
      <c r="BDY646" s="23"/>
      <c r="BDZ646" s="23"/>
      <c r="BEA646" s="23"/>
      <c r="BEB646" s="23"/>
      <c r="BEC646" s="23"/>
      <c r="BED646" s="23"/>
      <c r="BEE646" s="23"/>
      <c r="BEF646" s="23"/>
      <c r="BEG646" s="23"/>
      <c r="BEH646" s="23"/>
      <c r="BEI646" s="23"/>
      <c r="BEJ646" s="23"/>
      <c r="BEK646" s="23"/>
      <c r="BEL646" s="23"/>
      <c r="BEM646" s="23"/>
      <c r="BEN646" s="23"/>
      <c r="BEO646" s="23"/>
      <c r="BEP646" s="23"/>
      <c r="BEQ646" s="23"/>
      <c r="BER646" s="23"/>
      <c r="BES646" s="23"/>
      <c r="BET646" s="23"/>
      <c r="BEU646" s="23"/>
      <c r="BEV646" s="23"/>
      <c r="BEW646" s="23"/>
      <c r="BEX646" s="23"/>
      <c r="BEY646" s="23"/>
      <c r="BEZ646" s="23"/>
      <c r="BFA646" s="23"/>
      <c r="BFB646" s="23"/>
      <c r="BFC646" s="23"/>
      <c r="BFD646" s="23"/>
      <c r="BFE646" s="23"/>
      <c r="BFF646" s="23"/>
      <c r="BFG646" s="23"/>
      <c r="BFH646" s="23"/>
      <c r="BFI646" s="23"/>
      <c r="BFJ646" s="23"/>
      <c r="BFK646" s="23"/>
      <c r="BFL646" s="23"/>
      <c r="BFM646" s="23"/>
      <c r="BFN646" s="23"/>
      <c r="BFO646" s="23"/>
      <c r="BFP646" s="23"/>
      <c r="BFQ646" s="23"/>
      <c r="BFR646" s="23"/>
      <c r="BFS646" s="23"/>
      <c r="BFT646" s="23"/>
      <c r="BFU646" s="23"/>
      <c r="BFV646" s="23"/>
      <c r="BFW646" s="23"/>
      <c r="BFX646" s="23"/>
      <c r="BFY646" s="23"/>
      <c r="BFZ646" s="23"/>
      <c r="BGA646" s="23"/>
      <c r="BGB646" s="23"/>
      <c r="BGC646" s="23"/>
      <c r="BGD646" s="23"/>
      <c r="BGE646" s="23"/>
      <c r="BGF646" s="23"/>
      <c r="BGG646" s="23"/>
      <c r="BGH646" s="23"/>
      <c r="BGI646" s="23"/>
      <c r="BGJ646" s="23"/>
      <c r="BGK646" s="23"/>
      <c r="BGL646" s="23"/>
      <c r="BGM646" s="23"/>
      <c r="BGN646" s="23"/>
      <c r="BGO646" s="23"/>
      <c r="BGP646" s="23"/>
      <c r="BGQ646" s="23"/>
      <c r="BGR646" s="23"/>
      <c r="BGS646" s="23"/>
      <c r="BGT646" s="23"/>
      <c r="BGU646" s="23"/>
      <c r="BGV646" s="23"/>
      <c r="BGW646" s="23"/>
      <c r="BGX646" s="23"/>
      <c r="BGY646" s="23"/>
      <c r="BGZ646" s="23"/>
      <c r="BHA646" s="23"/>
      <c r="BHB646" s="23"/>
      <c r="BHC646" s="23"/>
      <c r="BHD646" s="23"/>
      <c r="BHE646" s="23"/>
      <c r="BHF646" s="23"/>
      <c r="BHG646" s="23"/>
      <c r="BHH646" s="23"/>
      <c r="BHI646" s="23"/>
      <c r="BHJ646" s="23"/>
      <c r="BHK646" s="23"/>
      <c r="BHL646" s="23"/>
      <c r="BHM646" s="23"/>
      <c r="BHN646" s="23"/>
      <c r="BHO646" s="23"/>
      <c r="BHP646" s="23"/>
      <c r="BHQ646" s="23"/>
      <c r="BHR646" s="23"/>
      <c r="BHS646" s="23"/>
      <c r="BHT646" s="23"/>
      <c r="BHU646" s="23"/>
      <c r="BHV646" s="23"/>
      <c r="BHW646" s="23"/>
      <c r="BHX646" s="23"/>
      <c r="BHY646" s="23"/>
      <c r="BHZ646" s="23"/>
      <c r="BIA646" s="23"/>
      <c r="BIB646" s="23"/>
      <c r="BIC646" s="23"/>
      <c r="BID646" s="23"/>
      <c r="BIE646" s="23"/>
      <c r="BIF646" s="23"/>
      <c r="BIG646" s="23"/>
      <c r="BIH646" s="23"/>
      <c r="BII646" s="23"/>
      <c r="BIJ646" s="23"/>
      <c r="BIK646" s="23"/>
      <c r="BIL646" s="23"/>
      <c r="BIM646" s="23"/>
      <c r="BIN646" s="23"/>
      <c r="BIO646" s="23"/>
      <c r="BIP646" s="23"/>
      <c r="BIQ646" s="23"/>
      <c r="BIR646" s="23"/>
      <c r="BIS646" s="23"/>
      <c r="BIT646" s="23"/>
      <c r="BIU646" s="23"/>
      <c r="BIV646" s="23"/>
      <c r="BIW646" s="23"/>
      <c r="BIX646" s="23"/>
      <c r="BIY646" s="23"/>
      <c r="BIZ646" s="23"/>
      <c r="BJA646" s="23"/>
      <c r="BJB646" s="23"/>
      <c r="BJC646" s="23"/>
      <c r="BJD646" s="23"/>
      <c r="BJE646" s="23"/>
      <c r="BJF646" s="23"/>
      <c r="BJG646" s="23"/>
      <c r="BJH646" s="23"/>
      <c r="BJI646" s="23"/>
      <c r="BJJ646" s="23"/>
      <c r="BJK646" s="23"/>
      <c r="BJL646" s="23"/>
      <c r="BJM646" s="23"/>
      <c r="BJN646" s="23"/>
      <c r="BJO646" s="23"/>
      <c r="BJP646" s="23"/>
      <c r="BJQ646" s="23"/>
      <c r="BJR646" s="23"/>
      <c r="BJS646" s="23"/>
      <c r="BJT646" s="23"/>
      <c r="BJU646" s="23"/>
      <c r="BJV646" s="23"/>
      <c r="BJW646" s="23"/>
      <c r="BJX646" s="23"/>
      <c r="BJY646" s="23"/>
      <c r="BJZ646" s="23"/>
      <c r="BKA646" s="23"/>
      <c r="BKB646" s="23"/>
      <c r="BKC646" s="23"/>
      <c r="BKD646" s="23"/>
      <c r="BKE646" s="23"/>
      <c r="BKF646" s="23"/>
      <c r="BKG646" s="23"/>
      <c r="BKH646" s="23"/>
      <c r="BKI646" s="23"/>
      <c r="BKJ646" s="23"/>
      <c r="BKK646" s="23"/>
      <c r="BKL646" s="23"/>
      <c r="BKM646" s="23"/>
      <c r="BKN646" s="23"/>
      <c r="BKO646" s="23"/>
      <c r="BKP646" s="23"/>
      <c r="BKQ646" s="23"/>
      <c r="BKR646" s="23"/>
      <c r="BKS646" s="23"/>
      <c r="BKT646" s="23"/>
      <c r="BKU646" s="23"/>
      <c r="BKV646" s="23"/>
      <c r="BKW646" s="23"/>
      <c r="BKX646" s="23"/>
      <c r="BKY646" s="23"/>
      <c r="BKZ646" s="23"/>
      <c r="BLA646" s="23"/>
      <c r="BLB646" s="23"/>
      <c r="BLC646" s="23"/>
      <c r="BLD646" s="23"/>
      <c r="BLE646" s="23"/>
      <c r="BLF646" s="23"/>
      <c r="BLG646" s="23"/>
      <c r="BLH646" s="23"/>
      <c r="BLI646" s="23"/>
      <c r="BLJ646" s="23"/>
      <c r="BLK646" s="23"/>
      <c r="BLL646" s="23"/>
      <c r="BLM646" s="23"/>
      <c r="BLN646" s="23"/>
      <c r="BLO646" s="23"/>
      <c r="BLP646" s="23"/>
      <c r="BLQ646" s="23"/>
      <c r="BLR646" s="23"/>
      <c r="BLS646" s="23"/>
      <c r="BLT646" s="23"/>
      <c r="BLU646" s="23"/>
      <c r="BLV646" s="23"/>
      <c r="BLW646" s="23"/>
      <c r="BLX646" s="23"/>
      <c r="BLY646" s="23"/>
      <c r="BLZ646" s="23"/>
      <c r="BMA646" s="23"/>
      <c r="BMB646" s="23"/>
      <c r="BMC646" s="23"/>
      <c r="BMD646" s="23"/>
      <c r="BME646" s="23"/>
      <c r="BMF646" s="23"/>
      <c r="BMG646" s="23"/>
      <c r="BMH646" s="23"/>
      <c r="BMI646" s="23"/>
      <c r="BMJ646" s="23"/>
      <c r="BMK646" s="23"/>
      <c r="BML646" s="23"/>
      <c r="BMM646" s="23"/>
      <c r="BMN646" s="23"/>
      <c r="BMO646" s="23"/>
      <c r="BMP646" s="23"/>
      <c r="BMQ646" s="23"/>
      <c r="BMR646" s="23"/>
      <c r="BMS646" s="23"/>
      <c r="BMT646" s="23"/>
      <c r="BMU646" s="23"/>
      <c r="BMV646" s="23"/>
      <c r="BMW646" s="23"/>
      <c r="BMX646" s="23"/>
      <c r="BMY646" s="23"/>
      <c r="BMZ646" s="23"/>
      <c r="BNA646" s="23"/>
      <c r="BNB646" s="23"/>
      <c r="BNC646" s="23"/>
      <c r="BND646" s="23"/>
      <c r="BNE646" s="23"/>
      <c r="BNF646" s="23"/>
      <c r="BNG646" s="23"/>
      <c r="BNH646" s="23"/>
      <c r="BNI646" s="23"/>
      <c r="BNJ646" s="23"/>
      <c r="BNK646" s="23"/>
      <c r="BNL646" s="23"/>
      <c r="BNM646" s="23"/>
      <c r="BNN646" s="23"/>
      <c r="BNO646" s="23"/>
      <c r="BNP646" s="23"/>
      <c r="BNQ646" s="23"/>
      <c r="BNR646" s="23"/>
      <c r="BNS646" s="23"/>
      <c r="BNT646" s="23"/>
      <c r="BNU646" s="23"/>
      <c r="BNV646" s="23"/>
      <c r="BNW646" s="23"/>
      <c r="BNX646" s="23"/>
      <c r="BNY646" s="23"/>
      <c r="BNZ646" s="23"/>
      <c r="BOA646" s="23"/>
      <c r="BOB646" s="23"/>
      <c r="BOC646" s="23"/>
      <c r="BOD646" s="23"/>
      <c r="BOE646" s="23"/>
      <c r="BOF646" s="23"/>
      <c r="BOG646" s="23"/>
      <c r="BOH646" s="23"/>
      <c r="BOI646" s="23"/>
      <c r="BOJ646" s="23"/>
      <c r="BOK646" s="23"/>
      <c r="BOL646" s="23"/>
      <c r="BOM646" s="23"/>
      <c r="BON646" s="23"/>
      <c r="BOO646" s="23"/>
      <c r="BOP646" s="23"/>
      <c r="BOQ646" s="23"/>
      <c r="BOR646" s="23"/>
      <c r="BOS646" s="23"/>
      <c r="BOT646" s="23"/>
      <c r="BOU646" s="23"/>
      <c r="BOV646" s="23"/>
      <c r="BOW646" s="23"/>
      <c r="BOX646" s="23"/>
      <c r="BOY646" s="23"/>
      <c r="BOZ646" s="23"/>
      <c r="BPA646" s="23"/>
      <c r="BPB646" s="23"/>
      <c r="BPC646" s="23"/>
      <c r="BPD646" s="23"/>
      <c r="BPE646" s="23"/>
      <c r="BPF646" s="23"/>
      <c r="BPG646" s="23"/>
      <c r="BPH646" s="23"/>
      <c r="BPI646" s="23"/>
      <c r="BPJ646" s="23"/>
      <c r="BPK646" s="23"/>
      <c r="BPL646" s="23"/>
      <c r="BPM646" s="23"/>
      <c r="BPN646" s="23"/>
      <c r="BPO646" s="23"/>
      <c r="BPP646" s="23"/>
      <c r="BPQ646" s="23"/>
      <c r="BPR646" s="23"/>
      <c r="BPS646" s="23"/>
      <c r="BPT646" s="23"/>
      <c r="BPU646" s="23"/>
      <c r="BPV646" s="23"/>
      <c r="BPW646" s="23"/>
      <c r="BPX646" s="23"/>
      <c r="BPY646" s="23"/>
      <c r="BPZ646" s="23"/>
      <c r="BQA646" s="23"/>
      <c r="BQB646" s="23"/>
      <c r="BQC646" s="23"/>
      <c r="BQD646" s="23"/>
      <c r="BQE646" s="23"/>
      <c r="BQF646" s="23"/>
      <c r="BQG646" s="23"/>
      <c r="BQH646" s="23"/>
      <c r="BQI646" s="23"/>
      <c r="BQJ646" s="23"/>
      <c r="BQK646" s="23"/>
      <c r="BQL646" s="23"/>
      <c r="BQM646" s="23"/>
      <c r="BQN646" s="23"/>
      <c r="BQO646" s="23"/>
      <c r="BQP646" s="23"/>
      <c r="BQQ646" s="23"/>
      <c r="BQR646" s="23"/>
      <c r="BQS646" s="23"/>
      <c r="BQT646" s="23"/>
      <c r="BQU646" s="23"/>
      <c r="BQV646" s="23"/>
      <c r="BQW646" s="23"/>
      <c r="BQX646" s="23"/>
      <c r="BQY646" s="23"/>
      <c r="BQZ646" s="23"/>
      <c r="BRA646" s="23"/>
      <c r="BRB646" s="23"/>
      <c r="BRC646" s="23"/>
      <c r="BRD646" s="23"/>
      <c r="BRE646" s="23"/>
      <c r="BRF646" s="23"/>
      <c r="BRG646" s="23"/>
      <c r="BRH646" s="23"/>
      <c r="BRI646" s="23"/>
      <c r="BRJ646" s="23"/>
      <c r="BRK646" s="23"/>
      <c r="BRL646" s="23"/>
      <c r="BRM646" s="23"/>
      <c r="BRN646" s="23"/>
      <c r="BRO646" s="23"/>
      <c r="BRP646" s="23"/>
      <c r="BRQ646" s="23"/>
      <c r="BRR646" s="23"/>
      <c r="BRS646" s="23"/>
      <c r="BRT646" s="23"/>
      <c r="BRU646" s="23"/>
      <c r="BRV646" s="23"/>
      <c r="BRW646" s="23"/>
      <c r="BRX646" s="23"/>
      <c r="BRY646" s="23"/>
      <c r="BRZ646" s="23"/>
      <c r="BSA646" s="23"/>
      <c r="BSB646" s="23"/>
      <c r="BSC646" s="23"/>
      <c r="BSD646" s="23"/>
      <c r="BSE646" s="23"/>
      <c r="BSF646" s="23"/>
      <c r="BSG646" s="23"/>
      <c r="BSH646" s="23"/>
      <c r="BSI646" s="23"/>
      <c r="BSJ646" s="23"/>
      <c r="BSK646" s="23"/>
      <c r="BSL646" s="23"/>
      <c r="BSM646" s="23"/>
      <c r="BSN646" s="23"/>
      <c r="BSO646" s="23"/>
      <c r="BSP646" s="23"/>
      <c r="BSQ646" s="23"/>
      <c r="BSR646" s="23"/>
      <c r="BSS646" s="23"/>
      <c r="BST646" s="23"/>
      <c r="BSU646" s="23"/>
      <c r="BSV646" s="23"/>
      <c r="BSW646" s="23"/>
      <c r="BSX646" s="23"/>
      <c r="BSY646" s="23"/>
      <c r="BSZ646" s="23"/>
      <c r="BTA646" s="23"/>
    </row>
    <row r="647" spans="1:1873" s="23" customFormat="1" ht="25.5" x14ac:dyDescent="0.2">
      <c r="A647" s="304" t="s">
        <v>2090</v>
      </c>
      <c r="B647" s="223" t="s">
        <v>798</v>
      </c>
      <c r="C647" s="223" t="s">
        <v>1030</v>
      </c>
      <c r="D647" s="223" t="s">
        <v>619</v>
      </c>
      <c r="E647" s="305" t="s">
        <v>1451</v>
      </c>
      <c r="F647" s="241">
        <v>1</v>
      </c>
      <c r="G647" s="223">
        <v>11</v>
      </c>
      <c r="H647" s="242">
        <v>11</v>
      </c>
      <c r="I647" s="223" t="s">
        <v>807</v>
      </c>
      <c r="J647" s="450">
        <v>1987</v>
      </c>
      <c r="K647" s="560" t="s">
        <v>1211</v>
      </c>
      <c r="L647" s="450">
        <v>1997</v>
      </c>
      <c r="M647" s="243">
        <v>-9999</v>
      </c>
      <c r="N647" s="223">
        <v>-9999</v>
      </c>
      <c r="O647" s="29"/>
      <c r="P647" s="244">
        <f t="shared" si="63"/>
        <v>84.81</v>
      </c>
      <c r="Q647" s="223">
        <v>-9999</v>
      </c>
      <c r="R647" s="243"/>
      <c r="S647" s="223"/>
      <c r="T647" s="243">
        <v>7.71</v>
      </c>
      <c r="U647" s="223">
        <v>-9999</v>
      </c>
      <c r="V647" s="223"/>
      <c r="W647" s="285">
        <f t="shared" si="66"/>
        <v>5.9100000000000108</v>
      </c>
      <c r="X647" s="223">
        <v>-9999</v>
      </c>
      <c r="Y647" s="223"/>
      <c r="Z647" s="561" t="s">
        <v>1702</v>
      </c>
      <c r="AA647" s="425">
        <f t="shared" si="64"/>
        <v>1682.0700000000002</v>
      </c>
      <c r="AB647" s="243">
        <v>-9999</v>
      </c>
      <c r="AC647" s="245">
        <v>4.0460000000000003</v>
      </c>
      <c r="AD647" s="560">
        <f t="shared" si="65"/>
        <v>3300</v>
      </c>
      <c r="AE647" s="675" t="s">
        <v>97</v>
      </c>
      <c r="AF647" s="223">
        <v>3</v>
      </c>
      <c r="AG647" s="223">
        <v>-9999</v>
      </c>
      <c r="AH647" s="223">
        <v>-9999</v>
      </c>
      <c r="AI647" s="223">
        <v>-9999</v>
      </c>
      <c r="AJ647" s="223">
        <v>-9999</v>
      </c>
      <c r="AK647" s="223">
        <v>-9999</v>
      </c>
      <c r="AL647" s="223">
        <v>-9999</v>
      </c>
      <c r="AM647" s="223">
        <v>-9999</v>
      </c>
      <c r="AN647" s="223" t="s">
        <v>631</v>
      </c>
      <c r="AO647" s="223">
        <v>-9999</v>
      </c>
      <c r="AP647" s="223">
        <v>-9999</v>
      </c>
      <c r="AQ647" s="223" t="s">
        <v>631</v>
      </c>
      <c r="AR647" s="223">
        <v>0</v>
      </c>
      <c r="AS647" s="223">
        <v>-9999</v>
      </c>
      <c r="AT647" s="223">
        <v>-9999</v>
      </c>
      <c r="AU647" s="223">
        <v>0</v>
      </c>
      <c r="AV647" s="223">
        <v>-9999</v>
      </c>
      <c r="AW647" s="223">
        <v>-9999</v>
      </c>
      <c r="AX647" s="223">
        <v>0</v>
      </c>
      <c r="AY647" s="223">
        <v>-9999</v>
      </c>
      <c r="AZ647" s="223">
        <v>-9999</v>
      </c>
      <c r="BA647" s="223">
        <v>-9999</v>
      </c>
      <c r="BB647" s="223" t="s">
        <v>631</v>
      </c>
      <c r="BC647" s="223">
        <v>-9999</v>
      </c>
      <c r="BD647" s="223">
        <v>-9999</v>
      </c>
      <c r="BE647" s="223">
        <v>-9999</v>
      </c>
      <c r="BF647" s="223">
        <v>-9999</v>
      </c>
      <c r="BG647" s="223">
        <v>-9999</v>
      </c>
      <c r="BH647" s="223">
        <v>-9999</v>
      </c>
      <c r="BI647" s="223" t="s">
        <v>1058</v>
      </c>
      <c r="BJ647" s="223">
        <v>-9999</v>
      </c>
      <c r="BK647" s="223">
        <v>-9999</v>
      </c>
      <c r="BL647" s="223">
        <v>-9999</v>
      </c>
      <c r="BM647" s="223">
        <v>-9999</v>
      </c>
      <c r="BN647" s="223">
        <v>-9999</v>
      </c>
      <c r="BO647" s="223">
        <v>-9999</v>
      </c>
      <c r="BP647" s="223">
        <v>-9999</v>
      </c>
      <c r="BQ647" s="223">
        <v>-9999</v>
      </c>
      <c r="BR647" s="223">
        <v>-9999</v>
      </c>
      <c r="BS647" s="242">
        <v>-9999</v>
      </c>
      <c r="BT647" s="223">
        <v>-9999</v>
      </c>
      <c r="BU647" s="223">
        <v>-9999</v>
      </c>
      <c r="BV647" s="223">
        <v>-9999</v>
      </c>
      <c r="BW647" s="223"/>
      <c r="BX647" s="223">
        <v>-9999</v>
      </c>
      <c r="BY647" s="223">
        <v>-9999</v>
      </c>
      <c r="BZ647" s="223">
        <v>-9999</v>
      </c>
      <c r="CA647" s="334" t="s">
        <v>797</v>
      </c>
      <c r="CB647" s="247"/>
      <c r="CC647" s="83">
        <v>1</v>
      </c>
      <c r="CD647" s="32">
        <v>11</v>
      </c>
      <c r="CE647" s="292">
        <v>7.71</v>
      </c>
      <c r="CF647" s="292">
        <v>5.9100000000000108</v>
      </c>
      <c r="CG647" s="84">
        <v>11</v>
      </c>
    </row>
    <row r="648" spans="1:1873" s="23" customFormat="1" x14ac:dyDescent="0.2">
      <c r="A648" s="323"/>
      <c r="B648" s="29"/>
      <c r="C648" s="29"/>
      <c r="D648" s="29"/>
      <c r="E648" s="66"/>
      <c r="F648" s="66"/>
      <c r="G648" s="29"/>
      <c r="H648" s="30"/>
      <c r="I648" s="29"/>
      <c r="J648" s="112"/>
      <c r="K648" s="428"/>
      <c r="L648" s="112"/>
      <c r="M648" s="31"/>
      <c r="N648" s="29"/>
      <c r="O648" s="29"/>
      <c r="P648" s="31"/>
      <c r="Q648" s="29"/>
      <c r="R648" s="31"/>
      <c r="S648" s="29"/>
      <c r="T648" s="31"/>
      <c r="U648" s="29"/>
      <c r="V648" s="29"/>
      <c r="W648" s="31"/>
      <c r="X648" s="29"/>
      <c r="Y648" s="29"/>
      <c r="Z648" s="429"/>
      <c r="AA648" s="115"/>
      <c r="AB648" s="31"/>
      <c r="AC648" s="71"/>
      <c r="AD648" s="71"/>
      <c r="AE648" s="112"/>
      <c r="AF648" s="29"/>
      <c r="AG648" s="29"/>
      <c r="AH648" s="29"/>
      <c r="AI648" s="29"/>
      <c r="AJ648" s="29"/>
      <c r="AK648" s="29"/>
      <c r="AL648" s="29"/>
      <c r="AM648" s="29"/>
      <c r="AN648" s="29"/>
      <c r="AO648" s="29"/>
      <c r="AP648" s="29"/>
      <c r="AQ648" s="29"/>
      <c r="AR648" s="29"/>
      <c r="AS648" s="29"/>
      <c r="AT648" s="29"/>
      <c r="AU648" s="29"/>
      <c r="AV648" s="29"/>
      <c r="AW648" s="29"/>
      <c r="AX648" s="29"/>
      <c r="AY648" s="29"/>
      <c r="AZ648" s="29"/>
      <c r="BA648" s="29"/>
      <c r="BB648" s="29"/>
      <c r="BC648" s="29"/>
      <c r="BD648" s="29"/>
      <c r="BE648" s="29"/>
      <c r="BF648" s="29"/>
      <c r="BG648" s="29"/>
      <c r="BH648" s="29"/>
      <c r="BI648" s="29"/>
      <c r="BJ648" s="29"/>
      <c r="BK648" s="29"/>
      <c r="BL648" s="29"/>
      <c r="BM648" s="29"/>
      <c r="BN648" s="29"/>
      <c r="BO648" s="29"/>
      <c r="BP648" s="29"/>
      <c r="BQ648" s="29"/>
      <c r="BR648" s="29"/>
      <c r="BS648" s="30"/>
      <c r="BT648" s="29"/>
      <c r="BU648" s="29"/>
      <c r="BV648" s="29"/>
      <c r="BW648" s="29"/>
      <c r="BX648" s="29"/>
      <c r="BY648" s="29"/>
      <c r="BZ648" s="29"/>
      <c r="CA648" s="333"/>
      <c r="CC648" s="66"/>
      <c r="CD648" s="29"/>
      <c r="CE648" s="342" t="s">
        <v>1576</v>
      </c>
      <c r="CF648" s="342" t="s">
        <v>1575</v>
      </c>
      <c r="CG648" s="30"/>
    </row>
    <row r="649" spans="1:1873" s="23" customFormat="1" ht="25.5" x14ac:dyDescent="0.2">
      <c r="A649" s="304" t="s">
        <v>2090</v>
      </c>
      <c r="B649" s="223" t="s">
        <v>1031</v>
      </c>
      <c r="C649" s="223" t="s">
        <v>1030</v>
      </c>
      <c r="D649" s="223" t="s">
        <v>619</v>
      </c>
      <c r="E649" s="305" t="s">
        <v>1451</v>
      </c>
      <c r="F649" s="241">
        <v>1</v>
      </c>
      <c r="G649" s="223">
        <v>3</v>
      </c>
      <c r="H649" s="242">
        <v>3</v>
      </c>
      <c r="I649" s="223" t="s">
        <v>807</v>
      </c>
      <c r="J649" s="450">
        <v>1987</v>
      </c>
      <c r="K649" s="560" t="s">
        <v>1211</v>
      </c>
      <c r="L649" s="450">
        <v>1989</v>
      </c>
      <c r="M649" s="243">
        <v>-9999</v>
      </c>
      <c r="N649" s="223">
        <v>-9999</v>
      </c>
      <c r="O649" s="29"/>
      <c r="P649" s="243">
        <v>-9999</v>
      </c>
      <c r="Q649" s="223">
        <v>-9999</v>
      </c>
      <c r="R649" s="243"/>
      <c r="S649" s="223"/>
      <c r="T649" s="243">
        <v>-9999</v>
      </c>
      <c r="U649" s="223">
        <v>-9999</v>
      </c>
      <c r="V649" s="223"/>
      <c r="W649" s="243">
        <v>-9999</v>
      </c>
      <c r="X649" s="223">
        <v>-9999</v>
      </c>
      <c r="Y649" s="223"/>
      <c r="Z649" s="561" t="s">
        <v>1702</v>
      </c>
      <c r="AA649" s="425">
        <f t="shared" ref="AA649:AA657" si="67">681*2.47</f>
        <v>1682.0700000000002</v>
      </c>
      <c r="AB649" s="243">
        <v>-9999</v>
      </c>
      <c r="AC649" s="245">
        <v>4.0460000000000003</v>
      </c>
      <c r="AD649" s="560">
        <f t="shared" ref="AD649:AD657" si="68">0.33*10000</f>
        <v>3300</v>
      </c>
      <c r="AE649" s="675" t="s">
        <v>97</v>
      </c>
      <c r="AF649" s="223">
        <v>3</v>
      </c>
      <c r="AG649" s="223">
        <v>-9999</v>
      </c>
      <c r="AH649" s="223">
        <v>-9999</v>
      </c>
      <c r="AI649" s="223">
        <v>-9999</v>
      </c>
      <c r="AJ649" s="223">
        <v>-9999</v>
      </c>
      <c r="AK649" s="223">
        <v>-9999</v>
      </c>
      <c r="AL649" s="223">
        <v>-9999</v>
      </c>
      <c r="AM649" s="223">
        <v>-9999</v>
      </c>
      <c r="AN649" s="223" t="s">
        <v>631</v>
      </c>
      <c r="AO649" s="223">
        <v>-9999</v>
      </c>
      <c r="AP649" s="223">
        <v>-9999</v>
      </c>
      <c r="AQ649" s="223" t="s">
        <v>631</v>
      </c>
      <c r="AR649" s="223">
        <v>0</v>
      </c>
      <c r="AS649" s="223">
        <v>-9999</v>
      </c>
      <c r="AT649" s="223">
        <v>-9999</v>
      </c>
      <c r="AU649" s="223">
        <v>0</v>
      </c>
      <c r="AV649" s="223">
        <v>-9999</v>
      </c>
      <c r="AW649" s="223">
        <v>-9999</v>
      </c>
      <c r="AX649" s="223">
        <v>0</v>
      </c>
      <c r="AY649" s="223">
        <v>-9999</v>
      </c>
      <c r="AZ649" s="223">
        <v>-9999</v>
      </c>
      <c r="BA649" s="223">
        <v>-9999</v>
      </c>
      <c r="BB649" s="223" t="s">
        <v>631</v>
      </c>
      <c r="BC649" s="223">
        <v>-9999</v>
      </c>
      <c r="BD649" s="223">
        <v>-9999</v>
      </c>
      <c r="BE649" s="223">
        <v>-9999</v>
      </c>
      <c r="BF649" s="223">
        <v>-9999</v>
      </c>
      <c r="BG649" s="223">
        <v>-9999</v>
      </c>
      <c r="BH649" s="223">
        <v>-9999</v>
      </c>
      <c r="BI649" s="223" t="s">
        <v>1059</v>
      </c>
      <c r="BJ649" s="223">
        <v>-9999</v>
      </c>
      <c r="BK649" s="223">
        <v>-9999</v>
      </c>
      <c r="BL649" s="223">
        <v>-9999</v>
      </c>
      <c r="BM649" s="223">
        <v>-9999</v>
      </c>
      <c r="BN649" s="223">
        <v>-9999</v>
      </c>
      <c r="BO649" s="223">
        <v>-9999</v>
      </c>
      <c r="BP649" s="223">
        <v>-9999</v>
      </c>
      <c r="BQ649" s="223">
        <v>-9999</v>
      </c>
      <c r="BR649" s="223">
        <v>-9999</v>
      </c>
      <c r="BS649" s="242">
        <v>-9999</v>
      </c>
      <c r="BT649" s="223">
        <v>-9999</v>
      </c>
      <c r="BU649" s="223">
        <v>-9999</v>
      </c>
      <c r="BV649" s="223">
        <v>-9999</v>
      </c>
      <c r="BW649" s="223"/>
      <c r="BX649" s="223">
        <v>-9999</v>
      </c>
      <c r="BY649" s="223">
        <v>-9999</v>
      </c>
      <c r="BZ649" s="223">
        <v>-9999</v>
      </c>
      <c r="CA649" s="334" t="s">
        <v>797</v>
      </c>
      <c r="CB649" s="247"/>
      <c r="CC649" s="83">
        <v>1</v>
      </c>
      <c r="CD649" s="32">
        <v>3</v>
      </c>
      <c r="CE649" s="292"/>
      <c r="CF649" s="292"/>
      <c r="CG649" s="84">
        <v>3</v>
      </c>
    </row>
    <row r="650" spans="1:1873" s="23" customFormat="1" ht="25.5" x14ac:dyDescent="0.2">
      <c r="A650" s="304" t="s">
        <v>2090</v>
      </c>
      <c r="B650" s="223" t="s">
        <v>1031</v>
      </c>
      <c r="C650" s="223" t="s">
        <v>1030</v>
      </c>
      <c r="D650" s="223" t="s">
        <v>619</v>
      </c>
      <c r="E650" s="305" t="s">
        <v>1451</v>
      </c>
      <c r="F650" s="241">
        <v>1</v>
      </c>
      <c r="G650" s="223">
        <v>4</v>
      </c>
      <c r="H650" s="242">
        <v>4</v>
      </c>
      <c r="I650" s="223" t="s">
        <v>807</v>
      </c>
      <c r="J650" s="450">
        <v>1987</v>
      </c>
      <c r="K650" s="560" t="s">
        <v>1211</v>
      </c>
      <c r="L650" s="450">
        <v>1990</v>
      </c>
      <c r="M650" s="243">
        <v>-9999</v>
      </c>
      <c r="N650" s="223">
        <v>-9999</v>
      </c>
      <c r="O650" s="29"/>
      <c r="P650" s="243">
        <v>-9999</v>
      </c>
      <c r="Q650" s="223">
        <v>-9999</v>
      </c>
      <c r="R650" s="243"/>
      <c r="S650" s="223"/>
      <c r="T650" s="243">
        <v>-9999</v>
      </c>
      <c r="U650" s="223">
        <v>-9999</v>
      </c>
      <c r="V650" s="223"/>
      <c r="W650" s="243">
        <v>-9999</v>
      </c>
      <c r="X650" s="223">
        <v>-9999</v>
      </c>
      <c r="Y650" s="223"/>
      <c r="Z650" s="561" t="s">
        <v>1702</v>
      </c>
      <c r="AA650" s="425">
        <f t="shared" si="67"/>
        <v>1682.0700000000002</v>
      </c>
      <c r="AB650" s="243">
        <v>-9999</v>
      </c>
      <c r="AC650" s="245">
        <v>4.0460000000000003</v>
      </c>
      <c r="AD650" s="560">
        <f t="shared" si="68"/>
        <v>3300</v>
      </c>
      <c r="AE650" s="675" t="s">
        <v>97</v>
      </c>
      <c r="AF650" s="223">
        <v>3</v>
      </c>
      <c r="AG650" s="223">
        <v>-9999</v>
      </c>
      <c r="AH650" s="223">
        <v>-9999</v>
      </c>
      <c r="AI650" s="223">
        <v>-9999</v>
      </c>
      <c r="AJ650" s="223">
        <v>-9999</v>
      </c>
      <c r="AK650" s="223">
        <v>-9999</v>
      </c>
      <c r="AL650" s="223">
        <v>-9999</v>
      </c>
      <c r="AM650" s="223">
        <v>-9999</v>
      </c>
      <c r="AN650" s="223" t="s">
        <v>631</v>
      </c>
      <c r="AO650" s="223">
        <v>-9999</v>
      </c>
      <c r="AP650" s="223">
        <v>-9999</v>
      </c>
      <c r="AQ650" s="223" t="s">
        <v>631</v>
      </c>
      <c r="AR650" s="223">
        <v>0</v>
      </c>
      <c r="AS650" s="223">
        <v>-9999</v>
      </c>
      <c r="AT650" s="223">
        <v>-9999</v>
      </c>
      <c r="AU650" s="223">
        <v>0</v>
      </c>
      <c r="AV650" s="223">
        <v>-9999</v>
      </c>
      <c r="AW650" s="223">
        <v>-9999</v>
      </c>
      <c r="AX650" s="223">
        <v>0</v>
      </c>
      <c r="AY650" s="223">
        <v>-9999</v>
      </c>
      <c r="AZ650" s="223">
        <v>-9999</v>
      </c>
      <c r="BA650" s="223">
        <v>-9999</v>
      </c>
      <c r="BB650" s="223" t="s">
        <v>631</v>
      </c>
      <c r="BC650" s="223">
        <v>-9999</v>
      </c>
      <c r="BD650" s="223">
        <v>-9999</v>
      </c>
      <c r="BE650" s="223">
        <v>-9999</v>
      </c>
      <c r="BF650" s="223">
        <v>-9999</v>
      </c>
      <c r="BG650" s="223">
        <v>-9999</v>
      </c>
      <c r="BH650" s="223">
        <v>-9999</v>
      </c>
      <c r="BI650" s="223" t="s">
        <v>1059</v>
      </c>
      <c r="BJ650" s="223">
        <v>-9999</v>
      </c>
      <c r="BK650" s="223">
        <v>-9999</v>
      </c>
      <c r="BL650" s="223">
        <v>-9999</v>
      </c>
      <c r="BM650" s="223">
        <v>-9999</v>
      </c>
      <c r="BN650" s="223">
        <v>-9999</v>
      </c>
      <c r="BO650" s="223">
        <v>-9999</v>
      </c>
      <c r="BP650" s="223">
        <v>-9999</v>
      </c>
      <c r="BQ650" s="223">
        <v>-9999</v>
      </c>
      <c r="BR650" s="223">
        <v>-9999</v>
      </c>
      <c r="BS650" s="242">
        <v>-9999</v>
      </c>
      <c r="BT650" s="223">
        <v>-9999</v>
      </c>
      <c r="BU650" s="223">
        <v>-9999</v>
      </c>
      <c r="BV650" s="223">
        <v>-9999</v>
      </c>
      <c r="BW650" s="223"/>
      <c r="BX650" s="223">
        <v>-9999</v>
      </c>
      <c r="BY650" s="223">
        <v>-9999</v>
      </c>
      <c r="BZ650" s="223">
        <v>-9999</v>
      </c>
      <c r="CA650" s="334" t="s">
        <v>797</v>
      </c>
      <c r="CB650" s="247"/>
      <c r="CC650" s="83">
        <v>1</v>
      </c>
      <c r="CD650" s="32">
        <v>4</v>
      </c>
      <c r="CE650" s="292"/>
      <c r="CF650" s="292"/>
      <c r="CG650" s="84">
        <v>4</v>
      </c>
    </row>
    <row r="651" spans="1:1873" s="23" customFormat="1" ht="25.5" x14ac:dyDescent="0.2">
      <c r="A651" s="304" t="s">
        <v>2090</v>
      </c>
      <c r="B651" s="223" t="s">
        <v>1031</v>
      </c>
      <c r="C651" s="223" t="s">
        <v>1030</v>
      </c>
      <c r="D651" s="223" t="s">
        <v>619</v>
      </c>
      <c r="E651" s="305" t="s">
        <v>1451</v>
      </c>
      <c r="F651" s="241">
        <v>1</v>
      </c>
      <c r="G651" s="223">
        <v>5</v>
      </c>
      <c r="H651" s="242">
        <v>5</v>
      </c>
      <c r="I651" s="223" t="s">
        <v>807</v>
      </c>
      <c r="J651" s="450">
        <v>1987</v>
      </c>
      <c r="K651" s="560" t="s">
        <v>1211</v>
      </c>
      <c r="L651" s="450">
        <v>1991</v>
      </c>
      <c r="M651" s="243">
        <v>-9999</v>
      </c>
      <c r="N651" s="223">
        <v>-9999</v>
      </c>
      <c r="O651" s="29"/>
      <c r="P651" s="244">
        <f t="shared" ref="P651:P656" si="69">+T651*G651</f>
        <v>20.75</v>
      </c>
      <c r="Q651" s="223">
        <v>-9999</v>
      </c>
      <c r="R651" s="243"/>
      <c r="S651" s="223"/>
      <c r="T651" s="243">
        <v>4.1500000000000004</v>
      </c>
      <c r="U651" s="223">
        <v>-9999</v>
      </c>
      <c r="V651" s="223"/>
      <c r="W651" s="243">
        <v>-9999</v>
      </c>
      <c r="X651" s="223">
        <v>-9999</v>
      </c>
      <c r="Y651" s="223"/>
      <c r="Z651" s="561" t="s">
        <v>1702</v>
      </c>
      <c r="AA651" s="425">
        <f t="shared" si="67"/>
        <v>1682.0700000000002</v>
      </c>
      <c r="AB651" s="243">
        <v>-9999</v>
      </c>
      <c r="AC651" s="245">
        <v>4.0460000000000003</v>
      </c>
      <c r="AD651" s="560">
        <f t="shared" si="68"/>
        <v>3300</v>
      </c>
      <c r="AE651" s="675" t="s">
        <v>97</v>
      </c>
      <c r="AF651" s="223">
        <v>3</v>
      </c>
      <c r="AG651" s="223">
        <v>-9999</v>
      </c>
      <c r="AH651" s="223">
        <v>-9999</v>
      </c>
      <c r="AI651" s="223">
        <v>-9999</v>
      </c>
      <c r="AJ651" s="223">
        <v>-9999</v>
      </c>
      <c r="AK651" s="223">
        <v>-9999</v>
      </c>
      <c r="AL651" s="223">
        <v>-9999</v>
      </c>
      <c r="AM651" s="223">
        <v>-9999</v>
      </c>
      <c r="AN651" s="223" t="s">
        <v>631</v>
      </c>
      <c r="AO651" s="223">
        <v>-9999</v>
      </c>
      <c r="AP651" s="223">
        <v>-9999</v>
      </c>
      <c r="AQ651" s="223" t="s">
        <v>631</v>
      </c>
      <c r="AR651" s="223">
        <v>0</v>
      </c>
      <c r="AS651" s="223">
        <v>-9999</v>
      </c>
      <c r="AT651" s="223">
        <v>-9999</v>
      </c>
      <c r="AU651" s="223">
        <v>0</v>
      </c>
      <c r="AV651" s="223">
        <v>-9999</v>
      </c>
      <c r="AW651" s="223">
        <v>-9999</v>
      </c>
      <c r="AX651" s="223">
        <v>0</v>
      </c>
      <c r="AY651" s="223">
        <v>-9999</v>
      </c>
      <c r="AZ651" s="223">
        <v>-9999</v>
      </c>
      <c r="BA651" s="223">
        <v>-9999</v>
      </c>
      <c r="BB651" s="223" t="s">
        <v>631</v>
      </c>
      <c r="BC651" s="223">
        <v>-9999</v>
      </c>
      <c r="BD651" s="223">
        <v>-9999</v>
      </c>
      <c r="BE651" s="223">
        <v>-9999</v>
      </c>
      <c r="BF651" s="223">
        <v>-9999</v>
      </c>
      <c r="BG651" s="223">
        <v>-9999</v>
      </c>
      <c r="BH651" s="223">
        <v>-9999</v>
      </c>
      <c r="BI651" s="223" t="s">
        <v>1059</v>
      </c>
      <c r="BJ651" s="223">
        <v>-9999</v>
      </c>
      <c r="BK651" s="223">
        <v>-9999</v>
      </c>
      <c r="BL651" s="223">
        <v>-9999</v>
      </c>
      <c r="BM651" s="223">
        <v>-9999</v>
      </c>
      <c r="BN651" s="223">
        <v>-9999</v>
      </c>
      <c r="BO651" s="223">
        <v>-9999</v>
      </c>
      <c r="BP651" s="223">
        <v>-9999</v>
      </c>
      <c r="BQ651" s="223">
        <v>-9999</v>
      </c>
      <c r="BR651" s="223">
        <v>-9999</v>
      </c>
      <c r="BS651" s="242">
        <v>-9999</v>
      </c>
      <c r="BT651" s="223">
        <v>-9999</v>
      </c>
      <c r="BU651" s="223">
        <v>-9999</v>
      </c>
      <c r="BV651" s="223">
        <v>-9999</v>
      </c>
      <c r="BW651" s="223"/>
      <c r="BX651" s="223">
        <v>-9999</v>
      </c>
      <c r="BY651" s="223">
        <v>-9999</v>
      </c>
      <c r="BZ651" s="223">
        <v>-9999</v>
      </c>
      <c r="CA651" s="334" t="s">
        <v>797</v>
      </c>
      <c r="CB651" s="247"/>
      <c r="CC651" s="83">
        <v>1</v>
      </c>
      <c r="CD651" s="32">
        <v>5</v>
      </c>
      <c r="CE651" s="292">
        <v>4.1500000000000004</v>
      </c>
      <c r="CF651" s="292"/>
      <c r="CG651" s="84">
        <v>5</v>
      </c>
    </row>
    <row r="652" spans="1:1873" s="23" customFormat="1" ht="25.5" x14ac:dyDescent="0.2">
      <c r="A652" s="304" t="s">
        <v>2090</v>
      </c>
      <c r="B652" s="223" t="s">
        <v>1031</v>
      </c>
      <c r="C652" s="223" t="s">
        <v>1030</v>
      </c>
      <c r="D652" s="223" t="s">
        <v>619</v>
      </c>
      <c r="E652" s="305" t="s">
        <v>1451</v>
      </c>
      <c r="F652" s="241">
        <v>1</v>
      </c>
      <c r="G652" s="223">
        <v>6</v>
      </c>
      <c r="H652" s="242">
        <v>6</v>
      </c>
      <c r="I652" s="223" t="s">
        <v>807</v>
      </c>
      <c r="J652" s="450">
        <v>1987</v>
      </c>
      <c r="K652" s="560" t="s">
        <v>1211</v>
      </c>
      <c r="L652" s="450">
        <v>1992</v>
      </c>
      <c r="M652" s="243">
        <v>-9999</v>
      </c>
      <c r="N652" s="223">
        <v>-9999</v>
      </c>
      <c r="O652" s="29"/>
      <c r="P652" s="244">
        <f t="shared" si="69"/>
        <v>23.580000000000002</v>
      </c>
      <c r="Q652" s="223">
        <v>-9999</v>
      </c>
      <c r="R652" s="243"/>
      <c r="S652" s="223"/>
      <c r="T652" s="243">
        <v>3.93</v>
      </c>
      <c r="U652" s="223">
        <v>-9999</v>
      </c>
      <c r="V652" s="223"/>
      <c r="W652" s="285">
        <f>+P652-P651</f>
        <v>2.8300000000000018</v>
      </c>
      <c r="X652" s="223">
        <v>-9999</v>
      </c>
      <c r="Y652" s="223"/>
      <c r="Z652" s="561" t="s">
        <v>1702</v>
      </c>
      <c r="AA652" s="425">
        <f t="shared" si="67"/>
        <v>1682.0700000000002</v>
      </c>
      <c r="AB652" s="243">
        <v>-9999</v>
      </c>
      <c r="AC652" s="245">
        <v>4.0460000000000003</v>
      </c>
      <c r="AD652" s="560">
        <f t="shared" si="68"/>
        <v>3300</v>
      </c>
      <c r="AE652" s="675" t="s">
        <v>97</v>
      </c>
      <c r="AF652" s="223">
        <v>3</v>
      </c>
      <c r="AG652" s="223">
        <v>-9999</v>
      </c>
      <c r="AH652" s="223">
        <v>-9999</v>
      </c>
      <c r="AI652" s="223">
        <v>-9999</v>
      </c>
      <c r="AJ652" s="223">
        <v>-9999</v>
      </c>
      <c r="AK652" s="223">
        <v>-9999</v>
      </c>
      <c r="AL652" s="223">
        <v>-9999</v>
      </c>
      <c r="AM652" s="223">
        <v>-9999</v>
      </c>
      <c r="AN652" s="223" t="s">
        <v>631</v>
      </c>
      <c r="AO652" s="223">
        <v>-9999</v>
      </c>
      <c r="AP652" s="223">
        <v>-9999</v>
      </c>
      <c r="AQ652" s="223" t="s">
        <v>631</v>
      </c>
      <c r="AR652" s="223">
        <v>0</v>
      </c>
      <c r="AS652" s="223">
        <v>-9999</v>
      </c>
      <c r="AT652" s="223">
        <v>-9999</v>
      </c>
      <c r="AU652" s="223">
        <v>0</v>
      </c>
      <c r="AV652" s="223">
        <v>-9999</v>
      </c>
      <c r="AW652" s="223">
        <v>-9999</v>
      </c>
      <c r="AX652" s="223">
        <v>0</v>
      </c>
      <c r="AY652" s="223">
        <v>-9999</v>
      </c>
      <c r="AZ652" s="223">
        <v>-9999</v>
      </c>
      <c r="BA652" s="223">
        <v>-9999</v>
      </c>
      <c r="BB652" s="223" t="s">
        <v>631</v>
      </c>
      <c r="BC652" s="223">
        <v>-9999</v>
      </c>
      <c r="BD652" s="223">
        <v>-9999</v>
      </c>
      <c r="BE652" s="223">
        <v>-9999</v>
      </c>
      <c r="BF652" s="223">
        <v>-9999</v>
      </c>
      <c r="BG652" s="223">
        <v>-9999</v>
      </c>
      <c r="BH652" s="223">
        <v>-9999</v>
      </c>
      <c r="BI652" s="223" t="s">
        <v>1059</v>
      </c>
      <c r="BJ652" s="223">
        <v>-9999</v>
      </c>
      <c r="BK652" s="223">
        <v>-9999</v>
      </c>
      <c r="BL652" s="223">
        <v>-9999</v>
      </c>
      <c r="BM652" s="223">
        <v>-9999</v>
      </c>
      <c r="BN652" s="223">
        <v>-9999</v>
      </c>
      <c r="BO652" s="223">
        <v>-9999</v>
      </c>
      <c r="BP652" s="223">
        <v>-9999</v>
      </c>
      <c r="BQ652" s="223">
        <v>-9999</v>
      </c>
      <c r="BR652" s="223">
        <v>-9999</v>
      </c>
      <c r="BS652" s="242">
        <v>-9999</v>
      </c>
      <c r="BT652" s="223">
        <v>-9999</v>
      </c>
      <c r="BU652" s="223">
        <v>-9999</v>
      </c>
      <c r="BV652" s="223">
        <v>-9999</v>
      </c>
      <c r="BW652" s="223"/>
      <c r="BX652" s="223">
        <v>-9999</v>
      </c>
      <c r="BY652" s="223">
        <v>-9999</v>
      </c>
      <c r="BZ652" s="223">
        <v>-9999</v>
      </c>
      <c r="CA652" s="334" t="s">
        <v>797</v>
      </c>
      <c r="CB652" s="247"/>
      <c r="CC652" s="83">
        <v>1</v>
      </c>
      <c r="CD652" s="32">
        <v>6</v>
      </c>
      <c r="CE652" s="292">
        <v>3.93</v>
      </c>
      <c r="CF652" s="292">
        <v>2.8300000000000018</v>
      </c>
      <c r="CG652" s="84">
        <v>6</v>
      </c>
    </row>
    <row r="653" spans="1:1873" s="23" customFormat="1" ht="25.5" x14ac:dyDescent="0.2">
      <c r="A653" s="304" t="s">
        <v>2090</v>
      </c>
      <c r="B653" s="223" t="s">
        <v>1031</v>
      </c>
      <c r="C653" s="223" t="s">
        <v>1030</v>
      </c>
      <c r="D653" s="223" t="s">
        <v>619</v>
      </c>
      <c r="E653" s="305" t="s">
        <v>1451</v>
      </c>
      <c r="F653" s="241">
        <v>1</v>
      </c>
      <c r="G653" s="223">
        <v>7</v>
      </c>
      <c r="H653" s="242">
        <v>7</v>
      </c>
      <c r="I653" s="223" t="s">
        <v>807</v>
      </c>
      <c r="J653" s="450">
        <v>1987</v>
      </c>
      <c r="K653" s="560" t="s">
        <v>1211</v>
      </c>
      <c r="L653" s="450">
        <v>1993</v>
      </c>
      <c r="M653" s="243">
        <v>-9999</v>
      </c>
      <c r="N653" s="223">
        <v>-9999</v>
      </c>
      <c r="O653" s="29"/>
      <c r="P653" s="244">
        <f t="shared" si="69"/>
        <v>44.73</v>
      </c>
      <c r="Q653" s="223">
        <v>-9999</v>
      </c>
      <c r="R653" s="243"/>
      <c r="S653" s="223"/>
      <c r="T653" s="243">
        <v>6.39</v>
      </c>
      <c r="U653" s="223">
        <v>-9999</v>
      </c>
      <c r="V653" s="223"/>
      <c r="W653" s="285">
        <f>+P653-P652</f>
        <v>21.149999999999995</v>
      </c>
      <c r="X653" s="223">
        <v>-9999</v>
      </c>
      <c r="Y653" s="223"/>
      <c r="Z653" s="561" t="s">
        <v>1702</v>
      </c>
      <c r="AA653" s="425">
        <f t="shared" si="67"/>
        <v>1682.0700000000002</v>
      </c>
      <c r="AB653" s="243">
        <v>-9999</v>
      </c>
      <c r="AC653" s="245">
        <v>4.0460000000000003</v>
      </c>
      <c r="AD653" s="560">
        <f t="shared" si="68"/>
        <v>3300</v>
      </c>
      <c r="AE653" s="675" t="s">
        <v>97</v>
      </c>
      <c r="AF653" s="223">
        <v>3</v>
      </c>
      <c r="AG653" s="223">
        <v>-9999</v>
      </c>
      <c r="AH653" s="223">
        <v>-9999</v>
      </c>
      <c r="AI653" s="223">
        <v>-9999</v>
      </c>
      <c r="AJ653" s="223">
        <v>-9999</v>
      </c>
      <c r="AK653" s="223">
        <v>-9999</v>
      </c>
      <c r="AL653" s="223">
        <v>-9999</v>
      </c>
      <c r="AM653" s="223">
        <v>-9999</v>
      </c>
      <c r="AN653" s="223" t="s">
        <v>631</v>
      </c>
      <c r="AO653" s="223">
        <v>-9999</v>
      </c>
      <c r="AP653" s="223">
        <v>-9999</v>
      </c>
      <c r="AQ653" s="223" t="s">
        <v>631</v>
      </c>
      <c r="AR653" s="223">
        <v>0</v>
      </c>
      <c r="AS653" s="223">
        <v>-9999</v>
      </c>
      <c r="AT653" s="223">
        <v>-9999</v>
      </c>
      <c r="AU653" s="223">
        <v>0</v>
      </c>
      <c r="AV653" s="223">
        <v>-9999</v>
      </c>
      <c r="AW653" s="223">
        <v>-9999</v>
      </c>
      <c r="AX653" s="223">
        <v>0</v>
      </c>
      <c r="AY653" s="223">
        <v>-9999</v>
      </c>
      <c r="AZ653" s="223">
        <v>-9999</v>
      </c>
      <c r="BA653" s="223">
        <v>-9999</v>
      </c>
      <c r="BB653" s="223" t="s">
        <v>631</v>
      </c>
      <c r="BC653" s="223">
        <v>-9999</v>
      </c>
      <c r="BD653" s="223">
        <v>-9999</v>
      </c>
      <c r="BE653" s="223">
        <v>-9999</v>
      </c>
      <c r="BF653" s="223">
        <v>-9999</v>
      </c>
      <c r="BG653" s="223">
        <v>-9999</v>
      </c>
      <c r="BH653" s="223">
        <v>-9999</v>
      </c>
      <c r="BI653" s="223" t="s">
        <v>1059</v>
      </c>
      <c r="BJ653" s="223">
        <v>-9999</v>
      </c>
      <c r="BK653" s="223">
        <v>-9999</v>
      </c>
      <c r="BL653" s="223">
        <v>-9999</v>
      </c>
      <c r="BM653" s="223">
        <v>-9999</v>
      </c>
      <c r="BN653" s="223">
        <v>-9999</v>
      </c>
      <c r="BO653" s="223">
        <v>-9999</v>
      </c>
      <c r="BP653" s="223">
        <v>-9999</v>
      </c>
      <c r="BQ653" s="223">
        <v>-9999</v>
      </c>
      <c r="BR653" s="223">
        <v>-9999</v>
      </c>
      <c r="BS653" s="242">
        <v>-9999</v>
      </c>
      <c r="BT653" s="223">
        <v>-9999</v>
      </c>
      <c r="BU653" s="223">
        <v>-9999</v>
      </c>
      <c r="BV653" s="223">
        <v>-9999</v>
      </c>
      <c r="BW653" s="223"/>
      <c r="BX653" s="223">
        <v>-9999</v>
      </c>
      <c r="BY653" s="223">
        <v>-9999</v>
      </c>
      <c r="BZ653" s="223">
        <v>-9999</v>
      </c>
      <c r="CA653" s="334" t="s">
        <v>797</v>
      </c>
      <c r="CB653" s="247"/>
      <c r="CC653" s="83">
        <v>1</v>
      </c>
      <c r="CD653" s="32">
        <v>7</v>
      </c>
      <c r="CE653" s="292">
        <v>6.39</v>
      </c>
      <c r="CF653" s="292">
        <v>21.149999999999995</v>
      </c>
      <c r="CG653" s="84">
        <v>7</v>
      </c>
    </row>
    <row r="654" spans="1:1873" s="23" customFormat="1" ht="25.5" x14ac:dyDescent="0.2">
      <c r="A654" s="304" t="s">
        <v>2090</v>
      </c>
      <c r="B654" s="223" t="s">
        <v>1031</v>
      </c>
      <c r="C654" s="223" t="s">
        <v>1030</v>
      </c>
      <c r="D654" s="223" t="s">
        <v>619</v>
      </c>
      <c r="E654" s="305" t="s">
        <v>1451</v>
      </c>
      <c r="F654" s="241">
        <v>1</v>
      </c>
      <c r="G654" s="223">
        <v>8</v>
      </c>
      <c r="H654" s="242">
        <v>8</v>
      </c>
      <c r="I654" s="223" t="s">
        <v>807</v>
      </c>
      <c r="J654" s="450">
        <v>1987</v>
      </c>
      <c r="K654" s="560" t="s">
        <v>1211</v>
      </c>
      <c r="L654" s="450">
        <v>1994</v>
      </c>
      <c r="M654" s="243">
        <v>-9999</v>
      </c>
      <c r="N654" s="223">
        <v>-9999</v>
      </c>
      <c r="O654" s="29"/>
      <c r="P654" s="244">
        <f t="shared" si="69"/>
        <v>57.36</v>
      </c>
      <c r="Q654" s="223">
        <v>-9999</v>
      </c>
      <c r="R654" s="243"/>
      <c r="S654" s="223"/>
      <c r="T654" s="243">
        <v>7.17</v>
      </c>
      <c r="U654" s="223">
        <v>-9999</v>
      </c>
      <c r="V654" s="223"/>
      <c r="W654" s="285">
        <f>+P654-P653</f>
        <v>12.630000000000003</v>
      </c>
      <c r="X654" s="223">
        <v>-9999</v>
      </c>
      <c r="Y654" s="223"/>
      <c r="Z654" s="561" t="s">
        <v>1702</v>
      </c>
      <c r="AA654" s="425">
        <f t="shared" si="67"/>
        <v>1682.0700000000002</v>
      </c>
      <c r="AB654" s="243">
        <v>-9999</v>
      </c>
      <c r="AC654" s="245">
        <v>4.0460000000000003</v>
      </c>
      <c r="AD654" s="560">
        <f t="shared" si="68"/>
        <v>3300</v>
      </c>
      <c r="AE654" s="675" t="s">
        <v>97</v>
      </c>
      <c r="AF654" s="223">
        <v>3</v>
      </c>
      <c r="AG654" s="223">
        <v>-9999</v>
      </c>
      <c r="AH654" s="223">
        <v>-9999</v>
      </c>
      <c r="AI654" s="223">
        <v>-9999</v>
      </c>
      <c r="AJ654" s="223">
        <v>-9999</v>
      </c>
      <c r="AK654" s="223">
        <v>-9999</v>
      </c>
      <c r="AL654" s="223">
        <v>-9999</v>
      </c>
      <c r="AM654" s="223">
        <v>-9999</v>
      </c>
      <c r="AN654" s="223" t="s">
        <v>631</v>
      </c>
      <c r="AO654" s="223">
        <v>-9999</v>
      </c>
      <c r="AP654" s="223">
        <v>-9999</v>
      </c>
      <c r="AQ654" s="223" t="s">
        <v>631</v>
      </c>
      <c r="AR654" s="223">
        <v>0</v>
      </c>
      <c r="AS654" s="223">
        <v>-9999</v>
      </c>
      <c r="AT654" s="223">
        <v>-9999</v>
      </c>
      <c r="AU654" s="223">
        <v>0</v>
      </c>
      <c r="AV654" s="223">
        <v>-9999</v>
      </c>
      <c r="AW654" s="223">
        <v>-9999</v>
      </c>
      <c r="AX654" s="223">
        <v>0</v>
      </c>
      <c r="AY654" s="223">
        <v>-9999</v>
      </c>
      <c r="AZ654" s="223">
        <v>-9999</v>
      </c>
      <c r="BA654" s="223">
        <v>-9999</v>
      </c>
      <c r="BB654" s="223" t="s">
        <v>631</v>
      </c>
      <c r="BC654" s="223">
        <v>-9999</v>
      </c>
      <c r="BD654" s="223">
        <v>-9999</v>
      </c>
      <c r="BE654" s="223">
        <v>-9999</v>
      </c>
      <c r="BF654" s="223">
        <v>-9999</v>
      </c>
      <c r="BG654" s="223">
        <v>-9999</v>
      </c>
      <c r="BH654" s="223">
        <v>-9999</v>
      </c>
      <c r="BI654" s="223" t="s">
        <v>1059</v>
      </c>
      <c r="BJ654" s="223">
        <v>-9999</v>
      </c>
      <c r="BK654" s="223">
        <v>-9999</v>
      </c>
      <c r="BL654" s="223">
        <v>-9999</v>
      </c>
      <c r="BM654" s="223">
        <v>-9999</v>
      </c>
      <c r="BN654" s="223">
        <v>-9999</v>
      </c>
      <c r="BO654" s="223">
        <v>-9999</v>
      </c>
      <c r="BP654" s="223">
        <v>-9999</v>
      </c>
      <c r="BQ654" s="223">
        <v>-9999</v>
      </c>
      <c r="BR654" s="223">
        <v>-9999</v>
      </c>
      <c r="BS654" s="242">
        <v>-9999</v>
      </c>
      <c r="BT654" s="223">
        <v>-9999</v>
      </c>
      <c r="BU654" s="223">
        <v>-9999</v>
      </c>
      <c r="BV654" s="223">
        <v>-9999</v>
      </c>
      <c r="BW654" s="223"/>
      <c r="BX654" s="223">
        <v>-9999</v>
      </c>
      <c r="BY654" s="223">
        <v>-9999</v>
      </c>
      <c r="BZ654" s="223">
        <v>-9999</v>
      </c>
      <c r="CA654" s="334" t="s">
        <v>797</v>
      </c>
      <c r="CB654" s="247"/>
      <c r="CC654" s="83">
        <v>1</v>
      </c>
      <c r="CD654" s="32">
        <v>8</v>
      </c>
      <c r="CE654" s="292">
        <v>7.17</v>
      </c>
      <c r="CF654" s="292">
        <v>12.630000000000003</v>
      </c>
      <c r="CG654" s="84">
        <v>8</v>
      </c>
    </row>
    <row r="655" spans="1:1873" s="23" customFormat="1" ht="25.5" x14ac:dyDescent="0.2">
      <c r="A655" s="304" t="s">
        <v>2090</v>
      </c>
      <c r="B655" s="223" t="s">
        <v>1031</v>
      </c>
      <c r="C655" s="223" t="s">
        <v>1030</v>
      </c>
      <c r="D655" s="223" t="s">
        <v>619</v>
      </c>
      <c r="E655" s="305" t="s">
        <v>1451</v>
      </c>
      <c r="F655" s="241">
        <v>1</v>
      </c>
      <c r="G655" s="223">
        <v>9</v>
      </c>
      <c r="H655" s="242">
        <v>9</v>
      </c>
      <c r="I655" s="223" t="s">
        <v>807</v>
      </c>
      <c r="J655" s="450">
        <v>1987</v>
      </c>
      <c r="K655" s="560" t="s">
        <v>1211</v>
      </c>
      <c r="L655" s="450">
        <v>1995</v>
      </c>
      <c r="M655" s="243">
        <v>-9999</v>
      </c>
      <c r="N655" s="223">
        <v>-9999</v>
      </c>
      <c r="O655" s="29"/>
      <c r="P655" s="244">
        <f t="shared" si="69"/>
        <v>64.53</v>
      </c>
      <c r="Q655" s="223">
        <v>-9999</v>
      </c>
      <c r="R655" s="243"/>
      <c r="S655" s="223"/>
      <c r="T655" s="243">
        <v>7.17</v>
      </c>
      <c r="U655" s="223">
        <v>-9999</v>
      </c>
      <c r="V655" s="223"/>
      <c r="W655" s="285">
        <f>+P655-P654</f>
        <v>7.1700000000000017</v>
      </c>
      <c r="X655" s="223">
        <v>-9999</v>
      </c>
      <c r="Y655" s="223"/>
      <c r="Z655" s="561" t="s">
        <v>1702</v>
      </c>
      <c r="AA655" s="425">
        <f t="shared" si="67"/>
        <v>1682.0700000000002</v>
      </c>
      <c r="AB655" s="243">
        <v>-9999</v>
      </c>
      <c r="AC655" s="245">
        <v>4.0460000000000003</v>
      </c>
      <c r="AD655" s="560">
        <f t="shared" si="68"/>
        <v>3300</v>
      </c>
      <c r="AE655" s="675" t="s">
        <v>97</v>
      </c>
      <c r="AF655" s="223">
        <v>3</v>
      </c>
      <c r="AG655" s="223">
        <v>-9999</v>
      </c>
      <c r="AH655" s="223">
        <v>-9999</v>
      </c>
      <c r="AI655" s="223">
        <v>-9999</v>
      </c>
      <c r="AJ655" s="223">
        <v>-9999</v>
      </c>
      <c r="AK655" s="223">
        <v>-9999</v>
      </c>
      <c r="AL655" s="223">
        <v>-9999</v>
      </c>
      <c r="AM655" s="223">
        <v>-9999</v>
      </c>
      <c r="AN655" s="223" t="s">
        <v>631</v>
      </c>
      <c r="AO655" s="223">
        <v>-9999</v>
      </c>
      <c r="AP655" s="223">
        <v>-9999</v>
      </c>
      <c r="AQ655" s="223" t="s">
        <v>631</v>
      </c>
      <c r="AR655" s="223">
        <v>0</v>
      </c>
      <c r="AS655" s="223">
        <v>-9999</v>
      </c>
      <c r="AT655" s="223">
        <v>-9999</v>
      </c>
      <c r="AU655" s="223">
        <v>0</v>
      </c>
      <c r="AV655" s="223">
        <v>-9999</v>
      </c>
      <c r="AW655" s="223">
        <v>-9999</v>
      </c>
      <c r="AX655" s="223">
        <v>0</v>
      </c>
      <c r="AY655" s="223">
        <v>-9999</v>
      </c>
      <c r="AZ655" s="223">
        <v>-9999</v>
      </c>
      <c r="BA655" s="223">
        <v>-9999</v>
      </c>
      <c r="BB655" s="223" t="s">
        <v>631</v>
      </c>
      <c r="BC655" s="223">
        <v>-9999</v>
      </c>
      <c r="BD655" s="223">
        <v>-9999</v>
      </c>
      <c r="BE655" s="223">
        <v>-9999</v>
      </c>
      <c r="BF655" s="223">
        <v>-9999</v>
      </c>
      <c r="BG655" s="223">
        <v>-9999</v>
      </c>
      <c r="BH655" s="223">
        <v>-9999</v>
      </c>
      <c r="BI655" s="223" t="s">
        <v>1059</v>
      </c>
      <c r="BJ655" s="223">
        <v>-9999</v>
      </c>
      <c r="BK655" s="223">
        <v>-9999</v>
      </c>
      <c r="BL655" s="223">
        <v>-9999</v>
      </c>
      <c r="BM655" s="223">
        <v>-9999</v>
      </c>
      <c r="BN655" s="223">
        <v>-9999</v>
      </c>
      <c r="BO655" s="223">
        <v>-9999</v>
      </c>
      <c r="BP655" s="223">
        <v>-9999</v>
      </c>
      <c r="BQ655" s="223">
        <v>-9999</v>
      </c>
      <c r="BR655" s="223">
        <v>-9999</v>
      </c>
      <c r="BS655" s="242">
        <v>-9999</v>
      </c>
      <c r="BT655" s="223">
        <v>-9999</v>
      </c>
      <c r="BU655" s="223">
        <v>-9999</v>
      </c>
      <c r="BV655" s="223">
        <v>-9999</v>
      </c>
      <c r="BW655" s="223"/>
      <c r="BX655" s="223">
        <v>-9999</v>
      </c>
      <c r="BY655" s="223">
        <v>-9999</v>
      </c>
      <c r="BZ655" s="223">
        <v>-9999</v>
      </c>
      <c r="CA655" s="334" t="s">
        <v>797</v>
      </c>
      <c r="CB655" s="247"/>
      <c r="CC655" s="83">
        <v>1</v>
      </c>
      <c r="CD655" s="32">
        <v>9</v>
      </c>
      <c r="CE655" s="292">
        <v>7.17</v>
      </c>
      <c r="CF655" s="292">
        <v>7.1700000000000017</v>
      </c>
      <c r="CG655" s="84">
        <v>9</v>
      </c>
    </row>
    <row r="656" spans="1:1873" s="202" customFormat="1" ht="25.5" x14ac:dyDescent="0.2">
      <c r="A656" s="304" t="s">
        <v>2090</v>
      </c>
      <c r="B656" s="223" t="s">
        <v>1031</v>
      </c>
      <c r="C656" s="223" t="s">
        <v>1030</v>
      </c>
      <c r="D656" s="223" t="s">
        <v>619</v>
      </c>
      <c r="E656" s="241" t="s">
        <v>1451</v>
      </c>
      <c r="F656" s="241">
        <v>1</v>
      </c>
      <c r="G656" s="223">
        <v>10</v>
      </c>
      <c r="H656" s="242">
        <v>10</v>
      </c>
      <c r="I656" s="223" t="s">
        <v>807</v>
      </c>
      <c r="J656" s="450">
        <v>1987</v>
      </c>
      <c r="K656" s="560" t="s">
        <v>1211</v>
      </c>
      <c r="L656" s="450">
        <v>1996</v>
      </c>
      <c r="M656" s="243">
        <v>-9999</v>
      </c>
      <c r="N656" s="223">
        <v>-9999</v>
      </c>
      <c r="O656" s="29"/>
      <c r="P656" s="285">
        <f t="shared" si="69"/>
        <v>79.400000000000006</v>
      </c>
      <c r="Q656" s="223">
        <v>-9999</v>
      </c>
      <c r="R656" s="243"/>
      <c r="S656" s="223"/>
      <c r="T656" s="243">
        <v>7.94</v>
      </c>
      <c r="U656" s="223">
        <v>-9999</v>
      </c>
      <c r="V656" s="223"/>
      <c r="W656" s="244">
        <f>+P656-P655</f>
        <v>14.870000000000005</v>
      </c>
      <c r="X656" s="223">
        <v>-9999</v>
      </c>
      <c r="Y656" s="223"/>
      <c r="Z656" s="561" t="s">
        <v>1702</v>
      </c>
      <c r="AA656" s="425">
        <f t="shared" si="67"/>
        <v>1682.0700000000002</v>
      </c>
      <c r="AB656" s="243">
        <v>-9999</v>
      </c>
      <c r="AC656" s="245">
        <v>4.0460000000000003</v>
      </c>
      <c r="AD656" s="560">
        <f t="shared" si="68"/>
        <v>3300</v>
      </c>
      <c r="AE656" s="675" t="s">
        <v>97</v>
      </c>
      <c r="AF656" s="223">
        <v>3</v>
      </c>
      <c r="AG656" s="223">
        <v>-9999</v>
      </c>
      <c r="AH656" s="223">
        <v>-9999</v>
      </c>
      <c r="AI656" s="223">
        <v>-9999</v>
      </c>
      <c r="AJ656" s="223">
        <v>-9999</v>
      </c>
      <c r="AK656" s="223">
        <v>-9999</v>
      </c>
      <c r="AL656" s="223">
        <v>-9999</v>
      </c>
      <c r="AM656" s="223">
        <v>-9999</v>
      </c>
      <c r="AN656" s="223" t="s">
        <v>631</v>
      </c>
      <c r="AO656" s="223">
        <v>-9999</v>
      </c>
      <c r="AP656" s="223">
        <v>-9999</v>
      </c>
      <c r="AQ656" s="223" t="s">
        <v>631</v>
      </c>
      <c r="AR656" s="223">
        <v>0</v>
      </c>
      <c r="AS656" s="223">
        <v>-9999</v>
      </c>
      <c r="AT656" s="223">
        <v>-9999</v>
      </c>
      <c r="AU656" s="223">
        <v>0</v>
      </c>
      <c r="AV656" s="223">
        <v>-9999</v>
      </c>
      <c r="AW656" s="223">
        <v>-9999</v>
      </c>
      <c r="AX656" s="223">
        <v>0</v>
      </c>
      <c r="AY656" s="223">
        <v>-9999</v>
      </c>
      <c r="AZ656" s="223">
        <v>-9999</v>
      </c>
      <c r="BA656" s="223">
        <v>-9999</v>
      </c>
      <c r="BB656" s="223" t="s">
        <v>631</v>
      </c>
      <c r="BC656" s="223">
        <v>-9999</v>
      </c>
      <c r="BD656" s="223">
        <v>-9999</v>
      </c>
      <c r="BE656" s="223">
        <v>-9999</v>
      </c>
      <c r="BF656" s="223">
        <v>-9999</v>
      </c>
      <c r="BG656" s="223">
        <v>-9999</v>
      </c>
      <c r="BH656" s="223">
        <v>-9999</v>
      </c>
      <c r="BI656" s="223" t="s">
        <v>1059</v>
      </c>
      <c r="BJ656" s="223">
        <v>-9999</v>
      </c>
      <c r="BK656" s="223">
        <v>-9999</v>
      </c>
      <c r="BL656" s="223">
        <v>-9999</v>
      </c>
      <c r="BM656" s="223">
        <v>-9999</v>
      </c>
      <c r="BN656" s="223">
        <v>-9999</v>
      </c>
      <c r="BO656" s="223">
        <v>-9999</v>
      </c>
      <c r="BP656" s="223">
        <v>-9999</v>
      </c>
      <c r="BQ656" s="223">
        <v>-9999</v>
      </c>
      <c r="BR656" s="223">
        <v>-9999</v>
      </c>
      <c r="BS656" s="242">
        <v>-9999</v>
      </c>
      <c r="BT656" s="223">
        <v>-9999</v>
      </c>
      <c r="BU656" s="223">
        <v>-9999</v>
      </c>
      <c r="BV656" s="223">
        <v>-9999</v>
      </c>
      <c r="BW656" s="223"/>
      <c r="BX656" s="223">
        <v>-9999</v>
      </c>
      <c r="BY656" s="223">
        <v>-9999</v>
      </c>
      <c r="BZ656" s="223">
        <v>-9999</v>
      </c>
      <c r="CA656" s="334" t="s">
        <v>797</v>
      </c>
      <c r="CB656" s="247"/>
      <c r="CC656" s="201">
        <v>1</v>
      </c>
      <c r="CD656" s="192">
        <v>10</v>
      </c>
      <c r="CE656" s="401">
        <v>7.94</v>
      </c>
      <c r="CF656" s="292">
        <v>14.870000000000005</v>
      </c>
      <c r="CG656" s="196">
        <v>10</v>
      </c>
      <c r="CH656" s="435" t="s">
        <v>1757</v>
      </c>
      <c r="CI656" s="23"/>
      <c r="CJ656" s="23"/>
      <c r="CK656" s="23"/>
      <c r="CL656" s="23"/>
      <c r="CM656" s="23"/>
      <c r="CN656" s="23"/>
      <c r="CO656" s="23"/>
      <c r="CP656" s="23"/>
      <c r="CQ656" s="23"/>
      <c r="CR656" s="23"/>
      <c r="CS656" s="23"/>
      <c r="CT656" s="23"/>
      <c r="CU656" s="23"/>
      <c r="CV656" s="23"/>
      <c r="CW656" s="23"/>
      <c r="CX656" s="23"/>
      <c r="CY656" s="23"/>
      <c r="CZ656" s="23"/>
      <c r="DA656" s="23"/>
      <c r="DB656" s="23"/>
      <c r="DC656" s="23"/>
      <c r="DD656" s="23"/>
      <c r="DE656" s="23"/>
      <c r="DF656" s="23"/>
      <c r="DG656" s="23"/>
      <c r="DH656" s="23"/>
      <c r="DI656" s="23"/>
      <c r="DJ656" s="23"/>
      <c r="DK656" s="23"/>
      <c r="DL656" s="23"/>
      <c r="DM656" s="23"/>
      <c r="DN656" s="23"/>
      <c r="DO656" s="23"/>
      <c r="DP656" s="23"/>
      <c r="DQ656" s="23"/>
      <c r="DR656" s="23"/>
      <c r="DS656" s="23"/>
      <c r="DT656" s="23"/>
      <c r="DU656" s="23"/>
      <c r="DV656" s="23"/>
      <c r="DW656" s="23"/>
      <c r="DX656" s="23"/>
      <c r="DY656" s="23"/>
      <c r="DZ656" s="23"/>
      <c r="EA656" s="23"/>
      <c r="EB656" s="23"/>
      <c r="EC656" s="23"/>
      <c r="ED656" s="23"/>
      <c r="EE656" s="23"/>
      <c r="EF656" s="23"/>
      <c r="EG656" s="23"/>
      <c r="EH656" s="23"/>
      <c r="EI656" s="23"/>
      <c r="EJ656" s="23"/>
      <c r="EK656" s="23"/>
      <c r="EL656" s="23"/>
      <c r="EM656" s="23"/>
      <c r="EN656" s="23"/>
      <c r="EO656" s="23"/>
      <c r="EP656" s="23"/>
      <c r="EQ656" s="23"/>
      <c r="ER656" s="23"/>
      <c r="ES656" s="23"/>
      <c r="ET656" s="23"/>
      <c r="EU656" s="23"/>
      <c r="EV656" s="23"/>
      <c r="EW656" s="23"/>
      <c r="EX656" s="23"/>
      <c r="EY656" s="23"/>
      <c r="EZ656" s="23"/>
      <c r="FA656" s="23"/>
      <c r="FB656" s="23"/>
      <c r="FC656" s="23"/>
      <c r="FD656" s="23"/>
      <c r="FE656" s="23"/>
      <c r="FF656" s="23"/>
      <c r="FG656" s="23"/>
      <c r="FH656" s="23"/>
      <c r="FI656" s="23"/>
      <c r="FJ656" s="23"/>
      <c r="FK656" s="23"/>
      <c r="FL656" s="23"/>
      <c r="FM656" s="23"/>
      <c r="FN656" s="23"/>
      <c r="FO656" s="23"/>
      <c r="FP656" s="23"/>
      <c r="FQ656" s="23"/>
      <c r="FR656" s="23"/>
      <c r="FS656" s="23"/>
      <c r="FT656" s="23"/>
      <c r="FU656" s="23"/>
      <c r="FV656" s="23"/>
      <c r="FW656" s="23"/>
      <c r="FX656" s="23"/>
      <c r="FY656" s="23"/>
      <c r="FZ656" s="23"/>
      <c r="GA656" s="23"/>
      <c r="GB656" s="23"/>
      <c r="GC656" s="23"/>
      <c r="GD656" s="23"/>
      <c r="GE656" s="23"/>
      <c r="GF656" s="23"/>
      <c r="GG656" s="23"/>
      <c r="GH656" s="23"/>
      <c r="GI656" s="23"/>
      <c r="GJ656" s="23"/>
      <c r="GK656" s="23"/>
      <c r="GL656" s="23"/>
      <c r="GM656" s="23"/>
      <c r="GN656" s="23"/>
      <c r="GO656" s="23"/>
      <c r="GP656" s="23"/>
      <c r="GQ656" s="23"/>
      <c r="GR656" s="23"/>
      <c r="GS656" s="23"/>
      <c r="GT656" s="23"/>
      <c r="GU656" s="23"/>
      <c r="GV656" s="23"/>
      <c r="GW656" s="23"/>
      <c r="GX656" s="23"/>
      <c r="GY656" s="23"/>
      <c r="GZ656" s="23"/>
      <c r="HA656" s="23"/>
      <c r="HB656" s="23"/>
      <c r="HC656" s="23"/>
      <c r="HD656" s="23"/>
      <c r="HE656" s="23"/>
      <c r="HF656" s="23"/>
      <c r="HG656" s="23"/>
      <c r="HH656" s="23"/>
      <c r="HI656" s="23"/>
      <c r="HJ656" s="23"/>
      <c r="HK656" s="23"/>
      <c r="HL656" s="23"/>
      <c r="HM656" s="23"/>
      <c r="HN656" s="23"/>
      <c r="HO656" s="23"/>
      <c r="HP656" s="23"/>
      <c r="HQ656" s="23"/>
      <c r="HR656" s="23"/>
      <c r="HS656" s="23"/>
      <c r="HT656" s="23"/>
      <c r="HU656" s="23"/>
      <c r="HV656" s="23"/>
      <c r="HW656" s="23"/>
      <c r="HX656" s="23"/>
      <c r="HY656" s="23"/>
      <c r="HZ656" s="23"/>
      <c r="IA656" s="23"/>
      <c r="IB656" s="23"/>
      <c r="IC656" s="23"/>
      <c r="ID656" s="23"/>
      <c r="IE656" s="23"/>
      <c r="IF656" s="23"/>
      <c r="IG656" s="23"/>
      <c r="IH656" s="23"/>
      <c r="II656" s="23"/>
      <c r="IJ656" s="23"/>
      <c r="IK656" s="23"/>
      <c r="IL656" s="23"/>
      <c r="IM656" s="23"/>
      <c r="IN656" s="23"/>
      <c r="IO656" s="23"/>
      <c r="IP656" s="23"/>
      <c r="IQ656" s="23"/>
      <c r="IR656" s="23"/>
      <c r="IS656" s="23"/>
      <c r="IT656" s="23"/>
      <c r="IU656" s="23"/>
      <c r="IV656" s="23"/>
      <c r="IW656" s="23"/>
      <c r="IX656" s="23"/>
      <c r="IY656" s="23"/>
      <c r="IZ656" s="23"/>
      <c r="JA656" s="23"/>
      <c r="JB656" s="23"/>
      <c r="JC656" s="23"/>
      <c r="JD656" s="23"/>
      <c r="JE656" s="23"/>
      <c r="JF656" s="23"/>
      <c r="JG656" s="23"/>
      <c r="JH656" s="23"/>
      <c r="JI656" s="23"/>
      <c r="JJ656" s="23"/>
      <c r="JK656" s="23"/>
      <c r="JL656" s="23"/>
      <c r="JM656" s="23"/>
      <c r="JN656" s="23"/>
      <c r="JO656" s="23"/>
      <c r="JP656" s="23"/>
      <c r="JQ656" s="23"/>
      <c r="JR656" s="23"/>
      <c r="JS656" s="23"/>
      <c r="JT656" s="23"/>
      <c r="JU656" s="23"/>
      <c r="JV656" s="23"/>
      <c r="JW656" s="23"/>
      <c r="JX656" s="23"/>
      <c r="JY656" s="23"/>
      <c r="JZ656" s="23"/>
      <c r="KA656" s="23"/>
      <c r="KB656" s="23"/>
      <c r="KC656" s="23"/>
      <c r="KD656" s="23"/>
      <c r="KE656" s="23"/>
      <c r="KF656" s="23"/>
      <c r="KG656" s="23"/>
      <c r="KH656" s="23"/>
      <c r="KI656" s="23"/>
      <c r="KJ656" s="23"/>
      <c r="KK656" s="23"/>
      <c r="KL656" s="23"/>
      <c r="KM656" s="23"/>
      <c r="KN656" s="23"/>
      <c r="KO656" s="23"/>
      <c r="KP656" s="23"/>
      <c r="KQ656" s="23"/>
      <c r="KR656" s="23"/>
      <c r="KS656" s="23"/>
      <c r="KT656" s="23"/>
      <c r="KU656" s="23"/>
      <c r="KV656" s="23"/>
      <c r="KW656" s="23"/>
      <c r="KX656" s="23"/>
      <c r="KY656" s="23"/>
      <c r="KZ656" s="23"/>
      <c r="LA656" s="23"/>
      <c r="LB656" s="23"/>
      <c r="LC656" s="23"/>
      <c r="LD656" s="23"/>
      <c r="LE656" s="23"/>
      <c r="LF656" s="23"/>
      <c r="LG656" s="23"/>
      <c r="LH656" s="23"/>
      <c r="LI656" s="23"/>
      <c r="LJ656" s="23"/>
      <c r="LK656" s="23"/>
      <c r="LL656" s="23"/>
      <c r="LM656" s="23"/>
      <c r="LN656" s="23"/>
      <c r="LO656" s="23"/>
      <c r="LP656" s="23"/>
      <c r="LQ656" s="23"/>
      <c r="LR656" s="23"/>
      <c r="LS656" s="23"/>
      <c r="LT656" s="23"/>
      <c r="LU656" s="23"/>
      <c r="LV656" s="23"/>
      <c r="LW656" s="23"/>
      <c r="LX656" s="23"/>
      <c r="LY656" s="23"/>
      <c r="LZ656" s="23"/>
      <c r="MA656" s="23"/>
      <c r="MB656" s="23"/>
      <c r="MC656" s="23"/>
      <c r="MD656" s="23"/>
      <c r="ME656" s="23"/>
      <c r="MF656" s="23"/>
      <c r="MG656" s="23"/>
      <c r="MH656" s="23"/>
      <c r="MI656" s="23"/>
      <c r="MJ656" s="23"/>
      <c r="MK656" s="23"/>
      <c r="ML656" s="23"/>
      <c r="MM656" s="23"/>
      <c r="MN656" s="23"/>
      <c r="MO656" s="23"/>
      <c r="MP656" s="23"/>
      <c r="MQ656" s="23"/>
      <c r="MR656" s="23"/>
      <c r="MS656" s="23"/>
      <c r="MT656" s="23"/>
      <c r="MU656" s="23"/>
      <c r="MV656" s="23"/>
      <c r="MW656" s="23"/>
      <c r="MX656" s="23"/>
      <c r="MY656" s="23"/>
      <c r="MZ656" s="23"/>
      <c r="NA656" s="23"/>
      <c r="NB656" s="23"/>
      <c r="NC656" s="23"/>
      <c r="ND656" s="23"/>
      <c r="NE656" s="23"/>
      <c r="NF656" s="23"/>
      <c r="NG656" s="23"/>
      <c r="NH656" s="23"/>
      <c r="NI656" s="23"/>
      <c r="NJ656" s="23"/>
      <c r="NK656" s="23"/>
      <c r="NL656" s="23"/>
      <c r="NM656" s="23"/>
      <c r="NN656" s="23"/>
      <c r="NO656" s="23"/>
      <c r="NP656" s="23"/>
      <c r="NQ656" s="23"/>
      <c r="NR656" s="23"/>
      <c r="NS656" s="23"/>
      <c r="NT656" s="23"/>
      <c r="NU656" s="23"/>
      <c r="NV656" s="23"/>
      <c r="NW656" s="23"/>
      <c r="NX656" s="23"/>
      <c r="NY656" s="23"/>
      <c r="NZ656" s="23"/>
      <c r="OA656" s="23"/>
      <c r="OB656" s="23"/>
      <c r="OC656" s="23"/>
      <c r="OD656" s="23"/>
      <c r="OE656" s="23"/>
      <c r="OF656" s="23"/>
      <c r="OG656" s="23"/>
      <c r="OH656" s="23"/>
      <c r="OI656" s="23"/>
      <c r="OJ656" s="23"/>
      <c r="OK656" s="23"/>
      <c r="OL656" s="23"/>
      <c r="OM656" s="23"/>
      <c r="ON656" s="23"/>
      <c r="OO656" s="23"/>
      <c r="OP656" s="23"/>
      <c r="OQ656" s="23"/>
      <c r="OR656" s="23"/>
      <c r="OS656" s="23"/>
      <c r="OT656" s="23"/>
      <c r="OU656" s="23"/>
      <c r="OV656" s="23"/>
      <c r="OW656" s="23"/>
      <c r="OX656" s="23"/>
      <c r="OY656" s="23"/>
      <c r="OZ656" s="23"/>
      <c r="PA656" s="23"/>
      <c r="PB656" s="23"/>
      <c r="PC656" s="23"/>
      <c r="PD656" s="23"/>
      <c r="PE656" s="23"/>
      <c r="PF656" s="23"/>
      <c r="PG656" s="23"/>
      <c r="PH656" s="23"/>
      <c r="PI656" s="23"/>
      <c r="PJ656" s="23"/>
      <c r="PK656" s="23"/>
      <c r="PL656" s="23"/>
      <c r="PM656" s="23"/>
      <c r="PN656" s="23"/>
      <c r="PO656" s="23"/>
      <c r="PP656" s="23"/>
      <c r="PQ656" s="23"/>
      <c r="PR656" s="23"/>
      <c r="PS656" s="23"/>
      <c r="PT656" s="23"/>
      <c r="PU656" s="23"/>
      <c r="PV656" s="23"/>
      <c r="PW656" s="23"/>
      <c r="PX656" s="23"/>
      <c r="PY656" s="23"/>
      <c r="PZ656" s="23"/>
      <c r="QA656" s="23"/>
      <c r="QB656" s="23"/>
      <c r="QC656" s="23"/>
      <c r="QD656" s="23"/>
      <c r="QE656" s="23"/>
      <c r="QF656" s="23"/>
      <c r="QG656" s="23"/>
      <c r="QH656" s="23"/>
      <c r="QI656" s="23"/>
      <c r="QJ656" s="23"/>
      <c r="QK656" s="23"/>
      <c r="QL656" s="23"/>
      <c r="QM656" s="23"/>
      <c r="QN656" s="23"/>
      <c r="QO656" s="23"/>
      <c r="QP656" s="23"/>
      <c r="QQ656" s="23"/>
      <c r="QR656" s="23"/>
      <c r="QS656" s="23"/>
      <c r="QT656" s="23"/>
      <c r="QU656" s="23"/>
      <c r="QV656" s="23"/>
      <c r="QW656" s="23"/>
      <c r="QX656" s="23"/>
      <c r="QY656" s="23"/>
      <c r="QZ656" s="23"/>
      <c r="RA656" s="23"/>
      <c r="RB656" s="23"/>
      <c r="RC656" s="23"/>
      <c r="RD656" s="23"/>
      <c r="RE656" s="23"/>
      <c r="RF656" s="23"/>
      <c r="RG656" s="23"/>
      <c r="RH656" s="23"/>
      <c r="RI656" s="23"/>
      <c r="RJ656" s="23"/>
      <c r="RK656" s="23"/>
      <c r="RL656" s="23"/>
      <c r="RM656" s="23"/>
      <c r="RN656" s="23"/>
      <c r="RO656" s="23"/>
      <c r="RP656" s="23"/>
      <c r="RQ656" s="23"/>
      <c r="RR656" s="23"/>
      <c r="RS656" s="23"/>
      <c r="RT656" s="23"/>
      <c r="RU656" s="23"/>
      <c r="RV656" s="23"/>
      <c r="RW656" s="23"/>
      <c r="RX656" s="23"/>
      <c r="RY656" s="23"/>
      <c r="RZ656" s="23"/>
      <c r="SA656" s="23"/>
      <c r="SB656" s="23"/>
      <c r="SC656" s="23"/>
      <c r="SD656" s="23"/>
      <c r="SE656" s="23"/>
      <c r="SF656" s="23"/>
      <c r="SG656" s="23"/>
      <c r="SH656" s="23"/>
      <c r="SI656" s="23"/>
      <c r="SJ656" s="23"/>
      <c r="SK656" s="23"/>
      <c r="SL656" s="23"/>
      <c r="SM656" s="23"/>
      <c r="SN656" s="23"/>
      <c r="SO656" s="23"/>
      <c r="SP656" s="23"/>
      <c r="SQ656" s="23"/>
      <c r="SR656" s="23"/>
      <c r="SS656" s="23"/>
      <c r="ST656" s="23"/>
      <c r="SU656" s="23"/>
      <c r="SV656" s="23"/>
      <c r="SW656" s="23"/>
      <c r="SX656" s="23"/>
      <c r="SY656" s="23"/>
      <c r="SZ656" s="23"/>
      <c r="TA656" s="23"/>
      <c r="TB656" s="23"/>
      <c r="TC656" s="23"/>
      <c r="TD656" s="23"/>
      <c r="TE656" s="23"/>
      <c r="TF656" s="23"/>
      <c r="TG656" s="23"/>
      <c r="TH656" s="23"/>
      <c r="TI656" s="23"/>
      <c r="TJ656" s="23"/>
      <c r="TK656" s="23"/>
      <c r="TL656" s="23"/>
      <c r="TM656" s="23"/>
      <c r="TN656" s="23"/>
      <c r="TO656" s="23"/>
      <c r="TP656" s="23"/>
      <c r="TQ656" s="23"/>
      <c r="TR656" s="23"/>
      <c r="TS656" s="23"/>
      <c r="TT656" s="23"/>
      <c r="TU656" s="23"/>
      <c r="TV656" s="23"/>
      <c r="TW656" s="23"/>
      <c r="TX656" s="23"/>
      <c r="TY656" s="23"/>
      <c r="TZ656" s="23"/>
      <c r="UA656" s="23"/>
      <c r="UB656" s="23"/>
      <c r="UC656" s="23"/>
      <c r="UD656" s="23"/>
      <c r="UE656" s="23"/>
      <c r="UF656" s="23"/>
      <c r="UG656" s="23"/>
      <c r="UH656" s="23"/>
      <c r="UI656" s="23"/>
      <c r="UJ656" s="23"/>
      <c r="UK656" s="23"/>
      <c r="UL656" s="23"/>
      <c r="UM656" s="23"/>
      <c r="UN656" s="23"/>
      <c r="UO656" s="23"/>
      <c r="UP656" s="23"/>
      <c r="UQ656" s="23"/>
      <c r="UR656" s="23"/>
      <c r="US656" s="23"/>
      <c r="UT656" s="23"/>
      <c r="UU656" s="23"/>
      <c r="UV656" s="23"/>
      <c r="UW656" s="23"/>
      <c r="UX656" s="23"/>
      <c r="UY656" s="23"/>
      <c r="UZ656" s="23"/>
      <c r="VA656" s="23"/>
      <c r="VB656" s="23"/>
      <c r="VC656" s="23"/>
      <c r="VD656" s="23"/>
      <c r="VE656" s="23"/>
      <c r="VF656" s="23"/>
      <c r="VG656" s="23"/>
      <c r="VH656" s="23"/>
      <c r="VI656" s="23"/>
      <c r="VJ656" s="23"/>
      <c r="VK656" s="23"/>
      <c r="VL656" s="23"/>
      <c r="VM656" s="23"/>
      <c r="VN656" s="23"/>
      <c r="VO656" s="23"/>
      <c r="VP656" s="23"/>
      <c r="VQ656" s="23"/>
      <c r="VR656" s="23"/>
      <c r="VS656" s="23"/>
      <c r="VT656" s="23"/>
      <c r="VU656" s="23"/>
      <c r="VV656" s="23"/>
      <c r="VW656" s="23"/>
      <c r="VX656" s="23"/>
      <c r="VY656" s="23"/>
      <c r="VZ656" s="23"/>
      <c r="WA656" s="23"/>
      <c r="WB656" s="23"/>
      <c r="WC656" s="23"/>
      <c r="WD656" s="23"/>
      <c r="WE656" s="23"/>
      <c r="WF656" s="23"/>
      <c r="WG656" s="23"/>
      <c r="WH656" s="23"/>
      <c r="WI656" s="23"/>
      <c r="WJ656" s="23"/>
      <c r="WK656" s="23"/>
      <c r="WL656" s="23"/>
      <c r="WM656" s="23"/>
      <c r="WN656" s="23"/>
      <c r="WO656" s="23"/>
      <c r="WP656" s="23"/>
      <c r="WQ656" s="23"/>
      <c r="WR656" s="23"/>
      <c r="WS656" s="23"/>
      <c r="WT656" s="23"/>
      <c r="WU656" s="23"/>
      <c r="WV656" s="23"/>
      <c r="WW656" s="23"/>
      <c r="WX656" s="23"/>
      <c r="WY656" s="23"/>
      <c r="WZ656" s="23"/>
      <c r="XA656" s="23"/>
      <c r="XB656" s="23"/>
      <c r="XC656" s="23"/>
      <c r="XD656" s="23"/>
      <c r="XE656" s="23"/>
      <c r="XF656" s="23"/>
      <c r="XG656" s="23"/>
      <c r="XH656" s="23"/>
      <c r="XI656" s="23"/>
      <c r="XJ656" s="23"/>
      <c r="XK656" s="23"/>
      <c r="XL656" s="23"/>
      <c r="XM656" s="23"/>
      <c r="XN656" s="23"/>
      <c r="XO656" s="23"/>
      <c r="XP656" s="23"/>
      <c r="XQ656" s="23"/>
      <c r="XR656" s="23"/>
      <c r="XS656" s="23"/>
      <c r="XT656" s="23"/>
      <c r="XU656" s="23"/>
      <c r="XV656" s="23"/>
      <c r="XW656" s="23"/>
      <c r="XX656" s="23"/>
      <c r="XY656" s="23"/>
      <c r="XZ656" s="23"/>
      <c r="YA656" s="23"/>
      <c r="YB656" s="23"/>
      <c r="YC656" s="23"/>
      <c r="YD656" s="23"/>
      <c r="YE656" s="23"/>
      <c r="YF656" s="23"/>
      <c r="YG656" s="23"/>
      <c r="YH656" s="23"/>
      <c r="YI656" s="23"/>
      <c r="YJ656" s="23"/>
      <c r="YK656" s="23"/>
      <c r="YL656" s="23"/>
      <c r="YM656" s="23"/>
      <c r="YN656" s="23"/>
      <c r="YO656" s="23"/>
      <c r="YP656" s="23"/>
      <c r="YQ656" s="23"/>
      <c r="YR656" s="23"/>
      <c r="YS656" s="23"/>
      <c r="YT656" s="23"/>
      <c r="YU656" s="23"/>
      <c r="YV656" s="23"/>
      <c r="YW656" s="23"/>
      <c r="YX656" s="23"/>
      <c r="YY656" s="23"/>
      <c r="YZ656" s="23"/>
      <c r="ZA656" s="23"/>
      <c r="ZB656" s="23"/>
      <c r="ZC656" s="23"/>
      <c r="ZD656" s="23"/>
      <c r="ZE656" s="23"/>
      <c r="ZF656" s="23"/>
      <c r="ZG656" s="23"/>
      <c r="ZH656" s="23"/>
      <c r="ZI656" s="23"/>
      <c r="ZJ656" s="23"/>
      <c r="ZK656" s="23"/>
      <c r="ZL656" s="23"/>
      <c r="ZM656" s="23"/>
      <c r="ZN656" s="23"/>
      <c r="ZO656" s="23"/>
      <c r="ZP656" s="23"/>
      <c r="ZQ656" s="23"/>
      <c r="ZR656" s="23"/>
      <c r="ZS656" s="23"/>
      <c r="ZT656" s="23"/>
      <c r="ZU656" s="23"/>
      <c r="ZV656" s="23"/>
      <c r="ZW656" s="23"/>
      <c r="ZX656" s="23"/>
      <c r="ZY656" s="23"/>
      <c r="ZZ656" s="23"/>
      <c r="AAA656" s="23"/>
      <c r="AAB656" s="23"/>
      <c r="AAC656" s="23"/>
      <c r="AAD656" s="23"/>
      <c r="AAE656" s="23"/>
      <c r="AAF656" s="23"/>
      <c r="AAG656" s="23"/>
      <c r="AAH656" s="23"/>
      <c r="AAI656" s="23"/>
      <c r="AAJ656" s="23"/>
      <c r="AAK656" s="23"/>
      <c r="AAL656" s="23"/>
      <c r="AAM656" s="23"/>
      <c r="AAN656" s="23"/>
      <c r="AAO656" s="23"/>
      <c r="AAP656" s="23"/>
      <c r="AAQ656" s="23"/>
      <c r="AAR656" s="23"/>
      <c r="AAS656" s="23"/>
      <c r="AAT656" s="23"/>
      <c r="AAU656" s="23"/>
      <c r="AAV656" s="23"/>
      <c r="AAW656" s="23"/>
      <c r="AAX656" s="23"/>
      <c r="AAY656" s="23"/>
      <c r="AAZ656" s="23"/>
      <c r="ABA656" s="23"/>
      <c r="ABB656" s="23"/>
      <c r="ABC656" s="23"/>
      <c r="ABD656" s="23"/>
      <c r="ABE656" s="23"/>
      <c r="ABF656" s="23"/>
      <c r="ABG656" s="23"/>
      <c r="ABH656" s="23"/>
      <c r="ABI656" s="23"/>
      <c r="ABJ656" s="23"/>
      <c r="ABK656" s="23"/>
      <c r="ABL656" s="23"/>
      <c r="ABM656" s="23"/>
      <c r="ABN656" s="23"/>
      <c r="ABO656" s="23"/>
      <c r="ABP656" s="23"/>
      <c r="ABQ656" s="23"/>
      <c r="ABR656" s="23"/>
      <c r="ABS656" s="23"/>
      <c r="ABT656" s="23"/>
      <c r="ABU656" s="23"/>
      <c r="ABV656" s="23"/>
      <c r="ABW656" s="23"/>
      <c r="ABX656" s="23"/>
      <c r="ABY656" s="23"/>
      <c r="ABZ656" s="23"/>
      <c r="ACA656" s="23"/>
      <c r="ACB656" s="23"/>
      <c r="ACC656" s="23"/>
      <c r="ACD656" s="23"/>
      <c r="ACE656" s="23"/>
      <c r="ACF656" s="23"/>
      <c r="ACG656" s="23"/>
      <c r="ACH656" s="23"/>
      <c r="ACI656" s="23"/>
      <c r="ACJ656" s="23"/>
      <c r="ACK656" s="23"/>
      <c r="ACL656" s="23"/>
      <c r="ACM656" s="23"/>
      <c r="ACN656" s="23"/>
      <c r="ACO656" s="23"/>
      <c r="ACP656" s="23"/>
      <c r="ACQ656" s="23"/>
      <c r="ACR656" s="23"/>
      <c r="ACS656" s="23"/>
      <c r="ACT656" s="23"/>
      <c r="ACU656" s="23"/>
      <c r="ACV656" s="23"/>
      <c r="ACW656" s="23"/>
      <c r="ACX656" s="23"/>
      <c r="ACY656" s="23"/>
      <c r="ACZ656" s="23"/>
      <c r="ADA656" s="23"/>
      <c r="ADB656" s="23"/>
      <c r="ADC656" s="23"/>
      <c r="ADD656" s="23"/>
      <c r="ADE656" s="23"/>
      <c r="ADF656" s="23"/>
      <c r="ADG656" s="23"/>
      <c r="ADH656" s="23"/>
      <c r="ADI656" s="23"/>
      <c r="ADJ656" s="23"/>
      <c r="ADK656" s="23"/>
      <c r="ADL656" s="23"/>
      <c r="ADM656" s="23"/>
      <c r="ADN656" s="23"/>
      <c r="ADO656" s="23"/>
      <c r="ADP656" s="23"/>
      <c r="ADQ656" s="23"/>
      <c r="ADR656" s="23"/>
      <c r="ADS656" s="23"/>
      <c r="ADT656" s="23"/>
      <c r="ADU656" s="23"/>
      <c r="ADV656" s="23"/>
      <c r="ADW656" s="23"/>
      <c r="ADX656" s="23"/>
      <c r="ADY656" s="23"/>
      <c r="ADZ656" s="23"/>
      <c r="AEA656" s="23"/>
      <c r="AEB656" s="23"/>
      <c r="AEC656" s="23"/>
      <c r="AED656" s="23"/>
      <c r="AEE656" s="23"/>
      <c r="AEF656" s="23"/>
      <c r="AEG656" s="23"/>
      <c r="AEH656" s="23"/>
      <c r="AEI656" s="23"/>
      <c r="AEJ656" s="23"/>
      <c r="AEK656" s="23"/>
      <c r="AEL656" s="23"/>
      <c r="AEM656" s="23"/>
      <c r="AEN656" s="23"/>
      <c r="AEO656" s="23"/>
      <c r="AEP656" s="23"/>
      <c r="AEQ656" s="23"/>
      <c r="AER656" s="23"/>
      <c r="AES656" s="23"/>
      <c r="AET656" s="23"/>
      <c r="AEU656" s="23"/>
      <c r="AEV656" s="23"/>
      <c r="AEW656" s="23"/>
      <c r="AEX656" s="23"/>
      <c r="AEY656" s="23"/>
      <c r="AEZ656" s="23"/>
      <c r="AFA656" s="23"/>
      <c r="AFB656" s="23"/>
      <c r="AFC656" s="23"/>
      <c r="AFD656" s="23"/>
      <c r="AFE656" s="23"/>
      <c r="AFF656" s="23"/>
      <c r="AFG656" s="23"/>
      <c r="AFH656" s="23"/>
      <c r="AFI656" s="23"/>
      <c r="AFJ656" s="23"/>
      <c r="AFK656" s="23"/>
      <c r="AFL656" s="23"/>
      <c r="AFM656" s="23"/>
      <c r="AFN656" s="23"/>
      <c r="AFO656" s="23"/>
      <c r="AFP656" s="23"/>
      <c r="AFQ656" s="23"/>
      <c r="AFR656" s="23"/>
      <c r="AFS656" s="23"/>
      <c r="AFT656" s="23"/>
      <c r="AFU656" s="23"/>
      <c r="AFV656" s="23"/>
      <c r="AFW656" s="23"/>
      <c r="AFX656" s="23"/>
      <c r="AFY656" s="23"/>
      <c r="AFZ656" s="23"/>
      <c r="AGA656" s="23"/>
      <c r="AGB656" s="23"/>
      <c r="AGC656" s="23"/>
      <c r="AGD656" s="23"/>
      <c r="AGE656" s="23"/>
      <c r="AGF656" s="23"/>
      <c r="AGG656" s="23"/>
      <c r="AGH656" s="23"/>
      <c r="AGI656" s="23"/>
      <c r="AGJ656" s="23"/>
      <c r="AGK656" s="23"/>
      <c r="AGL656" s="23"/>
      <c r="AGM656" s="23"/>
      <c r="AGN656" s="23"/>
      <c r="AGO656" s="23"/>
      <c r="AGP656" s="23"/>
      <c r="AGQ656" s="23"/>
      <c r="AGR656" s="23"/>
      <c r="AGS656" s="23"/>
      <c r="AGT656" s="23"/>
      <c r="AGU656" s="23"/>
      <c r="AGV656" s="23"/>
      <c r="AGW656" s="23"/>
      <c r="AGX656" s="23"/>
      <c r="AGY656" s="23"/>
      <c r="AGZ656" s="23"/>
      <c r="AHA656" s="23"/>
      <c r="AHB656" s="23"/>
      <c r="AHC656" s="23"/>
      <c r="AHD656" s="23"/>
      <c r="AHE656" s="23"/>
      <c r="AHF656" s="23"/>
      <c r="AHG656" s="23"/>
      <c r="AHH656" s="23"/>
      <c r="AHI656" s="23"/>
      <c r="AHJ656" s="23"/>
      <c r="AHK656" s="23"/>
      <c r="AHL656" s="23"/>
      <c r="AHM656" s="23"/>
      <c r="AHN656" s="23"/>
      <c r="AHO656" s="23"/>
      <c r="AHP656" s="23"/>
      <c r="AHQ656" s="23"/>
      <c r="AHR656" s="23"/>
      <c r="AHS656" s="23"/>
      <c r="AHT656" s="23"/>
      <c r="AHU656" s="23"/>
      <c r="AHV656" s="23"/>
      <c r="AHW656" s="23"/>
      <c r="AHX656" s="23"/>
      <c r="AHY656" s="23"/>
      <c r="AHZ656" s="23"/>
      <c r="AIA656" s="23"/>
      <c r="AIB656" s="23"/>
      <c r="AIC656" s="23"/>
      <c r="AID656" s="23"/>
      <c r="AIE656" s="23"/>
      <c r="AIF656" s="23"/>
      <c r="AIG656" s="23"/>
      <c r="AIH656" s="23"/>
      <c r="AII656" s="23"/>
      <c r="AIJ656" s="23"/>
      <c r="AIK656" s="23"/>
      <c r="AIL656" s="23"/>
      <c r="AIM656" s="23"/>
      <c r="AIN656" s="23"/>
      <c r="AIO656" s="23"/>
      <c r="AIP656" s="23"/>
      <c r="AIQ656" s="23"/>
      <c r="AIR656" s="23"/>
      <c r="AIS656" s="23"/>
      <c r="AIT656" s="23"/>
      <c r="AIU656" s="23"/>
      <c r="AIV656" s="23"/>
      <c r="AIW656" s="23"/>
      <c r="AIX656" s="23"/>
      <c r="AIY656" s="23"/>
      <c r="AIZ656" s="23"/>
      <c r="AJA656" s="23"/>
      <c r="AJB656" s="23"/>
      <c r="AJC656" s="23"/>
      <c r="AJD656" s="23"/>
      <c r="AJE656" s="23"/>
      <c r="AJF656" s="23"/>
      <c r="AJG656" s="23"/>
      <c r="AJH656" s="23"/>
      <c r="AJI656" s="23"/>
      <c r="AJJ656" s="23"/>
      <c r="AJK656" s="23"/>
      <c r="AJL656" s="23"/>
      <c r="AJM656" s="23"/>
      <c r="AJN656" s="23"/>
      <c r="AJO656" s="23"/>
      <c r="AJP656" s="23"/>
      <c r="AJQ656" s="23"/>
      <c r="AJR656" s="23"/>
      <c r="AJS656" s="23"/>
      <c r="AJT656" s="23"/>
      <c r="AJU656" s="23"/>
      <c r="AJV656" s="23"/>
      <c r="AJW656" s="23"/>
      <c r="AJX656" s="23"/>
      <c r="AJY656" s="23"/>
      <c r="AJZ656" s="23"/>
      <c r="AKA656" s="23"/>
      <c r="AKB656" s="23"/>
      <c r="AKC656" s="23"/>
      <c r="AKD656" s="23"/>
      <c r="AKE656" s="23"/>
      <c r="AKF656" s="23"/>
      <c r="AKG656" s="23"/>
      <c r="AKH656" s="23"/>
      <c r="AKI656" s="23"/>
      <c r="AKJ656" s="23"/>
      <c r="AKK656" s="23"/>
      <c r="AKL656" s="23"/>
      <c r="AKM656" s="23"/>
      <c r="AKN656" s="23"/>
      <c r="AKO656" s="23"/>
      <c r="AKP656" s="23"/>
      <c r="AKQ656" s="23"/>
      <c r="AKR656" s="23"/>
      <c r="AKS656" s="23"/>
      <c r="AKT656" s="23"/>
      <c r="AKU656" s="23"/>
      <c r="AKV656" s="23"/>
      <c r="AKW656" s="23"/>
      <c r="AKX656" s="23"/>
      <c r="AKY656" s="23"/>
      <c r="AKZ656" s="23"/>
      <c r="ALA656" s="23"/>
      <c r="ALB656" s="23"/>
      <c r="ALC656" s="23"/>
      <c r="ALD656" s="23"/>
      <c r="ALE656" s="23"/>
      <c r="ALF656" s="23"/>
      <c r="ALG656" s="23"/>
      <c r="ALH656" s="23"/>
      <c r="ALI656" s="23"/>
      <c r="ALJ656" s="23"/>
      <c r="ALK656" s="23"/>
      <c r="ALL656" s="23"/>
      <c r="ALM656" s="23"/>
      <c r="ALN656" s="23"/>
      <c r="ALO656" s="23"/>
      <c r="ALP656" s="23"/>
      <c r="ALQ656" s="23"/>
      <c r="ALR656" s="23"/>
      <c r="ALS656" s="23"/>
      <c r="ALT656" s="23"/>
      <c r="ALU656" s="23"/>
      <c r="ALV656" s="23"/>
      <c r="ALW656" s="23"/>
      <c r="ALX656" s="23"/>
      <c r="ALY656" s="23"/>
      <c r="ALZ656" s="23"/>
      <c r="AMA656" s="23"/>
      <c r="AMB656" s="23"/>
      <c r="AMC656" s="23"/>
      <c r="AMD656" s="23"/>
      <c r="AME656" s="23"/>
      <c r="AMF656" s="23"/>
      <c r="AMG656" s="23"/>
      <c r="AMH656" s="23"/>
      <c r="AMI656" s="23"/>
      <c r="AMJ656" s="23"/>
      <c r="AMK656" s="23"/>
      <c r="AML656" s="23"/>
      <c r="AMM656" s="23"/>
      <c r="AMN656" s="23"/>
      <c r="AMO656" s="23"/>
      <c r="AMP656" s="23"/>
      <c r="AMQ656" s="23"/>
      <c r="AMR656" s="23"/>
      <c r="AMS656" s="23"/>
      <c r="AMT656" s="23"/>
      <c r="AMU656" s="23"/>
      <c r="AMV656" s="23"/>
      <c r="AMW656" s="23"/>
      <c r="AMX656" s="23"/>
      <c r="AMY656" s="23"/>
      <c r="AMZ656" s="23"/>
      <c r="ANA656" s="23"/>
      <c r="ANB656" s="23"/>
      <c r="ANC656" s="23"/>
      <c r="AND656" s="23"/>
      <c r="ANE656" s="23"/>
      <c r="ANF656" s="23"/>
      <c r="ANG656" s="23"/>
      <c r="ANH656" s="23"/>
      <c r="ANI656" s="23"/>
      <c r="ANJ656" s="23"/>
      <c r="ANK656" s="23"/>
      <c r="ANL656" s="23"/>
      <c r="ANM656" s="23"/>
      <c r="ANN656" s="23"/>
      <c r="ANO656" s="23"/>
      <c r="ANP656" s="23"/>
      <c r="ANQ656" s="23"/>
      <c r="ANR656" s="23"/>
      <c r="ANS656" s="23"/>
      <c r="ANT656" s="23"/>
      <c r="ANU656" s="23"/>
      <c r="ANV656" s="23"/>
      <c r="ANW656" s="23"/>
      <c r="ANX656" s="23"/>
      <c r="ANY656" s="23"/>
      <c r="ANZ656" s="23"/>
      <c r="AOA656" s="23"/>
      <c r="AOB656" s="23"/>
      <c r="AOC656" s="23"/>
      <c r="AOD656" s="23"/>
      <c r="AOE656" s="23"/>
      <c r="AOF656" s="23"/>
      <c r="AOG656" s="23"/>
      <c r="AOH656" s="23"/>
      <c r="AOI656" s="23"/>
      <c r="AOJ656" s="23"/>
      <c r="AOK656" s="23"/>
      <c r="AOL656" s="23"/>
      <c r="AOM656" s="23"/>
      <c r="AON656" s="23"/>
      <c r="AOO656" s="23"/>
      <c r="AOP656" s="23"/>
      <c r="AOQ656" s="23"/>
      <c r="AOR656" s="23"/>
      <c r="AOS656" s="23"/>
      <c r="AOT656" s="23"/>
      <c r="AOU656" s="23"/>
      <c r="AOV656" s="23"/>
      <c r="AOW656" s="23"/>
      <c r="AOX656" s="23"/>
      <c r="AOY656" s="23"/>
      <c r="AOZ656" s="23"/>
      <c r="APA656" s="23"/>
      <c r="APB656" s="23"/>
      <c r="APC656" s="23"/>
      <c r="APD656" s="23"/>
      <c r="APE656" s="23"/>
      <c r="APF656" s="23"/>
      <c r="APG656" s="23"/>
      <c r="APH656" s="23"/>
      <c r="API656" s="23"/>
      <c r="APJ656" s="23"/>
      <c r="APK656" s="23"/>
      <c r="APL656" s="23"/>
      <c r="APM656" s="23"/>
      <c r="APN656" s="23"/>
      <c r="APO656" s="23"/>
      <c r="APP656" s="23"/>
      <c r="APQ656" s="23"/>
      <c r="APR656" s="23"/>
      <c r="APS656" s="23"/>
      <c r="APT656" s="23"/>
      <c r="APU656" s="23"/>
      <c r="APV656" s="23"/>
      <c r="APW656" s="23"/>
      <c r="APX656" s="23"/>
      <c r="APY656" s="23"/>
      <c r="APZ656" s="23"/>
      <c r="AQA656" s="23"/>
      <c r="AQB656" s="23"/>
      <c r="AQC656" s="23"/>
      <c r="AQD656" s="23"/>
      <c r="AQE656" s="23"/>
      <c r="AQF656" s="23"/>
      <c r="AQG656" s="23"/>
      <c r="AQH656" s="23"/>
      <c r="AQI656" s="23"/>
      <c r="AQJ656" s="23"/>
      <c r="AQK656" s="23"/>
      <c r="AQL656" s="23"/>
      <c r="AQM656" s="23"/>
      <c r="AQN656" s="23"/>
      <c r="AQO656" s="23"/>
      <c r="AQP656" s="23"/>
      <c r="AQQ656" s="23"/>
      <c r="AQR656" s="23"/>
      <c r="AQS656" s="23"/>
      <c r="AQT656" s="23"/>
      <c r="AQU656" s="23"/>
      <c r="AQV656" s="23"/>
      <c r="AQW656" s="23"/>
      <c r="AQX656" s="23"/>
      <c r="AQY656" s="23"/>
      <c r="AQZ656" s="23"/>
      <c r="ARA656" s="23"/>
      <c r="ARB656" s="23"/>
      <c r="ARC656" s="23"/>
      <c r="ARD656" s="23"/>
      <c r="ARE656" s="23"/>
      <c r="ARF656" s="23"/>
      <c r="ARG656" s="23"/>
      <c r="ARH656" s="23"/>
      <c r="ARI656" s="23"/>
      <c r="ARJ656" s="23"/>
      <c r="ARK656" s="23"/>
      <c r="ARL656" s="23"/>
      <c r="ARM656" s="23"/>
      <c r="ARN656" s="23"/>
      <c r="ARO656" s="23"/>
      <c r="ARP656" s="23"/>
      <c r="ARQ656" s="23"/>
      <c r="ARR656" s="23"/>
      <c r="ARS656" s="23"/>
      <c r="ART656" s="23"/>
      <c r="ARU656" s="23"/>
      <c r="ARV656" s="23"/>
      <c r="ARW656" s="23"/>
      <c r="ARX656" s="23"/>
      <c r="ARY656" s="23"/>
      <c r="ARZ656" s="23"/>
      <c r="ASA656" s="23"/>
      <c r="ASB656" s="23"/>
      <c r="ASC656" s="23"/>
      <c r="ASD656" s="23"/>
      <c r="ASE656" s="23"/>
      <c r="ASF656" s="23"/>
      <c r="ASG656" s="23"/>
      <c r="ASH656" s="23"/>
      <c r="ASI656" s="23"/>
      <c r="ASJ656" s="23"/>
      <c r="ASK656" s="23"/>
      <c r="ASL656" s="23"/>
      <c r="ASM656" s="23"/>
      <c r="ASN656" s="23"/>
      <c r="ASO656" s="23"/>
      <c r="ASP656" s="23"/>
      <c r="ASQ656" s="23"/>
      <c r="ASR656" s="23"/>
      <c r="ASS656" s="23"/>
      <c r="AST656" s="23"/>
      <c r="ASU656" s="23"/>
      <c r="ASV656" s="23"/>
      <c r="ASW656" s="23"/>
      <c r="ASX656" s="23"/>
      <c r="ASY656" s="23"/>
      <c r="ASZ656" s="23"/>
      <c r="ATA656" s="23"/>
      <c r="ATB656" s="23"/>
      <c r="ATC656" s="23"/>
      <c r="ATD656" s="23"/>
      <c r="ATE656" s="23"/>
      <c r="ATF656" s="23"/>
      <c r="ATG656" s="23"/>
      <c r="ATH656" s="23"/>
      <c r="ATI656" s="23"/>
      <c r="ATJ656" s="23"/>
      <c r="ATK656" s="23"/>
      <c r="ATL656" s="23"/>
      <c r="ATM656" s="23"/>
      <c r="ATN656" s="23"/>
      <c r="ATO656" s="23"/>
      <c r="ATP656" s="23"/>
      <c r="ATQ656" s="23"/>
      <c r="ATR656" s="23"/>
      <c r="ATS656" s="23"/>
      <c r="ATT656" s="23"/>
      <c r="ATU656" s="23"/>
      <c r="ATV656" s="23"/>
      <c r="ATW656" s="23"/>
      <c r="ATX656" s="23"/>
      <c r="ATY656" s="23"/>
      <c r="ATZ656" s="23"/>
      <c r="AUA656" s="23"/>
      <c r="AUB656" s="23"/>
      <c r="AUC656" s="23"/>
      <c r="AUD656" s="23"/>
      <c r="AUE656" s="23"/>
      <c r="AUF656" s="23"/>
      <c r="AUG656" s="23"/>
      <c r="AUH656" s="23"/>
      <c r="AUI656" s="23"/>
      <c r="AUJ656" s="23"/>
      <c r="AUK656" s="23"/>
      <c r="AUL656" s="23"/>
      <c r="AUM656" s="23"/>
      <c r="AUN656" s="23"/>
      <c r="AUO656" s="23"/>
      <c r="AUP656" s="23"/>
      <c r="AUQ656" s="23"/>
      <c r="AUR656" s="23"/>
      <c r="AUS656" s="23"/>
      <c r="AUT656" s="23"/>
      <c r="AUU656" s="23"/>
      <c r="AUV656" s="23"/>
      <c r="AUW656" s="23"/>
      <c r="AUX656" s="23"/>
      <c r="AUY656" s="23"/>
      <c r="AUZ656" s="23"/>
      <c r="AVA656" s="23"/>
      <c r="AVB656" s="23"/>
      <c r="AVC656" s="23"/>
      <c r="AVD656" s="23"/>
      <c r="AVE656" s="23"/>
      <c r="AVF656" s="23"/>
      <c r="AVG656" s="23"/>
      <c r="AVH656" s="23"/>
      <c r="AVI656" s="23"/>
      <c r="AVJ656" s="23"/>
      <c r="AVK656" s="23"/>
      <c r="AVL656" s="23"/>
      <c r="AVM656" s="23"/>
      <c r="AVN656" s="23"/>
      <c r="AVO656" s="23"/>
      <c r="AVP656" s="23"/>
      <c r="AVQ656" s="23"/>
      <c r="AVR656" s="23"/>
      <c r="AVS656" s="23"/>
      <c r="AVT656" s="23"/>
      <c r="AVU656" s="23"/>
      <c r="AVV656" s="23"/>
      <c r="AVW656" s="23"/>
      <c r="AVX656" s="23"/>
      <c r="AVY656" s="23"/>
      <c r="AVZ656" s="23"/>
      <c r="AWA656" s="23"/>
      <c r="AWB656" s="23"/>
      <c r="AWC656" s="23"/>
      <c r="AWD656" s="23"/>
      <c r="AWE656" s="23"/>
      <c r="AWF656" s="23"/>
      <c r="AWG656" s="23"/>
      <c r="AWH656" s="23"/>
      <c r="AWI656" s="23"/>
      <c r="AWJ656" s="23"/>
      <c r="AWK656" s="23"/>
      <c r="AWL656" s="23"/>
      <c r="AWM656" s="23"/>
      <c r="AWN656" s="23"/>
      <c r="AWO656" s="23"/>
      <c r="AWP656" s="23"/>
      <c r="AWQ656" s="23"/>
      <c r="AWR656" s="23"/>
      <c r="AWS656" s="23"/>
      <c r="AWT656" s="23"/>
      <c r="AWU656" s="23"/>
      <c r="AWV656" s="23"/>
      <c r="AWW656" s="23"/>
      <c r="AWX656" s="23"/>
      <c r="AWY656" s="23"/>
      <c r="AWZ656" s="23"/>
      <c r="AXA656" s="23"/>
      <c r="AXB656" s="23"/>
      <c r="AXC656" s="23"/>
      <c r="AXD656" s="23"/>
      <c r="AXE656" s="23"/>
      <c r="AXF656" s="23"/>
      <c r="AXG656" s="23"/>
      <c r="AXH656" s="23"/>
      <c r="AXI656" s="23"/>
      <c r="AXJ656" s="23"/>
      <c r="AXK656" s="23"/>
      <c r="AXL656" s="23"/>
      <c r="AXM656" s="23"/>
      <c r="AXN656" s="23"/>
      <c r="AXO656" s="23"/>
      <c r="AXP656" s="23"/>
      <c r="AXQ656" s="23"/>
      <c r="AXR656" s="23"/>
      <c r="AXS656" s="23"/>
      <c r="AXT656" s="23"/>
      <c r="AXU656" s="23"/>
      <c r="AXV656" s="23"/>
      <c r="AXW656" s="23"/>
      <c r="AXX656" s="23"/>
      <c r="AXY656" s="23"/>
      <c r="AXZ656" s="23"/>
      <c r="AYA656" s="23"/>
      <c r="AYB656" s="23"/>
      <c r="AYC656" s="23"/>
      <c r="AYD656" s="23"/>
      <c r="AYE656" s="23"/>
      <c r="AYF656" s="23"/>
      <c r="AYG656" s="23"/>
      <c r="AYH656" s="23"/>
      <c r="AYI656" s="23"/>
      <c r="AYJ656" s="23"/>
      <c r="AYK656" s="23"/>
      <c r="AYL656" s="23"/>
      <c r="AYM656" s="23"/>
      <c r="AYN656" s="23"/>
      <c r="AYO656" s="23"/>
      <c r="AYP656" s="23"/>
      <c r="AYQ656" s="23"/>
      <c r="AYR656" s="23"/>
      <c r="AYS656" s="23"/>
      <c r="AYT656" s="23"/>
      <c r="AYU656" s="23"/>
      <c r="AYV656" s="23"/>
      <c r="AYW656" s="23"/>
      <c r="AYX656" s="23"/>
      <c r="AYY656" s="23"/>
      <c r="AYZ656" s="23"/>
      <c r="AZA656" s="23"/>
      <c r="AZB656" s="23"/>
      <c r="AZC656" s="23"/>
      <c r="AZD656" s="23"/>
      <c r="AZE656" s="23"/>
      <c r="AZF656" s="23"/>
      <c r="AZG656" s="23"/>
      <c r="AZH656" s="23"/>
      <c r="AZI656" s="23"/>
      <c r="AZJ656" s="23"/>
      <c r="AZK656" s="23"/>
      <c r="AZL656" s="23"/>
      <c r="AZM656" s="23"/>
      <c r="AZN656" s="23"/>
      <c r="AZO656" s="23"/>
      <c r="AZP656" s="23"/>
      <c r="AZQ656" s="23"/>
      <c r="AZR656" s="23"/>
      <c r="AZS656" s="23"/>
      <c r="AZT656" s="23"/>
      <c r="AZU656" s="23"/>
      <c r="AZV656" s="23"/>
      <c r="AZW656" s="23"/>
      <c r="AZX656" s="23"/>
      <c r="AZY656" s="23"/>
      <c r="AZZ656" s="23"/>
      <c r="BAA656" s="23"/>
      <c r="BAB656" s="23"/>
      <c r="BAC656" s="23"/>
      <c r="BAD656" s="23"/>
      <c r="BAE656" s="23"/>
      <c r="BAF656" s="23"/>
      <c r="BAG656" s="23"/>
      <c r="BAH656" s="23"/>
      <c r="BAI656" s="23"/>
      <c r="BAJ656" s="23"/>
      <c r="BAK656" s="23"/>
      <c r="BAL656" s="23"/>
      <c r="BAM656" s="23"/>
      <c r="BAN656" s="23"/>
      <c r="BAO656" s="23"/>
      <c r="BAP656" s="23"/>
      <c r="BAQ656" s="23"/>
      <c r="BAR656" s="23"/>
      <c r="BAS656" s="23"/>
      <c r="BAT656" s="23"/>
      <c r="BAU656" s="23"/>
      <c r="BAV656" s="23"/>
      <c r="BAW656" s="23"/>
      <c r="BAX656" s="23"/>
      <c r="BAY656" s="23"/>
      <c r="BAZ656" s="23"/>
      <c r="BBA656" s="23"/>
      <c r="BBB656" s="23"/>
      <c r="BBC656" s="23"/>
      <c r="BBD656" s="23"/>
      <c r="BBE656" s="23"/>
      <c r="BBF656" s="23"/>
      <c r="BBG656" s="23"/>
      <c r="BBH656" s="23"/>
      <c r="BBI656" s="23"/>
      <c r="BBJ656" s="23"/>
      <c r="BBK656" s="23"/>
      <c r="BBL656" s="23"/>
      <c r="BBM656" s="23"/>
      <c r="BBN656" s="23"/>
      <c r="BBO656" s="23"/>
      <c r="BBP656" s="23"/>
      <c r="BBQ656" s="23"/>
      <c r="BBR656" s="23"/>
      <c r="BBS656" s="23"/>
      <c r="BBT656" s="23"/>
      <c r="BBU656" s="23"/>
      <c r="BBV656" s="23"/>
      <c r="BBW656" s="23"/>
      <c r="BBX656" s="23"/>
      <c r="BBY656" s="23"/>
      <c r="BBZ656" s="23"/>
      <c r="BCA656" s="23"/>
      <c r="BCB656" s="23"/>
      <c r="BCC656" s="23"/>
      <c r="BCD656" s="23"/>
      <c r="BCE656" s="23"/>
      <c r="BCF656" s="23"/>
      <c r="BCG656" s="23"/>
      <c r="BCH656" s="23"/>
      <c r="BCI656" s="23"/>
      <c r="BCJ656" s="23"/>
      <c r="BCK656" s="23"/>
      <c r="BCL656" s="23"/>
      <c r="BCM656" s="23"/>
      <c r="BCN656" s="23"/>
      <c r="BCO656" s="23"/>
      <c r="BCP656" s="23"/>
      <c r="BCQ656" s="23"/>
      <c r="BCR656" s="23"/>
      <c r="BCS656" s="23"/>
      <c r="BCT656" s="23"/>
      <c r="BCU656" s="23"/>
      <c r="BCV656" s="23"/>
      <c r="BCW656" s="23"/>
      <c r="BCX656" s="23"/>
      <c r="BCY656" s="23"/>
      <c r="BCZ656" s="23"/>
      <c r="BDA656" s="23"/>
      <c r="BDB656" s="23"/>
      <c r="BDC656" s="23"/>
      <c r="BDD656" s="23"/>
      <c r="BDE656" s="23"/>
      <c r="BDF656" s="23"/>
      <c r="BDG656" s="23"/>
      <c r="BDH656" s="23"/>
      <c r="BDI656" s="23"/>
      <c r="BDJ656" s="23"/>
      <c r="BDK656" s="23"/>
      <c r="BDL656" s="23"/>
      <c r="BDM656" s="23"/>
      <c r="BDN656" s="23"/>
      <c r="BDO656" s="23"/>
      <c r="BDP656" s="23"/>
      <c r="BDQ656" s="23"/>
      <c r="BDR656" s="23"/>
      <c r="BDS656" s="23"/>
      <c r="BDT656" s="23"/>
      <c r="BDU656" s="23"/>
      <c r="BDV656" s="23"/>
      <c r="BDW656" s="23"/>
      <c r="BDX656" s="23"/>
      <c r="BDY656" s="23"/>
      <c r="BDZ656" s="23"/>
      <c r="BEA656" s="23"/>
      <c r="BEB656" s="23"/>
      <c r="BEC656" s="23"/>
      <c r="BED656" s="23"/>
      <c r="BEE656" s="23"/>
      <c r="BEF656" s="23"/>
      <c r="BEG656" s="23"/>
      <c r="BEH656" s="23"/>
      <c r="BEI656" s="23"/>
      <c r="BEJ656" s="23"/>
      <c r="BEK656" s="23"/>
      <c r="BEL656" s="23"/>
      <c r="BEM656" s="23"/>
      <c r="BEN656" s="23"/>
      <c r="BEO656" s="23"/>
      <c r="BEP656" s="23"/>
      <c r="BEQ656" s="23"/>
      <c r="BER656" s="23"/>
      <c r="BES656" s="23"/>
      <c r="BET656" s="23"/>
      <c r="BEU656" s="23"/>
      <c r="BEV656" s="23"/>
      <c r="BEW656" s="23"/>
      <c r="BEX656" s="23"/>
      <c r="BEY656" s="23"/>
      <c r="BEZ656" s="23"/>
      <c r="BFA656" s="23"/>
      <c r="BFB656" s="23"/>
      <c r="BFC656" s="23"/>
      <c r="BFD656" s="23"/>
      <c r="BFE656" s="23"/>
      <c r="BFF656" s="23"/>
      <c r="BFG656" s="23"/>
      <c r="BFH656" s="23"/>
      <c r="BFI656" s="23"/>
      <c r="BFJ656" s="23"/>
      <c r="BFK656" s="23"/>
      <c r="BFL656" s="23"/>
      <c r="BFM656" s="23"/>
      <c r="BFN656" s="23"/>
      <c r="BFO656" s="23"/>
      <c r="BFP656" s="23"/>
      <c r="BFQ656" s="23"/>
      <c r="BFR656" s="23"/>
      <c r="BFS656" s="23"/>
      <c r="BFT656" s="23"/>
      <c r="BFU656" s="23"/>
      <c r="BFV656" s="23"/>
      <c r="BFW656" s="23"/>
      <c r="BFX656" s="23"/>
      <c r="BFY656" s="23"/>
      <c r="BFZ656" s="23"/>
      <c r="BGA656" s="23"/>
      <c r="BGB656" s="23"/>
      <c r="BGC656" s="23"/>
      <c r="BGD656" s="23"/>
      <c r="BGE656" s="23"/>
      <c r="BGF656" s="23"/>
      <c r="BGG656" s="23"/>
      <c r="BGH656" s="23"/>
      <c r="BGI656" s="23"/>
      <c r="BGJ656" s="23"/>
      <c r="BGK656" s="23"/>
      <c r="BGL656" s="23"/>
      <c r="BGM656" s="23"/>
      <c r="BGN656" s="23"/>
      <c r="BGO656" s="23"/>
      <c r="BGP656" s="23"/>
      <c r="BGQ656" s="23"/>
      <c r="BGR656" s="23"/>
      <c r="BGS656" s="23"/>
      <c r="BGT656" s="23"/>
      <c r="BGU656" s="23"/>
      <c r="BGV656" s="23"/>
      <c r="BGW656" s="23"/>
      <c r="BGX656" s="23"/>
      <c r="BGY656" s="23"/>
      <c r="BGZ656" s="23"/>
      <c r="BHA656" s="23"/>
      <c r="BHB656" s="23"/>
      <c r="BHC656" s="23"/>
      <c r="BHD656" s="23"/>
      <c r="BHE656" s="23"/>
      <c r="BHF656" s="23"/>
      <c r="BHG656" s="23"/>
      <c r="BHH656" s="23"/>
      <c r="BHI656" s="23"/>
      <c r="BHJ656" s="23"/>
      <c r="BHK656" s="23"/>
      <c r="BHL656" s="23"/>
      <c r="BHM656" s="23"/>
      <c r="BHN656" s="23"/>
      <c r="BHO656" s="23"/>
      <c r="BHP656" s="23"/>
      <c r="BHQ656" s="23"/>
      <c r="BHR656" s="23"/>
      <c r="BHS656" s="23"/>
      <c r="BHT656" s="23"/>
      <c r="BHU656" s="23"/>
      <c r="BHV656" s="23"/>
      <c r="BHW656" s="23"/>
      <c r="BHX656" s="23"/>
      <c r="BHY656" s="23"/>
      <c r="BHZ656" s="23"/>
      <c r="BIA656" s="23"/>
      <c r="BIB656" s="23"/>
      <c r="BIC656" s="23"/>
      <c r="BID656" s="23"/>
      <c r="BIE656" s="23"/>
      <c r="BIF656" s="23"/>
      <c r="BIG656" s="23"/>
      <c r="BIH656" s="23"/>
      <c r="BII656" s="23"/>
      <c r="BIJ656" s="23"/>
      <c r="BIK656" s="23"/>
      <c r="BIL656" s="23"/>
      <c r="BIM656" s="23"/>
      <c r="BIN656" s="23"/>
      <c r="BIO656" s="23"/>
      <c r="BIP656" s="23"/>
      <c r="BIQ656" s="23"/>
      <c r="BIR656" s="23"/>
      <c r="BIS656" s="23"/>
      <c r="BIT656" s="23"/>
      <c r="BIU656" s="23"/>
      <c r="BIV656" s="23"/>
      <c r="BIW656" s="23"/>
      <c r="BIX656" s="23"/>
      <c r="BIY656" s="23"/>
      <c r="BIZ656" s="23"/>
      <c r="BJA656" s="23"/>
      <c r="BJB656" s="23"/>
      <c r="BJC656" s="23"/>
      <c r="BJD656" s="23"/>
      <c r="BJE656" s="23"/>
      <c r="BJF656" s="23"/>
      <c r="BJG656" s="23"/>
      <c r="BJH656" s="23"/>
      <c r="BJI656" s="23"/>
      <c r="BJJ656" s="23"/>
      <c r="BJK656" s="23"/>
      <c r="BJL656" s="23"/>
      <c r="BJM656" s="23"/>
      <c r="BJN656" s="23"/>
      <c r="BJO656" s="23"/>
      <c r="BJP656" s="23"/>
      <c r="BJQ656" s="23"/>
      <c r="BJR656" s="23"/>
      <c r="BJS656" s="23"/>
      <c r="BJT656" s="23"/>
      <c r="BJU656" s="23"/>
      <c r="BJV656" s="23"/>
      <c r="BJW656" s="23"/>
      <c r="BJX656" s="23"/>
      <c r="BJY656" s="23"/>
      <c r="BJZ656" s="23"/>
      <c r="BKA656" s="23"/>
      <c r="BKB656" s="23"/>
      <c r="BKC656" s="23"/>
      <c r="BKD656" s="23"/>
      <c r="BKE656" s="23"/>
      <c r="BKF656" s="23"/>
      <c r="BKG656" s="23"/>
      <c r="BKH656" s="23"/>
      <c r="BKI656" s="23"/>
      <c r="BKJ656" s="23"/>
      <c r="BKK656" s="23"/>
      <c r="BKL656" s="23"/>
      <c r="BKM656" s="23"/>
      <c r="BKN656" s="23"/>
      <c r="BKO656" s="23"/>
      <c r="BKP656" s="23"/>
      <c r="BKQ656" s="23"/>
      <c r="BKR656" s="23"/>
      <c r="BKS656" s="23"/>
      <c r="BKT656" s="23"/>
      <c r="BKU656" s="23"/>
      <c r="BKV656" s="23"/>
      <c r="BKW656" s="23"/>
      <c r="BKX656" s="23"/>
      <c r="BKY656" s="23"/>
      <c r="BKZ656" s="23"/>
      <c r="BLA656" s="23"/>
      <c r="BLB656" s="23"/>
      <c r="BLC656" s="23"/>
      <c r="BLD656" s="23"/>
      <c r="BLE656" s="23"/>
      <c r="BLF656" s="23"/>
      <c r="BLG656" s="23"/>
      <c r="BLH656" s="23"/>
      <c r="BLI656" s="23"/>
      <c r="BLJ656" s="23"/>
      <c r="BLK656" s="23"/>
      <c r="BLL656" s="23"/>
      <c r="BLM656" s="23"/>
      <c r="BLN656" s="23"/>
      <c r="BLO656" s="23"/>
      <c r="BLP656" s="23"/>
      <c r="BLQ656" s="23"/>
      <c r="BLR656" s="23"/>
      <c r="BLS656" s="23"/>
      <c r="BLT656" s="23"/>
      <c r="BLU656" s="23"/>
      <c r="BLV656" s="23"/>
      <c r="BLW656" s="23"/>
      <c r="BLX656" s="23"/>
      <c r="BLY656" s="23"/>
      <c r="BLZ656" s="23"/>
      <c r="BMA656" s="23"/>
      <c r="BMB656" s="23"/>
      <c r="BMC656" s="23"/>
      <c r="BMD656" s="23"/>
      <c r="BME656" s="23"/>
      <c r="BMF656" s="23"/>
      <c r="BMG656" s="23"/>
      <c r="BMH656" s="23"/>
      <c r="BMI656" s="23"/>
      <c r="BMJ656" s="23"/>
      <c r="BMK656" s="23"/>
      <c r="BML656" s="23"/>
      <c r="BMM656" s="23"/>
      <c r="BMN656" s="23"/>
      <c r="BMO656" s="23"/>
      <c r="BMP656" s="23"/>
      <c r="BMQ656" s="23"/>
      <c r="BMR656" s="23"/>
      <c r="BMS656" s="23"/>
      <c r="BMT656" s="23"/>
      <c r="BMU656" s="23"/>
      <c r="BMV656" s="23"/>
      <c r="BMW656" s="23"/>
      <c r="BMX656" s="23"/>
      <c r="BMY656" s="23"/>
      <c r="BMZ656" s="23"/>
      <c r="BNA656" s="23"/>
      <c r="BNB656" s="23"/>
      <c r="BNC656" s="23"/>
      <c r="BND656" s="23"/>
      <c r="BNE656" s="23"/>
      <c r="BNF656" s="23"/>
      <c r="BNG656" s="23"/>
      <c r="BNH656" s="23"/>
      <c r="BNI656" s="23"/>
      <c r="BNJ656" s="23"/>
      <c r="BNK656" s="23"/>
      <c r="BNL656" s="23"/>
      <c r="BNM656" s="23"/>
      <c r="BNN656" s="23"/>
      <c r="BNO656" s="23"/>
      <c r="BNP656" s="23"/>
      <c r="BNQ656" s="23"/>
      <c r="BNR656" s="23"/>
      <c r="BNS656" s="23"/>
      <c r="BNT656" s="23"/>
      <c r="BNU656" s="23"/>
      <c r="BNV656" s="23"/>
      <c r="BNW656" s="23"/>
      <c r="BNX656" s="23"/>
      <c r="BNY656" s="23"/>
      <c r="BNZ656" s="23"/>
      <c r="BOA656" s="23"/>
      <c r="BOB656" s="23"/>
      <c r="BOC656" s="23"/>
      <c r="BOD656" s="23"/>
      <c r="BOE656" s="23"/>
      <c r="BOF656" s="23"/>
      <c r="BOG656" s="23"/>
      <c r="BOH656" s="23"/>
      <c r="BOI656" s="23"/>
      <c r="BOJ656" s="23"/>
      <c r="BOK656" s="23"/>
      <c r="BOL656" s="23"/>
      <c r="BOM656" s="23"/>
      <c r="BON656" s="23"/>
      <c r="BOO656" s="23"/>
      <c r="BOP656" s="23"/>
      <c r="BOQ656" s="23"/>
      <c r="BOR656" s="23"/>
      <c r="BOS656" s="23"/>
      <c r="BOT656" s="23"/>
      <c r="BOU656" s="23"/>
      <c r="BOV656" s="23"/>
      <c r="BOW656" s="23"/>
      <c r="BOX656" s="23"/>
      <c r="BOY656" s="23"/>
      <c r="BOZ656" s="23"/>
      <c r="BPA656" s="23"/>
      <c r="BPB656" s="23"/>
      <c r="BPC656" s="23"/>
      <c r="BPD656" s="23"/>
      <c r="BPE656" s="23"/>
      <c r="BPF656" s="23"/>
      <c r="BPG656" s="23"/>
      <c r="BPH656" s="23"/>
      <c r="BPI656" s="23"/>
      <c r="BPJ656" s="23"/>
      <c r="BPK656" s="23"/>
      <c r="BPL656" s="23"/>
      <c r="BPM656" s="23"/>
      <c r="BPN656" s="23"/>
      <c r="BPO656" s="23"/>
      <c r="BPP656" s="23"/>
      <c r="BPQ656" s="23"/>
      <c r="BPR656" s="23"/>
      <c r="BPS656" s="23"/>
      <c r="BPT656" s="23"/>
      <c r="BPU656" s="23"/>
      <c r="BPV656" s="23"/>
      <c r="BPW656" s="23"/>
      <c r="BPX656" s="23"/>
      <c r="BPY656" s="23"/>
      <c r="BPZ656" s="23"/>
      <c r="BQA656" s="23"/>
      <c r="BQB656" s="23"/>
      <c r="BQC656" s="23"/>
      <c r="BQD656" s="23"/>
      <c r="BQE656" s="23"/>
      <c r="BQF656" s="23"/>
      <c r="BQG656" s="23"/>
      <c r="BQH656" s="23"/>
      <c r="BQI656" s="23"/>
      <c r="BQJ656" s="23"/>
      <c r="BQK656" s="23"/>
      <c r="BQL656" s="23"/>
      <c r="BQM656" s="23"/>
      <c r="BQN656" s="23"/>
      <c r="BQO656" s="23"/>
      <c r="BQP656" s="23"/>
      <c r="BQQ656" s="23"/>
      <c r="BQR656" s="23"/>
      <c r="BQS656" s="23"/>
      <c r="BQT656" s="23"/>
      <c r="BQU656" s="23"/>
      <c r="BQV656" s="23"/>
      <c r="BQW656" s="23"/>
      <c r="BQX656" s="23"/>
      <c r="BQY656" s="23"/>
      <c r="BQZ656" s="23"/>
      <c r="BRA656" s="23"/>
      <c r="BRB656" s="23"/>
      <c r="BRC656" s="23"/>
      <c r="BRD656" s="23"/>
      <c r="BRE656" s="23"/>
      <c r="BRF656" s="23"/>
      <c r="BRG656" s="23"/>
      <c r="BRH656" s="23"/>
      <c r="BRI656" s="23"/>
      <c r="BRJ656" s="23"/>
      <c r="BRK656" s="23"/>
      <c r="BRL656" s="23"/>
      <c r="BRM656" s="23"/>
      <c r="BRN656" s="23"/>
      <c r="BRO656" s="23"/>
      <c r="BRP656" s="23"/>
      <c r="BRQ656" s="23"/>
      <c r="BRR656" s="23"/>
      <c r="BRS656" s="23"/>
      <c r="BRT656" s="23"/>
      <c r="BRU656" s="23"/>
      <c r="BRV656" s="23"/>
      <c r="BRW656" s="23"/>
      <c r="BRX656" s="23"/>
      <c r="BRY656" s="23"/>
      <c r="BRZ656" s="23"/>
      <c r="BSA656" s="23"/>
      <c r="BSB656" s="23"/>
      <c r="BSC656" s="23"/>
      <c r="BSD656" s="23"/>
      <c r="BSE656" s="23"/>
      <c r="BSF656" s="23"/>
      <c r="BSG656" s="23"/>
      <c r="BSH656" s="23"/>
      <c r="BSI656" s="23"/>
      <c r="BSJ656" s="23"/>
      <c r="BSK656" s="23"/>
      <c r="BSL656" s="23"/>
      <c r="BSM656" s="23"/>
      <c r="BSN656" s="23"/>
      <c r="BSO656" s="23"/>
      <c r="BSP656" s="23"/>
      <c r="BSQ656" s="23"/>
      <c r="BSR656" s="23"/>
      <c r="BSS656" s="23"/>
      <c r="BST656" s="23"/>
      <c r="BSU656" s="23"/>
      <c r="BSV656" s="23"/>
      <c r="BSW656" s="23"/>
      <c r="BSX656" s="23"/>
      <c r="BSY656" s="23"/>
      <c r="BSZ656" s="23"/>
      <c r="BTA656" s="23"/>
    </row>
    <row r="657" spans="1:1873" s="23" customFormat="1" ht="25.5" x14ac:dyDescent="0.2">
      <c r="A657" s="304" t="s">
        <v>2090</v>
      </c>
      <c r="B657" s="223" t="s">
        <v>1031</v>
      </c>
      <c r="C657" s="223" t="s">
        <v>1030</v>
      </c>
      <c r="D657" s="223" t="s">
        <v>619</v>
      </c>
      <c r="E657" s="305" t="s">
        <v>1451</v>
      </c>
      <c r="F657" s="241">
        <v>1</v>
      </c>
      <c r="G657" s="223">
        <v>11</v>
      </c>
      <c r="H657" s="242">
        <v>11</v>
      </c>
      <c r="I657" s="223" t="s">
        <v>807</v>
      </c>
      <c r="J657" s="450">
        <v>1987</v>
      </c>
      <c r="K657" s="560" t="s">
        <v>1211</v>
      </c>
      <c r="L657" s="450">
        <v>1997</v>
      </c>
      <c r="M657" s="243">
        <v>-9999</v>
      </c>
      <c r="N657" s="223">
        <v>-9999</v>
      </c>
      <c r="O657" s="29"/>
      <c r="P657" s="243">
        <v>-9999</v>
      </c>
      <c r="Q657" s="223">
        <v>-9999</v>
      </c>
      <c r="R657" s="243"/>
      <c r="S657" s="223"/>
      <c r="T657" s="243">
        <v>-9999</v>
      </c>
      <c r="U657" s="223">
        <v>-9999</v>
      </c>
      <c r="V657" s="223"/>
      <c r="W657" s="243">
        <v>-9999</v>
      </c>
      <c r="X657" s="223">
        <v>-9999</v>
      </c>
      <c r="Y657" s="223"/>
      <c r="Z657" s="561" t="s">
        <v>1702</v>
      </c>
      <c r="AA657" s="425">
        <f t="shared" si="67"/>
        <v>1682.0700000000002</v>
      </c>
      <c r="AB657" s="243">
        <v>-9999</v>
      </c>
      <c r="AC657" s="245">
        <v>4.0460000000000003</v>
      </c>
      <c r="AD657" s="560">
        <f t="shared" si="68"/>
        <v>3300</v>
      </c>
      <c r="AE657" s="675" t="s">
        <v>97</v>
      </c>
      <c r="AF657" s="223">
        <v>3</v>
      </c>
      <c r="AG657" s="223">
        <v>-9999</v>
      </c>
      <c r="AH657" s="223">
        <v>-9999</v>
      </c>
      <c r="AI657" s="223">
        <v>-9999</v>
      </c>
      <c r="AJ657" s="223">
        <v>-9999</v>
      </c>
      <c r="AK657" s="223">
        <v>-9999</v>
      </c>
      <c r="AL657" s="223">
        <v>-9999</v>
      </c>
      <c r="AM657" s="223">
        <v>-9999</v>
      </c>
      <c r="AN657" s="223" t="s">
        <v>631</v>
      </c>
      <c r="AO657" s="223">
        <v>-9999</v>
      </c>
      <c r="AP657" s="223">
        <v>-9999</v>
      </c>
      <c r="AQ657" s="223" t="s">
        <v>631</v>
      </c>
      <c r="AR657" s="223">
        <v>0</v>
      </c>
      <c r="AS657" s="223">
        <v>-9999</v>
      </c>
      <c r="AT657" s="223">
        <v>-9999</v>
      </c>
      <c r="AU657" s="223">
        <v>0</v>
      </c>
      <c r="AV657" s="223">
        <v>-9999</v>
      </c>
      <c r="AW657" s="223">
        <v>-9999</v>
      </c>
      <c r="AX657" s="223">
        <v>0</v>
      </c>
      <c r="AY657" s="223">
        <v>-9999</v>
      </c>
      <c r="AZ657" s="223">
        <v>-9999</v>
      </c>
      <c r="BA657" s="223">
        <v>-9999</v>
      </c>
      <c r="BB657" s="223" t="s">
        <v>631</v>
      </c>
      <c r="BC657" s="223">
        <v>-9999</v>
      </c>
      <c r="BD657" s="223">
        <v>-9999</v>
      </c>
      <c r="BE657" s="223">
        <v>-9999</v>
      </c>
      <c r="BF657" s="223">
        <v>-9999</v>
      </c>
      <c r="BG657" s="223">
        <v>-9999</v>
      </c>
      <c r="BH657" s="223">
        <v>-9999</v>
      </c>
      <c r="BI657" s="223" t="s">
        <v>1059</v>
      </c>
      <c r="BJ657" s="223">
        <v>-9999</v>
      </c>
      <c r="BK657" s="223">
        <v>-9999</v>
      </c>
      <c r="BL657" s="223">
        <v>-9999</v>
      </c>
      <c r="BM657" s="223">
        <v>-9999</v>
      </c>
      <c r="BN657" s="223">
        <v>-9999</v>
      </c>
      <c r="BO657" s="223">
        <v>-9999</v>
      </c>
      <c r="BP657" s="223">
        <v>-9999</v>
      </c>
      <c r="BQ657" s="223">
        <v>-9999</v>
      </c>
      <c r="BR657" s="223">
        <v>-9999</v>
      </c>
      <c r="BS657" s="242">
        <v>-9999</v>
      </c>
      <c r="BT657" s="223">
        <v>-9999</v>
      </c>
      <c r="BU657" s="223">
        <v>-9999</v>
      </c>
      <c r="BV657" s="223">
        <v>-9999</v>
      </c>
      <c r="BW657" s="223"/>
      <c r="BX657" s="223">
        <v>-9999</v>
      </c>
      <c r="BY657" s="223">
        <v>-9999</v>
      </c>
      <c r="BZ657" s="223">
        <v>-9999</v>
      </c>
      <c r="CA657" s="334" t="s">
        <v>797</v>
      </c>
      <c r="CB657" s="247"/>
      <c r="CC657" s="83">
        <v>1</v>
      </c>
      <c r="CD657" s="32">
        <v>11</v>
      </c>
      <c r="CE657" s="292"/>
      <c r="CF657" s="292"/>
      <c r="CG657" s="84">
        <v>11</v>
      </c>
    </row>
    <row r="658" spans="1:1873" s="23" customFormat="1" x14ac:dyDescent="0.2">
      <c r="A658" s="323"/>
      <c r="B658" s="29"/>
      <c r="C658" s="29"/>
      <c r="D658" s="29"/>
      <c r="E658" s="66"/>
      <c r="F658" s="66"/>
      <c r="G658" s="29"/>
      <c r="H658" s="30"/>
      <c r="I658" s="29"/>
      <c r="J658" s="112"/>
      <c r="K658" s="428"/>
      <c r="L658" s="112"/>
      <c r="M658" s="31"/>
      <c r="N658" s="29"/>
      <c r="O658" s="29"/>
      <c r="P658" s="31"/>
      <c r="Q658" s="29"/>
      <c r="R658" s="31"/>
      <c r="S658" s="29"/>
      <c r="T658" s="31"/>
      <c r="U658" s="29"/>
      <c r="V658" s="29"/>
      <c r="W658" s="31"/>
      <c r="X658" s="29"/>
      <c r="Y658" s="29"/>
      <c r="Z658" s="429"/>
      <c r="AA658" s="115"/>
      <c r="AB658" s="31"/>
      <c r="AC658" s="71"/>
      <c r="AD658" s="71"/>
      <c r="AE658" s="112"/>
      <c r="AF658" s="29"/>
      <c r="AG658" s="29"/>
      <c r="AH658" s="29"/>
      <c r="AI658" s="29"/>
      <c r="AJ658" s="29"/>
      <c r="AK658" s="29"/>
      <c r="AL658" s="29"/>
      <c r="AM658" s="29"/>
      <c r="AN658" s="29"/>
      <c r="AO658" s="29"/>
      <c r="AP658" s="29"/>
      <c r="AQ658" s="29"/>
      <c r="AR658" s="29"/>
      <c r="AS658" s="29"/>
      <c r="AT658" s="29"/>
      <c r="AU658" s="29"/>
      <c r="AV658" s="29"/>
      <c r="AW658" s="29"/>
      <c r="AX658" s="29"/>
      <c r="AY658" s="29"/>
      <c r="AZ658" s="29"/>
      <c r="BA658" s="29"/>
      <c r="BB658" s="29"/>
      <c r="BC658" s="29"/>
      <c r="BD658" s="29"/>
      <c r="BE658" s="29"/>
      <c r="BF658" s="29"/>
      <c r="BG658" s="29"/>
      <c r="BH658" s="29"/>
      <c r="BI658" s="29"/>
      <c r="BJ658" s="29"/>
      <c r="BK658" s="29"/>
      <c r="BL658" s="29"/>
      <c r="BM658" s="29"/>
      <c r="BN658" s="29"/>
      <c r="BO658" s="29"/>
      <c r="BP658" s="29"/>
      <c r="BQ658" s="29"/>
      <c r="BR658" s="29"/>
      <c r="BS658" s="30"/>
      <c r="BT658" s="29"/>
      <c r="BU658" s="29"/>
      <c r="BV658" s="29"/>
      <c r="BW658" s="29"/>
      <c r="BX658" s="29"/>
      <c r="BY658" s="29"/>
      <c r="BZ658" s="29"/>
      <c r="CA658" s="333"/>
      <c r="CC658" s="66"/>
      <c r="CD658" s="29"/>
      <c r="CE658" s="342" t="s">
        <v>1576</v>
      </c>
      <c r="CF658" s="342" t="s">
        <v>1575</v>
      </c>
      <c r="CG658" s="30"/>
    </row>
    <row r="659" spans="1:1873" s="23" customFormat="1" ht="25.5" x14ac:dyDescent="0.2">
      <c r="A659" s="304" t="s">
        <v>2090</v>
      </c>
      <c r="B659" s="223" t="s">
        <v>804</v>
      </c>
      <c r="C659" s="223" t="s">
        <v>1030</v>
      </c>
      <c r="D659" s="223" t="s">
        <v>619</v>
      </c>
      <c r="E659" s="305" t="s">
        <v>1451</v>
      </c>
      <c r="F659" s="241">
        <v>1</v>
      </c>
      <c r="G659" s="223">
        <v>3</v>
      </c>
      <c r="H659" s="242">
        <v>3</v>
      </c>
      <c r="I659" s="223" t="s">
        <v>807</v>
      </c>
      <c r="J659" s="450">
        <v>1987</v>
      </c>
      <c r="K659" s="560" t="s">
        <v>1211</v>
      </c>
      <c r="L659" s="450">
        <v>1989</v>
      </c>
      <c r="M659" s="243">
        <v>-9999</v>
      </c>
      <c r="N659" s="223">
        <v>-9999</v>
      </c>
      <c r="O659" s="29"/>
      <c r="P659" s="243">
        <v>-9999</v>
      </c>
      <c r="Q659" s="223">
        <v>-9999</v>
      </c>
      <c r="R659" s="243"/>
      <c r="S659" s="223"/>
      <c r="T659" s="243">
        <v>-9999</v>
      </c>
      <c r="U659" s="223">
        <v>-9999</v>
      </c>
      <c r="V659" s="223"/>
      <c r="W659" s="243">
        <v>-9999</v>
      </c>
      <c r="X659" s="223">
        <v>-9999</v>
      </c>
      <c r="Y659" s="223"/>
      <c r="Z659" s="561" t="s">
        <v>1702</v>
      </c>
      <c r="AA659" s="425">
        <f t="shared" ref="AA659:AA667" si="70">681*2.47</f>
        <v>1682.0700000000002</v>
      </c>
      <c r="AB659" s="243">
        <v>-9999</v>
      </c>
      <c r="AC659" s="245">
        <v>4.0460000000000003</v>
      </c>
      <c r="AD659" s="560">
        <f t="shared" ref="AD659:AD667" si="71">0.33*10000</f>
        <v>3300</v>
      </c>
      <c r="AE659" s="675" t="s">
        <v>97</v>
      </c>
      <c r="AF659" s="223">
        <v>3</v>
      </c>
      <c r="AG659" s="223">
        <v>-9999</v>
      </c>
      <c r="AH659" s="223">
        <v>-9999</v>
      </c>
      <c r="AI659" s="223">
        <v>-9999</v>
      </c>
      <c r="AJ659" s="223">
        <v>-9999</v>
      </c>
      <c r="AK659" s="223">
        <v>-9999</v>
      </c>
      <c r="AL659" s="223">
        <v>-9999</v>
      </c>
      <c r="AM659" s="223">
        <v>-9999</v>
      </c>
      <c r="AN659" s="223" t="s">
        <v>631</v>
      </c>
      <c r="AO659" s="223">
        <v>-9999</v>
      </c>
      <c r="AP659" s="223">
        <v>-9999</v>
      </c>
      <c r="AQ659" s="223" t="s">
        <v>631</v>
      </c>
      <c r="AR659" s="223">
        <v>0</v>
      </c>
      <c r="AS659" s="223">
        <v>-9999</v>
      </c>
      <c r="AT659" s="223">
        <v>-9999</v>
      </c>
      <c r="AU659" s="223">
        <v>0</v>
      </c>
      <c r="AV659" s="223">
        <v>-9999</v>
      </c>
      <c r="AW659" s="223">
        <v>-9999</v>
      </c>
      <c r="AX659" s="223">
        <v>0</v>
      </c>
      <c r="AY659" s="223">
        <v>-9999</v>
      </c>
      <c r="AZ659" s="223">
        <v>-9999</v>
      </c>
      <c r="BA659" s="223">
        <v>-9999</v>
      </c>
      <c r="BB659" s="223" t="s">
        <v>631</v>
      </c>
      <c r="BC659" s="223">
        <v>-9999</v>
      </c>
      <c r="BD659" s="223">
        <v>-9999</v>
      </c>
      <c r="BE659" s="223">
        <v>-9999</v>
      </c>
      <c r="BF659" s="223">
        <v>-9999</v>
      </c>
      <c r="BG659" s="223">
        <v>-9999</v>
      </c>
      <c r="BH659" s="223">
        <v>-9999</v>
      </c>
      <c r="BI659" s="223" t="s">
        <v>1058</v>
      </c>
      <c r="BJ659" s="223">
        <v>-9999</v>
      </c>
      <c r="BK659" s="223">
        <v>-9999</v>
      </c>
      <c r="BL659" s="223">
        <v>-9999</v>
      </c>
      <c r="BM659" s="223">
        <v>-9999</v>
      </c>
      <c r="BN659" s="223">
        <v>-9999</v>
      </c>
      <c r="BO659" s="223">
        <v>-9999</v>
      </c>
      <c r="BP659" s="223">
        <v>-9999</v>
      </c>
      <c r="BQ659" s="223">
        <v>-9999</v>
      </c>
      <c r="BR659" s="223">
        <v>-9999</v>
      </c>
      <c r="BS659" s="242">
        <v>-9999</v>
      </c>
      <c r="BT659" s="223">
        <v>-9999</v>
      </c>
      <c r="BU659" s="223">
        <v>-9999</v>
      </c>
      <c r="BV659" s="223">
        <v>-9999</v>
      </c>
      <c r="BW659" s="223"/>
      <c r="BX659" s="223">
        <v>-9999</v>
      </c>
      <c r="BY659" s="223">
        <v>-9999</v>
      </c>
      <c r="BZ659" s="223">
        <v>-9999</v>
      </c>
      <c r="CA659" s="334" t="s">
        <v>797</v>
      </c>
      <c r="CB659" s="247"/>
      <c r="CC659" s="83">
        <v>1</v>
      </c>
      <c r="CD659" s="32">
        <v>3</v>
      </c>
      <c r="CE659" s="292"/>
      <c r="CF659" s="292"/>
      <c r="CG659" s="84">
        <v>3</v>
      </c>
    </row>
    <row r="660" spans="1:1873" s="23" customFormat="1" ht="25.5" x14ac:dyDescent="0.2">
      <c r="A660" s="304" t="s">
        <v>2090</v>
      </c>
      <c r="B660" s="223" t="s">
        <v>804</v>
      </c>
      <c r="C660" s="223" t="s">
        <v>1030</v>
      </c>
      <c r="D660" s="223" t="s">
        <v>619</v>
      </c>
      <c r="E660" s="305" t="s">
        <v>1451</v>
      </c>
      <c r="F660" s="241">
        <v>1</v>
      </c>
      <c r="G660" s="223">
        <v>4</v>
      </c>
      <c r="H660" s="242">
        <v>4</v>
      </c>
      <c r="I660" s="223" t="s">
        <v>807</v>
      </c>
      <c r="J660" s="450">
        <v>1987</v>
      </c>
      <c r="K660" s="560" t="s">
        <v>1211</v>
      </c>
      <c r="L660" s="450">
        <v>1990</v>
      </c>
      <c r="M660" s="243">
        <v>-9999</v>
      </c>
      <c r="N660" s="223">
        <v>-9999</v>
      </c>
      <c r="O660" s="29"/>
      <c r="P660" s="243">
        <v>-9999</v>
      </c>
      <c r="Q660" s="223">
        <v>-9999</v>
      </c>
      <c r="R660" s="243"/>
      <c r="S660" s="223"/>
      <c r="T660" s="243">
        <v>-9999</v>
      </c>
      <c r="U660" s="223">
        <v>-9999</v>
      </c>
      <c r="V660" s="223"/>
      <c r="W660" s="243">
        <v>-9999</v>
      </c>
      <c r="X660" s="223">
        <v>-9999</v>
      </c>
      <c r="Y660" s="223"/>
      <c r="Z660" s="561" t="s">
        <v>1702</v>
      </c>
      <c r="AA660" s="425">
        <f t="shared" si="70"/>
        <v>1682.0700000000002</v>
      </c>
      <c r="AB660" s="243">
        <v>-9999</v>
      </c>
      <c r="AC660" s="245">
        <v>4.0460000000000003</v>
      </c>
      <c r="AD660" s="560">
        <f t="shared" si="71"/>
        <v>3300</v>
      </c>
      <c r="AE660" s="675" t="s">
        <v>97</v>
      </c>
      <c r="AF660" s="223">
        <v>3</v>
      </c>
      <c r="AG660" s="223">
        <v>-9999</v>
      </c>
      <c r="AH660" s="223">
        <v>-9999</v>
      </c>
      <c r="AI660" s="223">
        <v>-9999</v>
      </c>
      <c r="AJ660" s="223">
        <v>-9999</v>
      </c>
      <c r="AK660" s="223">
        <v>-9999</v>
      </c>
      <c r="AL660" s="223">
        <v>-9999</v>
      </c>
      <c r="AM660" s="223">
        <v>-9999</v>
      </c>
      <c r="AN660" s="223" t="s">
        <v>631</v>
      </c>
      <c r="AO660" s="223">
        <v>-9999</v>
      </c>
      <c r="AP660" s="223">
        <v>-9999</v>
      </c>
      <c r="AQ660" s="223" t="s">
        <v>631</v>
      </c>
      <c r="AR660" s="223">
        <v>0</v>
      </c>
      <c r="AS660" s="223">
        <v>-9999</v>
      </c>
      <c r="AT660" s="223">
        <v>-9999</v>
      </c>
      <c r="AU660" s="223">
        <v>0</v>
      </c>
      <c r="AV660" s="223">
        <v>-9999</v>
      </c>
      <c r="AW660" s="223">
        <v>-9999</v>
      </c>
      <c r="AX660" s="223">
        <v>0</v>
      </c>
      <c r="AY660" s="223">
        <v>-9999</v>
      </c>
      <c r="AZ660" s="223">
        <v>-9999</v>
      </c>
      <c r="BA660" s="223">
        <v>-9999</v>
      </c>
      <c r="BB660" s="223" t="s">
        <v>631</v>
      </c>
      <c r="BC660" s="223">
        <v>-9999</v>
      </c>
      <c r="BD660" s="223">
        <v>-9999</v>
      </c>
      <c r="BE660" s="223">
        <v>-9999</v>
      </c>
      <c r="BF660" s="223">
        <v>-9999</v>
      </c>
      <c r="BG660" s="223">
        <v>-9999</v>
      </c>
      <c r="BH660" s="223">
        <v>-9999</v>
      </c>
      <c r="BI660" s="223" t="s">
        <v>1058</v>
      </c>
      <c r="BJ660" s="223">
        <v>-9999</v>
      </c>
      <c r="BK660" s="223">
        <v>-9999</v>
      </c>
      <c r="BL660" s="223">
        <v>-9999</v>
      </c>
      <c r="BM660" s="223">
        <v>-9999</v>
      </c>
      <c r="BN660" s="223">
        <v>-9999</v>
      </c>
      <c r="BO660" s="223">
        <v>-9999</v>
      </c>
      <c r="BP660" s="223">
        <v>-9999</v>
      </c>
      <c r="BQ660" s="223">
        <v>-9999</v>
      </c>
      <c r="BR660" s="223">
        <v>-9999</v>
      </c>
      <c r="BS660" s="242">
        <v>-9999</v>
      </c>
      <c r="BT660" s="223">
        <v>-9999</v>
      </c>
      <c r="BU660" s="223">
        <v>-9999</v>
      </c>
      <c r="BV660" s="223">
        <v>-9999</v>
      </c>
      <c r="BW660" s="223"/>
      <c r="BX660" s="223">
        <v>-9999</v>
      </c>
      <c r="BY660" s="223">
        <v>-9999</v>
      </c>
      <c r="BZ660" s="223">
        <v>-9999</v>
      </c>
      <c r="CA660" s="334" t="s">
        <v>797</v>
      </c>
      <c r="CB660" s="247"/>
      <c r="CC660" s="83">
        <v>1</v>
      </c>
      <c r="CD660" s="32">
        <v>4</v>
      </c>
      <c r="CE660" s="292"/>
      <c r="CF660" s="292"/>
      <c r="CG660" s="84">
        <v>4</v>
      </c>
    </row>
    <row r="661" spans="1:1873" s="23" customFormat="1" ht="25.5" x14ac:dyDescent="0.2">
      <c r="A661" s="304" t="s">
        <v>2090</v>
      </c>
      <c r="B661" s="223" t="s">
        <v>804</v>
      </c>
      <c r="C661" s="223" t="s">
        <v>1030</v>
      </c>
      <c r="D661" s="223" t="s">
        <v>619</v>
      </c>
      <c r="E661" s="305" t="s">
        <v>1451</v>
      </c>
      <c r="F661" s="241">
        <v>1</v>
      </c>
      <c r="G661" s="223">
        <v>5</v>
      </c>
      <c r="H661" s="242">
        <v>5</v>
      </c>
      <c r="I661" s="223" t="s">
        <v>807</v>
      </c>
      <c r="J661" s="450">
        <v>1987</v>
      </c>
      <c r="K661" s="560" t="s">
        <v>1211</v>
      </c>
      <c r="L661" s="450">
        <v>1991</v>
      </c>
      <c r="M661" s="243">
        <v>-9999</v>
      </c>
      <c r="N661" s="223">
        <v>-9999</v>
      </c>
      <c r="O661" s="29"/>
      <c r="P661" s="244">
        <f t="shared" ref="P661:P666" si="72">+T661*G661</f>
        <v>12.3</v>
      </c>
      <c r="Q661" s="223">
        <v>-9999</v>
      </c>
      <c r="R661" s="243"/>
      <c r="S661" s="223"/>
      <c r="T661" s="243">
        <v>2.46</v>
      </c>
      <c r="U661" s="223">
        <v>-9999</v>
      </c>
      <c r="V661" s="223"/>
      <c r="W661" s="243">
        <v>-9999</v>
      </c>
      <c r="X661" s="223">
        <v>-9999</v>
      </c>
      <c r="Y661" s="223"/>
      <c r="Z661" s="561" t="s">
        <v>1702</v>
      </c>
      <c r="AA661" s="425">
        <f t="shared" si="70"/>
        <v>1682.0700000000002</v>
      </c>
      <c r="AB661" s="243">
        <v>-9999</v>
      </c>
      <c r="AC661" s="245">
        <v>4.0460000000000003</v>
      </c>
      <c r="AD661" s="560">
        <f t="shared" si="71"/>
        <v>3300</v>
      </c>
      <c r="AE661" s="675" t="s">
        <v>97</v>
      </c>
      <c r="AF661" s="223">
        <v>3</v>
      </c>
      <c r="AG661" s="223">
        <v>-9999</v>
      </c>
      <c r="AH661" s="223">
        <v>-9999</v>
      </c>
      <c r="AI661" s="223">
        <v>-9999</v>
      </c>
      <c r="AJ661" s="223">
        <v>-9999</v>
      </c>
      <c r="AK661" s="223">
        <v>-9999</v>
      </c>
      <c r="AL661" s="223">
        <v>-9999</v>
      </c>
      <c r="AM661" s="223">
        <v>-9999</v>
      </c>
      <c r="AN661" s="223" t="s">
        <v>631</v>
      </c>
      <c r="AO661" s="223">
        <v>-9999</v>
      </c>
      <c r="AP661" s="223">
        <v>-9999</v>
      </c>
      <c r="AQ661" s="223" t="s">
        <v>631</v>
      </c>
      <c r="AR661" s="223">
        <v>0</v>
      </c>
      <c r="AS661" s="223">
        <v>-9999</v>
      </c>
      <c r="AT661" s="223">
        <v>-9999</v>
      </c>
      <c r="AU661" s="223">
        <v>0</v>
      </c>
      <c r="AV661" s="223">
        <v>-9999</v>
      </c>
      <c r="AW661" s="223">
        <v>-9999</v>
      </c>
      <c r="AX661" s="223">
        <v>0</v>
      </c>
      <c r="AY661" s="223">
        <v>-9999</v>
      </c>
      <c r="AZ661" s="223">
        <v>-9999</v>
      </c>
      <c r="BA661" s="223">
        <v>-9999</v>
      </c>
      <c r="BB661" s="223" t="s">
        <v>631</v>
      </c>
      <c r="BC661" s="223">
        <v>-9999</v>
      </c>
      <c r="BD661" s="223">
        <v>-9999</v>
      </c>
      <c r="BE661" s="223">
        <v>-9999</v>
      </c>
      <c r="BF661" s="223">
        <v>-9999</v>
      </c>
      <c r="BG661" s="223">
        <v>-9999</v>
      </c>
      <c r="BH661" s="223">
        <v>-9999</v>
      </c>
      <c r="BI661" s="223" t="s">
        <v>1058</v>
      </c>
      <c r="BJ661" s="223">
        <v>-9999</v>
      </c>
      <c r="BK661" s="223">
        <v>-9999</v>
      </c>
      <c r="BL661" s="223">
        <v>-9999</v>
      </c>
      <c r="BM661" s="223">
        <v>-9999</v>
      </c>
      <c r="BN661" s="223">
        <v>-9999</v>
      </c>
      <c r="BO661" s="223">
        <v>-9999</v>
      </c>
      <c r="BP661" s="223">
        <v>-9999</v>
      </c>
      <c r="BQ661" s="223">
        <v>-9999</v>
      </c>
      <c r="BR661" s="223">
        <v>-9999</v>
      </c>
      <c r="BS661" s="242">
        <v>-9999</v>
      </c>
      <c r="BT661" s="223">
        <v>-9999</v>
      </c>
      <c r="BU661" s="223">
        <v>-9999</v>
      </c>
      <c r="BV661" s="223">
        <v>-9999</v>
      </c>
      <c r="BW661" s="223"/>
      <c r="BX661" s="223">
        <v>-9999</v>
      </c>
      <c r="BY661" s="223">
        <v>-9999</v>
      </c>
      <c r="BZ661" s="223">
        <v>-9999</v>
      </c>
      <c r="CA661" s="334" t="s">
        <v>797</v>
      </c>
      <c r="CB661" s="247"/>
      <c r="CC661" s="83">
        <v>1</v>
      </c>
      <c r="CD661" s="32">
        <v>5</v>
      </c>
      <c r="CE661" s="292">
        <v>2.46</v>
      </c>
      <c r="CF661" s="292"/>
      <c r="CG661" s="84">
        <v>5</v>
      </c>
    </row>
    <row r="662" spans="1:1873" s="23" customFormat="1" ht="25.5" x14ac:dyDescent="0.2">
      <c r="A662" s="304" t="s">
        <v>2090</v>
      </c>
      <c r="B662" s="223" t="s">
        <v>804</v>
      </c>
      <c r="C662" s="223" t="s">
        <v>1030</v>
      </c>
      <c r="D662" s="223" t="s">
        <v>619</v>
      </c>
      <c r="E662" s="305" t="s">
        <v>1451</v>
      </c>
      <c r="F662" s="241">
        <v>1</v>
      </c>
      <c r="G662" s="223">
        <v>6</v>
      </c>
      <c r="H662" s="242">
        <v>6</v>
      </c>
      <c r="I662" s="223" t="s">
        <v>807</v>
      </c>
      <c r="J662" s="450">
        <v>1987</v>
      </c>
      <c r="K662" s="560" t="s">
        <v>1211</v>
      </c>
      <c r="L662" s="450">
        <v>1992</v>
      </c>
      <c r="M662" s="243">
        <v>-9999</v>
      </c>
      <c r="N662" s="223">
        <v>-9999</v>
      </c>
      <c r="O662" s="29"/>
      <c r="P662" s="244">
        <f t="shared" si="72"/>
        <v>23.28</v>
      </c>
      <c r="Q662" s="223">
        <v>-9999</v>
      </c>
      <c r="R662" s="243"/>
      <c r="S662" s="223"/>
      <c r="T662" s="243">
        <v>3.88</v>
      </c>
      <c r="U662" s="223">
        <v>-9999</v>
      </c>
      <c r="V662" s="223"/>
      <c r="W662" s="285">
        <f>+P662-P661</f>
        <v>10.98</v>
      </c>
      <c r="X662" s="223">
        <v>-9999</v>
      </c>
      <c r="Y662" s="223"/>
      <c r="Z662" s="561" t="s">
        <v>1702</v>
      </c>
      <c r="AA662" s="425">
        <f t="shared" si="70"/>
        <v>1682.0700000000002</v>
      </c>
      <c r="AB662" s="243">
        <v>-9999</v>
      </c>
      <c r="AC662" s="245">
        <v>4.0460000000000003</v>
      </c>
      <c r="AD662" s="560">
        <f t="shared" si="71"/>
        <v>3300</v>
      </c>
      <c r="AE662" s="675" t="s">
        <v>97</v>
      </c>
      <c r="AF662" s="223">
        <v>3</v>
      </c>
      <c r="AG662" s="223">
        <v>-9999</v>
      </c>
      <c r="AH662" s="223">
        <v>-9999</v>
      </c>
      <c r="AI662" s="223">
        <v>-9999</v>
      </c>
      <c r="AJ662" s="223">
        <v>-9999</v>
      </c>
      <c r="AK662" s="223">
        <v>-9999</v>
      </c>
      <c r="AL662" s="223">
        <v>-9999</v>
      </c>
      <c r="AM662" s="223">
        <v>-9999</v>
      </c>
      <c r="AN662" s="223" t="s">
        <v>631</v>
      </c>
      <c r="AO662" s="223">
        <v>-9999</v>
      </c>
      <c r="AP662" s="223">
        <v>-9999</v>
      </c>
      <c r="AQ662" s="223" t="s">
        <v>631</v>
      </c>
      <c r="AR662" s="223">
        <v>0</v>
      </c>
      <c r="AS662" s="223">
        <v>-9999</v>
      </c>
      <c r="AT662" s="223">
        <v>-9999</v>
      </c>
      <c r="AU662" s="223">
        <v>0</v>
      </c>
      <c r="AV662" s="223">
        <v>-9999</v>
      </c>
      <c r="AW662" s="223">
        <v>-9999</v>
      </c>
      <c r="AX662" s="223">
        <v>0</v>
      </c>
      <c r="AY662" s="223">
        <v>-9999</v>
      </c>
      <c r="AZ662" s="223">
        <v>-9999</v>
      </c>
      <c r="BA662" s="223">
        <v>-9999</v>
      </c>
      <c r="BB662" s="223" t="s">
        <v>631</v>
      </c>
      <c r="BC662" s="223">
        <v>-9999</v>
      </c>
      <c r="BD662" s="223">
        <v>-9999</v>
      </c>
      <c r="BE662" s="223">
        <v>-9999</v>
      </c>
      <c r="BF662" s="223">
        <v>-9999</v>
      </c>
      <c r="BG662" s="223">
        <v>-9999</v>
      </c>
      <c r="BH662" s="223">
        <v>-9999</v>
      </c>
      <c r="BI662" s="223" t="s">
        <v>1058</v>
      </c>
      <c r="BJ662" s="223">
        <v>-9999</v>
      </c>
      <c r="BK662" s="223">
        <v>-9999</v>
      </c>
      <c r="BL662" s="223">
        <v>-9999</v>
      </c>
      <c r="BM662" s="223">
        <v>-9999</v>
      </c>
      <c r="BN662" s="223">
        <v>-9999</v>
      </c>
      <c r="BO662" s="223">
        <v>-9999</v>
      </c>
      <c r="BP662" s="223">
        <v>-9999</v>
      </c>
      <c r="BQ662" s="223">
        <v>-9999</v>
      </c>
      <c r="BR662" s="223">
        <v>-9999</v>
      </c>
      <c r="BS662" s="242">
        <v>-9999</v>
      </c>
      <c r="BT662" s="223">
        <v>-9999</v>
      </c>
      <c r="BU662" s="223">
        <v>-9999</v>
      </c>
      <c r="BV662" s="223">
        <v>-9999</v>
      </c>
      <c r="BW662" s="223"/>
      <c r="BX662" s="223">
        <v>-9999</v>
      </c>
      <c r="BY662" s="223">
        <v>-9999</v>
      </c>
      <c r="BZ662" s="223">
        <v>-9999</v>
      </c>
      <c r="CA662" s="334" t="s">
        <v>797</v>
      </c>
      <c r="CB662" s="247"/>
      <c r="CC662" s="83">
        <v>1</v>
      </c>
      <c r="CD662" s="32">
        <v>6</v>
      </c>
      <c r="CE662" s="292">
        <v>3.88</v>
      </c>
      <c r="CF662" s="292">
        <v>10.98</v>
      </c>
      <c r="CG662" s="84">
        <v>6</v>
      </c>
    </row>
    <row r="663" spans="1:1873" s="23" customFormat="1" ht="25.5" x14ac:dyDescent="0.2">
      <c r="A663" s="304" t="s">
        <v>2090</v>
      </c>
      <c r="B663" s="223" t="s">
        <v>804</v>
      </c>
      <c r="C663" s="223" t="s">
        <v>1030</v>
      </c>
      <c r="D663" s="223" t="s">
        <v>619</v>
      </c>
      <c r="E663" s="305" t="s">
        <v>1451</v>
      </c>
      <c r="F663" s="241">
        <v>1</v>
      </c>
      <c r="G663" s="223">
        <v>7</v>
      </c>
      <c r="H663" s="242">
        <v>7</v>
      </c>
      <c r="I663" s="223" t="s">
        <v>807</v>
      </c>
      <c r="J663" s="450">
        <v>1987</v>
      </c>
      <c r="K663" s="560" t="s">
        <v>1211</v>
      </c>
      <c r="L663" s="450">
        <v>1993</v>
      </c>
      <c r="M663" s="243">
        <v>-9999</v>
      </c>
      <c r="N663" s="223">
        <v>-9999</v>
      </c>
      <c r="O663" s="29"/>
      <c r="P663" s="244">
        <f t="shared" si="72"/>
        <v>31.360000000000003</v>
      </c>
      <c r="Q663" s="223">
        <v>-9999</v>
      </c>
      <c r="R663" s="243"/>
      <c r="S663" s="223"/>
      <c r="T663" s="243">
        <v>4.4800000000000004</v>
      </c>
      <c r="U663" s="223">
        <v>-9999</v>
      </c>
      <c r="V663" s="223"/>
      <c r="W663" s="285">
        <f>+P663-P662</f>
        <v>8.0800000000000018</v>
      </c>
      <c r="X663" s="223">
        <v>-9999</v>
      </c>
      <c r="Y663" s="223"/>
      <c r="Z663" s="561" t="s">
        <v>1702</v>
      </c>
      <c r="AA663" s="425">
        <f t="shared" si="70"/>
        <v>1682.0700000000002</v>
      </c>
      <c r="AB663" s="243">
        <v>-9999</v>
      </c>
      <c r="AC663" s="245">
        <v>4.0460000000000003</v>
      </c>
      <c r="AD663" s="560">
        <f t="shared" si="71"/>
        <v>3300</v>
      </c>
      <c r="AE663" s="675" t="s">
        <v>97</v>
      </c>
      <c r="AF663" s="223">
        <v>3</v>
      </c>
      <c r="AG663" s="223">
        <v>-9999</v>
      </c>
      <c r="AH663" s="223">
        <v>-9999</v>
      </c>
      <c r="AI663" s="223">
        <v>-9999</v>
      </c>
      <c r="AJ663" s="223">
        <v>-9999</v>
      </c>
      <c r="AK663" s="223">
        <v>-9999</v>
      </c>
      <c r="AL663" s="223">
        <v>-9999</v>
      </c>
      <c r="AM663" s="223">
        <v>-9999</v>
      </c>
      <c r="AN663" s="223" t="s">
        <v>631</v>
      </c>
      <c r="AO663" s="223">
        <v>-9999</v>
      </c>
      <c r="AP663" s="223">
        <v>-9999</v>
      </c>
      <c r="AQ663" s="223" t="s">
        <v>631</v>
      </c>
      <c r="AR663" s="223">
        <v>0</v>
      </c>
      <c r="AS663" s="223">
        <v>-9999</v>
      </c>
      <c r="AT663" s="223">
        <v>-9999</v>
      </c>
      <c r="AU663" s="223">
        <v>0</v>
      </c>
      <c r="AV663" s="223">
        <v>-9999</v>
      </c>
      <c r="AW663" s="223">
        <v>-9999</v>
      </c>
      <c r="AX663" s="223">
        <v>0</v>
      </c>
      <c r="AY663" s="223">
        <v>-9999</v>
      </c>
      <c r="AZ663" s="223">
        <v>-9999</v>
      </c>
      <c r="BA663" s="223">
        <v>-9999</v>
      </c>
      <c r="BB663" s="223" t="s">
        <v>631</v>
      </c>
      <c r="BC663" s="223">
        <v>-9999</v>
      </c>
      <c r="BD663" s="223">
        <v>-9999</v>
      </c>
      <c r="BE663" s="223">
        <v>-9999</v>
      </c>
      <c r="BF663" s="223">
        <v>-9999</v>
      </c>
      <c r="BG663" s="223">
        <v>-9999</v>
      </c>
      <c r="BH663" s="223">
        <v>-9999</v>
      </c>
      <c r="BI663" s="223" t="s">
        <v>1058</v>
      </c>
      <c r="BJ663" s="223">
        <v>-9999</v>
      </c>
      <c r="BK663" s="223">
        <v>-9999</v>
      </c>
      <c r="BL663" s="223">
        <v>-9999</v>
      </c>
      <c r="BM663" s="223">
        <v>-9999</v>
      </c>
      <c r="BN663" s="223">
        <v>-9999</v>
      </c>
      <c r="BO663" s="223">
        <v>-9999</v>
      </c>
      <c r="BP663" s="223">
        <v>-9999</v>
      </c>
      <c r="BQ663" s="223">
        <v>-9999</v>
      </c>
      <c r="BR663" s="223">
        <v>-9999</v>
      </c>
      <c r="BS663" s="242">
        <v>-9999</v>
      </c>
      <c r="BT663" s="223">
        <v>-9999</v>
      </c>
      <c r="BU663" s="223">
        <v>-9999</v>
      </c>
      <c r="BV663" s="223">
        <v>-9999</v>
      </c>
      <c r="BW663" s="223"/>
      <c r="BX663" s="223">
        <v>-9999</v>
      </c>
      <c r="BY663" s="223">
        <v>-9999</v>
      </c>
      <c r="BZ663" s="223">
        <v>-9999</v>
      </c>
      <c r="CA663" s="334" t="s">
        <v>797</v>
      </c>
      <c r="CB663" s="247"/>
      <c r="CC663" s="83">
        <v>1</v>
      </c>
      <c r="CD663" s="32">
        <v>7</v>
      </c>
      <c r="CE663" s="292">
        <v>4.4800000000000004</v>
      </c>
      <c r="CF663" s="292">
        <v>8.0800000000000018</v>
      </c>
      <c r="CG663" s="84">
        <v>7</v>
      </c>
    </row>
    <row r="664" spans="1:1873" s="23" customFormat="1" ht="25.5" x14ac:dyDescent="0.2">
      <c r="A664" s="304" t="s">
        <v>2090</v>
      </c>
      <c r="B664" s="223" t="s">
        <v>804</v>
      </c>
      <c r="C664" s="223" t="s">
        <v>1030</v>
      </c>
      <c r="D664" s="223" t="s">
        <v>619</v>
      </c>
      <c r="E664" s="305" t="s">
        <v>1451</v>
      </c>
      <c r="F664" s="241">
        <v>1</v>
      </c>
      <c r="G664" s="223">
        <v>8</v>
      </c>
      <c r="H664" s="242">
        <v>8</v>
      </c>
      <c r="I664" s="223" t="s">
        <v>807</v>
      </c>
      <c r="J664" s="450">
        <v>1987</v>
      </c>
      <c r="K664" s="560" t="s">
        <v>1211</v>
      </c>
      <c r="L664" s="450">
        <v>1994</v>
      </c>
      <c r="M664" s="243">
        <v>-9999</v>
      </c>
      <c r="N664" s="223">
        <v>-9999</v>
      </c>
      <c r="O664" s="29"/>
      <c r="P664" s="244">
        <f t="shared" si="72"/>
        <v>40.72</v>
      </c>
      <c r="Q664" s="223">
        <v>-9999</v>
      </c>
      <c r="R664" s="243"/>
      <c r="S664" s="223"/>
      <c r="T664" s="243">
        <v>5.09</v>
      </c>
      <c r="U664" s="223">
        <v>-9999</v>
      </c>
      <c r="V664" s="223"/>
      <c r="W664" s="285">
        <f>+P664-P663</f>
        <v>9.3599999999999959</v>
      </c>
      <c r="X664" s="223">
        <v>-9999</v>
      </c>
      <c r="Y664" s="223"/>
      <c r="Z664" s="561" t="s">
        <v>1702</v>
      </c>
      <c r="AA664" s="425">
        <f t="shared" si="70"/>
        <v>1682.0700000000002</v>
      </c>
      <c r="AB664" s="243">
        <v>-9999</v>
      </c>
      <c r="AC664" s="245">
        <v>4.0460000000000003</v>
      </c>
      <c r="AD664" s="560">
        <f t="shared" si="71"/>
        <v>3300</v>
      </c>
      <c r="AE664" s="675" t="s">
        <v>97</v>
      </c>
      <c r="AF664" s="223">
        <v>3</v>
      </c>
      <c r="AG664" s="223">
        <v>-9999</v>
      </c>
      <c r="AH664" s="223">
        <v>-9999</v>
      </c>
      <c r="AI664" s="223">
        <v>-9999</v>
      </c>
      <c r="AJ664" s="223">
        <v>-9999</v>
      </c>
      <c r="AK664" s="223">
        <v>-9999</v>
      </c>
      <c r="AL664" s="223">
        <v>-9999</v>
      </c>
      <c r="AM664" s="223">
        <v>-9999</v>
      </c>
      <c r="AN664" s="223" t="s">
        <v>631</v>
      </c>
      <c r="AO664" s="223">
        <v>-9999</v>
      </c>
      <c r="AP664" s="223">
        <v>-9999</v>
      </c>
      <c r="AQ664" s="223" t="s">
        <v>631</v>
      </c>
      <c r="AR664" s="223">
        <v>0</v>
      </c>
      <c r="AS664" s="223">
        <v>-9999</v>
      </c>
      <c r="AT664" s="223">
        <v>-9999</v>
      </c>
      <c r="AU664" s="223">
        <v>0</v>
      </c>
      <c r="AV664" s="223">
        <v>-9999</v>
      </c>
      <c r="AW664" s="223">
        <v>-9999</v>
      </c>
      <c r="AX664" s="223">
        <v>0</v>
      </c>
      <c r="AY664" s="223">
        <v>-9999</v>
      </c>
      <c r="AZ664" s="223">
        <v>-9999</v>
      </c>
      <c r="BA664" s="223">
        <v>-9999</v>
      </c>
      <c r="BB664" s="223" t="s">
        <v>631</v>
      </c>
      <c r="BC664" s="223">
        <v>-9999</v>
      </c>
      <c r="BD664" s="223">
        <v>-9999</v>
      </c>
      <c r="BE664" s="223">
        <v>-9999</v>
      </c>
      <c r="BF664" s="223">
        <v>-9999</v>
      </c>
      <c r="BG664" s="223">
        <v>-9999</v>
      </c>
      <c r="BH664" s="223">
        <v>-9999</v>
      </c>
      <c r="BI664" s="223" t="s">
        <v>1058</v>
      </c>
      <c r="BJ664" s="223">
        <v>-9999</v>
      </c>
      <c r="BK664" s="223">
        <v>-9999</v>
      </c>
      <c r="BL664" s="223">
        <v>-9999</v>
      </c>
      <c r="BM664" s="223">
        <v>-9999</v>
      </c>
      <c r="BN664" s="223">
        <v>-9999</v>
      </c>
      <c r="BO664" s="223">
        <v>-9999</v>
      </c>
      <c r="BP664" s="223">
        <v>-9999</v>
      </c>
      <c r="BQ664" s="223">
        <v>-9999</v>
      </c>
      <c r="BR664" s="223">
        <v>-9999</v>
      </c>
      <c r="BS664" s="242">
        <v>-9999</v>
      </c>
      <c r="BT664" s="223">
        <v>-9999</v>
      </c>
      <c r="BU664" s="223">
        <v>-9999</v>
      </c>
      <c r="BV664" s="223">
        <v>-9999</v>
      </c>
      <c r="BW664" s="223"/>
      <c r="BX664" s="223">
        <v>-9999</v>
      </c>
      <c r="BY664" s="223">
        <v>-9999</v>
      </c>
      <c r="BZ664" s="223">
        <v>-9999</v>
      </c>
      <c r="CA664" s="334" t="s">
        <v>797</v>
      </c>
      <c r="CB664" s="247"/>
      <c r="CC664" s="83">
        <v>1</v>
      </c>
      <c r="CD664" s="32">
        <v>8</v>
      </c>
      <c r="CE664" s="292">
        <v>5.09</v>
      </c>
      <c r="CF664" s="292">
        <v>9.3599999999999959</v>
      </c>
      <c r="CG664" s="84">
        <v>8</v>
      </c>
    </row>
    <row r="665" spans="1:1873" s="202" customFormat="1" ht="25.5" x14ac:dyDescent="0.2">
      <c r="A665" s="304" t="s">
        <v>2090</v>
      </c>
      <c r="B665" s="223" t="s">
        <v>804</v>
      </c>
      <c r="C665" s="223" t="s">
        <v>1030</v>
      </c>
      <c r="D665" s="223" t="s">
        <v>619</v>
      </c>
      <c r="E665" s="241" t="s">
        <v>1451</v>
      </c>
      <c r="F665" s="241">
        <v>1</v>
      </c>
      <c r="G665" s="223">
        <v>9</v>
      </c>
      <c r="H665" s="242">
        <v>9</v>
      </c>
      <c r="I665" s="223" t="s">
        <v>807</v>
      </c>
      <c r="J665" s="450">
        <v>1987</v>
      </c>
      <c r="K665" s="560" t="s">
        <v>1211</v>
      </c>
      <c r="L665" s="450">
        <v>1995</v>
      </c>
      <c r="M665" s="243">
        <v>-9999</v>
      </c>
      <c r="N665" s="223">
        <v>-9999</v>
      </c>
      <c r="O665" s="29"/>
      <c r="P665" s="285">
        <f t="shared" si="72"/>
        <v>46.17</v>
      </c>
      <c r="Q665" s="223">
        <v>-9999</v>
      </c>
      <c r="R665" s="243"/>
      <c r="S665" s="223"/>
      <c r="T665" s="243">
        <v>5.13</v>
      </c>
      <c r="U665" s="223">
        <v>-9999</v>
      </c>
      <c r="V665" s="223"/>
      <c r="W665" s="244">
        <f>+P665-P664</f>
        <v>5.4500000000000028</v>
      </c>
      <c r="X665" s="223">
        <v>-9999</v>
      </c>
      <c r="Y665" s="223"/>
      <c r="Z665" s="561" t="s">
        <v>1702</v>
      </c>
      <c r="AA665" s="425">
        <f t="shared" si="70"/>
        <v>1682.0700000000002</v>
      </c>
      <c r="AB665" s="243">
        <v>-9999</v>
      </c>
      <c r="AC665" s="245">
        <v>4.0460000000000003</v>
      </c>
      <c r="AD665" s="560">
        <f t="shared" si="71"/>
        <v>3300</v>
      </c>
      <c r="AE665" s="675" t="s">
        <v>97</v>
      </c>
      <c r="AF665" s="223">
        <v>3</v>
      </c>
      <c r="AG665" s="223">
        <v>-9999</v>
      </c>
      <c r="AH665" s="223">
        <v>-9999</v>
      </c>
      <c r="AI665" s="223">
        <v>-9999</v>
      </c>
      <c r="AJ665" s="223">
        <v>-9999</v>
      </c>
      <c r="AK665" s="223">
        <v>-9999</v>
      </c>
      <c r="AL665" s="223">
        <v>-9999</v>
      </c>
      <c r="AM665" s="223">
        <v>-9999</v>
      </c>
      <c r="AN665" s="223" t="s">
        <v>631</v>
      </c>
      <c r="AO665" s="223">
        <v>-9999</v>
      </c>
      <c r="AP665" s="223">
        <v>-9999</v>
      </c>
      <c r="AQ665" s="223" t="s">
        <v>631</v>
      </c>
      <c r="AR665" s="223">
        <v>0</v>
      </c>
      <c r="AS665" s="223">
        <v>-9999</v>
      </c>
      <c r="AT665" s="223">
        <v>-9999</v>
      </c>
      <c r="AU665" s="223">
        <v>0</v>
      </c>
      <c r="AV665" s="223">
        <v>-9999</v>
      </c>
      <c r="AW665" s="223">
        <v>-9999</v>
      </c>
      <c r="AX665" s="223">
        <v>0</v>
      </c>
      <c r="AY665" s="223">
        <v>-9999</v>
      </c>
      <c r="AZ665" s="223">
        <v>-9999</v>
      </c>
      <c r="BA665" s="223">
        <v>-9999</v>
      </c>
      <c r="BB665" s="223" t="s">
        <v>631</v>
      </c>
      <c r="BC665" s="223">
        <v>-9999</v>
      </c>
      <c r="BD665" s="223">
        <v>-9999</v>
      </c>
      <c r="BE665" s="223">
        <v>-9999</v>
      </c>
      <c r="BF665" s="223">
        <v>-9999</v>
      </c>
      <c r="BG665" s="223">
        <v>-9999</v>
      </c>
      <c r="BH665" s="223">
        <v>-9999</v>
      </c>
      <c r="BI665" s="223" t="s">
        <v>1058</v>
      </c>
      <c r="BJ665" s="223">
        <v>-9999</v>
      </c>
      <c r="BK665" s="223">
        <v>-9999</v>
      </c>
      <c r="BL665" s="223">
        <v>-9999</v>
      </c>
      <c r="BM665" s="223">
        <v>-9999</v>
      </c>
      <c r="BN665" s="223">
        <v>-9999</v>
      </c>
      <c r="BO665" s="223">
        <v>-9999</v>
      </c>
      <c r="BP665" s="223">
        <v>-9999</v>
      </c>
      <c r="BQ665" s="223">
        <v>-9999</v>
      </c>
      <c r="BR665" s="223">
        <v>-9999</v>
      </c>
      <c r="BS665" s="242">
        <v>-9999</v>
      </c>
      <c r="BT665" s="223">
        <v>-9999</v>
      </c>
      <c r="BU665" s="223">
        <v>-9999</v>
      </c>
      <c r="BV665" s="223">
        <v>-9999</v>
      </c>
      <c r="BW665" s="223"/>
      <c r="BX665" s="223">
        <v>-9999</v>
      </c>
      <c r="BY665" s="223">
        <v>-9999</v>
      </c>
      <c r="BZ665" s="223">
        <v>-9999</v>
      </c>
      <c r="CA665" s="334" t="s">
        <v>797</v>
      </c>
      <c r="CB665" s="247"/>
      <c r="CC665" s="201">
        <v>1</v>
      </c>
      <c r="CD665" s="192">
        <v>9</v>
      </c>
      <c r="CE665" s="394">
        <v>5.13</v>
      </c>
      <c r="CF665" s="292">
        <v>5.4500000000000028</v>
      </c>
      <c r="CG665" s="196">
        <v>9</v>
      </c>
      <c r="CH665" s="438" t="s">
        <v>1757</v>
      </c>
      <c r="CI665" s="23"/>
      <c r="CJ665" s="23"/>
      <c r="CK665" s="23"/>
      <c r="CL665" s="23"/>
      <c r="CM665" s="23"/>
      <c r="CN665" s="23"/>
      <c r="CO665" s="23"/>
      <c r="CP665" s="23"/>
      <c r="CQ665" s="23"/>
      <c r="CR665" s="23"/>
      <c r="CS665" s="23"/>
      <c r="CT665" s="23"/>
      <c r="CU665" s="23"/>
      <c r="CV665" s="23"/>
      <c r="CW665" s="23"/>
      <c r="CX665" s="23"/>
      <c r="CY665" s="23"/>
      <c r="CZ665" s="23"/>
      <c r="DA665" s="23"/>
      <c r="DB665" s="23"/>
      <c r="DC665" s="23"/>
      <c r="DD665" s="23"/>
      <c r="DE665" s="23"/>
      <c r="DF665" s="23"/>
      <c r="DG665" s="23"/>
      <c r="DH665" s="23"/>
      <c r="DI665" s="23"/>
      <c r="DJ665" s="23"/>
      <c r="DK665" s="23"/>
      <c r="DL665" s="23"/>
      <c r="DM665" s="23"/>
      <c r="DN665" s="23"/>
      <c r="DO665" s="23"/>
      <c r="DP665" s="23"/>
      <c r="DQ665" s="23"/>
      <c r="DR665" s="23"/>
      <c r="DS665" s="23"/>
      <c r="DT665" s="23"/>
      <c r="DU665" s="23"/>
      <c r="DV665" s="23"/>
      <c r="DW665" s="23"/>
      <c r="DX665" s="23"/>
      <c r="DY665" s="23"/>
      <c r="DZ665" s="23"/>
      <c r="EA665" s="23"/>
      <c r="EB665" s="23"/>
      <c r="EC665" s="23"/>
      <c r="ED665" s="23"/>
      <c r="EE665" s="23"/>
      <c r="EF665" s="23"/>
      <c r="EG665" s="23"/>
      <c r="EH665" s="23"/>
      <c r="EI665" s="23"/>
      <c r="EJ665" s="23"/>
      <c r="EK665" s="23"/>
      <c r="EL665" s="23"/>
      <c r="EM665" s="23"/>
      <c r="EN665" s="23"/>
      <c r="EO665" s="23"/>
      <c r="EP665" s="23"/>
      <c r="EQ665" s="23"/>
      <c r="ER665" s="23"/>
      <c r="ES665" s="23"/>
      <c r="ET665" s="23"/>
      <c r="EU665" s="23"/>
      <c r="EV665" s="23"/>
      <c r="EW665" s="23"/>
      <c r="EX665" s="23"/>
      <c r="EY665" s="23"/>
      <c r="EZ665" s="23"/>
      <c r="FA665" s="23"/>
      <c r="FB665" s="23"/>
      <c r="FC665" s="23"/>
      <c r="FD665" s="23"/>
      <c r="FE665" s="23"/>
      <c r="FF665" s="23"/>
      <c r="FG665" s="23"/>
      <c r="FH665" s="23"/>
      <c r="FI665" s="23"/>
      <c r="FJ665" s="23"/>
      <c r="FK665" s="23"/>
      <c r="FL665" s="23"/>
      <c r="FM665" s="23"/>
      <c r="FN665" s="23"/>
      <c r="FO665" s="23"/>
      <c r="FP665" s="23"/>
      <c r="FQ665" s="23"/>
      <c r="FR665" s="23"/>
      <c r="FS665" s="23"/>
      <c r="FT665" s="23"/>
      <c r="FU665" s="23"/>
      <c r="FV665" s="23"/>
      <c r="FW665" s="23"/>
      <c r="FX665" s="23"/>
      <c r="FY665" s="23"/>
      <c r="FZ665" s="23"/>
      <c r="GA665" s="23"/>
      <c r="GB665" s="23"/>
      <c r="GC665" s="23"/>
      <c r="GD665" s="23"/>
      <c r="GE665" s="23"/>
      <c r="GF665" s="23"/>
      <c r="GG665" s="23"/>
      <c r="GH665" s="23"/>
      <c r="GI665" s="23"/>
      <c r="GJ665" s="23"/>
      <c r="GK665" s="23"/>
      <c r="GL665" s="23"/>
      <c r="GM665" s="23"/>
      <c r="GN665" s="23"/>
      <c r="GO665" s="23"/>
      <c r="GP665" s="23"/>
      <c r="GQ665" s="23"/>
      <c r="GR665" s="23"/>
      <c r="GS665" s="23"/>
      <c r="GT665" s="23"/>
      <c r="GU665" s="23"/>
      <c r="GV665" s="23"/>
      <c r="GW665" s="23"/>
      <c r="GX665" s="23"/>
      <c r="GY665" s="23"/>
      <c r="GZ665" s="23"/>
      <c r="HA665" s="23"/>
      <c r="HB665" s="23"/>
      <c r="HC665" s="23"/>
      <c r="HD665" s="23"/>
      <c r="HE665" s="23"/>
      <c r="HF665" s="23"/>
      <c r="HG665" s="23"/>
      <c r="HH665" s="23"/>
      <c r="HI665" s="23"/>
      <c r="HJ665" s="23"/>
      <c r="HK665" s="23"/>
      <c r="HL665" s="23"/>
      <c r="HM665" s="23"/>
      <c r="HN665" s="23"/>
      <c r="HO665" s="23"/>
      <c r="HP665" s="23"/>
      <c r="HQ665" s="23"/>
      <c r="HR665" s="23"/>
      <c r="HS665" s="23"/>
      <c r="HT665" s="23"/>
      <c r="HU665" s="23"/>
      <c r="HV665" s="23"/>
      <c r="HW665" s="23"/>
      <c r="HX665" s="23"/>
      <c r="HY665" s="23"/>
      <c r="HZ665" s="23"/>
      <c r="IA665" s="23"/>
      <c r="IB665" s="23"/>
      <c r="IC665" s="23"/>
      <c r="ID665" s="23"/>
      <c r="IE665" s="23"/>
      <c r="IF665" s="23"/>
      <c r="IG665" s="23"/>
      <c r="IH665" s="23"/>
      <c r="II665" s="23"/>
      <c r="IJ665" s="23"/>
      <c r="IK665" s="23"/>
      <c r="IL665" s="23"/>
      <c r="IM665" s="23"/>
      <c r="IN665" s="23"/>
      <c r="IO665" s="23"/>
      <c r="IP665" s="23"/>
      <c r="IQ665" s="23"/>
      <c r="IR665" s="23"/>
      <c r="IS665" s="23"/>
      <c r="IT665" s="23"/>
      <c r="IU665" s="23"/>
      <c r="IV665" s="23"/>
      <c r="IW665" s="23"/>
      <c r="IX665" s="23"/>
      <c r="IY665" s="23"/>
      <c r="IZ665" s="23"/>
      <c r="JA665" s="23"/>
      <c r="JB665" s="23"/>
      <c r="JC665" s="23"/>
      <c r="JD665" s="23"/>
      <c r="JE665" s="23"/>
      <c r="JF665" s="23"/>
      <c r="JG665" s="23"/>
      <c r="JH665" s="23"/>
      <c r="JI665" s="23"/>
      <c r="JJ665" s="23"/>
      <c r="JK665" s="23"/>
      <c r="JL665" s="23"/>
      <c r="JM665" s="23"/>
      <c r="JN665" s="23"/>
      <c r="JO665" s="23"/>
      <c r="JP665" s="23"/>
      <c r="JQ665" s="23"/>
      <c r="JR665" s="23"/>
      <c r="JS665" s="23"/>
      <c r="JT665" s="23"/>
      <c r="JU665" s="23"/>
      <c r="JV665" s="23"/>
      <c r="JW665" s="23"/>
      <c r="JX665" s="23"/>
      <c r="JY665" s="23"/>
      <c r="JZ665" s="23"/>
      <c r="KA665" s="23"/>
      <c r="KB665" s="23"/>
      <c r="KC665" s="23"/>
      <c r="KD665" s="23"/>
      <c r="KE665" s="23"/>
      <c r="KF665" s="23"/>
      <c r="KG665" s="23"/>
      <c r="KH665" s="23"/>
      <c r="KI665" s="23"/>
      <c r="KJ665" s="23"/>
      <c r="KK665" s="23"/>
      <c r="KL665" s="23"/>
      <c r="KM665" s="23"/>
      <c r="KN665" s="23"/>
      <c r="KO665" s="23"/>
      <c r="KP665" s="23"/>
      <c r="KQ665" s="23"/>
      <c r="KR665" s="23"/>
      <c r="KS665" s="23"/>
      <c r="KT665" s="23"/>
      <c r="KU665" s="23"/>
      <c r="KV665" s="23"/>
      <c r="KW665" s="23"/>
      <c r="KX665" s="23"/>
      <c r="KY665" s="23"/>
      <c r="KZ665" s="23"/>
      <c r="LA665" s="23"/>
      <c r="LB665" s="23"/>
      <c r="LC665" s="23"/>
      <c r="LD665" s="23"/>
      <c r="LE665" s="23"/>
      <c r="LF665" s="23"/>
      <c r="LG665" s="23"/>
      <c r="LH665" s="23"/>
      <c r="LI665" s="23"/>
      <c r="LJ665" s="23"/>
      <c r="LK665" s="23"/>
      <c r="LL665" s="23"/>
      <c r="LM665" s="23"/>
      <c r="LN665" s="23"/>
      <c r="LO665" s="23"/>
      <c r="LP665" s="23"/>
      <c r="LQ665" s="23"/>
      <c r="LR665" s="23"/>
      <c r="LS665" s="23"/>
      <c r="LT665" s="23"/>
      <c r="LU665" s="23"/>
      <c r="LV665" s="23"/>
      <c r="LW665" s="23"/>
      <c r="LX665" s="23"/>
      <c r="LY665" s="23"/>
      <c r="LZ665" s="23"/>
      <c r="MA665" s="23"/>
      <c r="MB665" s="23"/>
      <c r="MC665" s="23"/>
      <c r="MD665" s="23"/>
      <c r="ME665" s="23"/>
      <c r="MF665" s="23"/>
      <c r="MG665" s="23"/>
      <c r="MH665" s="23"/>
      <c r="MI665" s="23"/>
      <c r="MJ665" s="23"/>
      <c r="MK665" s="23"/>
      <c r="ML665" s="23"/>
      <c r="MM665" s="23"/>
      <c r="MN665" s="23"/>
      <c r="MO665" s="23"/>
      <c r="MP665" s="23"/>
      <c r="MQ665" s="23"/>
      <c r="MR665" s="23"/>
      <c r="MS665" s="23"/>
      <c r="MT665" s="23"/>
      <c r="MU665" s="23"/>
      <c r="MV665" s="23"/>
      <c r="MW665" s="23"/>
      <c r="MX665" s="23"/>
      <c r="MY665" s="23"/>
      <c r="MZ665" s="23"/>
      <c r="NA665" s="23"/>
      <c r="NB665" s="23"/>
      <c r="NC665" s="23"/>
      <c r="ND665" s="23"/>
      <c r="NE665" s="23"/>
      <c r="NF665" s="23"/>
      <c r="NG665" s="23"/>
      <c r="NH665" s="23"/>
      <c r="NI665" s="23"/>
      <c r="NJ665" s="23"/>
      <c r="NK665" s="23"/>
      <c r="NL665" s="23"/>
      <c r="NM665" s="23"/>
      <c r="NN665" s="23"/>
      <c r="NO665" s="23"/>
      <c r="NP665" s="23"/>
      <c r="NQ665" s="23"/>
      <c r="NR665" s="23"/>
      <c r="NS665" s="23"/>
      <c r="NT665" s="23"/>
      <c r="NU665" s="23"/>
      <c r="NV665" s="23"/>
      <c r="NW665" s="23"/>
      <c r="NX665" s="23"/>
      <c r="NY665" s="23"/>
      <c r="NZ665" s="23"/>
      <c r="OA665" s="23"/>
      <c r="OB665" s="23"/>
      <c r="OC665" s="23"/>
      <c r="OD665" s="23"/>
      <c r="OE665" s="23"/>
      <c r="OF665" s="23"/>
      <c r="OG665" s="23"/>
      <c r="OH665" s="23"/>
      <c r="OI665" s="23"/>
      <c r="OJ665" s="23"/>
      <c r="OK665" s="23"/>
      <c r="OL665" s="23"/>
      <c r="OM665" s="23"/>
      <c r="ON665" s="23"/>
      <c r="OO665" s="23"/>
      <c r="OP665" s="23"/>
      <c r="OQ665" s="23"/>
      <c r="OR665" s="23"/>
      <c r="OS665" s="23"/>
      <c r="OT665" s="23"/>
      <c r="OU665" s="23"/>
      <c r="OV665" s="23"/>
      <c r="OW665" s="23"/>
      <c r="OX665" s="23"/>
      <c r="OY665" s="23"/>
      <c r="OZ665" s="23"/>
      <c r="PA665" s="23"/>
      <c r="PB665" s="23"/>
      <c r="PC665" s="23"/>
      <c r="PD665" s="23"/>
      <c r="PE665" s="23"/>
      <c r="PF665" s="23"/>
      <c r="PG665" s="23"/>
      <c r="PH665" s="23"/>
      <c r="PI665" s="23"/>
      <c r="PJ665" s="23"/>
      <c r="PK665" s="23"/>
      <c r="PL665" s="23"/>
      <c r="PM665" s="23"/>
      <c r="PN665" s="23"/>
      <c r="PO665" s="23"/>
      <c r="PP665" s="23"/>
      <c r="PQ665" s="23"/>
      <c r="PR665" s="23"/>
      <c r="PS665" s="23"/>
      <c r="PT665" s="23"/>
      <c r="PU665" s="23"/>
      <c r="PV665" s="23"/>
      <c r="PW665" s="23"/>
      <c r="PX665" s="23"/>
      <c r="PY665" s="23"/>
      <c r="PZ665" s="23"/>
      <c r="QA665" s="23"/>
      <c r="QB665" s="23"/>
      <c r="QC665" s="23"/>
      <c r="QD665" s="23"/>
      <c r="QE665" s="23"/>
      <c r="QF665" s="23"/>
      <c r="QG665" s="23"/>
      <c r="QH665" s="23"/>
      <c r="QI665" s="23"/>
      <c r="QJ665" s="23"/>
      <c r="QK665" s="23"/>
      <c r="QL665" s="23"/>
      <c r="QM665" s="23"/>
      <c r="QN665" s="23"/>
      <c r="QO665" s="23"/>
      <c r="QP665" s="23"/>
      <c r="QQ665" s="23"/>
      <c r="QR665" s="23"/>
      <c r="QS665" s="23"/>
      <c r="QT665" s="23"/>
      <c r="QU665" s="23"/>
      <c r="QV665" s="23"/>
      <c r="QW665" s="23"/>
      <c r="QX665" s="23"/>
      <c r="QY665" s="23"/>
      <c r="QZ665" s="23"/>
      <c r="RA665" s="23"/>
      <c r="RB665" s="23"/>
      <c r="RC665" s="23"/>
      <c r="RD665" s="23"/>
      <c r="RE665" s="23"/>
      <c r="RF665" s="23"/>
      <c r="RG665" s="23"/>
      <c r="RH665" s="23"/>
      <c r="RI665" s="23"/>
      <c r="RJ665" s="23"/>
      <c r="RK665" s="23"/>
      <c r="RL665" s="23"/>
      <c r="RM665" s="23"/>
      <c r="RN665" s="23"/>
      <c r="RO665" s="23"/>
      <c r="RP665" s="23"/>
      <c r="RQ665" s="23"/>
      <c r="RR665" s="23"/>
      <c r="RS665" s="23"/>
      <c r="RT665" s="23"/>
      <c r="RU665" s="23"/>
      <c r="RV665" s="23"/>
      <c r="RW665" s="23"/>
      <c r="RX665" s="23"/>
      <c r="RY665" s="23"/>
      <c r="RZ665" s="23"/>
      <c r="SA665" s="23"/>
      <c r="SB665" s="23"/>
      <c r="SC665" s="23"/>
      <c r="SD665" s="23"/>
      <c r="SE665" s="23"/>
      <c r="SF665" s="23"/>
      <c r="SG665" s="23"/>
      <c r="SH665" s="23"/>
      <c r="SI665" s="23"/>
      <c r="SJ665" s="23"/>
      <c r="SK665" s="23"/>
      <c r="SL665" s="23"/>
      <c r="SM665" s="23"/>
      <c r="SN665" s="23"/>
      <c r="SO665" s="23"/>
      <c r="SP665" s="23"/>
      <c r="SQ665" s="23"/>
      <c r="SR665" s="23"/>
      <c r="SS665" s="23"/>
      <c r="ST665" s="23"/>
      <c r="SU665" s="23"/>
      <c r="SV665" s="23"/>
      <c r="SW665" s="23"/>
      <c r="SX665" s="23"/>
      <c r="SY665" s="23"/>
      <c r="SZ665" s="23"/>
      <c r="TA665" s="23"/>
      <c r="TB665" s="23"/>
      <c r="TC665" s="23"/>
      <c r="TD665" s="23"/>
      <c r="TE665" s="23"/>
      <c r="TF665" s="23"/>
      <c r="TG665" s="23"/>
      <c r="TH665" s="23"/>
      <c r="TI665" s="23"/>
      <c r="TJ665" s="23"/>
      <c r="TK665" s="23"/>
      <c r="TL665" s="23"/>
      <c r="TM665" s="23"/>
      <c r="TN665" s="23"/>
      <c r="TO665" s="23"/>
      <c r="TP665" s="23"/>
      <c r="TQ665" s="23"/>
      <c r="TR665" s="23"/>
      <c r="TS665" s="23"/>
      <c r="TT665" s="23"/>
      <c r="TU665" s="23"/>
      <c r="TV665" s="23"/>
      <c r="TW665" s="23"/>
      <c r="TX665" s="23"/>
      <c r="TY665" s="23"/>
      <c r="TZ665" s="23"/>
      <c r="UA665" s="23"/>
      <c r="UB665" s="23"/>
      <c r="UC665" s="23"/>
      <c r="UD665" s="23"/>
      <c r="UE665" s="23"/>
      <c r="UF665" s="23"/>
      <c r="UG665" s="23"/>
      <c r="UH665" s="23"/>
      <c r="UI665" s="23"/>
      <c r="UJ665" s="23"/>
      <c r="UK665" s="23"/>
      <c r="UL665" s="23"/>
      <c r="UM665" s="23"/>
      <c r="UN665" s="23"/>
      <c r="UO665" s="23"/>
      <c r="UP665" s="23"/>
      <c r="UQ665" s="23"/>
      <c r="UR665" s="23"/>
      <c r="US665" s="23"/>
      <c r="UT665" s="23"/>
      <c r="UU665" s="23"/>
      <c r="UV665" s="23"/>
      <c r="UW665" s="23"/>
      <c r="UX665" s="23"/>
      <c r="UY665" s="23"/>
      <c r="UZ665" s="23"/>
      <c r="VA665" s="23"/>
      <c r="VB665" s="23"/>
      <c r="VC665" s="23"/>
      <c r="VD665" s="23"/>
      <c r="VE665" s="23"/>
      <c r="VF665" s="23"/>
      <c r="VG665" s="23"/>
      <c r="VH665" s="23"/>
      <c r="VI665" s="23"/>
      <c r="VJ665" s="23"/>
      <c r="VK665" s="23"/>
      <c r="VL665" s="23"/>
      <c r="VM665" s="23"/>
      <c r="VN665" s="23"/>
      <c r="VO665" s="23"/>
      <c r="VP665" s="23"/>
      <c r="VQ665" s="23"/>
      <c r="VR665" s="23"/>
      <c r="VS665" s="23"/>
      <c r="VT665" s="23"/>
      <c r="VU665" s="23"/>
      <c r="VV665" s="23"/>
      <c r="VW665" s="23"/>
      <c r="VX665" s="23"/>
      <c r="VY665" s="23"/>
      <c r="VZ665" s="23"/>
      <c r="WA665" s="23"/>
      <c r="WB665" s="23"/>
      <c r="WC665" s="23"/>
      <c r="WD665" s="23"/>
      <c r="WE665" s="23"/>
      <c r="WF665" s="23"/>
      <c r="WG665" s="23"/>
      <c r="WH665" s="23"/>
      <c r="WI665" s="23"/>
      <c r="WJ665" s="23"/>
      <c r="WK665" s="23"/>
      <c r="WL665" s="23"/>
      <c r="WM665" s="23"/>
      <c r="WN665" s="23"/>
      <c r="WO665" s="23"/>
      <c r="WP665" s="23"/>
      <c r="WQ665" s="23"/>
      <c r="WR665" s="23"/>
      <c r="WS665" s="23"/>
      <c r="WT665" s="23"/>
      <c r="WU665" s="23"/>
      <c r="WV665" s="23"/>
      <c r="WW665" s="23"/>
      <c r="WX665" s="23"/>
      <c r="WY665" s="23"/>
      <c r="WZ665" s="23"/>
      <c r="XA665" s="23"/>
      <c r="XB665" s="23"/>
      <c r="XC665" s="23"/>
      <c r="XD665" s="23"/>
      <c r="XE665" s="23"/>
      <c r="XF665" s="23"/>
      <c r="XG665" s="23"/>
      <c r="XH665" s="23"/>
      <c r="XI665" s="23"/>
      <c r="XJ665" s="23"/>
      <c r="XK665" s="23"/>
      <c r="XL665" s="23"/>
      <c r="XM665" s="23"/>
      <c r="XN665" s="23"/>
      <c r="XO665" s="23"/>
      <c r="XP665" s="23"/>
      <c r="XQ665" s="23"/>
      <c r="XR665" s="23"/>
      <c r="XS665" s="23"/>
      <c r="XT665" s="23"/>
      <c r="XU665" s="23"/>
      <c r="XV665" s="23"/>
      <c r="XW665" s="23"/>
      <c r="XX665" s="23"/>
      <c r="XY665" s="23"/>
      <c r="XZ665" s="23"/>
      <c r="YA665" s="23"/>
      <c r="YB665" s="23"/>
      <c r="YC665" s="23"/>
      <c r="YD665" s="23"/>
      <c r="YE665" s="23"/>
      <c r="YF665" s="23"/>
      <c r="YG665" s="23"/>
      <c r="YH665" s="23"/>
      <c r="YI665" s="23"/>
      <c r="YJ665" s="23"/>
      <c r="YK665" s="23"/>
      <c r="YL665" s="23"/>
      <c r="YM665" s="23"/>
      <c r="YN665" s="23"/>
      <c r="YO665" s="23"/>
      <c r="YP665" s="23"/>
      <c r="YQ665" s="23"/>
      <c r="YR665" s="23"/>
      <c r="YS665" s="23"/>
      <c r="YT665" s="23"/>
      <c r="YU665" s="23"/>
      <c r="YV665" s="23"/>
      <c r="YW665" s="23"/>
      <c r="YX665" s="23"/>
      <c r="YY665" s="23"/>
      <c r="YZ665" s="23"/>
      <c r="ZA665" s="23"/>
      <c r="ZB665" s="23"/>
      <c r="ZC665" s="23"/>
      <c r="ZD665" s="23"/>
      <c r="ZE665" s="23"/>
      <c r="ZF665" s="23"/>
      <c r="ZG665" s="23"/>
      <c r="ZH665" s="23"/>
      <c r="ZI665" s="23"/>
      <c r="ZJ665" s="23"/>
      <c r="ZK665" s="23"/>
      <c r="ZL665" s="23"/>
      <c r="ZM665" s="23"/>
      <c r="ZN665" s="23"/>
      <c r="ZO665" s="23"/>
      <c r="ZP665" s="23"/>
      <c r="ZQ665" s="23"/>
      <c r="ZR665" s="23"/>
      <c r="ZS665" s="23"/>
      <c r="ZT665" s="23"/>
      <c r="ZU665" s="23"/>
      <c r="ZV665" s="23"/>
      <c r="ZW665" s="23"/>
      <c r="ZX665" s="23"/>
      <c r="ZY665" s="23"/>
      <c r="ZZ665" s="23"/>
      <c r="AAA665" s="23"/>
      <c r="AAB665" s="23"/>
      <c r="AAC665" s="23"/>
      <c r="AAD665" s="23"/>
      <c r="AAE665" s="23"/>
      <c r="AAF665" s="23"/>
      <c r="AAG665" s="23"/>
      <c r="AAH665" s="23"/>
      <c r="AAI665" s="23"/>
      <c r="AAJ665" s="23"/>
      <c r="AAK665" s="23"/>
      <c r="AAL665" s="23"/>
      <c r="AAM665" s="23"/>
      <c r="AAN665" s="23"/>
      <c r="AAO665" s="23"/>
      <c r="AAP665" s="23"/>
      <c r="AAQ665" s="23"/>
      <c r="AAR665" s="23"/>
      <c r="AAS665" s="23"/>
      <c r="AAT665" s="23"/>
      <c r="AAU665" s="23"/>
      <c r="AAV665" s="23"/>
      <c r="AAW665" s="23"/>
      <c r="AAX665" s="23"/>
      <c r="AAY665" s="23"/>
      <c r="AAZ665" s="23"/>
      <c r="ABA665" s="23"/>
      <c r="ABB665" s="23"/>
      <c r="ABC665" s="23"/>
      <c r="ABD665" s="23"/>
      <c r="ABE665" s="23"/>
      <c r="ABF665" s="23"/>
      <c r="ABG665" s="23"/>
      <c r="ABH665" s="23"/>
      <c r="ABI665" s="23"/>
      <c r="ABJ665" s="23"/>
      <c r="ABK665" s="23"/>
      <c r="ABL665" s="23"/>
      <c r="ABM665" s="23"/>
      <c r="ABN665" s="23"/>
      <c r="ABO665" s="23"/>
      <c r="ABP665" s="23"/>
      <c r="ABQ665" s="23"/>
      <c r="ABR665" s="23"/>
      <c r="ABS665" s="23"/>
      <c r="ABT665" s="23"/>
      <c r="ABU665" s="23"/>
      <c r="ABV665" s="23"/>
      <c r="ABW665" s="23"/>
      <c r="ABX665" s="23"/>
      <c r="ABY665" s="23"/>
      <c r="ABZ665" s="23"/>
      <c r="ACA665" s="23"/>
      <c r="ACB665" s="23"/>
      <c r="ACC665" s="23"/>
      <c r="ACD665" s="23"/>
      <c r="ACE665" s="23"/>
      <c r="ACF665" s="23"/>
      <c r="ACG665" s="23"/>
      <c r="ACH665" s="23"/>
      <c r="ACI665" s="23"/>
      <c r="ACJ665" s="23"/>
      <c r="ACK665" s="23"/>
      <c r="ACL665" s="23"/>
      <c r="ACM665" s="23"/>
      <c r="ACN665" s="23"/>
      <c r="ACO665" s="23"/>
      <c r="ACP665" s="23"/>
      <c r="ACQ665" s="23"/>
      <c r="ACR665" s="23"/>
      <c r="ACS665" s="23"/>
      <c r="ACT665" s="23"/>
      <c r="ACU665" s="23"/>
      <c r="ACV665" s="23"/>
      <c r="ACW665" s="23"/>
      <c r="ACX665" s="23"/>
      <c r="ACY665" s="23"/>
      <c r="ACZ665" s="23"/>
      <c r="ADA665" s="23"/>
      <c r="ADB665" s="23"/>
      <c r="ADC665" s="23"/>
      <c r="ADD665" s="23"/>
      <c r="ADE665" s="23"/>
      <c r="ADF665" s="23"/>
      <c r="ADG665" s="23"/>
      <c r="ADH665" s="23"/>
      <c r="ADI665" s="23"/>
      <c r="ADJ665" s="23"/>
      <c r="ADK665" s="23"/>
      <c r="ADL665" s="23"/>
      <c r="ADM665" s="23"/>
      <c r="ADN665" s="23"/>
      <c r="ADO665" s="23"/>
      <c r="ADP665" s="23"/>
      <c r="ADQ665" s="23"/>
      <c r="ADR665" s="23"/>
      <c r="ADS665" s="23"/>
      <c r="ADT665" s="23"/>
      <c r="ADU665" s="23"/>
      <c r="ADV665" s="23"/>
      <c r="ADW665" s="23"/>
      <c r="ADX665" s="23"/>
      <c r="ADY665" s="23"/>
      <c r="ADZ665" s="23"/>
      <c r="AEA665" s="23"/>
      <c r="AEB665" s="23"/>
      <c r="AEC665" s="23"/>
      <c r="AED665" s="23"/>
      <c r="AEE665" s="23"/>
      <c r="AEF665" s="23"/>
      <c r="AEG665" s="23"/>
      <c r="AEH665" s="23"/>
      <c r="AEI665" s="23"/>
      <c r="AEJ665" s="23"/>
      <c r="AEK665" s="23"/>
      <c r="AEL665" s="23"/>
      <c r="AEM665" s="23"/>
      <c r="AEN665" s="23"/>
      <c r="AEO665" s="23"/>
      <c r="AEP665" s="23"/>
      <c r="AEQ665" s="23"/>
      <c r="AER665" s="23"/>
      <c r="AES665" s="23"/>
      <c r="AET665" s="23"/>
      <c r="AEU665" s="23"/>
      <c r="AEV665" s="23"/>
      <c r="AEW665" s="23"/>
      <c r="AEX665" s="23"/>
      <c r="AEY665" s="23"/>
      <c r="AEZ665" s="23"/>
      <c r="AFA665" s="23"/>
      <c r="AFB665" s="23"/>
      <c r="AFC665" s="23"/>
      <c r="AFD665" s="23"/>
      <c r="AFE665" s="23"/>
      <c r="AFF665" s="23"/>
      <c r="AFG665" s="23"/>
      <c r="AFH665" s="23"/>
      <c r="AFI665" s="23"/>
      <c r="AFJ665" s="23"/>
      <c r="AFK665" s="23"/>
      <c r="AFL665" s="23"/>
      <c r="AFM665" s="23"/>
      <c r="AFN665" s="23"/>
      <c r="AFO665" s="23"/>
      <c r="AFP665" s="23"/>
      <c r="AFQ665" s="23"/>
      <c r="AFR665" s="23"/>
      <c r="AFS665" s="23"/>
      <c r="AFT665" s="23"/>
      <c r="AFU665" s="23"/>
      <c r="AFV665" s="23"/>
      <c r="AFW665" s="23"/>
      <c r="AFX665" s="23"/>
      <c r="AFY665" s="23"/>
      <c r="AFZ665" s="23"/>
      <c r="AGA665" s="23"/>
      <c r="AGB665" s="23"/>
      <c r="AGC665" s="23"/>
      <c r="AGD665" s="23"/>
      <c r="AGE665" s="23"/>
      <c r="AGF665" s="23"/>
      <c r="AGG665" s="23"/>
      <c r="AGH665" s="23"/>
      <c r="AGI665" s="23"/>
      <c r="AGJ665" s="23"/>
      <c r="AGK665" s="23"/>
      <c r="AGL665" s="23"/>
      <c r="AGM665" s="23"/>
      <c r="AGN665" s="23"/>
      <c r="AGO665" s="23"/>
      <c r="AGP665" s="23"/>
      <c r="AGQ665" s="23"/>
      <c r="AGR665" s="23"/>
      <c r="AGS665" s="23"/>
      <c r="AGT665" s="23"/>
      <c r="AGU665" s="23"/>
      <c r="AGV665" s="23"/>
      <c r="AGW665" s="23"/>
      <c r="AGX665" s="23"/>
      <c r="AGY665" s="23"/>
      <c r="AGZ665" s="23"/>
      <c r="AHA665" s="23"/>
      <c r="AHB665" s="23"/>
      <c r="AHC665" s="23"/>
      <c r="AHD665" s="23"/>
      <c r="AHE665" s="23"/>
      <c r="AHF665" s="23"/>
      <c r="AHG665" s="23"/>
      <c r="AHH665" s="23"/>
      <c r="AHI665" s="23"/>
      <c r="AHJ665" s="23"/>
      <c r="AHK665" s="23"/>
      <c r="AHL665" s="23"/>
      <c r="AHM665" s="23"/>
      <c r="AHN665" s="23"/>
      <c r="AHO665" s="23"/>
      <c r="AHP665" s="23"/>
      <c r="AHQ665" s="23"/>
      <c r="AHR665" s="23"/>
      <c r="AHS665" s="23"/>
      <c r="AHT665" s="23"/>
      <c r="AHU665" s="23"/>
      <c r="AHV665" s="23"/>
      <c r="AHW665" s="23"/>
      <c r="AHX665" s="23"/>
      <c r="AHY665" s="23"/>
      <c r="AHZ665" s="23"/>
      <c r="AIA665" s="23"/>
      <c r="AIB665" s="23"/>
      <c r="AIC665" s="23"/>
      <c r="AID665" s="23"/>
      <c r="AIE665" s="23"/>
      <c r="AIF665" s="23"/>
      <c r="AIG665" s="23"/>
      <c r="AIH665" s="23"/>
      <c r="AII665" s="23"/>
      <c r="AIJ665" s="23"/>
      <c r="AIK665" s="23"/>
      <c r="AIL665" s="23"/>
      <c r="AIM665" s="23"/>
      <c r="AIN665" s="23"/>
      <c r="AIO665" s="23"/>
      <c r="AIP665" s="23"/>
      <c r="AIQ665" s="23"/>
      <c r="AIR665" s="23"/>
      <c r="AIS665" s="23"/>
      <c r="AIT665" s="23"/>
      <c r="AIU665" s="23"/>
      <c r="AIV665" s="23"/>
      <c r="AIW665" s="23"/>
      <c r="AIX665" s="23"/>
      <c r="AIY665" s="23"/>
      <c r="AIZ665" s="23"/>
      <c r="AJA665" s="23"/>
      <c r="AJB665" s="23"/>
      <c r="AJC665" s="23"/>
      <c r="AJD665" s="23"/>
      <c r="AJE665" s="23"/>
      <c r="AJF665" s="23"/>
      <c r="AJG665" s="23"/>
      <c r="AJH665" s="23"/>
      <c r="AJI665" s="23"/>
      <c r="AJJ665" s="23"/>
      <c r="AJK665" s="23"/>
      <c r="AJL665" s="23"/>
      <c r="AJM665" s="23"/>
      <c r="AJN665" s="23"/>
      <c r="AJO665" s="23"/>
      <c r="AJP665" s="23"/>
      <c r="AJQ665" s="23"/>
      <c r="AJR665" s="23"/>
      <c r="AJS665" s="23"/>
      <c r="AJT665" s="23"/>
      <c r="AJU665" s="23"/>
      <c r="AJV665" s="23"/>
      <c r="AJW665" s="23"/>
      <c r="AJX665" s="23"/>
      <c r="AJY665" s="23"/>
      <c r="AJZ665" s="23"/>
      <c r="AKA665" s="23"/>
      <c r="AKB665" s="23"/>
      <c r="AKC665" s="23"/>
      <c r="AKD665" s="23"/>
      <c r="AKE665" s="23"/>
      <c r="AKF665" s="23"/>
      <c r="AKG665" s="23"/>
      <c r="AKH665" s="23"/>
      <c r="AKI665" s="23"/>
      <c r="AKJ665" s="23"/>
      <c r="AKK665" s="23"/>
      <c r="AKL665" s="23"/>
      <c r="AKM665" s="23"/>
      <c r="AKN665" s="23"/>
      <c r="AKO665" s="23"/>
      <c r="AKP665" s="23"/>
      <c r="AKQ665" s="23"/>
      <c r="AKR665" s="23"/>
      <c r="AKS665" s="23"/>
      <c r="AKT665" s="23"/>
      <c r="AKU665" s="23"/>
      <c r="AKV665" s="23"/>
      <c r="AKW665" s="23"/>
      <c r="AKX665" s="23"/>
      <c r="AKY665" s="23"/>
      <c r="AKZ665" s="23"/>
      <c r="ALA665" s="23"/>
      <c r="ALB665" s="23"/>
      <c r="ALC665" s="23"/>
      <c r="ALD665" s="23"/>
      <c r="ALE665" s="23"/>
      <c r="ALF665" s="23"/>
      <c r="ALG665" s="23"/>
      <c r="ALH665" s="23"/>
      <c r="ALI665" s="23"/>
      <c r="ALJ665" s="23"/>
      <c r="ALK665" s="23"/>
      <c r="ALL665" s="23"/>
      <c r="ALM665" s="23"/>
      <c r="ALN665" s="23"/>
      <c r="ALO665" s="23"/>
      <c r="ALP665" s="23"/>
      <c r="ALQ665" s="23"/>
      <c r="ALR665" s="23"/>
      <c r="ALS665" s="23"/>
      <c r="ALT665" s="23"/>
      <c r="ALU665" s="23"/>
      <c r="ALV665" s="23"/>
      <c r="ALW665" s="23"/>
      <c r="ALX665" s="23"/>
      <c r="ALY665" s="23"/>
      <c r="ALZ665" s="23"/>
      <c r="AMA665" s="23"/>
      <c r="AMB665" s="23"/>
      <c r="AMC665" s="23"/>
      <c r="AMD665" s="23"/>
      <c r="AME665" s="23"/>
      <c r="AMF665" s="23"/>
      <c r="AMG665" s="23"/>
      <c r="AMH665" s="23"/>
      <c r="AMI665" s="23"/>
      <c r="AMJ665" s="23"/>
      <c r="AMK665" s="23"/>
      <c r="AML665" s="23"/>
      <c r="AMM665" s="23"/>
      <c r="AMN665" s="23"/>
      <c r="AMO665" s="23"/>
      <c r="AMP665" s="23"/>
      <c r="AMQ665" s="23"/>
      <c r="AMR665" s="23"/>
      <c r="AMS665" s="23"/>
      <c r="AMT665" s="23"/>
      <c r="AMU665" s="23"/>
      <c r="AMV665" s="23"/>
      <c r="AMW665" s="23"/>
      <c r="AMX665" s="23"/>
      <c r="AMY665" s="23"/>
      <c r="AMZ665" s="23"/>
      <c r="ANA665" s="23"/>
      <c r="ANB665" s="23"/>
      <c r="ANC665" s="23"/>
      <c r="AND665" s="23"/>
      <c r="ANE665" s="23"/>
      <c r="ANF665" s="23"/>
      <c r="ANG665" s="23"/>
      <c r="ANH665" s="23"/>
      <c r="ANI665" s="23"/>
      <c r="ANJ665" s="23"/>
      <c r="ANK665" s="23"/>
      <c r="ANL665" s="23"/>
      <c r="ANM665" s="23"/>
      <c r="ANN665" s="23"/>
      <c r="ANO665" s="23"/>
      <c r="ANP665" s="23"/>
      <c r="ANQ665" s="23"/>
      <c r="ANR665" s="23"/>
      <c r="ANS665" s="23"/>
      <c r="ANT665" s="23"/>
      <c r="ANU665" s="23"/>
      <c r="ANV665" s="23"/>
      <c r="ANW665" s="23"/>
      <c r="ANX665" s="23"/>
      <c r="ANY665" s="23"/>
      <c r="ANZ665" s="23"/>
      <c r="AOA665" s="23"/>
      <c r="AOB665" s="23"/>
      <c r="AOC665" s="23"/>
      <c r="AOD665" s="23"/>
      <c r="AOE665" s="23"/>
      <c r="AOF665" s="23"/>
      <c r="AOG665" s="23"/>
      <c r="AOH665" s="23"/>
      <c r="AOI665" s="23"/>
      <c r="AOJ665" s="23"/>
      <c r="AOK665" s="23"/>
      <c r="AOL665" s="23"/>
      <c r="AOM665" s="23"/>
      <c r="AON665" s="23"/>
      <c r="AOO665" s="23"/>
      <c r="AOP665" s="23"/>
      <c r="AOQ665" s="23"/>
      <c r="AOR665" s="23"/>
      <c r="AOS665" s="23"/>
      <c r="AOT665" s="23"/>
      <c r="AOU665" s="23"/>
      <c r="AOV665" s="23"/>
      <c r="AOW665" s="23"/>
      <c r="AOX665" s="23"/>
      <c r="AOY665" s="23"/>
      <c r="AOZ665" s="23"/>
      <c r="APA665" s="23"/>
      <c r="APB665" s="23"/>
      <c r="APC665" s="23"/>
      <c r="APD665" s="23"/>
      <c r="APE665" s="23"/>
      <c r="APF665" s="23"/>
      <c r="APG665" s="23"/>
      <c r="APH665" s="23"/>
      <c r="API665" s="23"/>
      <c r="APJ665" s="23"/>
      <c r="APK665" s="23"/>
      <c r="APL665" s="23"/>
      <c r="APM665" s="23"/>
      <c r="APN665" s="23"/>
      <c r="APO665" s="23"/>
      <c r="APP665" s="23"/>
      <c r="APQ665" s="23"/>
      <c r="APR665" s="23"/>
      <c r="APS665" s="23"/>
      <c r="APT665" s="23"/>
      <c r="APU665" s="23"/>
      <c r="APV665" s="23"/>
      <c r="APW665" s="23"/>
      <c r="APX665" s="23"/>
      <c r="APY665" s="23"/>
      <c r="APZ665" s="23"/>
      <c r="AQA665" s="23"/>
      <c r="AQB665" s="23"/>
      <c r="AQC665" s="23"/>
      <c r="AQD665" s="23"/>
      <c r="AQE665" s="23"/>
      <c r="AQF665" s="23"/>
      <c r="AQG665" s="23"/>
      <c r="AQH665" s="23"/>
      <c r="AQI665" s="23"/>
      <c r="AQJ665" s="23"/>
      <c r="AQK665" s="23"/>
      <c r="AQL665" s="23"/>
      <c r="AQM665" s="23"/>
      <c r="AQN665" s="23"/>
      <c r="AQO665" s="23"/>
      <c r="AQP665" s="23"/>
      <c r="AQQ665" s="23"/>
      <c r="AQR665" s="23"/>
      <c r="AQS665" s="23"/>
      <c r="AQT665" s="23"/>
      <c r="AQU665" s="23"/>
      <c r="AQV665" s="23"/>
      <c r="AQW665" s="23"/>
      <c r="AQX665" s="23"/>
      <c r="AQY665" s="23"/>
      <c r="AQZ665" s="23"/>
      <c r="ARA665" s="23"/>
      <c r="ARB665" s="23"/>
      <c r="ARC665" s="23"/>
      <c r="ARD665" s="23"/>
      <c r="ARE665" s="23"/>
      <c r="ARF665" s="23"/>
      <c r="ARG665" s="23"/>
      <c r="ARH665" s="23"/>
      <c r="ARI665" s="23"/>
      <c r="ARJ665" s="23"/>
      <c r="ARK665" s="23"/>
      <c r="ARL665" s="23"/>
      <c r="ARM665" s="23"/>
      <c r="ARN665" s="23"/>
      <c r="ARO665" s="23"/>
      <c r="ARP665" s="23"/>
      <c r="ARQ665" s="23"/>
      <c r="ARR665" s="23"/>
      <c r="ARS665" s="23"/>
      <c r="ART665" s="23"/>
      <c r="ARU665" s="23"/>
      <c r="ARV665" s="23"/>
      <c r="ARW665" s="23"/>
      <c r="ARX665" s="23"/>
      <c r="ARY665" s="23"/>
      <c r="ARZ665" s="23"/>
      <c r="ASA665" s="23"/>
      <c r="ASB665" s="23"/>
      <c r="ASC665" s="23"/>
      <c r="ASD665" s="23"/>
      <c r="ASE665" s="23"/>
      <c r="ASF665" s="23"/>
      <c r="ASG665" s="23"/>
      <c r="ASH665" s="23"/>
      <c r="ASI665" s="23"/>
      <c r="ASJ665" s="23"/>
      <c r="ASK665" s="23"/>
      <c r="ASL665" s="23"/>
      <c r="ASM665" s="23"/>
      <c r="ASN665" s="23"/>
      <c r="ASO665" s="23"/>
      <c r="ASP665" s="23"/>
      <c r="ASQ665" s="23"/>
      <c r="ASR665" s="23"/>
      <c r="ASS665" s="23"/>
      <c r="AST665" s="23"/>
      <c r="ASU665" s="23"/>
      <c r="ASV665" s="23"/>
      <c r="ASW665" s="23"/>
      <c r="ASX665" s="23"/>
      <c r="ASY665" s="23"/>
      <c r="ASZ665" s="23"/>
      <c r="ATA665" s="23"/>
      <c r="ATB665" s="23"/>
      <c r="ATC665" s="23"/>
      <c r="ATD665" s="23"/>
      <c r="ATE665" s="23"/>
      <c r="ATF665" s="23"/>
      <c r="ATG665" s="23"/>
      <c r="ATH665" s="23"/>
      <c r="ATI665" s="23"/>
      <c r="ATJ665" s="23"/>
      <c r="ATK665" s="23"/>
      <c r="ATL665" s="23"/>
      <c r="ATM665" s="23"/>
      <c r="ATN665" s="23"/>
      <c r="ATO665" s="23"/>
      <c r="ATP665" s="23"/>
      <c r="ATQ665" s="23"/>
      <c r="ATR665" s="23"/>
      <c r="ATS665" s="23"/>
      <c r="ATT665" s="23"/>
      <c r="ATU665" s="23"/>
      <c r="ATV665" s="23"/>
      <c r="ATW665" s="23"/>
      <c r="ATX665" s="23"/>
      <c r="ATY665" s="23"/>
      <c r="ATZ665" s="23"/>
      <c r="AUA665" s="23"/>
      <c r="AUB665" s="23"/>
      <c r="AUC665" s="23"/>
      <c r="AUD665" s="23"/>
      <c r="AUE665" s="23"/>
      <c r="AUF665" s="23"/>
      <c r="AUG665" s="23"/>
      <c r="AUH665" s="23"/>
      <c r="AUI665" s="23"/>
      <c r="AUJ665" s="23"/>
      <c r="AUK665" s="23"/>
      <c r="AUL665" s="23"/>
      <c r="AUM665" s="23"/>
      <c r="AUN665" s="23"/>
      <c r="AUO665" s="23"/>
      <c r="AUP665" s="23"/>
      <c r="AUQ665" s="23"/>
      <c r="AUR665" s="23"/>
      <c r="AUS665" s="23"/>
      <c r="AUT665" s="23"/>
      <c r="AUU665" s="23"/>
      <c r="AUV665" s="23"/>
      <c r="AUW665" s="23"/>
      <c r="AUX665" s="23"/>
      <c r="AUY665" s="23"/>
      <c r="AUZ665" s="23"/>
      <c r="AVA665" s="23"/>
      <c r="AVB665" s="23"/>
      <c r="AVC665" s="23"/>
      <c r="AVD665" s="23"/>
      <c r="AVE665" s="23"/>
      <c r="AVF665" s="23"/>
      <c r="AVG665" s="23"/>
      <c r="AVH665" s="23"/>
      <c r="AVI665" s="23"/>
      <c r="AVJ665" s="23"/>
      <c r="AVK665" s="23"/>
      <c r="AVL665" s="23"/>
      <c r="AVM665" s="23"/>
      <c r="AVN665" s="23"/>
      <c r="AVO665" s="23"/>
      <c r="AVP665" s="23"/>
      <c r="AVQ665" s="23"/>
      <c r="AVR665" s="23"/>
      <c r="AVS665" s="23"/>
      <c r="AVT665" s="23"/>
      <c r="AVU665" s="23"/>
      <c r="AVV665" s="23"/>
      <c r="AVW665" s="23"/>
      <c r="AVX665" s="23"/>
      <c r="AVY665" s="23"/>
      <c r="AVZ665" s="23"/>
      <c r="AWA665" s="23"/>
      <c r="AWB665" s="23"/>
      <c r="AWC665" s="23"/>
      <c r="AWD665" s="23"/>
      <c r="AWE665" s="23"/>
      <c r="AWF665" s="23"/>
      <c r="AWG665" s="23"/>
      <c r="AWH665" s="23"/>
      <c r="AWI665" s="23"/>
      <c r="AWJ665" s="23"/>
      <c r="AWK665" s="23"/>
      <c r="AWL665" s="23"/>
      <c r="AWM665" s="23"/>
      <c r="AWN665" s="23"/>
      <c r="AWO665" s="23"/>
      <c r="AWP665" s="23"/>
      <c r="AWQ665" s="23"/>
      <c r="AWR665" s="23"/>
      <c r="AWS665" s="23"/>
      <c r="AWT665" s="23"/>
      <c r="AWU665" s="23"/>
      <c r="AWV665" s="23"/>
      <c r="AWW665" s="23"/>
      <c r="AWX665" s="23"/>
      <c r="AWY665" s="23"/>
      <c r="AWZ665" s="23"/>
      <c r="AXA665" s="23"/>
      <c r="AXB665" s="23"/>
      <c r="AXC665" s="23"/>
      <c r="AXD665" s="23"/>
      <c r="AXE665" s="23"/>
      <c r="AXF665" s="23"/>
      <c r="AXG665" s="23"/>
      <c r="AXH665" s="23"/>
      <c r="AXI665" s="23"/>
      <c r="AXJ665" s="23"/>
      <c r="AXK665" s="23"/>
      <c r="AXL665" s="23"/>
      <c r="AXM665" s="23"/>
      <c r="AXN665" s="23"/>
      <c r="AXO665" s="23"/>
      <c r="AXP665" s="23"/>
      <c r="AXQ665" s="23"/>
      <c r="AXR665" s="23"/>
      <c r="AXS665" s="23"/>
      <c r="AXT665" s="23"/>
      <c r="AXU665" s="23"/>
      <c r="AXV665" s="23"/>
      <c r="AXW665" s="23"/>
      <c r="AXX665" s="23"/>
      <c r="AXY665" s="23"/>
      <c r="AXZ665" s="23"/>
      <c r="AYA665" s="23"/>
      <c r="AYB665" s="23"/>
      <c r="AYC665" s="23"/>
      <c r="AYD665" s="23"/>
      <c r="AYE665" s="23"/>
      <c r="AYF665" s="23"/>
      <c r="AYG665" s="23"/>
      <c r="AYH665" s="23"/>
      <c r="AYI665" s="23"/>
      <c r="AYJ665" s="23"/>
      <c r="AYK665" s="23"/>
      <c r="AYL665" s="23"/>
      <c r="AYM665" s="23"/>
      <c r="AYN665" s="23"/>
      <c r="AYO665" s="23"/>
      <c r="AYP665" s="23"/>
      <c r="AYQ665" s="23"/>
      <c r="AYR665" s="23"/>
      <c r="AYS665" s="23"/>
      <c r="AYT665" s="23"/>
      <c r="AYU665" s="23"/>
      <c r="AYV665" s="23"/>
      <c r="AYW665" s="23"/>
      <c r="AYX665" s="23"/>
      <c r="AYY665" s="23"/>
      <c r="AYZ665" s="23"/>
      <c r="AZA665" s="23"/>
      <c r="AZB665" s="23"/>
      <c r="AZC665" s="23"/>
      <c r="AZD665" s="23"/>
      <c r="AZE665" s="23"/>
      <c r="AZF665" s="23"/>
      <c r="AZG665" s="23"/>
      <c r="AZH665" s="23"/>
      <c r="AZI665" s="23"/>
      <c r="AZJ665" s="23"/>
      <c r="AZK665" s="23"/>
      <c r="AZL665" s="23"/>
      <c r="AZM665" s="23"/>
      <c r="AZN665" s="23"/>
      <c r="AZO665" s="23"/>
      <c r="AZP665" s="23"/>
      <c r="AZQ665" s="23"/>
      <c r="AZR665" s="23"/>
      <c r="AZS665" s="23"/>
      <c r="AZT665" s="23"/>
      <c r="AZU665" s="23"/>
      <c r="AZV665" s="23"/>
      <c r="AZW665" s="23"/>
      <c r="AZX665" s="23"/>
      <c r="AZY665" s="23"/>
      <c r="AZZ665" s="23"/>
      <c r="BAA665" s="23"/>
      <c r="BAB665" s="23"/>
      <c r="BAC665" s="23"/>
      <c r="BAD665" s="23"/>
      <c r="BAE665" s="23"/>
      <c r="BAF665" s="23"/>
      <c r="BAG665" s="23"/>
      <c r="BAH665" s="23"/>
      <c r="BAI665" s="23"/>
      <c r="BAJ665" s="23"/>
      <c r="BAK665" s="23"/>
      <c r="BAL665" s="23"/>
      <c r="BAM665" s="23"/>
      <c r="BAN665" s="23"/>
      <c r="BAO665" s="23"/>
      <c r="BAP665" s="23"/>
      <c r="BAQ665" s="23"/>
      <c r="BAR665" s="23"/>
      <c r="BAS665" s="23"/>
      <c r="BAT665" s="23"/>
      <c r="BAU665" s="23"/>
      <c r="BAV665" s="23"/>
      <c r="BAW665" s="23"/>
      <c r="BAX665" s="23"/>
      <c r="BAY665" s="23"/>
      <c r="BAZ665" s="23"/>
      <c r="BBA665" s="23"/>
      <c r="BBB665" s="23"/>
      <c r="BBC665" s="23"/>
      <c r="BBD665" s="23"/>
      <c r="BBE665" s="23"/>
      <c r="BBF665" s="23"/>
      <c r="BBG665" s="23"/>
      <c r="BBH665" s="23"/>
      <c r="BBI665" s="23"/>
      <c r="BBJ665" s="23"/>
      <c r="BBK665" s="23"/>
      <c r="BBL665" s="23"/>
      <c r="BBM665" s="23"/>
      <c r="BBN665" s="23"/>
      <c r="BBO665" s="23"/>
      <c r="BBP665" s="23"/>
      <c r="BBQ665" s="23"/>
      <c r="BBR665" s="23"/>
      <c r="BBS665" s="23"/>
      <c r="BBT665" s="23"/>
      <c r="BBU665" s="23"/>
      <c r="BBV665" s="23"/>
      <c r="BBW665" s="23"/>
      <c r="BBX665" s="23"/>
      <c r="BBY665" s="23"/>
      <c r="BBZ665" s="23"/>
      <c r="BCA665" s="23"/>
      <c r="BCB665" s="23"/>
      <c r="BCC665" s="23"/>
      <c r="BCD665" s="23"/>
      <c r="BCE665" s="23"/>
      <c r="BCF665" s="23"/>
      <c r="BCG665" s="23"/>
      <c r="BCH665" s="23"/>
      <c r="BCI665" s="23"/>
      <c r="BCJ665" s="23"/>
      <c r="BCK665" s="23"/>
      <c r="BCL665" s="23"/>
      <c r="BCM665" s="23"/>
      <c r="BCN665" s="23"/>
      <c r="BCO665" s="23"/>
      <c r="BCP665" s="23"/>
      <c r="BCQ665" s="23"/>
      <c r="BCR665" s="23"/>
      <c r="BCS665" s="23"/>
      <c r="BCT665" s="23"/>
      <c r="BCU665" s="23"/>
      <c r="BCV665" s="23"/>
      <c r="BCW665" s="23"/>
      <c r="BCX665" s="23"/>
      <c r="BCY665" s="23"/>
      <c r="BCZ665" s="23"/>
      <c r="BDA665" s="23"/>
      <c r="BDB665" s="23"/>
      <c r="BDC665" s="23"/>
      <c r="BDD665" s="23"/>
      <c r="BDE665" s="23"/>
      <c r="BDF665" s="23"/>
      <c r="BDG665" s="23"/>
      <c r="BDH665" s="23"/>
      <c r="BDI665" s="23"/>
      <c r="BDJ665" s="23"/>
      <c r="BDK665" s="23"/>
      <c r="BDL665" s="23"/>
      <c r="BDM665" s="23"/>
      <c r="BDN665" s="23"/>
      <c r="BDO665" s="23"/>
      <c r="BDP665" s="23"/>
      <c r="BDQ665" s="23"/>
      <c r="BDR665" s="23"/>
      <c r="BDS665" s="23"/>
      <c r="BDT665" s="23"/>
      <c r="BDU665" s="23"/>
      <c r="BDV665" s="23"/>
      <c r="BDW665" s="23"/>
      <c r="BDX665" s="23"/>
      <c r="BDY665" s="23"/>
      <c r="BDZ665" s="23"/>
      <c r="BEA665" s="23"/>
      <c r="BEB665" s="23"/>
      <c r="BEC665" s="23"/>
      <c r="BED665" s="23"/>
      <c r="BEE665" s="23"/>
      <c r="BEF665" s="23"/>
      <c r="BEG665" s="23"/>
      <c r="BEH665" s="23"/>
      <c r="BEI665" s="23"/>
      <c r="BEJ665" s="23"/>
      <c r="BEK665" s="23"/>
      <c r="BEL665" s="23"/>
      <c r="BEM665" s="23"/>
      <c r="BEN665" s="23"/>
      <c r="BEO665" s="23"/>
      <c r="BEP665" s="23"/>
      <c r="BEQ665" s="23"/>
      <c r="BER665" s="23"/>
      <c r="BES665" s="23"/>
      <c r="BET665" s="23"/>
      <c r="BEU665" s="23"/>
      <c r="BEV665" s="23"/>
      <c r="BEW665" s="23"/>
      <c r="BEX665" s="23"/>
      <c r="BEY665" s="23"/>
      <c r="BEZ665" s="23"/>
      <c r="BFA665" s="23"/>
      <c r="BFB665" s="23"/>
      <c r="BFC665" s="23"/>
      <c r="BFD665" s="23"/>
      <c r="BFE665" s="23"/>
      <c r="BFF665" s="23"/>
      <c r="BFG665" s="23"/>
      <c r="BFH665" s="23"/>
      <c r="BFI665" s="23"/>
      <c r="BFJ665" s="23"/>
      <c r="BFK665" s="23"/>
      <c r="BFL665" s="23"/>
      <c r="BFM665" s="23"/>
      <c r="BFN665" s="23"/>
      <c r="BFO665" s="23"/>
      <c r="BFP665" s="23"/>
      <c r="BFQ665" s="23"/>
      <c r="BFR665" s="23"/>
      <c r="BFS665" s="23"/>
      <c r="BFT665" s="23"/>
      <c r="BFU665" s="23"/>
      <c r="BFV665" s="23"/>
      <c r="BFW665" s="23"/>
      <c r="BFX665" s="23"/>
      <c r="BFY665" s="23"/>
      <c r="BFZ665" s="23"/>
      <c r="BGA665" s="23"/>
      <c r="BGB665" s="23"/>
      <c r="BGC665" s="23"/>
      <c r="BGD665" s="23"/>
      <c r="BGE665" s="23"/>
      <c r="BGF665" s="23"/>
      <c r="BGG665" s="23"/>
      <c r="BGH665" s="23"/>
      <c r="BGI665" s="23"/>
      <c r="BGJ665" s="23"/>
      <c r="BGK665" s="23"/>
      <c r="BGL665" s="23"/>
      <c r="BGM665" s="23"/>
      <c r="BGN665" s="23"/>
      <c r="BGO665" s="23"/>
      <c r="BGP665" s="23"/>
      <c r="BGQ665" s="23"/>
      <c r="BGR665" s="23"/>
      <c r="BGS665" s="23"/>
      <c r="BGT665" s="23"/>
      <c r="BGU665" s="23"/>
      <c r="BGV665" s="23"/>
      <c r="BGW665" s="23"/>
      <c r="BGX665" s="23"/>
      <c r="BGY665" s="23"/>
      <c r="BGZ665" s="23"/>
      <c r="BHA665" s="23"/>
      <c r="BHB665" s="23"/>
      <c r="BHC665" s="23"/>
      <c r="BHD665" s="23"/>
      <c r="BHE665" s="23"/>
      <c r="BHF665" s="23"/>
      <c r="BHG665" s="23"/>
      <c r="BHH665" s="23"/>
      <c r="BHI665" s="23"/>
      <c r="BHJ665" s="23"/>
      <c r="BHK665" s="23"/>
      <c r="BHL665" s="23"/>
      <c r="BHM665" s="23"/>
      <c r="BHN665" s="23"/>
      <c r="BHO665" s="23"/>
      <c r="BHP665" s="23"/>
      <c r="BHQ665" s="23"/>
      <c r="BHR665" s="23"/>
      <c r="BHS665" s="23"/>
      <c r="BHT665" s="23"/>
      <c r="BHU665" s="23"/>
      <c r="BHV665" s="23"/>
      <c r="BHW665" s="23"/>
      <c r="BHX665" s="23"/>
      <c r="BHY665" s="23"/>
      <c r="BHZ665" s="23"/>
      <c r="BIA665" s="23"/>
      <c r="BIB665" s="23"/>
      <c r="BIC665" s="23"/>
      <c r="BID665" s="23"/>
      <c r="BIE665" s="23"/>
      <c r="BIF665" s="23"/>
      <c r="BIG665" s="23"/>
      <c r="BIH665" s="23"/>
      <c r="BII665" s="23"/>
      <c r="BIJ665" s="23"/>
      <c r="BIK665" s="23"/>
      <c r="BIL665" s="23"/>
      <c r="BIM665" s="23"/>
      <c r="BIN665" s="23"/>
      <c r="BIO665" s="23"/>
      <c r="BIP665" s="23"/>
      <c r="BIQ665" s="23"/>
      <c r="BIR665" s="23"/>
      <c r="BIS665" s="23"/>
      <c r="BIT665" s="23"/>
      <c r="BIU665" s="23"/>
      <c r="BIV665" s="23"/>
      <c r="BIW665" s="23"/>
      <c r="BIX665" s="23"/>
      <c r="BIY665" s="23"/>
      <c r="BIZ665" s="23"/>
      <c r="BJA665" s="23"/>
      <c r="BJB665" s="23"/>
      <c r="BJC665" s="23"/>
      <c r="BJD665" s="23"/>
      <c r="BJE665" s="23"/>
      <c r="BJF665" s="23"/>
      <c r="BJG665" s="23"/>
      <c r="BJH665" s="23"/>
      <c r="BJI665" s="23"/>
      <c r="BJJ665" s="23"/>
      <c r="BJK665" s="23"/>
      <c r="BJL665" s="23"/>
      <c r="BJM665" s="23"/>
      <c r="BJN665" s="23"/>
      <c r="BJO665" s="23"/>
      <c r="BJP665" s="23"/>
      <c r="BJQ665" s="23"/>
      <c r="BJR665" s="23"/>
      <c r="BJS665" s="23"/>
      <c r="BJT665" s="23"/>
      <c r="BJU665" s="23"/>
      <c r="BJV665" s="23"/>
      <c r="BJW665" s="23"/>
      <c r="BJX665" s="23"/>
      <c r="BJY665" s="23"/>
      <c r="BJZ665" s="23"/>
      <c r="BKA665" s="23"/>
      <c r="BKB665" s="23"/>
      <c r="BKC665" s="23"/>
      <c r="BKD665" s="23"/>
      <c r="BKE665" s="23"/>
      <c r="BKF665" s="23"/>
      <c r="BKG665" s="23"/>
      <c r="BKH665" s="23"/>
      <c r="BKI665" s="23"/>
      <c r="BKJ665" s="23"/>
      <c r="BKK665" s="23"/>
      <c r="BKL665" s="23"/>
      <c r="BKM665" s="23"/>
      <c r="BKN665" s="23"/>
      <c r="BKO665" s="23"/>
      <c r="BKP665" s="23"/>
      <c r="BKQ665" s="23"/>
      <c r="BKR665" s="23"/>
      <c r="BKS665" s="23"/>
      <c r="BKT665" s="23"/>
      <c r="BKU665" s="23"/>
      <c r="BKV665" s="23"/>
      <c r="BKW665" s="23"/>
      <c r="BKX665" s="23"/>
      <c r="BKY665" s="23"/>
      <c r="BKZ665" s="23"/>
      <c r="BLA665" s="23"/>
      <c r="BLB665" s="23"/>
      <c r="BLC665" s="23"/>
      <c r="BLD665" s="23"/>
      <c r="BLE665" s="23"/>
      <c r="BLF665" s="23"/>
      <c r="BLG665" s="23"/>
      <c r="BLH665" s="23"/>
      <c r="BLI665" s="23"/>
      <c r="BLJ665" s="23"/>
      <c r="BLK665" s="23"/>
      <c r="BLL665" s="23"/>
      <c r="BLM665" s="23"/>
      <c r="BLN665" s="23"/>
      <c r="BLO665" s="23"/>
      <c r="BLP665" s="23"/>
      <c r="BLQ665" s="23"/>
      <c r="BLR665" s="23"/>
      <c r="BLS665" s="23"/>
      <c r="BLT665" s="23"/>
      <c r="BLU665" s="23"/>
      <c r="BLV665" s="23"/>
      <c r="BLW665" s="23"/>
      <c r="BLX665" s="23"/>
      <c r="BLY665" s="23"/>
      <c r="BLZ665" s="23"/>
      <c r="BMA665" s="23"/>
      <c r="BMB665" s="23"/>
      <c r="BMC665" s="23"/>
      <c r="BMD665" s="23"/>
      <c r="BME665" s="23"/>
      <c r="BMF665" s="23"/>
      <c r="BMG665" s="23"/>
      <c r="BMH665" s="23"/>
      <c r="BMI665" s="23"/>
      <c r="BMJ665" s="23"/>
      <c r="BMK665" s="23"/>
      <c r="BML665" s="23"/>
      <c r="BMM665" s="23"/>
      <c r="BMN665" s="23"/>
      <c r="BMO665" s="23"/>
      <c r="BMP665" s="23"/>
      <c r="BMQ665" s="23"/>
      <c r="BMR665" s="23"/>
      <c r="BMS665" s="23"/>
      <c r="BMT665" s="23"/>
      <c r="BMU665" s="23"/>
      <c r="BMV665" s="23"/>
      <c r="BMW665" s="23"/>
      <c r="BMX665" s="23"/>
      <c r="BMY665" s="23"/>
      <c r="BMZ665" s="23"/>
      <c r="BNA665" s="23"/>
      <c r="BNB665" s="23"/>
      <c r="BNC665" s="23"/>
      <c r="BND665" s="23"/>
      <c r="BNE665" s="23"/>
      <c r="BNF665" s="23"/>
      <c r="BNG665" s="23"/>
      <c r="BNH665" s="23"/>
      <c r="BNI665" s="23"/>
      <c r="BNJ665" s="23"/>
      <c r="BNK665" s="23"/>
      <c r="BNL665" s="23"/>
      <c r="BNM665" s="23"/>
      <c r="BNN665" s="23"/>
      <c r="BNO665" s="23"/>
      <c r="BNP665" s="23"/>
      <c r="BNQ665" s="23"/>
      <c r="BNR665" s="23"/>
      <c r="BNS665" s="23"/>
      <c r="BNT665" s="23"/>
      <c r="BNU665" s="23"/>
      <c r="BNV665" s="23"/>
      <c r="BNW665" s="23"/>
      <c r="BNX665" s="23"/>
      <c r="BNY665" s="23"/>
      <c r="BNZ665" s="23"/>
      <c r="BOA665" s="23"/>
      <c r="BOB665" s="23"/>
      <c r="BOC665" s="23"/>
      <c r="BOD665" s="23"/>
      <c r="BOE665" s="23"/>
      <c r="BOF665" s="23"/>
      <c r="BOG665" s="23"/>
      <c r="BOH665" s="23"/>
      <c r="BOI665" s="23"/>
      <c r="BOJ665" s="23"/>
      <c r="BOK665" s="23"/>
      <c r="BOL665" s="23"/>
      <c r="BOM665" s="23"/>
      <c r="BON665" s="23"/>
      <c r="BOO665" s="23"/>
      <c r="BOP665" s="23"/>
      <c r="BOQ665" s="23"/>
      <c r="BOR665" s="23"/>
      <c r="BOS665" s="23"/>
      <c r="BOT665" s="23"/>
      <c r="BOU665" s="23"/>
      <c r="BOV665" s="23"/>
      <c r="BOW665" s="23"/>
      <c r="BOX665" s="23"/>
      <c r="BOY665" s="23"/>
      <c r="BOZ665" s="23"/>
      <c r="BPA665" s="23"/>
      <c r="BPB665" s="23"/>
      <c r="BPC665" s="23"/>
      <c r="BPD665" s="23"/>
      <c r="BPE665" s="23"/>
      <c r="BPF665" s="23"/>
      <c r="BPG665" s="23"/>
      <c r="BPH665" s="23"/>
      <c r="BPI665" s="23"/>
      <c r="BPJ665" s="23"/>
      <c r="BPK665" s="23"/>
      <c r="BPL665" s="23"/>
      <c r="BPM665" s="23"/>
      <c r="BPN665" s="23"/>
      <c r="BPO665" s="23"/>
      <c r="BPP665" s="23"/>
      <c r="BPQ665" s="23"/>
      <c r="BPR665" s="23"/>
      <c r="BPS665" s="23"/>
      <c r="BPT665" s="23"/>
      <c r="BPU665" s="23"/>
      <c r="BPV665" s="23"/>
      <c r="BPW665" s="23"/>
      <c r="BPX665" s="23"/>
      <c r="BPY665" s="23"/>
      <c r="BPZ665" s="23"/>
      <c r="BQA665" s="23"/>
      <c r="BQB665" s="23"/>
      <c r="BQC665" s="23"/>
      <c r="BQD665" s="23"/>
      <c r="BQE665" s="23"/>
      <c r="BQF665" s="23"/>
      <c r="BQG665" s="23"/>
      <c r="BQH665" s="23"/>
      <c r="BQI665" s="23"/>
      <c r="BQJ665" s="23"/>
      <c r="BQK665" s="23"/>
      <c r="BQL665" s="23"/>
      <c r="BQM665" s="23"/>
      <c r="BQN665" s="23"/>
      <c r="BQO665" s="23"/>
      <c r="BQP665" s="23"/>
      <c r="BQQ665" s="23"/>
      <c r="BQR665" s="23"/>
      <c r="BQS665" s="23"/>
      <c r="BQT665" s="23"/>
      <c r="BQU665" s="23"/>
      <c r="BQV665" s="23"/>
      <c r="BQW665" s="23"/>
      <c r="BQX665" s="23"/>
      <c r="BQY665" s="23"/>
      <c r="BQZ665" s="23"/>
      <c r="BRA665" s="23"/>
      <c r="BRB665" s="23"/>
      <c r="BRC665" s="23"/>
      <c r="BRD665" s="23"/>
      <c r="BRE665" s="23"/>
      <c r="BRF665" s="23"/>
      <c r="BRG665" s="23"/>
      <c r="BRH665" s="23"/>
      <c r="BRI665" s="23"/>
      <c r="BRJ665" s="23"/>
      <c r="BRK665" s="23"/>
      <c r="BRL665" s="23"/>
      <c r="BRM665" s="23"/>
      <c r="BRN665" s="23"/>
      <c r="BRO665" s="23"/>
      <c r="BRP665" s="23"/>
      <c r="BRQ665" s="23"/>
      <c r="BRR665" s="23"/>
      <c r="BRS665" s="23"/>
      <c r="BRT665" s="23"/>
      <c r="BRU665" s="23"/>
      <c r="BRV665" s="23"/>
      <c r="BRW665" s="23"/>
      <c r="BRX665" s="23"/>
      <c r="BRY665" s="23"/>
      <c r="BRZ665" s="23"/>
      <c r="BSA665" s="23"/>
      <c r="BSB665" s="23"/>
      <c r="BSC665" s="23"/>
      <c r="BSD665" s="23"/>
      <c r="BSE665" s="23"/>
      <c r="BSF665" s="23"/>
      <c r="BSG665" s="23"/>
      <c r="BSH665" s="23"/>
      <c r="BSI665" s="23"/>
      <c r="BSJ665" s="23"/>
      <c r="BSK665" s="23"/>
      <c r="BSL665" s="23"/>
      <c r="BSM665" s="23"/>
      <c r="BSN665" s="23"/>
      <c r="BSO665" s="23"/>
      <c r="BSP665" s="23"/>
      <c r="BSQ665" s="23"/>
      <c r="BSR665" s="23"/>
      <c r="BSS665" s="23"/>
      <c r="BST665" s="23"/>
      <c r="BSU665" s="23"/>
      <c r="BSV665" s="23"/>
      <c r="BSW665" s="23"/>
      <c r="BSX665" s="23"/>
      <c r="BSY665" s="23"/>
      <c r="BSZ665" s="23"/>
      <c r="BTA665" s="23"/>
    </row>
    <row r="666" spans="1:1873" s="23" customFormat="1" ht="25.5" x14ac:dyDescent="0.2">
      <c r="A666" s="304" t="s">
        <v>2090</v>
      </c>
      <c r="B666" s="223" t="s">
        <v>804</v>
      </c>
      <c r="C666" s="223" t="s">
        <v>1030</v>
      </c>
      <c r="D666" s="223" t="s">
        <v>619</v>
      </c>
      <c r="E666" s="305" t="s">
        <v>1451</v>
      </c>
      <c r="F666" s="241">
        <v>1</v>
      </c>
      <c r="G666" s="223">
        <v>10</v>
      </c>
      <c r="H666" s="242">
        <v>10</v>
      </c>
      <c r="I666" s="223" t="s">
        <v>807</v>
      </c>
      <c r="J666" s="450">
        <v>1987</v>
      </c>
      <c r="K666" s="560" t="s">
        <v>1211</v>
      </c>
      <c r="L666" s="450">
        <v>1996</v>
      </c>
      <c r="M666" s="243">
        <v>-9999</v>
      </c>
      <c r="N666" s="223">
        <v>-9999</v>
      </c>
      <c r="O666" s="29"/>
      <c r="P666" s="244">
        <f t="shared" si="72"/>
        <v>47.699999999999996</v>
      </c>
      <c r="Q666" s="223">
        <v>-9999</v>
      </c>
      <c r="R666" s="243"/>
      <c r="S666" s="223"/>
      <c r="T666" s="243">
        <v>4.7699999999999996</v>
      </c>
      <c r="U666" s="223">
        <v>-9999</v>
      </c>
      <c r="V666" s="223"/>
      <c r="W666" s="285">
        <f>+P666-P665</f>
        <v>1.529999999999994</v>
      </c>
      <c r="X666" s="223">
        <v>-9999</v>
      </c>
      <c r="Y666" s="223"/>
      <c r="Z666" s="561" t="s">
        <v>1702</v>
      </c>
      <c r="AA666" s="425">
        <f t="shared" si="70"/>
        <v>1682.0700000000002</v>
      </c>
      <c r="AB666" s="243">
        <v>-9999</v>
      </c>
      <c r="AC666" s="245">
        <v>4.0460000000000003</v>
      </c>
      <c r="AD666" s="560">
        <f t="shared" si="71"/>
        <v>3300</v>
      </c>
      <c r="AE666" s="675" t="s">
        <v>97</v>
      </c>
      <c r="AF666" s="223">
        <v>3</v>
      </c>
      <c r="AG666" s="223">
        <v>-9999</v>
      </c>
      <c r="AH666" s="223">
        <v>-9999</v>
      </c>
      <c r="AI666" s="223">
        <v>-9999</v>
      </c>
      <c r="AJ666" s="223">
        <v>-9999</v>
      </c>
      <c r="AK666" s="223">
        <v>-9999</v>
      </c>
      <c r="AL666" s="223">
        <v>-9999</v>
      </c>
      <c r="AM666" s="223">
        <v>-9999</v>
      </c>
      <c r="AN666" s="223" t="s">
        <v>631</v>
      </c>
      <c r="AO666" s="223">
        <v>-9999</v>
      </c>
      <c r="AP666" s="223">
        <v>-9999</v>
      </c>
      <c r="AQ666" s="223" t="s">
        <v>631</v>
      </c>
      <c r="AR666" s="223">
        <v>0</v>
      </c>
      <c r="AS666" s="223">
        <v>-9999</v>
      </c>
      <c r="AT666" s="223">
        <v>-9999</v>
      </c>
      <c r="AU666" s="223">
        <v>0</v>
      </c>
      <c r="AV666" s="223">
        <v>-9999</v>
      </c>
      <c r="AW666" s="223">
        <v>-9999</v>
      </c>
      <c r="AX666" s="223">
        <v>0</v>
      </c>
      <c r="AY666" s="223">
        <v>-9999</v>
      </c>
      <c r="AZ666" s="223">
        <v>-9999</v>
      </c>
      <c r="BA666" s="223">
        <v>-9999</v>
      </c>
      <c r="BB666" s="223" t="s">
        <v>631</v>
      </c>
      <c r="BC666" s="223">
        <v>-9999</v>
      </c>
      <c r="BD666" s="223">
        <v>-9999</v>
      </c>
      <c r="BE666" s="223">
        <v>-9999</v>
      </c>
      <c r="BF666" s="223">
        <v>-9999</v>
      </c>
      <c r="BG666" s="223">
        <v>-9999</v>
      </c>
      <c r="BH666" s="223">
        <v>-9999</v>
      </c>
      <c r="BI666" s="223" t="s">
        <v>1058</v>
      </c>
      <c r="BJ666" s="223">
        <v>-9999</v>
      </c>
      <c r="BK666" s="223">
        <v>-9999</v>
      </c>
      <c r="BL666" s="223">
        <v>-9999</v>
      </c>
      <c r="BM666" s="223">
        <v>-9999</v>
      </c>
      <c r="BN666" s="223">
        <v>-9999</v>
      </c>
      <c r="BO666" s="223">
        <v>-9999</v>
      </c>
      <c r="BP666" s="223">
        <v>-9999</v>
      </c>
      <c r="BQ666" s="223">
        <v>-9999</v>
      </c>
      <c r="BR666" s="223">
        <v>-9999</v>
      </c>
      <c r="BS666" s="242">
        <v>-9999</v>
      </c>
      <c r="BT666" s="223">
        <v>-9999</v>
      </c>
      <c r="BU666" s="223">
        <v>-9999</v>
      </c>
      <c r="BV666" s="223">
        <v>-9999</v>
      </c>
      <c r="BW666" s="223"/>
      <c r="BX666" s="223">
        <v>-9999</v>
      </c>
      <c r="BY666" s="223">
        <v>-9999</v>
      </c>
      <c r="BZ666" s="223">
        <v>-9999</v>
      </c>
      <c r="CA666" s="334" t="s">
        <v>797</v>
      </c>
      <c r="CB666" s="247"/>
      <c r="CC666" s="83">
        <v>1</v>
      </c>
      <c r="CD666" s="32">
        <v>10</v>
      </c>
      <c r="CE666" s="292">
        <v>4.7699999999999996</v>
      </c>
      <c r="CF666" s="292">
        <v>1.529999999999994</v>
      </c>
      <c r="CG666" s="84">
        <v>10</v>
      </c>
    </row>
    <row r="667" spans="1:1873" s="23" customFormat="1" ht="25.5" x14ac:dyDescent="0.2">
      <c r="A667" s="304" t="s">
        <v>2090</v>
      </c>
      <c r="B667" s="223" t="s">
        <v>804</v>
      </c>
      <c r="C667" s="223" t="s">
        <v>1030</v>
      </c>
      <c r="D667" s="223" t="s">
        <v>619</v>
      </c>
      <c r="E667" s="305" t="s">
        <v>1451</v>
      </c>
      <c r="F667" s="241">
        <v>1</v>
      </c>
      <c r="G667" s="223">
        <v>11</v>
      </c>
      <c r="H667" s="242">
        <v>11</v>
      </c>
      <c r="I667" s="223" t="s">
        <v>807</v>
      </c>
      <c r="J667" s="450">
        <v>1987</v>
      </c>
      <c r="K667" s="560" t="s">
        <v>1211</v>
      </c>
      <c r="L667" s="450">
        <v>1997</v>
      </c>
      <c r="M667" s="243">
        <v>-9999</v>
      </c>
      <c r="N667" s="223">
        <v>-9999</v>
      </c>
      <c r="O667" s="29"/>
      <c r="P667" s="243">
        <v>-9999</v>
      </c>
      <c r="Q667" s="223">
        <v>-9999</v>
      </c>
      <c r="R667" s="243"/>
      <c r="S667" s="223"/>
      <c r="T667" s="243">
        <v>-9999</v>
      </c>
      <c r="U667" s="223">
        <v>-9999</v>
      </c>
      <c r="V667" s="223"/>
      <c r="W667" s="243">
        <v>-9999</v>
      </c>
      <c r="X667" s="223">
        <v>-9999</v>
      </c>
      <c r="Y667" s="223"/>
      <c r="Z667" s="561" t="s">
        <v>1702</v>
      </c>
      <c r="AA667" s="425">
        <f t="shared" si="70"/>
        <v>1682.0700000000002</v>
      </c>
      <c r="AB667" s="243">
        <v>-9999</v>
      </c>
      <c r="AC667" s="245">
        <v>4.0460000000000003</v>
      </c>
      <c r="AD667" s="560">
        <f t="shared" si="71"/>
        <v>3300</v>
      </c>
      <c r="AE667" s="675" t="s">
        <v>97</v>
      </c>
      <c r="AF667" s="223">
        <v>3</v>
      </c>
      <c r="AG667" s="223">
        <v>-9999</v>
      </c>
      <c r="AH667" s="223">
        <v>-9999</v>
      </c>
      <c r="AI667" s="223">
        <v>-9999</v>
      </c>
      <c r="AJ667" s="223">
        <v>-9999</v>
      </c>
      <c r="AK667" s="223">
        <v>-9999</v>
      </c>
      <c r="AL667" s="223">
        <v>-9999</v>
      </c>
      <c r="AM667" s="223">
        <v>-9999</v>
      </c>
      <c r="AN667" s="223" t="s">
        <v>631</v>
      </c>
      <c r="AO667" s="223">
        <v>-9999</v>
      </c>
      <c r="AP667" s="223">
        <v>-9999</v>
      </c>
      <c r="AQ667" s="223" t="s">
        <v>631</v>
      </c>
      <c r="AR667" s="223">
        <v>0</v>
      </c>
      <c r="AS667" s="223">
        <v>-9999</v>
      </c>
      <c r="AT667" s="223">
        <v>-9999</v>
      </c>
      <c r="AU667" s="223">
        <v>0</v>
      </c>
      <c r="AV667" s="223">
        <v>-9999</v>
      </c>
      <c r="AW667" s="223">
        <v>-9999</v>
      </c>
      <c r="AX667" s="223">
        <v>0</v>
      </c>
      <c r="AY667" s="223">
        <v>-9999</v>
      </c>
      <c r="AZ667" s="223">
        <v>-9999</v>
      </c>
      <c r="BA667" s="223">
        <v>-9999</v>
      </c>
      <c r="BB667" s="223" t="s">
        <v>631</v>
      </c>
      <c r="BC667" s="223">
        <v>-9999</v>
      </c>
      <c r="BD667" s="223">
        <v>-9999</v>
      </c>
      <c r="BE667" s="223">
        <v>-9999</v>
      </c>
      <c r="BF667" s="223">
        <v>-9999</v>
      </c>
      <c r="BG667" s="223">
        <v>-9999</v>
      </c>
      <c r="BH667" s="223">
        <v>-9999</v>
      </c>
      <c r="BI667" s="223" t="s">
        <v>1058</v>
      </c>
      <c r="BJ667" s="223">
        <v>-9999</v>
      </c>
      <c r="BK667" s="223">
        <v>-9999</v>
      </c>
      <c r="BL667" s="223">
        <v>-9999</v>
      </c>
      <c r="BM667" s="223">
        <v>-9999</v>
      </c>
      <c r="BN667" s="223">
        <v>-9999</v>
      </c>
      <c r="BO667" s="223">
        <v>-9999</v>
      </c>
      <c r="BP667" s="223">
        <v>-9999</v>
      </c>
      <c r="BQ667" s="223">
        <v>-9999</v>
      </c>
      <c r="BR667" s="223">
        <v>-9999</v>
      </c>
      <c r="BS667" s="242">
        <v>-9999</v>
      </c>
      <c r="BT667" s="223">
        <v>-9999</v>
      </c>
      <c r="BU667" s="223">
        <v>-9999</v>
      </c>
      <c r="BV667" s="223">
        <v>-9999</v>
      </c>
      <c r="BW667" s="223"/>
      <c r="BX667" s="223">
        <v>-9999</v>
      </c>
      <c r="BY667" s="223">
        <v>-9999</v>
      </c>
      <c r="BZ667" s="223">
        <v>-9999</v>
      </c>
      <c r="CA667" s="334" t="s">
        <v>797</v>
      </c>
      <c r="CB667" s="247"/>
      <c r="CC667" s="83">
        <v>1</v>
      </c>
      <c r="CD667" s="32">
        <v>11</v>
      </c>
      <c r="CE667" s="292"/>
      <c r="CF667" s="292"/>
      <c r="CG667" s="84">
        <v>11</v>
      </c>
    </row>
    <row r="668" spans="1:1873" s="23" customFormat="1" x14ac:dyDescent="0.2">
      <c r="A668" s="323"/>
      <c r="B668" s="29"/>
      <c r="C668" s="29"/>
      <c r="D668" s="29"/>
      <c r="E668" s="29"/>
      <c r="F668" s="29"/>
      <c r="G668" s="29"/>
      <c r="H668" s="30"/>
      <c r="I668" s="29"/>
      <c r="J668" s="29"/>
      <c r="K668" s="428"/>
      <c r="L668" s="29"/>
      <c r="M668" s="31"/>
      <c r="N668" s="29"/>
      <c r="O668" s="29"/>
      <c r="P668" s="31"/>
      <c r="Q668" s="29"/>
      <c r="R668" s="31"/>
      <c r="S668" s="29"/>
      <c r="T668" s="31"/>
      <c r="U668" s="31"/>
      <c r="V668" s="31"/>
      <c r="W668" s="31"/>
      <c r="X668" s="29"/>
      <c r="Y668" s="29"/>
      <c r="Z668" s="429"/>
      <c r="AA668" s="115"/>
      <c r="AB668" s="31"/>
      <c r="AC668" s="29"/>
      <c r="AD668" s="29"/>
      <c r="AE668" s="112"/>
      <c r="AF668" s="29"/>
      <c r="AG668" s="29"/>
      <c r="AH668" s="29"/>
      <c r="AI668" s="29"/>
      <c r="AJ668" s="29"/>
      <c r="AK668" s="29"/>
      <c r="AL668" s="29"/>
      <c r="AM668" s="29"/>
      <c r="AN668" s="29"/>
      <c r="AO668" s="29"/>
      <c r="AP668" s="29"/>
      <c r="AQ668" s="29"/>
      <c r="AR668" s="29"/>
      <c r="AS668" s="29"/>
      <c r="AT668" s="29"/>
      <c r="AU668" s="29"/>
      <c r="AV668" s="29"/>
      <c r="AW668" s="29"/>
      <c r="AX668" s="29"/>
      <c r="AY668" s="29"/>
      <c r="AZ668" s="29"/>
      <c r="BA668" s="29"/>
      <c r="BB668" s="29"/>
      <c r="BC668" s="29"/>
      <c r="BD668" s="29"/>
      <c r="BE668" s="29"/>
      <c r="BF668" s="29"/>
      <c r="BG668" s="29"/>
      <c r="BH668" s="29"/>
      <c r="BI668" s="29"/>
      <c r="BJ668" s="29"/>
      <c r="BK668" s="29"/>
      <c r="BL668" s="29"/>
      <c r="BM668" s="29"/>
      <c r="BN668" s="29"/>
      <c r="BO668" s="29"/>
      <c r="BP668" s="29"/>
      <c r="BQ668" s="29"/>
      <c r="BR668" s="29"/>
      <c r="BS668" s="30"/>
      <c r="BT668" s="29"/>
      <c r="BU668" s="29"/>
      <c r="BV668" s="29"/>
      <c r="BW668" s="29"/>
      <c r="BX668" s="29"/>
      <c r="BY668" s="29"/>
      <c r="BZ668" s="29"/>
      <c r="CA668" s="333"/>
      <c r="CC668" s="29"/>
      <c r="CD668" s="29"/>
      <c r="CE668" s="342" t="s">
        <v>1576</v>
      </c>
      <c r="CF668" s="342" t="s">
        <v>1575</v>
      </c>
      <c r="CG668" s="30"/>
    </row>
    <row r="669" spans="1:1873" s="23" customFormat="1" ht="25.5" x14ac:dyDescent="0.2">
      <c r="A669" s="304" t="s">
        <v>2090</v>
      </c>
      <c r="B669" s="223" t="s">
        <v>799</v>
      </c>
      <c r="C669" s="223" t="s">
        <v>1032</v>
      </c>
      <c r="D669" s="223" t="s">
        <v>619</v>
      </c>
      <c r="E669" s="305" t="s">
        <v>1451</v>
      </c>
      <c r="F669" s="241">
        <v>1</v>
      </c>
      <c r="G669" s="223">
        <v>3</v>
      </c>
      <c r="H669" s="242">
        <v>3</v>
      </c>
      <c r="I669" s="223" t="s">
        <v>807</v>
      </c>
      <c r="J669" s="450">
        <v>1988</v>
      </c>
      <c r="K669" s="560" t="s">
        <v>1211</v>
      </c>
      <c r="L669" s="450">
        <v>1989</v>
      </c>
      <c r="M669" s="243">
        <v>-9999</v>
      </c>
      <c r="N669" s="223">
        <v>-9999</v>
      </c>
      <c r="O669" s="29"/>
      <c r="P669" s="243">
        <v>-9999</v>
      </c>
      <c r="Q669" s="223">
        <v>-9999</v>
      </c>
      <c r="R669" s="243"/>
      <c r="S669" s="223"/>
      <c r="T669" s="243">
        <v>-9999</v>
      </c>
      <c r="U669" s="223">
        <v>-9999</v>
      </c>
      <c r="V669" s="223"/>
      <c r="W669" s="243">
        <v>-9999</v>
      </c>
      <c r="X669" s="223">
        <v>-9999</v>
      </c>
      <c r="Y669" s="223"/>
      <c r="Z669" s="561" t="s">
        <v>1702</v>
      </c>
      <c r="AA669" s="425">
        <f t="shared" ref="AA669:AA676" si="73">681*2.47</f>
        <v>1682.0700000000002</v>
      </c>
      <c r="AB669" s="243">
        <v>-9999</v>
      </c>
      <c r="AC669" s="245">
        <v>4.0460000000000003</v>
      </c>
      <c r="AD669" s="560">
        <f t="shared" ref="AD669:AD676" si="74">0.33*10000</f>
        <v>3300</v>
      </c>
      <c r="AE669" s="675" t="s">
        <v>97</v>
      </c>
      <c r="AF669" s="223">
        <v>3</v>
      </c>
      <c r="AG669" s="223">
        <v>-9999</v>
      </c>
      <c r="AH669" s="223">
        <v>-9999</v>
      </c>
      <c r="AI669" s="223">
        <v>-9999</v>
      </c>
      <c r="AJ669" s="223">
        <v>-9999</v>
      </c>
      <c r="AK669" s="223">
        <v>-9999</v>
      </c>
      <c r="AL669" s="223">
        <v>-9999</v>
      </c>
      <c r="AM669" s="223">
        <v>-9999</v>
      </c>
      <c r="AN669" s="223" t="s">
        <v>631</v>
      </c>
      <c r="AO669" s="223">
        <v>-9999</v>
      </c>
      <c r="AP669" s="223">
        <v>-9999</v>
      </c>
      <c r="AQ669" s="223" t="s">
        <v>631</v>
      </c>
      <c r="AR669" s="223">
        <v>0</v>
      </c>
      <c r="AS669" s="223">
        <v>-9999</v>
      </c>
      <c r="AT669" s="223">
        <v>-9999</v>
      </c>
      <c r="AU669" s="223">
        <v>0</v>
      </c>
      <c r="AV669" s="223">
        <v>-9999</v>
      </c>
      <c r="AW669" s="223">
        <v>-9999</v>
      </c>
      <c r="AX669" s="223">
        <v>0</v>
      </c>
      <c r="AY669" s="223">
        <v>-9999</v>
      </c>
      <c r="AZ669" s="223">
        <v>-9999</v>
      </c>
      <c r="BA669" s="223">
        <v>-9999</v>
      </c>
      <c r="BB669" s="223" t="s">
        <v>631</v>
      </c>
      <c r="BC669" s="223">
        <v>-9999</v>
      </c>
      <c r="BD669" s="223">
        <v>-9999</v>
      </c>
      <c r="BE669" s="223">
        <v>-9999</v>
      </c>
      <c r="BF669" s="223">
        <v>-9999</v>
      </c>
      <c r="BG669" s="223">
        <v>-9999</v>
      </c>
      <c r="BH669" s="223">
        <v>-9999</v>
      </c>
      <c r="BI669" s="223" t="s">
        <v>1055</v>
      </c>
      <c r="BJ669" s="223">
        <v>-9999</v>
      </c>
      <c r="BK669" s="223">
        <v>-9999</v>
      </c>
      <c r="BL669" s="223">
        <v>-9999</v>
      </c>
      <c r="BM669" s="223">
        <v>-9999</v>
      </c>
      <c r="BN669" s="223">
        <v>-9999</v>
      </c>
      <c r="BO669" s="223">
        <v>-9999</v>
      </c>
      <c r="BP669" s="223">
        <v>-9999</v>
      </c>
      <c r="BQ669" s="223">
        <v>-9999</v>
      </c>
      <c r="BR669" s="223">
        <v>-9999</v>
      </c>
      <c r="BS669" s="242">
        <v>-9999</v>
      </c>
      <c r="BT669" s="223">
        <v>-9999</v>
      </c>
      <c r="BU669" s="223">
        <v>-9999</v>
      </c>
      <c r="BV669" s="223">
        <v>-9999</v>
      </c>
      <c r="BW669" s="223"/>
      <c r="BX669" s="223">
        <v>-9999</v>
      </c>
      <c r="BY669" s="223">
        <v>-9999</v>
      </c>
      <c r="BZ669" s="223">
        <v>-9999</v>
      </c>
      <c r="CA669" s="334" t="s">
        <v>797</v>
      </c>
      <c r="CB669" s="247"/>
      <c r="CC669" s="83">
        <v>1</v>
      </c>
      <c r="CD669" s="32">
        <v>3</v>
      </c>
      <c r="CE669" s="292"/>
      <c r="CF669" s="292"/>
      <c r="CG669" s="84">
        <v>3</v>
      </c>
    </row>
    <row r="670" spans="1:1873" s="23" customFormat="1" ht="25.5" x14ac:dyDescent="0.2">
      <c r="A670" s="304" t="s">
        <v>2090</v>
      </c>
      <c r="B670" s="223" t="s">
        <v>799</v>
      </c>
      <c r="C670" s="223" t="s">
        <v>1032</v>
      </c>
      <c r="D670" s="223" t="s">
        <v>619</v>
      </c>
      <c r="E670" s="305" t="s">
        <v>1451</v>
      </c>
      <c r="F670" s="241">
        <v>1</v>
      </c>
      <c r="G670" s="223">
        <v>4</v>
      </c>
      <c r="H670" s="242">
        <v>4</v>
      </c>
      <c r="I670" s="223" t="s">
        <v>807</v>
      </c>
      <c r="J670" s="450">
        <v>1988</v>
      </c>
      <c r="K670" s="560" t="s">
        <v>1211</v>
      </c>
      <c r="L670" s="450">
        <v>1990</v>
      </c>
      <c r="M670" s="243">
        <v>-9999</v>
      </c>
      <c r="N670" s="223">
        <v>-9999</v>
      </c>
      <c r="O670" s="29"/>
      <c r="P670" s="244">
        <f>+T670*G670</f>
        <v>14.96</v>
      </c>
      <c r="Q670" s="223">
        <v>-9999</v>
      </c>
      <c r="R670" s="243"/>
      <c r="S670" s="223"/>
      <c r="T670" s="243">
        <v>3.74</v>
      </c>
      <c r="U670" s="223">
        <v>-9999</v>
      </c>
      <c r="V670" s="223"/>
      <c r="W670" s="243">
        <v>-9999</v>
      </c>
      <c r="X670" s="223">
        <v>-9999</v>
      </c>
      <c r="Y670" s="223"/>
      <c r="Z670" s="561" t="s">
        <v>1702</v>
      </c>
      <c r="AA670" s="425">
        <f t="shared" si="73"/>
        <v>1682.0700000000002</v>
      </c>
      <c r="AB670" s="243">
        <v>-9999</v>
      </c>
      <c r="AC670" s="245">
        <v>4.0460000000000003</v>
      </c>
      <c r="AD670" s="560">
        <f t="shared" si="74"/>
        <v>3300</v>
      </c>
      <c r="AE670" s="675" t="s">
        <v>97</v>
      </c>
      <c r="AF670" s="223">
        <v>3</v>
      </c>
      <c r="AG670" s="223">
        <v>-9999</v>
      </c>
      <c r="AH670" s="223">
        <v>-9999</v>
      </c>
      <c r="AI670" s="223">
        <v>-9999</v>
      </c>
      <c r="AJ670" s="223">
        <v>-9999</v>
      </c>
      <c r="AK670" s="223">
        <v>-9999</v>
      </c>
      <c r="AL670" s="223">
        <v>-9999</v>
      </c>
      <c r="AM670" s="223">
        <v>-9999</v>
      </c>
      <c r="AN670" s="223" t="s">
        <v>631</v>
      </c>
      <c r="AO670" s="223">
        <v>-9999</v>
      </c>
      <c r="AP670" s="223">
        <v>-9999</v>
      </c>
      <c r="AQ670" s="223" t="s">
        <v>631</v>
      </c>
      <c r="AR670" s="223">
        <v>0</v>
      </c>
      <c r="AS670" s="223">
        <v>-9999</v>
      </c>
      <c r="AT670" s="223">
        <v>-9999</v>
      </c>
      <c r="AU670" s="223">
        <v>0</v>
      </c>
      <c r="AV670" s="223">
        <v>-9999</v>
      </c>
      <c r="AW670" s="223">
        <v>-9999</v>
      </c>
      <c r="AX670" s="223">
        <v>0</v>
      </c>
      <c r="AY670" s="223">
        <v>-9999</v>
      </c>
      <c r="AZ670" s="223">
        <v>-9999</v>
      </c>
      <c r="BA670" s="223">
        <v>-9999</v>
      </c>
      <c r="BB670" s="223" t="s">
        <v>631</v>
      </c>
      <c r="BC670" s="223">
        <v>-9999</v>
      </c>
      <c r="BD670" s="223">
        <v>-9999</v>
      </c>
      <c r="BE670" s="223">
        <v>-9999</v>
      </c>
      <c r="BF670" s="223">
        <v>-9999</v>
      </c>
      <c r="BG670" s="223">
        <v>-9999</v>
      </c>
      <c r="BH670" s="223">
        <v>-9999</v>
      </c>
      <c r="BI670" s="223" t="s">
        <v>1055</v>
      </c>
      <c r="BJ670" s="223">
        <v>-9999</v>
      </c>
      <c r="BK670" s="223">
        <v>-9999</v>
      </c>
      <c r="BL670" s="223">
        <v>-9999</v>
      </c>
      <c r="BM670" s="223">
        <v>-9999</v>
      </c>
      <c r="BN670" s="223">
        <v>-9999</v>
      </c>
      <c r="BO670" s="223">
        <v>-9999</v>
      </c>
      <c r="BP670" s="223">
        <v>-9999</v>
      </c>
      <c r="BQ670" s="223">
        <v>-9999</v>
      </c>
      <c r="BR670" s="223">
        <v>-9999</v>
      </c>
      <c r="BS670" s="242">
        <v>-9999</v>
      </c>
      <c r="BT670" s="223">
        <v>-9999</v>
      </c>
      <c r="BU670" s="223">
        <v>-9999</v>
      </c>
      <c r="BV670" s="223">
        <v>-9999</v>
      </c>
      <c r="BW670" s="223"/>
      <c r="BX670" s="223">
        <v>-9999</v>
      </c>
      <c r="BY670" s="223">
        <v>-9999</v>
      </c>
      <c r="BZ670" s="223">
        <v>-9999</v>
      </c>
      <c r="CA670" s="334" t="s">
        <v>797</v>
      </c>
      <c r="CB670" s="247"/>
      <c r="CC670" s="83">
        <v>1</v>
      </c>
      <c r="CD670" s="32">
        <v>4</v>
      </c>
      <c r="CE670" s="292">
        <v>3.74</v>
      </c>
      <c r="CF670" s="292"/>
      <c r="CG670" s="84">
        <v>4</v>
      </c>
    </row>
    <row r="671" spans="1:1873" s="23" customFormat="1" ht="25.5" x14ac:dyDescent="0.2">
      <c r="A671" s="304" t="s">
        <v>2090</v>
      </c>
      <c r="B671" s="223" t="s">
        <v>799</v>
      </c>
      <c r="C671" s="223" t="s">
        <v>1032</v>
      </c>
      <c r="D671" s="223" t="s">
        <v>619</v>
      </c>
      <c r="E671" s="305" t="s">
        <v>1451</v>
      </c>
      <c r="F671" s="241">
        <v>1</v>
      </c>
      <c r="G671" s="223">
        <v>5</v>
      </c>
      <c r="H671" s="242">
        <v>5</v>
      </c>
      <c r="I671" s="223" t="s">
        <v>807</v>
      </c>
      <c r="J671" s="450">
        <v>1988</v>
      </c>
      <c r="K671" s="560" t="s">
        <v>1211</v>
      </c>
      <c r="L671" s="450">
        <v>1991</v>
      </c>
      <c r="M671" s="243">
        <v>-9999</v>
      </c>
      <c r="N671" s="223">
        <v>-9999</v>
      </c>
      <c r="O671" s="29"/>
      <c r="P671" s="244">
        <f>+T671*G671</f>
        <v>21.65</v>
      </c>
      <c r="Q671" s="223">
        <v>-9999</v>
      </c>
      <c r="R671" s="243"/>
      <c r="S671" s="223"/>
      <c r="T671" s="243">
        <v>4.33</v>
      </c>
      <c r="U671" s="223">
        <v>-9999</v>
      </c>
      <c r="V671" s="223"/>
      <c r="W671" s="285">
        <f>+P671-P670</f>
        <v>6.6899999999999977</v>
      </c>
      <c r="X671" s="223">
        <v>-9999</v>
      </c>
      <c r="Y671" s="223"/>
      <c r="Z671" s="561" t="s">
        <v>1702</v>
      </c>
      <c r="AA671" s="425">
        <f t="shared" si="73"/>
        <v>1682.0700000000002</v>
      </c>
      <c r="AB671" s="243">
        <v>-9999</v>
      </c>
      <c r="AC671" s="245">
        <v>4.0460000000000003</v>
      </c>
      <c r="AD671" s="560">
        <f t="shared" si="74"/>
        <v>3300</v>
      </c>
      <c r="AE671" s="675" t="s">
        <v>97</v>
      </c>
      <c r="AF671" s="223">
        <v>3</v>
      </c>
      <c r="AG671" s="223">
        <v>-9999</v>
      </c>
      <c r="AH671" s="223">
        <v>-9999</v>
      </c>
      <c r="AI671" s="223">
        <v>-9999</v>
      </c>
      <c r="AJ671" s="223">
        <v>-9999</v>
      </c>
      <c r="AK671" s="223">
        <v>-9999</v>
      </c>
      <c r="AL671" s="223">
        <v>-9999</v>
      </c>
      <c r="AM671" s="223">
        <v>-9999</v>
      </c>
      <c r="AN671" s="223" t="s">
        <v>631</v>
      </c>
      <c r="AO671" s="223">
        <v>-9999</v>
      </c>
      <c r="AP671" s="223">
        <v>-9999</v>
      </c>
      <c r="AQ671" s="223" t="s">
        <v>631</v>
      </c>
      <c r="AR671" s="223">
        <v>0</v>
      </c>
      <c r="AS671" s="223">
        <v>-9999</v>
      </c>
      <c r="AT671" s="223">
        <v>-9999</v>
      </c>
      <c r="AU671" s="223">
        <v>0</v>
      </c>
      <c r="AV671" s="223">
        <v>-9999</v>
      </c>
      <c r="AW671" s="223">
        <v>-9999</v>
      </c>
      <c r="AX671" s="223">
        <v>0</v>
      </c>
      <c r="AY671" s="223">
        <v>-9999</v>
      </c>
      <c r="AZ671" s="223">
        <v>-9999</v>
      </c>
      <c r="BA671" s="223">
        <v>-9999</v>
      </c>
      <c r="BB671" s="223" t="s">
        <v>631</v>
      </c>
      <c r="BC671" s="223">
        <v>-9999</v>
      </c>
      <c r="BD671" s="223">
        <v>-9999</v>
      </c>
      <c r="BE671" s="223">
        <v>-9999</v>
      </c>
      <c r="BF671" s="223">
        <v>-9999</v>
      </c>
      <c r="BG671" s="223">
        <v>-9999</v>
      </c>
      <c r="BH671" s="223">
        <v>-9999</v>
      </c>
      <c r="BI671" s="223" t="s">
        <v>1055</v>
      </c>
      <c r="BJ671" s="223">
        <v>-9999</v>
      </c>
      <c r="BK671" s="223">
        <v>-9999</v>
      </c>
      <c r="BL671" s="223">
        <v>-9999</v>
      </c>
      <c r="BM671" s="223">
        <v>-9999</v>
      </c>
      <c r="BN671" s="223">
        <v>-9999</v>
      </c>
      <c r="BO671" s="223">
        <v>-9999</v>
      </c>
      <c r="BP671" s="223">
        <v>-9999</v>
      </c>
      <c r="BQ671" s="223">
        <v>-9999</v>
      </c>
      <c r="BR671" s="223">
        <v>-9999</v>
      </c>
      <c r="BS671" s="242">
        <v>-9999</v>
      </c>
      <c r="BT671" s="223">
        <v>-9999</v>
      </c>
      <c r="BU671" s="223">
        <v>-9999</v>
      </c>
      <c r="BV671" s="223">
        <v>-9999</v>
      </c>
      <c r="BW671" s="223"/>
      <c r="BX671" s="223">
        <v>-9999</v>
      </c>
      <c r="BY671" s="223">
        <v>-9999</v>
      </c>
      <c r="BZ671" s="223">
        <v>-9999</v>
      </c>
      <c r="CA671" s="334" t="s">
        <v>797</v>
      </c>
      <c r="CB671" s="247"/>
      <c r="CC671" s="83">
        <v>1</v>
      </c>
      <c r="CD671" s="32">
        <v>5</v>
      </c>
      <c r="CE671" s="292">
        <v>4.33</v>
      </c>
      <c r="CF671" s="292">
        <v>6.6899999999999977</v>
      </c>
      <c r="CG671" s="84">
        <v>5</v>
      </c>
    </row>
    <row r="672" spans="1:1873" s="202" customFormat="1" ht="25.5" x14ac:dyDescent="0.2">
      <c r="A672" s="304" t="s">
        <v>2090</v>
      </c>
      <c r="B672" s="223" t="s">
        <v>799</v>
      </c>
      <c r="C672" s="223" t="s">
        <v>1032</v>
      </c>
      <c r="D672" s="223" t="s">
        <v>619</v>
      </c>
      <c r="E672" s="241" t="s">
        <v>1451</v>
      </c>
      <c r="F672" s="241">
        <v>1</v>
      </c>
      <c r="G672" s="223">
        <v>6</v>
      </c>
      <c r="H672" s="242">
        <v>6</v>
      </c>
      <c r="I672" s="223" t="s">
        <v>807</v>
      </c>
      <c r="J672" s="450">
        <v>1988</v>
      </c>
      <c r="K672" s="560" t="s">
        <v>1211</v>
      </c>
      <c r="L672" s="450">
        <v>1992</v>
      </c>
      <c r="M672" s="243">
        <v>-9999</v>
      </c>
      <c r="N672" s="223">
        <v>-9999</v>
      </c>
      <c r="O672" s="29"/>
      <c r="P672" s="285">
        <f>+T672*G672</f>
        <v>28.619999999999997</v>
      </c>
      <c r="Q672" s="223">
        <v>-9999</v>
      </c>
      <c r="R672" s="243"/>
      <c r="S672" s="223"/>
      <c r="T672" s="243">
        <v>4.7699999999999996</v>
      </c>
      <c r="U672" s="223">
        <v>-9999</v>
      </c>
      <c r="V672" s="223"/>
      <c r="W672" s="244">
        <f>+P672-P671</f>
        <v>6.9699999999999989</v>
      </c>
      <c r="X672" s="223">
        <v>-9999</v>
      </c>
      <c r="Y672" s="223"/>
      <c r="Z672" s="561" t="s">
        <v>1702</v>
      </c>
      <c r="AA672" s="425">
        <f t="shared" si="73"/>
        <v>1682.0700000000002</v>
      </c>
      <c r="AB672" s="243">
        <v>-9999</v>
      </c>
      <c r="AC672" s="245">
        <v>4.0460000000000003</v>
      </c>
      <c r="AD672" s="560">
        <f t="shared" si="74"/>
        <v>3300</v>
      </c>
      <c r="AE672" s="675" t="s">
        <v>97</v>
      </c>
      <c r="AF672" s="223">
        <v>3</v>
      </c>
      <c r="AG672" s="223">
        <v>-9999</v>
      </c>
      <c r="AH672" s="223">
        <v>-9999</v>
      </c>
      <c r="AI672" s="223">
        <v>-9999</v>
      </c>
      <c r="AJ672" s="223">
        <v>-9999</v>
      </c>
      <c r="AK672" s="223">
        <v>-9999</v>
      </c>
      <c r="AL672" s="223">
        <v>-9999</v>
      </c>
      <c r="AM672" s="223">
        <v>-9999</v>
      </c>
      <c r="AN672" s="223" t="s">
        <v>631</v>
      </c>
      <c r="AO672" s="223">
        <v>-9999</v>
      </c>
      <c r="AP672" s="223">
        <v>-9999</v>
      </c>
      <c r="AQ672" s="223" t="s">
        <v>631</v>
      </c>
      <c r="AR672" s="223">
        <v>0</v>
      </c>
      <c r="AS672" s="223">
        <v>-9999</v>
      </c>
      <c r="AT672" s="223">
        <v>-9999</v>
      </c>
      <c r="AU672" s="223">
        <v>0</v>
      </c>
      <c r="AV672" s="223">
        <v>-9999</v>
      </c>
      <c r="AW672" s="223">
        <v>-9999</v>
      </c>
      <c r="AX672" s="223">
        <v>0</v>
      </c>
      <c r="AY672" s="223">
        <v>-9999</v>
      </c>
      <c r="AZ672" s="223">
        <v>-9999</v>
      </c>
      <c r="BA672" s="223">
        <v>-9999</v>
      </c>
      <c r="BB672" s="223" t="s">
        <v>631</v>
      </c>
      <c r="BC672" s="223">
        <v>-9999</v>
      </c>
      <c r="BD672" s="223">
        <v>-9999</v>
      </c>
      <c r="BE672" s="223">
        <v>-9999</v>
      </c>
      <c r="BF672" s="223">
        <v>-9999</v>
      </c>
      <c r="BG672" s="223">
        <v>-9999</v>
      </c>
      <c r="BH672" s="223">
        <v>-9999</v>
      </c>
      <c r="BI672" s="223" t="s">
        <v>1055</v>
      </c>
      <c r="BJ672" s="223">
        <v>-9999</v>
      </c>
      <c r="BK672" s="223">
        <v>-9999</v>
      </c>
      <c r="BL672" s="223">
        <v>-9999</v>
      </c>
      <c r="BM672" s="223">
        <v>-9999</v>
      </c>
      <c r="BN672" s="223">
        <v>-9999</v>
      </c>
      <c r="BO672" s="223">
        <v>-9999</v>
      </c>
      <c r="BP672" s="223">
        <v>-9999</v>
      </c>
      <c r="BQ672" s="223">
        <v>-9999</v>
      </c>
      <c r="BR672" s="223">
        <v>-9999</v>
      </c>
      <c r="BS672" s="242">
        <v>-9999</v>
      </c>
      <c r="BT672" s="223">
        <v>-9999</v>
      </c>
      <c r="BU672" s="223">
        <v>-9999</v>
      </c>
      <c r="BV672" s="223">
        <v>-9999</v>
      </c>
      <c r="BW672" s="223"/>
      <c r="BX672" s="223">
        <v>-9999</v>
      </c>
      <c r="BY672" s="223">
        <v>-9999</v>
      </c>
      <c r="BZ672" s="223">
        <v>-9999</v>
      </c>
      <c r="CA672" s="334" t="s">
        <v>797</v>
      </c>
      <c r="CB672" s="247"/>
      <c r="CC672" s="201">
        <v>1</v>
      </c>
      <c r="CD672" s="192">
        <v>6</v>
      </c>
      <c r="CE672" s="394">
        <v>4.7699999999999996</v>
      </c>
      <c r="CF672" s="292">
        <v>6.9699999999999989</v>
      </c>
      <c r="CG672" s="196">
        <v>6</v>
      </c>
      <c r="CH672" s="438" t="s">
        <v>1757</v>
      </c>
      <c r="CI672" s="23"/>
      <c r="CJ672" s="23"/>
      <c r="CK672" s="23"/>
      <c r="CL672" s="23"/>
      <c r="CM672" s="23"/>
      <c r="CN672" s="23"/>
      <c r="CO672" s="23"/>
      <c r="CP672" s="23"/>
      <c r="CQ672" s="23"/>
      <c r="CR672" s="23"/>
      <c r="CS672" s="23"/>
      <c r="CT672" s="23"/>
      <c r="CU672" s="23"/>
      <c r="CV672" s="23"/>
      <c r="CW672" s="23"/>
      <c r="CX672" s="23"/>
      <c r="CY672" s="23"/>
      <c r="CZ672" s="23"/>
      <c r="DA672" s="23"/>
      <c r="DB672" s="23"/>
      <c r="DC672" s="23"/>
      <c r="DD672" s="23"/>
      <c r="DE672" s="23"/>
      <c r="DF672" s="23"/>
      <c r="DG672" s="23"/>
      <c r="DH672" s="23"/>
      <c r="DI672" s="23"/>
      <c r="DJ672" s="23"/>
      <c r="DK672" s="23"/>
      <c r="DL672" s="23"/>
      <c r="DM672" s="23"/>
      <c r="DN672" s="23"/>
      <c r="DO672" s="23"/>
      <c r="DP672" s="23"/>
      <c r="DQ672" s="23"/>
      <c r="DR672" s="23"/>
      <c r="DS672" s="23"/>
      <c r="DT672" s="23"/>
      <c r="DU672" s="23"/>
      <c r="DV672" s="23"/>
      <c r="DW672" s="23"/>
      <c r="DX672" s="23"/>
      <c r="DY672" s="23"/>
      <c r="DZ672" s="23"/>
      <c r="EA672" s="23"/>
      <c r="EB672" s="23"/>
      <c r="EC672" s="23"/>
      <c r="ED672" s="23"/>
      <c r="EE672" s="23"/>
      <c r="EF672" s="23"/>
      <c r="EG672" s="23"/>
      <c r="EH672" s="23"/>
      <c r="EI672" s="23"/>
      <c r="EJ672" s="23"/>
      <c r="EK672" s="23"/>
      <c r="EL672" s="23"/>
      <c r="EM672" s="23"/>
      <c r="EN672" s="23"/>
      <c r="EO672" s="23"/>
      <c r="EP672" s="23"/>
      <c r="EQ672" s="23"/>
      <c r="ER672" s="23"/>
      <c r="ES672" s="23"/>
      <c r="ET672" s="23"/>
      <c r="EU672" s="23"/>
      <c r="EV672" s="23"/>
      <c r="EW672" s="23"/>
      <c r="EX672" s="23"/>
      <c r="EY672" s="23"/>
      <c r="EZ672" s="23"/>
      <c r="FA672" s="23"/>
      <c r="FB672" s="23"/>
      <c r="FC672" s="23"/>
      <c r="FD672" s="23"/>
      <c r="FE672" s="23"/>
      <c r="FF672" s="23"/>
      <c r="FG672" s="23"/>
      <c r="FH672" s="23"/>
      <c r="FI672" s="23"/>
      <c r="FJ672" s="23"/>
      <c r="FK672" s="23"/>
      <c r="FL672" s="23"/>
      <c r="FM672" s="23"/>
      <c r="FN672" s="23"/>
      <c r="FO672" s="23"/>
      <c r="FP672" s="23"/>
      <c r="FQ672" s="23"/>
      <c r="FR672" s="23"/>
      <c r="FS672" s="23"/>
      <c r="FT672" s="23"/>
      <c r="FU672" s="23"/>
      <c r="FV672" s="23"/>
      <c r="FW672" s="23"/>
      <c r="FX672" s="23"/>
      <c r="FY672" s="23"/>
      <c r="FZ672" s="23"/>
      <c r="GA672" s="23"/>
      <c r="GB672" s="23"/>
      <c r="GC672" s="23"/>
      <c r="GD672" s="23"/>
      <c r="GE672" s="23"/>
      <c r="GF672" s="23"/>
      <c r="GG672" s="23"/>
      <c r="GH672" s="23"/>
      <c r="GI672" s="23"/>
      <c r="GJ672" s="23"/>
      <c r="GK672" s="23"/>
      <c r="GL672" s="23"/>
      <c r="GM672" s="23"/>
      <c r="GN672" s="23"/>
      <c r="GO672" s="23"/>
      <c r="GP672" s="23"/>
      <c r="GQ672" s="23"/>
      <c r="GR672" s="23"/>
      <c r="GS672" s="23"/>
      <c r="GT672" s="23"/>
      <c r="GU672" s="23"/>
      <c r="GV672" s="23"/>
      <c r="GW672" s="23"/>
      <c r="GX672" s="23"/>
      <c r="GY672" s="23"/>
      <c r="GZ672" s="23"/>
      <c r="HA672" s="23"/>
      <c r="HB672" s="23"/>
      <c r="HC672" s="23"/>
      <c r="HD672" s="23"/>
      <c r="HE672" s="23"/>
      <c r="HF672" s="23"/>
      <c r="HG672" s="23"/>
      <c r="HH672" s="23"/>
      <c r="HI672" s="23"/>
      <c r="HJ672" s="23"/>
      <c r="HK672" s="23"/>
      <c r="HL672" s="23"/>
      <c r="HM672" s="23"/>
      <c r="HN672" s="23"/>
      <c r="HO672" s="23"/>
      <c r="HP672" s="23"/>
      <c r="HQ672" s="23"/>
      <c r="HR672" s="23"/>
      <c r="HS672" s="23"/>
      <c r="HT672" s="23"/>
      <c r="HU672" s="23"/>
      <c r="HV672" s="23"/>
      <c r="HW672" s="23"/>
      <c r="HX672" s="23"/>
      <c r="HY672" s="23"/>
      <c r="HZ672" s="23"/>
      <c r="IA672" s="23"/>
      <c r="IB672" s="23"/>
      <c r="IC672" s="23"/>
      <c r="ID672" s="23"/>
      <c r="IE672" s="23"/>
      <c r="IF672" s="23"/>
      <c r="IG672" s="23"/>
      <c r="IH672" s="23"/>
      <c r="II672" s="23"/>
      <c r="IJ672" s="23"/>
      <c r="IK672" s="23"/>
      <c r="IL672" s="23"/>
      <c r="IM672" s="23"/>
      <c r="IN672" s="23"/>
      <c r="IO672" s="23"/>
      <c r="IP672" s="23"/>
      <c r="IQ672" s="23"/>
      <c r="IR672" s="23"/>
      <c r="IS672" s="23"/>
      <c r="IT672" s="23"/>
      <c r="IU672" s="23"/>
      <c r="IV672" s="23"/>
      <c r="IW672" s="23"/>
      <c r="IX672" s="23"/>
      <c r="IY672" s="23"/>
      <c r="IZ672" s="23"/>
      <c r="JA672" s="23"/>
      <c r="JB672" s="23"/>
      <c r="JC672" s="23"/>
      <c r="JD672" s="23"/>
      <c r="JE672" s="23"/>
      <c r="JF672" s="23"/>
      <c r="JG672" s="23"/>
      <c r="JH672" s="23"/>
      <c r="JI672" s="23"/>
      <c r="JJ672" s="23"/>
      <c r="JK672" s="23"/>
      <c r="JL672" s="23"/>
      <c r="JM672" s="23"/>
      <c r="JN672" s="23"/>
      <c r="JO672" s="23"/>
      <c r="JP672" s="23"/>
      <c r="JQ672" s="23"/>
      <c r="JR672" s="23"/>
      <c r="JS672" s="23"/>
      <c r="JT672" s="23"/>
      <c r="JU672" s="23"/>
      <c r="JV672" s="23"/>
      <c r="JW672" s="23"/>
      <c r="JX672" s="23"/>
      <c r="JY672" s="23"/>
      <c r="JZ672" s="23"/>
      <c r="KA672" s="23"/>
      <c r="KB672" s="23"/>
      <c r="KC672" s="23"/>
      <c r="KD672" s="23"/>
      <c r="KE672" s="23"/>
      <c r="KF672" s="23"/>
      <c r="KG672" s="23"/>
      <c r="KH672" s="23"/>
      <c r="KI672" s="23"/>
      <c r="KJ672" s="23"/>
      <c r="KK672" s="23"/>
      <c r="KL672" s="23"/>
      <c r="KM672" s="23"/>
      <c r="KN672" s="23"/>
      <c r="KO672" s="23"/>
      <c r="KP672" s="23"/>
      <c r="KQ672" s="23"/>
      <c r="KR672" s="23"/>
      <c r="KS672" s="23"/>
      <c r="KT672" s="23"/>
      <c r="KU672" s="23"/>
      <c r="KV672" s="23"/>
      <c r="KW672" s="23"/>
      <c r="KX672" s="23"/>
      <c r="KY672" s="23"/>
      <c r="KZ672" s="23"/>
      <c r="LA672" s="23"/>
      <c r="LB672" s="23"/>
      <c r="LC672" s="23"/>
      <c r="LD672" s="23"/>
      <c r="LE672" s="23"/>
      <c r="LF672" s="23"/>
      <c r="LG672" s="23"/>
      <c r="LH672" s="23"/>
      <c r="LI672" s="23"/>
      <c r="LJ672" s="23"/>
      <c r="LK672" s="23"/>
      <c r="LL672" s="23"/>
      <c r="LM672" s="23"/>
      <c r="LN672" s="23"/>
      <c r="LO672" s="23"/>
      <c r="LP672" s="23"/>
      <c r="LQ672" s="23"/>
      <c r="LR672" s="23"/>
      <c r="LS672" s="23"/>
      <c r="LT672" s="23"/>
      <c r="LU672" s="23"/>
      <c r="LV672" s="23"/>
      <c r="LW672" s="23"/>
      <c r="LX672" s="23"/>
      <c r="LY672" s="23"/>
      <c r="LZ672" s="23"/>
      <c r="MA672" s="23"/>
      <c r="MB672" s="23"/>
      <c r="MC672" s="23"/>
      <c r="MD672" s="23"/>
      <c r="ME672" s="23"/>
      <c r="MF672" s="23"/>
      <c r="MG672" s="23"/>
      <c r="MH672" s="23"/>
      <c r="MI672" s="23"/>
      <c r="MJ672" s="23"/>
      <c r="MK672" s="23"/>
      <c r="ML672" s="23"/>
      <c r="MM672" s="23"/>
      <c r="MN672" s="23"/>
      <c r="MO672" s="23"/>
      <c r="MP672" s="23"/>
      <c r="MQ672" s="23"/>
      <c r="MR672" s="23"/>
      <c r="MS672" s="23"/>
      <c r="MT672" s="23"/>
      <c r="MU672" s="23"/>
      <c r="MV672" s="23"/>
      <c r="MW672" s="23"/>
      <c r="MX672" s="23"/>
      <c r="MY672" s="23"/>
      <c r="MZ672" s="23"/>
      <c r="NA672" s="23"/>
      <c r="NB672" s="23"/>
      <c r="NC672" s="23"/>
      <c r="ND672" s="23"/>
      <c r="NE672" s="23"/>
      <c r="NF672" s="23"/>
      <c r="NG672" s="23"/>
      <c r="NH672" s="23"/>
      <c r="NI672" s="23"/>
      <c r="NJ672" s="23"/>
      <c r="NK672" s="23"/>
      <c r="NL672" s="23"/>
      <c r="NM672" s="23"/>
      <c r="NN672" s="23"/>
      <c r="NO672" s="23"/>
      <c r="NP672" s="23"/>
      <c r="NQ672" s="23"/>
      <c r="NR672" s="23"/>
      <c r="NS672" s="23"/>
      <c r="NT672" s="23"/>
      <c r="NU672" s="23"/>
      <c r="NV672" s="23"/>
      <c r="NW672" s="23"/>
      <c r="NX672" s="23"/>
      <c r="NY672" s="23"/>
      <c r="NZ672" s="23"/>
      <c r="OA672" s="23"/>
      <c r="OB672" s="23"/>
      <c r="OC672" s="23"/>
      <c r="OD672" s="23"/>
      <c r="OE672" s="23"/>
      <c r="OF672" s="23"/>
      <c r="OG672" s="23"/>
      <c r="OH672" s="23"/>
      <c r="OI672" s="23"/>
      <c r="OJ672" s="23"/>
      <c r="OK672" s="23"/>
      <c r="OL672" s="23"/>
      <c r="OM672" s="23"/>
      <c r="ON672" s="23"/>
      <c r="OO672" s="23"/>
      <c r="OP672" s="23"/>
      <c r="OQ672" s="23"/>
      <c r="OR672" s="23"/>
      <c r="OS672" s="23"/>
      <c r="OT672" s="23"/>
      <c r="OU672" s="23"/>
      <c r="OV672" s="23"/>
      <c r="OW672" s="23"/>
      <c r="OX672" s="23"/>
      <c r="OY672" s="23"/>
      <c r="OZ672" s="23"/>
      <c r="PA672" s="23"/>
      <c r="PB672" s="23"/>
      <c r="PC672" s="23"/>
      <c r="PD672" s="23"/>
      <c r="PE672" s="23"/>
      <c r="PF672" s="23"/>
      <c r="PG672" s="23"/>
      <c r="PH672" s="23"/>
      <c r="PI672" s="23"/>
      <c r="PJ672" s="23"/>
      <c r="PK672" s="23"/>
      <c r="PL672" s="23"/>
      <c r="PM672" s="23"/>
      <c r="PN672" s="23"/>
      <c r="PO672" s="23"/>
      <c r="PP672" s="23"/>
      <c r="PQ672" s="23"/>
      <c r="PR672" s="23"/>
      <c r="PS672" s="23"/>
      <c r="PT672" s="23"/>
      <c r="PU672" s="23"/>
      <c r="PV672" s="23"/>
      <c r="PW672" s="23"/>
      <c r="PX672" s="23"/>
      <c r="PY672" s="23"/>
      <c r="PZ672" s="23"/>
      <c r="QA672" s="23"/>
      <c r="QB672" s="23"/>
      <c r="QC672" s="23"/>
      <c r="QD672" s="23"/>
      <c r="QE672" s="23"/>
      <c r="QF672" s="23"/>
      <c r="QG672" s="23"/>
      <c r="QH672" s="23"/>
      <c r="QI672" s="23"/>
      <c r="QJ672" s="23"/>
      <c r="QK672" s="23"/>
      <c r="QL672" s="23"/>
      <c r="QM672" s="23"/>
      <c r="QN672" s="23"/>
      <c r="QO672" s="23"/>
      <c r="QP672" s="23"/>
      <c r="QQ672" s="23"/>
      <c r="QR672" s="23"/>
      <c r="QS672" s="23"/>
      <c r="QT672" s="23"/>
      <c r="QU672" s="23"/>
      <c r="QV672" s="23"/>
      <c r="QW672" s="23"/>
      <c r="QX672" s="23"/>
      <c r="QY672" s="23"/>
      <c r="QZ672" s="23"/>
      <c r="RA672" s="23"/>
      <c r="RB672" s="23"/>
      <c r="RC672" s="23"/>
      <c r="RD672" s="23"/>
      <c r="RE672" s="23"/>
      <c r="RF672" s="23"/>
      <c r="RG672" s="23"/>
      <c r="RH672" s="23"/>
      <c r="RI672" s="23"/>
      <c r="RJ672" s="23"/>
      <c r="RK672" s="23"/>
      <c r="RL672" s="23"/>
      <c r="RM672" s="23"/>
      <c r="RN672" s="23"/>
      <c r="RO672" s="23"/>
      <c r="RP672" s="23"/>
      <c r="RQ672" s="23"/>
      <c r="RR672" s="23"/>
      <c r="RS672" s="23"/>
      <c r="RT672" s="23"/>
      <c r="RU672" s="23"/>
      <c r="RV672" s="23"/>
      <c r="RW672" s="23"/>
      <c r="RX672" s="23"/>
      <c r="RY672" s="23"/>
      <c r="RZ672" s="23"/>
      <c r="SA672" s="23"/>
      <c r="SB672" s="23"/>
      <c r="SC672" s="23"/>
      <c r="SD672" s="23"/>
      <c r="SE672" s="23"/>
      <c r="SF672" s="23"/>
      <c r="SG672" s="23"/>
      <c r="SH672" s="23"/>
      <c r="SI672" s="23"/>
      <c r="SJ672" s="23"/>
      <c r="SK672" s="23"/>
      <c r="SL672" s="23"/>
      <c r="SM672" s="23"/>
      <c r="SN672" s="23"/>
      <c r="SO672" s="23"/>
      <c r="SP672" s="23"/>
      <c r="SQ672" s="23"/>
      <c r="SR672" s="23"/>
      <c r="SS672" s="23"/>
      <c r="ST672" s="23"/>
      <c r="SU672" s="23"/>
      <c r="SV672" s="23"/>
      <c r="SW672" s="23"/>
      <c r="SX672" s="23"/>
      <c r="SY672" s="23"/>
      <c r="SZ672" s="23"/>
      <c r="TA672" s="23"/>
      <c r="TB672" s="23"/>
      <c r="TC672" s="23"/>
      <c r="TD672" s="23"/>
      <c r="TE672" s="23"/>
      <c r="TF672" s="23"/>
      <c r="TG672" s="23"/>
      <c r="TH672" s="23"/>
      <c r="TI672" s="23"/>
      <c r="TJ672" s="23"/>
      <c r="TK672" s="23"/>
      <c r="TL672" s="23"/>
      <c r="TM672" s="23"/>
      <c r="TN672" s="23"/>
      <c r="TO672" s="23"/>
      <c r="TP672" s="23"/>
      <c r="TQ672" s="23"/>
      <c r="TR672" s="23"/>
      <c r="TS672" s="23"/>
      <c r="TT672" s="23"/>
      <c r="TU672" s="23"/>
      <c r="TV672" s="23"/>
      <c r="TW672" s="23"/>
      <c r="TX672" s="23"/>
      <c r="TY672" s="23"/>
      <c r="TZ672" s="23"/>
      <c r="UA672" s="23"/>
      <c r="UB672" s="23"/>
      <c r="UC672" s="23"/>
      <c r="UD672" s="23"/>
      <c r="UE672" s="23"/>
      <c r="UF672" s="23"/>
      <c r="UG672" s="23"/>
      <c r="UH672" s="23"/>
      <c r="UI672" s="23"/>
      <c r="UJ672" s="23"/>
      <c r="UK672" s="23"/>
      <c r="UL672" s="23"/>
      <c r="UM672" s="23"/>
      <c r="UN672" s="23"/>
      <c r="UO672" s="23"/>
      <c r="UP672" s="23"/>
      <c r="UQ672" s="23"/>
      <c r="UR672" s="23"/>
      <c r="US672" s="23"/>
      <c r="UT672" s="23"/>
      <c r="UU672" s="23"/>
      <c r="UV672" s="23"/>
      <c r="UW672" s="23"/>
      <c r="UX672" s="23"/>
      <c r="UY672" s="23"/>
      <c r="UZ672" s="23"/>
      <c r="VA672" s="23"/>
      <c r="VB672" s="23"/>
      <c r="VC672" s="23"/>
      <c r="VD672" s="23"/>
      <c r="VE672" s="23"/>
      <c r="VF672" s="23"/>
      <c r="VG672" s="23"/>
      <c r="VH672" s="23"/>
      <c r="VI672" s="23"/>
      <c r="VJ672" s="23"/>
      <c r="VK672" s="23"/>
      <c r="VL672" s="23"/>
      <c r="VM672" s="23"/>
      <c r="VN672" s="23"/>
      <c r="VO672" s="23"/>
      <c r="VP672" s="23"/>
      <c r="VQ672" s="23"/>
      <c r="VR672" s="23"/>
      <c r="VS672" s="23"/>
      <c r="VT672" s="23"/>
      <c r="VU672" s="23"/>
      <c r="VV672" s="23"/>
      <c r="VW672" s="23"/>
      <c r="VX672" s="23"/>
      <c r="VY672" s="23"/>
      <c r="VZ672" s="23"/>
      <c r="WA672" s="23"/>
      <c r="WB672" s="23"/>
      <c r="WC672" s="23"/>
      <c r="WD672" s="23"/>
      <c r="WE672" s="23"/>
      <c r="WF672" s="23"/>
      <c r="WG672" s="23"/>
      <c r="WH672" s="23"/>
      <c r="WI672" s="23"/>
      <c r="WJ672" s="23"/>
      <c r="WK672" s="23"/>
      <c r="WL672" s="23"/>
      <c r="WM672" s="23"/>
      <c r="WN672" s="23"/>
      <c r="WO672" s="23"/>
      <c r="WP672" s="23"/>
      <c r="WQ672" s="23"/>
      <c r="WR672" s="23"/>
      <c r="WS672" s="23"/>
      <c r="WT672" s="23"/>
      <c r="WU672" s="23"/>
      <c r="WV672" s="23"/>
      <c r="WW672" s="23"/>
      <c r="WX672" s="23"/>
      <c r="WY672" s="23"/>
      <c r="WZ672" s="23"/>
      <c r="XA672" s="23"/>
      <c r="XB672" s="23"/>
      <c r="XC672" s="23"/>
      <c r="XD672" s="23"/>
      <c r="XE672" s="23"/>
      <c r="XF672" s="23"/>
      <c r="XG672" s="23"/>
      <c r="XH672" s="23"/>
      <c r="XI672" s="23"/>
      <c r="XJ672" s="23"/>
      <c r="XK672" s="23"/>
      <c r="XL672" s="23"/>
      <c r="XM672" s="23"/>
      <c r="XN672" s="23"/>
      <c r="XO672" s="23"/>
      <c r="XP672" s="23"/>
      <c r="XQ672" s="23"/>
      <c r="XR672" s="23"/>
      <c r="XS672" s="23"/>
      <c r="XT672" s="23"/>
      <c r="XU672" s="23"/>
      <c r="XV672" s="23"/>
      <c r="XW672" s="23"/>
      <c r="XX672" s="23"/>
      <c r="XY672" s="23"/>
      <c r="XZ672" s="23"/>
      <c r="YA672" s="23"/>
      <c r="YB672" s="23"/>
      <c r="YC672" s="23"/>
      <c r="YD672" s="23"/>
      <c r="YE672" s="23"/>
      <c r="YF672" s="23"/>
      <c r="YG672" s="23"/>
      <c r="YH672" s="23"/>
      <c r="YI672" s="23"/>
      <c r="YJ672" s="23"/>
      <c r="YK672" s="23"/>
      <c r="YL672" s="23"/>
      <c r="YM672" s="23"/>
      <c r="YN672" s="23"/>
      <c r="YO672" s="23"/>
      <c r="YP672" s="23"/>
      <c r="YQ672" s="23"/>
      <c r="YR672" s="23"/>
      <c r="YS672" s="23"/>
      <c r="YT672" s="23"/>
      <c r="YU672" s="23"/>
      <c r="YV672" s="23"/>
      <c r="YW672" s="23"/>
      <c r="YX672" s="23"/>
      <c r="YY672" s="23"/>
      <c r="YZ672" s="23"/>
      <c r="ZA672" s="23"/>
      <c r="ZB672" s="23"/>
      <c r="ZC672" s="23"/>
      <c r="ZD672" s="23"/>
      <c r="ZE672" s="23"/>
      <c r="ZF672" s="23"/>
      <c r="ZG672" s="23"/>
      <c r="ZH672" s="23"/>
      <c r="ZI672" s="23"/>
      <c r="ZJ672" s="23"/>
      <c r="ZK672" s="23"/>
      <c r="ZL672" s="23"/>
      <c r="ZM672" s="23"/>
      <c r="ZN672" s="23"/>
      <c r="ZO672" s="23"/>
      <c r="ZP672" s="23"/>
      <c r="ZQ672" s="23"/>
      <c r="ZR672" s="23"/>
      <c r="ZS672" s="23"/>
      <c r="ZT672" s="23"/>
      <c r="ZU672" s="23"/>
      <c r="ZV672" s="23"/>
      <c r="ZW672" s="23"/>
      <c r="ZX672" s="23"/>
      <c r="ZY672" s="23"/>
      <c r="ZZ672" s="23"/>
      <c r="AAA672" s="23"/>
      <c r="AAB672" s="23"/>
      <c r="AAC672" s="23"/>
      <c r="AAD672" s="23"/>
      <c r="AAE672" s="23"/>
      <c r="AAF672" s="23"/>
      <c r="AAG672" s="23"/>
      <c r="AAH672" s="23"/>
      <c r="AAI672" s="23"/>
      <c r="AAJ672" s="23"/>
      <c r="AAK672" s="23"/>
      <c r="AAL672" s="23"/>
      <c r="AAM672" s="23"/>
      <c r="AAN672" s="23"/>
      <c r="AAO672" s="23"/>
      <c r="AAP672" s="23"/>
      <c r="AAQ672" s="23"/>
      <c r="AAR672" s="23"/>
      <c r="AAS672" s="23"/>
      <c r="AAT672" s="23"/>
      <c r="AAU672" s="23"/>
      <c r="AAV672" s="23"/>
      <c r="AAW672" s="23"/>
      <c r="AAX672" s="23"/>
      <c r="AAY672" s="23"/>
      <c r="AAZ672" s="23"/>
      <c r="ABA672" s="23"/>
      <c r="ABB672" s="23"/>
      <c r="ABC672" s="23"/>
      <c r="ABD672" s="23"/>
      <c r="ABE672" s="23"/>
      <c r="ABF672" s="23"/>
      <c r="ABG672" s="23"/>
      <c r="ABH672" s="23"/>
      <c r="ABI672" s="23"/>
      <c r="ABJ672" s="23"/>
      <c r="ABK672" s="23"/>
      <c r="ABL672" s="23"/>
      <c r="ABM672" s="23"/>
      <c r="ABN672" s="23"/>
      <c r="ABO672" s="23"/>
      <c r="ABP672" s="23"/>
      <c r="ABQ672" s="23"/>
      <c r="ABR672" s="23"/>
      <c r="ABS672" s="23"/>
      <c r="ABT672" s="23"/>
      <c r="ABU672" s="23"/>
      <c r="ABV672" s="23"/>
      <c r="ABW672" s="23"/>
      <c r="ABX672" s="23"/>
      <c r="ABY672" s="23"/>
      <c r="ABZ672" s="23"/>
      <c r="ACA672" s="23"/>
      <c r="ACB672" s="23"/>
      <c r="ACC672" s="23"/>
      <c r="ACD672" s="23"/>
      <c r="ACE672" s="23"/>
      <c r="ACF672" s="23"/>
      <c r="ACG672" s="23"/>
      <c r="ACH672" s="23"/>
      <c r="ACI672" s="23"/>
      <c r="ACJ672" s="23"/>
      <c r="ACK672" s="23"/>
      <c r="ACL672" s="23"/>
      <c r="ACM672" s="23"/>
      <c r="ACN672" s="23"/>
      <c r="ACO672" s="23"/>
      <c r="ACP672" s="23"/>
      <c r="ACQ672" s="23"/>
      <c r="ACR672" s="23"/>
      <c r="ACS672" s="23"/>
      <c r="ACT672" s="23"/>
      <c r="ACU672" s="23"/>
      <c r="ACV672" s="23"/>
      <c r="ACW672" s="23"/>
      <c r="ACX672" s="23"/>
      <c r="ACY672" s="23"/>
      <c r="ACZ672" s="23"/>
      <c r="ADA672" s="23"/>
      <c r="ADB672" s="23"/>
      <c r="ADC672" s="23"/>
      <c r="ADD672" s="23"/>
      <c r="ADE672" s="23"/>
      <c r="ADF672" s="23"/>
      <c r="ADG672" s="23"/>
      <c r="ADH672" s="23"/>
      <c r="ADI672" s="23"/>
      <c r="ADJ672" s="23"/>
      <c r="ADK672" s="23"/>
      <c r="ADL672" s="23"/>
      <c r="ADM672" s="23"/>
      <c r="ADN672" s="23"/>
      <c r="ADO672" s="23"/>
      <c r="ADP672" s="23"/>
      <c r="ADQ672" s="23"/>
      <c r="ADR672" s="23"/>
      <c r="ADS672" s="23"/>
      <c r="ADT672" s="23"/>
      <c r="ADU672" s="23"/>
      <c r="ADV672" s="23"/>
      <c r="ADW672" s="23"/>
      <c r="ADX672" s="23"/>
      <c r="ADY672" s="23"/>
      <c r="ADZ672" s="23"/>
      <c r="AEA672" s="23"/>
      <c r="AEB672" s="23"/>
      <c r="AEC672" s="23"/>
      <c r="AED672" s="23"/>
      <c r="AEE672" s="23"/>
      <c r="AEF672" s="23"/>
      <c r="AEG672" s="23"/>
      <c r="AEH672" s="23"/>
      <c r="AEI672" s="23"/>
      <c r="AEJ672" s="23"/>
      <c r="AEK672" s="23"/>
      <c r="AEL672" s="23"/>
      <c r="AEM672" s="23"/>
      <c r="AEN672" s="23"/>
      <c r="AEO672" s="23"/>
      <c r="AEP672" s="23"/>
      <c r="AEQ672" s="23"/>
      <c r="AER672" s="23"/>
      <c r="AES672" s="23"/>
      <c r="AET672" s="23"/>
      <c r="AEU672" s="23"/>
      <c r="AEV672" s="23"/>
      <c r="AEW672" s="23"/>
      <c r="AEX672" s="23"/>
      <c r="AEY672" s="23"/>
      <c r="AEZ672" s="23"/>
      <c r="AFA672" s="23"/>
      <c r="AFB672" s="23"/>
      <c r="AFC672" s="23"/>
      <c r="AFD672" s="23"/>
      <c r="AFE672" s="23"/>
      <c r="AFF672" s="23"/>
      <c r="AFG672" s="23"/>
      <c r="AFH672" s="23"/>
      <c r="AFI672" s="23"/>
      <c r="AFJ672" s="23"/>
      <c r="AFK672" s="23"/>
      <c r="AFL672" s="23"/>
      <c r="AFM672" s="23"/>
      <c r="AFN672" s="23"/>
      <c r="AFO672" s="23"/>
      <c r="AFP672" s="23"/>
      <c r="AFQ672" s="23"/>
      <c r="AFR672" s="23"/>
      <c r="AFS672" s="23"/>
      <c r="AFT672" s="23"/>
      <c r="AFU672" s="23"/>
      <c r="AFV672" s="23"/>
      <c r="AFW672" s="23"/>
      <c r="AFX672" s="23"/>
      <c r="AFY672" s="23"/>
      <c r="AFZ672" s="23"/>
      <c r="AGA672" s="23"/>
      <c r="AGB672" s="23"/>
      <c r="AGC672" s="23"/>
      <c r="AGD672" s="23"/>
      <c r="AGE672" s="23"/>
      <c r="AGF672" s="23"/>
      <c r="AGG672" s="23"/>
      <c r="AGH672" s="23"/>
      <c r="AGI672" s="23"/>
      <c r="AGJ672" s="23"/>
      <c r="AGK672" s="23"/>
      <c r="AGL672" s="23"/>
      <c r="AGM672" s="23"/>
      <c r="AGN672" s="23"/>
      <c r="AGO672" s="23"/>
      <c r="AGP672" s="23"/>
      <c r="AGQ672" s="23"/>
      <c r="AGR672" s="23"/>
      <c r="AGS672" s="23"/>
      <c r="AGT672" s="23"/>
      <c r="AGU672" s="23"/>
      <c r="AGV672" s="23"/>
      <c r="AGW672" s="23"/>
      <c r="AGX672" s="23"/>
      <c r="AGY672" s="23"/>
      <c r="AGZ672" s="23"/>
      <c r="AHA672" s="23"/>
      <c r="AHB672" s="23"/>
      <c r="AHC672" s="23"/>
      <c r="AHD672" s="23"/>
      <c r="AHE672" s="23"/>
      <c r="AHF672" s="23"/>
      <c r="AHG672" s="23"/>
      <c r="AHH672" s="23"/>
      <c r="AHI672" s="23"/>
      <c r="AHJ672" s="23"/>
      <c r="AHK672" s="23"/>
      <c r="AHL672" s="23"/>
      <c r="AHM672" s="23"/>
      <c r="AHN672" s="23"/>
      <c r="AHO672" s="23"/>
      <c r="AHP672" s="23"/>
      <c r="AHQ672" s="23"/>
      <c r="AHR672" s="23"/>
      <c r="AHS672" s="23"/>
      <c r="AHT672" s="23"/>
      <c r="AHU672" s="23"/>
      <c r="AHV672" s="23"/>
      <c r="AHW672" s="23"/>
      <c r="AHX672" s="23"/>
      <c r="AHY672" s="23"/>
      <c r="AHZ672" s="23"/>
      <c r="AIA672" s="23"/>
      <c r="AIB672" s="23"/>
      <c r="AIC672" s="23"/>
      <c r="AID672" s="23"/>
      <c r="AIE672" s="23"/>
      <c r="AIF672" s="23"/>
      <c r="AIG672" s="23"/>
      <c r="AIH672" s="23"/>
      <c r="AII672" s="23"/>
      <c r="AIJ672" s="23"/>
      <c r="AIK672" s="23"/>
      <c r="AIL672" s="23"/>
      <c r="AIM672" s="23"/>
      <c r="AIN672" s="23"/>
      <c r="AIO672" s="23"/>
      <c r="AIP672" s="23"/>
      <c r="AIQ672" s="23"/>
      <c r="AIR672" s="23"/>
      <c r="AIS672" s="23"/>
      <c r="AIT672" s="23"/>
      <c r="AIU672" s="23"/>
      <c r="AIV672" s="23"/>
      <c r="AIW672" s="23"/>
      <c r="AIX672" s="23"/>
      <c r="AIY672" s="23"/>
      <c r="AIZ672" s="23"/>
      <c r="AJA672" s="23"/>
      <c r="AJB672" s="23"/>
      <c r="AJC672" s="23"/>
      <c r="AJD672" s="23"/>
      <c r="AJE672" s="23"/>
      <c r="AJF672" s="23"/>
      <c r="AJG672" s="23"/>
      <c r="AJH672" s="23"/>
      <c r="AJI672" s="23"/>
      <c r="AJJ672" s="23"/>
      <c r="AJK672" s="23"/>
      <c r="AJL672" s="23"/>
      <c r="AJM672" s="23"/>
      <c r="AJN672" s="23"/>
      <c r="AJO672" s="23"/>
      <c r="AJP672" s="23"/>
      <c r="AJQ672" s="23"/>
      <c r="AJR672" s="23"/>
      <c r="AJS672" s="23"/>
      <c r="AJT672" s="23"/>
      <c r="AJU672" s="23"/>
      <c r="AJV672" s="23"/>
      <c r="AJW672" s="23"/>
      <c r="AJX672" s="23"/>
      <c r="AJY672" s="23"/>
      <c r="AJZ672" s="23"/>
      <c r="AKA672" s="23"/>
      <c r="AKB672" s="23"/>
      <c r="AKC672" s="23"/>
      <c r="AKD672" s="23"/>
      <c r="AKE672" s="23"/>
      <c r="AKF672" s="23"/>
      <c r="AKG672" s="23"/>
      <c r="AKH672" s="23"/>
      <c r="AKI672" s="23"/>
      <c r="AKJ672" s="23"/>
      <c r="AKK672" s="23"/>
      <c r="AKL672" s="23"/>
      <c r="AKM672" s="23"/>
      <c r="AKN672" s="23"/>
      <c r="AKO672" s="23"/>
      <c r="AKP672" s="23"/>
      <c r="AKQ672" s="23"/>
      <c r="AKR672" s="23"/>
      <c r="AKS672" s="23"/>
      <c r="AKT672" s="23"/>
      <c r="AKU672" s="23"/>
      <c r="AKV672" s="23"/>
      <c r="AKW672" s="23"/>
      <c r="AKX672" s="23"/>
      <c r="AKY672" s="23"/>
      <c r="AKZ672" s="23"/>
      <c r="ALA672" s="23"/>
      <c r="ALB672" s="23"/>
      <c r="ALC672" s="23"/>
      <c r="ALD672" s="23"/>
      <c r="ALE672" s="23"/>
      <c r="ALF672" s="23"/>
      <c r="ALG672" s="23"/>
      <c r="ALH672" s="23"/>
      <c r="ALI672" s="23"/>
      <c r="ALJ672" s="23"/>
      <c r="ALK672" s="23"/>
      <c r="ALL672" s="23"/>
      <c r="ALM672" s="23"/>
      <c r="ALN672" s="23"/>
      <c r="ALO672" s="23"/>
      <c r="ALP672" s="23"/>
      <c r="ALQ672" s="23"/>
      <c r="ALR672" s="23"/>
      <c r="ALS672" s="23"/>
      <c r="ALT672" s="23"/>
      <c r="ALU672" s="23"/>
      <c r="ALV672" s="23"/>
      <c r="ALW672" s="23"/>
      <c r="ALX672" s="23"/>
      <c r="ALY672" s="23"/>
      <c r="ALZ672" s="23"/>
      <c r="AMA672" s="23"/>
      <c r="AMB672" s="23"/>
      <c r="AMC672" s="23"/>
      <c r="AMD672" s="23"/>
      <c r="AME672" s="23"/>
      <c r="AMF672" s="23"/>
      <c r="AMG672" s="23"/>
      <c r="AMH672" s="23"/>
      <c r="AMI672" s="23"/>
      <c r="AMJ672" s="23"/>
      <c r="AMK672" s="23"/>
      <c r="AML672" s="23"/>
      <c r="AMM672" s="23"/>
      <c r="AMN672" s="23"/>
      <c r="AMO672" s="23"/>
      <c r="AMP672" s="23"/>
      <c r="AMQ672" s="23"/>
      <c r="AMR672" s="23"/>
      <c r="AMS672" s="23"/>
      <c r="AMT672" s="23"/>
      <c r="AMU672" s="23"/>
      <c r="AMV672" s="23"/>
      <c r="AMW672" s="23"/>
      <c r="AMX672" s="23"/>
      <c r="AMY672" s="23"/>
      <c r="AMZ672" s="23"/>
      <c r="ANA672" s="23"/>
      <c r="ANB672" s="23"/>
      <c r="ANC672" s="23"/>
      <c r="AND672" s="23"/>
      <c r="ANE672" s="23"/>
      <c r="ANF672" s="23"/>
      <c r="ANG672" s="23"/>
      <c r="ANH672" s="23"/>
      <c r="ANI672" s="23"/>
      <c r="ANJ672" s="23"/>
      <c r="ANK672" s="23"/>
      <c r="ANL672" s="23"/>
      <c r="ANM672" s="23"/>
      <c r="ANN672" s="23"/>
      <c r="ANO672" s="23"/>
      <c r="ANP672" s="23"/>
      <c r="ANQ672" s="23"/>
      <c r="ANR672" s="23"/>
      <c r="ANS672" s="23"/>
      <c r="ANT672" s="23"/>
      <c r="ANU672" s="23"/>
      <c r="ANV672" s="23"/>
      <c r="ANW672" s="23"/>
      <c r="ANX672" s="23"/>
      <c r="ANY672" s="23"/>
      <c r="ANZ672" s="23"/>
      <c r="AOA672" s="23"/>
      <c r="AOB672" s="23"/>
      <c r="AOC672" s="23"/>
      <c r="AOD672" s="23"/>
      <c r="AOE672" s="23"/>
      <c r="AOF672" s="23"/>
      <c r="AOG672" s="23"/>
      <c r="AOH672" s="23"/>
      <c r="AOI672" s="23"/>
      <c r="AOJ672" s="23"/>
      <c r="AOK672" s="23"/>
      <c r="AOL672" s="23"/>
      <c r="AOM672" s="23"/>
      <c r="AON672" s="23"/>
      <c r="AOO672" s="23"/>
      <c r="AOP672" s="23"/>
      <c r="AOQ672" s="23"/>
      <c r="AOR672" s="23"/>
      <c r="AOS672" s="23"/>
      <c r="AOT672" s="23"/>
      <c r="AOU672" s="23"/>
      <c r="AOV672" s="23"/>
      <c r="AOW672" s="23"/>
      <c r="AOX672" s="23"/>
      <c r="AOY672" s="23"/>
      <c r="AOZ672" s="23"/>
      <c r="APA672" s="23"/>
      <c r="APB672" s="23"/>
      <c r="APC672" s="23"/>
      <c r="APD672" s="23"/>
      <c r="APE672" s="23"/>
      <c r="APF672" s="23"/>
      <c r="APG672" s="23"/>
      <c r="APH672" s="23"/>
      <c r="API672" s="23"/>
      <c r="APJ672" s="23"/>
      <c r="APK672" s="23"/>
      <c r="APL672" s="23"/>
      <c r="APM672" s="23"/>
      <c r="APN672" s="23"/>
      <c r="APO672" s="23"/>
      <c r="APP672" s="23"/>
      <c r="APQ672" s="23"/>
      <c r="APR672" s="23"/>
      <c r="APS672" s="23"/>
      <c r="APT672" s="23"/>
      <c r="APU672" s="23"/>
      <c r="APV672" s="23"/>
      <c r="APW672" s="23"/>
      <c r="APX672" s="23"/>
      <c r="APY672" s="23"/>
      <c r="APZ672" s="23"/>
      <c r="AQA672" s="23"/>
      <c r="AQB672" s="23"/>
      <c r="AQC672" s="23"/>
      <c r="AQD672" s="23"/>
      <c r="AQE672" s="23"/>
      <c r="AQF672" s="23"/>
      <c r="AQG672" s="23"/>
      <c r="AQH672" s="23"/>
      <c r="AQI672" s="23"/>
      <c r="AQJ672" s="23"/>
      <c r="AQK672" s="23"/>
      <c r="AQL672" s="23"/>
      <c r="AQM672" s="23"/>
      <c r="AQN672" s="23"/>
      <c r="AQO672" s="23"/>
      <c r="AQP672" s="23"/>
      <c r="AQQ672" s="23"/>
      <c r="AQR672" s="23"/>
      <c r="AQS672" s="23"/>
      <c r="AQT672" s="23"/>
      <c r="AQU672" s="23"/>
      <c r="AQV672" s="23"/>
      <c r="AQW672" s="23"/>
      <c r="AQX672" s="23"/>
      <c r="AQY672" s="23"/>
      <c r="AQZ672" s="23"/>
      <c r="ARA672" s="23"/>
      <c r="ARB672" s="23"/>
      <c r="ARC672" s="23"/>
      <c r="ARD672" s="23"/>
      <c r="ARE672" s="23"/>
      <c r="ARF672" s="23"/>
      <c r="ARG672" s="23"/>
      <c r="ARH672" s="23"/>
      <c r="ARI672" s="23"/>
      <c r="ARJ672" s="23"/>
      <c r="ARK672" s="23"/>
      <c r="ARL672" s="23"/>
      <c r="ARM672" s="23"/>
      <c r="ARN672" s="23"/>
      <c r="ARO672" s="23"/>
      <c r="ARP672" s="23"/>
      <c r="ARQ672" s="23"/>
      <c r="ARR672" s="23"/>
      <c r="ARS672" s="23"/>
      <c r="ART672" s="23"/>
      <c r="ARU672" s="23"/>
      <c r="ARV672" s="23"/>
      <c r="ARW672" s="23"/>
      <c r="ARX672" s="23"/>
      <c r="ARY672" s="23"/>
      <c r="ARZ672" s="23"/>
      <c r="ASA672" s="23"/>
      <c r="ASB672" s="23"/>
      <c r="ASC672" s="23"/>
      <c r="ASD672" s="23"/>
      <c r="ASE672" s="23"/>
      <c r="ASF672" s="23"/>
      <c r="ASG672" s="23"/>
      <c r="ASH672" s="23"/>
      <c r="ASI672" s="23"/>
      <c r="ASJ672" s="23"/>
      <c r="ASK672" s="23"/>
      <c r="ASL672" s="23"/>
      <c r="ASM672" s="23"/>
      <c r="ASN672" s="23"/>
      <c r="ASO672" s="23"/>
      <c r="ASP672" s="23"/>
      <c r="ASQ672" s="23"/>
      <c r="ASR672" s="23"/>
      <c r="ASS672" s="23"/>
      <c r="AST672" s="23"/>
      <c r="ASU672" s="23"/>
      <c r="ASV672" s="23"/>
      <c r="ASW672" s="23"/>
      <c r="ASX672" s="23"/>
      <c r="ASY672" s="23"/>
      <c r="ASZ672" s="23"/>
      <c r="ATA672" s="23"/>
      <c r="ATB672" s="23"/>
      <c r="ATC672" s="23"/>
      <c r="ATD672" s="23"/>
      <c r="ATE672" s="23"/>
      <c r="ATF672" s="23"/>
      <c r="ATG672" s="23"/>
      <c r="ATH672" s="23"/>
      <c r="ATI672" s="23"/>
      <c r="ATJ672" s="23"/>
      <c r="ATK672" s="23"/>
      <c r="ATL672" s="23"/>
      <c r="ATM672" s="23"/>
      <c r="ATN672" s="23"/>
      <c r="ATO672" s="23"/>
      <c r="ATP672" s="23"/>
      <c r="ATQ672" s="23"/>
      <c r="ATR672" s="23"/>
      <c r="ATS672" s="23"/>
      <c r="ATT672" s="23"/>
      <c r="ATU672" s="23"/>
      <c r="ATV672" s="23"/>
      <c r="ATW672" s="23"/>
      <c r="ATX672" s="23"/>
      <c r="ATY672" s="23"/>
      <c r="ATZ672" s="23"/>
      <c r="AUA672" s="23"/>
      <c r="AUB672" s="23"/>
      <c r="AUC672" s="23"/>
      <c r="AUD672" s="23"/>
      <c r="AUE672" s="23"/>
      <c r="AUF672" s="23"/>
      <c r="AUG672" s="23"/>
      <c r="AUH672" s="23"/>
      <c r="AUI672" s="23"/>
      <c r="AUJ672" s="23"/>
      <c r="AUK672" s="23"/>
      <c r="AUL672" s="23"/>
      <c r="AUM672" s="23"/>
      <c r="AUN672" s="23"/>
      <c r="AUO672" s="23"/>
      <c r="AUP672" s="23"/>
      <c r="AUQ672" s="23"/>
      <c r="AUR672" s="23"/>
      <c r="AUS672" s="23"/>
      <c r="AUT672" s="23"/>
      <c r="AUU672" s="23"/>
      <c r="AUV672" s="23"/>
      <c r="AUW672" s="23"/>
      <c r="AUX672" s="23"/>
      <c r="AUY672" s="23"/>
      <c r="AUZ672" s="23"/>
      <c r="AVA672" s="23"/>
      <c r="AVB672" s="23"/>
      <c r="AVC672" s="23"/>
      <c r="AVD672" s="23"/>
      <c r="AVE672" s="23"/>
      <c r="AVF672" s="23"/>
      <c r="AVG672" s="23"/>
      <c r="AVH672" s="23"/>
      <c r="AVI672" s="23"/>
      <c r="AVJ672" s="23"/>
      <c r="AVK672" s="23"/>
      <c r="AVL672" s="23"/>
      <c r="AVM672" s="23"/>
      <c r="AVN672" s="23"/>
      <c r="AVO672" s="23"/>
      <c r="AVP672" s="23"/>
      <c r="AVQ672" s="23"/>
      <c r="AVR672" s="23"/>
      <c r="AVS672" s="23"/>
      <c r="AVT672" s="23"/>
      <c r="AVU672" s="23"/>
      <c r="AVV672" s="23"/>
      <c r="AVW672" s="23"/>
      <c r="AVX672" s="23"/>
      <c r="AVY672" s="23"/>
      <c r="AVZ672" s="23"/>
      <c r="AWA672" s="23"/>
      <c r="AWB672" s="23"/>
      <c r="AWC672" s="23"/>
      <c r="AWD672" s="23"/>
      <c r="AWE672" s="23"/>
      <c r="AWF672" s="23"/>
      <c r="AWG672" s="23"/>
      <c r="AWH672" s="23"/>
      <c r="AWI672" s="23"/>
      <c r="AWJ672" s="23"/>
      <c r="AWK672" s="23"/>
      <c r="AWL672" s="23"/>
      <c r="AWM672" s="23"/>
      <c r="AWN672" s="23"/>
      <c r="AWO672" s="23"/>
      <c r="AWP672" s="23"/>
      <c r="AWQ672" s="23"/>
      <c r="AWR672" s="23"/>
      <c r="AWS672" s="23"/>
      <c r="AWT672" s="23"/>
      <c r="AWU672" s="23"/>
      <c r="AWV672" s="23"/>
      <c r="AWW672" s="23"/>
      <c r="AWX672" s="23"/>
      <c r="AWY672" s="23"/>
      <c r="AWZ672" s="23"/>
      <c r="AXA672" s="23"/>
      <c r="AXB672" s="23"/>
      <c r="AXC672" s="23"/>
      <c r="AXD672" s="23"/>
      <c r="AXE672" s="23"/>
      <c r="AXF672" s="23"/>
      <c r="AXG672" s="23"/>
      <c r="AXH672" s="23"/>
      <c r="AXI672" s="23"/>
      <c r="AXJ672" s="23"/>
      <c r="AXK672" s="23"/>
      <c r="AXL672" s="23"/>
      <c r="AXM672" s="23"/>
      <c r="AXN672" s="23"/>
      <c r="AXO672" s="23"/>
      <c r="AXP672" s="23"/>
      <c r="AXQ672" s="23"/>
      <c r="AXR672" s="23"/>
      <c r="AXS672" s="23"/>
      <c r="AXT672" s="23"/>
      <c r="AXU672" s="23"/>
      <c r="AXV672" s="23"/>
      <c r="AXW672" s="23"/>
      <c r="AXX672" s="23"/>
      <c r="AXY672" s="23"/>
      <c r="AXZ672" s="23"/>
      <c r="AYA672" s="23"/>
      <c r="AYB672" s="23"/>
      <c r="AYC672" s="23"/>
      <c r="AYD672" s="23"/>
      <c r="AYE672" s="23"/>
      <c r="AYF672" s="23"/>
      <c r="AYG672" s="23"/>
      <c r="AYH672" s="23"/>
      <c r="AYI672" s="23"/>
      <c r="AYJ672" s="23"/>
      <c r="AYK672" s="23"/>
      <c r="AYL672" s="23"/>
      <c r="AYM672" s="23"/>
      <c r="AYN672" s="23"/>
      <c r="AYO672" s="23"/>
      <c r="AYP672" s="23"/>
      <c r="AYQ672" s="23"/>
      <c r="AYR672" s="23"/>
      <c r="AYS672" s="23"/>
      <c r="AYT672" s="23"/>
      <c r="AYU672" s="23"/>
      <c r="AYV672" s="23"/>
      <c r="AYW672" s="23"/>
      <c r="AYX672" s="23"/>
      <c r="AYY672" s="23"/>
      <c r="AYZ672" s="23"/>
      <c r="AZA672" s="23"/>
      <c r="AZB672" s="23"/>
      <c r="AZC672" s="23"/>
      <c r="AZD672" s="23"/>
      <c r="AZE672" s="23"/>
      <c r="AZF672" s="23"/>
      <c r="AZG672" s="23"/>
      <c r="AZH672" s="23"/>
      <c r="AZI672" s="23"/>
      <c r="AZJ672" s="23"/>
      <c r="AZK672" s="23"/>
      <c r="AZL672" s="23"/>
      <c r="AZM672" s="23"/>
      <c r="AZN672" s="23"/>
      <c r="AZO672" s="23"/>
      <c r="AZP672" s="23"/>
      <c r="AZQ672" s="23"/>
      <c r="AZR672" s="23"/>
      <c r="AZS672" s="23"/>
      <c r="AZT672" s="23"/>
      <c r="AZU672" s="23"/>
      <c r="AZV672" s="23"/>
      <c r="AZW672" s="23"/>
      <c r="AZX672" s="23"/>
      <c r="AZY672" s="23"/>
      <c r="AZZ672" s="23"/>
      <c r="BAA672" s="23"/>
      <c r="BAB672" s="23"/>
      <c r="BAC672" s="23"/>
      <c r="BAD672" s="23"/>
      <c r="BAE672" s="23"/>
      <c r="BAF672" s="23"/>
      <c r="BAG672" s="23"/>
      <c r="BAH672" s="23"/>
      <c r="BAI672" s="23"/>
      <c r="BAJ672" s="23"/>
      <c r="BAK672" s="23"/>
      <c r="BAL672" s="23"/>
      <c r="BAM672" s="23"/>
      <c r="BAN672" s="23"/>
      <c r="BAO672" s="23"/>
      <c r="BAP672" s="23"/>
      <c r="BAQ672" s="23"/>
      <c r="BAR672" s="23"/>
      <c r="BAS672" s="23"/>
      <c r="BAT672" s="23"/>
      <c r="BAU672" s="23"/>
      <c r="BAV672" s="23"/>
      <c r="BAW672" s="23"/>
      <c r="BAX672" s="23"/>
      <c r="BAY672" s="23"/>
      <c r="BAZ672" s="23"/>
      <c r="BBA672" s="23"/>
      <c r="BBB672" s="23"/>
      <c r="BBC672" s="23"/>
      <c r="BBD672" s="23"/>
      <c r="BBE672" s="23"/>
      <c r="BBF672" s="23"/>
      <c r="BBG672" s="23"/>
      <c r="BBH672" s="23"/>
      <c r="BBI672" s="23"/>
      <c r="BBJ672" s="23"/>
      <c r="BBK672" s="23"/>
      <c r="BBL672" s="23"/>
      <c r="BBM672" s="23"/>
      <c r="BBN672" s="23"/>
      <c r="BBO672" s="23"/>
      <c r="BBP672" s="23"/>
      <c r="BBQ672" s="23"/>
      <c r="BBR672" s="23"/>
      <c r="BBS672" s="23"/>
      <c r="BBT672" s="23"/>
      <c r="BBU672" s="23"/>
      <c r="BBV672" s="23"/>
      <c r="BBW672" s="23"/>
      <c r="BBX672" s="23"/>
      <c r="BBY672" s="23"/>
      <c r="BBZ672" s="23"/>
      <c r="BCA672" s="23"/>
      <c r="BCB672" s="23"/>
      <c r="BCC672" s="23"/>
      <c r="BCD672" s="23"/>
      <c r="BCE672" s="23"/>
      <c r="BCF672" s="23"/>
      <c r="BCG672" s="23"/>
      <c r="BCH672" s="23"/>
      <c r="BCI672" s="23"/>
      <c r="BCJ672" s="23"/>
      <c r="BCK672" s="23"/>
      <c r="BCL672" s="23"/>
      <c r="BCM672" s="23"/>
      <c r="BCN672" s="23"/>
      <c r="BCO672" s="23"/>
      <c r="BCP672" s="23"/>
      <c r="BCQ672" s="23"/>
      <c r="BCR672" s="23"/>
      <c r="BCS672" s="23"/>
      <c r="BCT672" s="23"/>
      <c r="BCU672" s="23"/>
      <c r="BCV672" s="23"/>
      <c r="BCW672" s="23"/>
      <c r="BCX672" s="23"/>
      <c r="BCY672" s="23"/>
      <c r="BCZ672" s="23"/>
      <c r="BDA672" s="23"/>
      <c r="BDB672" s="23"/>
      <c r="BDC672" s="23"/>
      <c r="BDD672" s="23"/>
      <c r="BDE672" s="23"/>
      <c r="BDF672" s="23"/>
      <c r="BDG672" s="23"/>
      <c r="BDH672" s="23"/>
      <c r="BDI672" s="23"/>
      <c r="BDJ672" s="23"/>
      <c r="BDK672" s="23"/>
      <c r="BDL672" s="23"/>
      <c r="BDM672" s="23"/>
      <c r="BDN672" s="23"/>
      <c r="BDO672" s="23"/>
      <c r="BDP672" s="23"/>
      <c r="BDQ672" s="23"/>
      <c r="BDR672" s="23"/>
      <c r="BDS672" s="23"/>
      <c r="BDT672" s="23"/>
      <c r="BDU672" s="23"/>
      <c r="BDV672" s="23"/>
      <c r="BDW672" s="23"/>
      <c r="BDX672" s="23"/>
      <c r="BDY672" s="23"/>
      <c r="BDZ672" s="23"/>
      <c r="BEA672" s="23"/>
      <c r="BEB672" s="23"/>
      <c r="BEC672" s="23"/>
      <c r="BED672" s="23"/>
      <c r="BEE672" s="23"/>
      <c r="BEF672" s="23"/>
      <c r="BEG672" s="23"/>
      <c r="BEH672" s="23"/>
      <c r="BEI672" s="23"/>
      <c r="BEJ672" s="23"/>
      <c r="BEK672" s="23"/>
      <c r="BEL672" s="23"/>
      <c r="BEM672" s="23"/>
      <c r="BEN672" s="23"/>
      <c r="BEO672" s="23"/>
      <c r="BEP672" s="23"/>
      <c r="BEQ672" s="23"/>
      <c r="BER672" s="23"/>
      <c r="BES672" s="23"/>
      <c r="BET672" s="23"/>
      <c r="BEU672" s="23"/>
      <c r="BEV672" s="23"/>
      <c r="BEW672" s="23"/>
      <c r="BEX672" s="23"/>
      <c r="BEY672" s="23"/>
      <c r="BEZ672" s="23"/>
      <c r="BFA672" s="23"/>
      <c r="BFB672" s="23"/>
      <c r="BFC672" s="23"/>
      <c r="BFD672" s="23"/>
      <c r="BFE672" s="23"/>
      <c r="BFF672" s="23"/>
      <c r="BFG672" s="23"/>
      <c r="BFH672" s="23"/>
      <c r="BFI672" s="23"/>
      <c r="BFJ672" s="23"/>
      <c r="BFK672" s="23"/>
      <c r="BFL672" s="23"/>
      <c r="BFM672" s="23"/>
      <c r="BFN672" s="23"/>
      <c r="BFO672" s="23"/>
      <c r="BFP672" s="23"/>
      <c r="BFQ672" s="23"/>
      <c r="BFR672" s="23"/>
      <c r="BFS672" s="23"/>
      <c r="BFT672" s="23"/>
      <c r="BFU672" s="23"/>
      <c r="BFV672" s="23"/>
      <c r="BFW672" s="23"/>
      <c r="BFX672" s="23"/>
      <c r="BFY672" s="23"/>
      <c r="BFZ672" s="23"/>
      <c r="BGA672" s="23"/>
      <c r="BGB672" s="23"/>
      <c r="BGC672" s="23"/>
      <c r="BGD672" s="23"/>
      <c r="BGE672" s="23"/>
      <c r="BGF672" s="23"/>
      <c r="BGG672" s="23"/>
      <c r="BGH672" s="23"/>
      <c r="BGI672" s="23"/>
      <c r="BGJ672" s="23"/>
      <c r="BGK672" s="23"/>
      <c r="BGL672" s="23"/>
      <c r="BGM672" s="23"/>
      <c r="BGN672" s="23"/>
      <c r="BGO672" s="23"/>
      <c r="BGP672" s="23"/>
      <c r="BGQ672" s="23"/>
      <c r="BGR672" s="23"/>
      <c r="BGS672" s="23"/>
      <c r="BGT672" s="23"/>
      <c r="BGU672" s="23"/>
      <c r="BGV672" s="23"/>
      <c r="BGW672" s="23"/>
      <c r="BGX672" s="23"/>
      <c r="BGY672" s="23"/>
      <c r="BGZ672" s="23"/>
      <c r="BHA672" s="23"/>
      <c r="BHB672" s="23"/>
      <c r="BHC672" s="23"/>
      <c r="BHD672" s="23"/>
      <c r="BHE672" s="23"/>
      <c r="BHF672" s="23"/>
      <c r="BHG672" s="23"/>
      <c r="BHH672" s="23"/>
      <c r="BHI672" s="23"/>
      <c r="BHJ672" s="23"/>
      <c r="BHK672" s="23"/>
      <c r="BHL672" s="23"/>
      <c r="BHM672" s="23"/>
      <c r="BHN672" s="23"/>
      <c r="BHO672" s="23"/>
      <c r="BHP672" s="23"/>
      <c r="BHQ672" s="23"/>
      <c r="BHR672" s="23"/>
      <c r="BHS672" s="23"/>
      <c r="BHT672" s="23"/>
      <c r="BHU672" s="23"/>
      <c r="BHV672" s="23"/>
      <c r="BHW672" s="23"/>
      <c r="BHX672" s="23"/>
      <c r="BHY672" s="23"/>
      <c r="BHZ672" s="23"/>
      <c r="BIA672" s="23"/>
      <c r="BIB672" s="23"/>
      <c r="BIC672" s="23"/>
      <c r="BID672" s="23"/>
      <c r="BIE672" s="23"/>
      <c r="BIF672" s="23"/>
      <c r="BIG672" s="23"/>
      <c r="BIH672" s="23"/>
      <c r="BII672" s="23"/>
      <c r="BIJ672" s="23"/>
      <c r="BIK672" s="23"/>
      <c r="BIL672" s="23"/>
      <c r="BIM672" s="23"/>
      <c r="BIN672" s="23"/>
      <c r="BIO672" s="23"/>
      <c r="BIP672" s="23"/>
      <c r="BIQ672" s="23"/>
      <c r="BIR672" s="23"/>
      <c r="BIS672" s="23"/>
      <c r="BIT672" s="23"/>
      <c r="BIU672" s="23"/>
      <c r="BIV672" s="23"/>
      <c r="BIW672" s="23"/>
      <c r="BIX672" s="23"/>
      <c r="BIY672" s="23"/>
      <c r="BIZ672" s="23"/>
      <c r="BJA672" s="23"/>
      <c r="BJB672" s="23"/>
      <c r="BJC672" s="23"/>
      <c r="BJD672" s="23"/>
      <c r="BJE672" s="23"/>
      <c r="BJF672" s="23"/>
      <c r="BJG672" s="23"/>
      <c r="BJH672" s="23"/>
      <c r="BJI672" s="23"/>
      <c r="BJJ672" s="23"/>
      <c r="BJK672" s="23"/>
      <c r="BJL672" s="23"/>
      <c r="BJM672" s="23"/>
      <c r="BJN672" s="23"/>
      <c r="BJO672" s="23"/>
      <c r="BJP672" s="23"/>
      <c r="BJQ672" s="23"/>
      <c r="BJR672" s="23"/>
      <c r="BJS672" s="23"/>
      <c r="BJT672" s="23"/>
      <c r="BJU672" s="23"/>
      <c r="BJV672" s="23"/>
      <c r="BJW672" s="23"/>
      <c r="BJX672" s="23"/>
      <c r="BJY672" s="23"/>
      <c r="BJZ672" s="23"/>
      <c r="BKA672" s="23"/>
      <c r="BKB672" s="23"/>
      <c r="BKC672" s="23"/>
      <c r="BKD672" s="23"/>
      <c r="BKE672" s="23"/>
      <c r="BKF672" s="23"/>
      <c r="BKG672" s="23"/>
      <c r="BKH672" s="23"/>
      <c r="BKI672" s="23"/>
      <c r="BKJ672" s="23"/>
      <c r="BKK672" s="23"/>
      <c r="BKL672" s="23"/>
      <c r="BKM672" s="23"/>
      <c r="BKN672" s="23"/>
      <c r="BKO672" s="23"/>
      <c r="BKP672" s="23"/>
      <c r="BKQ672" s="23"/>
      <c r="BKR672" s="23"/>
      <c r="BKS672" s="23"/>
      <c r="BKT672" s="23"/>
      <c r="BKU672" s="23"/>
      <c r="BKV672" s="23"/>
      <c r="BKW672" s="23"/>
      <c r="BKX672" s="23"/>
      <c r="BKY672" s="23"/>
      <c r="BKZ672" s="23"/>
      <c r="BLA672" s="23"/>
      <c r="BLB672" s="23"/>
      <c r="BLC672" s="23"/>
      <c r="BLD672" s="23"/>
      <c r="BLE672" s="23"/>
      <c r="BLF672" s="23"/>
      <c r="BLG672" s="23"/>
      <c r="BLH672" s="23"/>
      <c r="BLI672" s="23"/>
      <c r="BLJ672" s="23"/>
      <c r="BLK672" s="23"/>
      <c r="BLL672" s="23"/>
      <c r="BLM672" s="23"/>
      <c r="BLN672" s="23"/>
      <c r="BLO672" s="23"/>
      <c r="BLP672" s="23"/>
      <c r="BLQ672" s="23"/>
      <c r="BLR672" s="23"/>
      <c r="BLS672" s="23"/>
      <c r="BLT672" s="23"/>
      <c r="BLU672" s="23"/>
      <c r="BLV672" s="23"/>
      <c r="BLW672" s="23"/>
      <c r="BLX672" s="23"/>
      <c r="BLY672" s="23"/>
      <c r="BLZ672" s="23"/>
      <c r="BMA672" s="23"/>
      <c r="BMB672" s="23"/>
      <c r="BMC672" s="23"/>
      <c r="BMD672" s="23"/>
      <c r="BME672" s="23"/>
      <c r="BMF672" s="23"/>
      <c r="BMG672" s="23"/>
      <c r="BMH672" s="23"/>
      <c r="BMI672" s="23"/>
      <c r="BMJ672" s="23"/>
      <c r="BMK672" s="23"/>
      <c r="BML672" s="23"/>
      <c r="BMM672" s="23"/>
      <c r="BMN672" s="23"/>
      <c r="BMO672" s="23"/>
      <c r="BMP672" s="23"/>
      <c r="BMQ672" s="23"/>
      <c r="BMR672" s="23"/>
      <c r="BMS672" s="23"/>
      <c r="BMT672" s="23"/>
      <c r="BMU672" s="23"/>
      <c r="BMV672" s="23"/>
      <c r="BMW672" s="23"/>
      <c r="BMX672" s="23"/>
      <c r="BMY672" s="23"/>
      <c r="BMZ672" s="23"/>
      <c r="BNA672" s="23"/>
      <c r="BNB672" s="23"/>
      <c r="BNC672" s="23"/>
      <c r="BND672" s="23"/>
      <c r="BNE672" s="23"/>
      <c r="BNF672" s="23"/>
      <c r="BNG672" s="23"/>
      <c r="BNH672" s="23"/>
      <c r="BNI672" s="23"/>
      <c r="BNJ672" s="23"/>
      <c r="BNK672" s="23"/>
      <c r="BNL672" s="23"/>
      <c r="BNM672" s="23"/>
      <c r="BNN672" s="23"/>
      <c r="BNO672" s="23"/>
      <c r="BNP672" s="23"/>
      <c r="BNQ672" s="23"/>
      <c r="BNR672" s="23"/>
      <c r="BNS672" s="23"/>
      <c r="BNT672" s="23"/>
      <c r="BNU672" s="23"/>
      <c r="BNV672" s="23"/>
      <c r="BNW672" s="23"/>
      <c r="BNX672" s="23"/>
      <c r="BNY672" s="23"/>
      <c r="BNZ672" s="23"/>
      <c r="BOA672" s="23"/>
      <c r="BOB672" s="23"/>
      <c r="BOC672" s="23"/>
      <c r="BOD672" s="23"/>
      <c r="BOE672" s="23"/>
      <c r="BOF672" s="23"/>
      <c r="BOG672" s="23"/>
      <c r="BOH672" s="23"/>
      <c r="BOI672" s="23"/>
      <c r="BOJ672" s="23"/>
      <c r="BOK672" s="23"/>
      <c r="BOL672" s="23"/>
      <c r="BOM672" s="23"/>
      <c r="BON672" s="23"/>
      <c r="BOO672" s="23"/>
      <c r="BOP672" s="23"/>
      <c r="BOQ672" s="23"/>
      <c r="BOR672" s="23"/>
      <c r="BOS672" s="23"/>
      <c r="BOT672" s="23"/>
      <c r="BOU672" s="23"/>
      <c r="BOV672" s="23"/>
      <c r="BOW672" s="23"/>
      <c r="BOX672" s="23"/>
      <c r="BOY672" s="23"/>
      <c r="BOZ672" s="23"/>
      <c r="BPA672" s="23"/>
      <c r="BPB672" s="23"/>
      <c r="BPC672" s="23"/>
      <c r="BPD672" s="23"/>
      <c r="BPE672" s="23"/>
      <c r="BPF672" s="23"/>
      <c r="BPG672" s="23"/>
      <c r="BPH672" s="23"/>
      <c r="BPI672" s="23"/>
      <c r="BPJ672" s="23"/>
      <c r="BPK672" s="23"/>
      <c r="BPL672" s="23"/>
      <c r="BPM672" s="23"/>
      <c r="BPN672" s="23"/>
      <c r="BPO672" s="23"/>
      <c r="BPP672" s="23"/>
      <c r="BPQ672" s="23"/>
      <c r="BPR672" s="23"/>
      <c r="BPS672" s="23"/>
      <c r="BPT672" s="23"/>
      <c r="BPU672" s="23"/>
      <c r="BPV672" s="23"/>
      <c r="BPW672" s="23"/>
      <c r="BPX672" s="23"/>
      <c r="BPY672" s="23"/>
      <c r="BPZ672" s="23"/>
      <c r="BQA672" s="23"/>
      <c r="BQB672" s="23"/>
      <c r="BQC672" s="23"/>
      <c r="BQD672" s="23"/>
      <c r="BQE672" s="23"/>
      <c r="BQF672" s="23"/>
      <c r="BQG672" s="23"/>
      <c r="BQH672" s="23"/>
      <c r="BQI672" s="23"/>
      <c r="BQJ672" s="23"/>
      <c r="BQK672" s="23"/>
      <c r="BQL672" s="23"/>
      <c r="BQM672" s="23"/>
      <c r="BQN672" s="23"/>
      <c r="BQO672" s="23"/>
      <c r="BQP672" s="23"/>
      <c r="BQQ672" s="23"/>
      <c r="BQR672" s="23"/>
      <c r="BQS672" s="23"/>
      <c r="BQT672" s="23"/>
      <c r="BQU672" s="23"/>
      <c r="BQV672" s="23"/>
      <c r="BQW672" s="23"/>
      <c r="BQX672" s="23"/>
      <c r="BQY672" s="23"/>
      <c r="BQZ672" s="23"/>
      <c r="BRA672" s="23"/>
      <c r="BRB672" s="23"/>
      <c r="BRC672" s="23"/>
      <c r="BRD672" s="23"/>
      <c r="BRE672" s="23"/>
      <c r="BRF672" s="23"/>
      <c r="BRG672" s="23"/>
      <c r="BRH672" s="23"/>
      <c r="BRI672" s="23"/>
      <c r="BRJ672" s="23"/>
      <c r="BRK672" s="23"/>
      <c r="BRL672" s="23"/>
      <c r="BRM672" s="23"/>
      <c r="BRN672" s="23"/>
      <c r="BRO672" s="23"/>
      <c r="BRP672" s="23"/>
      <c r="BRQ672" s="23"/>
      <c r="BRR672" s="23"/>
      <c r="BRS672" s="23"/>
      <c r="BRT672" s="23"/>
      <c r="BRU672" s="23"/>
      <c r="BRV672" s="23"/>
      <c r="BRW672" s="23"/>
      <c r="BRX672" s="23"/>
      <c r="BRY672" s="23"/>
      <c r="BRZ672" s="23"/>
      <c r="BSA672" s="23"/>
      <c r="BSB672" s="23"/>
      <c r="BSC672" s="23"/>
      <c r="BSD672" s="23"/>
      <c r="BSE672" s="23"/>
      <c r="BSF672" s="23"/>
      <c r="BSG672" s="23"/>
      <c r="BSH672" s="23"/>
      <c r="BSI672" s="23"/>
      <c r="BSJ672" s="23"/>
      <c r="BSK672" s="23"/>
      <c r="BSL672" s="23"/>
      <c r="BSM672" s="23"/>
      <c r="BSN672" s="23"/>
      <c r="BSO672" s="23"/>
      <c r="BSP672" s="23"/>
      <c r="BSQ672" s="23"/>
      <c r="BSR672" s="23"/>
      <c r="BSS672" s="23"/>
      <c r="BST672" s="23"/>
      <c r="BSU672" s="23"/>
      <c r="BSV672" s="23"/>
      <c r="BSW672" s="23"/>
      <c r="BSX672" s="23"/>
      <c r="BSY672" s="23"/>
      <c r="BSZ672" s="23"/>
      <c r="BTA672" s="23"/>
    </row>
    <row r="673" spans="1:1873" s="23" customFormat="1" ht="25.5" x14ac:dyDescent="0.2">
      <c r="A673" s="304" t="s">
        <v>2090</v>
      </c>
      <c r="B673" s="223" t="s">
        <v>799</v>
      </c>
      <c r="C673" s="223" t="s">
        <v>1032</v>
      </c>
      <c r="D673" s="223" t="s">
        <v>619</v>
      </c>
      <c r="E673" s="305" t="s">
        <v>1451</v>
      </c>
      <c r="F673" s="241">
        <v>1</v>
      </c>
      <c r="G673" s="223">
        <v>7</v>
      </c>
      <c r="H673" s="242">
        <v>7</v>
      </c>
      <c r="I673" s="223" t="s">
        <v>807</v>
      </c>
      <c r="J673" s="450">
        <v>1988</v>
      </c>
      <c r="K673" s="560" t="s">
        <v>1211</v>
      </c>
      <c r="L673" s="450">
        <v>1993</v>
      </c>
      <c r="M673" s="243">
        <v>-9999</v>
      </c>
      <c r="N673" s="223">
        <v>-9999</v>
      </c>
      <c r="O673" s="29"/>
      <c r="P673" s="244">
        <f>+T673*G673</f>
        <v>33.39</v>
      </c>
      <c r="Q673" s="223">
        <v>-9999</v>
      </c>
      <c r="R673" s="243"/>
      <c r="S673" s="223"/>
      <c r="T673" s="243">
        <v>4.7699999999999996</v>
      </c>
      <c r="U673" s="223">
        <v>-9999</v>
      </c>
      <c r="V673" s="223"/>
      <c r="W673" s="285">
        <f>+P673-P672</f>
        <v>4.7700000000000031</v>
      </c>
      <c r="X673" s="223">
        <v>-9999</v>
      </c>
      <c r="Y673" s="223"/>
      <c r="Z673" s="561" t="s">
        <v>1702</v>
      </c>
      <c r="AA673" s="425">
        <f t="shared" si="73"/>
        <v>1682.0700000000002</v>
      </c>
      <c r="AB673" s="243">
        <v>-9999</v>
      </c>
      <c r="AC673" s="245">
        <v>4.0460000000000003</v>
      </c>
      <c r="AD673" s="560">
        <f t="shared" si="74"/>
        <v>3300</v>
      </c>
      <c r="AE673" s="675" t="s">
        <v>97</v>
      </c>
      <c r="AF673" s="223">
        <v>3</v>
      </c>
      <c r="AG673" s="223">
        <v>-9999</v>
      </c>
      <c r="AH673" s="223">
        <v>-9999</v>
      </c>
      <c r="AI673" s="223">
        <v>-9999</v>
      </c>
      <c r="AJ673" s="223">
        <v>-9999</v>
      </c>
      <c r="AK673" s="223">
        <v>-9999</v>
      </c>
      <c r="AL673" s="223">
        <v>-9999</v>
      </c>
      <c r="AM673" s="223">
        <v>-9999</v>
      </c>
      <c r="AN673" s="223" t="s">
        <v>631</v>
      </c>
      <c r="AO673" s="223">
        <v>-9999</v>
      </c>
      <c r="AP673" s="223">
        <v>-9999</v>
      </c>
      <c r="AQ673" s="223" t="s">
        <v>631</v>
      </c>
      <c r="AR673" s="223">
        <v>0</v>
      </c>
      <c r="AS673" s="223">
        <v>-9999</v>
      </c>
      <c r="AT673" s="223">
        <v>-9999</v>
      </c>
      <c r="AU673" s="223">
        <v>0</v>
      </c>
      <c r="AV673" s="223">
        <v>-9999</v>
      </c>
      <c r="AW673" s="223">
        <v>-9999</v>
      </c>
      <c r="AX673" s="223">
        <v>0</v>
      </c>
      <c r="AY673" s="223">
        <v>-9999</v>
      </c>
      <c r="AZ673" s="223">
        <v>-9999</v>
      </c>
      <c r="BA673" s="223">
        <v>-9999</v>
      </c>
      <c r="BB673" s="223" t="s">
        <v>631</v>
      </c>
      <c r="BC673" s="223">
        <v>-9999</v>
      </c>
      <c r="BD673" s="223">
        <v>-9999</v>
      </c>
      <c r="BE673" s="223">
        <v>-9999</v>
      </c>
      <c r="BF673" s="223">
        <v>-9999</v>
      </c>
      <c r="BG673" s="223">
        <v>-9999</v>
      </c>
      <c r="BH673" s="223">
        <v>-9999</v>
      </c>
      <c r="BI673" s="223" t="s">
        <v>1055</v>
      </c>
      <c r="BJ673" s="223">
        <v>-9999</v>
      </c>
      <c r="BK673" s="223">
        <v>-9999</v>
      </c>
      <c r="BL673" s="223">
        <v>-9999</v>
      </c>
      <c r="BM673" s="223">
        <v>-9999</v>
      </c>
      <c r="BN673" s="223">
        <v>-9999</v>
      </c>
      <c r="BO673" s="223">
        <v>-9999</v>
      </c>
      <c r="BP673" s="223">
        <v>-9999</v>
      </c>
      <c r="BQ673" s="223">
        <v>-9999</v>
      </c>
      <c r="BR673" s="223">
        <v>-9999</v>
      </c>
      <c r="BS673" s="242">
        <v>-9999</v>
      </c>
      <c r="BT673" s="223">
        <v>-9999</v>
      </c>
      <c r="BU673" s="223">
        <v>-9999</v>
      </c>
      <c r="BV673" s="223">
        <v>-9999</v>
      </c>
      <c r="BW673" s="223"/>
      <c r="BX673" s="223">
        <v>-9999</v>
      </c>
      <c r="BY673" s="223">
        <v>-9999</v>
      </c>
      <c r="BZ673" s="223">
        <v>-9999</v>
      </c>
      <c r="CA673" s="334" t="s">
        <v>797</v>
      </c>
      <c r="CB673" s="247"/>
      <c r="CC673" s="83">
        <v>1</v>
      </c>
      <c r="CD673" s="32">
        <v>7</v>
      </c>
      <c r="CE673" s="292">
        <v>4.7699999999999996</v>
      </c>
      <c r="CF673" s="292">
        <v>4.7700000000000031</v>
      </c>
      <c r="CG673" s="84">
        <v>7</v>
      </c>
    </row>
    <row r="674" spans="1:1873" s="23" customFormat="1" ht="25.5" x14ac:dyDescent="0.2">
      <c r="A674" s="304" t="s">
        <v>2090</v>
      </c>
      <c r="B674" s="223" t="s">
        <v>799</v>
      </c>
      <c r="C674" s="223" t="s">
        <v>1032</v>
      </c>
      <c r="D674" s="223" t="s">
        <v>619</v>
      </c>
      <c r="E674" s="305" t="s">
        <v>1451</v>
      </c>
      <c r="F674" s="241">
        <v>1</v>
      </c>
      <c r="G674" s="223">
        <v>8</v>
      </c>
      <c r="H674" s="242">
        <v>8</v>
      </c>
      <c r="I674" s="223" t="s">
        <v>807</v>
      </c>
      <c r="J674" s="450">
        <v>1988</v>
      </c>
      <c r="K674" s="560" t="s">
        <v>1211</v>
      </c>
      <c r="L674" s="450">
        <v>1994</v>
      </c>
      <c r="M674" s="243">
        <v>-9999</v>
      </c>
      <c r="N674" s="223">
        <v>-9999</v>
      </c>
      <c r="O674" s="29"/>
      <c r="P674" s="244">
        <f>+T674*G674</f>
        <v>37.520000000000003</v>
      </c>
      <c r="Q674" s="223">
        <v>-9999</v>
      </c>
      <c r="R674" s="243"/>
      <c r="S674" s="223"/>
      <c r="T674" s="243">
        <v>4.6900000000000004</v>
      </c>
      <c r="U674" s="223">
        <v>-9999</v>
      </c>
      <c r="V674" s="223"/>
      <c r="W674" s="285">
        <f>+P674-P673</f>
        <v>4.1300000000000026</v>
      </c>
      <c r="X674" s="223">
        <v>-9999</v>
      </c>
      <c r="Y674" s="223"/>
      <c r="Z674" s="561" t="s">
        <v>1702</v>
      </c>
      <c r="AA674" s="425">
        <f t="shared" si="73"/>
        <v>1682.0700000000002</v>
      </c>
      <c r="AB674" s="243">
        <v>-9999</v>
      </c>
      <c r="AC674" s="245">
        <v>4.0460000000000003</v>
      </c>
      <c r="AD674" s="560">
        <f t="shared" si="74"/>
        <v>3300</v>
      </c>
      <c r="AE674" s="675" t="s">
        <v>97</v>
      </c>
      <c r="AF674" s="223">
        <v>3</v>
      </c>
      <c r="AG674" s="223">
        <v>-9999</v>
      </c>
      <c r="AH674" s="223">
        <v>-9999</v>
      </c>
      <c r="AI674" s="223">
        <v>-9999</v>
      </c>
      <c r="AJ674" s="223">
        <v>-9999</v>
      </c>
      <c r="AK674" s="223">
        <v>-9999</v>
      </c>
      <c r="AL674" s="223">
        <v>-9999</v>
      </c>
      <c r="AM674" s="223">
        <v>-9999</v>
      </c>
      <c r="AN674" s="223" t="s">
        <v>631</v>
      </c>
      <c r="AO674" s="223">
        <v>-9999</v>
      </c>
      <c r="AP674" s="223">
        <v>-9999</v>
      </c>
      <c r="AQ674" s="223" t="s">
        <v>631</v>
      </c>
      <c r="AR674" s="223">
        <v>0</v>
      </c>
      <c r="AS674" s="223">
        <v>-9999</v>
      </c>
      <c r="AT674" s="223">
        <v>-9999</v>
      </c>
      <c r="AU674" s="223">
        <v>0</v>
      </c>
      <c r="AV674" s="223">
        <v>-9999</v>
      </c>
      <c r="AW674" s="223">
        <v>-9999</v>
      </c>
      <c r="AX674" s="223">
        <v>0</v>
      </c>
      <c r="AY674" s="223">
        <v>-9999</v>
      </c>
      <c r="AZ674" s="223">
        <v>-9999</v>
      </c>
      <c r="BA674" s="223">
        <v>-9999</v>
      </c>
      <c r="BB674" s="223" t="s">
        <v>631</v>
      </c>
      <c r="BC674" s="223">
        <v>-9999</v>
      </c>
      <c r="BD674" s="223">
        <v>-9999</v>
      </c>
      <c r="BE674" s="223">
        <v>-9999</v>
      </c>
      <c r="BF674" s="223">
        <v>-9999</v>
      </c>
      <c r="BG674" s="223">
        <v>-9999</v>
      </c>
      <c r="BH674" s="223">
        <v>-9999</v>
      </c>
      <c r="BI674" s="223" t="s">
        <v>1055</v>
      </c>
      <c r="BJ674" s="223">
        <v>-9999</v>
      </c>
      <c r="BK674" s="223">
        <v>-9999</v>
      </c>
      <c r="BL674" s="223">
        <v>-9999</v>
      </c>
      <c r="BM674" s="223">
        <v>-9999</v>
      </c>
      <c r="BN674" s="223">
        <v>-9999</v>
      </c>
      <c r="BO674" s="223">
        <v>-9999</v>
      </c>
      <c r="BP674" s="223">
        <v>-9999</v>
      </c>
      <c r="BQ674" s="223">
        <v>-9999</v>
      </c>
      <c r="BR674" s="223">
        <v>-9999</v>
      </c>
      <c r="BS674" s="242">
        <v>-9999</v>
      </c>
      <c r="BT674" s="223">
        <v>-9999</v>
      </c>
      <c r="BU674" s="223">
        <v>-9999</v>
      </c>
      <c r="BV674" s="223">
        <v>-9999</v>
      </c>
      <c r="BW674" s="223"/>
      <c r="BX674" s="223">
        <v>-9999</v>
      </c>
      <c r="BY674" s="223">
        <v>-9999</v>
      </c>
      <c r="BZ674" s="223">
        <v>-9999</v>
      </c>
      <c r="CA674" s="334" t="s">
        <v>797</v>
      </c>
      <c r="CB674" s="247"/>
      <c r="CC674" s="83">
        <v>1</v>
      </c>
      <c r="CD674" s="32">
        <v>8</v>
      </c>
      <c r="CE674" s="292">
        <v>4.6900000000000004</v>
      </c>
      <c r="CF674" s="292">
        <v>4.1300000000000026</v>
      </c>
      <c r="CG674" s="84">
        <v>8</v>
      </c>
    </row>
    <row r="675" spans="1:1873" s="23" customFormat="1" ht="25.5" x14ac:dyDescent="0.2">
      <c r="A675" s="304" t="s">
        <v>2090</v>
      </c>
      <c r="B675" s="223" t="s">
        <v>799</v>
      </c>
      <c r="C675" s="223" t="s">
        <v>1032</v>
      </c>
      <c r="D675" s="223" t="s">
        <v>619</v>
      </c>
      <c r="E675" s="305" t="s">
        <v>1451</v>
      </c>
      <c r="F675" s="241">
        <v>1</v>
      </c>
      <c r="G675" s="223">
        <v>9</v>
      </c>
      <c r="H675" s="242">
        <v>9</v>
      </c>
      <c r="I675" s="223" t="s">
        <v>807</v>
      </c>
      <c r="J675" s="450">
        <v>1988</v>
      </c>
      <c r="K675" s="560" t="s">
        <v>1211</v>
      </c>
      <c r="L675" s="450">
        <v>1995</v>
      </c>
      <c r="M675" s="243">
        <v>-9999</v>
      </c>
      <c r="N675" s="223">
        <v>-9999</v>
      </c>
      <c r="O675" s="29"/>
      <c r="P675" s="243">
        <v>-9999</v>
      </c>
      <c r="Q675" s="223">
        <v>-9999</v>
      </c>
      <c r="R675" s="243"/>
      <c r="S675" s="223"/>
      <c r="T675" s="243">
        <v>-9999</v>
      </c>
      <c r="U675" s="223">
        <v>-9999</v>
      </c>
      <c r="V675" s="223"/>
      <c r="W675" s="243">
        <v>-9999</v>
      </c>
      <c r="X675" s="223">
        <v>-9999</v>
      </c>
      <c r="Y675" s="223"/>
      <c r="Z675" s="561" t="s">
        <v>1702</v>
      </c>
      <c r="AA675" s="425">
        <f t="shared" si="73"/>
        <v>1682.0700000000002</v>
      </c>
      <c r="AB675" s="243">
        <v>-9999</v>
      </c>
      <c r="AC675" s="245">
        <v>4.0460000000000003</v>
      </c>
      <c r="AD675" s="560">
        <f t="shared" si="74"/>
        <v>3300</v>
      </c>
      <c r="AE675" s="675" t="s">
        <v>97</v>
      </c>
      <c r="AF675" s="223">
        <v>3</v>
      </c>
      <c r="AG675" s="223">
        <v>-9999</v>
      </c>
      <c r="AH675" s="223">
        <v>-9999</v>
      </c>
      <c r="AI675" s="223">
        <v>-9999</v>
      </c>
      <c r="AJ675" s="223">
        <v>-9999</v>
      </c>
      <c r="AK675" s="223">
        <v>-9999</v>
      </c>
      <c r="AL675" s="223">
        <v>-9999</v>
      </c>
      <c r="AM675" s="223">
        <v>-9999</v>
      </c>
      <c r="AN675" s="223" t="s">
        <v>631</v>
      </c>
      <c r="AO675" s="223">
        <v>-9999</v>
      </c>
      <c r="AP675" s="223">
        <v>-9999</v>
      </c>
      <c r="AQ675" s="223" t="s">
        <v>631</v>
      </c>
      <c r="AR675" s="223">
        <v>0</v>
      </c>
      <c r="AS675" s="223">
        <v>-9999</v>
      </c>
      <c r="AT675" s="223">
        <v>-9999</v>
      </c>
      <c r="AU675" s="223">
        <v>0</v>
      </c>
      <c r="AV675" s="223">
        <v>-9999</v>
      </c>
      <c r="AW675" s="223">
        <v>-9999</v>
      </c>
      <c r="AX675" s="223">
        <v>0</v>
      </c>
      <c r="AY675" s="223">
        <v>-9999</v>
      </c>
      <c r="AZ675" s="223">
        <v>-9999</v>
      </c>
      <c r="BA675" s="223">
        <v>-9999</v>
      </c>
      <c r="BB675" s="223" t="s">
        <v>631</v>
      </c>
      <c r="BC675" s="223">
        <v>-9999</v>
      </c>
      <c r="BD675" s="223">
        <v>-9999</v>
      </c>
      <c r="BE675" s="223">
        <v>-9999</v>
      </c>
      <c r="BF675" s="223">
        <v>-9999</v>
      </c>
      <c r="BG675" s="223">
        <v>-9999</v>
      </c>
      <c r="BH675" s="223">
        <v>-9999</v>
      </c>
      <c r="BI675" s="223" t="s">
        <v>1055</v>
      </c>
      <c r="BJ675" s="223">
        <v>-9999</v>
      </c>
      <c r="BK675" s="223">
        <v>-9999</v>
      </c>
      <c r="BL675" s="223">
        <v>-9999</v>
      </c>
      <c r="BM675" s="223">
        <v>-9999</v>
      </c>
      <c r="BN675" s="223">
        <v>-9999</v>
      </c>
      <c r="BO675" s="223">
        <v>-9999</v>
      </c>
      <c r="BP675" s="223">
        <v>-9999</v>
      </c>
      <c r="BQ675" s="223">
        <v>-9999</v>
      </c>
      <c r="BR675" s="223">
        <v>-9999</v>
      </c>
      <c r="BS675" s="242">
        <v>-9999</v>
      </c>
      <c r="BT675" s="223">
        <v>-9999</v>
      </c>
      <c r="BU675" s="223">
        <v>-9999</v>
      </c>
      <c r="BV675" s="223">
        <v>-9999</v>
      </c>
      <c r="BW675" s="223"/>
      <c r="BX675" s="223">
        <v>-9999</v>
      </c>
      <c r="BY675" s="223">
        <v>-9999</v>
      </c>
      <c r="BZ675" s="223">
        <v>-9999</v>
      </c>
      <c r="CA675" s="334" t="s">
        <v>797</v>
      </c>
      <c r="CB675" s="247"/>
      <c r="CC675" s="83">
        <v>1</v>
      </c>
      <c r="CD675" s="32">
        <v>9</v>
      </c>
      <c r="CE675" s="292"/>
      <c r="CF675" s="292"/>
      <c r="CG675" s="84">
        <v>9</v>
      </c>
    </row>
    <row r="676" spans="1:1873" s="23" customFormat="1" ht="25.5" x14ac:dyDescent="0.2">
      <c r="A676" s="304" t="s">
        <v>2090</v>
      </c>
      <c r="B676" s="223" t="s">
        <v>799</v>
      </c>
      <c r="C676" s="223" t="s">
        <v>1032</v>
      </c>
      <c r="D676" s="223" t="s">
        <v>619</v>
      </c>
      <c r="E676" s="305" t="s">
        <v>1451</v>
      </c>
      <c r="F676" s="241">
        <v>1</v>
      </c>
      <c r="G676" s="223">
        <v>10</v>
      </c>
      <c r="H676" s="242">
        <v>10</v>
      </c>
      <c r="I676" s="223" t="s">
        <v>807</v>
      </c>
      <c r="J676" s="450">
        <v>1988</v>
      </c>
      <c r="K676" s="560" t="s">
        <v>1211</v>
      </c>
      <c r="L676" s="450">
        <v>1996</v>
      </c>
      <c r="M676" s="243">
        <v>-9999</v>
      </c>
      <c r="N676" s="223">
        <v>-9999</v>
      </c>
      <c r="O676" s="29"/>
      <c r="P676" s="243">
        <v>-9999</v>
      </c>
      <c r="Q676" s="223">
        <v>-9999</v>
      </c>
      <c r="R676" s="243"/>
      <c r="S676" s="223"/>
      <c r="T676" s="243">
        <v>-9999</v>
      </c>
      <c r="U676" s="223">
        <v>-9999</v>
      </c>
      <c r="V676" s="223"/>
      <c r="W676" s="243">
        <v>-9999</v>
      </c>
      <c r="X676" s="223">
        <v>-9999</v>
      </c>
      <c r="Y676" s="223"/>
      <c r="Z676" s="561" t="s">
        <v>1702</v>
      </c>
      <c r="AA676" s="425">
        <f t="shared" si="73"/>
        <v>1682.0700000000002</v>
      </c>
      <c r="AB676" s="243">
        <v>-9999</v>
      </c>
      <c r="AC676" s="245">
        <v>4.0460000000000003</v>
      </c>
      <c r="AD676" s="560">
        <f t="shared" si="74"/>
        <v>3300</v>
      </c>
      <c r="AE676" s="675" t="s">
        <v>97</v>
      </c>
      <c r="AF676" s="223">
        <v>3</v>
      </c>
      <c r="AG676" s="223">
        <v>-9999</v>
      </c>
      <c r="AH676" s="223">
        <v>-9999</v>
      </c>
      <c r="AI676" s="223">
        <v>-9999</v>
      </c>
      <c r="AJ676" s="223">
        <v>-9999</v>
      </c>
      <c r="AK676" s="223">
        <v>-9999</v>
      </c>
      <c r="AL676" s="223">
        <v>-9999</v>
      </c>
      <c r="AM676" s="223">
        <v>-9999</v>
      </c>
      <c r="AN676" s="223" t="s">
        <v>631</v>
      </c>
      <c r="AO676" s="223">
        <v>-9999</v>
      </c>
      <c r="AP676" s="223">
        <v>-9999</v>
      </c>
      <c r="AQ676" s="223" t="s">
        <v>631</v>
      </c>
      <c r="AR676" s="223">
        <v>0</v>
      </c>
      <c r="AS676" s="223">
        <v>-9999</v>
      </c>
      <c r="AT676" s="223">
        <v>-9999</v>
      </c>
      <c r="AU676" s="223">
        <v>0</v>
      </c>
      <c r="AV676" s="223">
        <v>-9999</v>
      </c>
      <c r="AW676" s="223">
        <v>-9999</v>
      </c>
      <c r="AX676" s="223">
        <v>0</v>
      </c>
      <c r="AY676" s="223">
        <v>-9999</v>
      </c>
      <c r="AZ676" s="223">
        <v>-9999</v>
      </c>
      <c r="BA676" s="223">
        <v>-9999</v>
      </c>
      <c r="BB676" s="223" t="s">
        <v>631</v>
      </c>
      <c r="BC676" s="223">
        <v>-9999</v>
      </c>
      <c r="BD676" s="223">
        <v>-9999</v>
      </c>
      <c r="BE676" s="223">
        <v>-9999</v>
      </c>
      <c r="BF676" s="223">
        <v>-9999</v>
      </c>
      <c r="BG676" s="223">
        <v>-9999</v>
      </c>
      <c r="BH676" s="223">
        <v>-9999</v>
      </c>
      <c r="BI676" s="223" t="s">
        <v>1055</v>
      </c>
      <c r="BJ676" s="223">
        <v>-9999</v>
      </c>
      <c r="BK676" s="223">
        <v>-9999</v>
      </c>
      <c r="BL676" s="223">
        <v>-9999</v>
      </c>
      <c r="BM676" s="223">
        <v>-9999</v>
      </c>
      <c r="BN676" s="223">
        <v>-9999</v>
      </c>
      <c r="BO676" s="223">
        <v>-9999</v>
      </c>
      <c r="BP676" s="223">
        <v>-9999</v>
      </c>
      <c r="BQ676" s="223">
        <v>-9999</v>
      </c>
      <c r="BR676" s="223">
        <v>-9999</v>
      </c>
      <c r="BS676" s="242">
        <v>-9999</v>
      </c>
      <c r="BT676" s="223">
        <v>-9999</v>
      </c>
      <c r="BU676" s="223">
        <v>-9999</v>
      </c>
      <c r="BV676" s="223">
        <v>-9999</v>
      </c>
      <c r="BW676" s="223"/>
      <c r="BX676" s="223">
        <v>-9999</v>
      </c>
      <c r="BY676" s="223">
        <v>-9999</v>
      </c>
      <c r="BZ676" s="223">
        <v>-9999</v>
      </c>
      <c r="CA676" s="334" t="s">
        <v>797</v>
      </c>
      <c r="CB676" s="247"/>
      <c r="CC676" s="83">
        <v>1</v>
      </c>
      <c r="CD676" s="32">
        <v>10</v>
      </c>
      <c r="CE676" s="292"/>
      <c r="CF676" s="292"/>
      <c r="CG676" s="84">
        <v>10</v>
      </c>
    </row>
    <row r="677" spans="1:1873" s="23" customFormat="1" x14ac:dyDescent="0.2">
      <c r="A677" s="323"/>
      <c r="B677" s="29"/>
      <c r="C677" s="29"/>
      <c r="D677" s="29"/>
      <c r="E677" s="29"/>
      <c r="F677" s="29"/>
      <c r="G677" s="29"/>
      <c r="H677" s="30"/>
      <c r="I677" s="29"/>
      <c r="J677" s="29"/>
      <c r="K677" s="428"/>
      <c r="L677" s="112"/>
      <c r="M677" s="31"/>
      <c r="N677" s="29"/>
      <c r="O677" s="29"/>
      <c r="P677" s="31"/>
      <c r="Q677" s="29"/>
      <c r="R677" s="31"/>
      <c r="S677" s="29"/>
      <c r="T677" s="31"/>
      <c r="U677" s="31"/>
      <c r="V677" s="31"/>
      <c r="W677" s="31"/>
      <c r="X677" s="29"/>
      <c r="Y677" s="29"/>
      <c r="Z677" s="429"/>
      <c r="AA677" s="115"/>
      <c r="AB677" s="31"/>
      <c r="AC677" s="29"/>
      <c r="AD677" s="29"/>
      <c r="AE677" s="112"/>
      <c r="AF677" s="29"/>
      <c r="AG677" s="29"/>
      <c r="AH677" s="29"/>
      <c r="AI677" s="29"/>
      <c r="AJ677" s="29"/>
      <c r="AK677" s="29"/>
      <c r="AL677" s="29"/>
      <c r="AM677" s="29"/>
      <c r="AN677" s="29"/>
      <c r="AO677" s="29"/>
      <c r="AP677" s="29"/>
      <c r="AQ677" s="29"/>
      <c r="AR677" s="29"/>
      <c r="AS677" s="29"/>
      <c r="AT677" s="29"/>
      <c r="AU677" s="29"/>
      <c r="AV677" s="29"/>
      <c r="AW677" s="29"/>
      <c r="AX677" s="29"/>
      <c r="AY677" s="29"/>
      <c r="AZ677" s="29"/>
      <c r="BA677" s="29"/>
      <c r="BB677" s="29"/>
      <c r="BC677" s="29"/>
      <c r="BD677" s="29"/>
      <c r="BE677" s="29"/>
      <c r="BF677" s="29"/>
      <c r="BG677" s="29"/>
      <c r="BH677" s="29"/>
      <c r="BI677" s="29"/>
      <c r="BJ677" s="29"/>
      <c r="BK677" s="29"/>
      <c r="BL677" s="29"/>
      <c r="BM677" s="29"/>
      <c r="BN677" s="29"/>
      <c r="BO677" s="29"/>
      <c r="BP677" s="29"/>
      <c r="BQ677" s="29"/>
      <c r="BR677" s="29"/>
      <c r="BS677" s="30"/>
      <c r="BT677" s="29"/>
      <c r="BU677" s="29"/>
      <c r="BV677" s="29"/>
      <c r="BW677" s="29"/>
      <c r="BX677" s="29"/>
      <c r="BY677" s="29"/>
      <c r="BZ677" s="29"/>
      <c r="CA677" s="333"/>
      <c r="CC677" s="29"/>
      <c r="CD677" s="29"/>
      <c r="CE677" s="342" t="s">
        <v>1576</v>
      </c>
      <c r="CF677" s="342" t="s">
        <v>1575</v>
      </c>
      <c r="CG677" s="30"/>
    </row>
    <row r="678" spans="1:1873" s="23" customFormat="1" ht="25.5" x14ac:dyDescent="0.2">
      <c r="A678" s="304" t="s">
        <v>2090</v>
      </c>
      <c r="B678" s="223" t="s">
        <v>800</v>
      </c>
      <c r="C678" s="223" t="s">
        <v>1032</v>
      </c>
      <c r="D678" s="223" t="s">
        <v>619</v>
      </c>
      <c r="E678" s="305" t="s">
        <v>1451</v>
      </c>
      <c r="F678" s="241">
        <v>1</v>
      </c>
      <c r="G678" s="223">
        <v>3</v>
      </c>
      <c r="H678" s="242">
        <v>3</v>
      </c>
      <c r="I678" s="223" t="s">
        <v>807</v>
      </c>
      <c r="J678" s="450">
        <v>1988</v>
      </c>
      <c r="K678" s="560" t="s">
        <v>1211</v>
      </c>
      <c r="L678" s="450">
        <v>1989</v>
      </c>
      <c r="M678" s="243">
        <v>-9999</v>
      </c>
      <c r="N678" s="223">
        <v>-9999</v>
      </c>
      <c r="O678" s="29"/>
      <c r="P678" s="244">
        <f t="shared" ref="P678:P685" si="75">+T678*G678</f>
        <v>13.799999999999999</v>
      </c>
      <c r="Q678" s="223">
        <v>-9999</v>
      </c>
      <c r="R678" s="243"/>
      <c r="S678" s="223"/>
      <c r="T678" s="243">
        <v>4.5999999999999996</v>
      </c>
      <c r="U678" s="223">
        <v>-9999</v>
      </c>
      <c r="V678" s="223"/>
      <c r="W678" s="243">
        <v>-9999</v>
      </c>
      <c r="X678" s="223">
        <v>-9999</v>
      </c>
      <c r="Y678" s="223"/>
      <c r="Z678" s="561" t="s">
        <v>1702</v>
      </c>
      <c r="AA678" s="425">
        <f t="shared" ref="AA678:AA685" si="76">681*2.47</f>
        <v>1682.0700000000002</v>
      </c>
      <c r="AB678" s="243">
        <v>-9999</v>
      </c>
      <c r="AC678" s="245">
        <v>4.0460000000000003</v>
      </c>
      <c r="AD678" s="560">
        <f t="shared" ref="AD678:AD721" si="77">0.33*10000</f>
        <v>3300</v>
      </c>
      <c r="AE678" s="675" t="s">
        <v>97</v>
      </c>
      <c r="AF678" s="223">
        <v>3</v>
      </c>
      <c r="AG678" s="223">
        <v>-9999</v>
      </c>
      <c r="AH678" s="223">
        <v>-9999</v>
      </c>
      <c r="AI678" s="223">
        <v>-9999</v>
      </c>
      <c r="AJ678" s="223">
        <v>-9999</v>
      </c>
      <c r="AK678" s="223">
        <v>-9999</v>
      </c>
      <c r="AL678" s="223">
        <v>-9999</v>
      </c>
      <c r="AM678" s="223">
        <v>-9999</v>
      </c>
      <c r="AN678" s="223" t="s">
        <v>631</v>
      </c>
      <c r="AO678" s="223">
        <v>-9999</v>
      </c>
      <c r="AP678" s="223">
        <v>-9999</v>
      </c>
      <c r="AQ678" s="223" t="s">
        <v>631</v>
      </c>
      <c r="AR678" s="223">
        <v>0</v>
      </c>
      <c r="AS678" s="223">
        <v>-9999</v>
      </c>
      <c r="AT678" s="223">
        <v>-9999</v>
      </c>
      <c r="AU678" s="223">
        <v>0</v>
      </c>
      <c r="AV678" s="223">
        <v>-9999</v>
      </c>
      <c r="AW678" s="223">
        <v>-9999</v>
      </c>
      <c r="AX678" s="223">
        <v>0</v>
      </c>
      <c r="AY678" s="223">
        <v>-9999</v>
      </c>
      <c r="AZ678" s="223">
        <v>-9999</v>
      </c>
      <c r="BA678" s="223">
        <v>-9999</v>
      </c>
      <c r="BB678" s="223" t="s">
        <v>631</v>
      </c>
      <c r="BC678" s="223">
        <v>-9999</v>
      </c>
      <c r="BD678" s="223">
        <v>-9999</v>
      </c>
      <c r="BE678" s="223">
        <v>-9999</v>
      </c>
      <c r="BF678" s="223">
        <v>-9999</v>
      </c>
      <c r="BG678" s="223">
        <v>-9999</v>
      </c>
      <c r="BH678" s="223">
        <v>-9999</v>
      </c>
      <c r="BI678" s="223" t="s">
        <v>1056</v>
      </c>
      <c r="BJ678" s="223">
        <v>-9999</v>
      </c>
      <c r="BK678" s="223">
        <v>-9999</v>
      </c>
      <c r="BL678" s="223">
        <v>-9999</v>
      </c>
      <c r="BM678" s="223">
        <v>-9999</v>
      </c>
      <c r="BN678" s="223">
        <v>-9999</v>
      </c>
      <c r="BO678" s="223">
        <v>-9999</v>
      </c>
      <c r="BP678" s="223">
        <v>-9999</v>
      </c>
      <c r="BQ678" s="223">
        <v>-9999</v>
      </c>
      <c r="BR678" s="223">
        <v>-9999</v>
      </c>
      <c r="BS678" s="242">
        <v>-9999</v>
      </c>
      <c r="BT678" s="223">
        <v>-9999</v>
      </c>
      <c r="BU678" s="223">
        <v>-9999</v>
      </c>
      <c r="BV678" s="223">
        <v>-9999</v>
      </c>
      <c r="BW678" s="223"/>
      <c r="BX678" s="223">
        <v>-9999</v>
      </c>
      <c r="BY678" s="223">
        <v>-9999</v>
      </c>
      <c r="BZ678" s="223">
        <v>-9999</v>
      </c>
      <c r="CA678" s="334" t="s">
        <v>797</v>
      </c>
      <c r="CB678" s="247"/>
      <c r="CC678" s="83">
        <v>1</v>
      </c>
      <c r="CD678" s="32">
        <v>3</v>
      </c>
      <c r="CE678" s="292">
        <v>4.5999999999999996</v>
      </c>
      <c r="CF678" s="292"/>
      <c r="CG678" s="84">
        <v>3</v>
      </c>
    </row>
    <row r="679" spans="1:1873" s="23" customFormat="1" ht="25.5" x14ac:dyDescent="0.2">
      <c r="A679" s="304" t="s">
        <v>2090</v>
      </c>
      <c r="B679" s="223" t="s">
        <v>800</v>
      </c>
      <c r="C679" s="223" t="s">
        <v>1032</v>
      </c>
      <c r="D679" s="223" t="s">
        <v>619</v>
      </c>
      <c r="E679" s="305" t="s">
        <v>1451</v>
      </c>
      <c r="F679" s="241">
        <v>1</v>
      </c>
      <c r="G679" s="223">
        <v>4</v>
      </c>
      <c r="H679" s="242">
        <v>4</v>
      </c>
      <c r="I679" s="223" t="s">
        <v>807</v>
      </c>
      <c r="J679" s="450">
        <v>1988</v>
      </c>
      <c r="K679" s="560" t="s">
        <v>1211</v>
      </c>
      <c r="L679" s="450">
        <v>1990</v>
      </c>
      <c r="M679" s="243">
        <v>-9999</v>
      </c>
      <c r="N679" s="223">
        <v>-9999</v>
      </c>
      <c r="O679" s="29"/>
      <c r="P679" s="244">
        <f t="shared" si="75"/>
        <v>24.48</v>
      </c>
      <c r="Q679" s="223">
        <v>-9999</v>
      </c>
      <c r="R679" s="243"/>
      <c r="S679" s="223"/>
      <c r="T679" s="243">
        <v>6.12</v>
      </c>
      <c r="U679" s="223">
        <v>-9999</v>
      </c>
      <c r="V679" s="223"/>
      <c r="W679" s="285">
        <f t="shared" ref="W679:W685" si="78">+P679-P678</f>
        <v>10.680000000000001</v>
      </c>
      <c r="X679" s="223">
        <v>-9999</v>
      </c>
      <c r="Y679" s="223"/>
      <c r="Z679" s="561" t="s">
        <v>1702</v>
      </c>
      <c r="AA679" s="425">
        <f t="shared" si="76"/>
        <v>1682.0700000000002</v>
      </c>
      <c r="AB679" s="243">
        <v>-9999</v>
      </c>
      <c r="AC679" s="245">
        <v>4.0460000000000003</v>
      </c>
      <c r="AD679" s="560">
        <f t="shared" si="77"/>
        <v>3300</v>
      </c>
      <c r="AE679" s="675" t="s">
        <v>97</v>
      </c>
      <c r="AF679" s="223">
        <v>3</v>
      </c>
      <c r="AG679" s="223">
        <v>-9999</v>
      </c>
      <c r="AH679" s="223">
        <v>-9999</v>
      </c>
      <c r="AI679" s="223">
        <v>-9999</v>
      </c>
      <c r="AJ679" s="223">
        <v>-9999</v>
      </c>
      <c r="AK679" s="223">
        <v>-9999</v>
      </c>
      <c r="AL679" s="223">
        <v>-9999</v>
      </c>
      <c r="AM679" s="223">
        <v>-9999</v>
      </c>
      <c r="AN679" s="223" t="s">
        <v>631</v>
      </c>
      <c r="AO679" s="223">
        <v>-9999</v>
      </c>
      <c r="AP679" s="223">
        <v>-9999</v>
      </c>
      <c r="AQ679" s="223" t="s">
        <v>631</v>
      </c>
      <c r="AR679" s="223">
        <v>0</v>
      </c>
      <c r="AS679" s="223">
        <v>-9999</v>
      </c>
      <c r="AT679" s="223">
        <v>-9999</v>
      </c>
      <c r="AU679" s="223">
        <v>0</v>
      </c>
      <c r="AV679" s="223">
        <v>-9999</v>
      </c>
      <c r="AW679" s="223">
        <v>-9999</v>
      </c>
      <c r="AX679" s="223">
        <v>0</v>
      </c>
      <c r="AY679" s="223">
        <v>-9999</v>
      </c>
      <c r="AZ679" s="223">
        <v>-9999</v>
      </c>
      <c r="BA679" s="223">
        <v>-9999</v>
      </c>
      <c r="BB679" s="223" t="s">
        <v>631</v>
      </c>
      <c r="BC679" s="223">
        <v>-9999</v>
      </c>
      <c r="BD679" s="223">
        <v>-9999</v>
      </c>
      <c r="BE679" s="223">
        <v>-9999</v>
      </c>
      <c r="BF679" s="223">
        <v>-9999</v>
      </c>
      <c r="BG679" s="223">
        <v>-9999</v>
      </c>
      <c r="BH679" s="223">
        <v>-9999</v>
      </c>
      <c r="BI679" s="223" t="s">
        <v>1056</v>
      </c>
      <c r="BJ679" s="223">
        <v>-9999</v>
      </c>
      <c r="BK679" s="223">
        <v>-9999</v>
      </c>
      <c r="BL679" s="223">
        <v>-9999</v>
      </c>
      <c r="BM679" s="223">
        <v>-9999</v>
      </c>
      <c r="BN679" s="223">
        <v>-9999</v>
      </c>
      <c r="BO679" s="223">
        <v>-9999</v>
      </c>
      <c r="BP679" s="223">
        <v>-9999</v>
      </c>
      <c r="BQ679" s="223">
        <v>-9999</v>
      </c>
      <c r="BR679" s="223">
        <v>-9999</v>
      </c>
      <c r="BS679" s="242">
        <v>-9999</v>
      </c>
      <c r="BT679" s="223">
        <v>-9999</v>
      </c>
      <c r="BU679" s="223">
        <v>-9999</v>
      </c>
      <c r="BV679" s="223">
        <v>-9999</v>
      </c>
      <c r="BW679" s="223"/>
      <c r="BX679" s="223">
        <v>-9999</v>
      </c>
      <c r="BY679" s="223">
        <v>-9999</v>
      </c>
      <c r="BZ679" s="223">
        <v>-9999</v>
      </c>
      <c r="CA679" s="334" t="s">
        <v>797</v>
      </c>
      <c r="CB679" s="247"/>
      <c r="CC679" s="83">
        <v>1</v>
      </c>
      <c r="CD679" s="32">
        <v>4</v>
      </c>
      <c r="CE679" s="292">
        <v>6.12</v>
      </c>
      <c r="CF679" s="292">
        <v>10.680000000000001</v>
      </c>
      <c r="CG679" s="84">
        <v>4</v>
      </c>
    </row>
    <row r="680" spans="1:1873" s="23" customFormat="1" ht="25.5" x14ac:dyDescent="0.2">
      <c r="A680" s="304" t="s">
        <v>2090</v>
      </c>
      <c r="B680" s="223" t="s">
        <v>800</v>
      </c>
      <c r="C680" s="223" t="s">
        <v>1032</v>
      </c>
      <c r="D680" s="223" t="s">
        <v>619</v>
      </c>
      <c r="E680" s="305" t="s">
        <v>1451</v>
      </c>
      <c r="F680" s="241">
        <v>1</v>
      </c>
      <c r="G680" s="223">
        <v>5</v>
      </c>
      <c r="H680" s="242">
        <v>5</v>
      </c>
      <c r="I680" s="223" t="s">
        <v>807</v>
      </c>
      <c r="J680" s="450">
        <v>1988</v>
      </c>
      <c r="K680" s="560" t="s">
        <v>1211</v>
      </c>
      <c r="L680" s="450">
        <v>1991</v>
      </c>
      <c r="M680" s="243">
        <v>-9999</v>
      </c>
      <c r="N680" s="223">
        <v>-9999</v>
      </c>
      <c r="O680" s="29"/>
      <c r="P680" s="244">
        <f t="shared" si="75"/>
        <v>39.25</v>
      </c>
      <c r="Q680" s="223">
        <v>-9999</v>
      </c>
      <c r="R680" s="243"/>
      <c r="S680" s="223"/>
      <c r="T680" s="243">
        <v>7.85</v>
      </c>
      <c r="U680" s="223">
        <v>-9999</v>
      </c>
      <c r="V680" s="223"/>
      <c r="W680" s="285">
        <f t="shared" si="78"/>
        <v>14.77</v>
      </c>
      <c r="X680" s="223">
        <v>-9999</v>
      </c>
      <c r="Y680" s="223"/>
      <c r="Z680" s="561" t="s">
        <v>1702</v>
      </c>
      <c r="AA680" s="425">
        <f t="shared" si="76"/>
        <v>1682.0700000000002</v>
      </c>
      <c r="AB680" s="243">
        <v>-9999</v>
      </c>
      <c r="AC680" s="245">
        <v>4.0460000000000003</v>
      </c>
      <c r="AD680" s="560">
        <f t="shared" si="77"/>
        <v>3300</v>
      </c>
      <c r="AE680" s="675" t="s">
        <v>97</v>
      </c>
      <c r="AF680" s="223">
        <v>3</v>
      </c>
      <c r="AG680" s="223">
        <v>-9999</v>
      </c>
      <c r="AH680" s="223">
        <v>-9999</v>
      </c>
      <c r="AI680" s="223">
        <v>-9999</v>
      </c>
      <c r="AJ680" s="223">
        <v>-9999</v>
      </c>
      <c r="AK680" s="223">
        <v>-9999</v>
      </c>
      <c r="AL680" s="223">
        <v>-9999</v>
      </c>
      <c r="AM680" s="223">
        <v>-9999</v>
      </c>
      <c r="AN680" s="223" t="s">
        <v>631</v>
      </c>
      <c r="AO680" s="223">
        <v>-9999</v>
      </c>
      <c r="AP680" s="223">
        <v>-9999</v>
      </c>
      <c r="AQ680" s="223" t="s">
        <v>631</v>
      </c>
      <c r="AR680" s="223">
        <v>0</v>
      </c>
      <c r="AS680" s="223">
        <v>-9999</v>
      </c>
      <c r="AT680" s="223">
        <v>-9999</v>
      </c>
      <c r="AU680" s="223">
        <v>0</v>
      </c>
      <c r="AV680" s="223">
        <v>-9999</v>
      </c>
      <c r="AW680" s="223">
        <v>-9999</v>
      </c>
      <c r="AX680" s="223">
        <v>0</v>
      </c>
      <c r="AY680" s="223">
        <v>-9999</v>
      </c>
      <c r="AZ680" s="223">
        <v>-9999</v>
      </c>
      <c r="BA680" s="223">
        <v>-9999</v>
      </c>
      <c r="BB680" s="223" t="s">
        <v>631</v>
      </c>
      <c r="BC680" s="223">
        <v>-9999</v>
      </c>
      <c r="BD680" s="223">
        <v>-9999</v>
      </c>
      <c r="BE680" s="223">
        <v>-9999</v>
      </c>
      <c r="BF680" s="223">
        <v>-9999</v>
      </c>
      <c r="BG680" s="223">
        <v>-9999</v>
      </c>
      <c r="BH680" s="223">
        <v>-9999</v>
      </c>
      <c r="BI680" s="223" t="s">
        <v>1056</v>
      </c>
      <c r="BJ680" s="223">
        <v>-9999</v>
      </c>
      <c r="BK680" s="223">
        <v>-9999</v>
      </c>
      <c r="BL680" s="223">
        <v>-9999</v>
      </c>
      <c r="BM680" s="223">
        <v>-9999</v>
      </c>
      <c r="BN680" s="223">
        <v>-9999</v>
      </c>
      <c r="BO680" s="223">
        <v>-9999</v>
      </c>
      <c r="BP680" s="223">
        <v>-9999</v>
      </c>
      <c r="BQ680" s="223">
        <v>-9999</v>
      </c>
      <c r="BR680" s="223">
        <v>-9999</v>
      </c>
      <c r="BS680" s="242">
        <v>-9999</v>
      </c>
      <c r="BT680" s="223">
        <v>-9999</v>
      </c>
      <c r="BU680" s="223">
        <v>-9999</v>
      </c>
      <c r="BV680" s="223">
        <v>-9999</v>
      </c>
      <c r="BW680" s="223"/>
      <c r="BX680" s="223">
        <v>-9999</v>
      </c>
      <c r="BY680" s="223">
        <v>-9999</v>
      </c>
      <c r="BZ680" s="223">
        <v>-9999</v>
      </c>
      <c r="CA680" s="334" t="s">
        <v>797</v>
      </c>
      <c r="CB680" s="247"/>
      <c r="CC680" s="83">
        <v>1</v>
      </c>
      <c r="CD680" s="32">
        <v>5</v>
      </c>
      <c r="CE680" s="292">
        <v>7.85</v>
      </c>
      <c r="CF680" s="292">
        <v>14.77</v>
      </c>
      <c r="CG680" s="84">
        <v>5</v>
      </c>
    </row>
    <row r="681" spans="1:1873" s="199" customFormat="1" ht="21" customHeight="1" x14ac:dyDescent="0.2">
      <c r="A681" s="304" t="s">
        <v>2090</v>
      </c>
      <c r="B681" s="249" t="s">
        <v>800</v>
      </c>
      <c r="C681" s="249" t="s">
        <v>1032</v>
      </c>
      <c r="D681" s="249" t="s">
        <v>619</v>
      </c>
      <c r="E681" s="250" t="s">
        <v>1451</v>
      </c>
      <c r="F681" s="250">
        <v>1</v>
      </c>
      <c r="G681" s="249">
        <v>6</v>
      </c>
      <c r="H681" s="251">
        <v>6</v>
      </c>
      <c r="I681" s="249" t="s">
        <v>807</v>
      </c>
      <c r="J681" s="554">
        <v>1988</v>
      </c>
      <c r="K681" s="562" t="s">
        <v>1211</v>
      </c>
      <c r="L681" s="554">
        <v>1992</v>
      </c>
      <c r="M681" s="253">
        <v>-9999</v>
      </c>
      <c r="N681" s="249">
        <v>-9999</v>
      </c>
      <c r="O681" s="18"/>
      <c r="P681" s="558">
        <f t="shared" si="75"/>
        <v>53.820000000000007</v>
      </c>
      <c r="Q681" s="249">
        <v>-9999</v>
      </c>
      <c r="R681" s="253"/>
      <c r="S681" s="249"/>
      <c r="T681" s="253">
        <v>8.9700000000000006</v>
      </c>
      <c r="U681" s="249">
        <v>-9999</v>
      </c>
      <c r="V681" s="249"/>
      <c r="W681" s="284">
        <f t="shared" si="78"/>
        <v>14.570000000000007</v>
      </c>
      <c r="X681" s="249">
        <v>-9999</v>
      </c>
      <c r="Y681" s="249"/>
      <c r="Z681" s="563" t="s">
        <v>1702</v>
      </c>
      <c r="AA681" s="425">
        <f t="shared" si="76"/>
        <v>1682.0700000000002</v>
      </c>
      <c r="AB681" s="253">
        <v>-9999</v>
      </c>
      <c r="AC681" s="424">
        <v>4.0460000000000003</v>
      </c>
      <c r="AD681" s="562">
        <f t="shared" si="77"/>
        <v>3300</v>
      </c>
      <c r="AE681" s="554" t="s">
        <v>97</v>
      </c>
      <c r="AF681" s="249">
        <v>3</v>
      </c>
      <c r="AG681" s="249">
        <v>-9999</v>
      </c>
      <c r="AH681" s="249">
        <v>-9999</v>
      </c>
      <c r="AI681" s="249">
        <v>-9999</v>
      </c>
      <c r="AJ681" s="249">
        <v>-9999</v>
      </c>
      <c r="AK681" s="249">
        <v>-9999</v>
      </c>
      <c r="AL681" s="249">
        <v>-9999</v>
      </c>
      <c r="AM681" s="249">
        <v>-9999</v>
      </c>
      <c r="AN681" s="249" t="s">
        <v>631</v>
      </c>
      <c r="AO681" s="249">
        <v>-9999</v>
      </c>
      <c r="AP681" s="249">
        <v>-9999</v>
      </c>
      <c r="AQ681" s="249" t="s">
        <v>631</v>
      </c>
      <c r="AR681" s="249">
        <v>0</v>
      </c>
      <c r="AS681" s="249">
        <v>-9999</v>
      </c>
      <c r="AT681" s="249">
        <v>-9999</v>
      </c>
      <c r="AU681" s="249">
        <v>0</v>
      </c>
      <c r="AV681" s="249">
        <v>-9999</v>
      </c>
      <c r="AW681" s="249">
        <v>-9999</v>
      </c>
      <c r="AX681" s="249">
        <v>0</v>
      </c>
      <c r="AY681" s="249">
        <v>-9999</v>
      </c>
      <c r="AZ681" s="249">
        <v>-9999</v>
      </c>
      <c r="BA681" s="249">
        <v>-9999</v>
      </c>
      <c r="BB681" s="249" t="s">
        <v>631</v>
      </c>
      <c r="BC681" s="249">
        <v>-9999</v>
      </c>
      <c r="BD681" s="249">
        <v>-9999</v>
      </c>
      <c r="BE681" s="249">
        <v>-9999</v>
      </c>
      <c r="BF681" s="249">
        <v>-9999</v>
      </c>
      <c r="BG681" s="249">
        <v>-9999</v>
      </c>
      <c r="BH681" s="249">
        <v>-9999</v>
      </c>
      <c r="BI681" s="249" t="s">
        <v>1056</v>
      </c>
      <c r="BJ681" s="249">
        <v>-9999</v>
      </c>
      <c r="BK681" s="249">
        <v>-9999</v>
      </c>
      <c r="BL681" s="249">
        <v>-9999</v>
      </c>
      <c r="BM681" s="249">
        <v>-9999</v>
      </c>
      <c r="BN681" s="249">
        <v>-9999</v>
      </c>
      <c r="BO681" s="249">
        <v>-9999</v>
      </c>
      <c r="BP681" s="249">
        <v>-9999</v>
      </c>
      <c r="BQ681" s="249">
        <v>-9999</v>
      </c>
      <c r="BR681" s="249">
        <v>-9999</v>
      </c>
      <c r="BS681" s="251">
        <v>-9999</v>
      </c>
      <c r="BT681" s="249">
        <v>-9999</v>
      </c>
      <c r="BU681" s="249">
        <v>-9999</v>
      </c>
      <c r="BV681" s="249">
        <v>-9999</v>
      </c>
      <c r="BW681" s="249"/>
      <c r="BX681" s="249">
        <v>-9999</v>
      </c>
      <c r="BY681" s="249">
        <v>-9999</v>
      </c>
      <c r="BZ681" s="249">
        <v>-9999</v>
      </c>
      <c r="CA681" s="335" t="s">
        <v>797</v>
      </c>
      <c r="CB681" s="254"/>
      <c r="CC681" s="200">
        <v>1</v>
      </c>
      <c r="CD681" s="193">
        <v>6</v>
      </c>
      <c r="CE681" s="395">
        <v>8.9700000000000006</v>
      </c>
      <c r="CF681" s="99">
        <v>14.570000000000007</v>
      </c>
      <c r="CG681" s="195">
        <v>6</v>
      </c>
      <c r="CH681" s="437" t="s">
        <v>1757</v>
      </c>
      <c r="CI681" s="13"/>
      <c r="CJ681" s="13"/>
      <c r="CK681" s="13"/>
      <c r="CL681" s="13"/>
      <c r="CM681" s="13"/>
      <c r="CN681" s="13"/>
      <c r="CO681" s="13"/>
      <c r="CP681" s="13"/>
      <c r="CQ681" s="13"/>
      <c r="CR681" s="13"/>
      <c r="CS681" s="13"/>
      <c r="CT681" s="13"/>
      <c r="CU681" s="13"/>
      <c r="CV681" s="13"/>
      <c r="CW681" s="13"/>
      <c r="CX681" s="13"/>
      <c r="CY681" s="13"/>
      <c r="CZ681" s="13"/>
      <c r="DA681" s="13"/>
      <c r="DB681" s="13"/>
      <c r="DC681" s="13"/>
      <c r="DD681" s="13"/>
      <c r="DE681" s="13"/>
      <c r="DF681" s="13"/>
      <c r="DG681" s="13"/>
      <c r="DH681" s="13"/>
      <c r="DI681" s="13"/>
      <c r="DJ681" s="13"/>
      <c r="DK681" s="13"/>
      <c r="DL681" s="13"/>
      <c r="DM681" s="13"/>
      <c r="DN681" s="13"/>
      <c r="DO681" s="13"/>
      <c r="DP681" s="13"/>
      <c r="DQ681" s="13"/>
      <c r="DR681" s="13"/>
      <c r="DS681" s="13"/>
      <c r="DT681" s="13"/>
      <c r="DU681" s="13"/>
      <c r="DV681" s="13"/>
      <c r="DW681" s="13"/>
      <c r="DX681" s="13"/>
      <c r="DY681" s="13"/>
      <c r="DZ681" s="13"/>
      <c r="EA681" s="13"/>
      <c r="EB681" s="13"/>
      <c r="EC681" s="13"/>
      <c r="ED681" s="13"/>
      <c r="EE681" s="13"/>
      <c r="EF681" s="13"/>
      <c r="EG681" s="13"/>
      <c r="EH681" s="13"/>
      <c r="EI681" s="13"/>
      <c r="EJ681" s="13"/>
      <c r="EK681" s="13"/>
      <c r="EL681" s="13"/>
      <c r="EM681" s="13"/>
      <c r="EN681" s="13"/>
      <c r="EO681" s="13"/>
      <c r="EP681" s="13"/>
      <c r="EQ681" s="13"/>
      <c r="ER681" s="13"/>
      <c r="ES681" s="13"/>
      <c r="ET681" s="13"/>
      <c r="EU681" s="13"/>
      <c r="EV681" s="13"/>
      <c r="EW681" s="13"/>
      <c r="EX681" s="13"/>
      <c r="EY681" s="13"/>
      <c r="EZ681" s="13"/>
      <c r="FA681" s="13"/>
      <c r="FB681" s="13"/>
      <c r="FC681" s="13"/>
      <c r="FD681" s="13"/>
      <c r="FE681" s="13"/>
      <c r="FF681" s="13"/>
      <c r="FG681" s="13"/>
      <c r="FH681" s="13"/>
      <c r="FI681" s="13"/>
      <c r="FJ681" s="13"/>
      <c r="FK681" s="13"/>
      <c r="FL681" s="13"/>
      <c r="FM681" s="13"/>
      <c r="FN681" s="13"/>
      <c r="FO681" s="13"/>
      <c r="FP681" s="13"/>
      <c r="FQ681" s="13"/>
      <c r="FR681" s="13"/>
      <c r="FS681" s="13"/>
      <c r="FT681" s="13"/>
      <c r="FU681" s="13"/>
      <c r="FV681" s="13"/>
      <c r="FW681" s="13"/>
      <c r="FX681" s="13"/>
      <c r="FY681" s="13"/>
      <c r="FZ681" s="13"/>
      <c r="GA681" s="13"/>
      <c r="GB681" s="13"/>
      <c r="GC681" s="13"/>
      <c r="GD681" s="13"/>
      <c r="GE681" s="13"/>
      <c r="GF681" s="13"/>
      <c r="GG681" s="13"/>
      <c r="GH681" s="13"/>
      <c r="GI681" s="13"/>
      <c r="GJ681" s="13"/>
      <c r="GK681" s="13"/>
      <c r="GL681" s="13"/>
      <c r="GM681" s="13"/>
      <c r="GN681" s="13"/>
      <c r="GO681" s="13"/>
      <c r="GP681" s="13"/>
      <c r="GQ681" s="13"/>
      <c r="GR681" s="13"/>
      <c r="GS681" s="13"/>
      <c r="GT681" s="13"/>
      <c r="GU681" s="13"/>
      <c r="GV681" s="13"/>
      <c r="GW681" s="13"/>
      <c r="GX681" s="13"/>
      <c r="GY681" s="13"/>
      <c r="GZ681" s="13"/>
      <c r="HA681" s="13"/>
      <c r="HB681" s="13"/>
      <c r="HC681" s="13"/>
      <c r="HD681" s="13"/>
      <c r="HE681" s="13"/>
      <c r="HF681" s="13"/>
      <c r="HG681" s="13"/>
      <c r="HH681" s="13"/>
      <c r="HI681" s="13"/>
      <c r="HJ681" s="13"/>
      <c r="HK681" s="13"/>
      <c r="HL681" s="13"/>
      <c r="HM681" s="13"/>
      <c r="HN681" s="13"/>
      <c r="HO681" s="13"/>
      <c r="HP681" s="13"/>
      <c r="HQ681" s="13"/>
      <c r="HR681" s="13"/>
      <c r="HS681" s="13"/>
      <c r="HT681" s="13"/>
      <c r="HU681" s="13"/>
      <c r="HV681" s="13"/>
      <c r="HW681" s="13"/>
      <c r="HX681" s="13"/>
      <c r="HY681" s="13"/>
      <c r="HZ681" s="13"/>
      <c r="IA681" s="13"/>
      <c r="IB681" s="13"/>
      <c r="IC681" s="13"/>
      <c r="ID681" s="13"/>
      <c r="IE681" s="13"/>
      <c r="IF681" s="13"/>
      <c r="IG681" s="13"/>
      <c r="IH681" s="13"/>
      <c r="II681" s="13"/>
      <c r="IJ681" s="13"/>
      <c r="IK681" s="13"/>
      <c r="IL681" s="13"/>
      <c r="IM681" s="13"/>
      <c r="IN681" s="13"/>
      <c r="IO681" s="13"/>
      <c r="IP681" s="13"/>
      <c r="IQ681" s="13"/>
      <c r="IR681" s="13"/>
      <c r="IS681" s="13"/>
      <c r="IT681" s="13"/>
      <c r="IU681" s="13"/>
      <c r="IV681" s="13"/>
      <c r="IW681" s="13"/>
      <c r="IX681" s="13"/>
      <c r="IY681" s="13"/>
      <c r="IZ681" s="13"/>
      <c r="JA681" s="13"/>
      <c r="JB681" s="13"/>
      <c r="JC681" s="13"/>
      <c r="JD681" s="13"/>
      <c r="JE681" s="13"/>
      <c r="JF681" s="13"/>
      <c r="JG681" s="13"/>
      <c r="JH681" s="13"/>
      <c r="JI681" s="13"/>
      <c r="JJ681" s="13"/>
      <c r="JK681" s="13"/>
      <c r="JL681" s="13"/>
      <c r="JM681" s="13"/>
      <c r="JN681" s="13"/>
      <c r="JO681" s="13"/>
      <c r="JP681" s="13"/>
      <c r="JQ681" s="13"/>
      <c r="JR681" s="13"/>
      <c r="JS681" s="13"/>
      <c r="JT681" s="13"/>
      <c r="JU681" s="13"/>
      <c r="JV681" s="13"/>
      <c r="JW681" s="13"/>
      <c r="JX681" s="13"/>
      <c r="JY681" s="13"/>
      <c r="JZ681" s="13"/>
      <c r="KA681" s="13"/>
      <c r="KB681" s="13"/>
      <c r="KC681" s="13"/>
      <c r="KD681" s="13"/>
      <c r="KE681" s="13"/>
      <c r="KF681" s="13"/>
      <c r="KG681" s="13"/>
      <c r="KH681" s="13"/>
      <c r="KI681" s="13"/>
      <c r="KJ681" s="13"/>
      <c r="KK681" s="13"/>
      <c r="KL681" s="13"/>
      <c r="KM681" s="13"/>
      <c r="KN681" s="13"/>
      <c r="KO681" s="13"/>
      <c r="KP681" s="13"/>
      <c r="KQ681" s="13"/>
      <c r="KR681" s="13"/>
      <c r="KS681" s="13"/>
      <c r="KT681" s="13"/>
      <c r="KU681" s="13"/>
      <c r="KV681" s="13"/>
      <c r="KW681" s="13"/>
      <c r="KX681" s="13"/>
      <c r="KY681" s="13"/>
      <c r="KZ681" s="13"/>
      <c r="LA681" s="13"/>
      <c r="LB681" s="13"/>
      <c r="LC681" s="13"/>
      <c r="LD681" s="13"/>
      <c r="LE681" s="13"/>
      <c r="LF681" s="13"/>
      <c r="LG681" s="13"/>
      <c r="LH681" s="13"/>
      <c r="LI681" s="13"/>
      <c r="LJ681" s="13"/>
      <c r="LK681" s="13"/>
      <c r="LL681" s="13"/>
      <c r="LM681" s="13"/>
      <c r="LN681" s="13"/>
      <c r="LO681" s="13"/>
      <c r="LP681" s="13"/>
      <c r="LQ681" s="13"/>
      <c r="LR681" s="13"/>
      <c r="LS681" s="13"/>
      <c r="LT681" s="13"/>
      <c r="LU681" s="13"/>
      <c r="LV681" s="13"/>
      <c r="LW681" s="13"/>
      <c r="LX681" s="13"/>
      <c r="LY681" s="13"/>
      <c r="LZ681" s="13"/>
      <c r="MA681" s="13"/>
      <c r="MB681" s="13"/>
      <c r="MC681" s="13"/>
      <c r="MD681" s="13"/>
      <c r="ME681" s="13"/>
      <c r="MF681" s="13"/>
      <c r="MG681" s="13"/>
      <c r="MH681" s="13"/>
      <c r="MI681" s="13"/>
      <c r="MJ681" s="13"/>
      <c r="MK681" s="13"/>
      <c r="ML681" s="13"/>
      <c r="MM681" s="13"/>
      <c r="MN681" s="13"/>
      <c r="MO681" s="13"/>
      <c r="MP681" s="13"/>
      <c r="MQ681" s="13"/>
      <c r="MR681" s="13"/>
      <c r="MS681" s="13"/>
      <c r="MT681" s="13"/>
      <c r="MU681" s="13"/>
      <c r="MV681" s="13"/>
      <c r="MW681" s="13"/>
      <c r="MX681" s="13"/>
      <c r="MY681" s="13"/>
      <c r="MZ681" s="13"/>
      <c r="NA681" s="13"/>
      <c r="NB681" s="13"/>
      <c r="NC681" s="13"/>
      <c r="ND681" s="13"/>
      <c r="NE681" s="13"/>
      <c r="NF681" s="13"/>
      <c r="NG681" s="13"/>
      <c r="NH681" s="13"/>
      <c r="NI681" s="13"/>
      <c r="NJ681" s="13"/>
      <c r="NK681" s="13"/>
      <c r="NL681" s="13"/>
      <c r="NM681" s="13"/>
      <c r="NN681" s="13"/>
      <c r="NO681" s="13"/>
      <c r="NP681" s="13"/>
      <c r="NQ681" s="13"/>
      <c r="NR681" s="13"/>
      <c r="NS681" s="13"/>
      <c r="NT681" s="13"/>
      <c r="NU681" s="13"/>
      <c r="NV681" s="13"/>
      <c r="NW681" s="13"/>
      <c r="NX681" s="13"/>
      <c r="NY681" s="13"/>
      <c r="NZ681" s="13"/>
      <c r="OA681" s="13"/>
      <c r="OB681" s="13"/>
      <c r="OC681" s="13"/>
      <c r="OD681" s="13"/>
      <c r="OE681" s="13"/>
      <c r="OF681" s="13"/>
      <c r="OG681" s="13"/>
      <c r="OH681" s="13"/>
      <c r="OI681" s="13"/>
      <c r="OJ681" s="13"/>
      <c r="OK681" s="13"/>
      <c r="OL681" s="13"/>
      <c r="OM681" s="13"/>
      <c r="ON681" s="13"/>
      <c r="OO681" s="13"/>
      <c r="OP681" s="13"/>
      <c r="OQ681" s="13"/>
      <c r="OR681" s="13"/>
      <c r="OS681" s="13"/>
      <c r="OT681" s="13"/>
      <c r="OU681" s="13"/>
      <c r="OV681" s="13"/>
      <c r="OW681" s="13"/>
      <c r="OX681" s="13"/>
      <c r="OY681" s="13"/>
      <c r="OZ681" s="13"/>
      <c r="PA681" s="13"/>
      <c r="PB681" s="13"/>
      <c r="PC681" s="13"/>
      <c r="PD681" s="13"/>
      <c r="PE681" s="13"/>
      <c r="PF681" s="13"/>
      <c r="PG681" s="13"/>
      <c r="PH681" s="13"/>
      <c r="PI681" s="13"/>
      <c r="PJ681" s="13"/>
      <c r="PK681" s="13"/>
      <c r="PL681" s="13"/>
      <c r="PM681" s="13"/>
      <c r="PN681" s="13"/>
      <c r="PO681" s="13"/>
      <c r="PP681" s="13"/>
      <c r="PQ681" s="13"/>
      <c r="PR681" s="13"/>
      <c r="PS681" s="13"/>
      <c r="PT681" s="13"/>
      <c r="PU681" s="13"/>
      <c r="PV681" s="13"/>
      <c r="PW681" s="13"/>
      <c r="PX681" s="13"/>
      <c r="PY681" s="13"/>
      <c r="PZ681" s="13"/>
      <c r="QA681" s="13"/>
      <c r="QB681" s="13"/>
      <c r="QC681" s="13"/>
      <c r="QD681" s="13"/>
      <c r="QE681" s="13"/>
      <c r="QF681" s="13"/>
      <c r="QG681" s="13"/>
      <c r="QH681" s="13"/>
      <c r="QI681" s="13"/>
      <c r="QJ681" s="13"/>
      <c r="QK681" s="13"/>
      <c r="QL681" s="13"/>
      <c r="QM681" s="13"/>
      <c r="QN681" s="13"/>
      <c r="QO681" s="13"/>
      <c r="QP681" s="13"/>
      <c r="QQ681" s="13"/>
      <c r="QR681" s="13"/>
      <c r="QS681" s="13"/>
      <c r="QT681" s="13"/>
      <c r="QU681" s="13"/>
      <c r="QV681" s="13"/>
      <c r="QW681" s="13"/>
      <c r="QX681" s="13"/>
      <c r="QY681" s="13"/>
      <c r="QZ681" s="13"/>
      <c r="RA681" s="13"/>
      <c r="RB681" s="13"/>
      <c r="RC681" s="13"/>
      <c r="RD681" s="13"/>
      <c r="RE681" s="13"/>
      <c r="RF681" s="13"/>
      <c r="RG681" s="13"/>
      <c r="RH681" s="13"/>
      <c r="RI681" s="13"/>
      <c r="RJ681" s="13"/>
      <c r="RK681" s="13"/>
      <c r="RL681" s="13"/>
      <c r="RM681" s="13"/>
      <c r="RN681" s="13"/>
      <c r="RO681" s="13"/>
      <c r="RP681" s="13"/>
      <c r="RQ681" s="13"/>
      <c r="RR681" s="13"/>
      <c r="RS681" s="13"/>
      <c r="RT681" s="13"/>
      <c r="RU681" s="13"/>
      <c r="RV681" s="13"/>
      <c r="RW681" s="13"/>
      <c r="RX681" s="13"/>
      <c r="RY681" s="13"/>
      <c r="RZ681" s="13"/>
      <c r="SA681" s="13"/>
      <c r="SB681" s="13"/>
      <c r="SC681" s="13"/>
      <c r="SD681" s="13"/>
      <c r="SE681" s="13"/>
      <c r="SF681" s="13"/>
      <c r="SG681" s="13"/>
      <c r="SH681" s="13"/>
      <c r="SI681" s="13"/>
      <c r="SJ681" s="13"/>
      <c r="SK681" s="13"/>
      <c r="SL681" s="13"/>
      <c r="SM681" s="13"/>
      <c r="SN681" s="13"/>
      <c r="SO681" s="13"/>
      <c r="SP681" s="13"/>
      <c r="SQ681" s="13"/>
      <c r="SR681" s="13"/>
      <c r="SS681" s="13"/>
      <c r="ST681" s="13"/>
      <c r="SU681" s="13"/>
      <c r="SV681" s="13"/>
      <c r="SW681" s="13"/>
      <c r="SX681" s="13"/>
      <c r="SY681" s="13"/>
      <c r="SZ681" s="13"/>
      <c r="TA681" s="13"/>
      <c r="TB681" s="13"/>
      <c r="TC681" s="13"/>
      <c r="TD681" s="13"/>
      <c r="TE681" s="13"/>
      <c r="TF681" s="13"/>
      <c r="TG681" s="13"/>
      <c r="TH681" s="13"/>
      <c r="TI681" s="13"/>
      <c r="TJ681" s="13"/>
      <c r="TK681" s="13"/>
      <c r="TL681" s="13"/>
      <c r="TM681" s="13"/>
      <c r="TN681" s="13"/>
      <c r="TO681" s="13"/>
      <c r="TP681" s="13"/>
      <c r="TQ681" s="13"/>
      <c r="TR681" s="13"/>
      <c r="TS681" s="13"/>
      <c r="TT681" s="13"/>
      <c r="TU681" s="13"/>
      <c r="TV681" s="13"/>
      <c r="TW681" s="13"/>
      <c r="TX681" s="13"/>
      <c r="TY681" s="13"/>
      <c r="TZ681" s="13"/>
      <c r="UA681" s="13"/>
      <c r="UB681" s="13"/>
      <c r="UC681" s="13"/>
      <c r="UD681" s="13"/>
      <c r="UE681" s="13"/>
      <c r="UF681" s="13"/>
      <c r="UG681" s="13"/>
      <c r="UH681" s="13"/>
      <c r="UI681" s="13"/>
      <c r="UJ681" s="13"/>
      <c r="UK681" s="13"/>
      <c r="UL681" s="13"/>
      <c r="UM681" s="13"/>
      <c r="UN681" s="13"/>
      <c r="UO681" s="13"/>
      <c r="UP681" s="13"/>
      <c r="UQ681" s="13"/>
      <c r="UR681" s="13"/>
      <c r="US681" s="13"/>
      <c r="UT681" s="13"/>
      <c r="UU681" s="13"/>
      <c r="UV681" s="13"/>
      <c r="UW681" s="13"/>
      <c r="UX681" s="13"/>
      <c r="UY681" s="13"/>
      <c r="UZ681" s="13"/>
      <c r="VA681" s="13"/>
      <c r="VB681" s="13"/>
      <c r="VC681" s="13"/>
      <c r="VD681" s="13"/>
      <c r="VE681" s="13"/>
      <c r="VF681" s="13"/>
      <c r="VG681" s="13"/>
      <c r="VH681" s="13"/>
      <c r="VI681" s="13"/>
      <c r="VJ681" s="13"/>
      <c r="VK681" s="13"/>
      <c r="VL681" s="13"/>
      <c r="VM681" s="13"/>
      <c r="VN681" s="13"/>
      <c r="VO681" s="13"/>
      <c r="VP681" s="13"/>
      <c r="VQ681" s="13"/>
      <c r="VR681" s="13"/>
      <c r="VS681" s="13"/>
      <c r="VT681" s="13"/>
      <c r="VU681" s="13"/>
      <c r="VV681" s="13"/>
      <c r="VW681" s="13"/>
      <c r="VX681" s="13"/>
      <c r="VY681" s="13"/>
      <c r="VZ681" s="13"/>
      <c r="WA681" s="13"/>
      <c r="WB681" s="13"/>
      <c r="WC681" s="13"/>
      <c r="WD681" s="13"/>
      <c r="WE681" s="13"/>
      <c r="WF681" s="13"/>
      <c r="WG681" s="13"/>
      <c r="WH681" s="13"/>
      <c r="WI681" s="13"/>
      <c r="WJ681" s="13"/>
      <c r="WK681" s="13"/>
      <c r="WL681" s="13"/>
      <c r="WM681" s="13"/>
      <c r="WN681" s="13"/>
      <c r="WO681" s="13"/>
      <c r="WP681" s="13"/>
      <c r="WQ681" s="13"/>
      <c r="WR681" s="13"/>
      <c r="WS681" s="13"/>
      <c r="WT681" s="13"/>
      <c r="WU681" s="13"/>
      <c r="WV681" s="13"/>
      <c r="WW681" s="13"/>
      <c r="WX681" s="13"/>
      <c r="WY681" s="13"/>
      <c r="WZ681" s="13"/>
      <c r="XA681" s="13"/>
      <c r="XB681" s="13"/>
      <c r="XC681" s="13"/>
      <c r="XD681" s="13"/>
      <c r="XE681" s="13"/>
      <c r="XF681" s="13"/>
      <c r="XG681" s="13"/>
      <c r="XH681" s="13"/>
      <c r="XI681" s="13"/>
      <c r="XJ681" s="13"/>
      <c r="XK681" s="13"/>
      <c r="XL681" s="13"/>
      <c r="XM681" s="13"/>
      <c r="XN681" s="13"/>
      <c r="XO681" s="13"/>
      <c r="XP681" s="13"/>
      <c r="XQ681" s="13"/>
      <c r="XR681" s="13"/>
      <c r="XS681" s="13"/>
      <c r="XT681" s="13"/>
      <c r="XU681" s="13"/>
      <c r="XV681" s="13"/>
      <c r="XW681" s="13"/>
      <c r="XX681" s="13"/>
      <c r="XY681" s="13"/>
      <c r="XZ681" s="13"/>
      <c r="YA681" s="13"/>
      <c r="YB681" s="13"/>
      <c r="YC681" s="13"/>
      <c r="YD681" s="13"/>
      <c r="YE681" s="13"/>
      <c r="YF681" s="13"/>
      <c r="YG681" s="13"/>
      <c r="YH681" s="13"/>
      <c r="YI681" s="13"/>
      <c r="YJ681" s="13"/>
      <c r="YK681" s="13"/>
      <c r="YL681" s="13"/>
      <c r="YM681" s="13"/>
      <c r="YN681" s="13"/>
      <c r="YO681" s="13"/>
      <c r="YP681" s="13"/>
      <c r="YQ681" s="13"/>
      <c r="YR681" s="13"/>
      <c r="YS681" s="13"/>
      <c r="YT681" s="13"/>
      <c r="YU681" s="13"/>
      <c r="YV681" s="13"/>
      <c r="YW681" s="13"/>
      <c r="YX681" s="13"/>
      <c r="YY681" s="13"/>
      <c r="YZ681" s="13"/>
      <c r="ZA681" s="13"/>
      <c r="ZB681" s="13"/>
      <c r="ZC681" s="13"/>
      <c r="ZD681" s="13"/>
      <c r="ZE681" s="13"/>
      <c r="ZF681" s="13"/>
      <c r="ZG681" s="13"/>
      <c r="ZH681" s="13"/>
      <c r="ZI681" s="13"/>
      <c r="ZJ681" s="13"/>
      <c r="ZK681" s="13"/>
      <c r="ZL681" s="13"/>
      <c r="ZM681" s="13"/>
      <c r="ZN681" s="13"/>
      <c r="ZO681" s="13"/>
      <c r="ZP681" s="13"/>
      <c r="ZQ681" s="13"/>
      <c r="ZR681" s="13"/>
      <c r="ZS681" s="13"/>
      <c r="ZT681" s="13"/>
      <c r="ZU681" s="13"/>
      <c r="ZV681" s="13"/>
      <c r="ZW681" s="13"/>
      <c r="ZX681" s="13"/>
      <c r="ZY681" s="13"/>
      <c r="ZZ681" s="13"/>
      <c r="AAA681" s="13"/>
      <c r="AAB681" s="13"/>
      <c r="AAC681" s="13"/>
      <c r="AAD681" s="13"/>
      <c r="AAE681" s="13"/>
      <c r="AAF681" s="13"/>
      <c r="AAG681" s="13"/>
      <c r="AAH681" s="13"/>
      <c r="AAI681" s="13"/>
      <c r="AAJ681" s="13"/>
      <c r="AAK681" s="13"/>
      <c r="AAL681" s="13"/>
      <c r="AAM681" s="13"/>
      <c r="AAN681" s="13"/>
      <c r="AAO681" s="13"/>
      <c r="AAP681" s="13"/>
      <c r="AAQ681" s="13"/>
      <c r="AAR681" s="13"/>
      <c r="AAS681" s="13"/>
      <c r="AAT681" s="13"/>
      <c r="AAU681" s="13"/>
      <c r="AAV681" s="13"/>
      <c r="AAW681" s="13"/>
      <c r="AAX681" s="13"/>
      <c r="AAY681" s="13"/>
      <c r="AAZ681" s="13"/>
      <c r="ABA681" s="13"/>
      <c r="ABB681" s="13"/>
      <c r="ABC681" s="13"/>
      <c r="ABD681" s="13"/>
      <c r="ABE681" s="13"/>
      <c r="ABF681" s="13"/>
      <c r="ABG681" s="13"/>
      <c r="ABH681" s="13"/>
      <c r="ABI681" s="13"/>
      <c r="ABJ681" s="13"/>
      <c r="ABK681" s="13"/>
      <c r="ABL681" s="13"/>
      <c r="ABM681" s="13"/>
      <c r="ABN681" s="13"/>
      <c r="ABO681" s="13"/>
      <c r="ABP681" s="13"/>
      <c r="ABQ681" s="13"/>
      <c r="ABR681" s="13"/>
      <c r="ABS681" s="13"/>
      <c r="ABT681" s="13"/>
      <c r="ABU681" s="13"/>
      <c r="ABV681" s="13"/>
      <c r="ABW681" s="13"/>
      <c r="ABX681" s="13"/>
      <c r="ABY681" s="13"/>
      <c r="ABZ681" s="13"/>
      <c r="ACA681" s="13"/>
      <c r="ACB681" s="13"/>
      <c r="ACC681" s="13"/>
      <c r="ACD681" s="13"/>
      <c r="ACE681" s="13"/>
      <c r="ACF681" s="13"/>
      <c r="ACG681" s="13"/>
      <c r="ACH681" s="13"/>
      <c r="ACI681" s="13"/>
      <c r="ACJ681" s="13"/>
      <c r="ACK681" s="13"/>
      <c r="ACL681" s="13"/>
      <c r="ACM681" s="13"/>
      <c r="ACN681" s="13"/>
      <c r="ACO681" s="13"/>
      <c r="ACP681" s="13"/>
      <c r="ACQ681" s="13"/>
      <c r="ACR681" s="13"/>
      <c r="ACS681" s="13"/>
      <c r="ACT681" s="13"/>
      <c r="ACU681" s="13"/>
      <c r="ACV681" s="13"/>
      <c r="ACW681" s="13"/>
      <c r="ACX681" s="13"/>
      <c r="ACY681" s="13"/>
      <c r="ACZ681" s="13"/>
      <c r="ADA681" s="13"/>
      <c r="ADB681" s="13"/>
      <c r="ADC681" s="13"/>
      <c r="ADD681" s="13"/>
      <c r="ADE681" s="13"/>
      <c r="ADF681" s="13"/>
      <c r="ADG681" s="13"/>
      <c r="ADH681" s="13"/>
      <c r="ADI681" s="13"/>
      <c r="ADJ681" s="13"/>
      <c r="ADK681" s="13"/>
      <c r="ADL681" s="13"/>
      <c r="ADM681" s="13"/>
      <c r="ADN681" s="13"/>
      <c r="ADO681" s="13"/>
      <c r="ADP681" s="13"/>
      <c r="ADQ681" s="13"/>
      <c r="ADR681" s="13"/>
      <c r="ADS681" s="13"/>
      <c r="ADT681" s="13"/>
      <c r="ADU681" s="13"/>
      <c r="ADV681" s="13"/>
      <c r="ADW681" s="13"/>
      <c r="ADX681" s="13"/>
      <c r="ADY681" s="13"/>
      <c r="ADZ681" s="13"/>
      <c r="AEA681" s="13"/>
      <c r="AEB681" s="13"/>
      <c r="AEC681" s="13"/>
      <c r="AED681" s="13"/>
      <c r="AEE681" s="13"/>
      <c r="AEF681" s="13"/>
      <c r="AEG681" s="13"/>
      <c r="AEH681" s="13"/>
      <c r="AEI681" s="13"/>
      <c r="AEJ681" s="13"/>
      <c r="AEK681" s="13"/>
      <c r="AEL681" s="13"/>
      <c r="AEM681" s="13"/>
      <c r="AEN681" s="13"/>
      <c r="AEO681" s="13"/>
      <c r="AEP681" s="13"/>
      <c r="AEQ681" s="13"/>
      <c r="AER681" s="13"/>
      <c r="AES681" s="13"/>
      <c r="AET681" s="13"/>
      <c r="AEU681" s="13"/>
      <c r="AEV681" s="13"/>
      <c r="AEW681" s="13"/>
      <c r="AEX681" s="13"/>
      <c r="AEY681" s="13"/>
      <c r="AEZ681" s="13"/>
      <c r="AFA681" s="13"/>
      <c r="AFB681" s="13"/>
      <c r="AFC681" s="13"/>
      <c r="AFD681" s="13"/>
      <c r="AFE681" s="13"/>
      <c r="AFF681" s="13"/>
      <c r="AFG681" s="13"/>
      <c r="AFH681" s="13"/>
      <c r="AFI681" s="13"/>
      <c r="AFJ681" s="13"/>
      <c r="AFK681" s="13"/>
      <c r="AFL681" s="13"/>
      <c r="AFM681" s="13"/>
      <c r="AFN681" s="13"/>
      <c r="AFO681" s="13"/>
      <c r="AFP681" s="13"/>
      <c r="AFQ681" s="13"/>
      <c r="AFR681" s="13"/>
      <c r="AFS681" s="13"/>
      <c r="AFT681" s="13"/>
      <c r="AFU681" s="13"/>
      <c r="AFV681" s="13"/>
      <c r="AFW681" s="13"/>
      <c r="AFX681" s="13"/>
      <c r="AFY681" s="13"/>
      <c r="AFZ681" s="13"/>
      <c r="AGA681" s="13"/>
      <c r="AGB681" s="13"/>
      <c r="AGC681" s="13"/>
      <c r="AGD681" s="13"/>
      <c r="AGE681" s="13"/>
      <c r="AGF681" s="13"/>
      <c r="AGG681" s="13"/>
      <c r="AGH681" s="13"/>
      <c r="AGI681" s="13"/>
      <c r="AGJ681" s="13"/>
      <c r="AGK681" s="13"/>
      <c r="AGL681" s="13"/>
      <c r="AGM681" s="13"/>
      <c r="AGN681" s="13"/>
      <c r="AGO681" s="13"/>
      <c r="AGP681" s="13"/>
      <c r="AGQ681" s="13"/>
      <c r="AGR681" s="13"/>
      <c r="AGS681" s="13"/>
      <c r="AGT681" s="13"/>
      <c r="AGU681" s="13"/>
      <c r="AGV681" s="13"/>
      <c r="AGW681" s="13"/>
      <c r="AGX681" s="13"/>
      <c r="AGY681" s="13"/>
      <c r="AGZ681" s="13"/>
      <c r="AHA681" s="13"/>
      <c r="AHB681" s="13"/>
      <c r="AHC681" s="13"/>
      <c r="AHD681" s="13"/>
      <c r="AHE681" s="13"/>
      <c r="AHF681" s="13"/>
      <c r="AHG681" s="13"/>
      <c r="AHH681" s="13"/>
      <c r="AHI681" s="13"/>
      <c r="AHJ681" s="13"/>
      <c r="AHK681" s="13"/>
      <c r="AHL681" s="13"/>
      <c r="AHM681" s="13"/>
      <c r="AHN681" s="13"/>
      <c r="AHO681" s="13"/>
      <c r="AHP681" s="13"/>
      <c r="AHQ681" s="13"/>
      <c r="AHR681" s="13"/>
      <c r="AHS681" s="13"/>
      <c r="AHT681" s="13"/>
      <c r="AHU681" s="13"/>
      <c r="AHV681" s="13"/>
      <c r="AHW681" s="13"/>
      <c r="AHX681" s="13"/>
      <c r="AHY681" s="13"/>
      <c r="AHZ681" s="13"/>
      <c r="AIA681" s="13"/>
      <c r="AIB681" s="13"/>
      <c r="AIC681" s="13"/>
      <c r="AID681" s="13"/>
      <c r="AIE681" s="13"/>
      <c r="AIF681" s="13"/>
      <c r="AIG681" s="13"/>
      <c r="AIH681" s="13"/>
      <c r="AII681" s="13"/>
      <c r="AIJ681" s="13"/>
      <c r="AIK681" s="13"/>
      <c r="AIL681" s="13"/>
      <c r="AIM681" s="13"/>
      <c r="AIN681" s="13"/>
      <c r="AIO681" s="13"/>
      <c r="AIP681" s="13"/>
      <c r="AIQ681" s="13"/>
      <c r="AIR681" s="13"/>
      <c r="AIS681" s="13"/>
      <c r="AIT681" s="13"/>
      <c r="AIU681" s="13"/>
      <c r="AIV681" s="13"/>
      <c r="AIW681" s="13"/>
      <c r="AIX681" s="13"/>
      <c r="AIY681" s="13"/>
      <c r="AIZ681" s="13"/>
      <c r="AJA681" s="13"/>
      <c r="AJB681" s="13"/>
      <c r="AJC681" s="13"/>
      <c r="AJD681" s="13"/>
      <c r="AJE681" s="13"/>
      <c r="AJF681" s="13"/>
      <c r="AJG681" s="13"/>
      <c r="AJH681" s="13"/>
      <c r="AJI681" s="13"/>
      <c r="AJJ681" s="13"/>
      <c r="AJK681" s="13"/>
      <c r="AJL681" s="13"/>
      <c r="AJM681" s="13"/>
      <c r="AJN681" s="13"/>
      <c r="AJO681" s="13"/>
      <c r="AJP681" s="13"/>
      <c r="AJQ681" s="13"/>
      <c r="AJR681" s="13"/>
      <c r="AJS681" s="13"/>
      <c r="AJT681" s="13"/>
      <c r="AJU681" s="13"/>
      <c r="AJV681" s="13"/>
      <c r="AJW681" s="13"/>
      <c r="AJX681" s="13"/>
      <c r="AJY681" s="13"/>
      <c r="AJZ681" s="13"/>
      <c r="AKA681" s="13"/>
      <c r="AKB681" s="13"/>
      <c r="AKC681" s="13"/>
      <c r="AKD681" s="13"/>
      <c r="AKE681" s="13"/>
      <c r="AKF681" s="13"/>
      <c r="AKG681" s="13"/>
      <c r="AKH681" s="13"/>
      <c r="AKI681" s="13"/>
      <c r="AKJ681" s="13"/>
      <c r="AKK681" s="13"/>
      <c r="AKL681" s="13"/>
      <c r="AKM681" s="13"/>
      <c r="AKN681" s="13"/>
      <c r="AKO681" s="13"/>
      <c r="AKP681" s="13"/>
      <c r="AKQ681" s="13"/>
      <c r="AKR681" s="13"/>
      <c r="AKS681" s="13"/>
      <c r="AKT681" s="13"/>
      <c r="AKU681" s="13"/>
      <c r="AKV681" s="13"/>
      <c r="AKW681" s="13"/>
      <c r="AKX681" s="13"/>
      <c r="AKY681" s="13"/>
      <c r="AKZ681" s="13"/>
      <c r="ALA681" s="13"/>
      <c r="ALB681" s="13"/>
      <c r="ALC681" s="13"/>
      <c r="ALD681" s="13"/>
      <c r="ALE681" s="13"/>
      <c r="ALF681" s="13"/>
      <c r="ALG681" s="13"/>
      <c r="ALH681" s="13"/>
      <c r="ALI681" s="13"/>
      <c r="ALJ681" s="13"/>
      <c r="ALK681" s="13"/>
      <c r="ALL681" s="13"/>
      <c r="ALM681" s="13"/>
      <c r="ALN681" s="13"/>
      <c r="ALO681" s="13"/>
      <c r="ALP681" s="13"/>
      <c r="ALQ681" s="13"/>
      <c r="ALR681" s="13"/>
      <c r="ALS681" s="13"/>
      <c r="ALT681" s="13"/>
      <c r="ALU681" s="13"/>
      <c r="ALV681" s="13"/>
      <c r="ALW681" s="13"/>
      <c r="ALX681" s="13"/>
      <c r="ALY681" s="13"/>
      <c r="ALZ681" s="13"/>
      <c r="AMA681" s="13"/>
      <c r="AMB681" s="13"/>
      <c r="AMC681" s="13"/>
      <c r="AMD681" s="13"/>
      <c r="AME681" s="13"/>
      <c r="AMF681" s="13"/>
      <c r="AMG681" s="13"/>
      <c r="AMH681" s="13"/>
      <c r="AMI681" s="13"/>
      <c r="AMJ681" s="13"/>
      <c r="AMK681" s="13"/>
      <c r="AML681" s="13"/>
      <c r="AMM681" s="13"/>
      <c r="AMN681" s="13"/>
      <c r="AMO681" s="13"/>
      <c r="AMP681" s="13"/>
      <c r="AMQ681" s="13"/>
      <c r="AMR681" s="13"/>
      <c r="AMS681" s="13"/>
      <c r="AMT681" s="13"/>
      <c r="AMU681" s="13"/>
      <c r="AMV681" s="13"/>
      <c r="AMW681" s="13"/>
      <c r="AMX681" s="13"/>
      <c r="AMY681" s="13"/>
      <c r="AMZ681" s="13"/>
      <c r="ANA681" s="13"/>
      <c r="ANB681" s="13"/>
      <c r="ANC681" s="13"/>
      <c r="AND681" s="13"/>
      <c r="ANE681" s="13"/>
      <c r="ANF681" s="13"/>
      <c r="ANG681" s="13"/>
      <c r="ANH681" s="13"/>
      <c r="ANI681" s="13"/>
      <c r="ANJ681" s="13"/>
      <c r="ANK681" s="13"/>
      <c r="ANL681" s="13"/>
      <c r="ANM681" s="13"/>
      <c r="ANN681" s="13"/>
      <c r="ANO681" s="13"/>
      <c r="ANP681" s="13"/>
      <c r="ANQ681" s="13"/>
      <c r="ANR681" s="13"/>
      <c r="ANS681" s="13"/>
      <c r="ANT681" s="13"/>
      <c r="ANU681" s="13"/>
      <c r="ANV681" s="13"/>
      <c r="ANW681" s="13"/>
      <c r="ANX681" s="13"/>
      <c r="ANY681" s="13"/>
      <c r="ANZ681" s="13"/>
      <c r="AOA681" s="13"/>
      <c r="AOB681" s="13"/>
      <c r="AOC681" s="13"/>
      <c r="AOD681" s="13"/>
      <c r="AOE681" s="13"/>
      <c r="AOF681" s="13"/>
      <c r="AOG681" s="13"/>
      <c r="AOH681" s="13"/>
      <c r="AOI681" s="13"/>
      <c r="AOJ681" s="13"/>
      <c r="AOK681" s="13"/>
      <c r="AOL681" s="13"/>
      <c r="AOM681" s="13"/>
      <c r="AON681" s="13"/>
      <c r="AOO681" s="13"/>
      <c r="AOP681" s="13"/>
      <c r="AOQ681" s="13"/>
      <c r="AOR681" s="13"/>
      <c r="AOS681" s="13"/>
      <c r="AOT681" s="13"/>
      <c r="AOU681" s="13"/>
      <c r="AOV681" s="13"/>
      <c r="AOW681" s="13"/>
      <c r="AOX681" s="13"/>
      <c r="AOY681" s="13"/>
      <c r="AOZ681" s="13"/>
      <c r="APA681" s="13"/>
      <c r="APB681" s="13"/>
      <c r="APC681" s="13"/>
      <c r="APD681" s="13"/>
      <c r="APE681" s="13"/>
      <c r="APF681" s="13"/>
      <c r="APG681" s="13"/>
      <c r="APH681" s="13"/>
      <c r="API681" s="13"/>
      <c r="APJ681" s="13"/>
      <c r="APK681" s="13"/>
      <c r="APL681" s="13"/>
      <c r="APM681" s="13"/>
      <c r="APN681" s="13"/>
      <c r="APO681" s="13"/>
      <c r="APP681" s="13"/>
      <c r="APQ681" s="13"/>
      <c r="APR681" s="13"/>
      <c r="APS681" s="13"/>
      <c r="APT681" s="13"/>
      <c r="APU681" s="13"/>
      <c r="APV681" s="13"/>
      <c r="APW681" s="13"/>
      <c r="APX681" s="13"/>
      <c r="APY681" s="13"/>
      <c r="APZ681" s="13"/>
      <c r="AQA681" s="13"/>
      <c r="AQB681" s="13"/>
      <c r="AQC681" s="13"/>
      <c r="AQD681" s="13"/>
      <c r="AQE681" s="13"/>
      <c r="AQF681" s="13"/>
      <c r="AQG681" s="13"/>
      <c r="AQH681" s="13"/>
      <c r="AQI681" s="13"/>
      <c r="AQJ681" s="13"/>
      <c r="AQK681" s="13"/>
      <c r="AQL681" s="13"/>
      <c r="AQM681" s="13"/>
      <c r="AQN681" s="13"/>
      <c r="AQO681" s="13"/>
      <c r="AQP681" s="13"/>
      <c r="AQQ681" s="13"/>
      <c r="AQR681" s="13"/>
      <c r="AQS681" s="13"/>
      <c r="AQT681" s="13"/>
      <c r="AQU681" s="13"/>
      <c r="AQV681" s="13"/>
      <c r="AQW681" s="13"/>
      <c r="AQX681" s="13"/>
      <c r="AQY681" s="13"/>
      <c r="AQZ681" s="13"/>
      <c r="ARA681" s="13"/>
      <c r="ARB681" s="13"/>
      <c r="ARC681" s="13"/>
      <c r="ARD681" s="13"/>
      <c r="ARE681" s="13"/>
      <c r="ARF681" s="13"/>
      <c r="ARG681" s="13"/>
      <c r="ARH681" s="13"/>
      <c r="ARI681" s="13"/>
      <c r="ARJ681" s="13"/>
      <c r="ARK681" s="13"/>
      <c r="ARL681" s="13"/>
      <c r="ARM681" s="13"/>
      <c r="ARN681" s="13"/>
      <c r="ARO681" s="13"/>
      <c r="ARP681" s="13"/>
      <c r="ARQ681" s="13"/>
      <c r="ARR681" s="13"/>
      <c r="ARS681" s="13"/>
      <c r="ART681" s="13"/>
      <c r="ARU681" s="13"/>
      <c r="ARV681" s="13"/>
      <c r="ARW681" s="13"/>
      <c r="ARX681" s="13"/>
      <c r="ARY681" s="13"/>
      <c r="ARZ681" s="13"/>
      <c r="ASA681" s="13"/>
      <c r="ASB681" s="13"/>
      <c r="ASC681" s="13"/>
      <c r="ASD681" s="13"/>
      <c r="ASE681" s="13"/>
      <c r="ASF681" s="13"/>
      <c r="ASG681" s="13"/>
      <c r="ASH681" s="13"/>
      <c r="ASI681" s="13"/>
      <c r="ASJ681" s="13"/>
      <c r="ASK681" s="13"/>
      <c r="ASL681" s="13"/>
      <c r="ASM681" s="13"/>
      <c r="ASN681" s="13"/>
      <c r="ASO681" s="13"/>
      <c r="ASP681" s="13"/>
      <c r="ASQ681" s="13"/>
      <c r="ASR681" s="13"/>
      <c r="ASS681" s="13"/>
      <c r="AST681" s="13"/>
      <c r="ASU681" s="13"/>
      <c r="ASV681" s="13"/>
      <c r="ASW681" s="13"/>
      <c r="ASX681" s="13"/>
      <c r="ASY681" s="13"/>
      <c r="ASZ681" s="13"/>
      <c r="ATA681" s="13"/>
      <c r="ATB681" s="13"/>
      <c r="ATC681" s="13"/>
      <c r="ATD681" s="13"/>
      <c r="ATE681" s="13"/>
      <c r="ATF681" s="13"/>
      <c r="ATG681" s="13"/>
      <c r="ATH681" s="13"/>
      <c r="ATI681" s="13"/>
      <c r="ATJ681" s="13"/>
      <c r="ATK681" s="13"/>
      <c r="ATL681" s="13"/>
      <c r="ATM681" s="13"/>
      <c r="ATN681" s="13"/>
      <c r="ATO681" s="13"/>
      <c r="ATP681" s="13"/>
      <c r="ATQ681" s="13"/>
      <c r="ATR681" s="13"/>
      <c r="ATS681" s="13"/>
      <c r="ATT681" s="13"/>
      <c r="ATU681" s="13"/>
      <c r="ATV681" s="13"/>
      <c r="ATW681" s="13"/>
      <c r="ATX681" s="13"/>
      <c r="ATY681" s="13"/>
      <c r="ATZ681" s="13"/>
      <c r="AUA681" s="13"/>
      <c r="AUB681" s="13"/>
      <c r="AUC681" s="13"/>
      <c r="AUD681" s="13"/>
      <c r="AUE681" s="13"/>
      <c r="AUF681" s="13"/>
      <c r="AUG681" s="13"/>
      <c r="AUH681" s="13"/>
      <c r="AUI681" s="13"/>
      <c r="AUJ681" s="13"/>
      <c r="AUK681" s="13"/>
      <c r="AUL681" s="13"/>
      <c r="AUM681" s="13"/>
      <c r="AUN681" s="13"/>
      <c r="AUO681" s="13"/>
      <c r="AUP681" s="13"/>
      <c r="AUQ681" s="13"/>
      <c r="AUR681" s="13"/>
      <c r="AUS681" s="13"/>
      <c r="AUT681" s="13"/>
      <c r="AUU681" s="13"/>
      <c r="AUV681" s="13"/>
      <c r="AUW681" s="13"/>
      <c r="AUX681" s="13"/>
      <c r="AUY681" s="13"/>
      <c r="AUZ681" s="13"/>
      <c r="AVA681" s="13"/>
      <c r="AVB681" s="13"/>
      <c r="AVC681" s="13"/>
      <c r="AVD681" s="13"/>
      <c r="AVE681" s="13"/>
      <c r="AVF681" s="13"/>
      <c r="AVG681" s="13"/>
      <c r="AVH681" s="13"/>
      <c r="AVI681" s="13"/>
      <c r="AVJ681" s="13"/>
      <c r="AVK681" s="13"/>
      <c r="AVL681" s="13"/>
      <c r="AVM681" s="13"/>
      <c r="AVN681" s="13"/>
      <c r="AVO681" s="13"/>
      <c r="AVP681" s="13"/>
      <c r="AVQ681" s="13"/>
      <c r="AVR681" s="13"/>
      <c r="AVS681" s="13"/>
      <c r="AVT681" s="13"/>
      <c r="AVU681" s="13"/>
      <c r="AVV681" s="13"/>
      <c r="AVW681" s="13"/>
      <c r="AVX681" s="13"/>
      <c r="AVY681" s="13"/>
      <c r="AVZ681" s="13"/>
      <c r="AWA681" s="13"/>
      <c r="AWB681" s="13"/>
      <c r="AWC681" s="13"/>
      <c r="AWD681" s="13"/>
      <c r="AWE681" s="13"/>
      <c r="AWF681" s="13"/>
      <c r="AWG681" s="13"/>
      <c r="AWH681" s="13"/>
      <c r="AWI681" s="13"/>
      <c r="AWJ681" s="13"/>
      <c r="AWK681" s="13"/>
      <c r="AWL681" s="13"/>
      <c r="AWM681" s="13"/>
      <c r="AWN681" s="13"/>
      <c r="AWO681" s="13"/>
      <c r="AWP681" s="13"/>
      <c r="AWQ681" s="13"/>
      <c r="AWR681" s="13"/>
      <c r="AWS681" s="13"/>
      <c r="AWT681" s="13"/>
      <c r="AWU681" s="13"/>
      <c r="AWV681" s="13"/>
      <c r="AWW681" s="13"/>
      <c r="AWX681" s="13"/>
      <c r="AWY681" s="13"/>
      <c r="AWZ681" s="13"/>
      <c r="AXA681" s="13"/>
      <c r="AXB681" s="13"/>
      <c r="AXC681" s="13"/>
      <c r="AXD681" s="13"/>
      <c r="AXE681" s="13"/>
      <c r="AXF681" s="13"/>
      <c r="AXG681" s="13"/>
      <c r="AXH681" s="13"/>
      <c r="AXI681" s="13"/>
      <c r="AXJ681" s="13"/>
      <c r="AXK681" s="13"/>
      <c r="AXL681" s="13"/>
      <c r="AXM681" s="13"/>
      <c r="AXN681" s="13"/>
      <c r="AXO681" s="13"/>
      <c r="AXP681" s="13"/>
      <c r="AXQ681" s="13"/>
      <c r="AXR681" s="13"/>
      <c r="AXS681" s="13"/>
      <c r="AXT681" s="13"/>
      <c r="AXU681" s="13"/>
      <c r="AXV681" s="13"/>
      <c r="AXW681" s="13"/>
      <c r="AXX681" s="13"/>
      <c r="AXY681" s="13"/>
      <c r="AXZ681" s="13"/>
      <c r="AYA681" s="13"/>
      <c r="AYB681" s="13"/>
      <c r="AYC681" s="13"/>
      <c r="AYD681" s="13"/>
      <c r="AYE681" s="13"/>
      <c r="AYF681" s="13"/>
      <c r="AYG681" s="13"/>
      <c r="AYH681" s="13"/>
      <c r="AYI681" s="13"/>
      <c r="AYJ681" s="13"/>
      <c r="AYK681" s="13"/>
      <c r="AYL681" s="13"/>
      <c r="AYM681" s="13"/>
      <c r="AYN681" s="13"/>
      <c r="AYO681" s="13"/>
      <c r="AYP681" s="13"/>
      <c r="AYQ681" s="13"/>
      <c r="AYR681" s="13"/>
      <c r="AYS681" s="13"/>
      <c r="AYT681" s="13"/>
      <c r="AYU681" s="13"/>
      <c r="AYV681" s="13"/>
      <c r="AYW681" s="13"/>
      <c r="AYX681" s="13"/>
      <c r="AYY681" s="13"/>
      <c r="AYZ681" s="13"/>
      <c r="AZA681" s="13"/>
      <c r="AZB681" s="13"/>
      <c r="AZC681" s="13"/>
      <c r="AZD681" s="13"/>
      <c r="AZE681" s="13"/>
      <c r="AZF681" s="13"/>
      <c r="AZG681" s="13"/>
      <c r="AZH681" s="13"/>
      <c r="AZI681" s="13"/>
      <c r="AZJ681" s="13"/>
      <c r="AZK681" s="13"/>
      <c r="AZL681" s="13"/>
      <c r="AZM681" s="13"/>
      <c r="AZN681" s="13"/>
      <c r="AZO681" s="13"/>
      <c r="AZP681" s="13"/>
      <c r="AZQ681" s="13"/>
      <c r="AZR681" s="13"/>
      <c r="AZS681" s="13"/>
      <c r="AZT681" s="13"/>
      <c r="AZU681" s="13"/>
      <c r="AZV681" s="13"/>
      <c r="AZW681" s="13"/>
      <c r="AZX681" s="13"/>
      <c r="AZY681" s="13"/>
      <c r="AZZ681" s="13"/>
      <c r="BAA681" s="13"/>
      <c r="BAB681" s="13"/>
      <c r="BAC681" s="13"/>
      <c r="BAD681" s="13"/>
      <c r="BAE681" s="13"/>
      <c r="BAF681" s="13"/>
      <c r="BAG681" s="13"/>
      <c r="BAH681" s="13"/>
      <c r="BAI681" s="13"/>
      <c r="BAJ681" s="13"/>
      <c r="BAK681" s="13"/>
      <c r="BAL681" s="13"/>
      <c r="BAM681" s="13"/>
      <c r="BAN681" s="13"/>
      <c r="BAO681" s="13"/>
      <c r="BAP681" s="13"/>
      <c r="BAQ681" s="13"/>
      <c r="BAR681" s="13"/>
      <c r="BAS681" s="13"/>
      <c r="BAT681" s="13"/>
      <c r="BAU681" s="13"/>
      <c r="BAV681" s="13"/>
      <c r="BAW681" s="13"/>
      <c r="BAX681" s="13"/>
      <c r="BAY681" s="13"/>
      <c r="BAZ681" s="13"/>
      <c r="BBA681" s="13"/>
      <c r="BBB681" s="13"/>
      <c r="BBC681" s="13"/>
      <c r="BBD681" s="13"/>
      <c r="BBE681" s="13"/>
      <c r="BBF681" s="13"/>
      <c r="BBG681" s="13"/>
      <c r="BBH681" s="13"/>
      <c r="BBI681" s="13"/>
      <c r="BBJ681" s="13"/>
      <c r="BBK681" s="13"/>
      <c r="BBL681" s="13"/>
      <c r="BBM681" s="13"/>
      <c r="BBN681" s="13"/>
      <c r="BBO681" s="13"/>
      <c r="BBP681" s="13"/>
      <c r="BBQ681" s="13"/>
      <c r="BBR681" s="13"/>
      <c r="BBS681" s="13"/>
      <c r="BBT681" s="13"/>
      <c r="BBU681" s="13"/>
      <c r="BBV681" s="13"/>
      <c r="BBW681" s="13"/>
      <c r="BBX681" s="13"/>
      <c r="BBY681" s="13"/>
      <c r="BBZ681" s="13"/>
      <c r="BCA681" s="13"/>
      <c r="BCB681" s="13"/>
      <c r="BCC681" s="13"/>
      <c r="BCD681" s="13"/>
      <c r="BCE681" s="13"/>
      <c r="BCF681" s="13"/>
      <c r="BCG681" s="13"/>
      <c r="BCH681" s="13"/>
      <c r="BCI681" s="13"/>
      <c r="BCJ681" s="13"/>
      <c r="BCK681" s="13"/>
      <c r="BCL681" s="13"/>
      <c r="BCM681" s="13"/>
      <c r="BCN681" s="13"/>
      <c r="BCO681" s="13"/>
      <c r="BCP681" s="13"/>
      <c r="BCQ681" s="13"/>
      <c r="BCR681" s="13"/>
      <c r="BCS681" s="13"/>
      <c r="BCT681" s="13"/>
      <c r="BCU681" s="13"/>
      <c r="BCV681" s="13"/>
      <c r="BCW681" s="13"/>
      <c r="BCX681" s="13"/>
      <c r="BCY681" s="13"/>
      <c r="BCZ681" s="13"/>
      <c r="BDA681" s="13"/>
      <c r="BDB681" s="13"/>
      <c r="BDC681" s="13"/>
      <c r="BDD681" s="13"/>
      <c r="BDE681" s="13"/>
      <c r="BDF681" s="13"/>
      <c r="BDG681" s="13"/>
      <c r="BDH681" s="13"/>
      <c r="BDI681" s="13"/>
      <c r="BDJ681" s="13"/>
      <c r="BDK681" s="13"/>
      <c r="BDL681" s="13"/>
      <c r="BDM681" s="13"/>
      <c r="BDN681" s="13"/>
      <c r="BDO681" s="13"/>
      <c r="BDP681" s="13"/>
      <c r="BDQ681" s="13"/>
      <c r="BDR681" s="13"/>
      <c r="BDS681" s="13"/>
      <c r="BDT681" s="13"/>
      <c r="BDU681" s="13"/>
      <c r="BDV681" s="13"/>
      <c r="BDW681" s="13"/>
      <c r="BDX681" s="13"/>
      <c r="BDY681" s="13"/>
      <c r="BDZ681" s="13"/>
      <c r="BEA681" s="13"/>
      <c r="BEB681" s="13"/>
      <c r="BEC681" s="13"/>
      <c r="BED681" s="13"/>
      <c r="BEE681" s="13"/>
      <c r="BEF681" s="13"/>
      <c r="BEG681" s="13"/>
      <c r="BEH681" s="13"/>
      <c r="BEI681" s="13"/>
      <c r="BEJ681" s="13"/>
      <c r="BEK681" s="13"/>
      <c r="BEL681" s="13"/>
      <c r="BEM681" s="13"/>
      <c r="BEN681" s="13"/>
      <c r="BEO681" s="13"/>
      <c r="BEP681" s="13"/>
      <c r="BEQ681" s="13"/>
      <c r="BER681" s="13"/>
      <c r="BES681" s="13"/>
      <c r="BET681" s="13"/>
      <c r="BEU681" s="13"/>
      <c r="BEV681" s="13"/>
      <c r="BEW681" s="13"/>
      <c r="BEX681" s="13"/>
      <c r="BEY681" s="13"/>
      <c r="BEZ681" s="13"/>
      <c r="BFA681" s="13"/>
      <c r="BFB681" s="13"/>
      <c r="BFC681" s="13"/>
      <c r="BFD681" s="13"/>
      <c r="BFE681" s="13"/>
      <c r="BFF681" s="13"/>
      <c r="BFG681" s="13"/>
      <c r="BFH681" s="13"/>
      <c r="BFI681" s="13"/>
      <c r="BFJ681" s="13"/>
      <c r="BFK681" s="13"/>
      <c r="BFL681" s="13"/>
      <c r="BFM681" s="13"/>
      <c r="BFN681" s="13"/>
      <c r="BFO681" s="13"/>
      <c r="BFP681" s="13"/>
      <c r="BFQ681" s="13"/>
      <c r="BFR681" s="13"/>
      <c r="BFS681" s="13"/>
      <c r="BFT681" s="13"/>
      <c r="BFU681" s="13"/>
      <c r="BFV681" s="13"/>
      <c r="BFW681" s="13"/>
      <c r="BFX681" s="13"/>
      <c r="BFY681" s="13"/>
      <c r="BFZ681" s="13"/>
      <c r="BGA681" s="13"/>
      <c r="BGB681" s="13"/>
      <c r="BGC681" s="13"/>
      <c r="BGD681" s="13"/>
      <c r="BGE681" s="13"/>
      <c r="BGF681" s="13"/>
      <c r="BGG681" s="13"/>
      <c r="BGH681" s="13"/>
      <c r="BGI681" s="13"/>
      <c r="BGJ681" s="13"/>
      <c r="BGK681" s="13"/>
      <c r="BGL681" s="13"/>
      <c r="BGM681" s="13"/>
      <c r="BGN681" s="13"/>
      <c r="BGO681" s="13"/>
      <c r="BGP681" s="13"/>
      <c r="BGQ681" s="13"/>
      <c r="BGR681" s="13"/>
      <c r="BGS681" s="13"/>
      <c r="BGT681" s="13"/>
      <c r="BGU681" s="13"/>
      <c r="BGV681" s="13"/>
      <c r="BGW681" s="13"/>
      <c r="BGX681" s="13"/>
      <c r="BGY681" s="13"/>
      <c r="BGZ681" s="13"/>
      <c r="BHA681" s="13"/>
      <c r="BHB681" s="13"/>
      <c r="BHC681" s="13"/>
      <c r="BHD681" s="13"/>
      <c r="BHE681" s="13"/>
      <c r="BHF681" s="13"/>
      <c r="BHG681" s="13"/>
      <c r="BHH681" s="13"/>
      <c r="BHI681" s="13"/>
      <c r="BHJ681" s="13"/>
      <c r="BHK681" s="13"/>
      <c r="BHL681" s="13"/>
      <c r="BHM681" s="13"/>
      <c r="BHN681" s="13"/>
      <c r="BHO681" s="13"/>
      <c r="BHP681" s="13"/>
      <c r="BHQ681" s="13"/>
      <c r="BHR681" s="13"/>
      <c r="BHS681" s="13"/>
      <c r="BHT681" s="13"/>
      <c r="BHU681" s="13"/>
      <c r="BHV681" s="13"/>
      <c r="BHW681" s="13"/>
      <c r="BHX681" s="13"/>
      <c r="BHY681" s="13"/>
      <c r="BHZ681" s="13"/>
      <c r="BIA681" s="13"/>
      <c r="BIB681" s="13"/>
      <c r="BIC681" s="13"/>
      <c r="BID681" s="13"/>
      <c r="BIE681" s="13"/>
      <c r="BIF681" s="13"/>
      <c r="BIG681" s="13"/>
      <c r="BIH681" s="13"/>
      <c r="BII681" s="13"/>
      <c r="BIJ681" s="13"/>
      <c r="BIK681" s="13"/>
      <c r="BIL681" s="13"/>
      <c r="BIM681" s="13"/>
      <c r="BIN681" s="13"/>
      <c r="BIO681" s="13"/>
      <c r="BIP681" s="13"/>
      <c r="BIQ681" s="13"/>
      <c r="BIR681" s="13"/>
      <c r="BIS681" s="13"/>
      <c r="BIT681" s="13"/>
      <c r="BIU681" s="13"/>
      <c r="BIV681" s="13"/>
      <c r="BIW681" s="13"/>
      <c r="BIX681" s="13"/>
      <c r="BIY681" s="13"/>
      <c r="BIZ681" s="13"/>
      <c r="BJA681" s="13"/>
      <c r="BJB681" s="13"/>
      <c r="BJC681" s="13"/>
      <c r="BJD681" s="13"/>
      <c r="BJE681" s="13"/>
      <c r="BJF681" s="13"/>
      <c r="BJG681" s="13"/>
      <c r="BJH681" s="13"/>
      <c r="BJI681" s="13"/>
      <c r="BJJ681" s="13"/>
      <c r="BJK681" s="13"/>
      <c r="BJL681" s="13"/>
      <c r="BJM681" s="13"/>
      <c r="BJN681" s="13"/>
      <c r="BJO681" s="13"/>
      <c r="BJP681" s="13"/>
      <c r="BJQ681" s="13"/>
      <c r="BJR681" s="13"/>
      <c r="BJS681" s="13"/>
      <c r="BJT681" s="13"/>
      <c r="BJU681" s="13"/>
      <c r="BJV681" s="13"/>
      <c r="BJW681" s="13"/>
      <c r="BJX681" s="13"/>
      <c r="BJY681" s="13"/>
      <c r="BJZ681" s="13"/>
      <c r="BKA681" s="13"/>
      <c r="BKB681" s="13"/>
      <c r="BKC681" s="13"/>
      <c r="BKD681" s="13"/>
      <c r="BKE681" s="13"/>
      <c r="BKF681" s="13"/>
      <c r="BKG681" s="13"/>
      <c r="BKH681" s="13"/>
      <c r="BKI681" s="13"/>
      <c r="BKJ681" s="13"/>
      <c r="BKK681" s="13"/>
      <c r="BKL681" s="13"/>
      <c r="BKM681" s="13"/>
      <c r="BKN681" s="13"/>
      <c r="BKO681" s="13"/>
      <c r="BKP681" s="13"/>
      <c r="BKQ681" s="13"/>
      <c r="BKR681" s="13"/>
      <c r="BKS681" s="13"/>
      <c r="BKT681" s="13"/>
      <c r="BKU681" s="13"/>
      <c r="BKV681" s="13"/>
      <c r="BKW681" s="13"/>
      <c r="BKX681" s="13"/>
      <c r="BKY681" s="13"/>
      <c r="BKZ681" s="13"/>
      <c r="BLA681" s="13"/>
      <c r="BLB681" s="13"/>
      <c r="BLC681" s="13"/>
      <c r="BLD681" s="13"/>
      <c r="BLE681" s="13"/>
      <c r="BLF681" s="13"/>
      <c r="BLG681" s="13"/>
      <c r="BLH681" s="13"/>
      <c r="BLI681" s="13"/>
      <c r="BLJ681" s="13"/>
      <c r="BLK681" s="13"/>
      <c r="BLL681" s="13"/>
      <c r="BLM681" s="13"/>
      <c r="BLN681" s="13"/>
      <c r="BLO681" s="13"/>
      <c r="BLP681" s="13"/>
      <c r="BLQ681" s="13"/>
      <c r="BLR681" s="13"/>
      <c r="BLS681" s="13"/>
      <c r="BLT681" s="13"/>
      <c r="BLU681" s="13"/>
      <c r="BLV681" s="13"/>
      <c r="BLW681" s="13"/>
      <c r="BLX681" s="13"/>
      <c r="BLY681" s="13"/>
      <c r="BLZ681" s="13"/>
      <c r="BMA681" s="13"/>
      <c r="BMB681" s="13"/>
      <c r="BMC681" s="13"/>
      <c r="BMD681" s="13"/>
      <c r="BME681" s="13"/>
      <c r="BMF681" s="13"/>
      <c r="BMG681" s="13"/>
      <c r="BMH681" s="13"/>
      <c r="BMI681" s="13"/>
      <c r="BMJ681" s="13"/>
      <c r="BMK681" s="13"/>
      <c r="BML681" s="13"/>
      <c r="BMM681" s="13"/>
      <c r="BMN681" s="13"/>
      <c r="BMO681" s="13"/>
      <c r="BMP681" s="13"/>
      <c r="BMQ681" s="13"/>
      <c r="BMR681" s="13"/>
      <c r="BMS681" s="13"/>
      <c r="BMT681" s="13"/>
      <c r="BMU681" s="13"/>
      <c r="BMV681" s="13"/>
      <c r="BMW681" s="13"/>
      <c r="BMX681" s="13"/>
      <c r="BMY681" s="13"/>
      <c r="BMZ681" s="13"/>
      <c r="BNA681" s="13"/>
      <c r="BNB681" s="13"/>
      <c r="BNC681" s="13"/>
      <c r="BND681" s="13"/>
      <c r="BNE681" s="13"/>
      <c r="BNF681" s="13"/>
      <c r="BNG681" s="13"/>
      <c r="BNH681" s="13"/>
      <c r="BNI681" s="13"/>
      <c r="BNJ681" s="13"/>
      <c r="BNK681" s="13"/>
      <c r="BNL681" s="13"/>
      <c r="BNM681" s="13"/>
      <c r="BNN681" s="13"/>
      <c r="BNO681" s="13"/>
      <c r="BNP681" s="13"/>
      <c r="BNQ681" s="13"/>
      <c r="BNR681" s="13"/>
      <c r="BNS681" s="13"/>
      <c r="BNT681" s="13"/>
      <c r="BNU681" s="13"/>
      <c r="BNV681" s="13"/>
      <c r="BNW681" s="13"/>
      <c r="BNX681" s="13"/>
      <c r="BNY681" s="13"/>
      <c r="BNZ681" s="13"/>
      <c r="BOA681" s="13"/>
      <c r="BOB681" s="13"/>
      <c r="BOC681" s="13"/>
      <c r="BOD681" s="13"/>
      <c r="BOE681" s="13"/>
      <c r="BOF681" s="13"/>
      <c r="BOG681" s="13"/>
      <c r="BOH681" s="13"/>
      <c r="BOI681" s="13"/>
      <c r="BOJ681" s="13"/>
      <c r="BOK681" s="13"/>
      <c r="BOL681" s="13"/>
      <c r="BOM681" s="13"/>
      <c r="BON681" s="13"/>
      <c r="BOO681" s="13"/>
      <c r="BOP681" s="13"/>
      <c r="BOQ681" s="13"/>
      <c r="BOR681" s="13"/>
      <c r="BOS681" s="13"/>
      <c r="BOT681" s="13"/>
      <c r="BOU681" s="13"/>
      <c r="BOV681" s="13"/>
      <c r="BOW681" s="13"/>
      <c r="BOX681" s="13"/>
      <c r="BOY681" s="13"/>
      <c r="BOZ681" s="13"/>
      <c r="BPA681" s="13"/>
      <c r="BPB681" s="13"/>
      <c r="BPC681" s="13"/>
      <c r="BPD681" s="13"/>
      <c r="BPE681" s="13"/>
      <c r="BPF681" s="13"/>
      <c r="BPG681" s="13"/>
      <c r="BPH681" s="13"/>
      <c r="BPI681" s="13"/>
      <c r="BPJ681" s="13"/>
      <c r="BPK681" s="13"/>
      <c r="BPL681" s="13"/>
      <c r="BPM681" s="13"/>
      <c r="BPN681" s="13"/>
      <c r="BPO681" s="13"/>
      <c r="BPP681" s="13"/>
      <c r="BPQ681" s="13"/>
      <c r="BPR681" s="13"/>
      <c r="BPS681" s="13"/>
      <c r="BPT681" s="13"/>
      <c r="BPU681" s="13"/>
      <c r="BPV681" s="13"/>
      <c r="BPW681" s="13"/>
      <c r="BPX681" s="13"/>
      <c r="BPY681" s="13"/>
      <c r="BPZ681" s="13"/>
      <c r="BQA681" s="13"/>
      <c r="BQB681" s="13"/>
      <c r="BQC681" s="13"/>
      <c r="BQD681" s="13"/>
      <c r="BQE681" s="13"/>
      <c r="BQF681" s="13"/>
      <c r="BQG681" s="13"/>
      <c r="BQH681" s="13"/>
      <c r="BQI681" s="13"/>
      <c r="BQJ681" s="13"/>
      <c r="BQK681" s="13"/>
      <c r="BQL681" s="13"/>
      <c r="BQM681" s="13"/>
      <c r="BQN681" s="13"/>
      <c r="BQO681" s="13"/>
      <c r="BQP681" s="13"/>
      <c r="BQQ681" s="13"/>
      <c r="BQR681" s="13"/>
      <c r="BQS681" s="13"/>
      <c r="BQT681" s="13"/>
      <c r="BQU681" s="13"/>
      <c r="BQV681" s="13"/>
      <c r="BQW681" s="13"/>
      <c r="BQX681" s="13"/>
      <c r="BQY681" s="13"/>
      <c r="BQZ681" s="13"/>
      <c r="BRA681" s="13"/>
      <c r="BRB681" s="13"/>
      <c r="BRC681" s="13"/>
      <c r="BRD681" s="13"/>
      <c r="BRE681" s="13"/>
      <c r="BRF681" s="13"/>
      <c r="BRG681" s="13"/>
      <c r="BRH681" s="13"/>
      <c r="BRI681" s="13"/>
      <c r="BRJ681" s="13"/>
      <c r="BRK681" s="13"/>
      <c r="BRL681" s="13"/>
      <c r="BRM681" s="13"/>
      <c r="BRN681" s="13"/>
      <c r="BRO681" s="13"/>
      <c r="BRP681" s="13"/>
      <c r="BRQ681" s="13"/>
      <c r="BRR681" s="13"/>
      <c r="BRS681" s="13"/>
      <c r="BRT681" s="13"/>
      <c r="BRU681" s="13"/>
      <c r="BRV681" s="13"/>
      <c r="BRW681" s="13"/>
      <c r="BRX681" s="13"/>
      <c r="BRY681" s="13"/>
      <c r="BRZ681" s="13"/>
      <c r="BSA681" s="13"/>
      <c r="BSB681" s="13"/>
      <c r="BSC681" s="13"/>
      <c r="BSD681" s="13"/>
      <c r="BSE681" s="13"/>
      <c r="BSF681" s="13"/>
      <c r="BSG681" s="13"/>
      <c r="BSH681" s="13"/>
      <c r="BSI681" s="13"/>
      <c r="BSJ681" s="13"/>
      <c r="BSK681" s="13"/>
      <c r="BSL681" s="13"/>
      <c r="BSM681" s="13"/>
      <c r="BSN681" s="13"/>
      <c r="BSO681" s="13"/>
      <c r="BSP681" s="13"/>
      <c r="BSQ681" s="13"/>
      <c r="BSR681" s="13"/>
      <c r="BSS681" s="13"/>
      <c r="BST681" s="13"/>
      <c r="BSU681" s="13"/>
      <c r="BSV681" s="13"/>
      <c r="BSW681" s="13"/>
      <c r="BSX681" s="13"/>
      <c r="BSY681" s="13"/>
      <c r="BSZ681" s="13"/>
      <c r="BTA681" s="13"/>
    </row>
    <row r="682" spans="1:1873" s="23" customFormat="1" ht="25.5" x14ac:dyDescent="0.2">
      <c r="A682" s="304" t="s">
        <v>2090</v>
      </c>
      <c r="B682" s="223" t="s">
        <v>800</v>
      </c>
      <c r="C682" s="223" t="s">
        <v>1032</v>
      </c>
      <c r="D682" s="223" t="s">
        <v>619</v>
      </c>
      <c r="E682" s="305" t="s">
        <v>1451</v>
      </c>
      <c r="F682" s="241">
        <v>1</v>
      </c>
      <c r="G682" s="223">
        <v>7</v>
      </c>
      <c r="H682" s="242">
        <v>7</v>
      </c>
      <c r="I682" s="223" t="s">
        <v>807</v>
      </c>
      <c r="J682" s="450">
        <v>1988</v>
      </c>
      <c r="K682" s="560" t="s">
        <v>1211</v>
      </c>
      <c r="L682" s="450">
        <v>1993</v>
      </c>
      <c r="M682" s="243">
        <v>-9999</v>
      </c>
      <c r="N682" s="223">
        <v>-9999</v>
      </c>
      <c r="O682" s="29"/>
      <c r="P682" s="244">
        <f t="shared" si="75"/>
        <v>62.300000000000004</v>
      </c>
      <c r="Q682" s="223">
        <v>-9999</v>
      </c>
      <c r="R682" s="243"/>
      <c r="S682" s="223"/>
      <c r="T682" s="243">
        <v>8.9</v>
      </c>
      <c r="U682" s="223">
        <v>-9999</v>
      </c>
      <c r="V682" s="223"/>
      <c r="W682" s="285">
        <f t="shared" si="78"/>
        <v>8.4799999999999969</v>
      </c>
      <c r="X682" s="223">
        <v>-9999</v>
      </c>
      <c r="Y682" s="223"/>
      <c r="Z682" s="561" t="s">
        <v>1702</v>
      </c>
      <c r="AA682" s="425">
        <f t="shared" si="76"/>
        <v>1682.0700000000002</v>
      </c>
      <c r="AB682" s="243">
        <v>-9999</v>
      </c>
      <c r="AC682" s="245">
        <v>4.0460000000000003</v>
      </c>
      <c r="AD682" s="560">
        <f t="shared" si="77"/>
        <v>3300</v>
      </c>
      <c r="AE682" s="675" t="s">
        <v>97</v>
      </c>
      <c r="AF682" s="223">
        <v>3</v>
      </c>
      <c r="AG682" s="223">
        <v>-9999</v>
      </c>
      <c r="AH682" s="223">
        <v>-9999</v>
      </c>
      <c r="AI682" s="223">
        <v>-9999</v>
      </c>
      <c r="AJ682" s="223">
        <v>-9999</v>
      </c>
      <c r="AK682" s="223">
        <v>-9999</v>
      </c>
      <c r="AL682" s="223">
        <v>-9999</v>
      </c>
      <c r="AM682" s="223">
        <v>-9999</v>
      </c>
      <c r="AN682" s="223" t="s">
        <v>631</v>
      </c>
      <c r="AO682" s="223">
        <v>-9999</v>
      </c>
      <c r="AP682" s="223">
        <v>-9999</v>
      </c>
      <c r="AQ682" s="223" t="s">
        <v>631</v>
      </c>
      <c r="AR682" s="223">
        <v>0</v>
      </c>
      <c r="AS682" s="223">
        <v>-9999</v>
      </c>
      <c r="AT682" s="223">
        <v>-9999</v>
      </c>
      <c r="AU682" s="223">
        <v>0</v>
      </c>
      <c r="AV682" s="223">
        <v>-9999</v>
      </c>
      <c r="AW682" s="223">
        <v>-9999</v>
      </c>
      <c r="AX682" s="223">
        <v>0</v>
      </c>
      <c r="AY682" s="223">
        <v>-9999</v>
      </c>
      <c r="AZ682" s="223">
        <v>-9999</v>
      </c>
      <c r="BA682" s="223">
        <v>-9999</v>
      </c>
      <c r="BB682" s="223" t="s">
        <v>631</v>
      </c>
      <c r="BC682" s="223">
        <v>-9999</v>
      </c>
      <c r="BD682" s="223">
        <v>-9999</v>
      </c>
      <c r="BE682" s="223">
        <v>-9999</v>
      </c>
      <c r="BF682" s="223">
        <v>-9999</v>
      </c>
      <c r="BG682" s="223">
        <v>-9999</v>
      </c>
      <c r="BH682" s="223">
        <v>-9999</v>
      </c>
      <c r="BI682" s="223" t="s">
        <v>1056</v>
      </c>
      <c r="BJ682" s="223">
        <v>-9999</v>
      </c>
      <c r="BK682" s="223">
        <v>-9999</v>
      </c>
      <c r="BL682" s="223">
        <v>-9999</v>
      </c>
      <c r="BM682" s="223">
        <v>-9999</v>
      </c>
      <c r="BN682" s="223">
        <v>-9999</v>
      </c>
      <c r="BO682" s="223">
        <v>-9999</v>
      </c>
      <c r="BP682" s="223">
        <v>-9999</v>
      </c>
      <c r="BQ682" s="223">
        <v>-9999</v>
      </c>
      <c r="BR682" s="223">
        <v>-9999</v>
      </c>
      <c r="BS682" s="242">
        <v>-9999</v>
      </c>
      <c r="BT682" s="223">
        <v>-9999</v>
      </c>
      <c r="BU682" s="223">
        <v>-9999</v>
      </c>
      <c r="BV682" s="223">
        <v>-9999</v>
      </c>
      <c r="BW682" s="223"/>
      <c r="BX682" s="223">
        <v>-9999</v>
      </c>
      <c r="BY682" s="223">
        <v>-9999</v>
      </c>
      <c r="BZ682" s="223">
        <v>-9999</v>
      </c>
      <c r="CA682" s="334" t="s">
        <v>797</v>
      </c>
      <c r="CB682" s="247"/>
      <c r="CC682" s="83">
        <v>1</v>
      </c>
      <c r="CD682" s="32">
        <v>7</v>
      </c>
      <c r="CE682" s="292">
        <v>8.9</v>
      </c>
      <c r="CF682" s="292">
        <v>8.4799999999999969</v>
      </c>
      <c r="CG682" s="84">
        <v>7</v>
      </c>
    </row>
    <row r="683" spans="1:1873" s="23" customFormat="1" ht="25.5" x14ac:dyDescent="0.2">
      <c r="A683" s="304" t="s">
        <v>2090</v>
      </c>
      <c r="B683" s="223" t="s">
        <v>800</v>
      </c>
      <c r="C683" s="223" t="s">
        <v>1032</v>
      </c>
      <c r="D683" s="223" t="s">
        <v>619</v>
      </c>
      <c r="E683" s="305" t="s">
        <v>1451</v>
      </c>
      <c r="F683" s="241">
        <v>1</v>
      </c>
      <c r="G683" s="223">
        <v>8</v>
      </c>
      <c r="H683" s="242">
        <v>8</v>
      </c>
      <c r="I683" s="223" t="s">
        <v>807</v>
      </c>
      <c r="J683" s="450">
        <v>1988</v>
      </c>
      <c r="K683" s="560" t="s">
        <v>1211</v>
      </c>
      <c r="L683" s="450">
        <v>1994</v>
      </c>
      <c r="M683" s="243">
        <v>-9999</v>
      </c>
      <c r="N683" s="223">
        <v>-9999</v>
      </c>
      <c r="O683" s="29"/>
      <c r="P683" s="244">
        <f t="shared" si="75"/>
        <v>70.64</v>
      </c>
      <c r="Q683" s="223">
        <v>-9999</v>
      </c>
      <c r="R683" s="243"/>
      <c r="S683" s="223"/>
      <c r="T683" s="243">
        <v>8.83</v>
      </c>
      <c r="U683" s="223">
        <v>-9999</v>
      </c>
      <c r="V683" s="223"/>
      <c r="W683" s="285">
        <f t="shared" si="78"/>
        <v>8.3399999999999963</v>
      </c>
      <c r="X683" s="223">
        <v>-9999</v>
      </c>
      <c r="Y683" s="223"/>
      <c r="Z683" s="561" t="s">
        <v>1702</v>
      </c>
      <c r="AA683" s="425">
        <f t="shared" si="76"/>
        <v>1682.0700000000002</v>
      </c>
      <c r="AB683" s="243">
        <v>-9999</v>
      </c>
      <c r="AC683" s="245">
        <v>4.0460000000000003</v>
      </c>
      <c r="AD683" s="560">
        <f t="shared" si="77"/>
        <v>3300</v>
      </c>
      <c r="AE683" s="675" t="s">
        <v>97</v>
      </c>
      <c r="AF683" s="223">
        <v>3</v>
      </c>
      <c r="AG683" s="223">
        <v>-9999</v>
      </c>
      <c r="AH683" s="223">
        <v>-9999</v>
      </c>
      <c r="AI683" s="223">
        <v>-9999</v>
      </c>
      <c r="AJ683" s="223">
        <v>-9999</v>
      </c>
      <c r="AK683" s="223">
        <v>-9999</v>
      </c>
      <c r="AL683" s="223">
        <v>-9999</v>
      </c>
      <c r="AM683" s="223">
        <v>-9999</v>
      </c>
      <c r="AN683" s="223" t="s">
        <v>631</v>
      </c>
      <c r="AO683" s="223">
        <v>-9999</v>
      </c>
      <c r="AP683" s="223">
        <v>-9999</v>
      </c>
      <c r="AQ683" s="223" t="s">
        <v>631</v>
      </c>
      <c r="AR683" s="223">
        <v>0</v>
      </c>
      <c r="AS683" s="223">
        <v>-9999</v>
      </c>
      <c r="AT683" s="223">
        <v>-9999</v>
      </c>
      <c r="AU683" s="223">
        <v>0</v>
      </c>
      <c r="AV683" s="223">
        <v>-9999</v>
      </c>
      <c r="AW683" s="223">
        <v>-9999</v>
      </c>
      <c r="AX683" s="223">
        <v>0</v>
      </c>
      <c r="AY683" s="223">
        <v>-9999</v>
      </c>
      <c r="AZ683" s="223">
        <v>-9999</v>
      </c>
      <c r="BA683" s="223">
        <v>-9999</v>
      </c>
      <c r="BB683" s="223" t="s">
        <v>631</v>
      </c>
      <c r="BC683" s="223">
        <v>-9999</v>
      </c>
      <c r="BD683" s="223">
        <v>-9999</v>
      </c>
      <c r="BE683" s="223">
        <v>-9999</v>
      </c>
      <c r="BF683" s="223">
        <v>-9999</v>
      </c>
      <c r="BG683" s="223">
        <v>-9999</v>
      </c>
      <c r="BH683" s="223">
        <v>-9999</v>
      </c>
      <c r="BI683" s="223" t="s">
        <v>1056</v>
      </c>
      <c r="BJ683" s="223">
        <v>-9999</v>
      </c>
      <c r="BK683" s="223">
        <v>-9999</v>
      </c>
      <c r="BL683" s="223">
        <v>-9999</v>
      </c>
      <c r="BM683" s="223">
        <v>-9999</v>
      </c>
      <c r="BN683" s="223">
        <v>-9999</v>
      </c>
      <c r="BO683" s="223">
        <v>-9999</v>
      </c>
      <c r="BP683" s="223">
        <v>-9999</v>
      </c>
      <c r="BQ683" s="223">
        <v>-9999</v>
      </c>
      <c r="BR683" s="223">
        <v>-9999</v>
      </c>
      <c r="BS683" s="242">
        <v>-9999</v>
      </c>
      <c r="BT683" s="223">
        <v>-9999</v>
      </c>
      <c r="BU683" s="223">
        <v>-9999</v>
      </c>
      <c r="BV683" s="223">
        <v>-9999</v>
      </c>
      <c r="BW683" s="223"/>
      <c r="BX683" s="223">
        <v>-9999</v>
      </c>
      <c r="BY683" s="223">
        <v>-9999</v>
      </c>
      <c r="BZ683" s="223">
        <v>-9999</v>
      </c>
      <c r="CA683" s="334" t="s">
        <v>797</v>
      </c>
      <c r="CB683" s="247"/>
      <c r="CC683" s="83">
        <v>1</v>
      </c>
      <c r="CD683" s="32">
        <v>8</v>
      </c>
      <c r="CE683" s="292">
        <v>8.83</v>
      </c>
      <c r="CF683" s="292">
        <v>8.3399999999999963</v>
      </c>
      <c r="CG683" s="84">
        <v>8</v>
      </c>
    </row>
    <row r="684" spans="1:1873" s="23" customFormat="1" ht="25.5" x14ac:dyDescent="0.2">
      <c r="A684" s="304" t="s">
        <v>2090</v>
      </c>
      <c r="B684" s="223" t="s">
        <v>800</v>
      </c>
      <c r="C684" s="223" t="s">
        <v>1032</v>
      </c>
      <c r="D684" s="223" t="s">
        <v>619</v>
      </c>
      <c r="E684" s="305" t="s">
        <v>1451</v>
      </c>
      <c r="F684" s="241">
        <v>1</v>
      </c>
      <c r="G684" s="223">
        <v>9</v>
      </c>
      <c r="H684" s="242">
        <v>9</v>
      </c>
      <c r="I684" s="223" t="s">
        <v>807</v>
      </c>
      <c r="J684" s="450">
        <v>1988</v>
      </c>
      <c r="K684" s="560" t="s">
        <v>1211</v>
      </c>
      <c r="L684" s="450">
        <v>1995</v>
      </c>
      <c r="M684" s="243">
        <v>-9999</v>
      </c>
      <c r="N684" s="223">
        <v>-9999</v>
      </c>
      <c r="O684" s="29"/>
      <c r="P684" s="244">
        <f t="shared" si="75"/>
        <v>69.39</v>
      </c>
      <c r="Q684" s="223">
        <v>-9999</v>
      </c>
      <c r="R684" s="243"/>
      <c r="S684" s="223"/>
      <c r="T684" s="243">
        <v>7.71</v>
      </c>
      <c r="U684" s="223">
        <v>-9999</v>
      </c>
      <c r="V684" s="223"/>
      <c r="W684" s="285">
        <f t="shared" si="78"/>
        <v>-1.25</v>
      </c>
      <c r="X684" s="223">
        <v>-9999</v>
      </c>
      <c r="Y684" s="223"/>
      <c r="Z684" s="561" t="s">
        <v>1702</v>
      </c>
      <c r="AA684" s="425">
        <f t="shared" si="76"/>
        <v>1682.0700000000002</v>
      </c>
      <c r="AB684" s="243">
        <v>-9999</v>
      </c>
      <c r="AC684" s="245">
        <v>4.0460000000000003</v>
      </c>
      <c r="AD684" s="560">
        <f t="shared" si="77"/>
        <v>3300</v>
      </c>
      <c r="AE684" s="675" t="s">
        <v>97</v>
      </c>
      <c r="AF684" s="223">
        <v>3</v>
      </c>
      <c r="AG684" s="223">
        <v>-9999</v>
      </c>
      <c r="AH684" s="223">
        <v>-9999</v>
      </c>
      <c r="AI684" s="223">
        <v>-9999</v>
      </c>
      <c r="AJ684" s="223">
        <v>-9999</v>
      </c>
      <c r="AK684" s="223">
        <v>-9999</v>
      </c>
      <c r="AL684" s="223">
        <v>-9999</v>
      </c>
      <c r="AM684" s="223">
        <v>-9999</v>
      </c>
      <c r="AN684" s="223" t="s">
        <v>631</v>
      </c>
      <c r="AO684" s="223">
        <v>-9999</v>
      </c>
      <c r="AP684" s="223">
        <v>-9999</v>
      </c>
      <c r="AQ684" s="223" t="s">
        <v>631</v>
      </c>
      <c r="AR684" s="223">
        <v>0</v>
      </c>
      <c r="AS684" s="223">
        <v>-9999</v>
      </c>
      <c r="AT684" s="223">
        <v>-9999</v>
      </c>
      <c r="AU684" s="223">
        <v>0</v>
      </c>
      <c r="AV684" s="223">
        <v>-9999</v>
      </c>
      <c r="AW684" s="223">
        <v>-9999</v>
      </c>
      <c r="AX684" s="223">
        <v>0</v>
      </c>
      <c r="AY684" s="223">
        <v>-9999</v>
      </c>
      <c r="AZ684" s="223">
        <v>-9999</v>
      </c>
      <c r="BA684" s="223">
        <v>-9999</v>
      </c>
      <c r="BB684" s="223" t="s">
        <v>631</v>
      </c>
      <c r="BC684" s="223">
        <v>-9999</v>
      </c>
      <c r="BD684" s="223">
        <v>-9999</v>
      </c>
      <c r="BE684" s="223">
        <v>-9999</v>
      </c>
      <c r="BF684" s="223">
        <v>-9999</v>
      </c>
      <c r="BG684" s="223">
        <v>-9999</v>
      </c>
      <c r="BH684" s="223">
        <v>-9999</v>
      </c>
      <c r="BI684" s="223" t="s">
        <v>1056</v>
      </c>
      <c r="BJ684" s="223">
        <v>-9999</v>
      </c>
      <c r="BK684" s="223">
        <v>-9999</v>
      </c>
      <c r="BL684" s="223">
        <v>-9999</v>
      </c>
      <c r="BM684" s="223">
        <v>-9999</v>
      </c>
      <c r="BN684" s="223">
        <v>-9999</v>
      </c>
      <c r="BO684" s="223">
        <v>-9999</v>
      </c>
      <c r="BP684" s="223">
        <v>-9999</v>
      </c>
      <c r="BQ684" s="223">
        <v>-9999</v>
      </c>
      <c r="BR684" s="223">
        <v>-9999</v>
      </c>
      <c r="BS684" s="242">
        <v>-9999</v>
      </c>
      <c r="BT684" s="223">
        <v>-9999</v>
      </c>
      <c r="BU684" s="223">
        <v>-9999</v>
      </c>
      <c r="BV684" s="223">
        <v>-9999</v>
      </c>
      <c r="BW684" s="223"/>
      <c r="BX684" s="223">
        <v>-9999</v>
      </c>
      <c r="BY684" s="223">
        <v>-9999</v>
      </c>
      <c r="BZ684" s="223">
        <v>-9999</v>
      </c>
      <c r="CA684" s="334" t="s">
        <v>797</v>
      </c>
      <c r="CB684" s="247"/>
      <c r="CC684" s="83">
        <v>1</v>
      </c>
      <c r="CD684" s="32">
        <v>9</v>
      </c>
      <c r="CE684" s="292">
        <v>7.71</v>
      </c>
      <c r="CF684" s="292">
        <v>-1.25</v>
      </c>
      <c r="CG684" s="84">
        <v>9</v>
      </c>
    </row>
    <row r="685" spans="1:1873" s="23" customFormat="1" ht="25.5" x14ac:dyDescent="0.2">
      <c r="A685" s="304" t="s">
        <v>2090</v>
      </c>
      <c r="B685" s="223" t="s">
        <v>800</v>
      </c>
      <c r="C685" s="223" t="s">
        <v>1032</v>
      </c>
      <c r="D685" s="223" t="s">
        <v>619</v>
      </c>
      <c r="E685" s="305" t="s">
        <v>1451</v>
      </c>
      <c r="F685" s="241">
        <v>1</v>
      </c>
      <c r="G685" s="223">
        <v>10</v>
      </c>
      <c r="H685" s="242">
        <v>10</v>
      </c>
      <c r="I685" s="223" t="s">
        <v>807</v>
      </c>
      <c r="J685" s="450">
        <v>1988</v>
      </c>
      <c r="K685" s="560" t="s">
        <v>1211</v>
      </c>
      <c r="L685" s="450">
        <v>1996</v>
      </c>
      <c r="M685" s="243">
        <v>-9999</v>
      </c>
      <c r="N685" s="223">
        <v>-9999</v>
      </c>
      <c r="O685" s="29"/>
      <c r="P685" s="244">
        <f t="shared" si="75"/>
        <v>72</v>
      </c>
      <c r="Q685" s="223">
        <v>-9999</v>
      </c>
      <c r="R685" s="243"/>
      <c r="S685" s="223"/>
      <c r="T685" s="243">
        <v>7.2</v>
      </c>
      <c r="U685" s="223">
        <v>-9999</v>
      </c>
      <c r="V685" s="223"/>
      <c r="W685" s="285">
        <f t="shared" si="78"/>
        <v>2.6099999999999994</v>
      </c>
      <c r="X685" s="223">
        <v>-9999</v>
      </c>
      <c r="Y685" s="223"/>
      <c r="Z685" s="561" t="s">
        <v>1702</v>
      </c>
      <c r="AA685" s="425">
        <f t="shared" si="76"/>
        <v>1682.0700000000002</v>
      </c>
      <c r="AB685" s="243">
        <v>-9999</v>
      </c>
      <c r="AC685" s="245">
        <v>4.0460000000000003</v>
      </c>
      <c r="AD685" s="560">
        <f t="shared" si="77"/>
        <v>3300</v>
      </c>
      <c r="AE685" s="675" t="s">
        <v>97</v>
      </c>
      <c r="AF685" s="223">
        <v>3</v>
      </c>
      <c r="AG685" s="223">
        <v>-9999</v>
      </c>
      <c r="AH685" s="223">
        <v>-9999</v>
      </c>
      <c r="AI685" s="223">
        <v>-9999</v>
      </c>
      <c r="AJ685" s="223">
        <v>-9999</v>
      </c>
      <c r="AK685" s="223">
        <v>-9999</v>
      </c>
      <c r="AL685" s="223">
        <v>-9999</v>
      </c>
      <c r="AM685" s="223">
        <v>-9999</v>
      </c>
      <c r="AN685" s="223" t="s">
        <v>631</v>
      </c>
      <c r="AO685" s="223">
        <v>-9999</v>
      </c>
      <c r="AP685" s="223">
        <v>-9999</v>
      </c>
      <c r="AQ685" s="223" t="s">
        <v>631</v>
      </c>
      <c r="AR685" s="223">
        <v>0</v>
      </c>
      <c r="AS685" s="223">
        <v>-9999</v>
      </c>
      <c r="AT685" s="223">
        <v>-9999</v>
      </c>
      <c r="AU685" s="223">
        <v>0</v>
      </c>
      <c r="AV685" s="223">
        <v>-9999</v>
      </c>
      <c r="AW685" s="223">
        <v>-9999</v>
      </c>
      <c r="AX685" s="223">
        <v>0</v>
      </c>
      <c r="AY685" s="223">
        <v>-9999</v>
      </c>
      <c r="AZ685" s="223">
        <v>-9999</v>
      </c>
      <c r="BA685" s="223">
        <v>-9999</v>
      </c>
      <c r="BB685" s="223" t="s">
        <v>631</v>
      </c>
      <c r="BC685" s="223">
        <v>-9999</v>
      </c>
      <c r="BD685" s="223">
        <v>-9999</v>
      </c>
      <c r="BE685" s="223">
        <v>-9999</v>
      </c>
      <c r="BF685" s="223">
        <v>-9999</v>
      </c>
      <c r="BG685" s="223">
        <v>-9999</v>
      </c>
      <c r="BH685" s="223">
        <v>-9999</v>
      </c>
      <c r="BI685" s="223" t="s">
        <v>1056</v>
      </c>
      <c r="BJ685" s="223">
        <v>-9999</v>
      </c>
      <c r="BK685" s="223">
        <v>-9999</v>
      </c>
      <c r="BL685" s="223">
        <v>-9999</v>
      </c>
      <c r="BM685" s="223">
        <v>-9999</v>
      </c>
      <c r="BN685" s="223">
        <v>-9999</v>
      </c>
      <c r="BO685" s="223">
        <v>-9999</v>
      </c>
      <c r="BP685" s="223">
        <v>-9999</v>
      </c>
      <c r="BQ685" s="223">
        <v>-9999</v>
      </c>
      <c r="BR685" s="223">
        <v>-9999</v>
      </c>
      <c r="BS685" s="242">
        <v>-9999</v>
      </c>
      <c r="BT685" s="223">
        <v>-9999</v>
      </c>
      <c r="BU685" s="223">
        <v>-9999</v>
      </c>
      <c r="BV685" s="223">
        <v>-9999</v>
      </c>
      <c r="BW685" s="223"/>
      <c r="BX685" s="223">
        <v>-9999</v>
      </c>
      <c r="BY685" s="223">
        <v>-9999</v>
      </c>
      <c r="BZ685" s="223">
        <v>-9999</v>
      </c>
      <c r="CA685" s="334" t="s">
        <v>797</v>
      </c>
      <c r="CB685" s="247"/>
      <c r="CC685" s="83">
        <v>1</v>
      </c>
      <c r="CD685" s="32">
        <v>10</v>
      </c>
      <c r="CE685" s="292">
        <v>7.2</v>
      </c>
      <c r="CF685" s="292">
        <v>2.6099999999999994</v>
      </c>
      <c r="CG685" s="84">
        <v>10</v>
      </c>
    </row>
    <row r="686" spans="1:1873" s="23" customFormat="1" x14ac:dyDescent="0.2">
      <c r="A686" s="323"/>
      <c r="B686" s="29"/>
      <c r="C686" s="29"/>
      <c r="D686" s="29"/>
      <c r="E686" s="66"/>
      <c r="F686" s="66"/>
      <c r="G686" s="29"/>
      <c r="H686" s="30"/>
      <c r="I686" s="29"/>
      <c r="J686" s="112"/>
      <c r="K686" s="428"/>
      <c r="L686" s="112"/>
      <c r="M686" s="31"/>
      <c r="N686" s="29"/>
      <c r="O686" s="29"/>
      <c r="P686" s="31"/>
      <c r="Q686" s="29"/>
      <c r="R686" s="31"/>
      <c r="S686" s="29"/>
      <c r="T686" s="31"/>
      <c r="U686" s="29"/>
      <c r="V686" s="29"/>
      <c r="W686" s="31"/>
      <c r="X686" s="29"/>
      <c r="Y686" s="29"/>
      <c r="Z686" s="429"/>
      <c r="AA686" s="115"/>
      <c r="AB686" s="31"/>
      <c r="AC686" s="71"/>
      <c r="AD686" s="29"/>
      <c r="AE686" s="112"/>
      <c r="AF686" s="29"/>
      <c r="AG686" s="29"/>
      <c r="AH686" s="29"/>
      <c r="AI686" s="29"/>
      <c r="AJ686" s="29"/>
      <c r="AK686" s="29"/>
      <c r="AL686" s="29"/>
      <c r="AM686" s="29"/>
      <c r="AN686" s="29"/>
      <c r="AO686" s="29"/>
      <c r="AP686" s="29"/>
      <c r="AQ686" s="29"/>
      <c r="AR686" s="29"/>
      <c r="AS686" s="29"/>
      <c r="AT686" s="29"/>
      <c r="AU686" s="29"/>
      <c r="AV686" s="29"/>
      <c r="AW686" s="29"/>
      <c r="AX686" s="29"/>
      <c r="AY686" s="29"/>
      <c r="AZ686" s="29"/>
      <c r="BA686" s="29"/>
      <c r="BB686" s="29"/>
      <c r="BC686" s="29"/>
      <c r="BD686" s="29"/>
      <c r="BE686" s="29"/>
      <c r="BF686" s="29"/>
      <c r="BG686" s="29"/>
      <c r="BH686" s="29"/>
      <c r="BI686" s="29"/>
      <c r="BJ686" s="29"/>
      <c r="BK686" s="29"/>
      <c r="BL686" s="29"/>
      <c r="BM686" s="29"/>
      <c r="BN686" s="29"/>
      <c r="BO686" s="29"/>
      <c r="BP686" s="29"/>
      <c r="BQ686" s="29"/>
      <c r="BR686" s="29"/>
      <c r="BS686" s="30"/>
      <c r="BT686" s="29"/>
      <c r="BU686" s="29"/>
      <c r="BV686" s="29"/>
      <c r="BW686" s="29"/>
      <c r="BX686" s="29"/>
      <c r="BY686" s="29"/>
      <c r="BZ686" s="29"/>
      <c r="CA686" s="333"/>
      <c r="CC686" s="66"/>
      <c r="CD686" s="29"/>
      <c r="CE686" s="342" t="s">
        <v>1576</v>
      </c>
      <c r="CF686" s="342" t="s">
        <v>1575</v>
      </c>
      <c r="CG686" s="30"/>
    </row>
    <row r="687" spans="1:1873" s="23" customFormat="1" ht="25.5" x14ac:dyDescent="0.2">
      <c r="A687" s="304" t="s">
        <v>2090</v>
      </c>
      <c r="B687" s="223" t="s">
        <v>801</v>
      </c>
      <c r="C687" s="223" t="s">
        <v>1032</v>
      </c>
      <c r="D687" s="223" t="s">
        <v>619</v>
      </c>
      <c r="E687" s="305" t="s">
        <v>1451</v>
      </c>
      <c r="F687" s="241">
        <v>1</v>
      </c>
      <c r="G687" s="223">
        <v>3</v>
      </c>
      <c r="H687" s="242">
        <v>3</v>
      </c>
      <c r="I687" s="223" t="s">
        <v>807</v>
      </c>
      <c r="J687" s="450">
        <v>1988</v>
      </c>
      <c r="K687" s="560" t="s">
        <v>1211</v>
      </c>
      <c r="L687" s="450">
        <v>1989</v>
      </c>
      <c r="M687" s="243">
        <v>-9999</v>
      </c>
      <c r="N687" s="223">
        <v>-9999</v>
      </c>
      <c r="O687" s="29"/>
      <c r="P687" s="243">
        <v>-9999</v>
      </c>
      <c r="Q687" s="223">
        <v>-9999</v>
      </c>
      <c r="R687" s="243"/>
      <c r="S687" s="223"/>
      <c r="T687" s="243">
        <v>-9999</v>
      </c>
      <c r="U687" s="223">
        <v>-9999</v>
      </c>
      <c r="V687" s="223"/>
      <c r="W687" s="243">
        <v>-9999</v>
      </c>
      <c r="X687" s="223">
        <v>-9999</v>
      </c>
      <c r="Y687" s="223"/>
      <c r="Z687" s="561" t="s">
        <v>1702</v>
      </c>
      <c r="AA687" s="425">
        <f t="shared" ref="AA687:AA694" si="79">681*2.47</f>
        <v>1682.0700000000002</v>
      </c>
      <c r="AB687" s="243">
        <v>-9999</v>
      </c>
      <c r="AC687" s="245">
        <v>4.0460000000000003</v>
      </c>
      <c r="AD687" s="560">
        <f t="shared" si="77"/>
        <v>3300</v>
      </c>
      <c r="AE687" s="675" t="s">
        <v>97</v>
      </c>
      <c r="AF687" s="223">
        <v>3</v>
      </c>
      <c r="AG687" s="223">
        <v>-9999</v>
      </c>
      <c r="AH687" s="223">
        <v>-9999</v>
      </c>
      <c r="AI687" s="223">
        <v>-9999</v>
      </c>
      <c r="AJ687" s="223">
        <v>-9999</v>
      </c>
      <c r="AK687" s="223">
        <v>-9999</v>
      </c>
      <c r="AL687" s="223">
        <v>-9999</v>
      </c>
      <c r="AM687" s="223">
        <v>-9999</v>
      </c>
      <c r="AN687" s="223" t="s">
        <v>631</v>
      </c>
      <c r="AO687" s="223">
        <v>-9999</v>
      </c>
      <c r="AP687" s="223">
        <v>-9999</v>
      </c>
      <c r="AQ687" s="223" t="s">
        <v>631</v>
      </c>
      <c r="AR687" s="223">
        <v>0</v>
      </c>
      <c r="AS687" s="223">
        <v>-9999</v>
      </c>
      <c r="AT687" s="223">
        <v>-9999</v>
      </c>
      <c r="AU687" s="223">
        <v>0</v>
      </c>
      <c r="AV687" s="223">
        <v>-9999</v>
      </c>
      <c r="AW687" s="223">
        <v>-9999</v>
      </c>
      <c r="AX687" s="223">
        <v>0</v>
      </c>
      <c r="AY687" s="223">
        <v>-9999</v>
      </c>
      <c r="AZ687" s="223">
        <v>-9999</v>
      </c>
      <c r="BA687" s="223">
        <v>-9999</v>
      </c>
      <c r="BB687" s="223" t="s">
        <v>631</v>
      </c>
      <c r="BC687" s="223">
        <v>-9999</v>
      </c>
      <c r="BD687" s="223">
        <v>-9999</v>
      </c>
      <c r="BE687" s="223">
        <v>-9999</v>
      </c>
      <c r="BF687" s="223">
        <v>-9999</v>
      </c>
      <c r="BG687" s="223">
        <v>-9999</v>
      </c>
      <c r="BH687" s="223">
        <v>-9999</v>
      </c>
      <c r="BI687" s="223" t="s">
        <v>1060</v>
      </c>
      <c r="BJ687" s="223">
        <v>-9999</v>
      </c>
      <c r="BK687" s="223">
        <v>-9999</v>
      </c>
      <c r="BL687" s="223">
        <v>-9999</v>
      </c>
      <c r="BM687" s="223">
        <v>-9999</v>
      </c>
      <c r="BN687" s="223">
        <v>-9999</v>
      </c>
      <c r="BO687" s="223">
        <v>-9999</v>
      </c>
      <c r="BP687" s="223">
        <v>-9999</v>
      </c>
      <c r="BQ687" s="223">
        <v>-9999</v>
      </c>
      <c r="BR687" s="223">
        <v>-9999</v>
      </c>
      <c r="BS687" s="242">
        <v>-9999</v>
      </c>
      <c r="BT687" s="223">
        <v>-9999</v>
      </c>
      <c r="BU687" s="223">
        <v>-9999</v>
      </c>
      <c r="BV687" s="223">
        <v>-9999</v>
      </c>
      <c r="BW687" s="223"/>
      <c r="BX687" s="223">
        <v>-9999</v>
      </c>
      <c r="BY687" s="223">
        <v>-9999</v>
      </c>
      <c r="BZ687" s="223">
        <v>-9999</v>
      </c>
      <c r="CA687" s="334" t="s">
        <v>797</v>
      </c>
      <c r="CB687" s="247"/>
      <c r="CC687" s="83">
        <v>1</v>
      </c>
      <c r="CD687" s="32">
        <v>3</v>
      </c>
      <c r="CE687" s="292"/>
      <c r="CF687" s="292"/>
      <c r="CG687" s="84">
        <v>3</v>
      </c>
    </row>
    <row r="688" spans="1:1873" s="23" customFormat="1" ht="25.5" x14ac:dyDescent="0.2">
      <c r="A688" s="304" t="s">
        <v>2090</v>
      </c>
      <c r="B688" s="223" t="s">
        <v>801</v>
      </c>
      <c r="C688" s="223" t="s">
        <v>1032</v>
      </c>
      <c r="D688" s="223" t="s">
        <v>619</v>
      </c>
      <c r="E688" s="305" t="s">
        <v>1451</v>
      </c>
      <c r="F688" s="241">
        <v>1</v>
      </c>
      <c r="G688" s="223">
        <v>4</v>
      </c>
      <c r="H688" s="242">
        <v>4</v>
      </c>
      <c r="I688" s="223" t="s">
        <v>807</v>
      </c>
      <c r="J688" s="450">
        <v>1988</v>
      </c>
      <c r="K688" s="560" t="s">
        <v>1211</v>
      </c>
      <c r="L688" s="450">
        <v>1990</v>
      </c>
      <c r="M688" s="243">
        <v>-9999</v>
      </c>
      <c r="N688" s="223">
        <v>-9999</v>
      </c>
      <c r="O688" s="29"/>
      <c r="P688" s="244">
        <f t="shared" ref="P688:P693" si="80">+T688*G688</f>
        <v>17.32</v>
      </c>
      <c r="Q688" s="223">
        <v>-9999</v>
      </c>
      <c r="R688" s="243"/>
      <c r="S688" s="223"/>
      <c r="T688" s="243">
        <v>4.33</v>
      </c>
      <c r="U688" s="223">
        <v>-9999</v>
      </c>
      <c r="V688" s="223"/>
      <c r="W688" s="243">
        <v>-9999</v>
      </c>
      <c r="X688" s="223">
        <v>-9999</v>
      </c>
      <c r="Y688" s="223"/>
      <c r="Z688" s="561" t="s">
        <v>1702</v>
      </c>
      <c r="AA688" s="425">
        <f t="shared" si="79"/>
        <v>1682.0700000000002</v>
      </c>
      <c r="AB688" s="243">
        <v>-9999</v>
      </c>
      <c r="AC688" s="245">
        <v>4.0460000000000003</v>
      </c>
      <c r="AD688" s="560">
        <f t="shared" si="77"/>
        <v>3300</v>
      </c>
      <c r="AE688" s="675" t="s">
        <v>97</v>
      </c>
      <c r="AF688" s="223">
        <v>3</v>
      </c>
      <c r="AG688" s="223">
        <v>-9999</v>
      </c>
      <c r="AH688" s="223">
        <v>-9999</v>
      </c>
      <c r="AI688" s="223">
        <v>-9999</v>
      </c>
      <c r="AJ688" s="223">
        <v>-9999</v>
      </c>
      <c r="AK688" s="223">
        <v>-9999</v>
      </c>
      <c r="AL688" s="223">
        <v>-9999</v>
      </c>
      <c r="AM688" s="223">
        <v>-9999</v>
      </c>
      <c r="AN688" s="223" t="s">
        <v>631</v>
      </c>
      <c r="AO688" s="223">
        <v>-9999</v>
      </c>
      <c r="AP688" s="223">
        <v>-9999</v>
      </c>
      <c r="AQ688" s="223" t="s">
        <v>631</v>
      </c>
      <c r="AR688" s="223">
        <v>0</v>
      </c>
      <c r="AS688" s="223">
        <v>-9999</v>
      </c>
      <c r="AT688" s="223">
        <v>-9999</v>
      </c>
      <c r="AU688" s="223">
        <v>0</v>
      </c>
      <c r="AV688" s="223">
        <v>-9999</v>
      </c>
      <c r="AW688" s="223">
        <v>-9999</v>
      </c>
      <c r="AX688" s="223">
        <v>0</v>
      </c>
      <c r="AY688" s="223">
        <v>-9999</v>
      </c>
      <c r="AZ688" s="223">
        <v>-9999</v>
      </c>
      <c r="BA688" s="223">
        <v>-9999</v>
      </c>
      <c r="BB688" s="223" t="s">
        <v>631</v>
      </c>
      <c r="BC688" s="223">
        <v>-9999</v>
      </c>
      <c r="BD688" s="223">
        <v>-9999</v>
      </c>
      <c r="BE688" s="223">
        <v>-9999</v>
      </c>
      <c r="BF688" s="223">
        <v>-9999</v>
      </c>
      <c r="BG688" s="223">
        <v>-9999</v>
      </c>
      <c r="BH688" s="223">
        <v>-9999</v>
      </c>
      <c r="BI688" s="223" t="s">
        <v>1060</v>
      </c>
      <c r="BJ688" s="223">
        <v>-9999</v>
      </c>
      <c r="BK688" s="223">
        <v>-9999</v>
      </c>
      <c r="BL688" s="223">
        <v>-9999</v>
      </c>
      <c r="BM688" s="223">
        <v>-9999</v>
      </c>
      <c r="BN688" s="223">
        <v>-9999</v>
      </c>
      <c r="BO688" s="223">
        <v>-9999</v>
      </c>
      <c r="BP688" s="223">
        <v>-9999</v>
      </c>
      <c r="BQ688" s="223">
        <v>-9999</v>
      </c>
      <c r="BR688" s="223">
        <v>-9999</v>
      </c>
      <c r="BS688" s="242">
        <v>-9999</v>
      </c>
      <c r="BT688" s="223">
        <v>-9999</v>
      </c>
      <c r="BU688" s="223">
        <v>-9999</v>
      </c>
      <c r="BV688" s="223">
        <v>-9999</v>
      </c>
      <c r="BW688" s="223"/>
      <c r="BX688" s="223">
        <v>-9999</v>
      </c>
      <c r="BY688" s="223">
        <v>-9999</v>
      </c>
      <c r="BZ688" s="223">
        <v>-9999</v>
      </c>
      <c r="CA688" s="334" t="s">
        <v>797</v>
      </c>
      <c r="CB688" s="247"/>
      <c r="CC688" s="83">
        <v>1</v>
      </c>
      <c r="CD688" s="32">
        <v>4</v>
      </c>
      <c r="CE688" s="292">
        <v>4.33</v>
      </c>
      <c r="CF688" s="292"/>
      <c r="CG688" s="84">
        <v>4</v>
      </c>
    </row>
    <row r="689" spans="1:1873" s="23" customFormat="1" ht="25.5" x14ac:dyDescent="0.2">
      <c r="A689" s="304" t="s">
        <v>2090</v>
      </c>
      <c r="B689" s="223" t="s">
        <v>801</v>
      </c>
      <c r="C689" s="223" t="s">
        <v>1032</v>
      </c>
      <c r="D689" s="223" t="s">
        <v>619</v>
      </c>
      <c r="E689" s="305" t="s">
        <v>1451</v>
      </c>
      <c r="F689" s="241">
        <v>1</v>
      </c>
      <c r="G689" s="223">
        <v>5</v>
      </c>
      <c r="H689" s="242">
        <v>5</v>
      </c>
      <c r="I689" s="223" t="s">
        <v>807</v>
      </c>
      <c r="J689" s="450">
        <v>1988</v>
      </c>
      <c r="K689" s="560" t="s">
        <v>1211</v>
      </c>
      <c r="L689" s="450">
        <v>1991</v>
      </c>
      <c r="M689" s="243">
        <v>-9999</v>
      </c>
      <c r="N689" s="223">
        <v>-9999</v>
      </c>
      <c r="O689" s="29"/>
      <c r="P689" s="244">
        <f t="shared" si="80"/>
        <v>26.099999999999998</v>
      </c>
      <c r="Q689" s="223">
        <v>-9999</v>
      </c>
      <c r="R689" s="243"/>
      <c r="S689" s="223"/>
      <c r="T689" s="243">
        <v>5.22</v>
      </c>
      <c r="U689" s="223">
        <v>-9999</v>
      </c>
      <c r="V689" s="223"/>
      <c r="W689" s="285">
        <f>+P689-P688</f>
        <v>8.7799999999999976</v>
      </c>
      <c r="X689" s="223">
        <v>-9999</v>
      </c>
      <c r="Y689" s="223"/>
      <c r="Z689" s="561" t="s">
        <v>1702</v>
      </c>
      <c r="AA689" s="425">
        <f t="shared" si="79"/>
        <v>1682.0700000000002</v>
      </c>
      <c r="AB689" s="243">
        <v>-9999</v>
      </c>
      <c r="AC689" s="245">
        <v>4.0460000000000003</v>
      </c>
      <c r="AD689" s="560">
        <f t="shared" si="77"/>
        <v>3300</v>
      </c>
      <c r="AE689" s="675" t="s">
        <v>97</v>
      </c>
      <c r="AF689" s="223">
        <v>3</v>
      </c>
      <c r="AG689" s="223">
        <v>-9999</v>
      </c>
      <c r="AH689" s="223">
        <v>-9999</v>
      </c>
      <c r="AI689" s="223">
        <v>-9999</v>
      </c>
      <c r="AJ689" s="223">
        <v>-9999</v>
      </c>
      <c r="AK689" s="223">
        <v>-9999</v>
      </c>
      <c r="AL689" s="223">
        <v>-9999</v>
      </c>
      <c r="AM689" s="223">
        <v>-9999</v>
      </c>
      <c r="AN689" s="223" t="s">
        <v>631</v>
      </c>
      <c r="AO689" s="223">
        <v>-9999</v>
      </c>
      <c r="AP689" s="223">
        <v>-9999</v>
      </c>
      <c r="AQ689" s="223" t="s">
        <v>631</v>
      </c>
      <c r="AR689" s="223">
        <v>0</v>
      </c>
      <c r="AS689" s="223">
        <v>-9999</v>
      </c>
      <c r="AT689" s="223">
        <v>-9999</v>
      </c>
      <c r="AU689" s="223">
        <v>0</v>
      </c>
      <c r="AV689" s="223">
        <v>-9999</v>
      </c>
      <c r="AW689" s="223">
        <v>-9999</v>
      </c>
      <c r="AX689" s="223">
        <v>0</v>
      </c>
      <c r="AY689" s="223">
        <v>-9999</v>
      </c>
      <c r="AZ689" s="223">
        <v>-9999</v>
      </c>
      <c r="BA689" s="223">
        <v>-9999</v>
      </c>
      <c r="BB689" s="223" t="s">
        <v>631</v>
      </c>
      <c r="BC689" s="223">
        <v>-9999</v>
      </c>
      <c r="BD689" s="223">
        <v>-9999</v>
      </c>
      <c r="BE689" s="223">
        <v>-9999</v>
      </c>
      <c r="BF689" s="223">
        <v>-9999</v>
      </c>
      <c r="BG689" s="223">
        <v>-9999</v>
      </c>
      <c r="BH689" s="223">
        <v>-9999</v>
      </c>
      <c r="BI689" s="223" t="s">
        <v>1060</v>
      </c>
      <c r="BJ689" s="223">
        <v>-9999</v>
      </c>
      <c r="BK689" s="223">
        <v>-9999</v>
      </c>
      <c r="BL689" s="223">
        <v>-9999</v>
      </c>
      <c r="BM689" s="223">
        <v>-9999</v>
      </c>
      <c r="BN689" s="223">
        <v>-9999</v>
      </c>
      <c r="BO689" s="223">
        <v>-9999</v>
      </c>
      <c r="BP689" s="223">
        <v>-9999</v>
      </c>
      <c r="BQ689" s="223">
        <v>-9999</v>
      </c>
      <c r="BR689" s="223">
        <v>-9999</v>
      </c>
      <c r="BS689" s="242">
        <v>-9999</v>
      </c>
      <c r="BT689" s="223">
        <v>-9999</v>
      </c>
      <c r="BU689" s="223">
        <v>-9999</v>
      </c>
      <c r="BV689" s="223">
        <v>-9999</v>
      </c>
      <c r="BW689" s="223"/>
      <c r="BX689" s="223">
        <v>-9999</v>
      </c>
      <c r="BY689" s="223">
        <v>-9999</v>
      </c>
      <c r="BZ689" s="223">
        <v>-9999</v>
      </c>
      <c r="CA689" s="334" t="s">
        <v>797</v>
      </c>
      <c r="CB689" s="247"/>
      <c r="CC689" s="83">
        <v>1</v>
      </c>
      <c r="CD689" s="32">
        <v>5</v>
      </c>
      <c r="CE689" s="292">
        <v>5.22</v>
      </c>
      <c r="CF689" s="292">
        <v>8.7799999999999976</v>
      </c>
      <c r="CG689" s="84">
        <v>5</v>
      </c>
    </row>
    <row r="690" spans="1:1873" s="23" customFormat="1" ht="25.5" x14ac:dyDescent="0.2">
      <c r="A690" s="304" t="s">
        <v>2090</v>
      </c>
      <c r="B690" s="223" t="s">
        <v>801</v>
      </c>
      <c r="C690" s="223" t="s">
        <v>1032</v>
      </c>
      <c r="D690" s="223" t="s">
        <v>619</v>
      </c>
      <c r="E690" s="305" t="s">
        <v>1451</v>
      </c>
      <c r="F690" s="241">
        <v>1</v>
      </c>
      <c r="G690" s="223">
        <v>6</v>
      </c>
      <c r="H690" s="242">
        <v>6</v>
      </c>
      <c r="I690" s="223" t="s">
        <v>807</v>
      </c>
      <c r="J690" s="450">
        <v>1988</v>
      </c>
      <c r="K690" s="560" t="s">
        <v>1211</v>
      </c>
      <c r="L690" s="450">
        <v>1992</v>
      </c>
      <c r="M690" s="243">
        <v>-9999</v>
      </c>
      <c r="N690" s="223">
        <v>-9999</v>
      </c>
      <c r="O690" s="29"/>
      <c r="P690" s="244">
        <f t="shared" si="80"/>
        <v>54.72</v>
      </c>
      <c r="Q690" s="223">
        <v>-9999</v>
      </c>
      <c r="R690" s="243"/>
      <c r="S690" s="223"/>
      <c r="T690" s="243">
        <v>9.1199999999999992</v>
      </c>
      <c r="U690" s="223">
        <v>-9999</v>
      </c>
      <c r="V690" s="223"/>
      <c r="W690" s="285">
        <f>+P690-P689</f>
        <v>28.62</v>
      </c>
      <c r="X690" s="223">
        <v>-9999</v>
      </c>
      <c r="Y690" s="223"/>
      <c r="Z690" s="561" t="s">
        <v>1702</v>
      </c>
      <c r="AA690" s="425">
        <f t="shared" si="79"/>
        <v>1682.0700000000002</v>
      </c>
      <c r="AB690" s="243">
        <v>-9999</v>
      </c>
      <c r="AC690" s="245">
        <v>4.0460000000000003</v>
      </c>
      <c r="AD690" s="560">
        <f t="shared" si="77"/>
        <v>3300</v>
      </c>
      <c r="AE690" s="675" t="s">
        <v>97</v>
      </c>
      <c r="AF690" s="223">
        <v>3</v>
      </c>
      <c r="AG690" s="223">
        <v>-9999</v>
      </c>
      <c r="AH690" s="223">
        <v>-9999</v>
      </c>
      <c r="AI690" s="223">
        <v>-9999</v>
      </c>
      <c r="AJ690" s="223">
        <v>-9999</v>
      </c>
      <c r="AK690" s="223">
        <v>-9999</v>
      </c>
      <c r="AL690" s="223">
        <v>-9999</v>
      </c>
      <c r="AM690" s="223">
        <v>-9999</v>
      </c>
      <c r="AN690" s="223" t="s">
        <v>631</v>
      </c>
      <c r="AO690" s="223">
        <v>-9999</v>
      </c>
      <c r="AP690" s="223">
        <v>-9999</v>
      </c>
      <c r="AQ690" s="223" t="s">
        <v>631</v>
      </c>
      <c r="AR690" s="223">
        <v>0</v>
      </c>
      <c r="AS690" s="223">
        <v>-9999</v>
      </c>
      <c r="AT690" s="223">
        <v>-9999</v>
      </c>
      <c r="AU690" s="223">
        <v>0</v>
      </c>
      <c r="AV690" s="223">
        <v>-9999</v>
      </c>
      <c r="AW690" s="223">
        <v>-9999</v>
      </c>
      <c r="AX690" s="223">
        <v>0</v>
      </c>
      <c r="AY690" s="223">
        <v>-9999</v>
      </c>
      <c r="AZ690" s="223">
        <v>-9999</v>
      </c>
      <c r="BA690" s="223">
        <v>-9999</v>
      </c>
      <c r="BB690" s="223" t="s">
        <v>631</v>
      </c>
      <c r="BC690" s="223">
        <v>-9999</v>
      </c>
      <c r="BD690" s="223">
        <v>-9999</v>
      </c>
      <c r="BE690" s="223">
        <v>-9999</v>
      </c>
      <c r="BF690" s="223">
        <v>-9999</v>
      </c>
      <c r="BG690" s="223">
        <v>-9999</v>
      </c>
      <c r="BH690" s="223">
        <v>-9999</v>
      </c>
      <c r="BI690" s="223" t="s">
        <v>1060</v>
      </c>
      <c r="BJ690" s="223">
        <v>-9999</v>
      </c>
      <c r="BK690" s="223">
        <v>-9999</v>
      </c>
      <c r="BL690" s="223">
        <v>-9999</v>
      </c>
      <c r="BM690" s="223">
        <v>-9999</v>
      </c>
      <c r="BN690" s="223">
        <v>-9999</v>
      </c>
      <c r="BO690" s="223">
        <v>-9999</v>
      </c>
      <c r="BP690" s="223">
        <v>-9999</v>
      </c>
      <c r="BQ690" s="223">
        <v>-9999</v>
      </c>
      <c r="BR690" s="223">
        <v>-9999</v>
      </c>
      <c r="BS690" s="242">
        <v>-9999</v>
      </c>
      <c r="BT690" s="223">
        <v>-9999</v>
      </c>
      <c r="BU690" s="223">
        <v>-9999</v>
      </c>
      <c r="BV690" s="223">
        <v>-9999</v>
      </c>
      <c r="BW690" s="223"/>
      <c r="BX690" s="223">
        <v>-9999</v>
      </c>
      <c r="BY690" s="223">
        <v>-9999</v>
      </c>
      <c r="BZ690" s="223">
        <v>-9999</v>
      </c>
      <c r="CA690" s="334" t="s">
        <v>797</v>
      </c>
      <c r="CB690" s="247"/>
      <c r="CC690" s="83">
        <v>1</v>
      </c>
      <c r="CD690" s="32">
        <v>6</v>
      </c>
      <c r="CE690" s="292">
        <v>9.1199999999999992</v>
      </c>
      <c r="CF690" s="292">
        <v>28.62</v>
      </c>
      <c r="CG690" s="84">
        <v>6</v>
      </c>
    </row>
    <row r="691" spans="1:1873" s="199" customFormat="1" ht="19.5" customHeight="1" x14ac:dyDescent="0.2">
      <c r="A691" s="304" t="s">
        <v>2090</v>
      </c>
      <c r="B691" s="249" t="s">
        <v>801</v>
      </c>
      <c r="C691" s="249" t="s">
        <v>1032</v>
      </c>
      <c r="D691" s="249" t="s">
        <v>619</v>
      </c>
      <c r="E691" s="250" t="s">
        <v>1451</v>
      </c>
      <c r="F691" s="250">
        <v>1</v>
      </c>
      <c r="G691" s="249">
        <v>7</v>
      </c>
      <c r="H691" s="251">
        <v>7</v>
      </c>
      <c r="I691" s="249" t="s">
        <v>807</v>
      </c>
      <c r="J691" s="554">
        <v>1988</v>
      </c>
      <c r="K691" s="562" t="s">
        <v>1211</v>
      </c>
      <c r="L691" s="554">
        <v>1993</v>
      </c>
      <c r="M691" s="253">
        <v>-9999</v>
      </c>
      <c r="N691" s="249">
        <v>-9999</v>
      </c>
      <c r="O691" s="18"/>
      <c r="P691" s="558">
        <f t="shared" si="80"/>
        <v>66.36</v>
      </c>
      <c r="Q691" s="249">
        <v>-9999</v>
      </c>
      <c r="R691" s="253"/>
      <c r="S691" s="249"/>
      <c r="T691" s="253">
        <v>9.48</v>
      </c>
      <c r="U691" s="249">
        <v>-9999</v>
      </c>
      <c r="V691" s="249"/>
      <c r="W691" s="284">
        <f>+P691-P690</f>
        <v>11.64</v>
      </c>
      <c r="X691" s="249">
        <v>-9999</v>
      </c>
      <c r="Y691" s="249"/>
      <c r="Z691" s="563" t="s">
        <v>1702</v>
      </c>
      <c r="AA691" s="425">
        <f t="shared" si="79"/>
        <v>1682.0700000000002</v>
      </c>
      <c r="AB691" s="253">
        <v>-9999</v>
      </c>
      <c r="AC691" s="424">
        <v>4.0460000000000003</v>
      </c>
      <c r="AD691" s="562">
        <f t="shared" si="77"/>
        <v>3300</v>
      </c>
      <c r="AE691" s="554" t="s">
        <v>97</v>
      </c>
      <c r="AF691" s="249">
        <v>3</v>
      </c>
      <c r="AG691" s="249">
        <v>-9999</v>
      </c>
      <c r="AH691" s="249">
        <v>-9999</v>
      </c>
      <c r="AI691" s="249">
        <v>-9999</v>
      </c>
      <c r="AJ691" s="249">
        <v>-9999</v>
      </c>
      <c r="AK691" s="249">
        <v>-9999</v>
      </c>
      <c r="AL691" s="249">
        <v>-9999</v>
      </c>
      <c r="AM691" s="249">
        <v>-9999</v>
      </c>
      <c r="AN691" s="249" t="s">
        <v>631</v>
      </c>
      <c r="AO691" s="249">
        <v>-9999</v>
      </c>
      <c r="AP691" s="249">
        <v>-9999</v>
      </c>
      <c r="AQ691" s="249" t="s">
        <v>631</v>
      </c>
      <c r="AR691" s="249">
        <v>0</v>
      </c>
      <c r="AS691" s="249">
        <v>-9999</v>
      </c>
      <c r="AT691" s="249">
        <v>-9999</v>
      </c>
      <c r="AU691" s="249">
        <v>0</v>
      </c>
      <c r="AV691" s="249">
        <v>-9999</v>
      </c>
      <c r="AW691" s="249">
        <v>-9999</v>
      </c>
      <c r="AX691" s="249">
        <v>0</v>
      </c>
      <c r="AY691" s="249">
        <v>-9999</v>
      </c>
      <c r="AZ691" s="249">
        <v>-9999</v>
      </c>
      <c r="BA691" s="249">
        <v>-9999</v>
      </c>
      <c r="BB691" s="249" t="s">
        <v>631</v>
      </c>
      <c r="BC691" s="249">
        <v>-9999</v>
      </c>
      <c r="BD691" s="249">
        <v>-9999</v>
      </c>
      <c r="BE691" s="249">
        <v>-9999</v>
      </c>
      <c r="BF691" s="249">
        <v>-9999</v>
      </c>
      <c r="BG691" s="249">
        <v>-9999</v>
      </c>
      <c r="BH691" s="249">
        <v>-9999</v>
      </c>
      <c r="BI691" s="249" t="s">
        <v>1060</v>
      </c>
      <c r="BJ691" s="249">
        <v>-9999</v>
      </c>
      <c r="BK691" s="249">
        <v>-9999</v>
      </c>
      <c r="BL691" s="249">
        <v>-9999</v>
      </c>
      <c r="BM691" s="249">
        <v>-9999</v>
      </c>
      <c r="BN691" s="249">
        <v>-9999</v>
      </c>
      <c r="BO691" s="249">
        <v>-9999</v>
      </c>
      <c r="BP691" s="249">
        <v>-9999</v>
      </c>
      <c r="BQ691" s="249">
        <v>-9999</v>
      </c>
      <c r="BR691" s="249">
        <v>-9999</v>
      </c>
      <c r="BS691" s="251">
        <v>-9999</v>
      </c>
      <c r="BT691" s="249">
        <v>-9999</v>
      </c>
      <c r="BU691" s="249">
        <v>-9999</v>
      </c>
      <c r="BV691" s="249">
        <v>-9999</v>
      </c>
      <c r="BW691" s="249"/>
      <c r="BX691" s="249">
        <v>-9999</v>
      </c>
      <c r="BY691" s="249">
        <v>-9999</v>
      </c>
      <c r="BZ691" s="249">
        <v>-9999</v>
      </c>
      <c r="CA691" s="335" t="s">
        <v>797</v>
      </c>
      <c r="CB691" s="254"/>
      <c r="CC691" s="200">
        <v>1</v>
      </c>
      <c r="CD691" s="193">
        <v>7</v>
      </c>
      <c r="CE691" s="395">
        <v>9.48</v>
      </c>
      <c r="CF691" s="99">
        <v>11.64</v>
      </c>
      <c r="CG691" s="195">
        <v>7</v>
      </c>
      <c r="CH691" s="437" t="s">
        <v>1757</v>
      </c>
      <c r="CI691" s="13"/>
      <c r="CJ691" s="13"/>
      <c r="CK691" s="13"/>
      <c r="CL691" s="13"/>
      <c r="CM691" s="13"/>
      <c r="CN691" s="13"/>
      <c r="CO691" s="13"/>
      <c r="CP691" s="13"/>
      <c r="CQ691" s="13"/>
      <c r="CR691" s="13"/>
      <c r="CS691" s="13"/>
      <c r="CT691" s="13"/>
      <c r="CU691" s="13"/>
      <c r="CV691" s="13"/>
      <c r="CW691" s="13"/>
      <c r="CX691" s="13"/>
      <c r="CY691" s="13"/>
      <c r="CZ691" s="13"/>
      <c r="DA691" s="13"/>
      <c r="DB691" s="13"/>
      <c r="DC691" s="13"/>
      <c r="DD691" s="13"/>
      <c r="DE691" s="13"/>
      <c r="DF691" s="13"/>
      <c r="DG691" s="13"/>
      <c r="DH691" s="13"/>
      <c r="DI691" s="13"/>
      <c r="DJ691" s="13"/>
      <c r="DK691" s="13"/>
      <c r="DL691" s="13"/>
      <c r="DM691" s="13"/>
      <c r="DN691" s="13"/>
      <c r="DO691" s="13"/>
      <c r="DP691" s="13"/>
      <c r="DQ691" s="13"/>
      <c r="DR691" s="13"/>
      <c r="DS691" s="13"/>
      <c r="DT691" s="13"/>
      <c r="DU691" s="13"/>
      <c r="DV691" s="13"/>
      <c r="DW691" s="13"/>
      <c r="DX691" s="13"/>
      <c r="DY691" s="13"/>
      <c r="DZ691" s="13"/>
      <c r="EA691" s="13"/>
      <c r="EB691" s="13"/>
      <c r="EC691" s="13"/>
      <c r="ED691" s="13"/>
      <c r="EE691" s="13"/>
      <c r="EF691" s="13"/>
      <c r="EG691" s="13"/>
      <c r="EH691" s="13"/>
      <c r="EI691" s="13"/>
      <c r="EJ691" s="13"/>
      <c r="EK691" s="13"/>
      <c r="EL691" s="13"/>
      <c r="EM691" s="13"/>
      <c r="EN691" s="13"/>
      <c r="EO691" s="13"/>
      <c r="EP691" s="13"/>
      <c r="EQ691" s="13"/>
      <c r="ER691" s="13"/>
      <c r="ES691" s="13"/>
      <c r="ET691" s="13"/>
      <c r="EU691" s="13"/>
      <c r="EV691" s="13"/>
      <c r="EW691" s="13"/>
      <c r="EX691" s="13"/>
      <c r="EY691" s="13"/>
      <c r="EZ691" s="13"/>
      <c r="FA691" s="13"/>
      <c r="FB691" s="13"/>
      <c r="FC691" s="13"/>
      <c r="FD691" s="13"/>
      <c r="FE691" s="13"/>
      <c r="FF691" s="13"/>
      <c r="FG691" s="13"/>
      <c r="FH691" s="13"/>
      <c r="FI691" s="13"/>
      <c r="FJ691" s="13"/>
      <c r="FK691" s="13"/>
      <c r="FL691" s="13"/>
      <c r="FM691" s="13"/>
      <c r="FN691" s="13"/>
      <c r="FO691" s="13"/>
      <c r="FP691" s="13"/>
      <c r="FQ691" s="13"/>
      <c r="FR691" s="13"/>
      <c r="FS691" s="13"/>
      <c r="FT691" s="13"/>
      <c r="FU691" s="13"/>
      <c r="FV691" s="13"/>
      <c r="FW691" s="13"/>
      <c r="FX691" s="13"/>
      <c r="FY691" s="13"/>
      <c r="FZ691" s="13"/>
      <c r="GA691" s="13"/>
      <c r="GB691" s="13"/>
      <c r="GC691" s="13"/>
      <c r="GD691" s="13"/>
      <c r="GE691" s="13"/>
      <c r="GF691" s="13"/>
      <c r="GG691" s="13"/>
      <c r="GH691" s="13"/>
      <c r="GI691" s="13"/>
      <c r="GJ691" s="13"/>
      <c r="GK691" s="13"/>
      <c r="GL691" s="13"/>
      <c r="GM691" s="13"/>
      <c r="GN691" s="13"/>
      <c r="GO691" s="13"/>
      <c r="GP691" s="13"/>
      <c r="GQ691" s="13"/>
      <c r="GR691" s="13"/>
      <c r="GS691" s="13"/>
      <c r="GT691" s="13"/>
      <c r="GU691" s="13"/>
      <c r="GV691" s="13"/>
      <c r="GW691" s="13"/>
      <c r="GX691" s="13"/>
      <c r="GY691" s="13"/>
      <c r="GZ691" s="13"/>
      <c r="HA691" s="13"/>
      <c r="HB691" s="13"/>
      <c r="HC691" s="13"/>
      <c r="HD691" s="13"/>
      <c r="HE691" s="13"/>
      <c r="HF691" s="13"/>
      <c r="HG691" s="13"/>
      <c r="HH691" s="13"/>
      <c r="HI691" s="13"/>
      <c r="HJ691" s="13"/>
      <c r="HK691" s="13"/>
      <c r="HL691" s="13"/>
      <c r="HM691" s="13"/>
      <c r="HN691" s="13"/>
      <c r="HO691" s="13"/>
      <c r="HP691" s="13"/>
      <c r="HQ691" s="13"/>
      <c r="HR691" s="13"/>
      <c r="HS691" s="13"/>
      <c r="HT691" s="13"/>
      <c r="HU691" s="13"/>
      <c r="HV691" s="13"/>
      <c r="HW691" s="13"/>
      <c r="HX691" s="13"/>
      <c r="HY691" s="13"/>
      <c r="HZ691" s="13"/>
      <c r="IA691" s="13"/>
      <c r="IB691" s="13"/>
      <c r="IC691" s="13"/>
      <c r="ID691" s="13"/>
      <c r="IE691" s="13"/>
      <c r="IF691" s="13"/>
      <c r="IG691" s="13"/>
      <c r="IH691" s="13"/>
      <c r="II691" s="13"/>
      <c r="IJ691" s="13"/>
      <c r="IK691" s="13"/>
      <c r="IL691" s="13"/>
      <c r="IM691" s="13"/>
      <c r="IN691" s="13"/>
      <c r="IO691" s="13"/>
      <c r="IP691" s="13"/>
      <c r="IQ691" s="13"/>
      <c r="IR691" s="13"/>
      <c r="IS691" s="13"/>
      <c r="IT691" s="13"/>
      <c r="IU691" s="13"/>
      <c r="IV691" s="13"/>
      <c r="IW691" s="13"/>
      <c r="IX691" s="13"/>
      <c r="IY691" s="13"/>
      <c r="IZ691" s="13"/>
      <c r="JA691" s="13"/>
      <c r="JB691" s="13"/>
      <c r="JC691" s="13"/>
      <c r="JD691" s="13"/>
      <c r="JE691" s="13"/>
      <c r="JF691" s="13"/>
      <c r="JG691" s="13"/>
      <c r="JH691" s="13"/>
      <c r="JI691" s="13"/>
      <c r="JJ691" s="13"/>
      <c r="JK691" s="13"/>
      <c r="JL691" s="13"/>
      <c r="JM691" s="13"/>
      <c r="JN691" s="13"/>
      <c r="JO691" s="13"/>
      <c r="JP691" s="13"/>
      <c r="JQ691" s="13"/>
      <c r="JR691" s="13"/>
      <c r="JS691" s="13"/>
      <c r="JT691" s="13"/>
      <c r="JU691" s="13"/>
      <c r="JV691" s="13"/>
      <c r="JW691" s="13"/>
      <c r="JX691" s="13"/>
      <c r="JY691" s="13"/>
      <c r="JZ691" s="13"/>
      <c r="KA691" s="13"/>
      <c r="KB691" s="13"/>
      <c r="KC691" s="13"/>
      <c r="KD691" s="13"/>
      <c r="KE691" s="13"/>
      <c r="KF691" s="13"/>
      <c r="KG691" s="13"/>
      <c r="KH691" s="13"/>
      <c r="KI691" s="13"/>
      <c r="KJ691" s="13"/>
      <c r="KK691" s="13"/>
      <c r="KL691" s="13"/>
      <c r="KM691" s="13"/>
      <c r="KN691" s="13"/>
      <c r="KO691" s="13"/>
      <c r="KP691" s="13"/>
      <c r="KQ691" s="13"/>
      <c r="KR691" s="13"/>
      <c r="KS691" s="13"/>
      <c r="KT691" s="13"/>
      <c r="KU691" s="13"/>
      <c r="KV691" s="13"/>
      <c r="KW691" s="13"/>
      <c r="KX691" s="13"/>
      <c r="KY691" s="13"/>
      <c r="KZ691" s="13"/>
      <c r="LA691" s="13"/>
      <c r="LB691" s="13"/>
      <c r="LC691" s="13"/>
      <c r="LD691" s="13"/>
      <c r="LE691" s="13"/>
      <c r="LF691" s="13"/>
      <c r="LG691" s="13"/>
      <c r="LH691" s="13"/>
      <c r="LI691" s="13"/>
      <c r="LJ691" s="13"/>
      <c r="LK691" s="13"/>
      <c r="LL691" s="13"/>
      <c r="LM691" s="13"/>
      <c r="LN691" s="13"/>
      <c r="LO691" s="13"/>
      <c r="LP691" s="13"/>
      <c r="LQ691" s="13"/>
      <c r="LR691" s="13"/>
      <c r="LS691" s="13"/>
      <c r="LT691" s="13"/>
      <c r="LU691" s="13"/>
      <c r="LV691" s="13"/>
      <c r="LW691" s="13"/>
      <c r="LX691" s="13"/>
      <c r="LY691" s="13"/>
      <c r="LZ691" s="13"/>
      <c r="MA691" s="13"/>
      <c r="MB691" s="13"/>
      <c r="MC691" s="13"/>
      <c r="MD691" s="13"/>
      <c r="ME691" s="13"/>
      <c r="MF691" s="13"/>
      <c r="MG691" s="13"/>
      <c r="MH691" s="13"/>
      <c r="MI691" s="13"/>
      <c r="MJ691" s="13"/>
      <c r="MK691" s="13"/>
      <c r="ML691" s="13"/>
      <c r="MM691" s="13"/>
      <c r="MN691" s="13"/>
      <c r="MO691" s="13"/>
      <c r="MP691" s="13"/>
      <c r="MQ691" s="13"/>
      <c r="MR691" s="13"/>
      <c r="MS691" s="13"/>
      <c r="MT691" s="13"/>
      <c r="MU691" s="13"/>
      <c r="MV691" s="13"/>
      <c r="MW691" s="13"/>
      <c r="MX691" s="13"/>
      <c r="MY691" s="13"/>
      <c r="MZ691" s="13"/>
      <c r="NA691" s="13"/>
      <c r="NB691" s="13"/>
      <c r="NC691" s="13"/>
      <c r="ND691" s="13"/>
      <c r="NE691" s="13"/>
      <c r="NF691" s="13"/>
      <c r="NG691" s="13"/>
      <c r="NH691" s="13"/>
      <c r="NI691" s="13"/>
      <c r="NJ691" s="13"/>
      <c r="NK691" s="13"/>
      <c r="NL691" s="13"/>
      <c r="NM691" s="13"/>
      <c r="NN691" s="13"/>
      <c r="NO691" s="13"/>
      <c r="NP691" s="13"/>
      <c r="NQ691" s="13"/>
      <c r="NR691" s="13"/>
      <c r="NS691" s="13"/>
      <c r="NT691" s="13"/>
      <c r="NU691" s="13"/>
      <c r="NV691" s="13"/>
      <c r="NW691" s="13"/>
      <c r="NX691" s="13"/>
      <c r="NY691" s="13"/>
      <c r="NZ691" s="13"/>
      <c r="OA691" s="13"/>
      <c r="OB691" s="13"/>
      <c r="OC691" s="13"/>
      <c r="OD691" s="13"/>
      <c r="OE691" s="13"/>
      <c r="OF691" s="13"/>
      <c r="OG691" s="13"/>
      <c r="OH691" s="13"/>
      <c r="OI691" s="13"/>
      <c r="OJ691" s="13"/>
      <c r="OK691" s="13"/>
      <c r="OL691" s="13"/>
      <c r="OM691" s="13"/>
      <c r="ON691" s="13"/>
      <c r="OO691" s="13"/>
      <c r="OP691" s="13"/>
      <c r="OQ691" s="13"/>
      <c r="OR691" s="13"/>
      <c r="OS691" s="13"/>
      <c r="OT691" s="13"/>
      <c r="OU691" s="13"/>
      <c r="OV691" s="13"/>
      <c r="OW691" s="13"/>
      <c r="OX691" s="13"/>
      <c r="OY691" s="13"/>
      <c r="OZ691" s="13"/>
      <c r="PA691" s="13"/>
      <c r="PB691" s="13"/>
      <c r="PC691" s="13"/>
      <c r="PD691" s="13"/>
      <c r="PE691" s="13"/>
      <c r="PF691" s="13"/>
      <c r="PG691" s="13"/>
      <c r="PH691" s="13"/>
      <c r="PI691" s="13"/>
      <c r="PJ691" s="13"/>
      <c r="PK691" s="13"/>
      <c r="PL691" s="13"/>
      <c r="PM691" s="13"/>
      <c r="PN691" s="13"/>
      <c r="PO691" s="13"/>
      <c r="PP691" s="13"/>
      <c r="PQ691" s="13"/>
      <c r="PR691" s="13"/>
      <c r="PS691" s="13"/>
      <c r="PT691" s="13"/>
      <c r="PU691" s="13"/>
      <c r="PV691" s="13"/>
      <c r="PW691" s="13"/>
      <c r="PX691" s="13"/>
      <c r="PY691" s="13"/>
      <c r="PZ691" s="13"/>
      <c r="QA691" s="13"/>
      <c r="QB691" s="13"/>
      <c r="QC691" s="13"/>
      <c r="QD691" s="13"/>
      <c r="QE691" s="13"/>
      <c r="QF691" s="13"/>
      <c r="QG691" s="13"/>
      <c r="QH691" s="13"/>
      <c r="QI691" s="13"/>
      <c r="QJ691" s="13"/>
      <c r="QK691" s="13"/>
      <c r="QL691" s="13"/>
      <c r="QM691" s="13"/>
      <c r="QN691" s="13"/>
      <c r="QO691" s="13"/>
      <c r="QP691" s="13"/>
      <c r="QQ691" s="13"/>
      <c r="QR691" s="13"/>
      <c r="QS691" s="13"/>
      <c r="QT691" s="13"/>
      <c r="QU691" s="13"/>
      <c r="QV691" s="13"/>
      <c r="QW691" s="13"/>
      <c r="QX691" s="13"/>
      <c r="QY691" s="13"/>
      <c r="QZ691" s="13"/>
      <c r="RA691" s="13"/>
      <c r="RB691" s="13"/>
      <c r="RC691" s="13"/>
      <c r="RD691" s="13"/>
      <c r="RE691" s="13"/>
      <c r="RF691" s="13"/>
      <c r="RG691" s="13"/>
      <c r="RH691" s="13"/>
      <c r="RI691" s="13"/>
      <c r="RJ691" s="13"/>
      <c r="RK691" s="13"/>
      <c r="RL691" s="13"/>
      <c r="RM691" s="13"/>
      <c r="RN691" s="13"/>
      <c r="RO691" s="13"/>
      <c r="RP691" s="13"/>
      <c r="RQ691" s="13"/>
      <c r="RR691" s="13"/>
      <c r="RS691" s="13"/>
      <c r="RT691" s="13"/>
      <c r="RU691" s="13"/>
      <c r="RV691" s="13"/>
      <c r="RW691" s="13"/>
      <c r="RX691" s="13"/>
      <c r="RY691" s="13"/>
      <c r="RZ691" s="13"/>
      <c r="SA691" s="13"/>
      <c r="SB691" s="13"/>
      <c r="SC691" s="13"/>
      <c r="SD691" s="13"/>
      <c r="SE691" s="13"/>
      <c r="SF691" s="13"/>
      <c r="SG691" s="13"/>
      <c r="SH691" s="13"/>
      <c r="SI691" s="13"/>
      <c r="SJ691" s="13"/>
      <c r="SK691" s="13"/>
      <c r="SL691" s="13"/>
      <c r="SM691" s="13"/>
      <c r="SN691" s="13"/>
      <c r="SO691" s="13"/>
      <c r="SP691" s="13"/>
      <c r="SQ691" s="13"/>
      <c r="SR691" s="13"/>
      <c r="SS691" s="13"/>
      <c r="ST691" s="13"/>
      <c r="SU691" s="13"/>
      <c r="SV691" s="13"/>
      <c r="SW691" s="13"/>
      <c r="SX691" s="13"/>
      <c r="SY691" s="13"/>
      <c r="SZ691" s="13"/>
      <c r="TA691" s="13"/>
      <c r="TB691" s="13"/>
      <c r="TC691" s="13"/>
      <c r="TD691" s="13"/>
      <c r="TE691" s="13"/>
      <c r="TF691" s="13"/>
      <c r="TG691" s="13"/>
      <c r="TH691" s="13"/>
      <c r="TI691" s="13"/>
      <c r="TJ691" s="13"/>
      <c r="TK691" s="13"/>
      <c r="TL691" s="13"/>
      <c r="TM691" s="13"/>
      <c r="TN691" s="13"/>
      <c r="TO691" s="13"/>
      <c r="TP691" s="13"/>
      <c r="TQ691" s="13"/>
      <c r="TR691" s="13"/>
      <c r="TS691" s="13"/>
      <c r="TT691" s="13"/>
      <c r="TU691" s="13"/>
      <c r="TV691" s="13"/>
      <c r="TW691" s="13"/>
      <c r="TX691" s="13"/>
      <c r="TY691" s="13"/>
      <c r="TZ691" s="13"/>
      <c r="UA691" s="13"/>
      <c r="UB691" s="13"/>
      <c r="UC691" s="13"/>
      <c r="UD691" s="13"/>
      <c r="UE691" s="13"/>
      <c r="UF691" s="13"/>
      <c r="UG691" s="13"/>
      <c r="UH691" s="13"/>
      <c r="UI691" s="13"/>
      <c r="UJ691" s="13"/>
      <c r="UK691" s="13"/>
      <c r="UL691" s="13"/>
      <c r="UM691" s="13"/>
      <c r="UN691" s="13"/>
      <c r="UO691" s="13"/>
      <c r="UP691" s="13"/>
      <c r="UQ691" s="13"/>
      <c r="UR691" s="13"/>
      <c r="US691" s="13"/>
      <c r="UT691" s="13"/>
      <c r="UU691" s="13"/>
      <c r="UV691" s="13"/>
      <c r="UW691" s="13"/>
      <c r="UX691" s="13"/>
      <c r="UY691" s="13"/>
      <c r="UZ691" s="13"/>
      <c r="VA691" s="13"/>
      <c r="VB691" s="13"/>
      <c r="VC691" s="13"/>
      <c r="VD691" s="13"/>
      <c r="VE691" s="13"/>
      <c r="VF691" s="13"/>
      <c r="VG691" s="13"/>
      <c r="VH691" s="13"/>
      <c r="VI691" s="13"/>
      <c r="VJ691" s="13"/>
      <c r="VK691" s="13"/>
      <c r="VL691" s="13"/>
      <c r="VM691" s="13"/>
      <c r="VN691" s="13"/>
      <c r="VO691" s="13"/>
      <c r="VP691" s="13"/>
      <c r="VQ691" s="13"/>
      <c r="VR691" s="13"/>
      <c r="VS691" s="13"/>
      <c r="VT691" s="13"/>
      <c r="VU691" s="13"/>
      <c r="VV691" s="13"/>
      <c r="VW691" s="13"/>
      <c r="VX691" s="13"/>
      <c r="VY691" s="13"/>
      <c r="VZ691" s="13"/>
      <c r="WA691" s="13"/>
      <c r="WB691" s="13"/>
      <c r="WC691" s="13"/>
      <c r="WD691" s="13"/>
      <c r="WE691" s="13"/>
      <c r="WF691" s="13"/>
      <c r="WG691" s="13"/>
      <c r="WH691" s="13"/>
      <c r="WI691" s="13"/>
      <c r="WJ691" s="13"/>
      <c r="WK691" s="13"/>
      <c r="WL691" s="13"/>
      <c r="WM691" s="13"/>
      <c r="WN691" s="13"/>
      <c r="WO691" s="13"/>
      <c r="WP691" s="13"/>
      <c r="WQ691" s="13"/>
      <c r="WR691" s="13"/>
      <c r="WS691" s="13"/>
      <c r="WT691" s="13"/>
      <c r="WU691" s="13"/>
      <c r="WV691" s="13"/>
      <c r="WW691" s="13"/>
      <c r="WX691" s="13"/>
      <c r="WY691" s="13"/>
      <c r="WZ691" s="13"/>
      <c r="XA691" s="13"/>
      <c r="XB691" s="13"/>
      <c r="XC691" s="13"/>
      <c r="XD691" s="13"/>
      <c r="XE691" s="13"/>
      <c r="XF691" s="13"/>
      <c r="XG691" s="13"/>
      <c r="XH691" s="13"/>
      <c r="XI691" s="13"/>
      <c r="XJ691" s="13"/>
      <c r="XK691" s="13"/>
      <c r="XL691" s="13"/>
      <c r="XM691" s="13"/>
      <c r="XN691" s="13"/>
      <c r="XO691" s="13"/>
      <c r="XP691" s="13"/>
      <c r="XQ691" s="13"/>
      <c r="XR691" s="13"/>
      <c r="XS691" s="13"/>
      <c r="XT691" s="13"/>
      <c r="XU691" s="13"/>
      <c r="XV691" s="13"/>
      <c r="XW691" s="13"/>
      <c r="XX691" s="13"/>
      <c r="XY691" s="13"/>
      <c r="XZ691" s="13"/>
      <c r="YA691" s="13"/>
      <c r="YB691" s="13"/>
      <c r="YC691" s="13"/>
      <c r="YD691" s="13"/>
      <c r="YE691" s="13"/>
      <c r="YF691" s="13"/>
      <c r="YG691" s="13"/>
      <c r="YH691" s="13"/>
      <c r="YI691" s="13"/>
      <c r="YJ691" s="13"/>
      <c r="YK691" s="13"/>
      <c r="YL691" s="13"/>
      <c r="YM691" s="13"/>
      <c r="YN691" s="13"/>
      <c r="YO691" s="13"/>
      <c r="YP691" s="13"/>
      <c r="YQ691" s="13"/>
      <c r="YR691" s="13"/>
      <c r="YS691" s="13"/>
      <c r="YT691" s="13"/>
      <c r="YU691" s="13"/>
      <c r="YV691" s="13"/>
      <c r="YW691" s="13"/>
      <c r="YX691" s="13"/>
      <c r="YY691" s="13"/>
      <c r="YZ691" s="13"/>
      <c r="ZA691" s="13"/>
      <c r="ZB691" s="13"/>
      <c r="ZC691" s="13"/>
      <c r="ZD691" s="13"/>
      <c r="ZE691" s="13"/>
      <c r="ZF691" s="13"/>
      <c r="ZG691" s="13"/>
      <c r="ZH691" s="13"/>
      <c r="ZI691" s="13"/>
      <c r="ZJ691" s="13"/>
      <c r="ZK691" s="13"/>
      <c r="ZL691" s="13"/>
      <c r="ZM691" s="13"/>
      <c r="ZN691" s="13"/>
      <c r="ZO691" s="13"/>
      <c r="ZP691" s="13"/>
      <c r="ZQ691" s="13"/>
      <c r="ZR691" s="13"/>
      <c r="ZS691" s="13"/>
      <c r="ZT691" s="13"/>
      <c r="ZU691" s="13"/>
      <c r="ZV691" s="13"/>
      <c r="ZW691" s="13"/>
      <c r="ZX691" s="13"/>
      <c r="ZY691" s="13"/>
      <c r="ZZ691" s="13"/>
      <c r="AAA691" s="13"/>
      <c r="AAB691" s="13"/>
      <c r="AAC691" s="13"/>
      <c r="AAD691" s="13"/>
      <c r="AAE691" s="13"/>
      <c r="AAF691" s="13"/>
      <c r="AAG691" s="13"/>
      <c r="AAH691" s="13"/>
      <c r="AAI691" s="13"/>
      <c r="AAJ691" s="13"/>
      <c r="AAK691" s="13"/>
      <c r="AAL691" s="13"/>
      <c r="AAM691" s="13"/>
      <c r="AAN691" s="13"/>
      <c r="AAO691" s="13"/>
      <c r="AAP691" s="13"/>
      <c r="AAQ691" s="13"/>
      <c r="AAR691" s="13"/>
      <c r="AAS691" s="13"/>
      <c r="AAT691" s="13"/>
      <c r="AAU691" s="13"/>
      <c r="AAV691" s="13"/>
      <c r="AAW691" s="13"/>
      <c r="AAX691" s="13"/>
      <c r="AAY691" s="13"/>
      <c r="AAZ691" s="13"/>
      <c r="ABA691" s="13"/>
      <c r="ABB691" s="13"/>
      <c r="ABC691" s="13"/>
      <c r="ABD691" s="13"/>
      <c r="ABE691" s="13"/>
      <c r="ABF691" s="13"/>
      <c r="ABG691" s="13"/>
      <c r="ABH691" s="13"/>
      <c r="ABI691" s="13"/>
      <c r="ABJ691" s="13"/>
      <c r="ABK691" s="13"/>
      <c r="ABL691" s="13"/>
      <c r="ABM691" s="13"/>
      <c r="ABN691" s="13"/>
      <c r="ABO691" s="13"/>
      <c r="ABP691" s="13"/>
      <c r="ABQ691" s="13"/>
      <c r="ABR691" s="13"/>
      <c r="ABS691" s="13"/>
      <c r="ABT691" s="13"/>
      <c r="ABU691" s="13"/>
      <c r="ABV691" s="13"/>
      <c r="ABW691" s="13"/>
      <c r="ABX691" s="13"/>
      <c r="ABY691" s="13"/>
      <c r="ABZ691" s="13"/>
      <c r="ACA691" s="13"/>
      <c r="ACB691" s="13"/>
      <c r="ACC691" s="13"/>
      <c r="ACD691" s="13"/>
      <c r="ACE691" s="13"/>
      <c r="ACF691" s="13"/>
      <c r="ACG691" s="13"/>
      <c r="ACH691" s="13"/>
      <c r="ACI691" s="13"/>
      <c r="ACJ691" s="13"/>
      <c r="ACK691" s="13"/>
      <c r="ACL691" s="13"/>
      <c r="ACM691" s="13"/>
      <c r="ACN691" s="13"/>
      <c r="ACO691" s="13"/>
      <c r="ACP691" s="13"/>
      <c r="ACQ691" s="13"/>
      <c r="ACR691" s="13"/>
      <c r="ACS691" s="13"/>
      <c r="ACT691" s="13"/>
      <c r="ACU691" s="13"/>
      <c r="ACV691" s="13"/>
      <c r="ACW691" s="13"/>
      <c r="ACX691" s="13"/>
      <c r="ACY691" s="13"/>
      <c r="ACZ691" s="13"/>
      <c r="ADA691" s="13"/>
      <c r="ADB691" s="13"/>
      <c r="ADC691" s="13"/>
      <c r="ADD691" s="13"/>
      <c r="ADE691" s="13"/>
      <c r="ADF691" s="13"/>
      <c r="ADG691" s="13"/>
      <c r="ADH691" s="13"/>
      <c r="ADI691" s="13"/>
      <c r="ADJ691" s="13"/>
      <c r="ADK691" s="13"/>
      <c r="ADL691" s="13"/>
      <c r="ADM691" s="13"/>
      <c r="ADN691" s="13"/>
      <c r="ADO691" s="13"/>
      <c r="ADP691" s="13"/>
      <c r="ADQ691" s="13"/>
      <c r="ADR691" s="13"/>
      <c r="ADS691" s="13"/>
      <c r="ADT691" s="13"/>
      <c r="ADU691" s="13"/>
      <c r="ADV691" s="13"/>
      <c r="ADW691" s="13"/>
      <c r="ADX691" s="13"/>
      <c r="ADY691" s="13"/>
      <c r="ADZ691" s="13"/>
      <c r="AEA691" s="13"/>
      <c r="AEB691" s="13"/>
      <c r="AEC691" s="13"/>
      <c r="AED691" s="13"/>
      <c r="AEE691" s="13"/>
      <c r="AEF691" s="13"/>
      <c r="AEG691" s="13"/>
      <c r="AEH691" s="13"/>
      <c r="AEI691" s="13"/>
      <c r="AEJ691" s="13"/>
      <c r="AEK691" s="13"/>
      <c r="AEL691" s="13"/>
      <c r="AEM691" s="13"/>
      <c r="AEN691" s="13"/>
      <c r="AEO691" s="13"/>
      <c r="AEP691" s="13"/>
      <c r="AEQ691" s="13"/>
      <c r="AER691" s="13"/>
      <c r="AES691" s="13"/>
      <c r="AET691" s="13"/>
      <c r="AEU691" s="13"/>
      <c r="AEV691" s="13"/>
      <c r="AEW691" s="13"/>
      <c r="AEX691" s="13"/>
      <c r="AEY691" s="13"/>
      <c r="AEZ691" s="13"/>
      <c r="AFA691" s="13"/>
      <c r="AFB691" s="13"/>
      <c r="AFC691" s="13"/>
      <c r="AFD691" s="13"/>
      <c r="AFE691" s="13"/>
      <c r="AFF691" s="13"/>
      <c r="AFG691" s="13"/>
      <c r="AFH691" s="13"/>
      <c r="AFI691" s="13"/>
      <c r="AFJ691" s="13"/>
      <c r="AFK691" s="13"/>
      <c r="AFL691" s="13"/>
      <c r="AFM691" s="13"/>
      <c r="AFN691" s="13"/>
      <c r="AFO691" s="13"/>
      <c r="AFP691" s="13"/>
      <c r="AFQ691" s="13"/>
      <c r="AFR691" s="13"/>
      <c r="AFS691" s="13"/>
      <c r="AFT691" s="13"/>
      <c r="AFU691" s="13"/>
      <c r="AFV691" s="13"/>
      <c r="AFW691" s="13"/>
      <c r="AFX691" s="13"/>
      <c r="AFY691" s="13"/>
      <c r="AFZ691" s="13"/>
      <c r="AGA691" s="13"/>
      <c r="AGB691" s="13"/>
      <c r="AGC691" s="13"/>
      <c r="AGD691" s="13"/>
      <c r="AGE691" s="13"/>
      <c r="AGF691" s="13"/>
      <c r="AGG691" s="13"/>
      <c r="AGH691" s="13"/>
      <c r="AGI691" s="13"/>
      <c r="AGJ691" s="13"/>
      <c r="AGK691" s="13"/>
      <c r="AGL691" s="13"/>
      <c r="AGM691" s="13"/>
      <c r="AGN691" s="13"/>
      <c r="AGO691" s="13"/>
      <c r="AGP691" s="13"/>
      <c r="AGQ691" s="13"/>
      <c r="AGR691" s="13"/>
      <c r="AGS691" s="13"/>
      <c r="AGT691" s="13"/>
      <c r="AGU691" s="13"/>
      <c r="AGV691" s="13"/>
      <c r="AGW691" s="13"/>
      <c r="AGX691" s="13"/>
      <c r="AGY691" s="13"/>
      <c r="AGZ691" s="13"/>
      <c r="AHA691" s="13"/>
      <c r="AHB691" s="13"/>
      <c r="AHC691" s="13"/>
      <c r="AHD691" s="13"/>
      <c r="AHE691" s="13"/>
      <c r="AHF691" s="13"/>
      <c r="AHG691" s="13"/>
      <c r="AHH691" s="13"/>
      <c r="AHI691" s="13"/>
      <c r="AHJ691" s="13"/>
      <c r="AHK691" s="13"/>
      <c r="AHL691" s="13"/>
      <c r="AHM691" s="13"/>
      <c r="AHN691" s="13"/>
      <c r="AHO691" s="13"/>
      <c r="AHP691" s="13"/>
      <c r="AHQ691" s="13"/>
      <c r="AHR691" s="13"/>
      <c r="AHS691" s="13"/>
      <c r="AHT691" s="13"/>
      <c r="AHU691" s="13"/>
      <c r="AHV691" s="13"/>
      <c r="AHW691" s="13"/>
      <c r="AHX691" s="13"/>
      <c r="AHY691" s="13"/>
      <c r="AHZ691" s="13"/>
      <c r="AIA691" s="13"/>
      <c r="AIB691" s="13"/>
      <c r="AIC691" s="13"/>
      <c r="AID691" s="13"/>
      <c r="AIE691" s="13"/>
      <c r="AIF691" s="13"/>
      <c r="AIG691" s="13"/>
      <c r="AIH691" s="13"/>
      <c r="AII691" s="13"/>
      <c r="AIJ691" s="13"/>
      <c r="AIK691" s="13"/>
      <c r="AIL691" s="13"/>
      <c r="AIM691" s="13"/>
      <c r="AIN691" s="13"/>
      <c r="AIO691" s="13"/>
      <c r="AIP691" s="13"/>
      <c r="AIQ691" s="13"/>
      <c r="AIR691" s="13"/>
      <c r="AIS691" s="13"/>
      <c r="AIT691" s="13"/>
      <c r="AIU691" s="13"/>
      <c r="AIV691" s="13"/>
      <c r="AIW691" s="13"/>
      <c r="AIX691" s="13"/>
      <c r="AIY691" s="13"/>
      <c r="AIZ691" s="13"/>
      <c r="AJA691" s="13"/>
      <c r="AJB691" s="13"/>
      <c r="AJC691" s="13"/>
      <c r="AJD691" s="13"/>
      <c r="AJE691" s="13"/>
      <c r="AJF691" s="13"/>
      <c r="AJG691" s="13"/>
      <c r="AJH691" s="13"/>
      <c r="AJI691" s="13"/>
      <c r="AJJ691" s="13"/>
      <c r="AJK691" s="13"/>
      <c r="AJL691" s="13"/>
      <c r="AJM691" s="13"/>
      <c r="AJN691" s="13"/>
      <c r="AJO691" s="13"/>
      <c r="AJP691" s="13"/>
      <c r="AJQ691" s="13"/>
      <c r="AJR691" s="13"/>
      <c r="AJS691" s="13"/>
      <c r="AJT691" s="13"/>
      <c r="AJU691" s="13"/>
      <c r="AJV691" s="13"/>
      <c r="AJW691" s="13"/>
      <c r="AJX691" s="13"/>
      <c r="AJY691" s="13"/>
      <c r="AJZ691" s="13"/>
      <c r="AKA691" s="13"/>
      <c r="AKB691" s="13"/>
      <c r="AKC691" s="13"/>
      <c r="AKD691" s="13"/>
      <c r="AKE691" s="13"/>
      <c r="AKF691" s="13"/>
      <c r="AKG691" s="13"/>
      <c r="AKH691" s="13"/>
      <c r="AKI691" s="13"/>
      <c r="AKJ691" s="13"/>
      <c r="AKK691" s="13"/>
      <c r="AKL691" s="13"/>
      <c r="AKM691" s="13"/>
      <c r="AKN691" s="13"/>
      <c r="AKO691" s="13"/>
      <c r="AKP691" s="13"/>
      <c r="AKQ691" s="13"/>
      <c r="AKR691" s="13"/>
      <c r="AKS691" s="13"/>
      <c r="AKT691" s="13"/>
      <c r="AKU691" s="13"/>
      <c r="AKV691" s="13"/>
      <c r="AKW691" s="13"/>
      <c r="AKX691" s="13"/>
      <c r="AKY691" s="13"/>
      <c r="AKZ691" s="13"/>
      <c r="ALA691" s="13"/>
      <c r="ALB691" s="13"/>
      <c r="ALC691" s="13"/>
      <c r="ALD691" s="13"/>
      <c r="ALE691" s="13"/>
      <c r="ALF691" s="13"/>
      <c r="ALG691" s="13"/>
      <c r="ALH691" s="13"/>
      <c r="ALI691" s="13"/>
      <c r="ALJ691" s="13"/>
      <c r="ALK691" s="13"/>
      <c r="ALL691" s="13"/>
      <c r="ALM691" s="13"/>
      <c r="ALN691" s="13"/>
      <c r="ALO691" s="13"/>
      <c r="ALP691" s="13"/>
      <c r="ALQ691" s="13"/>
      <c r="ALR691" s="13"/>
      <c r="ALS691" s="13"/>
      <c r="ALT691" s="13"/>
      <c r="ALU691" s="13"/>
      <c r="ALV691" s="13"/>
      <c r="ALW691" s="13"/>
      <c r="ALX691" s="13"/>
      <c r="ALY691" s="13"/>
      <c r="ALZ691" s="13"/>
      <c r="AMA691" s="13"/>
      <c r="AMB691" s="13"/>
      <c r="AMC691" s="13"/>
      <c r="AMD691" s="13"/>
      <c r="AME691" s="13"/>
      <c r="AMF691" s="13"/>
      <c r="AMG691" s="13"/>
      <c r="AMH691" s="13"/>
      <c r="AMI691" s="13"/>
      <c r="AMJ691" s="13"/>
      <c r="AMK691" s="13"/>
      <c r="AML691" s="13"/>
      <c r="AMM691" s="13"/>
      <c r="AMN691" s="13"/>
      <c r="AMO691" s="13"/>
      <c r="AMP691" s="13"/>
      <c r="AMQ691" s="13"/>
      <c r="AMR691" s="13"/>
      <c r="AMS691" s="13"/>
      <c r="AMT691" s="13"/>
      <c r="AMU691" s="13"/>
      <c r="AMV691" s="13"/>
      <c r="AMW691" s="13"/>
      <c r="AMX691" s="13"/>
      <c r="AMY691" s="13"/>
      <c r="AMZ691" s="13"/>
      <c r="ANA691" s="13"/>
      <c r="ANB691" s="13"/>
      <c r="ANC691" s="13"/>
      <c r="AND691" s="13"/>
      <c r="ANE691" s="13"/>
      <c r="ANF691" s="13"/>
      <c r="ANG691" s="13"/>
      <c r="ANH691" s="13"/>
      <c r="ANI691" s="13"/>
      <c r="ANJ691" s="13"/>
      <c r="ANK691" s="13"/>
      <c r="ANL691" s="13"/>
      <c r="ANM691" s="13"/>
      <c r="ANN691" s="13"/>
      <c r="ANO691" s="13"/>
      <c r="ANP691" s="13"/>
      <c r="ANQ691" s="13"/>
      <c r="ANR691" s="13"/>
      <c r="ANS691" s="13"/>
      <c r="ANT691" s="13"/>
      <c r="ANU691" s="13"/>
      <c r="ANV691" s="13"/>
      <c r="ANW691" s="13"/>
      <c r="ANX691" s="13"/>
      <c r="ANY691" s="13"/>
      <c r="ANZ691" s="13"/>
      <c r="AOA691" s="13"/>
      <c r="AOB691" s="13"/>
      <c r="AOC691" s="13"/>
      <c r="AOD691" s="13"/>
      <c r="AOE691" s="13"/>
      <c r="AOF691" s="13"/>
      <c r="AOG691" s="13"/>
      <c r="AOH691" s="13"/>
      <c r="AOI691" s="13"/>
      <c r="AOJ691" s="13"/>
      <c r="AOK691" s="13"/>
      <c r="AOL691" s="13"/>
      <c r="AOM691" s="13"/>
      <c r="AON691" s="13"/>
      <c r="AOO691" s="13"/>
      <c r="AOP691" s="13"/>
      <c r="AOQ691" s="13"/>
      <c r="AOR691" s="13"/>
      <c r="AOS691" s="13"/>
      <c r="AOT691" s="13"/>
      <c r="AOU691" s="13"/>
      <c r="AOV691" s="13"/>
      <c r="AOW691" s="13"/>
      <c r="AOX691" s="13"/>
      <c r="AOY691" s="13"/>
      <c r="AOZ691" s="13"/>
      <c r="APA691" s="13"/>
      <c r="APB691" s="13"/>
      <c r="APC691" s="13"/>
      <c r="APD691" s="13"/>
      <c r="APE691" s="13"/>
      <c r="APF691" s="13"/>
      <c r="APG691" s="13"/>
      <c r="APH691" s="13"/>
      <c r="API691" s="13"/>
      <c r="APJ691" s="13"/>
      <c r="APK691" s="13"/>
      <c r="APL691" s="13"/>
      <c r="APM691" s="13"/>
      <c r="APN691" s="13"/>
      <c r="APO691" s="13"/>
      <c r="APP691" s="13"/>
      <c r="APQ691" s="13"/>
      <c r="APR691" s="13"/>
      <c r="APS691" s="13"/>
      <c r="APT691" s="13"/>
      <c r="APU691" s="13"/>
      <c r="APV691" s="13"/>
      <c r="APW691" s="13"/>
      <c r="APX691" s="13"/>
      <c r="APY691" s="13"/>
      <c r="APZ691" s="13"/>
      <c r="AQA691" s="13"/>
      <c r="AQB691" s="13"/>
      <c r="AQC691" s="13"/>
      <c r="AQD691" s="13"/>
      <c r="AQE691" s="13"/>
      <c r="AQF691" s="13"/>
      <c r="AQG691" s="13"/>
      <c r="AQH691" s="13"/>
      <c r="AQI691" s="13"/>
      <c r="AQJ691" s="13"/>
      <c r="AQK691" s="13"/>
      <c r="AQL691" s="13"/>
      <c r="AQM691" s="13"/>
      <c r="AQN691" s="13"/>
      <c r="AQO691" s="13"/>
      <c r="AQP691" s="13"/>
      <c r="AQQ691" s="13"/>
      <c r="AQR691" s="13"/>
      <c r="AQS691" s="13"/>
      <c r="AQT691" s="13"/>
      <c r="AQU691" s="13"/>
      <c r="AQV691" s="13"/>
      <c r="AQW691" s="13"/>
      <c r="AQX691" s="13"/>
      <c r="AQY691" s="13"/>
      <c r="AQZ691" s="13"/>
      <c r="ARA691" s="13"/>
      <c r="ARB691" s="13"/>
      <c r="ARC691" s="13"/>
      <c r="ARD691" s="13"/>
      <c r="ARE691" s="13"/>
      <c r="ARF691" s="13"/>
      <c r="ARG691" s="13"/>
      <c r="ARH691" s="13"/>
      <c r="ARI691" s="13"/>
      <c r="ARJ691" s="13"/>
      <c r="ARK691" s="13"/>
      <c r="ARL691" s="13"/>
      <c r="ARM691" s="13"/>
      <c r="ARN691" s="13"/>
      <c r="ARO691" s="13"/>
      <c r="ARP691" s="13"/>
      <c r="ARQ691" s="13"/>
      <c r="ARR691" s="13"/>
      <c r="ARS691" s="13"/>
      <c r="ART691" s="13"/>
      <c r="ARU691" s="13"/>
      <c r="ARV691" s="13"/>
      <c r="ARW691" s="13"/>
      <c r="ARX691" s="13"/>
      <c r="ARY691" s="13"/>
      <c r="ARZ691" s="13"/>
      <c r="ASA691" s="13"/>
      <c r="ASB691" s="13"/>
      <c r="ASC691" s="13"/>
      <c r="ASD691" s="13"/>
      <c r="ASE691" s="13"/>
      <c r="ASF691" s="13"/>
      <c r="ASG691" s="13"/>
      <c r="ASH691" s="13"/>
      <c r="ASI691" s="13"/>
      <c r="ASJ691" s="13"/>
      <c r="ASK691" s="13"/>
      <c r="ASL691" s="13"/>
      <c r="ASM691" s="13"/>
      <c r="ASN691" s="13"/>
      <c r="ASO691" s="13"/>
      <c r="ASP691" s="13"/>
      <c r="ASQ691" s="13"/>
      <c r="ASR691" s="13"/>
      <c r="ASS691" s="13"/>
      <c r="AST691" s="13"/>
      <c r="ASU691" s="13"/>
      <c r="ASV691" s="13"/>
      <c r="ASW691" s="13"/>
      <c r="ASX691" s="13"/>
      <c r="ASY691" s="13"/>
      <c r="ASZ691" s="13"/>
      <c r="ATA691" s="13"/>
      <c r="ATB691" s="13"/>
      <c r="ATC691" s="13"/>
      <c r="ATD691" s="13"/>
      <c r="ATE691" s="13"/>
      <c r="ATF691" s="13"/>
      <c r="ATG691" s="13"/>
      <c r="ATH691" s="13"/>
      <c r="ATI691" s="13"/>
      <c r="ATJ691" s="13"/>
      <c r="ATK691" s="13"/>
      <c r="ATL691" s="13"/>
      <c r="ATM691" s="13"/>
      <c r="ATN691" s="13"/>
      <c r="ATO691" s="13"/>
      <c r="ATP691" s="13"/>
      <c r="ATQ691" s="13"/>
      <c r="ATR691" s="13"/>
      <c r="ATS691" s="13"/>
      <c r="ATT691" s="13"/>
      <c r="ATU691" s="13"/>
      <c r="ATV691" s="13"/>
      <c r="ATW691" s="13"/>
      <c r="ATX691" s="13"/>
      <c r="ATY691" s="13"/>
      <c r="ATZ691" s="13"/>
      <c r="AUA691" s="13"/>
      <c r="AUB691" s="13"/>
      <c r="AUC691" s="13"/>
      <c r="AUD691" s="13"/>
      <c r="AUE691" s="13"/>
      <c r="AUF691" s="13"/>
      <c r="AUG691" s="13"/>
      <c r="AUH691" s="13"/>
      <c r="AUI691" s="13"/>
      <c r="AUJ691" s="13"/>
      <c r="AUK691" s="13"/>
      <c r="AUL691" s="13"/>
      <c r="AUM691" s="13"/>
      <c r="AUN691" s="13"/>
      <c r="AUO691" s="13"/>
      <c r="AUP691" s="13"/>
      <c r="AUQ691" s="13"/>
      <c r="AUR691" s="13"/>
      <c r="AUS691" s="13"/>
      <c r="AUT691" s="13"/>
      <c r="AUU691" s="13"/>
      <c r="AUV691" s="13"/>
      <c r="AUW691" s="13"/>
      <c r="AUX691" s="13"/>
      <c r="AUY691" s="13"/>
      <c r="AUZ691" s="13"/>
      <c r="AVA691" s="13"/>
      <c r="AVB691" s="13"/>
      <c r="AVC691" s="13"/>
      <c r="AVD691" s="13"/>
      <c r="AVE691" s="13"/>
      <c r="AVF691" s="13"/>
      <c r="AVG691" s="13"/>
      <c r="AVH691" s="13"/>
      <c r="AVI691" s="13"/>
      <c r="AVJ691" s="13"/>
      <c r="AVK691" s="13"/>
      <c r="AVL691" s="13"/>
      <c r="AVM691" s="13"/>
      <c r="AVN691" s="13"/>
      <c r="AVO691" s="13"/>
      <c r="AVP691" s="13"/>
      <c r="AVQ691" s="13"/>
      <c r="AVR691" s="13"/>
      <c r="AVS691" s="13"/>
      <c r="AVT691" s="13"/>
      <c r="AVU691" s="13"/>
      <c r="AVV691" s="13"/>
      <c r="AVW691" s="13"/>
      <c r="AVX691" s="13"/>
      <c r="AVY691" s="13"/>
      <c r="AVZ691" s="13"/>
      <c r="AWA691" s="13"/>
      <c r="AWB691" s="13"/>
      <c r="AWC691" s="13"/>
      <c r="AWD691" s="13"/>
      <c r="AWE691" s="13"/>
      <c r="AWF691" s="13"/>
      <c r="AWG691" s="13"/>
      <c r="AWH691" s="13"/>
      <c r="AWI691" s="13"/>
      <c r="AWJ691" s="13"/>
      <c r="AWK691" s="13"/>
      <c r="AWL691" s="13"/>
      <c r="AWM691" s="13"/>
      <c r="AWN691" s="13"/>
      <c r="AWO691" s="13"/>
      <c r="AWP691" s="13"/>
      <c r="AWQ691" s="13"/>
      <c r="AWR691" s="13"/>
      <c r="AWS691" s="13"/>
      <c r="AWT691" s="13"/>
      <c r="AWU691" s="13"/>
      <c r="AWV691" s="13"/>
      <c r="AWW691" s="13"/>
      <c r="AWX691" s="13"/>
      <c r="AWY691" s="13"/>
      <c r="AWZ691" s="13"/>
      <c r="AXA691" s="13"/>
      <c r="AXB691" s="13"/>
      <c r="AXC691" s="13"/>
      <c r="AXD691" s="13"/>
      <c r="AXE691" s="13"/>
      <c r="AXF691" s="13"/>
      <c r="AXG691" s="13"/>
      <c r="AXH691" s="13"/>
      <c r="AXI691" s="13"/>
      <c r="AXJ691" s="13"/>
      <c r="AXK691" s="13"/>
      <c r="AXL691" s="13"/>
      <c r="AXM691" s="13"/>
      <c r="AXN691" s="13"/>
      <c r="AXO691" s="13"/>
      <c r="AXP691" s="13"/>
      <c r="AXQ691" s="13"/>
      <c r="AXR691" s="13"/>
      <c r="AXS691" s="13"/>
      <c r="AXT691" s="13"/>
      <c r="AXU691" s="13"/>
      <c r="AXV691" s="13"/>
      <c r="AXW691" s="13"/>
      <c r="AXX691" s="13"/>
      <c r="AXY691" s="13"/>
      <c r="AXZ691" s="13"/>
      <c r="AYA691" s="13"/>
      <c r="AYB691" s="13"/>
      <c r="AYC691" s="13"/>
      <c r="AYD691" s="13"/>
      <c r="AYE691" s="13"/>
      <c r="AYF691" s="13"/>
      <c r="AYG691" s="13"/>
      <c r="AYH691" s="13"/>
      <c r="AYI691" s="13"/>
      <c r="AYJ691" s="13"/>
      <c r="AYK691" s="13"/>
      <c r="AYL691" s="13"/>
      <c r="AYM691" s="13"/>
      <c r="AYN691" s="13"/>
      <c r="AYO691" s="13"/>
      <c r="AYP691" s="13"/>
      <c r="AYQ691" s="13"/>
      <c r="AYR691" s="13"/>
      <c r="AYS691" s="13"/>
      <c r="AYT691" s="13"/>
      <c r="AYU691" s="13"/>
      <c r="AYV691" s="13"/>
      <c r="AYW691" s="13"/>
      <c r="AYX691" s="13"/>
      <c r="AYY691" s="13"/>
      <c r="AYZ691" s="13"/>
      <c r="AZA691" s="13"/>
      <c r="AZB691" s="13"/>
      <c r="AZC691" s="13"/>
      <c r="AZD691" s="13"/>
      <c r="AZE691" s="13"/>
      <c r="AZF691" s="13"/>
      <c r="AZG691" s="13"/>
      <c r="AZH691" s="13"/>
      <c r="AZI691" s="13"/>
      <c r="AZJ691" s="13"/>
      <c r="AZK691" s="13"/>
      <c r="AZL691" s="13"/>
      <c r="AZM691" s="13"/>
      <c r="AZN691" s="13"/>
      <c r="AZO691" s="13"/>
      <c r="AZP691" s="13"/>
      <c r="AZQ691" s="13"/>
      <c r="AZR691" s="13"/>
      <c r="AZS691" s="13"/>
      <c r="AZT691" s="13"/>
      <c r="AZU691" s="13"/>
      <c r="AZV691" s="13"/>
      <c r="AZW691" s="13"/>
      <c r="AZX691" s="13"/>
      <c r="AZY691" s="13"/>
      <c r="AZZ691" s="13"/>
      <c r="BAA691" s="13"/>
      <c r="BAB691" s="13"/>
      <c r="BAC691" s="13"/>
      <c r="BAD691" s="13"/>
      <c r="BAE691" s="13"/>
      <c r="BAF691" s="13"/>
      <c r="BAG691" s="13"/>
      <c r="BAH691" s="13"/>
      <c r="BAI691" s="13"/>
      <c r="BAJ691" s="13"/>
      <c r="BAK691" s="13"/>
      <c r="BAL691" s="13"/>
      <c r="BAM691" s="13"/>
      <c r="BAN691" s="13"/>
      <c r="BAO691" s="13"/>
      <c r="BAP691" s="13"/>
      <c r="BAQ691" s="13"/>
      <c r="BAR691" s="13"/>
      <c r="BAS691" s="13"/>
      <c r="BAT691" s="13"/>
      <c r="BAU691" s="13"/>
      <c r="BAV691" s="13"/>
      <c r="BAW691" s="13"/>
      <c r="BAX691" s="13"/>
      <c r="BAY691" s="13"/>
      <c r="BAZ691" s="13"/>
      <c r="BBA691" s="13"/>
      <c r="BBB691" s="13"/>
      <c r="BBC691" s="13"/>
      <c r="BBD691" s="13"/>
      <c r="BBE691" s="13"/>
      <c r="BBF691" s="13"/>
      <c r="BBG691" s="13"/>
      <c r="BBH691" s="13"/>
      <c r="BBI691" s="13"/>
      <c r="BBJ691" s="13"/>
      <c r="BBK691" s="13"/>
      <c r="BBL691" s="13"/>
      <c r="BBM691" s="13"/>
      <c r="BBN691" s="13"/>
      <c r="BBO691" s="13"/>
      <c r="BBP691" s="13"/>
      <c r="BBQ691" s="13"/>
      <c r="BBR691" s="13"/>
      <c r="BBS691" s="13"/>
      <c r="BBT691" s="13"/>
      <c r="BBU691" s="13"/>
      <c r="BBV691" s="13"/>
      <c r="BBW691" s="13"/>
      <c r="BBX691" s="13"/>
      <c r="BBY691" s="13"/>
      <c r="BBZ691" s="13"/>
      <c r="BCA691" s="13"/>
      <c r="BCB691" s="13"/>
      <c r="BCC691" s="13"/>
      <c r="BCD691" s="13"/>
      <c r="BCE691" s="13"/>
      <c r="BCF691" s="13"/>
      <c r="BCG691" s="13"/>
      <c r="BCH691" s="13"/>
      <c r="BCI691" s="13"/>
      <c r="BCJ691" s="13"/>
      <c r="BCK691" s="13"/>
      <c r="BCL691" s="13"/>
      <c r="BCM691" s="13"/>
      <c r="BCN691" s="13"/>
      <c r="BCO691" s="13"/>
      <c r="BCP691" s="13"/>
      <c r="BCQ691" s="13"/>
      <c r="BCR691" s="13"/>
      <c r="BCS691" s="13"/>
      <c r="BCT691" s="13"/>
      <c r="BCU691" s="13"/>
      <c r="BCV691" s="13"/>
      <c r="BCW691" s="13"/>
      <c r="BCX691" s="13"/>
      <c r="BCY691" s="13"/>
      <c r="BCZ691" s="13"/>
      <c r="BDA691" s="13"/>
      <c r="BDB691" s="13"/>
      <c r="BDC691" s="13"/>
      <c r="BDD691" s="13"/>
      <c r="BDE691" s="13"/>
      <c r="BDF691" s="13"/>
      <c r="BDG691" s="13"/>
      <c r="BDH691" s="13"/>
      <c r="BDI691" s="13"/>
      <c r="BDJ691" s="13"/>
      <c r="BDK691" s="13"/>
      <c r="BDL691" s="13"/>
      <c r="BDM691" s="13"/>
      <c r="BDN691" s="13"/>
      <c r="BDO691" s="13"/>
      <c r="BDP691" s="13"/>
      <c r="BDQ691" s="13"/>
      <c r="BDR691" s="13"/>
      <c r="BDS691" s="13"/>
      <c r="BDT691" s="13"/>
      <c r="BDU691" s="13"/>
      <c r="BDV691" s="13"/>
      <c r="BDW691" s="13"/>
      <c r="BDX691" s="13"/>
      <c r="BDY691" s="13"/>
      <c r="BDZ691" s="13"/>
      <c r="BEA691" s="13"/>
      <c r="BEB691" s="13"/>
      <c r="BEC691" s="13"/>
      <c r="BED691" s="13"/>
      <c r="BEE691" s="13"/>
      <c r="BEF691" s="13"/>
      <c r="BEG691" s="13"/>
      <c r="BEH691" s="13"/>
      <c r="BEI691" s="13"/>
      <c r="BEJ691" s="13"/>
      <c r="BEK691" s="13"/>
      <c r="BEL691" s="13"/>
      <c r="BEM691" s="13"/>
      <c r="BEN691" s="13"/>
      <c r="BEO691" s="13"/>
      <c r="BEP691" s="13"/>
      <c r="BEQ691" s="13"/>
      <c r="BER691" s="13"/>
      <c r="BES691" s="13"/>
      <c r="BET691" s="13"/>
      <c r="BEU691" s="13"/>
      <c r="BEV691" s="13"/>
      <c r="BEW691" s="13"/>
      <c r="BEX691" s="13"/>
      <c r="BEY691" s="13"/>
      <c r="BEZ691" s="13"/>
      <c r="BFA691" s="13"/>
      <c r="BFB691" s="13"/>
      <c r="BFC691" s="13"/>
      <c r="BFD691" s="13"/>
      <c r="BFE691" s="13"/>
      <c r="BFF691" s="13"/>
      <c r="BFG691" s="13"/>
      <c r="BFH691" s="13"/>
      <c r="BFI691" s="13"/>
      <c r="BFJ691" s="13"/>
      <c r="BFK691" s="13"/>
      <c r="BFL691" s="13"/>
      <c r="BFM691" s="13"/>
      <c r="BFN691" s="13"/>
      <c r="BFO691" s="13"/>
      <c r="BFP691" s="13"/>
      <c r="BFQ691" s="13"/>
      <c r="BFR691" s="13"/>
      <c r="BFS691" s="13"/>
      <c r="BFT691" s="13"/>
      <c r="BFU691" s="13"/>
      <c r="BFV691" s="13"/>
      <c r="BFW691" s="13"/>
      <c r="BFX691" s="13"/>
      <c r="BFY691" s="13"/>
      <c r="BFZ691" s="13"/>
      <c r="BGA691" s="13"/>
      <c r="BGB691" s="13"/>
      <c r="BGC691" s="13"/>
      <c r="BGD691" s="13"/>
      <c r="BGE691" s="13"/>
      <c r="BGF691" s="13"/>
      <c r="BGG691" s="13"/>
      <c r="BGH691" s="13"/>
      <c r="BGI691" s="13"/>
      <c r="BGJ691" s="13"/>
      <c r="BGK691" s="13"/>
      <c r="BGL691" s="13"/>
      <c r="BGM691" s="13"/>
      <c r="BGN691" s="13"/>
      <c r="BGO691" s="13"/>
      <c r="BGP691" s="13"/>
      <c r="BGQ691" s="13"/>
      <c r="BGR691" s="13"/>
      <c r="BGS691" s="13"/>
      <c r="BGT691" s="13"/>
      <c r="BGU691" s="13"/>
      <c r="BGV691" s="13"/>
      <c r="BGW691" s="13"/>
      <c r="BGX691" s="13"/>
      <c r="BGY691" s="13"/>
      <c r="BGZ691" s="13"/>
      <c r="BHA691" s="13"/>
      <c r="BHB691" s="13"/>
      <c r="BHC691" s="13"/>
      <c r="BHD691" s="13"/>
      <c r="BHE691" s="13"/>
      <c r="BHF691" s="13"/>
      <c r="BHG691" s="13"/>
      <c r="BHH691" s="13"/>
      <c r="BHI691" s="13"/>
      <c r="BHJ691" s="13"/>
      <c r="BHK691" s="13"/>
      <c r="BHL691" s="13"/>
      <c r="BHM691" s="13"/>
      <c r="BHN691" s="13"/>
      <c r="BHO691" s="13"/>
      <c r="BHP691" s="13"/>
      <c r="BHQ691" s="13"/>
      <c r="BHR691" s="13"/>
      <c r="BHS691" s="13"/>
      <c r="BHT691" s="13"/>
      <c r="BHU691" s="13"/>
      <c r="BHV691" s="13"/>
      <c r="BHW691" s="13"/>
      <c r="BHX691" s="13"/>
      <c r="BHY691" s="13"/>
      <c r="BHZ691" s="13"/>
      <c r="BIA691" s="13"/>
      <c r="BIB691" s="13"/>
      <c r="BIC691" s="13"/>
      <c r="BID691" s="13"/>
      <c r="BIE691" s="13"/>
      <c r="BIF691" s="13"/>
      <c r="BIG691" s="13"/>
      <c r="BIH691" s="13"/>
      <c r="BII691" s="13"/>
      <c r="BIJ691" s="13"/>
      <c r="BIK691" s="13"/>
      <c r="BIL691" s="13"/>
      <c r="BIM691" s="13"/>
      <c r="BIN691" s="13"/>
      <c r="BIO691" s="13"/>
      <c r="BIP691" s="13"/>
      <c r="BIQ691" s="13"/>
      <c r="BIR691" s="13"/>
      <c r="BIS691" s="13"/>
      <c r="BIT691" s="13"/>
      <c r="BIU691" s="13"/>
      <c r="BIV691" s="13"/>
      <c r="BIW691" s="13"/>
      <c r="BIX691" s="13"/>
      <c r="BIY691" s="13"/>
      <c r="BIZ691" s="13"/>
      <c r="BJA691" s="13"/>
      <c r="BJB691" s="13"/>
      <c r="BJC691" s="13"/>
      <c r="BJD691" s="13"/>
      <c r="BJE691" s="13"/>
      <c r="BJF691" s="13"/>
      <c r="BJG691" s="13"/>
      <c r="BJH691" s="13"/>
      <c r="BJI691" s="13"/>
      <c r="BJJ691" s="13"/>
      <c r="BJK691" s="13"/>
      <c r="BJL691" s="13"/>
      <c r="BJM691" s="13"/>
      <c r="BJN691" s="13"/>
      <c r="BJO691" s="13"/>
      <c r="BJP691" s="13"/>
      <c r="BJQ691" s="13"/>
      <c r="BJR691" s="13"/>
      <c r="BJS691" s="13"/>
      <c r="BJT691" s="13"/>
      <c r="BJU691" s="13"/>
      <c r="BJV691" s="13"/>
      <c r="BJW691" s="13"/>
      <c r="BJX691" s="13"/>
      <c r="BJY691" s="13"/>
      <c r="BJZ691" s="13"/>
      <c r="BKA691" s="13"/>
      <c r="BKB691" s="13"/>
      <c r="BKC691" s="13"/>
      <c r="BKD691" s="13"/>
      <c r="BKE691" s="13"/>
      <c r="BKF691" s="13"/>
      <c r="BKG691" s="13"/>
      <c r="BKH691" s="13"/>
      <c r="BKI691" s="13"/>
      <c r="BKJ691" s="13"/>
      <c r="BKK691" s="13"/>
      <c r="BKL691" s="13"/>
      <c r="BKM691" s="13"/>
      <c r="BKN691" s="13"/>
      <c r="BKO691" s="13"/>
      <c r="BKP691" s="13"/>
      <c r="BKQ691" s="13"/>
      <c r="BKR691" s="13"/>
      <c r="BKS691" s="13"/>
      <c r="BKT691" s="13"/>
      <c r="BKU691" s="13"/>
      <c r="BKV691" s="13"/>
      <c r="BKW691" s="13"/>
      <c r="BKX691" s="13"/>
      <c r="BKY691" s="13"/>
      <c r="BKZ691" s="13"/>
      <c r="BLA691" s="13"/>
      <c r="BLB691" s="13"/>
      <c r="BLC691" s="13"/>
      <c r="BLD691" s="13"/>
      <c r="BLE691" s="13"/>
      <c r="BLF691" s="13"/>
      <c r="BLG691" s="13"/>
      <c r="BLH691" s="13"/>
      <c r="BLI691" s="13"/>
      <c r="BLJ691" s="13"/>
      <c r="BLK691" s="13"/>
      <c r="BLL691" s="13"/>
      <c r="BLM691" s="13"/>
      <c r="BLN691" s="13"/>
      <c r="BLO691" s="13"/>
      <c r="BLP691" s="13"/>
      <c r="BLQ691" s="13"/>
      <c r="BLR691" s="13"/>
      <c r="BLS691" s="13"/>
      <c r="BLT691" s="13"/>
      <c r="BLU691" s="13"/>
      <c r="BLV691" s="13"/>
      <c r="BLW691" s="13"/>
      <c r="BLX691" s="13"/>
      <c r="BLY691" s="13"/>
      <c r="BLZ691" s="13"/>
      <c r="BMA691" s="13"/>
      <c r="BMB691" s="13"/>
      <c r="BMC691" s="13"/>
      <c r="BMD691" s="13"/>
      <c r="BME691" s="13"/>
      <c r="BMF691" s="13"/>
      <c r="BMG691" s="13"/>
      <c r="BMH691" s="13"/>
      <c r="BMI691" s="13"/>
      <c r="BMJ691" s="13"/>
      <c r="BMK691" s="13"/>
      <c r="BML691" s="13"/>
      <c r="BMM691" s="13"/>
      <c r="BMN691" s="13"/>
      <c r="BMO691" s="13"/>
      <c r="BMP691" s="13"/>
      <c r="BMQ691" s="13"/>
      <c r="BMR691" s="13"/>
      <c r="BMS691" s="13"/>
      <c r="BMT691" s="13"/>
      <c r="BMU691" s="13"/>
      <c r="BMV691" s="13"/>
      <c r="BMW691" s="13"/>
      <c r="BMX691" s="13"/>
      <c r="BMY691" s="13"/>
      <c r="BMZ691" s="13"/>
      <c r="BNA691" s="13"/>
      <c r="BNB691" s="13"/>
      <c r="BNC691" s="13"/>
      <c r="BND691" s="13"/>
      <c r="BNE691" s="13"/>
      <c r="BNF691" s="13"/>
      <c r="BNG691" s="13"/>
      <c r="BNH691" s="13"/>
      <c r="BNI691" s="13"/>
      <c r="BNJ691" s="13"/>
      <c r="BNK691" s="13"/>
      <c r="BNL691" s="13"/>
      <c r="BNM691" s="13"/>
      <c r="BNN691" s="13"/>
      <c r="BNO691" s="13"/>
      <c r="BNP691" s="13"/>
      <c r="BNQ691" s="13"/>
      <c r="BNR691" s="13"/>
      <c r="BNS691" s="13"/>
      <c r="BNT691" s="13"/>
      <c r="BNU691" s="13"/>
      <c r="BNV691" s="13"/>
      <c r="BNW691" s="13"/>
      <c r="BNX691" s="13"/>
      <c r="BNY691" s="13"/>
      <c r="BNZ691" s="13"/>
      <c r="BOA691" s="13"/>
      <c r="BOB691" s="13"/>
      <c r="BOC691" s="13"/>
      <c r="BOD691" s="13"/>
      <c r="BOE691" s="13"/>
      <c r="BOF691" s="13"/>
      <c r="BOG691" s="13"/>
      <c r="BOH691" s="13"/>
      <c r="BOI691" s="13"/>
      <c r="BOJ691" s="13"/>
      <c r="BOK691" s="13"/>
      <c r="BOL691" s="13"/>
      <c r="BOM691" s="13"/>
      <c r="BON691" s="13"/>
      <c r="BOO691" s="13"/>
      <c r="BOP691" s="13"/>
      <c r="BOQ691" s="13"/>
      <c r="BOR691" s="13"/>
      <c r="BOS691" s="13"/>
      <c r="BOT691" s="13"/>
      <c r="BOU691" s="13"/>
      <c r="BOV691" s="13"/>
      <c r="BOW691" s="13"/>
      <c r="BOX691" s="13"/>
      <c r="BOY691" s="13"/>
      <c r="BOZ691" s="13"/>
      <c r="BPA691" s="13"/>
      <c r="BPB691" s="13"/>
      <c r="BPC691" s="13"/>
      <c r="BPD691" s="13"/>
      <c r="BPE691" s="13"/>
      <c r="BPF691" s="13"/>
      <c r="BPG691" s="13"/>
      <c r="BPH691" s="13"/>
      <c r="BPI691" s="13"/>
      <c r="BPJ691" s="13"/>
      <c r="BPK691" s="13"/>
      <c r="BPL691" s="13"/>
      <c r="BPM691" s="13"/>
      <c r="BPN691" s="13"/>
      <c r="BPO691" s="13"/>
      <c r="BPP691" s="13"/>
      <c r="BPQ691" s="13"/>
      <c r="BPR691" s="13"/>
      <c r="BPS691" s="13"/>
      <c r="BPT691" s="13"/>
      <c r="BPU691" s="13"/>
      <c r="BPV691" s="13"/>
      <c r="BPW691" s="13"/>
      <c r="BPX691" s="13"/>
      <c r="BPY691" s="13"/>
      <c r="BPZ691" s="13"/>
      <c r="BQA691" s="13"/>
      <c r="BQB691" s="13"/>
      <c r="BQC691" s="13"/>
      <c r="BQD691" s="13"/>
      <c r="BQE691" s="13"/>
      <c r="BQF691" s="13"/>
      <c r="BQG691" s="13"/>
      <c r="BQH691" s="13"/>
      <c r="BQI691" s="13"/>
      <c r="BQJ691" s="13"/>
      <c r="BQK691" s="13"/>
      <c r="BQL691" s="13"/>
      <c r="BQM691" s="13"/>
      <c r="BQN691" s="13"/>
      <c r="BQO691" s="13"/>
      <c r="BQP691" s="13"/>
      <c r="BQQ691" s="13"/>
      <c r="BQR691" s="13"/>
      <c r="BQS691" s="13"/>
      <c r="BQT691" s="13"/>
      <c r="BQU691" s="13"/>
      <c r="BQV691" s="13"/>
      <c r="BQW691" s="13"/>
      <c r="BQX691" s="13"/>
      <c r="BQY691" s="13"/>
      <c r="BQZ691" s="13"/>
      <c r="BRA691" s="13"/>
      <c r="BRB691" s="13"/>
      <c r="BRC691" s="13"/>
      <c r="BRD691" s="13"/>
      <c r="BRE691" s="13"/>
      <c r="BRF691" s="13"/>
      <c r="BRG691" s="13"/>
      <c r="BRH691" s="13"/>
      <c r="BRI691" s="13"/>
      <c r="BRJ691" s="13"/>
      <c r="BRK691" s="13"/>
      <c r="BRL691" s="13"/>
      <c r="BRM691" s="13"/>
      <c r="BRN691" s="13"/>
      <c r="BRO691" s="13"/>
      <c r="BRP691" s="13"/>
      <c r="BRQ691" s="13"/>
      <c r="BRR691" s="13"/>
      <c r="BRS691" s="13"/>
      <c r="BRT691" s="13"/>
      <c r="BRU691" s="13"/>
      <c r="BRV691" s="13"/>
      <c r="BRW691" s="13"/>
      <c r="BRX691" s="13"/>
      <c r="BRY691" s="13"/>
      <c r="BRZ691" s="13"/>
      <c r="BSA691" s="13"/>
      <c r="BSB691" s="13"/>
      <c r="BSC691" s="13"/>
      <c r="BSD691" s="13"/>
      <c r="BSE691" s="13"/>
      <c r="BSF691" s="13"/>
      <c r="BSG691" s="13"/>
      <c r="BSH691" s="13"/>
      <c r="BSI691" s="13"/>
      <c r="BSJ691" s="13"/>
      <c r="BSK691" s="13"/>
      <c r="BSL691" s="13"/>
      <c r="BSM691" s="13"/>
      <c r="BSN691" s="13"/>
      <c r="BSO691" s="13"/>
      <c r="BSP691" s="13"/>
      <c r="BSQ691" s="13"/>
      <c r="BSR691" s="13"/>
      <c r="BSS691" s="13"/>
      <c r="BST691" s="13"/>
      <c r="BSU691" s="13"/>
      <c r="BSV691" s="13"/>
      <c r="BSW691" s="13"/>
      <c r="BSX691" s="13"/>
      <c r="BSY691" s="13"/>
      <c r="BSZ691" s="13"/>
      <c r="BTA691" s="13"/>
    </row>
    <row r="692" spans="1:1873" s="23" customFormat="1" ht="25.5" x14ac:dyDescent="0.2">
      <c r="A692" s="304" t="s">
        <v>2090</v>
      </c>
      <c r="B692" s="223" t="s">
        <v>801</v>
      </c>
      <c r="C692" s="223" t="s">
        <v>1032</v>
      </c>
      <c r="D692" s="223" t="s">
        <v>619</v>
      </c>
      <c r="E692" s="305" t="s">
        <v>1451</v>
      </c>
      <c r="F692" s="241">
        <v>1</v>
      </c>
      <c r="G692" s="223">
        <v>8</v>
      </c>
      <c r="H692" s="242">
        <v>8</v>
      </c>
      <c r="I692" s="223" t="s">
        <v>807</v>
      </c>
      <c r="J692" s="450">
        <v>1988</v>
      </c>
      <c r="K692" s="560" t="s">
        <v>1211</v>
      </c>
      <c r="L692" s="450">
        <v>1994</v>
      </c>
      <c r="M692" s="243">
        <v>-9999</v>
      </c>
      <c r="N692" s="223">
        <v>-9999</v>
      </c>
      <c r="O692" s="29"/>
      <c r="P692" s="244">
        <f t="shared" si="80"/>
        <v>75.680000000000007</v>
      </c>
      <c r="Q692" s="223">
        <v>-9999</v>
      </c>
      <c r="R692" s="243"/>
      <c r="S692" s="223"/>
      <c r="T692" s="243">
        <v>9.4600000000000009</v>
      </c>
      <c r="U692" s="223">
        <v>-9999</v>
      </c>
      <c r="V692" s="223"/>
      <c r="W692" s="285">
        <f>+P692-P691</f>
        <v>9.3200000000000074</v>
      </c>
      <c r="X692" s="223">
        <v>-9999</v>
      </c>
      <c r="Y692" s="223"/>
      <c r="Z692" s="561" t="s">
        <v>1702</v>
      </c>
      <c r="AA692" s="425">
        <f t="shared" si="79"/>
        <v>1682.0700000000002</v>
      </c>
      <c r="AB692" s="243">
        <v>-9999</v>
      </c>
      <c r="AC692" s="245">
        <v>4.0460000000000003</v>
      </c>
      <c r="AD692" s="560">
        <f t="shared" si="77"/>
        <v>3300</v>
      </c>
      <c r="AE692" s="675" t="s">
        <v>97</v>
      </c>
      <c r="AF692" s="223">
        <v>3</v>
      </c>
      <c r="AG692" s="223">
        <v>-9999</v>
      </c>
      <c r="AH692" s="223">
        <v>-9999</v>
      </c>
      <c r="AI692" s="223">
        <v>-9999</v>
      </c>
      <c r="AJ692" s="223">
        <v>-9999</v>
      </c>
      <c r="AK692" s="223">
        <v>-9999</v>
      </c>
      <c r="AL692" s="223">
        <v>-9999</v>
      </c>
      <c r="AM692" s="223">
        <v>-9999</v>
      </c>
      <c r="AN692" s="223" t="s">
        <v>631</v>
      </c>
      <c r="AO692" s="223">
        <v>-9999</v>
      </c>
      <c r="AP692" s="223">
        <v>-9999</v>
      </c>
      <c r="AQ692" s="223" t="s">
        <v>631</v>
      </c>
      <c r="AR692" s="223">
        <v>0</v>
      </c>
      <c r="AS692" s="223">
        <v>-9999</v>
      </c>
      <c r="AT692" s="223">
        <v>-9999</v>
      </c>
      <c r="AU692" s="223">
        <v>0</v>
      </c>
      <c r="AV692" s="223">
        <v>-9999</v>
      </c>
      <c r="AW692" s="223">
        <v>-9999</v>
      </c>
      <c r="AX692" s="223">
        <v>0</v>
      </c>
      <c r="AY692" s="223">
        <v>-9999</v>
      </c>
      <c r="AZ692" s="223">
        <v>-9999</v>
      </c>
      <c r="BA692" s="223">
        <v>-9999</v>
      </c>
      <c r="BB692" s="223" t="s">
        <v>631</v>
      </c>
      <c r="BC692" s="223">
        <v>-9999</v>
      </c>
      <c r="BD692" s="223">
        <v>-9999</v>
      </c>
      <c r="BE692" s="223">
        <v>-9999</v>
      </c>
      <c r="BF692" s="223">
        <v>-9999</v>
      </c>
      <c r="BG692" s="223">
        <v>-9999</v>
      </c>
      <c r="BH692" s="223">
        <v>-9999</v>
      </c>
      <c r="BI692" s="223" t="s">
        <v>1060</v>
      </c>
      <c r="BJ692" s="223">
        <v>-9999</v>
      </c>
      <c r="BK692" s="223">
        <v>-9999</v>
      </c>
      <c r="BL692" s="223">
        <v>-9999</v>
      </c>
      <c r="BM692" s="223">
        <v>-9999</v>
      </c>
      <c r="BN692" s="223">
        <v>-9999</v>
      </c>
      <c r="BO692" s="223">
        <v>-9999</v>
      </c>
      <c r="BP692" s="223">
        <v>-9999</v>
      </c>
      <c r="BQ692" s="223">
        <v>-9999</v>
      </c>
      <c r="BR692" s="223">
        <v>-9999</v>
      </c>
      <c r="BS692" s="242">
        <v>-9999</v>
      </c>
      <c r="BT692" s="223">
        <v>-9999</v>
      </c>
      <c r="BU692" s="223">
        <v>-9999</v>
      </c>
      <c r="BV692" s="223">
        <v>-9999</v>
      </c>
      <c r="BW692" s="223"/>
      <c r="BX692" s="223">
        <v>-9999</v>
      </c>
      <c r="BY692" s="223">
        <v>-9999</v>
      </c>
      <c r="BZ692" s="223">
        <v>-9999</v>
      </c>
      <c r="CA692" s="334" t="s">
        <v>797</v>
      </c>
      <c r="CB692" s="247"/>
      <c r="CC692" s="83">
        <v>1</v>
      </c>
      <c r="CD692" s="32">
        <v>8</v>
      </c>
      <c r="CE692" s="292">
        <v>9.4600000000000009</v>
      </c>
      <c r="CF692" s="292">
        <v>9.3200000000000074</v>
      </c>
      <c r="CG692" s="84">
        <v>8</v>
      </c>
    </row>
    <row r="693" spans="1:1873" s="23" customFormat="1" ht="25.5" x14ac:dyDescent="0.2">
      <c r="A693" s="304" t="s">
        <v>2090</v>
      </c>
      <c r="B693" s="223" t="s">
        <v>801</v>
      </c>
      <c r="C693" s="223" t="s">
        <v>1032</v>
      </c>
      <c r="D693" s="223" t="s">
        <v>619</v>
      </c>
      <c r="E693" s="305" t="s">
        <v>1451</v>
      </c>
      <c r="F693" s="241">
        <v>1</v>
      </c>
      <c r="G693" s="223">
        <v>9</v>
      </c>
      <c r="H693" s="242">
        <v>9</v>
      </c>
      <c r="I693" s="223" t="s">
        <v>807</v>
      </c>
      <c r="J693" s="450">
        <v>1988</v>
      </c>
      <c r="K693" s="560" t="s">
        <v>1211</v>
      </c>
      <c r="L693" s="450">
        <v>1995</v>
      </c>
      <c r="M693" s="243">
        <v>-9999</v>
      </c>
      <c r="N693" s="223">
        <v>-9999</v>
      </c>
      <c r="O693" s="29"/>
      <c r="P693" s="244">
        <f t="shared" si="80"/>
        <v>83.34</v>
      </c>
      <c r="Q693" s="223">
        <v>-9999</v>
      </c>
      <c r="R693" s="243"/>
      <c r="S693" s="223"/>
      <c r="T693" s="243">
        <v>9.26</v>
      </c>
      <c r="U693" s="223">
        <v>-9999</v>
      </c>
      <c r="V693" s="223"/>
      <c r="W693" s="285">
        <f>+P693-P692</f>
        <v>7.6599999999999966</v>
      </c>
      <c r="X693" s="223">
        <v>-9999</v>
      </c>
      <c r="Y693" s="223"/>
      <c r="Z693" s="561" t="s">
        <v>1702</v>
      </c>
      <c r="AA693" s="425">
        <f t="shared" si="79"/>
        <v>1682.0700000000002</v>
      </c>
      <c r="AB693" s="243">
        <v>-9999</v>
      </c>
      <c r="AC693" s="245">
        <v>4.0460000000000003</v>
      </c>
      <c r="AD693" s="560">
        <f t="shared" si="77"/>
        <v>3300</v>
      </c>
      <c r="AE693" s="675" t="s">
        <v>97</v>
      </c>
      <c r="AF693" s="223">
        <v>3</v>
      </c>
      <c r="AG693" s="223">
        <v>-9999</v>
      </c>
      <c r="AH693" s="223">
        <v>-9999</v>
      </c>
      <c r="AI693" s="223">
        <v>-9999</v>
      </c>
      <c r="AJ693" s="223">
        <v>-9999</v>
      </c>
      <c r="AK693" s="223">
        <v>-9999</v>
      </c>
      <c r="AL693" s="223">
        <v>-9999</v>
      </c>
      <c r="AM693" s="223">
        <v>-9999</v>
      </c>
      <c r="AN693" s="223" t="s">
        <v>631</v>
      </c>
      <c r="AO693" s="223">
        <v>-9999</v>
      </c>
      <c r="AP693" s="223">
        <v>-9999</v>
      </c>
      <c r="AQ693" s="223" t="s">
        <v>631</v>
      </c>
      <c r="AR693" s="223">
        <v>0</v>
      </c>
      <c r="AS693" s="223">
        <v>-9999</v>
      </c>
      <c r="AT693" s="223">
        <v>-9999</v>
      </c>
      <c r="AU693" s="223">
        <v>0</v>
      </c>
      <c r="AV693" s="223">
        <v>-9999</v>
      </c>
      <c r="AW693" s="223">
        <v>-9999</v>
      </c>
      <c r="AX693" s="223">
        <v>0</v>
      </c>
      <c r="AY693" s="223">
        <v>-9999</v>
      </c>
      <c r="AZ693" s="223">
        <v>-9999</v>
      </c>
      <c r="BA693" s="223">
        <v>-9999</v>
      </c>
      <c r="BB693" s="223" t="s">
        <v>631</v>
      </c>
      <c r="BC693" s="223">
        <v>-9999</v>
      </c>
      <c r="BD693" s="223">
        <v>-9999</v>
      </c>
      <c r="BE693" s="223">
        <v>-9999</v>
      </c>
      <c r="BF693" s="223">
        <v>-9999</v>
      </c>
      <c r="BG693" s="223">
        <v>-9999</v>
      </c>
      <c r="BH693" s="223">
        <v>-9999</v>
      </c>
      <c r="BI693" s="223" t="s">
        <v>1060</v>
      </c>
      <c r="BJ693" s="223">
        <v>-9999</v>
      </c>
      <c r="BK693" s="223">
        <v>-9999</v>
      </c>
      <c r="BL693" s="223">
        <v>-9999</v>
      </c>
      <c r="BM693" s="223">
        <v>-9999</v>
      </c>
      <c r="BN693" s="223">
        <v>-9999</v>
      </c>
      <c r="BO693" s="223">
        <v>-9999</v>
      </c>
      <c r="BP693" s="223">
        <v>-9999</v>
      </c>
      <c r="BQ693" s="223">
        <v>-9999</v>
      </c>
      <c r="BR693" s="223">
        <v>-9999</v>
      </c>
      <c r="BS693" s="242">
        <v>-9999</v>
      </c>
      <c r="BT693" s="223">
        <v>-9999</v>
      </c>
      <c r="BU693" s="223">
        <v>-9999</v>
      </c>
      <c r="BV693" s="223">
        <v>-9999</v>
      </c>
      <c r="BW693" s="223"/>
      <c r="BX693" s="223">
        <v>-9999</v>
      </c>
      <c r="BY693" s="223">
        <v>-9999</v>
      </c>
      <c r="BZ693" s="223">
        <v>-9999</v>
      </c>
      <c r="CA693" s="334" t="s">
        <v>797</v>
      </c>
      <c r="CB693" s="247"/>
      <c r="CC693" s="83">
        <v>1</v>
      </c>
      <c r="CD693" s="32">
        <v>9</v>
      </c>
      <c r="CE693" s="292">
        <v>9.26</v>
      </c>
      <c r="CF693" s="292">
        <v>7.6599999999999966</v>
      </c>
      <c r="CG693" s="84">
        <v>9</v>
      </c>
    </row>
    <row r="694" spans="1:1873" s="23" customFormat="1" ht="25.5" x14ac:dyDescent="0.2">
      <c r="A694" s="304" t="s">
        <v>2090</v>
      </c>
      <c r="B694" s="223" t="s">
        <v>801</v>
      </c>
      <c r="C694" s="223" t="s">
        <v>1032</v>
      </c>
      <c r="D694" s="223" t="s">
        <v>619</v>
      </c>
      <c r="E694" s="305" t="s">
        <v>1451</v>
      </c>
      <c r="F694" s="241">
        <v>1</v>
      </c>
      <c r="G694" s="223">
        <v>10</v>
      </c>
      <c r="H694" s="242">
        <v>10</v>
      </c>
      <c r="I694" s="223" t="s">
        <v>807</v>
      </c>
      <c r="J694" s="450">
        <v>1988</v>
      </c>
      <c r="K694" s="560" t="s">
        <v>1211</v>
      </c>
      <c r="L694" s="450">
        <v>1996</v>
      </c>
      <c r="M694" s="243">
        <v>-9999</v>
      </c>
      <c r="N694" s="223">
        <v>-9999</v>
      </c>
      <c r="O694" s="29"/>
      <c r="P694" s="243">
        <v>-9999</v>
      </c>
      <c r="Q694" s="223">
        <v>-9999</v>
      </c>
      <c r="R694" s="243"/>
      <c r="S694" s="223"/>
      <c r="T694" s="243">
        <v>-9999</v>
      </c>
      <c r="U694" s="223">
        <v>-9999</v>
      </c>
      <c r="V694" s="223"/>
      <c r="W694" s="243">
        <v>-9999</v>
      </c>
      <c r="X694" s="223">
        <v>-9999</v>
      </c>
      <c r="Y694" s="223"/>
      <c r="Z694" s="561" t="s">
        <v>1702</v>
      </c>
      <c r="AA694" s="425">
        <f t="shared" si="79"/>
        <v>1682.0700000000002</v>
      </c>
      <c r="AB694" s="243">
        <v>-9999</v>
      </c>
      <c r="AC694" s="245">
        <v>4.0460000000000003</v>
      </c>
      <c r="AD694" s="560">
        <f t="shared" si="77"/>
        <v>3300</v>
      </c>
      <c r="AE694" s="675" t="s">
        <v>97</v>
      </c>
      <c r="AF694" s="223">
        <v>3</v>
      </c>
      <c r="AG694" s="223">
        <v>-9999</v>
      </c>
      <c r="AH694" s="223">
        <v>-9999</v>
      </c>
      <c r="AI694" s="223">
        <v>-9999</v>
      </c>
      <c r="AJ694" s="223">
        <v>-9999</v>
      </c>
      <c r="AK694" s="223">
        <v>-9999</v>
      </c>
      <c r="AL694" s="223">
        <v>-9999</v>
      </c>
      <c r="AM694" s="223">
        <v>-9999</v>
      </c>
      <c r="AN694" s="223" t="s">
        <v>631</v>
      </c>
      <c r="AO694" s="223">
        <v>-9999</v>
      </c>
      <c r="AP694" s="223">
        <v>-9999</v>
      </c>
      <c r="AQ694" s="223" t="s">
        <v>631</v>
      </c>
      <c r="AR694" s="223">
        <v>0</v>
      </c>
      <c r="AS694" s="223">
        <v>-9999</v>
      </c>
      <c r="AT694" s="223">
        <v>-9999</v>
      </c>
      <c r="AU694" s="223">
        <v>0</v>
      </c>
      <c r="AV694" s="223">
        <v>-9999</v>
      </c>
      <c r="AW694" s="223">
        <v>-9999</v>
      </c>
      <c r="AX694" s="223">
        <v>0</v>
      </c>
      <c r="AY694" s="223">
        <v>-9999</v>
      </c>
      <c r="AZ694" s="223">
        <v>-9999</v>
      </c>
      <c r="BA694" s="223">
        <v>-9999</v>
      </c>
      <c r="BB694" s="223" t="s">
        <v>631</v>
      </c>
      <c r="BC694" s="223">
        <v>-9999</v>
      </c>
      <c r="BD694" s="223">
        <v>-9999</v>
      </c>
      <c r="BE694" s="223">
        <v>-9999</v>
      </c>
      <c r="BF694" s="223">
        <v>-9999</v>
      </c>
      <c r="BG694" s="223">
        <v>-9999</v>
      </c>
      <c r="BH694" s="223">
        <v>-9999</v>
      </c>
      <c r="BI694" s="223" t="s">
        <v>1060</v>
      </c>
      <c r="BJ694" s="223">
        <v>-9999</v>
      </c>
      <c r="BK694" s="223">
        <v>-9999</v>
      </c>
      <c r="BL694" s="223">
        <v>-9999</v>
      </c>
      <c r="BM694" s="223">
        <v>-9999</v>
      </c>
      <c r="BN694" s="223">
        <v>-9999</v>
      </c>
      <c r="BO694" s="223">
        <v>-9999</v>
      </c>
      <c r="BP694" s="223">
        <v>-9999</v>
      </c>
      <c r="BQ694" s="223">
        <v>-9999</v>
      </c>
      <c r="BR694" s="223">
        <v>-9999</v>
      </c>
      <c r="BS694" s="242">
        <v>-9999</v>
      </c>
      <c r="BT694" s="223">
        <v>-9999</v>
      </c>
      <c r="BU694" s="223">
        <v>-9999</v>
      </c>
      <c r="BV694" s="223">
        <v>-9999</v>
      </c>
      <c r="BW694" s="223"/>
      <c r="BX694" s="223">
        <v>-9999</v>
      </c>
      <c r="BY694" s="223">
        <v>-9999</v>
      </c>
      <c r="BZ694" s="223">
        <v>-9999</v>
      </c>
      <c r="CA694" s="334" t="s">
        <v>797</v>
      </c>
      <c r="CB694" s="247"/>
      <c r="CC694" s="83">
        <v>1</v>
      </c>
      <c r="CD694" s="32">
        <v>10</v>
      </c>
      <c r="CE694" s="292"/>
      <c r="CF694" s="292"/>
      <c r="CG694" s="84">
        <v>10</v>
      </c>
    </row>
    <row r="695" spans="1:1873" s="23" customFormat="1" x14ac:dyDescent="0.2">
      <c r="A695" s="323"/>
      <c r="B695" s="29"/>
      <c r="C695" s="29"/>
      <c r="D695" s="29"/>
      <c r="E695" s="66"/>
      <c r="F695" s="66"/>
      <c r="G695" s="29"/>
      <c r="H695" s="30"/>
      <c r="I695" s="29"/>
      <c r="J695" s="112"/>
      <c r="K695" s="428"/>
      <c r="L695" s="112"/>
      <c r="M695" s="31"/>
      <c r="N695" s="29"/>
      <c r="O695" s="29"/>
      <c r="P695" s="31"/>
      <c r="Q695" s="29"/>
      <c r="R695" s="31"/>
      <c r="S695" s="29"/>
      <c r="T695" s="31"/>
      <c r="U695" s="29"/>
      <c r="V695" s="29"/>
      <c r="W695" s="31"/>
      <c r="X695" s="29"/>
      <c r="Y695" s="29"/>
      <c r="Z695" s="429"/>
      <c r="AA695" s="115"/>
      <c r="AB695" s="31"/>
      <c r="AC695" s="71"/>
      <c r="AD695" s="71"/>
      <c r="AE695" s="112"/>
      <c r="AF695" s="29"/>
      <c r="AG695" s="29"/>
      <c r="AH695" s="29"/>
      <c r="AI695" s="29"/>
      <c r="AJ695" s="29"/>
      <c r="AK695" s="29"/>
      <c r="AL695" s="29"/>
      <c r="AM695" s="29"/>
      <c r="AN695" s="29"/>
      <c r="AO695" s="29"/>
      <c r="AP695" s="29"/>
      <c r="AQ695" s="29"/>
      <c r="AR695" s="29"/>
      <c r="AS695" s="29"/>
      <c r="AT695" s="29"/>
      <c r="AU695" s="29"/>
      <c r="AV695" s="29"/>
      <c r="AW695" s="29"/>
      <c r="AX695" s="29"/>
      <c r="AY695" s="29"/>
      <c r="AZ695" s="29"/>
      <c r="BA695" s="29"/>
      <c r="BB695" s="29"/>
      <c r="BC695" s="29"/>
      <c r="BD695" s="29"/>
      <c r="BE695" s="29"/>
      <c r="BF695" s="29"/>
      <c r="BG695" s="29"/>
      <c r="BH695" s="29"/>
      <c r="BI695" s="29"/>
      <c r="BJ695" s="29"/>
      <c r="BK695" s="29"/>
      <c r="BL695" s="29"/>
      <c r="BM695" s="29"/>
      <c r="BN695" s="29"/>
      <c r="BO695" s="29"/>
      <c r="BP695" s="29"/>
      <c r="BQ695" s="29"/>
      <c r="BR695" s="29"/>
      <c r="BS695" s="30"/>
      <c r="BT695" s="29"/>
      <c r="BU695" s="29"/>
      <c r="BV695" s="29"/>
      <c r="BW695" s="29"/>
      <c r="BX695" s="29"/>
      <c r="BY695" s="29"/>
      <c r="BZ695" s="29"/>
      <c r="CA695" s="333"/>
      <c r="CC695" s="66"/>
      <c r="CD695" s="29"/>
      <c r="CE695" s="342" t="s">
        <v>1576</v>
      </c>
      <c r="CF695" s="342" t="s">
        <v>1575</v>
      </c>
      <c r="CG695" s="30"/>
    </row>
    <row r="696" spans="1:1873" s="23" customFormat="1" ht="25.5" x14ac:dyDescent="0.2">
      <c r="A696" s="304" t="s">
        <v>2090</v>
      </c>
      <c r="B696" s="223" t="s">
        <v>802</v>
      </c>
      <c r="C696" s="223" t="s">
        <v>1032</v>
      </c>
      <c r="D696" s="223" t="s">
        <v>619</v>
      </c>
      <c r="E696" s="305" t="s">
        <v>1451</v>
      </c>
      <c r="F696" s="241">
        <v>1</v>
      </c>
      <c r="G696" s="223">
        <v>3</v>
      </c>
      <c r="H696" s="242">
        <v>3</v>
      </c>
      <c r="I696" s="223" t="s">
        <v>807</v>
      </c>
      <c r="J696" s="450">
        <v>1988</v>
      </c>
      <c r="K696" s="560" t="s">
        <v>1211</v>
      </c>
      <c r="L696" s="450">
        <v>1989</v>
      </c>
      <c r="M696" s="243">
        <v>-9999</v>
      </c>
      <c r="N696" s="223">
        <v>-9999</v>
      </c>
      <c r="O696" s="29"/>
      <c r="P696" s="243">
        <v>-9999</v>
      </c>
      <c r="Q696" s="223">
        <v>-9999</v>
      </c>
      <c r="R696" s="243"/>
      <c r="S696" s="223"/>
      <c r="T696" s="243">
        <v>-9999</v>
      </c>
      <c r="U696" s="223">
        <v>-9999</v>
      </c>
      <c r="V696" s="223"/>
      <c r="W696" s="243">
        <v>-9999</v>
      </c>
      <c r="X696" s="223">
        <v>-9999</v>
      </c>
      <c r="Y696" s="223"/>
      <c r="Z696" s="561" t="s">
        <v>1702</v>
      </c>
      <c r="AA696" s="425">
        <f t="shared" ref="AA696:AA703" si="81">681*2.47</f>
        <v>1682.0700000000002</v>
      </c>
      <c r="AB696" s="243">
        <v>-9999</v>
      </c>
      <c r="AC696" s="245">
        <v>4.0460000000000003</v>
      </c>
      <c r="AD696" s="560">
        <f t="shared" si="77"/>
        <v>3300</v>
      </c>
      <c r="AE696" s="675" t="s">
        <v>97</v>
      </c>
      <c r="AF696" s="223">
        <v>3</v>
      </c>
      <c r="AG696" s="223">
        <v>-9999</v>
      </c>
      <c r="AH696" s="223">
        <v>-9999</v>
      </c>
      <c r="AI696" s="223">
        <v>-9999</v>
      </c>
      <c r="AJ696" s="223">
        <v>-9999</v>
      </c>
      <c r="AK696" s="223">
        <v>-9999</v>
      </c>
      <c r="AL696" s="223">
        <v>-9999</v>
      </c>
      <c r="AM696" s="223">
        <v>-9999</v>
      </c>
      <c r="AN696" s="223" t="s">
        <v>631</v>
      </c>
      <c r="AO696" s="223">
        <v>-9999</v>
      </c>
      <c r="AP696" s="223">
        <v>-9999</v>
      </c>
      <c r="AQ696" s="223" t="s">
        <v>631</v>
      </c>
      <c r="AR696" s="223">
        <v>0</v>
      </c>
      <c r="AS696" s="223">
        <v>-9999</v>
      </c>
      <c r="AT696" s="223">
        <v>-9999</v>
      </c>
      <c r="AU696" s="223">
        <v>0</v>
      </c>
      <c r="AV696" s="223">
        <v>-9999</v>
      </c>
      <c r="AW696" s="223">
        <v>-9999</v>
      </c>
      <c r="AX696" s="223">
        <v>0</v>
      </c>
      <c r="AY696" s="223">
        <v>-9999</v>
      </c>
      <c r="AZ696" s="223">
        <v>-9999</v>
      </c>
      <c r="BA696" s="223">
        <v>-9999</v>
      </c>
      <c r="BB696" s="223" t="s">
        <v>631</v>
      </c>
      <c r="BC696" s="223">
        <v>-9999</v>
      </c>
      <c r="BD696" s="223">
        <v>-9999</v>
      </c>
      <c r="BE696" s="223">
        <v>-9999</v>
      </c>
      <c r="BF696" s="223">
        <v>-9999</v>
      </c>
      <c r="BG696" s="223">
        <v>-9999</v>
      </c>
      <c r="BH696" s="223">
        <v>-9999</v>
      </c>
      <c r="BI696" s="223" t="s">
        <v>1061</v>
      </c>
      <c r="BJ696" s="223">
        <v>-9999</v>
      </c>
      <c r="BK696" s="223">
        <v>-9999</v>
      </c>
      <c r="BL696" s="223">
        <v>-9999</v>
      </c>
      <c r="BM696" s="223">
        <v>-9999</v>
      </c>
      <c r="BN696" s="223">
        <v>-9999</v>
      </c>
      <c r="BO696" s="223">
        <v>-9999</v>
      </c>
      <c r="BP696" s="223">
        <v>-9999</v>
      </c>
      <c r="BQ696" s="223">
        <v>-9999</v>
      </c>
      <c r="BR696" s="223">
        <v>-9999</v>
      </c>
      <c r="BS696" s="242">
        <v>-9999</v>
      </c>
      <c r="BT696" s="223">
        <v>-9999</v>
      </c>
      <c r="BU696" s="223">
        <v>-9999</v>
      </c>
      <c r="BV696" s="223">
        <v>-9999</v>
      </c>
      <c r="BW696" s="223"/>
      <c r="BX696" s="223">
        <v>-9999</v>
      </c>
      <c r="BY696" s="223">
        <v>-9999</v>
      </c>
      <c r="BZ696" s="223">
        <v>-9999</v>
      </c>
      <c r="CA696" s="334" t="s">
        <v>797</v>
      </c>
      <c r="CB696" s="247"/>
      <c r="CC696" s="83">
        <v>1</v>
      </c>
      <c r="CD696" s="32">
        <v>3</v>
      </c>
      <c r="CE696" s="292"/>
      <c r="CF696" s="292"/>
      <c r="CG696" s="84">
        <v>3</v>
      </c>
    </row>
    <row r="697" spans="1:1873" s="23" customFormat="1" ht="25.5" x14ac:dyDescent="0.2">
      <c r="A697" s="304" t="s">
        <v>2090</v>
      </c>
      <c r="B697" s="223" t="s">
        <v>802</v>
      </c>
      <c r="C697" s="223" t="s">
        <v>1032</v>
      </c>
      <c r="D697" s="223" t="s">
        <v>619</v>
      </c>
      <c r="E697" s="305" t="s">
        <v>1451</v>
      </c>
      <c r="F697" s="241">
        <v>1</v>
      </c>
      <c r="G697" s="223">
        <v>4</v>
      </c>
      <c r="H697" s="242">
        <v>4</v>
      </c>
      <c r="I697" s="223" t="s">
        <v>807</v>
      </c>
      <c r="J697" s="450">
        <v>1988</v>
      </c>
      <c r="K697" s="560" t="s">
        <v>1211</v>
      </c>
      <c r="L697" s="450">
        <v>1990</v>
      </c>
      <c r="M697" s="243">
        <v>-9999</v>
      </c>
      <c r="N697" s="223">
        <v>-9999</v>
      </c>
      <c r="O697" s="29"/>
      <c r="P697" s="244">
        <f t="shared" ref="P697:P702" si="82">+T697*G697</f>
        <v>17.32</v>
      </c>
      <c r="Q697" s="223">
        <v>-9999</v>
      </c>
      <c r="R697" s="243"/>
      <c r="S697" s="223"/>
      <c r="T697" s="243">
        <v>4.33</v>
      </c>
      <c r="U697" s="223">
        <v>-9999</v>
      </c>
      <c r="V697" s="223"/>
      <c r="W697" s="243">
        <v>-9999</v>
      </c>
      <c r="X697" s="223">
        <v>-9999</v>
      </c>
      <c r="Y697" s="223"/>
      <c r="Z697" s="561" t="s">
        <v>1702</v>
      </c>
      <c r="AA697" s="425">
        <f t="shared" si="81"/>
        <v>1682.0700000000002</v>
      </c>
      <c r="AB697" s="243">
        <v>-9999</v>
      </c>
      <c r="AC697" s="245">
        <v>4.0460000000000003</v>
      </c>
      <c r="AD697" s="560">
        <f t="shared" si="77"/>
        <v>3300</v>
      </c>
      <c r="AE697" s="675" t="s">
        <v>97</v>
      </c>
      <c r="AF697" s="223">
        <v>3</v>
      </c>
      <c r="AG697" s="223">
        <v>-9999</v>
      </c>
      <c r="AH697" s="223">
        <v>-9999</v>
      </c>
      <c r="AI697" s="223">
        <v>-9999</v>
      </c>
      <c r="AJ697" s="223">
        <v>-9999</v>
      </c>
      <c r="AK697" s="223">
        <v>-9999</v>
      </c>
      <c r="AL697" s="223">
        <v>-9999</v>
      </c>
      <c r="AM697" s="223">
        <v>-9999</v>
      </c>
      <c r="AN697" s="223" t="s">
        <v>631</v>
      </c>
      <c r="AO697" s="223">
        <v>-9999</v>
      </c>
      <c r="AP697" s="223">
        <v>-9999</v>
      </c>
      <c r="AQ697" s="223" t="s">
        <v>631</v>
      </c>
      <c r="AR697" s="223">
        <v>0</v>
      </c>
      <c r="AS697" s="223">
        <v>-9999</v>
      </c>
      <c r="AT697" s="223">
        <v>-9999</v>
      </c>
      <c r="AU697" s="223">
        <v>0</v>
      </c>
      <c r="AV697" s="223">
        <v>-9999</v>
      </c>
      <c r="AW697" s="223">
        <v>-9999</v>
      </c>
      <c r="AX697" s="223">
        <v>0</v>
      </c>
      <c r="AY697" s="223">
        <v>-9999</v>
      </c>
      <c r="AZ697" s="223">
        <v>-9999</v>
      </c>
      <c r="BA697" s="223">
        <v>-9999</v>
      </c>
      <c r="BB697" s="223" t="s">
        <v>631</v>
      </c>
      <c r="BC697" s="223">
        <v>-9999</v>
      </c>
      <c r="BD697" s="223">
        <v>-9999</v>
      </c>
      <c r="BE697" s="223">
        <v>-9999</v>
      </c>
      <c r="BF697" s="223">
        <v>-9999</v>
      </c>
      <c r="BG697" s="223">
        <v>-9999</v>
      </c>
      <c r="BH697" s="223">
        <v>-9999</v>
      </c>
      <c r="BI697" s="223" t="s">
        <v>1061</v>
      </c>
      <c r="BJ697" s="223">
        <v>-9999</v>
      </c>
      <c r="BK697" s="223">
        <v>-9999</v>
      </c>
      <c r="BL697" s="223">
        <v>-9999</v>
      </c>
      <c r="BM697" s="223">
        <v>-9999</v>
      </c>
      <c r="BN697" s="223">
        <v>-9999</v>
      </c>
      <c r="BO697" s="223">
        <v>-9999</v>
      </c>
      <c r="BP697" s="223">
        <v>-9999</v>
      </c>
      <c r="BQ697" s="223">
        <v>-9999</v>
      </c>
      <c r="BR697" s="223">
        <v>-9999</v>
      </c>
      <c r="BS697" s="242">
        <v>-9999</v>
      </c>
      <c r="BT697" s="223">
        <v>-9999</v>
      </c>
      <c r="BU697" s="223">
        <v>-9999</v>
      </c>
      <c r="BV697" s="223">
        <v>-9999</v>
      </c>
      <c r="BW697" s="223"/>
      <c r="BX697" s="223">
        <v>-9999</v>
      </c>
      <c r="BY697" s="223">
        <v>-9999</v>
      </c>
      <c r="BZ697" s="223">
        <v>-9999</v>
      </c>
      <c r="CA697" s="334" t="s">
        <v>797</v>
      </c>
      <c r="CB697" s="247"/>
      <c r="CC697" s="83">
        <v>1</v>
      </c>
      <c r="CD697" s="32">
        <v>4</v>
      </c>
      <c r="CE697" s="292">
        <v>4.33</v>
      </c>
      <c r="CF697" s="292"/>
      <c r="CG697" s="84">
        <v>4</v>
      </c>
    </row>
    <row r="698" spans="1:1873" s="23" customFormat="1" ht="25.5" x14ac:dyDescent="0.2">
      <c r="A698" s="304" t="s">
        <v>2090</v>
      </c>
      <c r="B698" s="223" t="s">
        <v>802</v>
      </c>
      <c r="C698" s="223" t="s">
        <v>1032</v>
      </c>
      <c r="D698" s="223" t="s">
        <v>619</v>
      </c>
      <c r="E698" s="305" t="s">
        <v>1451</v>
      </c>
      <c r="F698" s="241">
        <v>1</v>
      </c>
      <c r="G698" s="223">
        <v>5</v>
      </c>
      <c r="H698" s="242">
        <v>5</v>
      </c>
      <c r="I698" s="223" t="s">
        <v>807</v>
      </c>
      <c r="J698" s="450">
        <v>1988</v>
      </c>
      <c r="K698" s="560" t="s">
        <v>1211</v>
      </c>
      <c r="L698" s="450">
        <v>1991</v>
      </c>
      <c r="M698" s="243">
        <v>-9999</v>
      </c>
      <c r="N698" s="223">
        <v>-9999</v>
      </c>
      <c r="O698" s="29"/>
      <c r="P698" s="244">
        <f t="shared" si="82"/>
        <v>25.45</v>
      </c>
      <c r="Q698" s="223">
        <v>-9999</v>
      </c>
      <c r="R698" s="243"/>
      <c r="S698" s="223"/>
      <c r="T698" s="243">
        <v>5.09</v>
      </c>
      <c r="U698" s="223">
        <v>-9999</v>
      </c>
      <c r="V698" s="223"/>
      <c r="W698" s="285">
        <f>+P698-P697</f>
        <v>8.129999999999999</v>
      </c>
      <c r="X698" s="223">
        <v>-9999</v>
      </c>
      <c r="Y698" s="223"/>
      <c r="Z698" s="561" t="s">
        <v>1702</v>
      </c>
      <c r="AA698" s="425">
        <f t="shared" si="81"/>
        <v>1682.0700000000002</v>
      </c>
      <c r="AB698" s="243">
        <v>-9999</v>
      </c>
      <c r="AC698" s="245">
        <v>4.0460000000000003</v>
      </c>
      <c r="AD698" s="560">
        <f t="shared" si="77"/>
        <v>3300</v>
      </c>
      <c r="AE698" s="675" t="s">
        <v>97</v>
      </c>
      <c r="AF698" s="223">
        <v>3</v>
      </c>
      <c r="AG698" s="223">
        <v>-9999</v>
      </c>
      <c r="AH698" s="223">
        <v>-9999</v>
      </c>
      <c r="AI698" s="223">
        <v>-9999</v>
      </c>
      <c r="AJ698" s="223">
        <v>-9999</v>
      </c>
      <c r="AK698" s="223">
        <v>-9999</v>
      </c>
      <c r="AL698" s="223">
        <v>-9999</v>
      </c>
      <c r="AM698" s="223">
        <v>-9999</v>
      </c>
      <c r="AN698" s="223" t="s">
        <v>631</v>
      </c>
      <c r="AO698" s="223">
        <v>-9999</v>
      </c>
      <c r="AP698" s="223">
        <v>-9999</v>
      </c>
      <c r="AQ698" s="223" t="s">
        <v>631</v>
      </c>
      <c r="AR698" s="223">
        <v>0</v>
      </c>
      <c r="AS698" s="223">
        <v>-9999</v>
      </c>
      <c r="AT698" s="223">
        <v>-9999</v>
      </c>
      <c r="AU698" s="223">
        <v>0</v>
      </c>
      <c r="AV698" s="223">
        <v>-9999</v>
      </c>
      <c r="AW698" s="223">
        <v>-9999</v>
      </c>
      <c r="AX698" s="223">
        <v>0</v>
      </c>
      <c r="AY698" s="223">
        <v>-9999</v>
      </c>
      <c r="AZ698" s="223">
        <v>-9999</v>
      </c>
      <c r="BA698" s="223">
        <v>-9999</v>
      </c>
      <c r="BB698" s="223" t="s">
        <v>631</v>
      </c>
      <c r="BC698" s="223">
        <v>-9999</v>
      </c>
      <c r="BD698" s="223">
        <v>-9999</v>
      </c>
      <c r="BE698" s="223">
        <v>-9999</v>
      </c>
      <c r="BF698" s="223">
        <v>-9999</v>
      </c>
      <c r="BG698" s="223">
        <v>-9999</v>
      </c>
      <c r="BH698" s="223">
        <v>-9999</v>
      </c>
      <c r="BI698" s="223" t="s">
        <v>1061</v>
      </c>
      <c r="BJ698" s="223">
        <v>-9999</v>
      </c>
      <c r="BK698" s="223">
        <v>-9999</v>
      </c>
      <c r="BL698" s="223">
        <v>-9999</v>
      </c>
      <c r="BM698" s="223">
        <v>-9999</v>
      </c>
      <c r="BN698" s="223">
        <v>-9999</v>
      </c>
      <c r="BO698" s="223">
        <v>-9999</v>
      </c>
      <c r="BP698" s="223">
        <v>-9999</v>
      </c>
      <c r="BQ698" s="223">
        <v>-9999</v>
      </c>
      <c r="BR698" s="223">
        <v>-9999</v>
      </c>
      <c r="BS698" s="242">
        <v>-9999</v>
      </c>
      <c r="BT698" s="223">
        <v>-9999</v>
      </c>
      <c r="BU698" s="223">
        <v>-9999</v>
      </c>
      <c r="BV698" s="223">
        <v>-9999</v>
      </c>
      <c r="BW698" s="223"/>
      <c r="BX698" s="223">
        <v>-9999</v>
      </c>
      <c r="BY698" s="223">
        <v>-9999</v>
      </c>
      <c r="BZ698" s="223">
        <v>-9999</v>
      </c>
      <c r="CA698" s="334" t="s">
        <v>797</v>
      </c>
      <c r="CB698" s="247"/>
      <c r="CC698" s="83">
        <v>1</v>
      </c>
      <c r="CD698" s="32">
        <v>5</v>
      </c>
      <c r="CE698" s="292">
        <v>5.09</v>
      </c>
      <c r="CF698" s="292">
        <v>8.129999999999999</v>
      </c>
      <c r="CG698" s="84">
        <v>5</v>
      </c>
    </row>
    <row r="699" spans="1:1873" s="23" customFormat="1" ht="25.5" x14ac:dyDescent="0.2">
      <c r="A699" s="304" t="s">
        <v>2090</v>
      </c>
      <c r="B699" s="223" t="s">
        <v>802</v>
      </c>
      <c r="C699" s="223" t="s">
        <v>1032</v>
      </c>
      <c r="D699" s="223" t="s">
        <v>619</v>
      </c>
      <c r="E699" s="305" t="s">
        <v>1451</v>
      </c>
      <c r="F699" s="241">
        <v>1</v>
      </c>
      <c r="G699" s="223">
        <v>6</v>
      </c>
      <c r="H699" s="242">
        <v>6</v>
      </c>
      <c r="I699" s="223" t="s">
        <v>807</v>
      </c>
      <c r="J699" s="450">
        <v>1988</v>
      </c>
      <c r="K699" s="560" t="s">
        <v>1211</v>
      </c>
      <c r="L699" s="450">
        <v>1992</v>
      </c>
      <c r="M699" s="243">
        <v>-9999</v>
      </c>
      <c r="N699" s="223">
        <v>-9999</v>
      </c>
      <c r="O699" s="29"/>
      <c r="P699" s="244">
        <f t="shared" si="82"/>
        <v>42.12</v>
      </c>
      <c r="Q699" s="223">
        <v>-9999</v>
      </c>
      <c r="R699" s="243"/>
      <c r="S699" s="223"/>
      <c r="T699" s="243">
        <v>7.02</v>
      </c>
      <c r="U699" s="223">
        <v>-9999</v>
      </c>
      <c r="V699" s="223"/>
      <c r="W699" s="285">
        <f>+P699-P698</f>
        <v>16.669999999999998</v>
      </c>
      <c r="X699" s="223">
        <v>-9999</v>
      </c>
      <c r="Y699" s="223"/>
      <c r="Z699" s="561" t="s">
        <v>1702</v>
      </c>
      <c r="AA699" s="425">
        <f t="shared" si="81"/>
        <v>1682.0700000000002</v>
      </c>
      <c r="AB699" s="243">
        <v>-9999</v>
      </c>
      <c r="AC699" s="245">
        <v>4.0460000000000003</v>
      </c>
      <c r="AD699" s="560">
        <f t="shared" si="77"/>
        <v>3300</v>
      </c>
      <c r="AE699" s="675" t="s">
        <v>97</v>
      </c>
      <c r="AF699" s="223">
        <v>3</v>
      </c>
      <c r="AG699" s="223">
        <v>-9999</v>
      </c>
      <c r="AH699" s="223">
        <v>-9999</v>
      </c>
      <c r="AI699" s="223">
        <v>-9999</v>
      </c>
      <c r="AJ699" s="223">
        <v>-9999</v>
      </c>
      <c r="AK699" s="223">
        <v>-9999</v>
      </c>
      <c r="AL699" s="223">
        <v>-9999</v>
      </c>
      <c r="AM699" s="223">
        <v>-9999</v>
      </c>
      <c r="AN699" s="223" t="s">
        <v>631</v>
      </c>
      <c r="AO699" s="223">
        <v>-9999</v>
      </c>
      <c r="AP699" s="223">
        <v>-9999</v>
      </c>
      <c r="AQ699" s="223" t="s">
        <v>631</v>
      </c>
      <c r="AR699" s="223">
        <v>0</v>
      </c>
      <c r="AS699" s="223">
        <v>-9999</v>
      </c>
      <c r="AT699" s="223">
        <v>-9999</v>
      </c>
      <c r="AU699" s="223">
        <v>0</v>
      </c>
      <c r="AV699" s="223">
        <v>-9999</v>
      </c>
      <c r="AW699" s="223">
        <v>-9999</v>
      </c>
      <c r="AX699" s="223">
        <v>0</v>
      </c>
      <c r="AY699" s="223">
        <v>-9999</v>
      </c>
      <c r="AZ699" s="223">
        <v>-9999</v>
      </c>
      <c r="BA699" s="223">
        <v>-9999</v>
      </c>
      <c r="BB699" s="223" t="s">
        <v>631</v>
      </c>
      <c r="BC699" s="223">
        <v>-9999</v>
      </c>
      <c r="BD699" s="223">
        <v>-9999</v>
      </c>
      <c r="BE699" s="223">
        <v>-9999</v>
      </c>
      <c r="BF699" s="223">
        <v>-9999</v>
      </c>
      <c r="BG699" s="223">
        <v>-9999</v>
      </c>
      <c r="BH699" s="223">
        <v>-9999</v>
      </c>
      <c r="BI699" s="223" t="s">
        <v>1061</v>
      </c>
      <c r="BJ699" s="223">
        <v>-9999</v>
      </c>
      <c r="BK699" s="223">
        <v>-9999</v>
      </c>
      <c r="BL699" s="223">
        <v>-9999</v>
      </c>
      <c r="BM699" s="223">
        <v>-9999</v>
      </c>
      <c r="BN699" s="223">
        <v>-9999</v>
      </c>
      <c r="BO699" s="223">
        <v>-9999</v>
      </c>
      <c r="BP699" s="223">
        <v>-9999</v>
      </c>
      <c r="BQ699" s="223">
        <v>-9999</v>
      </c>
      <c r="BR699" s="223">
        <v>-9999</v>
      </c>
      <c r="BS699" s="242">
        <v>-9999</v>
      </c>
      <c r="BT699" s="223">
        <v>-9999</v>
      </c>
      <c r="BU699" s="223">
        <v>-9999</v>
      </c>
      <c r="BV699" s="223">
        <v>-9999</v>
      </c>
      <c r="BW699" s="223"/>
      <c r="BX699" s="223">
        <v>-9999</v>
      </c>
      <c r="BY699" s="223">
        <v>-9999</v>
      </c>
      <c r="BZ699" s="223">
        <v>-9999</v>
      </c>
      <c r="CA699" s="334" t="s">
        <v>797</v>
      </c>
      <c r="CB699" s="247"/>
      <c r="CC699" s="83">
        <v>1</v>
      </c>
      <c r="CD699" s="32">
        <v>6</v>
      </c>
      <c r="CE699" s="292">
        <v>7.02</v>
      </c>
      <c r="CF699" s="292">
        <v>16.669999999999998</v>
      </c>
      <c r="CG699" s="84">
        <v>6</v>
      </c>
    </row>
    <row r="700" spans="1:1873" s="202" customFormat="1" ht="25.5" x14ac:dyDescent="0.2">
      <c r="A700" s="304" t="s">
        <v>2090</v>
      </c>
      <c r="B700" s="223" t="s">
        <v>802</v>
      </c>
      <c r="C700" s="223" t="s">
        <v>1032</v>
      </c>
      <c r="D700" s="223" t="s">
        <v>619</v>
      </c>
      <c r="E700" s="241" t="s">
        <v>1451</v>
      </c>
      <c r="F700" s="241">
        <v>1</v>
      </c>
      <c r="G700" s="223">
        <v>7</v>
      </c>
      <c r="H700" s="242">
        <v>7</v>
      </c>
      <c r="I700" s="223" t="s">
        <v>807</v>
      </c>
      <c r="J700" s="450">
        <v>1988</v>
      </c>
      <c r="K700" s="560" t="s">
        <v>1211</v>
      </c>
      <c r="L700" s="450">
        <v>1993</v>
      </c>
      <c r="M700" s="243">
        <v>-9999</v>
      </c>
      <c r="N700" s="223">
        <v>-9999</v>
      </c>
      <c r="O700" s="29"/>
      <c r="P700" s="285">
        <f t="shared" si="82"/>
        <v>50.68</v>
      </c>
      <c r="Q700" s="223">
        <v>-9999</v>
      </c>
      <c r="R700" s="243"/>
      <c r="S700" s="223"/>
      <c r="T700" s="243">
        <v>7.24</v>
      </c>
      <c r="U700" s="223">
        <v>-9999</v>
      </c>
      <c r="V700" s="223"/>
      <c r="W700" s="244">
        <f>+P700-P699</f>
        <v>8.5600000000000023</v>
      </c>
      <c r="X700" s="223">
        <v>-9999</v>
      </c>
      <c r="Y700" s="223"/>
      <c r="Z700" s="561" t="s">
        <v>1702</v>
      </c>
      <c r="AA700" s="425">
        <f t="shared" si="81"/>
        <v>1682.0700000000002</v>
      </c>
      <c r="AB700" s="243">
        <v>-9999</v>
      </c>
      <c r="AC700" s="245">
        <v>4.0460000000000003</v>
      </c>
      <c r="AD700" s="560">
        <f t="shared" si="77"/>
        <v>3300</v>
      </c>
      <c r="AE700" s="675" t="s">
        <v>97</v>
      </c>
      <c r="AF700" s="223">
        <v>3</v>
      </c>
      <c r="AG700" s="223">
        <v>-9999</v>
      </c>
      <c r="AH700" s="223">
        <v>-9999</v>
      </c>
      <c r="AI700" s="223">
        <v>-9999</v>
      </c>
      <c r="AJ700" s="223">
        <v>-9999</v>
      </c>
      <c r="AK700" s="223">
        <v>-9999</v>
      </c>
      <c r="AL700" s="223">
        <v>-9999</v>
      </c>
      <c r="AM700" s="223">
        <v>-9999</v>
      </c>
      <c r="AN700" s="223" t="s">
        <v>631</v>
      </c>
      <c r="AO700" s="223">
        <v>-9999</v>
      </c>
      <c r="AP700" s="223">
        <v>-9999</v>
      </c>
      <c r="AQ700" s="223" t="s">
        <v>631</v>
      </c>
      <c r="AR700" s="223">
        <v>0</v>
      </c>
      <c r="AS700" s="223">
        <v>-9999</v>
      </c>
      <c r="AT700" s="223">
        <v>-9999</v>
      </c>
      <c r="AU700" s="223">
        <v>0</v>
      </c>
      <c r="AV700" s="223">
        <v>-9999</v>
      </c>
      <c r="AW700" s="223">
        <v>-9999</v>
      </c>
      <c r="AX700" s="223">
        <v>0</v>
      </c>
      <c r="AY700" s="223">
        <v>-9999</v>
      </c>
      <c r="AZ700" s="223">
        <v>-9999</v>
      </c>
      <c r="BA700" s="223">
        <v>-9999</v>
      </c>
      <c r="BB700" s="223" t="s">
        <v>631</v>
      </c>
      <c r="BC700" s="223">
        <v>-9999</v>
      </c>
      <c r="BD700" s="223">
        <v>-9999</v>
      </c>
      <c r="BE700" s="223">
        <v>-9999</v>
      </c>
      <c r="BF700" s="223">
        <v>-9999</v>
      </c>
      <c r="BG700" s="223">
        <v>-9999</v>
      </c>
      <c r="BH700" s="223">
        <v>-9999</v>
      </c>
      <c r="BI700" s="223" t="s">
        <v>1061</v>
      </c>
      <c r="BJ700" s="223">
        <v>-9999</v>
      </c>
      <c r="BK700" s="223">
        <v>-9999</v>
      </c>
      <c r="BL700" s="223">
        <v>-9999</v>
      </c>
      <c r="BM700" s="223">
        <v>-9999</v>
      </c>
      <c r="BN700" s="223">
        <v>-9999</v>
      </c>
      <c r="BO700" s="223">
        <v>-9999</v>
      </c>
      <c r="BP700" s="223">
        <v>-9999</v>
      </c>
      <c r="BQ700" s="223">
        <v>-9999</v>
      </c>
      <c r="BR700" s="223">
        <v>-9999</v>
      </c>
      <c r="BS700" s="242">
        <v>-9999</v>
      </c>
      <c r="BT700" s="223">
        <v>-9999</v>
      </c>
      <c r="BU700" s="223">
        <v>-9999</v>
      </c>
      <c r="BV700" s="223">
        <v>-9999</v>
      </c>
      <c r="BW700" s="223"/>
      <c r="BX700" s="223">
        <v>-9999</v>
      </c>
      <c r="BY700" s="223">
        <v>-9999</v>
      </c>
      <c r="BZ700" s="223">
        <v>-9999</v>
      </c>
      <c r="CA700" s="334" t="s">
        <v>797</v>
      </c>
      <c r="CB700" s="247"/>
      <c r="CC700" s="201">
        <v>1</v>
      </c>
      <c r="CD700" s="192">
        <v>7</v>
      </c>
      <c r="CE700" s="394">
        <v>7.24</v>
      </c>
      <c r="CF700" s="292">
        <v>8.5600000000000023</v>
      </c>
      <c r="CG700" s="196">
        <v>7</v>
      </c>
      <c r="CH700" s="438" t="s">
        <v>1757</v>
      </c>
      <c r="CI700" s="23"/>
      <c r="CJ700" s="23"/>
      <c r="CK700" s="23"/>
      <c r="CL700" s="23"/>
      <c r="CM700" s="23"/>
      <c r="CN700" s="23"/>
      <c r="CO700" s="23"/>
      <c r="CP700" s="23"/>
      <c r="CQ700" s="23"/>
      <c r="CR700" s="23"/>
      <c r="CS700" s="23"/>
      <c r="CT700" s="23"/>
      <c r="CU700" s="23"/>
      <c r="CV700" s="23"/>
      <c r="CW700" s="23"/>
      <c r="CX700" s="23"/>
      <c r="CY700" s="23"/>
      <c r="CZ700" s="23"/>
      <c r="DA700" s="23"/>
      <c r="DB700" s="23"/>
      <c r="DC700" s="23"/>
      <c r="DD700" s="23"/>
      <c r="DE700" s="23"/>
      <c r="DF700" s="23"/>
      <c r="DG700" s="23"/>
      <c r="DH700" s="23"/>
      <c r="DI700" s="23"/>
      <c r="DJ700" s="23"/>
      <c r="DK700" s="23"/>
      <c r="DL700" s="23"/>
      <c r="DM700" s="23"/>
      <c r="DN700" s="23"/>
      <c r="DO700" s="23"/>
      <c r="DP700" s="23"/>
      <c r="DQ700" s="23"/>
      <c r="DR700" s="23"/>
      <c r="DS700" s="23"/>
      <c r="DT700" s="23"/>
      <c r="DU700" s="23"/>
      <c r="DV700" s="23"/>
      <c r="DW700" s="23"/>
      <c r="DX700" s="23"/>
      <c r="DY700" s="23"/>
      <c r="DZ700" s="23"/>
      <c r="EA700" s="23"/>
      <c r="EB700" s="23"/>
      <c r="EC700" s="23"/>
      <c r="ED700" s="23"/>
      <c r="EE700" s="23"/>
      <c r="EF700" s="23"/>
      <c r="EG700" s="23"/>
      <c r="EH700" s="23"/>
      <c r="EI700" s="23"/>
      <c r="EJ700" s="23"/>
      <c r="EK700" s="23"/>
      <c r="EL700" s="23"/>
      <c r="EM700" s="23"/>
      <c r="EN700" s="23"/>
      <c r="EO700" s="23"/>
      <c r="EP700" s="23"/>
      <c r="EQ700" s="23"/>
      <c r="ER700" s="23"/>
      <c r="ES700" s="23"/>
      <c r="ET700" s="23"/>
      <c r="EU700" s="23"/>
      <c r="EV700" s="23"/>
      <c r="EW700" s="23"/>
      <c r="EX700" s="23"/>
      <c r="EY700" s="23"/>
      <c r="EZ700" s="23"/>
      <c r="FA700" s="23"/>
      <c r="FB700" s="23"/>
      <c r="FC700" s="23"/>
      <c r="FD700" s="23"/>
      <c r="FE700" s="23"/>
      <c r="FF700" s="23"/>
      <c r="FG700" s="23"/>
      <c r="FH700" s="23"/>
      <c r="FI700" s="23"/>
      <c r="FJ700" s="23"/>
      <c r="FK700" s="23"/>
      <c r="FL700" s="23"/>
      <c r="FM700" s="23"/>
      <c r="FN700" s="23"/>
      <c r="FO700" s="23"/>
      <c r="FP700" s="23"/>
      <c r="FQ700" s="23"/>
      <c r="FR700" s="23"/>
      <c r="FS700" s="23"/>
      <c r="FT700" s="23"/>
      <c r="FU700" s="23"/>
      <c r="FV700" s="23"/>
      <c r="FW700" s="23"/>
      <c r="FX700" s="23"/>
      <c r="FY700" s="23"/>
      <c r="FZ700" s="23"/>
      <c r="GA700" s="23"/>
      <c r="GB700" s="23"/>
      <c r="GC700" s="23"/>
      <c r="GD700" s="23"/>
      <c r="GE700" s="23"/>
      <c r="GF700" s="23"/>
      <c r="GG700" s="23"/>
      <c r="GH700" s="23"/>
      <c r="GI700" s="23"/>
      <c r="GJ700" s="23"/>
      <c r="GK700" s="23"/>
      <c r="GL700" s="23"/>
      <c r="GM700" s="23"/>
      <c r="GN700" s="23"/>
      <c r="GO700" s="23"/>
      <c r="GP700" s="23"/>
      <c r="GQ700" s="23"/>
      <c r="GR700" s="23"/>
      <c r="GS700" s="23"/>
      <c r="GT700" s="23"/>
      <c r="GU700" s="23"/>
      <c r="GV700" s="23"/>
      <c r="GW700" s="23"/>
      <c r="GX700" s="23"/>
      <c r="GY700" s="23"/>
      <c r="GZ700" s="23"/>
      <c r="HA700" s="23"/>
      <c r="HB700" s="23"/>
      <c r="HC700" s="23"/>
      <c r="HD700" s="23"/>
      <c r="HE700" s="23"/>
      <c r="HF700" s="23"/>
      <c r="HG700" s="23"/>
      <c r="HH700" s="23"/>
      <c r="HI700" s="23"/>
      <c r="HJ700" s="23"/>
      <c r="HK700" s="23"/>
      <c r="HL700" s="23"/>
      <c r="HM700" s="23"/>
      <c r="HN700" s="23"/>
      <c r="HO700" s="23"/>
      <c r="HP700" s="23"/>
      <c r="HQ700" s="23"/>
      <c r="HR700" s="23"/>
      <c r="HS700" s="23"/>
      <c r="HT700" s="23"/>
      <c r="HU700" s="23"/>
      <c r="HV700" s="23"/>
      <c r="HW700" s="23"/>
      <c r="HX700" s="23"/>
      <c r="HY700" s="23"/>
      <c r="HZ700" s="23"/>
      <c r="IA700" s="23"/>
      <c r="IB700" s="23"/>
      <c r="IC700" s="23"/>
      <c r="ID700" s="23"/>
      <c r="IE700" s="23"/>
      <c r="IF700" s="23"/>
      <c r="IG700" s="23"/>
      <c r="IH700" s="23"/>
      <c r="II700" s="23"/>
      <c r="IJ700" s="23"/>
      <c r="IK700" s="23"/>
      <c r="IL700" s="23"/>
      <c r="IM700" s="23"/>
      <c r="IN700" s="23"/>
      <c r="IO700" s="23"/>
      <c r="IP700" s="23"/>
      <c r="IQ700" s="23"/>
      <c r="IR700" s="23"/>
      <c r="IS700" s="23"/>
      <c r="IT700" s="23"/>
      <c r="IU700" s="23"/>
      <c r="IV700" s="23"/>
      <c r="IW700" s="23"/>
      <c r="IX700" s="23"/>
      <c r="IY700" s="23"/>
      <c r="IZ700" s="23"/>
      <c r="JA700" s="23"/>
      <c r="JB700" s="23"/>
      <c r="JC700" s="23"/>
      <c r="JD700" s="23"/>
      <c r="JE700" s="23"/>
      <c r="JF700" s="23"/>
      <c r="JG700" s="23"/>
      <c r="JH700" s="23"/>
      <c r="JI700" s="23"/>
      <c r="JJ700" s="23"/>
      <c r="JK700" s="23"/>
      <c r="JL700" s="23"/>
      <c r="JM700" s="23"/>
      <c r="JN700" s="23"/>
      <c r="JO700" s="23"/>
      <c r="JP700" s="23"/>
      <c r="JQ700" s="23"/>
      <c r="JR700" s="23"/>
      <c r="JS700" s="23"/>
      <c r="JT700" s="23"/>
      <c r="JU700" s="23"/>
      <c r="JV700" s="23"/>
      <c r="JW700" s="23"/>
      <c r="JX700" s="23"/>
      <c r="JY700" s="23"/>
      <c r="JZ700" s="23"/>
      <c r="KA700" s="23"/>
      <c r="KB700" s="23"/>
      <c r="KC700" s="23"/>
      <c r="KD700" s="23"/>
      <c r="KE700" s="23"/>
      <c r="KF700" s="23"/>
      <c r="KG700" s="23"/>
      <c r="KH700" s="23"/>
      <c r="KI700" s="23"/>
      <c r="KJ700" s="23"/>
      <c r="KK700" s="23"/>
      <c r="KL700" s="23"/>
      <c r="KM700" s="23"/>
      <c r="KN700" s="23"/>
      <c r="KO700" s="23"/>
      <c r="KP700" s="23"/>
      <c r="KQ700" s="23"/>
      <c r="KR700" s="23"/>
      <c r="KS700" s="23"/>
      <c r="KT700" s="23"/>
      <c r="KU700" s="23"/>
      <c r="KV700" s="23"/>
      <c r="KW700" s="23"/>
      <c r="KX700" s="23"/>
      <c r="KY700" s="23"/>
      <c r="KZ700" s="23"/>
      <c r="LA700" s="23"/>
      <c r="LB700" s="23"/>
      <c r="LC700" s="23"/>
      <c r="LD700" s="23"/>
      <c r="LE700" s="23"/>
      <c r="LF700" s="23"/>
      <c r="LG700" s="23"/>
      <c r="LH700" s="23"/>
      <c r="LI700" s="23"/>
      <c r="LJ700" s="23"/>
      <c r="LK700" s="23"/>
      <c r="LL700" s="23"/>
      <c r="LM700" s="23"/>
      <c r="LN700" s="23"/>
      <c r="LO700" s="23"/>
      <c r="LP700" s="23"/>
      <c r="LQ700" s="23"/>
      <c r="LR700" s="23"/>
      <c r="LS700" s="23"/>
      <c r="LT700" s="23"/>
      <c r="LU700" s="23"/>
      <c r="LV700" s="23"/>
      <c r="LW700" s="23"/>
      <c r="LX700" s="23"/>
      <c r="LY700" s="23"/>
      <c r="LZ700" s="23"/>
      <c r="MA700" s="23"/>
      <c r="MB700" s="23"/>
      <c r="MC700" s="23"/>
      <c r="MD700" s="23"/>
      <c r="ME700" s="23"/>
      <c r="MF700" s="23"/>
      <c r="MG700" s="23"/>
      <c r="MH700" s="23"/>
      <c r="MI700" s="23"/>
      <c r="MJ700" s="23"/>
      <c r="MK700" s="23"/>
      <c r="ML700" s="23"/>
      <c r="MM700" s="23"/>
      <c r="MN700" s="23"/>
      <c r="MO700" s="23"/>
      <c r="MP700" s="23"/>
      <c r="MQ700" s="23"/>
      <c r="MR700" s="23"/>
      <c r="MS700" s="23"/>
      <c r="MT700" s="23"/>
      <c r="MU700" s="23"/>
      <c r="MV700" s="23"/>
      <c r="MW700" s="23"/>
      <c r="MX700" s="23"/>
      <c r="MY700" s="23"/>
      <c r="MZ700" s="23"/>
      <c r="NA700" s="23"/>
      <c r="NB700" s="23"/>
      <c r="NC700" s="23"/>
      <c r="ND700" s="23"/>
      <c r="NE700" s="23"/>
      <c r="NF700" s="23"/>
      <c r="NG700" s="23"/>
      <c r="NH700" s="23"/>
      <c r="NI700" s="23"/>
      <c r="NJ700" s="23"/>
      <c r="NK700" s="23"/>
      <c r="NL700" s="23"/>
      <c r="NM700" s="23"/>
      <c r="NN700" s="23"/>
      <c r="NO700" s="23"/>
      <c r="NP700" s="23"/>
      <c r="NQ700" s="23"/>
      <c r="NR700" s="23"/>
      <c r="NS700" s="23"/>
      <c r="NT700" s="23"/>
      <c r="NU700" s="23"/>
      <c r="NV700" s="23"/>
      <c r="NW700" s="23"/>
      <c r="NX700" s="23"/>
      <c r="NY700" s="23"/>
      <c r="NZ700" s="23"/>
      <c r="OA700" s="23"/>
      <c r="OB700" s="23"/>
      <c r="OC700" s="23"/>
      <c r="OD700" s="23"/>
      <c r="OE700" s="23"/>
      <c r="OF700" s="23"/>
      <c r="OG700" s="23"/>
      <c r="OH700" s="23"/>
      <c r="OI700" s="23"/>
      <c r="OJ700" s="23"/>
      <c r="OK700" s="23"/>
      <c r="OL700" s="23"/>
      <c r="OM700" s="23"/>
      <c r="ON700" s="23"/>
      <c r="OO700" s="23"/>
      <c r="OP700" s="23"/>
      <c r="OQ700" s="23"/>
      <c r="OR700" s="23"/>
      <c r="OS700" s="23"/>
      <c r="OT700" s="23"/>
      <c r="OU700" s="23"/>
      <c r="OV700" s="23"/>
      <c r="OW700" s="23"/>
      <c r="OX700" s="23"/>
      <c r="OY700" s="23"/>
      <c r="OZ700" s="23"/>
      <c r="PA700" s="23"/>
      <c r="PB700" s="23"/>
      <c r="PC700" s="23"/>
      <c r="PD700" s="23"/>
      <c r="PE700" s="23"/>
      <c r="PF700" s="23"/>
      <c r="PG700" s="23"/>
      <c r="PH700" s="23"/>
      <c r="PI700" s="23"/>
      <c r="PJ700" s="23"/>
      <c r="PK700" s="23"/>
      <c r="PL700" s="23"/>
      <c r="PM700" s="23"/>
      <c r="PN700" s="23"/>
      <c r="PO700" s="23"/>
      <c r="PP700" s="23"/>
      <c r="PQ700" s="23"/>
      <c r="PR700" s="23"/>
      <c r="PS700" s="23"/>
      <c r="PT700" s="23"/>
      <c r="PU700" s="23"/>
      <c r="PV700" s="23"/>
      <c r="PW700" s="23"/>
      <c r="PX700" s="23"/>
      <c r="PY700" s="23"/>
      <c r="PZ700" s="23"/>
      <c r="QA700" s="23"/>
      <c r="QB700" s="23"/>
      <c r="QC700" s="23"/>
      <c r="QD700" s="23"/>
      <c r="QE700" s="23"/>
      <c r="QF700" s="23"/>
      <c r="QG700" s="23"/>
      <c r="QH700" s="23"/>
      <c r="QI700" s="23"/>
      <c r="QJ700" s="23"/>
      <c r="QK700" s="23"/>
      <c r="QL700" s="23"/>
      <c r="QM700" s="23"/>
      <c r="QN700" s="23"/>
      <c r="QO700" s="23"/>
      <c r="QP700" s="23"/>
      <c r="QQ700" s="23"/>
      <c r="QR700" s="23"/>
      <c r="QS700" s="23"/>
      <c r="QT700" s="23"/>
      <c r="QU700" s="23"/>
      <c r="QV700" s="23"/>
      <c r="QW700" s="23"/>
      <c r="QX700" s="23"/>
      <c r="QY700" s="23"/>
      <c r="QZ700" s="23"/>
      <c r="RA700" s="23"/>
      <c r="RB700" s="23"/>
      <c r="RC700" s="23"/>
      <c r="RD700" s="23"/>
      <c r="RE700" s="23"/>
      <c r="RF700" s="23"/>
      <c r="RG700" s="23"/>
      <c r="RH700" s="23"/>
      <c r="RI700" s="23"/>
      <c r="RJ700" s="23"/>
      <c r="RK700" s="23"/>
      <c r="RL700" s="23"/>
      <c r="RM700" s="23"/>
      <c r="RN700" s="23"/>
      <c r="RO700" s="23"/>
      <c r="RP700" s="23"/>
      <c r="RQ700" s="23"/>
      <c r="RR700" s="23"/>
      <c r="RS700" s="23"/>
      <c r="RT700" s="23"/>
      <c r="RU700" s="23"/>
      <c r="RV700" s="23"/>
      <c r="RW700" s="23"/>
      <c r="RX700" s="23"/>
      <c r="RY700" s="23"/>
      <c r="RZ700" s="23"/>
      <c r="SA700" s="23"/>
      <c r="SB700" s="23"/>
      <c r="SC700" s="23"/>
      <c r="SD700" s="23"/>
      <c r="SE700" s="23"/>
      <c r="SF700" s="23"/>
      <c r="SG700" s="23"/>
      <c r="SH700" s="23"/>
      <c r="SI700" s="23"/>
      <c r="SJ700" s="23"/>
      <c r="SK700" s="23"/>
      <c r="SL700" s="23"/>
      <c r="SM700" s="23"/>
      <c r="SN700" s="23"/>
      <c r="SO700" s="23"/>
      <c r="SP700" s="23"/>
      <c r="SQ700" s="23"/>
      <c r="SR700" s="23"/>
      <c r="SS700" s="23"/>
      <c r="ST700" s="23"/>
      <c r="SU700" s="23"/>
      <c r="SV700" s="23"/>
      <c r="SW700" s="23"/>
      <c r="SX700" s="23"/>
      <c r="SY700" s="23"/>
      <c r="SZ700" s="23"/>
      <c r="TA700" s="23"/>
      <c r="TB700" s="23"/>
      <c r="TC700" s="23"/>
      <c r="TD700" s="23"/>
      <c r="TE700" s="23"/>
      <c r="TF700" s="23"/>
      <c r="TG700" s="23"/>
      <c r="TH700" s="23"/>
      <c r="TI700" s="23"/>
      <c r="TJ700" s="23"/>
      <c r="TK700" s="23"/>
      <c r="TL700" s="23"/>
      <c r="TM700" s="23"/>
      <c r="TN700" s="23"/>
      <c r="TO700" s="23"/>
      <c r="TP700" s="23"/>
      <c r="TQ700" s="23"/>
      <c r="TR700" s="23"/>
      <c r="TS700" s="23"/>
      <c r="TT700" s="23"/>
      <c r="TU700" s="23"/>
      <c r="TV700" s="23"/>
      <c r="TW700" s="23"/>
      <c r="TX700" s="23"/>
      <c r="TY700" s="23"/>
      <c r="TZ700" s="23"/>
      <c r="UA700" s="23"/>
      <c r="UB700" s="23"/>
      <c r="UC700" s="23"/>
      <c r="UD700" s="23"/>
      <c r="UE700" s="23"/>
      <c r="UF700" s="23"/>
      <c r="UG700" s="23"/>
      <c r="UH700" s="23"/>
      <c r="UI700" s="23"/>
      <c r="UJ700" s="23"/>
      <c r="UK700" s="23"/>
      <c r="UL700" s="23"/>
      <c r="UM700" s="23"/>
      <c r="UN700" s="23"/>
      <c r="UO700" s="23"/>
      <c r="UP700" s="23"/>
      <c r="UQ700" s="23"/>
      <c r="UR700" s="23"/>
      <c r="US700" s="23"/>
      <c r="UT700" s="23"/>
      <c r="UU700" s="23"/>
      <c r="UV700" s="23"/>
      <c r="UW700" s="23"/>
      <c r="UX700" s="23"/>
      <c r="UY700" s="23"/>
      <c r="UZ700" s="23"/>
      <c r="VA700" s="23"/>
      <c r="VB700" s="23"/>
      <c r="VC700" s="23"/>
      <c r="VD700" s="23"/>
      <c r="VE700" s="23"/>
      <c r="VF700" s="23"/>
      <c r="VG700" s="23"/>
      <c r="VH700" s="23"/>
      <c r="VI700" s="23"/>
      <c r="VJ700" s="23"/>
      <c r="VK700" s="23"/>
      <c r="VL700" s="23"/>
      <c r="VM700" s="23"/>
      <c r="VN700" s="23"/>
      <c r="VO700" s="23"/>
      <c r="VP700" s="23"/>
      <c r="VQ700" s="23"/>
      <c r="VR700" s="23"/>
      <c r="VS700" s="23"/>
      <c r="VT700" s="23"/>
      <c r="VU700" s="23"/>
      <c r="VV700" s="23"/>
      <c r="VW700" s="23"/>
      <c r="VX700" s="23"/>
      <c r="VY700" s="23"/>
      <c r="VZ700" s="23"/>
      <c r="WA700" s="23"/>
      <c r="WB700" s="23"/>
      <c r="WC700" s="23"/>
      <c r="WD700" s="23"/>
      <c r="WE700" s="23"/>
      <c r="WF700" s="23"/>
      <c r="WG700" s="23"/>
      <c r="WH700" s="23"/>
      <c r="WI700" s="23"/>
      <c r="WJ700" s="23"/>
      <c r="WK700" s="23"/>
      <c r="WL700" s="23"/>
      <c r="WM700" s="23"/>
      <c r="WN700" s="23"/>
      <c r="WO700" s="23"/>
      <c r="WP700" s="23"/>
      <c r="WQ700" s="23"/>
      <c r="WR700" s="23"/>
      <c r="WS700" s="23"/>
      <c r="WT700" s="23"/>
      <c r="WU700" s="23"/>
      <c r="WV700" s="23"/>
      <c r="WW700" s="23"/>
      <c r="WX700" s="23"/>
      <c r="WY700" s="23"/>
      <c r="WZ700" s="23"/>
      <c r="XA700" s="23"/>
      <c r="XB700" s="23"/>
      <c r="XC700" s="23"/>
      <c r="XD700" s="23"/>
      <c r="XE700" s="23"/>
      <c r="XF700" s="23"/>
      <c r="XG700" s="23"/>
      <c r="XH700" s="23"/>
      <c r="XI700" s="23"/>
      <c r="XJ700" s="23"/>
      <c r="XK700" s="23"/>
      <c r="XL700" s="23"/>
      <c r="XM700" s="23"/>
      <c r="XN700" s="23"/>
      <c r="XO700" s="23"/>
      <c r="XP700" s="23"/>
      <c r="XQ700" s="23"/>
      <c r="XR700" s="23"/>
      <c r="XS700" s="23"/>
      <c r="XT700" s="23"/>
      <c r="XU700" s="23"/>
      <c r="XV700" s="23"/>
      <c r="XW700" s="23"/>
      <c r="XX700" s="23"/>
      <c r="XY700" s="23"/>
      <c r="XZ700" s="23"/>
      <c r="YA700" s="23"/>
      <c r="YB700" s="23"/>
      <c r="YC700" s="23"/>
      <c r="YD700" s="23"/>
      <c r="YE700" s="23"/>
      <c r="YF700" s="23"/>
      <c r="YG700" s="23"/>
      <c r="YH700" s="23"/>
      <c r="YI700" s="23"/>
      <c r="YJ700" s="23"/>
      <c r="YK700" s="23"/>
      <c r="YL700" s="23"/>
      <c r="YM700" s="23"/>
      <c r="YN700" s="23"/>
      <c r="YO700" s="23"/>
      <c r="YP700" s="23"/>
      <c r="YQ700" s="23"/>
      <c r="YR700" s="23"/>
      <c r="YS700" s="23"/>
      <c r="YT700" s="23"/>
      <c r="YU700" s="23"/>
      <c r="YV700" s="23"/>
      <c r="YW700" s="23"/>
      <c r="YX700" s="23"/>
      <c r="YY700" s="23"/>
      <c r="YZ700" s="23"/>
      <c r="ZA700" s="23"/>
      <c r="ZB700" s="23"/>
      <c r="ZC700" s="23"/>
      <c r="ZD700" s="23"/>
      <c r="ZE700" s="23"/>
      <c r="ZF700" s="23"/>
      <c r="ZG700" s="23"/>
      <c r="ZH700" s="23"/>
      <c r="ZI700" s="23"/>
      <c r="ZJ700" s="23"/>
      <c r="ZK700" s="23"/>
      <c r="ZL700" s="23"/>
      <c r="ZM700" s="23"/>
      <c r="ZN700" s="23"/>
      <c r="ZO700" s="23"/>
      <c r="ZP700" s="23"/>
      <c r="ZQ700" s="23"/>
      <c r="ZR700" s="23"/>
      <c r="ZS700" s="23"/>
      <c r="ZT700" s="23"/>
      <c r="ZU700" s="23"/>
      <c r="ZV700" s="23"/>
      <c r="ZW700" s="23"/>
      <c r="ZX700" s="23"/>
      <c r="ZY700" s="23"/>
      <c r="ZZ700" s="23"/>
      <c r="AAA700" s="23"/>
      <c r="AAB700" s="23"/>
      <c r="AAC700" s="23"/>
      <c r="AAD700" s="23"/>
      <c r="AAE700" s="23"/>
      <c r="AAF700" s="23"/>
      <c r="AAG700" s="23"/>
      <c r="AAH700" s="23"/>
      <c r="AAI700" s="23"/>
      <c r="AAJ700" s="23"/>
      <c r="AAK700" s="23"/>
      <c r="AAL700" s="23"/>
      <c r="AAM700" s="23"/>
      <c r="AAN700" s="23"/>
      <c r="AAO700" s="23"/>
      <c r="AAP700" s="23"/>
      <c r="AAQ700" s="23"/>
      <c r="AAR700" s="23"/>
      <c r="AAS700" s="23"/>
      <c r="AAT700" s="23"/>
      <c r="AAU700" s="23"/>
      <c r="AAV700" s="23"/>
      <c r="AAW700" s="23"/>
      <c r="AAX700" s="23"/>
      <c r="AAY700" s="23"/>
      <c r="AAZ700" s="23"/>
      <c r="ABA700" s="23"/>
      <c r="ABB700" s="23"/>
      <c r="ABC700" s="23"/>
      <c r="ABD700" s="23"/>
      <c r="ABE700" s="23"/>
      <c r="ABF700" s="23"/>
      <c r="ABG700" s="23"/>
      <c r="ABH700" s="23"/>
      <c r="ABI700" s="23"/>
      <c r="ABJ700" s="23"/>
      <c r="ABK700" s="23"/>
      <c r="ABL700" s="23"/>
      <c r="ABM700" s="23"/>
      <c r="ABN700" s="23"/>
      <c r="ABO700" s="23"/>
      <c r="ABP700" s="23"/>
      <c r="ABQ700" s="23"/>
      <c r="ABR700" s="23"/>
      <c r="ABS700" s="23"/>
      <c r="ABT700" s="23"/>
      <c r="ABU700" s="23"/>
      <c r="ABV700" s="23"/>
      <c r="ABW700" s="23"/>
      <c r="ABX700" s="23"/>
      <c r="ABY700" s="23"/>
      <c r="ABZ700" s="23"/>
      <c r="ACA700" s="23"/>
      <c r="ACB700" s="23"/>
      <c r="ACC700" s="23"/>
      <c r="ACD700" s="23"/>
      <c r="ACE700" s="23"/>
      <c r="ACF700" s="23"/>
      <c r="ACG700" s="23"/>
      <c r="ACH700" s="23"/>
      <c r="ACI700" s="23"/>
      <c r="ACJ700" s="23"/>
      <c r="ACK700" s="23"/>
      <c r="ACL700" s="23"/>
      <c r="ACM700" s="23"/>
      <c r="ACN700" s="23"/>
      <c r="ACO700" s="23"/>
      <c r="ACP700" s="23"/>
      <c r="ACQ700" s="23"/>
      <c r="ACR700" s="23"/>
      <c r="ACS700" s="23"/>
      <c r="ACT700" s="23"/>
      <c r="ACU700" s="23"/>
      <c r="ACV700" s="23"/>
      <c r="ACW700" s="23"/>
      <c r="ACX700" s="23"/>
      <c r="ACY700" s="23"/>
      <c r="ACZ700" s="23"/>
      <c r="ADA700" s="23"/>
      <c r="ADB700" s="23"/>
      <c r="ADC700" s="23"/>
      <c r="ADD700" s="23"/>
      <c r="ADE700" s="23"/>
      <c r="ADF700" s="23"/>
      <c r="ADG700" s="23"/>
      <c r="ADH700" s="23"/>
      <c r="ADI700" s="23"/>
      <c r="ADJ700" s="23"/>
      <c r="ADK700" s="23"/>
      <c r="ADL700" s="23"/>
      <c r="ADM700" s="23"/>
      <c r="ADN700" s="23"/>
      <c r="ADO700" s="23"/>
      <c r="ADP700" s="23"/>
      <c r="ADQ700" s="23"/>
      <c r="ADR700" s="23"/>
      <c r="ADS700" s="23"/>
      <c r="ADT700" s="23"/>
      <c r="ADU700" s="23"/>
      <c r="ADV700" s="23"/>
      <c r="ADW700" s="23"/>
      <c r="ADX700" s="23"/>
      <c r="ADY700" s="23"/>
      <c r="ADZ700" s="23"/>
      <c r="AEA700" s="23"/>
      <c r="AEB700" s="23"/>
      <c r="AEC700" s="23"/>
      <c r="AED700" s="23"/>
      <c r="AEE700" s="23"/>
      <c r="AEF700" s="23"/>
      <c r="AEG700" s="23"/>
      <c r="AEH700" s="23"/>
      <c r="AEI700" s="23"/>
      <c r="AEJ700" s="23"/>
      <c r="AEK700" s="23"/>
      <c r="AEL700" s="23"/>
      <c r="AEM700" s="23"/>
      <c r="AEN700" s="23"/>
      <c r="AEO700" s="23"/>
      <c r="AEP700" s="23"/>
      <c r="AEQ700" s="23"/>
      <c r="AER700" s="23"/>
      <c r="AES700" s="23"/>
      <c r="AET700" s="23"/>
      <c r="AEU700" s="23"/>
      <c r="AEV700" s="23"/>
      <c r="AEW700" s="23"/>
      <c r="AEX700" s="23"/>
      <c r="AEY700" s="23"/>
      <c r="AEZ700" s="23"/>
      <c r="AFA700" s="23"/>
      <c r="AFB700" s="23"/>
      <c r="AFC700" s="23"/>
      <c r="AFD700" s="23"/>
      <c r="AFE700" s="23"/>
      <c r="AFF700" s="23"/>
      <c r="AFG700" s="23"/>
      <c r="AFH700" s="23"/>
      <c r="AFI700" s="23"/>
      <c r="AFJ700" s="23"/>
      <c r="AFK700" s="23"/>
      <c r="AFL700" s="23"/>
      <c r="AFM700" s="23"/>
      <c r="AFN700" s="23"/>
      <c r="AFO700" s="23"/>
      <c r="AFP700" s="23"/>
      <c r="AFQ700" s="23"/>
      <c r="AFR700" s="23"/>
      <c r="AFS700" s="23"/>
      <c r="AFT700" s="23"/>
      <c r="AFU700" s="23"/>
      <c r="AFV700" s="23"/>
      <c r="AFW700" s="23"/>
      <c r="AFX700" s="23"/>
      <c r="AFY700" s="23"/>
      <c r="AFZ700" s="23"/>
      <c r="AGA700" s="23"/>
      <c r="AGB700" s="23"/>
      <c r="AGC700" s="23"/>
      <c r="AGD700" s="23"/>
      <c r="AGE700" s="23"/>
      <c r="AGF700" s="23"/>
      <c r="AGG700" s="23"/>
      <c r="AGH700" s="23"/>
      <c r="AGI700" s="23"/>
      <c r="AGJ700" s="23"/>
      <c r="AGK700" s="23"/>
      <c r="AGL700" s="23"/>
      <c r="AGM700" s="23"/>
      <c r="AGN700" s="23"/>
      <c r="AGO700" s="23"/>
      <c r="AGP700" s="23"/>
      <c r="AGQ700" s="23"/>
      <c r="AGR700" s="23"/>
      <c r="AGS700" s="23"/>
      <c r="AGT700" s="23"/>
      <c r="AGU700" s="23"/>
      <c r="AGV700" s="23"/>
      <c r="AGW700" s="23"/>
      <c r="AGX700" s="23"/>
      <c r="AGY700" s="23"/>
      <c r="AGZ700" s="23"/>
      <c r="AHA700" s="23"/>
      <c r="AHB700" s="23"/>
      <c r="AHC700" s="23"/>
      <c r="AHD700" s="23"/>
      <c r="AHE700" s="23"/>
      <c r="AHF700" s="23"/>
      <c r="AHG700" s="23"/>
      <c r="AHH700" s="23"/>
      <c r="AHI700" s="23"/>
      <c r="AHJ700" s="23"/>
      <c r="AHK700" s="23"/>
      <c r="AHL700" s="23"/>
      <c r="AHM700" s="23"/>
      <c r="AHN700" s="23"/>
      <c r="AHO700" s="23"/>
      <c r="AHP700" s="23"/>
      <c r="AHQ700" s="23"/>
      <c r="AHR700" s="23"/>
      <c r="AHS700" s="23"/>
      <c r="AHT700" s="23"/>
      <c r="AHU700" s="23"/>
      <c r="AHV700" s="23"/>
      <c r="AHW700" s="23"/>
      <c r="AHX700" s="23"/>
      <c r="AHY700" s="23"/>
      <c r="AHZ700" s="23"/>
      <c r="AIA700" s="23"/>
      <c r="AIB700" s="23"/>
      <c r="AIC700" s="23"/>
      <c r="AID700" s="23"/>
      <c r="AIE700" s="23"/>
      <c r="AIF700" s="23"/>
      <c r="AIG700" s="23"/>
      <c r="AIH700" s="23"/>
      <c r="AII700" s="23"/>
      <c r="AIJ700" s="23"/>
      <c r="AIK700" s="23"/>
      <c r="AIL700" s="23"/>
      <c r="AIM700" s="23"/>
      <c r="AIN700" s="23"/>
      <c r="AIO700" s="23"/>
      <c r="AIP700" s="23"/>
      <c r="AIQ700" s="23"/>
      <c r="AIR700" s="23"/>
      <c r="AIS700" s="23"/>
      <c r="AIT700" s="23"/>
      <c r="AIU700" s="23"/>
      <c r="AIV700" s="23"/>
      <c r="AIW700" s="23"/>
      <c r="AIX700" s="23"/>
      <c r="AIY700" s="23"/>
      <c r="AIZ700" s="23"/>
      <c r="AJA700" s="23"/>
      <c r="AJB700" s="23"/>
      <c r="AJC700" s="23"/>
      <c r="AJD700" s="23"/>
      <c r="AJE700" s="23"/>
      <c r="AJF700" s="23"/>
      <c r="AJG700" s="23"/>
      <c r="AJH700" s="23"/>
      <c r="AJI700" s="23"/>
      <c r="AJJ700" s="23"/>
      <c r="AJK700" s="23"/>
      <c r="AJL700" s="23"/>
      <c r="AJM700" s="23"/>
      <c r="AJN700" s="23"/>
      <c r="AJO700" s="23"/>
      <c r="AJP700" s="23"/>
      <c r="AJQ700" s="23"/>
      <c r="AJR700" s="23"/>
      <c r="AJS700" s="23"/>
      <c r="AJT700" s="23"/>
      <c r="AJU700" s="23"/>
      <c r="AJV700" s="23"/>
      <c r="AJW700" s="23"/>
      <c r="AJX700" s="23"/>
      <c r="AJY700" s="23"/>
      <c r="AJZ700" s="23"/>
      <c r="AKA700" s="23"/>
      <c r="AKB700" s="23"/>
      <c r="AKC700" s="23"/>
      <c r="AKD700" s="23"/>
      <c r="AKE700" s="23"/>
      <c r="AKF700" s="23"/>
      <c r="AKG700" s="23"/>
      <c r="AKH700" s="23"/>
      <c r="AKI700" s="23"/>
      <c r="AKJ700" s="23"/>
      <c r="AKK700" s="23"/>
      <c r="AKL700" s="23"/>
      <c r="AKM700" s="23"/>
      <c r="AKN700" s="23"/>
      <c r="AKO700" s="23"/>
      <c r="AKP700" s="23"/>
      <c r="AKQ700" s="23"/>
      <c r="AKR700" s="23"/>
      <c r="AKS700" s="23"/>
      <c r="AKT700" s="23"/>
      <c r="AKU700" s="23"/>
      <c r="AKV700" s="23"/>
      <c r="AKW700" s="23"/>
      <c r="AKX700" s="23"/>
      <c r="AKY700" s="23"/>
      <c r="AKZ700" s="23"/>
      <c r="ALA700" s="23"/>
      <c r="ALB700" s="23"/>
      <c r="ALC700" s="23"/>
      <c r="ALD700" s="23"/>
      <c r="ALE700" s="23"/>
      <c r="ALF700" s="23"/>
      <c r="ALG700" s="23"/>
      <c r="ALH700" s="23"/>
      <c r="ALI700" s="23"/>
      <c r="ALJ700" s="23"/>
      <c r="ALK700" s="23"/>
      <c r="ALL700" s="23"/>
      <c r="ALM700" s="23"/>
      <c r="ALN700" s="23"/>
      <c r="ALO700" s="23"/>
      <c r="ALP700" s="23"/>
      <c r="ALQ700" s="23"/>
      <c r="ALR700" s="23"/>
      <c r="ALS700" s="23"/>
      <c r="ALT700" s="23"/>
      <c r="ALU700" s="23"/>
      <c r="ALV700" s="23"/>
      <c r="ALW700" s="23"/>
      <c r="ALX700" s="23"/>
      <c r="ALY700" s="23"/>
      <c r="ALZ700" s="23"/>
      <c r="AMA700" s="23"/>
      <c r="AMB700" s="23"/>
      <c r="AMC700" s="23"/>
      <c r="AMD700" s="23"/>
      <c r="AME700" s="23"/>
      <c r="AMF700" s="23"/>
      <c r="AMG700" s="23"/>
      <c r="AMH700" s="23"/>
      <c r="AMI700" s="23"/>
      <c r="AMJ700" s="23"/>
      <c r="AMK700" s="23"/>
      <c r="AML700" s="23"/>
      <c r="AMM700" s="23"/>
      <c r="AMN700" s="23"/>
      <c r="AMO700" s="23"/>
      <c r="AMP700" s="23"/>
      <c r="AMQ700" s="23"/>
      <c r="AMR700" s="23"/>
      <c r="AMS700" s="23"/>
      <c r="AMT700" s="23"/>
      <c r="AMU700" s="23"/>
      <c r="AMV700" s="23"/>
      <c r="AMW700" s="23"/>
      <c r="AMX700" s="23"/>
      <c r="AMY700" s="23"/>
      <c r="AMZ700" s="23"/>
      <c r="ANA700" s="23"/>
      <c r="ANB700" s="23"/>
      <c r="ANC700" s="23"/>
      <c r="AND700" s="23"/>
      <c r="ANE700" s="23"/>
      <c r="ANF700" s="23"/>
      <c r="ANG700" s="23"/>
      <c r="ANH700" s="23"/>
      <c r="ANI700" s="23"/>
      <c r="ANJ700" s="23"/>
      <c r="ANK700" s="23"/>
      <c r="ANL700" s="23"/>
      <c r="ANM700" s="23"/>
      <c r="ANN700" s="23"/>
      <c r="ANO700" s="23"/>
      <c r="ANP700" s="23"/>
      <c r="ANQ700" s="23"/>
      <c r="ANR700" s="23"/>
      <c r="ANS700" s="23"/>
      <c r="ANT700" s="23"/>
      <c r="ANU700" s="23"/>
      <c r="ANV700" s="23"/>
      <c r="ANW700" s="23"/>
      <c r="ANX700" s="23"/>
      <c r="ANY700" s="23"/>
      <c r="ANZ700" s="23"/>
      <c r="AOA700" s="23"/>
      <c r="AOB700" s="23"/>
      <c r="AOC700" s="23"/>
      <c r="AOD700" s="23"/>
      <c r="AOE700" s="23"/>
      <c r="AOF700" s="23"/>
      <c r="AOG700" s="23"/>
      <c r="AOH700" s="23"/>
      <c r="AOI700" s="23"/>
      <c r="AOJ700" s="23"/>
      <c r="AOK700" s="23"/>
      <c r="AOL700" s="23"/>
      <c r="AOM700" s="23"/>
      <c r="AON700" s="23"/>
      <c r="AOO700" s="23"/>
      <c r="AOP700" s="23"/>
      <c r="AOQ700" s="23"/>
      <c r="AOR700" s="23"/>
      <c r="AOS700" s="23"/>
      <c r="AOT700" s="23"/>
      <c r="AOU700" s="23"/>
      <c r="AOV700" s="23"/>
      <c r="AOW700" s="23"/>
      <c r="AOX700" s="23"/>
      <c r="AOY700" s="23"/>
      <c r="AOZ700" s="23"/>
      <c r="APA700" s="23"/>
      <c r="APB700" s="23"/>
      <c r="APC700" s="23"/>
      <c r="APD700" s="23"/>
      <c r="APE700" s="23"/>
      <c r="APF700" s="23"/>
      <c r="APG700" s="23"/>
      <c r="APH700" s="23"/>
      <c r="API700" s="23"/>
      <c r="APJ700" s="23"/>
      <c r="APK700" s="23"/>
      <c r="APL700" s="23"/>
      <c r="APM700" s="23"/>
      <c r="APN700" s="23"/>
      <c r="APO700" s="23"/>
      <c r="APP700" s="23"/>
      <c r="APQ700" s="23"/>
      <c r="APR700" s="23"/>
      <c r="APS700" s="23"/>
      <c r="APT700" s="23"/>
      <c r="APU700" s="23"/>
      <c r="APV700" s="23"/>
      <c r="APW700" s="23"/>
      <c r="APX700" s="23"/>
      <c r="APY700" s="23"/>
      <c r="APZ700" s="23"/>
      <c r="AQA700" s="23"/>
      <c r="AQB700" s="23"/>
      <c r="AQC700" s="23"/>
      <c r="AQD700" s="23"/>
      <c r="AQE700" s="23"/>
      <c r="AQF700" s="23"/>
      <c r="AQG700" s="23"/>
      <c r="AQH700" s="23"/>
      <c r="AQI700" s="23"/>
      <c r="AQJ700" s="23"/>
      <c r="AQK700" s="23"/>
      <c r="AQL700" s="23"/>
      <c r="AQM700" s="23"/>
      <c r="AQN700" s="23"/>
      <c r="AQO700" s="23"/>
      <c r="AQP700" s="23"/>
      <c r="AQQ700" s="23"/>
      <c r="AQR700" s="23"/>
      <c r="AQS700" s="23"/>
      <c r="AQT700" s="23"/>
      <c r="AQU700" s="23"/>
      <c r="AQV700" s="23"/>
      <c r="AQW700" s="23"/>
      <c r="AQX700" s="23"/>
      <c r="AQY700" s="23"/>
      <c r="AQZ700" s="23"/>
      <c r="ARA700" s="23"/>
      <c r="ARB700" s="23"/>
      <c r="ARC700" s="23"/>
      <c r="ARD700" s="23"/>
      <c r="ARE700" s="23"/>
      <c r="ARF700" s="23"/>
      <c r="ARG700" s="23"/>
      <c r="ARH700" s="23"/>
      <c r="ARI700" s="23"/>
      <c r="ARJ700" s="23"/>
      <c r="ARK700" s="23"/>
      <c r="ARL700" s="23"/>
      <c r="ARM700" s="23"/>
      <c r="ARN700" s="23"/>
      <c r="ARO700" s="23"/>
      <c r="ARP700" s="23"/>
      <c r="ARQ700" s="23"/>
      <c r="ARR700" s="23"/>
      <c r="ARS700" s="23"/>
      <c r="ART700" s="23"/>
      <c r="ARU700" s="23"/>
      <c r="ARV700" s="23"/>
      <c r="ARW700" s="23"/>
      <c r="ARX700" s="23"/>
      <c r="ARY700" s="23"/>
      <c r="ARZ700" s="23"/>
      <c r="ASA700" s="23"/>
      <c r="ASB700" s="23"/>
      <c r="ASC700" s="23"/>
      <c r="ASD700" s="23"/>
      <c r="ASE700" s="23"/>
      <c r="ASF700" s="23"/>
      <c r="ASG700" s="23"/>
      <c r="ASH700" s="23"/>
      <c r="ASI700" s="23"/>
      <c r="ASJ700" s="23"/>
      <c r="ASK700" s="23"/>
      <c r="ASL700" s="23"/>
      <c r="ASM700" s="23"/>
      <c r="ASN700" s="23"/>
      <c r="ASO700" s="23"/>
      <c r="ASP700" s="23"/>
      <c r="ASQ700" s="23"/>
      <c r="ASR700" s="23"/>
      <c r="ASS700" s="23"/>
      <c r="AST700" s="23"/>
      <c r="ASU700" s="23"/>
      <c r="ASV700" s="23"/>
      <c r="ASW700" s="23"/>
      <c r="ASX700" s="23"/>
      <c r="ASY700" s="23"/>
      <c r="ASZ700" s="23"/>
      <c r="ATA700" s="23"/>
      <c r="ATB700" s="23"/>
      <c r="ATC700" s="23"/>
      <c r="ATD700" s="23"/>
      <c r="ATE700" s="23"/>
      <c r="ATF700" s="23"/>
      <c r="ATG700" s="23"/>
      <c r="ATH700" s="23"/>
      <c r="ATI700" s="23"/>
      <c r="ATJ700" s="23"/>
      <c r="ATK700" s="23"/>
      <c r="ATL700" s="23"/>
      <c r="ATM700" s="23"/>
      <c r="ATN700" s="23"/>
      <c r="ATO700" s="23"/>
      <c r="ATP700" s="23"/>
      <c r="ATQ700" s="23"/>
      <c r="ATR700" s="23"/>
      <c r="ATS700" s="23"/>
      <c r="ATT700" s="23"/>
      <c r="ATU700" s="23"/>
      <c r="ATV700" s="23"/>
      <c r="ATW700" s="23"/>
      <c r="ATX700" s="23"/>
      <c r="ATY700" s="23"/>
      <c r="ATZ700" s="23"/>
      <c r="AUA700" s="23"/>
      <c r="AUB700" s="23"/>
      <c r="AUC700" s="23"/>
      <c r="AUD700" s="23"/>
      <c r="AUE700" s="23"/>
      <c r="AUF700" s="23"/>
      <c r="AUG700" s="23"/>
      <c r="AUH700" s="23"/>
      <c r="AUI700" s="23"/>
      <c r="AUJ700" s="23"/>
      <c r="AUK700" s="23"/>
      <c r="AUL700" s="23"/>
      <c r="AUM700" s="23"/>
      <c r="AUN700" s="23"/>
      <c r="AUO700" s="23"/>
      <c r="AUP700" s="23"/>
      <c r="AUQ700" s="23"/>
      <c r="AUR700" s="23"/>
      <c r="AUS700" s="23"/>
      <c r="AUT700" s="23"/>
      <c r="AUU700" s="23"/>
      <c r="AUV700" s="23"/>
      <c r="AUW700" s="23"/>
      <c r="AUX700" s="23"/>
      <c r="AUY700" s="23"/>
      <c r="AUZ700" s="23"/>
      <c r="AVA700" s="23"/>
      <c r="AVB700" s="23"/>
      <c r="AVC700" s="23"/>
      <c r="AVD700" s="23"/>
      <c r="AVE700" s="23"/>
      <c r="AVF700" s="23"/>
      <c r="AVG700" s="23"/>
      <c r="AVH700" s="23"/>
      <c r="AVI700" s="23"/>
      <c r="AVJ700" s="23"/>
      <c r="AVK700" s="23"/>
      <c r="AVL700" s="23"/>
      <c r="AVM700" s="23"/>
      <c r="AVN700" s="23"/>
      <c r="AVO700" s="23"/>
      <c r="AVP700" s="23"/>
      <c r="AVQ700" s="23"/>
      <c r="AVR700" s="23"/>
      <c r="AVS700" s="23"/>
      <c r="AVT700" s="23"/>
      <c r="AVU700" s="23"/>
      <c r="AVV700" s="23"/>
      <c r="AVW700" s="23"/>
      <c r="AVX700" s="23"/>
      <c r="AVY700" s="23"/>
      <c r="AVZ700" s="23"/>
      <c r="AWA700" s="23"/>
      <c r="AWB700" s="23"/>
      <c r="AWC700" s="23"/>
      <c r="AWD700" s="23"/>
      <c r="AWE700" s="23"/>
      <c r="AWF700" s="23"/>
      <c r="AWG700" s="23"/>
      <c r="AWH700" s="23"/>
      <c r="AWI700" s="23"/>
      <c r="AWJ700" s="23"/>
      <c r="AWK700" s="23"/>
      <c r="AWL700" s="23"/>
      <c r="AWM700" s="23"/>
      <c r="AWN700" s="23"/>
      <c r="AWO700" s="23"/>
      <c r="AWP700" s="23"/>
      <c r="AWQ700" s="23"/>
      <c r="AWR700" s="23"/>
      <c r="AWS700" s="23"/>
      <c r="AWT700" s="23"/>
      <c r="AWU700" s="23"/>
      <c r="AWV700" s="23"/>
      <c r="AWW700" s="23"/>
      <c r="AWX700" s="23"/>
      <c r="AWY700" s="23"/>
      <c r="AWZ700" s="23"/>
      <c r="AXA700" s="23"/>
      <c r="AXB700" s="23"/>
      <c r="AXC700" s="23"/>
      <c r="AXD700" s="23"/>
      <c r="AXE700" s="23"/>
      <c r="AXF700" s="23"/>
      <c r="AXG700" s="23"/>
      <c r="AXH700" s="23"/>
      <c r="AXI700" s="23"/>
      <c r="AXJ700" s="23"/>
      <c r="AXK700" s="23"/>
      <c r="AXL700" s="23"/>
      <c r="AXM700" s="23"/>
      <c r="AXN700" s="23"/>
      <c r="AXO700" s="23"/>
      <c r="AXP700" s="23"/>
      <c r="AXQ700" s="23"/>
      <c r="AXR700" s="23"/>
      <c r="AXS700" s="23"/>
      <c r="AXT700" s="23"/>
      <c r="AXU700" s="23"/>
      <c r="AXV700" s="23"/>
      <c r="AXW700" s="23"/>
      <c r="AXX700" s="23"/>
      <c r="AXY700" s="23"/>
      <c r="AXZ700" s="23"/>
      <c r="AYA700" s="23"/>
      <c r="AYB700" s="23"/>
      <c r="AYC700" s="23"/>
      <c r="AYD700" s="23"/>
      <c r="AYE700" s="23"/>
      <c r="AYF700" s="23"/>
      <c r="AYG700" s="23"/>
      <c r="AYH700" s="23"/>
      <c r="AYI700" s="23"/>
      <c r="AYJ700" s="23"/>
      <c r="AYK700" s="23"/>
      <c r="AYL700" s="23"/>
      <c r="AYM700" s="23"/>
      <c r="AYN700" s="23"/>
      <c r="AYO700" s="23"/>
      <c r="AYP700" s="23"/>
      <c r="AYQ700" s="23"/>
      <c r="AYR700" s="23"/>
      <c r="AYS700" s="23"/>
      <c r="AYT700" s="23"/>
      <c r="AYU700" s="23"/>
      <c r="AYV700" s="23"/>
      <c r="AYW700" s="23"/>
      <c r="AYX700" s="23"/>
      <c r="AYY700" s="23"/>
      <c r="AYZ700" s="23"/>
      <c r="AZA700" s="23"/>
      <c r="AZB700" s="23"/>
      <c r="AZC700" s="23"/>
      <c r="AZD700" s="23"/>
      <c r="AZE700" s="23"/>
      <c r="AZF700" s="23"/>
      <c r="AZG700" s="23"/>
      <c r="AZH700" s="23"/>
      <c r="AZI700" s="23"/>
      <c r="AZJ700" s="23"/>
      <c r="AZK700" s="23"/>
      <c r="AZL700" s="23"/>
      <c r="AZM700" s="23"/>
      <c r="AZN700" s="23"/>
      <c r="AZO700" s="23"/>
      <c r="AZP700" s="23"/>
      <c r="AZQ700" s="23"/>
      <c r="AZR700" s="23"/>
      <c r="AZS700" s="23"/>
      <c r="AZT700" s="23"/>
      <c r="AZU700" s="23"/>
      <c r="AZV700" s="23"/>
      <c r="AZW700" s="23"/>
      <c r="AZX700" s="23"/>
      <c r="AZY700" s="23"/>
      <c r="AZZ700" s="23"/>
      <c r="BAA700" s="23"/>
      <c r="BAB700" s="23"/>
      <c r="BAC700" s="23"/>
      <c r="BAD700" s="23"/>
      <c r="BAE700" s="23"/>
      <c r="BAF700" s="23"/>
      <c r="BAG700" s="23"/>
      <c r="BAH700" s="23"/>
      <c r="BAI700" s="23"/>
      <c r="BAJ700" s="23"/>
      <c r="BAK700" s="23"/>
      <c r="BAL700" s="23"/>
      <c r="BAM700" s="23"/>
      <c r="BAN700" s="23"/>
      <c r="BAO700" s="23"/>
      <c r="BAP700" s="23"/>
      <c r="BAQ700" s="23"/>
      <c r="BAR700" s="23"/>
      <c r="BAS700" s="23"/>
      <c r="BAT700" s="23"/>
      <c r="BAU700" s="23"/>
      <c r="BAV700" s="23"/>
      <c r="BAW700" s="23"/>
      <c r="BAX700" s="23"/>
      <c r="BAY700" s="23"/>
      <c r="BAZ700" s="23"/>
      <c r="BBA700" s="23"/>
      <c r="BBB700" s="23"/>
      <c r="BBC700" s="23"/>
      <c r="BBD700" s="23"/>
      <c r="BBE700" s="23"/>
      <c r="BBF700" s="23"/>
      <c r="BBG700" s="23"/>
      <c r="BBH700" s="23"/>
      <c r="BBI700" s="23"/>
      <c r="BBJ700" s="23"/>
      <c r="BBK700" s="23"/>
      <c r="BBL700" s="23"/>
      <c r="BBM700" s="23"/>
      <c r="BBN700" s="23"/>
      <c r="BBO700" s="23"/>
      <c r="BBP700" s="23"/>
      <c r="BBQ700" s="23"/>
      <c r="BBR700" s="23"/>
      <c r="BBS700" s="23"/>
      <c r="BBT700" s="23"/>
      <c r="BBU700" s="23"/>
      <c r="BBV700" s="23"/>
      <c r="BBW700" s="23"/>
      <c r="BBX700" s="23"/>
      <c r="BBY700" s="23"/>
      <c r="BBZ700" s="23"/>
      <c r="BCA700" s="23"/>
      <c r="BCB700" s="23"/>
      <c r="BCC700" s="23"/>
      <c r="BCD700" s="23"/>
      <c r="BCE700" s="23"/>
      <c r="BCF700" s="23"/>
      <c r="BCG700" s="23"/>
      <c r="BCH700" s="23"/>
      <c r="BCI700" s="23"/>
      <c r="BCJ700" s="23"/>
      <c r="BCK700" s="23"/>
      <c r="BCL700" s="23"/>
      <c r="BCM700" s="23"/>
      <c r="BCN700" s="23"/>
      <c r="BCO700" s="23"/>
      <c r="BCP700" s="23"/>
      <c r="BCQ700" s="23"/>
      <c r="BCR700" s="23"/>
      <c r="BCS700" s="23"/>
      <c r="BCT700" s="23"/>
      <c r="BCU700" s="23"/>
      <c r="BCV700" s="23"/>
      <c r="BCW700" s="23"/>
      <c r="BCX700" s="23"/>
      <c r="BCY700" s="23"/>
      <c r="BCZ700" s="23"/>
      <c r="BDA700" s="23"/>
      <c r="BDB700" s="23"/>
      <c r="BDC700" s="23"/>
      <c r="BDD700" s="23"/>
      <c r="BDE700" s="23"/>
      <c r="BDF700" s="23"/>
      <c r="BDG700" s="23"/>
      <c r="BDH700" s="23"/>
      <c r="BDI700" s="23"/>
      <c r="BDJ700" s="23"/>
      <c r="BDK700" s="23"/>
      <c r="BDL700" s="23"/>
      <c r="BDM700" s="23"/>
      <c r="BDN700" s="23"/>
      <c r="BDO700" s="23"/>
      <c r="BDP700" s="23"/>
      <c r="BDQ700" s="23"/>
      <c r="BDR700" s="23"/>
      <c r="BDS700" s="23"/>
      <c r="BDT700" s="23"/>
      <c r="BDU700" s="23"/>
      <c r="BDV700" s="23"/>
      <c r="BDW700" s="23"/>
      <c r="BDX700" s="23"/>
      <c r="BDY700" s="23"/>
      <c r="BDZ700" s="23"/>
      <c r="BEA700" s="23"/>
      <c r="BEB700" s="23"/>
      <c r="BEC700" s="23"/>
      <c r="BED700" s="23"/>
      <c r="BEE700" s="23"/>
      <c r="BEF700" s="23"/>
      <c r="BEG700" s="23"/>
      <c r="BEH700" s="23"/>
      <c r="BEI700" s="23"/>
      <c r="BEJ700" s="23"/>
      <c r="BEK700" s="23"/>
      <c r="BEL700" s="23"/>
      <c r="BEM700" s="23"/>
      <c r="BEN700" s="23"/>
      <c r="BEO700" s="23"/>
      <c r="BEP700" s="23"/>
      <c r="BEQ700" s="23"/>
      <c r="BER700" s="23"/>
      <c r="BES700" s="23"/>
      <c r="BET700" s="23"/>
      <c r="BEU700" s="23"/>
      <c r="BEV700" s="23"/>
      <c r="BEW700" s="23"/>
      <c r="BEX700" s="23"/>
      <c r="BEY700" s="23"/>
      <c r="BEZ700" s="23"/>
      <c r="BFA700" s="23"/>
      <c r="BFB700" s="23"/>
      <c r="BFC700" s="23"/>
      <c r="BFD700" s="23"/>
      <c r="BFE700" s="23"/>
      <c r="BFF700" s="23"/>
      <c r="BFG700" s="23"/>
      <c r="BFH700" s="23"/>
      <c r="BFI700" s="23"/>
      <c r="BFJ700" s="23"/>
      <c r="BFK700" s="23"/>
      <c r="BFL700" s="23"/>
      <c r="BFM700" s="23"/>
      <c r="BFN700" s="23"/>
      <c r="BFO700" s="23"/>
      <c r="BFP700" s="23"/>
      <c r="BFQ700" s="23"/>
      <c r="BFR700" s="23"/>
      <c r="BFS700" s="23"/>
      <c r="BFT700" s="23"/>
      <c r="BFU700" s="23"/>
      <c r="BFV700" s="23"/>
      <c r="BFW700" s="23"/>
      <c r="BFX700" s="23"/>
      <c r="BFY700" s="23"/>
      <c r="BFZ700" s="23"/>
      <c r="BGA700" s="23"/>
      <c r="BGB700" s="23"/>
      <c r="BGC700" s="23"/>
      <c r="BGD700" s="23"/>
      <c r="BGE700" s="23"/>
      <c r="BGF700" s="23"/>
      <c r="BGG700" s="23"/>
      <c r="BGH700" s="23"/>
      <c r="BGI700" s="23"/>
      <c r="BGJ700" s="23"/>
      <c r="BGK700" s="23"/>
      <c r="BGL700" s="23"/>
      <c r="BGM700" s="23"/>
      <c r="BGN700" s="23"/>
      <c r="BGO700" s="23"/>
      <c r="BGP700" s="23"/>
      <c r="BGQ700" s="23"/>
      <c r="BGR700" s="23"/>
      <c r="BGS700" s="23"/>
      <c r="BGT700" s="23"/>
      <c r="BGU700" s="23"/>
      <c r="BGV700" s="23"/>
      <c r="BGW700" s="23"/>
      <c r="BGX700" s="23"/>
      <c r="BGY700" s="23"/>
      <c r="BGZ700" s="23"/>
      <c r="BHA700" s="23"/>
      <c r="BHB700" s="23"/>
      <c r="BHC700" s="23"/>
      <c r="BHD700" s="23"/>
      <c r="BHE700" s="23"/>
      <c r="BHF700" s="23"/>
      <c r="BHG700" s="23"/>
      <c r="BHH700" s="23"/>
      <c r="BHI700" s="23"/>
      <c r="BHJ700" s="23"/>
      <c r="BHK700" s="23"/>
      <c r="BHL700" s="23"/>
      <c r="BHM700" s="23"/>
      <c r="BHN700" s="23"/>
      <c r="BHO700" s="23"/>
      <c r="BHP700" s="23"/>
      <c r="BHQ700" s="23"/>
      <c r="BHR700" s="23"/>
      <c r="BHS700" s="23"/>
      <c r="BHT700" s="23"/>
      <c r="BHU700" s="23"/>
      <c r="BHV700" s="23"/>
      <c r="BHW700" s="23"/>
      <c r="BHX700" s="23"/>
      <c r="BHY700" s="23"/>
      <c r="BHZ700" s="23"/>
      <c r="BIA700" s="23"/>
      <c r="BIB700" s="23"/>
      <c r="BIC700" s="23"/>
      <c r="BID700" s="23"/>
      <c r="BIE700" s="23"/>
      <c r="BIF700" s="23"/>
      <c r="BIG700" s="23"/>
      <c r="BIH700" s="23"/>
      <c r="BII700" s="23"/>
      <c r="BIJ700" s="23"/>
      <c r="BIK700" s="23"/>
      <c r="BIL700" s="23"/>
      <c r="BIM700" s="23"/>
      <c r="BIN700" s="23"/>
      <c r="BIO700" s="23"/>
      <c r="BIP700" s="23"/>
      <c r="BIQ700" s="23"/>
      <c r="BIR700" s="23"/>
      <c r="BIS700" s="23"/>
      <c r="BIT700" s="23"/>
      <c r="BIU700" s="23"/>
      <c r="BIV700" s="23"/>
      <c r="BIW700" s="23"/>
      <c r="BIX700" s="23"/>
      <c r="BIY700" s="23"/>
      <c r="BIZ700" s="23"/>
      <c r="BJA700" s="23"/>
      <c r="BJB700" s="23"/>
      <c r="BJC700" s="23"/>
      <c r="BJD700" s="23"/>
      <c r="BJE700" s="23"/>
      <c r="BJF700" s="23"/>
      <c r="BJG700" s="23"/>
      <c r="BJH700" s="23"/>
      <c r="BJI700" s="23"/>
      <c r="BJJ700" s="23"/>
      <c r="BJK700" s="23"/>
      <c r="BJL700" s="23"/>
      <c r="BJM700" s="23"/>
      <c r="BJN700" s="23"/>
      <c r="BJO700" s="23"/>
      <c r="BJP700" s="23"/>
      <c r="BJQ700" s="23"/>
      <c r="BJR700" s="23"/>
      <c r="BJS700" s="23"/>
      <c r="BJT700" s="23"/>
      <c r="BJU700" s="23"/>
      <c r="BJV700" s="23"/>
      <c r="BJW700" s="23"/>
      <c r="BJX700" s="23"/>
      <c r="BJY700" s="23"/>
      <c r="BJZ700" s="23"/>
      <c r="BKA700" s="23"/>
      <c r="BKB700" s="23"/>
      <c r="BKC700" s="23"/>
      <c r="BKD700" s="23"/>
      <c r="BKE700" s="23"/>
      <c r="BKF700" s="23"/>
      <c r="BKG700" s="23"/>
      <c r="BKH700" s="23"/>
      <c r="BKI700" s="23"/>
      <c r="BKJ700" s="23"/>
      <c r="BKK700" s="23"/>
      <c r="BKL700" s="23"/>
      <c r="BKM700" s="23"/>
      <c r="BKN700" s="23"/>
      <c r="BKO700" s="23"/>
      <c r="BKP700" s="23"/>
      <c r="BKQ700" s="23"/>
      <c r="BKR700" s="23"/>
      <c r="BKS700" s="23"/>
      <c r="BKT700" s="23"/>
      <c r="BKU700" s="23"/>
      <c r="BKV700" s="23"/>
      <c r="BKW700" s="23"/>
      <c r="BKX700" s="23"/>
      <c r="BKY700" s="23"/>
      <c r="BKZ700" s="23"/>
      <c r="BLA700" s="23"/>
      <c r="BLB700" s="23"/>
      <c r="BLC700" s="23"/>
      <c r="BLD700" s="23"/>
      <c r="BLE700" s="23"/>
      <c r="BLF700" s="23"/>
      <c r="BLG700" s="23"/>
      <c r="BLH700" s="23"/>
      <c r="BLI700" s="23"/>
      <c r="BLJ700" s="23"/>
      <c r="BLK700" s="23"/>
      <c r="BLL700" s="23"/>
      <c r="BLM700" s="23"/>
      <c r="BLN700" s="23"/>
      <c r="BLO700" s="23"/>
      <c r="BLP700" s="23"/>
      <c r="BLQ700" s="23"/>
      <c r="BLR700" s="23"/>
      <c r="BLS700" s="23"/>
      <c r="BLT700" s="23"/>
      <c r="BLU700" s="23"/>
      <c r="BLV700" s="23"/>
      <c r="BLW700" s="23"/>
      <c r="BLX700" s="23"/>
      <c r="BLY700" s="23"/>
      <c r="BLZ700" s="23"/>
      <c r="BMA700" s="23"/>
      <c r="BMB700" s="23"/>
      <c r="BMC700" s="23"/>
      <c r="BMD700" s="23"/>
      <c r="BME700" s="23"/>
      <c r="BMF700" s="23"/>
      <c r="BMG700" s="23"/>
      <c r="BMH700" s="23"/>
      <c r="BMI700" s="23"/>
      <c r="BMJ700" s="23"/>
      <c r="BMK700" s="23"/>
      <c r="BML700" s="23"/>
      <c r="BMM700" s="23"/>
      <c r="BMN700" s="23"/>
      <c r="BMO700" s="23"/>
      <c r="BMP700" s="23"/>
      <c r="BMQ700" s="23"/>
      <c r="BMR700" s="23"/>
      <c r="BMS700" s="23"/>
      <c r="BMT700" s="23"/>
      <c r="BMU700" s="23"/>
      <c r="BMV700" s="23"/>
      <c r="BMW700" s="23"/>
      <c r="BMX700" s="23"/>
      <c r="BMY700" s="23"/>
      <c r="BMZ700" s="23"/>
      <c r="BNA700" s="23"/>
      <c r="BNB700" s="23"/>
      <c r="BNC700" s="23"/>
      <c r="BND700" s="23"/>
      <c r="BNE700" s="23"/>
      <c r="BNF700" s="23"/>
      <c r="BNG700" s="23"/>
      <c r="BNH700" s="23"/>
      <c r="BNI700" s="23"/>
      <c r="BNJ700" s="23"/>
      <c r="BNK700" s="23"/>
      <c r="BNL700" s="23"/>
      <c r="BNM700" s="23"/>
      <c r="BNN700" s="23"/>
      <c r="BNO700" s="23"/>
      <c r="BNP700" s="23"/>
      <c r="BNQ700" s="23"/>
      <c r="BNR700" s="23"/>
      <c r="BNS700" s="23"/>
      <c r="BNT700" s="23"/>
      <c r="BNU700" s="23"/>
      <c r="BNV700" s="23"/>
      <c r="BNW700" s="23"/>
      <c r="BNX700" s="23"/>
      <c r="BNY700" s="23"/>
      <c r="BNZ700" s="23"/>
      <c r="BOA700" s="23"/>
      <c r="BOB700" s="23"/>
      <c r="BOC700" s="23"/>
      <c r="BOD700" s="23"/>
      <c r="BOE700" s="23"/>
      <c r="BOF700" s="23"/>
      <c r="BOG700" s="23"/>
      <c r="BOH700" s="23"/>
      <c r="BOI700" s="23"/>
      <c r="BOJ700" s="23"/>
      <c r="BOK700" s="23"/>
      <c r="BOL700" s="23"/>
      <c r="BOM700" s="23"/>
      <c r="BON700" s="23"/>
      <c r="BOO700" s="23"/>
      <c r="BOP700" s="23"/>
      <c r="BOQ700" s="23"/>
      <c r="BOR700" s="23"/>
      <c r="BOS700" s="23"/>
      <c r="BOT700" s="23"/>
      <c r="BOU700" s="23"/>
      <c r="BOV700" s="23"/>
      <c r="BOW700" s="23"/>
      <c r="BOX700" s="23"/>
      <c r="BOY700" s="23"/>
      <c r="BOZ700" s="23"/>
      <c r="BPA700" s="23"/>
      <c r="BPB700" s="23"/>
      <c r="BPC700" s="23"/>
      <c r="BPD700" s="23"/>
      <c r="BPE700" s="23"/>
      <c r="BPF700" s="23"/>
      <c r="BPG700" s="23"/>
      <c r="BPH700" s="23"/>
      <c r="BPI700" s="23"/>
      <c r="BPJ700" s="23"/>
      <c r="BPK700" s="23"/>
      <c r="BPL700" s="23"/>
      <c r="BPM700" s="23"/>
      <c r="BPN700" s="23"/>
      <c r="BPO700" s="23"/>
      <c r="BPP700" s="23"/>
      <c r="BPQ700" s="23"/>
      <c r="BPR700" s="23"/>
      <c r="BPS700" s="23"/>
      <c r="BPT700" s="23"/>
      <c r="BPU700" s="23"/>
      <c r="BPV700" s="23"/>
      <c r="BPW700" s="23"/>
      <c r="BPX700" s="23"/>
      <c r="BPY700" s="23"/>
      <c r="BPZ700" s="23"/>
      <c r="BQA700" s="23"/>
      <c r="BQB700" s="23"/>
      <c r="BQC700" s="23"/>
      <c r="BQD700" s="23"/>
      <c r="BQE700" s="23"/>
      <c r="BQF700" s="23"/>
      <c r="BQG700" s="23"/>
      <c r="BQH700" s="23"/>
      <c r="BQI700" s="23"/>
      <c r="BQJ700" s="23"/>
      <c r="BQK700" s="23"/>
      <c r="BQL700" s="23"/>
      <c r="BQM700" s="23"/>
      <c r="BQN700" s="23"/>
      <c r="BQO700" s="23"/>
      <c r="BQP700" s="23"/>
      <c r="BQQ700" s="23"/>
      <c r="BQR700" s="23"/>
      <c r="BQS700" s="23"/>
      <c r="BQT700" s="23"/>
      <c r="BQU700" s="23"/>
      <c r="BQV700" s="23"/>
      <c r="BQW700" s="23"/>
      <c r="BQX700" s="23"/>
      <c r="BQY700" s="23"/>
      <c r="BQZ700" s="23"/>
      <c r="BRA700" s="23"/>
      <c r="BRB700" s="23"/>
      <c r="BRC700" s="23"/>
      <c r="BRD700" s="23"/>
      <c r="BRE700" s="23"/>
      <c r="BRF700" s="23"/>
      <c r="BRG700" s="23"/>
      <c r="BRH700" s="23"/>
      <c r="BRI700" s="23"/>
      <c r="BRJ700" s="23"/>
      <c r="BRK700" s="23"/>
      <c r="BRL700" s="23"/>
      <c r="BRM700" s="23"/>
      <c r="BRN700" s="23"/>
      <c r="BRO700" s="23"/>
      <c r="BRP700" s="23"/>
      <c r="BRQ700" s="23"/>
      <c r="BRR700" s="23"/>
      <c r="BRS700" s="23"/>
      <c r="BRT700" s="23"/>
      <c r="BRU700" s="23"/>
      <c r="BRV700" s="23"/>
      <c r="BRW700" s="23"/>
      <c r="BRX700" s="23"/>
      <c r="BRY700" s="23"/>
      <c r="BRZ700" s="23"/>
      <c r="BSA700" s="23"/>
      <c r="BSB700" s="23"/>
      <c r="BSC700" s="23"/>
      <c r="BSD700" s="23"/>
      <c r="BSE700" s="23"/>
      <c r="BSF700" s="23"/>
      <c r="BSG700" s="23"/>
      <c r="BSH700" s="23"/>
      <c r="BSI700" s="23"/>
      <c r="BSJ700" s="23"/>
      <c r="BSK700" s="23"/>
      <c r="BSL700" s="23"/>
      <c r="BSM700" s="23"/>
      <c r="BSN700" s="23"/>
      <c r="BSO700" s="23"/>
      <c r="BSP700" s="23"/>
      <c r="BSQ700" s="23"/>
      <c r="BSR700" s="23"/>
      <c r="BSS700" s="23"/>
      <c r="BST700" s="23"/>
      <c r="BSU700" s="23"/>
      <c r="BSV700" s="23"/>
      <c r="BSW700" s="23"/>
      <c r="BSX700" s="23"/>
      <c r="BSY700" s="23"/>
      <c r="BSZ700" s="23"/>
      <c r="BTA700" s="23"/>
    </row>
    <row r="701" spans="1:1873" s="23" customFormat="1" ht="25.5" x14ac:dyDescent="0.2">
      <c r="A701" s="304" t="s">
        <v>2090</v>
      </c>
      <c r="B701" s="223" t="s">
        <v>802</v>
      </c>
      <c r="C701" s="223" t="s">
        <v>1032</v>
      </c>
      <c r="D701" s="223" t="s">
        <v>619</v>
      </c>
      <c r="E701" s="305" t="s">
        <v>1451</v>
      </c>
      <c r="F701" s="241">
        <v>1</v>
      </c>
      <c r="G701" s="223">
        <v>8</v>
      </c>
      <c r="H701" s="242">
        <v>8</v>
      </c>
      <c r="I701" s="223" t="s">
        <v>807</v>
      </c>
      <c r="J701" s="450">
        <v>1988</v>
      </c>
      <c r="K701" s="560" t="s">
        <v>1211</v>
      </c>
      <c r="L701" s="450">
        <v>1994</v>
      </c>
      <c r="M701" s="243">
        <v>-9999</v>
      </c>
      <c r="N701" s="223">
        <v>-9999</v>
      </c>
      <c r="O701" s="29"/>
      <c r="P701" s="244">
        <f t="shared" si="82"/>
        <v>57.36</v>
      </c>
      <c r="Q701" s="223">
        <v>-9999</v>
      </c>
      <c r="R701" s="243"/>
      <c r="S701" s="223"/>
      <c r="T701" s="243">
        <v>7.17</v>
      </c>
      <c r="U701" s="223">
        <v>-9999</v>
      </c>
      <c r="V701" s="223"/>
      <c r="W701" s="285">
        <f>+P701-P700</f>
        <v>6.68</v>
      </c>
      <c r="X701" s="223">
        <v>-9999</v>
      </c>
      <c r="Y701" s="223"/>
      <c r="Z701" s="561" t="s">
        <v>1702</v>
      </c>
      <c r="AA701" s="425">
        <f t="shared" si="81"/>
        <v>1682.0700000000002</v>
      </c>
      <c r="AB701" s="243">
        <v>-9999</v>
      </c>
      <c r="AC701" s="245">
        <v>4.0460000000000003</v>
      </c>
      <c r="AD701" s="560">
        <f t="shared" si="77"/>
        <v>3300</v>
      </c>
      <c r="AE701" s="675" t="s">
        <v>97</v>
      </c>
      <c r="AF701" s="223">
        <v>3</v>
      </c>
      <c r="AG701" s="223">
        <v>-9999</v>
      </c>
      <c r="AH701" s="223">
        <v>-9999</v>
      </c>
      <c r="AI701" s="223">
        <v>-9999</v>
      </c>
      <c r="AJ701" s="223">
        <v>-9999</v>
      </c>
      <c r="AK701" s="223">
        <v>-9999</v>
      </c>
      <c r="AL701" s="223">
        <v>-9999</v>
      </c>
      <c r="AM701" s="223">
        <v>-9999</v>
      </c>
      <c r="AN701" s="223" t="s">
        <v>631</v>
      </c>
      <c r="AO701" s="223">
        <v>-9999</v>
      </c>
      <c r="AP701" s="223">
        <v>-9999</v>
      </c>
      <c r="AQ701" s="223" t="s">
        <v>631</v>
      </c>
      <c r="AR701" s="223">
        <v>0</v>
      </c>
      <c r="AS701" s="223">
        <v>-9999</v>
      </c>
      <c r="AT701" s="223">
        <v>-9999</v>
      </c>
      <c r="AU701" s="223">
        <v>0</v>
      </c>
      <c r="AV701" s="223">
        <v>-9999</v>
      </c>
      <c r="AW701" s="223">
        <v>-9999</v>
      </c>
      <c r="AX701" s="223">
        <v>0</v>
      </c>
      <c r="AY701" s="223">
        <v>-9999</v>
      </c>
      <c r="AZ701" s="223">
        <v>-9999</v>
      </c>
      <c r="BA701" s="223">
        <v>-9999</v>
      </c>
      <c r="BB701" s="223" t="s">
        <v>631</v>
      </c>
      <c r="BC701" s="223">
        <v>-9999</v>
      </c>
      <c r="BD701" s="223">
        <v>-9999</v>
      </c>
      <c r="BE701" s="223">
        <v>-9999</v>
      </c>
      <c r="BF701" s="223">
        <v>-9999</v>
      </c>
      <c r="BG701" s="223">
        <v>-9999</v>
      </c>
      <c r="BH701" s="223">
        <v>-9999</v>
      </c>
      <c r="BI701" s="223" t="s">
        <v>1061</v>
      </c>
      <c r="BJ701" s="223">
        <v>-9999</v>
      </c>
      <c r="BK701" s="223">
        <v>-9999</v>
      </c>
      <c r="BL701" s="223">
        <v>-9999</v>
      </c>
      <c r="BM701" s="223">
        <v>-9999</v>
      </c>
      <c r="BN701" s="223">
        <v>-9999</v>
      </c>
      <c r="BO701" s="223">
        <v>-9999</v>
      </c>
      <c r="BP701" s="223">
        <v>-9999</v>
      </c>
      <c r="BQ701" s="223">
        <v>-9999</v>
      </c>
      <c r="BR701" s="223">
        <v>-9999</v>
      </c>
      <c r="BS701" s="242">
        <v>-9999</v>
      </c>
      <c r="BT701" s="223">
        <v>-9999</v>
      </c>
      <c r="BU701" s="223">
        <v>-9999</v>
      </c>
      <c r="BV701" s="223">
        <v>-9999</v>
      </c>
      <c r="BW701" s="223"/>
      <c r="BX701" s="223">
        <v>-9999</v>
      </c>
      <c r="BY701" s="223">
        <v>-9999</v>
      </c>
      <c r="BZ701" s="223">
        <v>-9999</v>
      </c>
      <c r="CA701" s="334" t="s">
        <v>797</v>
      </c>
      <c r="CB701" s="247"/>
      <c r="CC701" s="83">
        <v>1</v>
      </c>
      <c r="CD701" s="32">
        <v>8</v>
      </c>
      <c r="CE701" s="292">
        <v>7.17</v>
      </c>
      <c r="CF701" s="292">
        <v>6.68</v>
      </c>
      <c r="CG701" s="84">
        <v>8</v>
      </c>
    </row>
    <row r="702" spans="1:1873" s="23" customFormat="1" ht="25.5" x14ac:dyDescent="0.2">
      <c r="A702" s="304" t="s">
        <v>2090</v>
      </c>
      <c r="B702" s="223" t="s">
        <v>802</v>
      </c>
      <c r="C702" s="223" t="s">
        <v>1032</v>
      </c>
      <c r="D702" s="223" t="s">
        <v>619</v>
      </c>
      <c r="E702" s="305" t="s">
        <v>1451</v>
      </c>
      <c r="F702" s="241">
        <v>1</v>
      </c>
      <c r="G702" s="223">
        <v>9</v>
      </c>
      <c r="H702" s="242">
        <v>9</v>
      </c>
      <c r="I702" s="223" t="s">
        <v>807</v>
      </c>
      <c r="J702" s="450">
        <v>1988</v>
      </c>
      <c r="K702" s="560" t="s">
        <v>1211</v>
      </c>
      <c r="L702" s="450">
        <v>1995</v>
      </c>
      <c r="M702" s="243">
        <v>-9999</v>
      </c>
      <c r="N702" s="223">
        <v>-9999</v>
      </c>
      <c r="O702" s="29"/>
      <c r="P702" s="244">
        <f t="shared" si="82"/>
        <v>64.53</v>
      </c>
      <c r="Q702" s="223">
        <v>-9999</v>
      </c>
      <c r="R702" s="243"/>
      <c r="S702" s="223"/>
      <c r="T702" s="243">
        <v>7.17</v>
      </c>
      <c r="U702" s="223">
        <v>-9999</v>
      </c>
      <c r="V702" s="223"/>
      <c r="W702" s="285">
        <f>+P702-P701</f>
        <v>7.1700000000000017</v>
      </c>
      <c r="X702" s="223">
        <v>-9999</v>
      </c>
      <c r="Y702" s="223"/>
      <c r="Z702" s="561" t="s">
        <v>1702</v>
      </c>
      <c r="AA702" s="425">
        <f t="shared" si="81"/>
        <v>1682.0700000000002</v>
      </c>
      <c r="AB702" s="243">
        <v>-9999</v>
      </c>
      <c r="AC702" s="245">
        <v>4.0460000000000003</v>
      </c>
      <c r="AD702" s="560">
        <f t="shared" si="77"/>
        <v>3300</v>
      </c>
      <c r="AE702" s="675" t="s">
        <v>97</v>
      </c>
      <c r="AF702" s="223">
        <v>3</v>
      </c>
      <c r="AG702" s="223">
        <v>-9999</v>
      </c>
      <c r="AH702" s="223">
        <v>-9999</v>
      </c>
      <c r="AI702" s="223">
        <v>-9999</v>
      </c>
      <c r="AJ702" s="223">
        <v>-9999</v>
      </c>
      <c r="AK702" s="223">
        <v>-9999</v>
      </c>
      <c r="AL702" s="223">
        <v>-9999</v>
      </c>
      <c r="AM702" s="223">
        <v>-9999</v>
      </c>
      <c r="AN702" s="223" t="s">
        <v>631</v>
      </c>
      <c r="AO702" s="223">
        <v>-9999</v>
      </c>
      <c r="AP702" s="223">
        <v>-9999</v>
      </c>
      <c r="AQ702" s="223" t="s">
        <v>631</v>
      </c>
      <c r="AR702" s="223">
        <v>0</v>
      </c>
      <c r="AS702" s="223">
        <v>-9999</v>
      </c>
      <c r="AT702" s="223">
        <v>-9999</v>
      </c>
      <c r="AU702" s="223">
        <v>0</v>
      </c>
      <c r="AV702" s="223">
        <v>-9999</v>
      </c>
      <c r="AW702" s="223">
        <v>-9999</v>
      </c>
      <c r="AX702" s="223">
        <v>0</v>
      </c>
      <c r="AY702" s="223">
        <v>-9999</v>
      </c>
      <c r="AZ702" s="223">
        <v>-9999</v>
      </c>
      <c r="BA702" s="223">
        <v>-9999</v>
      </c>
      <c r="BB702" s="223" t="s">
        <v>631</v>
      </c>
      <c r="BC702" s="223">
        <v>-9999</v>
      </c>
      <c r="BD702" s="223">
        <v>-9999</v>
      </c>
      <c r="BE702" s="223">
        <v>-9999</v>
      </c>
      <c r="BF702" s="223">
        <v>-9999</v>
      </c>
      <c r="BG702" s="223">
        <v>-9999</v>
      </c>
      <c r="BH702" s="223">
        <v>-9999</v>
      </c>
      <c r="BI702" s="223" t="s">
        <v>1061</v>
      </c>
      <c r="BJ702" s="223">
        <v>-9999</v>
      </c>
      <c r="BK702" s="223">
        <v>-9999</v>
      </c>
      <c r="BL702" s="223">
        <v>-9999</v>
      </c>
      <c r="BM702" s="223">
        <v>-9999</v>
      </c>
      <c r="BN702" s="223">
        <v>-9999</v>
      </c>
      <c r="BO702" s="223">
        <v>-9999</v>
      </c>
      <c r="BP702" s="223">
        <v>-9999</v>
      </c>
      <c r="BQ702" s="223">
        <v>-9999</v>
      </c>
      <c r="BR702" s="223">
        <v>-9999</v>
      </c>
      <c r="BS702" s="242">
        <v>-9999</v>
      </c>
      <c r="BT702" s="223">
        <v>-9999</v>
      </c>
      <c r="BU702" s="223">
        <v>-9999</v>
      </c>
      <c r="BV702" s="223">
        <v>-9999</v>
      </c>
      <c r="BW702" s="223"/>
      <c r="BX702" s="223">
        <v>-9999</v>
      </c>
      <c r="BY702" s="223">
        <v>-9999</v>
      </c>
      <c r="BZ702" s="223">
        <v>-9999</v>
      </c>
      <c r="CA702" s="334" t="s">
        <v>797</v>
      </c>
      <c r="CB702" s="247"/>
      <c r="CC702" s="83">
        <v>1</v>
      </c>
      <c r="CD702" s="32">
        <v>9</v>
      </c>
      <c r="CE702" s="292">
        <v>7.17</v>
      </c>
      <c r="CF702" s="292">
        <v>7.1700000000000017</v>
      </c>
      <c r="CG702" s="84">
        <v>9</v>
      </c>
    </row>
    <row r="703" spans="1:1873" s="23" customFormat="1" ht="25.5" x14ac:dyDescent="0.2">
      <c r="A703" s="304" t="s">
        <v>2090</v>
      </c>
      <c r="B703" s="223" t="s">
        <v>802</v>
      </c>
      <c r="C703" s="223" t="s">
        <v>1032</v>
      </c>
      <c r="D703" s="223" t="s">
        <v>619</v>
      </c>
      <c r="E703" s="305" t="s">
        <v>1451</v>
      </c>
      <c r="F703" s="241">
        <v>1</v>
      </c>
      <c r="G703" s="223">
        <v>10</v>
      </c>
      <c r="H703" s="242">
        <v>10</v>
      </c>
      <c r="I703" s="223" t="s">
        <v>807</v>
      </c>
      <c r="J703" s="450">
        <v>1988</v>
      </c>
      <c r="K703" s="560" t="s">
        <v>1211</v>
      </c>
      <c r="L703" s="450">
        <v>1996</v>
      </c>
      <c r="M703" s="243">
        <v>-9999</v>
      </c>
      <c r="N703" s="223">
        <v>-9999</v>
      </c>
      <c r="O703" s="29"/>
      <c r="P703" s="243">
        <v>-9999</v>
      </c>
      <c r="Q703" s="223">
        <v>-9999</v>
      </c>
      <c r="R703" s="243"/>
      <c r="S703" s="223"/>
      <c r="T703" s="243">
        <v>-9999</v>
      </c>
      <c r="U703" s="223">
        <v>-9999</v>
      </c>
      <c r="V703" s="223"/>
      <c r="W703" s="243">
        <v>-9999</v>
      </c>
      <c r="X703" s="223">
        <v>-9999</v>
      </c>
      <c r="Y703" s="223"/>
      <c r="Z703" s="561" t="s">
        <v>1702</v>
      </c>
      <c r="AA703" s="425">
        <f t="shared" si="81"/>
        <v>1682.0700000000002</v>
      </c>
      <c r="AB703" s="243">
        <v>-9999</v>
      </c>
      <c r="AC703" s="245">
        <v>4.0460000000000003</v>
      </c>
      <c r="AD703" s="560">
        <f t="shared" si="77"/>
        <v>3300</v>
      </c>
      <c r="AE703" s="675" t="s">
        <v>97</v>
      </c>
      <c r="AF703" s="223">
        <v>3</v>
      </c>
      <c r="AG703" s="223">
        <v>-9999</v>
      </c>
      <c r="AH703" s="223">
        <v>-9999</v>
      </c>
      <c r="AI703" s="223">
        <v>-9999</v>
      </c>
      <c r="AJ703" s="223">
        <v>-9999</v>
      </c>
      <c r="AK703" s="223">
        <v>-9999</v>
      </c>
      <c r="AL703" s="223">
        <v>-9999</v>
      </c>
      <c r="AM703" s="223">
        <v>-9999</v>
      </c>
      <c r="AN703" s="223" t="s">
        <v>631</v>
      </c>
      <c r="AO703" s="223">
        <v>-9999</v>
      </c>
      <c r="AP703" s="223">
        <v>-9999</v>
      </c>
      <c r="AQ703" s="223" t="s">
        <v>631</v>
      </c>
      <c r="AR703" s="223">
        <v>0</v>
      </c>
      <c r="AS703" s="223">
        <v>-9999</v>
      </c>
      <c r="AT703" s="223">
        <v>-9999</v>
      </c>
      <c r="AU703" s="223">
        <v>0</v>
      </c>
      <c r="AV703" s="223">
        <v>-9999</v>
      </c>
      <c r="AW703" s="223">
        <v>-9999</v>
      </c>
      <c r="AX703" s="223">
        <v>0</v>
      </c>
      <c r="AY703" s="223">
        <v>-9999</v>
      </c>
      <c r="AZ703" s="223">
        <v>-9999</v>
      </c>
      <c r="BA703" s="223">
        <v>-9999</v>
      </c>
      <c r="BB703" s="223" t="s">
        <v>631</v>
      </c>
      <c r="BC703" s="223">
        <v>-9999</v>
      </c>
      <c r="BD703" s="223">
        <v>-9999</v>
      </c>
      <c r="BE703" s="223">
        <v>-9999</v>
      </c>
      <c r="BF703" s="223">
        <v>-9999</v>
      </c>
      <c r="BG703" s="223">
        <v>-9999</v>
      </c>
      <c r="BH703" s="223">
        <v>-9999</v>
      </c>
      <c r="BI703" s="223" t="s">
        <v>1061</v>
      </c>
      <c r="BJ703" s="223">
        <v>-9999</v>
      </c>
      <c r="BK703" s="223">
        <v>-9999</v>
      </c>
      <c r="BL703" s="223">
        <v>-9999</v>
      </c>
      <c r="BM703" s="223">
        <v>-9999</v>
      </c>
      <c r="BN703" s="223">
        <v>-9999</v>
      </c>
      <c r="BO703" s="223">
        <v>-9999</v>
      </c>
      <c r="BP703" s="223">
        <v>-9999</v>
      </c>
      <c r="BQ703" s="223">
        <v>-9999</v>
      </c>
      <c r="BR703" s="223">
        <v>-9999</v>
      </c>
      <c r="BS703" s="242">
        <v>-9999</v>
      </c>
      <c r="BT703" s="223">
        <v>-9999</v>
      </c>
      <c r="BU703" s="223">
        <v>-9999</v>
      </c>
      <c r="BV703" s="223">
        <v>-9999</v>
      </c>
      <c r="BW703" s="223"/>
      <c r="BX703" s="223">
        <v>-9999</v>
      </c>
      <c r="BY703" s="223">
        <v>-9999</v>
      </c>
      <c r="BZ703" s="223">
        <v>-9999</v>
      </c>
      <c r="CA703" s="334" t="s">
        <v>797</v>
      </c>
      <c r="CB703" s="247"/>
      <c r="CC703" s="83">
        <v>1</v>
      </c>
      <c r="CD703" s="32">
        <v>10</v>
      </c>
      <c r="CE703" s="292"/>
      <c r="CF703" s="292"/>
      <c r="CG703" s="84">
        <v>10</v>
      </c>
    </row>
    <row r="704" spans="1:1873" s="345" customFormat="1" x14ac:dyDescent="0.2">
      <c r="A704" s="323"/>
      <c r="B704" s="275"/>
      <c r="C704" s="275"/>
      <c r="D704" s="275"/>
      <c r="E704" s="433"/>
      <c r="F704" s="433"/>
      <c r="G704" s="275"/>
      <c r="H704" s="318"/>
      <c r="I704" s="275"/>
      <c r="J704" s="429"/>
      <c r="K704" s="429"/>
      <c r="L704" s="429"/>
      <c r="M704" s="317"/>
      <c r="N704" s="275"/>
      <c r="O704" s="275"/>
      <c r="P704" s="317"/>
      <c r="Q704" s="275"/>
      <c r="R704" s="317"/>
      <c r="S704" s="275"/>
      <c r="T704" s="317"/>
      <c r="U704" s="275"/>
      <c r="V704" s="275"/>
      <c r="W704" s="317"/>
      <c r="X704" s="275"/>
      <c r="Y704" s="275"/>
      <c r="Z704" s="429"/>
      <c r="AA704" s="318"/>
      <c r="AB704" s="317"/>
      <c r="AC704" s="275"/>
      <c r="AD704" s="275"/>
      <c r="AE704" s="429"/>
      <c r="AF704" s="275"/>
      <c r="AG704" s="275"/>
      <c r="AH704" s="275"/>
      <c r="AI704" s="275"/>
      <c r="AJ704" s="275"/>
      <c r="AK704" s="275"/>
      <c r="AL704" s="275"/>
      <c r="AM704" s="275"/>
      <c r="AN704" s="275"/>
      <c r="AO704" s="275"/>
      <c r="AP704" s="275"/>
      <c r="AQ704" s="275"/>
      <c r="AR704" s="275"/>
      <c r="AS704" s="275"/>
      <c r="AT704" s="275"/>
      <c r="AU704" s="275"/>
      <c r="AV704" s="275"/>
      <c r="AW704" s="275"/>
      <c r="AX704" s="275"/>
      <c r="AY704" s="275"/>
      <c r="AZ704" s="275"/>
      <c r="BA704" s="275"/>
      <c r="BB704" s="275"/>
      <c r="BC704" s="275"/>
      <c r="BD704" s="275"/>
      <c r="BE704" s="275"/>
      <c r="BF704" s="275"/>
      <c r="BG704" s="275"/>
      <c r="BH704" s="275"/>
      <c r="BI704" s="275"/>
      <c r="BJ704" s="275"/>
      <c r="BK704" s="275"/>
      <c r="BL704" s="275"/>
      <c r="BM704" s="275"/>
      <c r="BN704" s="275"/>
      <c r="BO704" s="275"/>
      <c r="BP704" s="275"/>
      <c r="BQ704" s="275"/>
      <c r="BR704" s="275"/>
      <c r="BS704" s="318"/>
      <c r="BT704" s="275"/>
      <c r="BU704" s="275"/>
      <c r="BV704" s="275"/>
      <c r="BW704" s="275"/>
      <c r="BX704" s="275"/>
      <c r="BY704" s="275"/>
      <c r="BZ704" s="275"/>
      <c r="CA704" s="434"/>
      <c r="CC704" s="433"/>
      <c r="CD704" s="275"/>
      <c r="CE704" s="342" t="s">
        <v>1576</v>
      </c>
      <c r="CF704" s="342" t="s">
        <v>1575</v>
      </c>
      <c r="CG704" s="318"/>
    </row>
    <row r="705" spans="1:1873" s="23" customFormat="1" ht="25.5" x14ac:dyDescent="0.2">
      <c r="A705" s="304" t="s">
        <v>2090</v>
      </c>
      <c r="B705" s="223" t="s">
        <v>803</v>
      </c>
      <c r="C705" s="223" t="s">
        <v>1032</v>
      </c>
      <c r="D705" s="223" t="s">
        <v>619</v>
      </c>
      <c r="E705" s="305" t="s">
        <v>1451</v>
      </c>
      <c r="F705" s="241">
        <v>1</v>
      </c>
      <c r="G705" s="223">
        <v>3</v>
      </c>
      <c r="H705" s="242">
        <v>3</v>
      </c>
      <c r="I705" s="223" t="s">
        <v>807</v>
      </c>
      <c r="J705" s="450">
        <v>1988</v>
      </c>
      <c r="K705" s="560" t="s">
        <v>1211</v>
      </c>
      <c r="L705" s="450">
        <v>1989</v>
      </c>
      <c r="M705" s="243">
        <v>-9999</v>
      </c>
      <c r="N705" s="223">
        <v>-9999</v>
      </c>
      <c r="O705" s="29"/>
      <c r="P705" s="243">
        <v>-9999</v>
      </c>
      <c r="Q705" s="223">
        <v>-9999</v>
      </c>
      <c r="R705" s="243"/>
      <c r="S705" s="223"/>
      <c r="T705" s="243">
        <v>-9999</v>
      </c>
      <c r="U705" s="223">
        <v>-9999</v>
      </c>
      <c r="V705" s="223"/>
      <c r="W705" s="243">
        <v>-9999</v>
      </c>
      <c r="X705" s="223">
        <v>-9999</v>
      </c>
      <c r="Y705" s="223"/>
      <c r="Z705" s="561" t="s">
        <v>1702</v>
      </c>
      <c r="AA705" s="425">
        <f t="shared" ref="AA705:AA712" si="83">681*2.47</f>
        <v>1682.0700000000002</v>
      </c>
      <c r="AB705" s="243">
        <v>-9999</v>
      </c>
      <c r="AC705" s="245">
        <v>4.0460000000000003</v>
      </c>
      <c r="AD705" s="560">
        <f t="shared" si="77"/>
        <v>3300</v>
      </c>
      <c r="AE705" s="675" t="s">
        <v>97</v>
      </c>
      <c r="AF705" s="223">
        <v>3</v>
      </c>
      <c r="AG705" s="223">
        <v>-9999</v>
      </c>
      <c r="AH705" s="223">
        <v>-9999</v>
      </c>
      <c r="AI705" s="223">
        <v>-9999</v>
      </c>
      <c r="AJ705" s="223">
        <v>-9999</v>
      </c>
      <c r="AK705" s="223">
        <v>-9999</v>
      </c>
      <c r="AL705" s="223">
        <v>-9999</v>
      </c>
      <c r="AM705" s="223">
        <v>-9999</v>
      </c>
      <c r="AN705" s="223" t="s">
        <v>631</v>
      </c>
      <c r="AO705" s="223">
        <v>-9999</v>
      </c>
      <c r="AP705" s="223">
        <v>-9999</v>
      </c>
      <c r="AQ705" s="223" t="s">
        <v>631</v>
      </c>
      <c r="AR705" s="223">
        <v>0</v>
      </c>
      <c r="AS705" s="223">
        <v>-9999</v>
      </c>
      <c r="AT705" s="223">
        <v>-9999</v>
      </c>
      <c r="AU705" s="223">
        <v>0</v>
      </c>
      <c r="AV705" s="223">
        <v>-9999</v>
      </c>
      <c r="AW705" s="223">
        <v>-9999</v>
      </c>
      <c r="AX705" s="223">
        <v>0</v>
      </c>
      <c r="AY705" s="223">
        <v>-9999</v>
      </c>
      <c r="AZ705" s="223">
        <v>-9999</v>
      </c>
      <c r="BA705" s="223">
        <v>-9999</v>
      </c>
      <c r="BB705" s="223" t="s">
        <v>631</v>
      </c>
      <c r="BC705" s="223">
        <v>-9999</v>
      </c>
      <c r="BD705" s="223">
        <v>-9999</v>
      </c>
      <c r="BE705" s="223">
        <v>-9999</v>
      </c>
      <c r="BF705" s="223">
        <v>-9999</v>
      </c>
      <c r="BG705" s="223">
        <v>-9999</v>
      </c>
      <c r="BH705" s="223">
        <v>-9999</v>
      </c>
      <c r="BI705" s="223" t="s">
        <v>1055</v>
      </c>
      <c r="BJ705" s="223">
        <v>-9999</v>
      </c>
      <c r="BK705" s="223">
        <v>-9999</v>
      </c>
      <c r="BL705" s="223">
        <v>-9999</v>
      </c>
      <c r="BM705" s="223">
        <v>-9999</v>
      </c>
      <c r="BN705" s="223">
        <v>-9999</v>
      </c>
      <c r="BO705" s="223">
        <v>-9999</v>
      </c>
      <c r="BP705" s="223">
        <v>-9999</v>
      </c>
      <c r="BQ705" s="223">
        <v>-9999</v>
      </c>
      <c r="BR705" s="223">
        <v>-9999</v>
      </c>
      <c r="BS705" s="242">
        <v>-9999</v>
      </c>
      <c r="BT705" s="223">
        <v>-9999</v>
      </c>
      <c r="BU705" s="223">
        <v>-9999</v>
      </c>
      <c r="BV705" s="223">
        <v>-9999</v>
      </c>
      <c r="BW705" s="223"/>
      <c r="BX705" s="223">
        <v>-9999</v>
      </c>
      <c r="BY705" s="223">
        <v>-9999</v>
      </c>
      <c r="BZ705" s="223">
        <v>-9999</v>
      </c>
      <c r="CA705" s="334" t="s">
        <v>797</v>
      </c>
      <c r="CB705" s="247"/>
      <c r="CC705" s="83">
        <v>1</v>
      </c>
      <c r="CD705" s="32">
        <v>3</v>
      </c>
      <c r="CE705" s="292"/>
      <c r="CF705" s="292"/>
      <c r="CG705" s="84">
        <v>3</v>
      </c>
    </row>
    <row r="706" spans="1:1873" s="23" customFormat="1" ht="25.5" x14ac:dyDescent="0.2">
      <c r="A706" s="304" t="s">
        <v>2090</v>
      </c>
      <c r="B706" s="223" t="s">
        <v>803</v>
      </c>
      <c r="C706" s="223" t="s">
        <v>1032</v>
      </c>
      <c r="D706" s="223" t="s">
        <v>619</v>
      </c>
      <c r="E706" s="305" t="s">
        <v>1451</v>
      </c>
      <c r="F706" s="241">
        <v>1</v>
      </c>
      <c r="G706" s="223">
        <v>4</v>
      </c>
      <c r="H706" s="242">
        <v>4</v>
      </c>
      <c r="I706" s="223" t="s">
        <v>807</v>
      </c>
      <c r="J706" s="450">
        <v>1988</v>
      </c>
      <c r="K706" s="560" t="s">
        <v>1211</v>
      </c>
      <c r="L706" s="450">
        <v>1990</v>
      </c>
      <c r="M706" s="243">
        <v>-9999</v>
      </c>
      <c r="N706" s="223">
        <v>-9999</v>
      </c>
      <c r="O706" s="29"/>
      <c r="P706" s="244">
        <f t="shared" ref="P706:P712" si="84">+T706*G706</f>
        <v>11.2</v>
      </c>
      <c r="Q706" s="223">
        <v>-9999</v>
      </c>
      <c r="R706" s="243"/>
      <c r="S706" s="223"/>
      <c r="T706" s="243">
        <v>2.8</v>
      </c>
      <c r="U706" s="223">
        <v>-9999</v>
      </c>
      <c r="V706" s="223"/>
      <c r="W706" s="243">
        <v>-9999</v>
      </c>
      <c r="X706" s="223">
        <v>-9999</v>
      </c>
      <c r="Y706" s="223"/>
      <c r="Z706" s="561" t="s">
        <v>1702</v>
      </c>
      <c r="AA706" s="425">
        <f t="shared" si="83"/>
        <v>1682.0700000000002</v>
      </c>
      <c r="AB706" s="243">
        <v>-9999</v>
      </c>
      <c r="AC706" s="245">
        <v>4.0460000000000003</v>
      </c>
      <c r="AD706" s="560">
        <f t="shared" si="77"/>
        <v>3300</v>
      </c>
      <c r="AE706" s="675" t="s">
        <v>97</v>
      </c>
      <c r="AF706" s="223">
        <v>3</v>
      </c>
      <c r="AG706" s="223">
        <v>-9999</v>
      </c>
      <c r="AH706" s="223">
        <v>-9999</v>
      </c>
      <c r="AI706" s="223">
        <v>-9999</v>
      </c>
      <c r="AJ706" s="223">
        <v>-9999</v>
      </c>
      <c r="AK706" s="223">
        <v>-9999</v>
      </c>
      <c r="AL706" s="223">
        <v>-9999</v>
      </c>
      <c r="AM706" s="223">
        <v>-9999</v>
      </c>
      <c r="AN706" s="223" t="s">
        <v>631</v>
      </c>
      <c r="AO706" s="223">
        <v>-9999</v>
      </c>
      <c r="AP706" s="223">
        <v>-9999</v>
      </c>
      <c r="AQ706" s="223" t="s">
        <v>631</v>
      </c>
      <c r="AR706" s="223">
        <v>0</v>
      </c>
      <c r="AS706" s="223">
        <v>-9999</v>
      </c>
      <c r="AT706" s="223">
        <v>-9999</v>
      </c>
      <c r="AU706" s="223">
        <v>0</v>
      </c>
      <c r="AV706" s="223">
        <v>-9999</v>
      </c>
      <c r="AW706" s="223">
        <v>-9999</v>
      </c>
      <c r="AX706" s="223">
        <v>0</v>
      </c>
      <c r="AY706" s="223">
        <v>-9999</v>
      </c>
      <c r="AZ706" s="223">
        <v>-9999</v>
      </c>
      <c r="BA706" s="223">
        <v>-9999</v>
      </c>
      <c r="BB706" s="223" t="s">
        <v>631</v>
      </c>
      <c r="BC706" s="223">
        <v>-9999</v>
      </c>
      <c r="BD706" s="223">
        <v>-9999</v>
      </c>
      <c r="BE706" s="223">
        <v>-9999</v>
      </c>
      <c r="BF706" s="223">
        <v>-9999</v>
      </c>
      <c r="BG706" s="223">
        <v>-9999</v>
      </c>
      <c r="BH706" s="223">
        <v>-9999</v>
      </c>
      <c r="BI706" s="223" t="s">
        <v>1055</v>
      </c>
      <c r="BJ706" s="223">
        <v>-9999</v>
      </c>
      <c r="BK706" s="223">
        <v>-9999</v>
      </c>
      <c r="BL706" s="223">
        <v>-9999</v>
      </c>
      <c r="BM706" s="223">
        <v>-9999</v>
      </c>
      <c r="BN706" s="223">
        <v>-9999</v>
      </c>
      <c r="BO706" s="223">
        <v>-9999</v>
      </c>
      <c r="BP706" s="223">
        <v>-9999</v>
      </c>
      <c r="BQ706" s="223">
        <v>-9999</v>
      </c>
      <c r="BR706" s="223">
        <v>-9999</v>
      </c>
      <c r="BS706" s="242">
        <v>-9999</v>
      </c>
      <c r="BT706" s="223">
        <v>-9999</v>
      </c>
      <c r="BU706" s="223">
        <v>-9999</v>
      </c>
      <c r="BV706" s="223">
        <v>-9999</v>
      </c>
      <c r="BW706" s="223"/>
      <c r="BX706" s="223">
        <v>-9999</v>
      </c>
      <c r="BY706" s="223">
        <v>-9999</v>
      </c>
      <c r="BZ706" s="223">
        <v>-9999</v>
      </c>
      <c r="CA706" s="334" t="s">
        <v>797</v>
      </c>
      <c r="CB706" s="247"/>
      <c r="CC706" s="83">
        <v>1</v>
      </c>
      <c r="CD706" s="32">
        <v>4</v>
      </c>
      <c r="CE706" s="292">
        <v>2.8</v>
      </c>
      <c r="CF706" s="292"/>
      <c r="CG706" s="84">
        <v>4</v>
      </c>
    </row>
    <row r="707" spans="1:1873" s="23" customFormat="1" ht="25.5" x14ac:dyDescent="0.2">
      <c r="A707" s="304" t="s">
        <v>2090</v>
      </c>
      <c r="B707" s="223" t="s">
        <v>803</v>
      </c>
      <c r="C707" s="223" t="s">
        <v>1032</v>
      </c>
      <c r="D707" s="223" t="s">
        <v>619</v>
      </c>
      <c r="E707" s="305" t="s">
        <v>1451</v>
      </c>
      <c r="F707" s="241">
        <v>1</v>
      </c>
      <c r="G707" s="223">
        <v>5</v>
      </c>
      <c r="H707" s="242">
        <v>5</v>
      </c>
      <c r="I707" s="223" t="s">
        <v>807</v>
      </c>
      <c r="J707" s="450">
        <v>1988</v>
      </c>
      <c r="K707" s="560" t="s">
        <v>1211</v>
      </c>
      <c r="L707" s="450">
        <v>1991</v>
      </c>
      <c r="M707" s="243">
        <v>-9999</v>
      </c>
      <c r="N707" s="223">
        <v>-9999</v>
      </c>
      <c r="O707" s="29"/>
      <c r="P707" s="244">
        <f t="shared" si="84"/>
        <v>19.600000000000001</v>
      </c>
      <c r="Q707" s="223">
        <v>-9999</v>
      </c>
      <c r="R707" s="243"/>
      <c r="S707" s="223"/>
      <c r="T707" s="243">
        <v>3.92</v>
      </c>
      <c r="U707" s="223">
        <v>-9999</v>
      </c>
      <c r="V707" s="223"/>
      <c r="W707" s="285">
        <f t="shared" ref="W707:W712" si="85">+P707-P706</f>
        <v>8.4000000000000021</v>
      </c>
      <c r="X707" s="223">
        <v>-9999</v>
      </c>
      <c r="Y707" s="223"/>
      <c r="Z707" s="561" t="s">
        <v>1702</v>
      </c>
      <c r="AA707" s="425">
        <f t="shared" si="83"/>
        <v>1682.0700000000002</v>
      </c>
      <c r="AB707" s="243">
        <v>-9999</v>
      </c>
      <c r="AC707" s="245">
        <v>4.0460000000000003</v>
      </c>
      <c r="AD707" s="560">
        <f t="shared" si="77"/>
        <v>3300</v>
      </c>
      <c r="AE707" s="675" t="s">
        <v>97</v>
      </c>
      <c r="AF707" s="223">
        <v>3</v>
      </c>
      <c r="AG707" s="223">
        <v>-9999</v>
      </c>
      <c r="AH707" s="223">
        <v>-9999</v>
      </c>
      <c r="AI707" s="223">
        <v>-9999</v>
      </c>
      <c r="AJ707" s="223">
        <v>-9999</v>
      </c>
      <c r="AK707" s="223">
        <v>-9999</v>
      </c>
      <c r="AL707" s="223">
        <v>-9999</v>
      </c>
      <c r="AM707" s="223">
        <v>-9999</v>
      </c>
      <c r="AN707" s="223" t="s">
        <v>631</v>
      </c>
      <c r="AO707" s="223">
        <v>-9999</v>
      </c>
      <c r="AP707" s="223">
        <v>-9999</v>
      </c>
      <c r="AQ707" s="223" t="s">
        <v>631</v>
      </c>
      <c r="AR707" s="223">
        <v>0</v>
      </c>
      <c r="AS707" s="223">
        <v>-9999</v>
      </c>
      <c r="AT707" s="223">
        <v>-9999</v>
      </c>
      <c r="AU707" s="223">
        <v>0</v>
      </c>
      <c r="AV707" s="223">
        <v>-9999</v>
      </c>
      <c r="AW707" s="223">
        <v>-9999</v>
      </c>
      <c r="AX707" s="223">
        <v>0</v>
      </c>
      <c r="AY707" s="223">
        <v>-9999</v>
      </c>
      <c r="AZ707" s="223">
        <v>-9999</v>
      </c>
      <c r="BA707" s="223">
        <v>-9999</v>
      </c>
      <c r="BB707" s="223" t="s">
        <v>631</v>
      </c>
      <c r="BC707" s="223">
        <v>-9999</v>
      </c>
      <c r="BD707" s="223">
        <v>-9999</v>
      </c>
      <c r="BE707" s="223">
        <v>-9999</v>
      </c>
      <c r="BF707" s="223">
        <v>-9999</v>
      </c>
      <c r="BG707" s="223">
        <v>-9999</v>
      </c>
      <c r="BH707" s="223">
        <v>-9999</v>
      </c>
      <c r="BI707" s="223" t="s">
        <v>1055</v>
      </c>
      <c r="BJ707" s="223">
        <v>-9999</v>
      </c>
      <c r="BK707" s="223">
        <v>-9999</v>
      </c>
      <c r="BL707" s="223">
        <v>-9999</v>
      </c>
      <c r="BM707" s="223">
        <v>-9999</v>
      </c>
      <c r="BN707" s="223">
        <v>-9999</v>
      </c>
      <c r="BO707" s="223">
        <v>-9999</v>
      </c>
      <c r="BP707" s="223">
        <v>-9999</v>
      </c>
      <c r="BQ707" s="223">
        <v>-9999</v>
      </c>
      <c r="BR707" s="223">
        <v>-9999</v>
      </c>
      <c r="BS707" s="242">
        <v>-9999</v>
      </c>
      <c r="BT707" s="223">
        <v>-9999</v>
      </c>
      <c r="BU707" s="223">
        <v>-9999</v>
      </c>
      <c r="BV707" s="223">
        <v>-9999</v>
      </c>
      <c r="BW707" s="223"/>
      <c r="BX707" s="223">
        <v>-9999</v>
      </c>
      <c r="BY707" s="223">
        <v>-9999</v>
      </c>
      <c r="BZ707" s="223">
        <v>-9999</v>
      </c>
      <c r="CA707" s="334" t="s">
        <v>797</v>
      </c>
      <c r="CB707" s="247"/>
      <c r="CC707" s="83">
        <v>1</v>
      </c>
      <c r="CD707" s="32">
        <v>5</v>
      </c>
      <c r="CE707" s="292">
        <v>3.92</v>
      </c>
      <c r="CF707" s="292">
        <v>8.4000000000000021</v>
      </c>
      <c r="CG707" s="84">
        <v>5</v>
      </c>
    </row>
    <row r="708" spans="1:1873" s="23" customFormat="1" ht="25.5" x14ac:dyDescent="0.2">
      <c r="A708" s="304" t="s">
        <v>2090</v>
      </c>
      <c r="B708" s="223" t="s">
        <v>803</v>
      </c>
      <c r="C708" s="223" t="s">
        <v>1032</v>
      </c>
      <c r="D708" s="223" t="s">
        <v>619</v>
      </c>
      <c r="E708" s="305" t="s">
        <v>1451</v>
      </c>
      <c r="F708" s="241">
        <v>1</v>
      </c>
      <c r="G708" s="223">
        <v>6</v>
      </c>
      <c r="H708" s="242">
        <v>6</v>
      </c>
      <c r="I708" s="223" t="s">
        <v>807</v>
      </c>
      <c r="J708" s="450">
        <v>1988</v>
      </c>
      <c r="K708" s="560" t="s">
        <v>1211</v>
      </c>
      <c r="L708" s="450">
        <v>1992</v>
      </c>
      <c r="M708" s="243">
        <v>-9999</v>
      </c>
      <c r="N708" s="223">
        <v>-9999</v>
      </c>
      <c r="O708" s="29"/>
      <c r="P708" s="244">
        <f t="shared" si="84"/>
        <v>24.900000000000002</v>
      </c>
      <c r="Q708" s="223">
        <v>-9999</v>
      </c>
      <c r="R708" s="243"/>
      <c r="S708" s="223"/>
      <c r="T708" s="243">
        <v>4.1500000000000004</v>
      </c>
      <c r="U708" s="223">
        <v>-9999</v>
      </c>
      <c r="V708" s="223"/>
      <c r="W708" s="285">
        <f t="shared" si="85"/>
        <v>5.3000000000000007</v>
      </c>
      <c r="X708" s="223">
        <v>-9999</v>
      </c>
      <c r="Y708" s="223"/>
      <c r="Z708" s="561" t="s">
        <v>1702</v>
      </c>
      <c r="AA708" s="425">
        <f t="shared" si="83"/>
        <v>1682.0700000000002</v>
      </c>
      <c r="AB708" s="243">
        <v>-9999</v>
      </c>
      <c r="AC708" s="245">
        <v>4.0460000000000003</v>
      </c>
      <c r="AD708" s="560">
        <f t="shared" si="77"/>
        <v>3300</v>
      </c>
      <c r="AE708" s="675" t="s">
        <v>97</v>
      </c>
      <c r="AF708" s="223">
        <v>3</v>
      </c>
      <c r="AG708" s="223">
        <v>-9999</v>
      </c>
      <c r="AH708" s="223">
        <v>-9999</v>
      </c>
      <c r="AI708" s="223">
        <v>-9999</v>
      </c>
      <c r="AJ708" s="223">
        <v>-9999</v>
      </c>
      <c r="AK708" s="223">
        <v>-9999</v>
      </c>
      <c r="AL708" s="223">
        <v>-9999</v>
      </c>
      <c r="AM708" s="223">
        <v>-9999</v>
      </c>
      <c r="AN708" s="223" t="s">
        <v>631</v>
      </c>
      <c r="AO708" s="223">
        <v>-9999</v>
      </c>
      <c r="AP708" s="223">
        <v>-9999</v>
      </c>
      <c r="AQ708" s="223" t="s">
        <v>631</v>
      </c>
      <c r="AR708" s="223">
        <v>0</v>
      </c>
      <c r="AS708" s="223">
        <v>-9999</v>
      </c>
      <c r="AT708" s="223">
        <v>-9999</v>
      </c>
      <c r="AU708" s="223">
        <v>0</v>
      </c>
      <c r="AV708" s="223">
        <v>-9999</v>
      </c>
      <c r="AW708" s="223">
        <v>-9999</v>
      </c>
      <c r="AX708" s="223">
        <v>0</v>
      </c>
      <c r="AY708" s="223">
        <v>-9999</v>
      </c>
      <c r="AZ708" s="223">
        <v>-9999</v>
      </c>
      <c r="BA708" s="223">
        <v>-9999</v>
      </c>
      <c r="BB708" s="223" t="s">
        <v>631</v>
      </c>
      <c r="BC708" s="223">
        <v>-9999</v>
      </c>
      <c r="BD708" s="223">
        <v>-9999</v>
      </c>
      <c r="BE708" s="223">
        <v>-9999</v>
      </c>
      <c r="BF708" s="223">
        <v>-9999</v>
      </c>
      <c r="BG708" s="223">
        <v>-9999</v>
      </c>
      <c r="BH708" s="223">
        <v>-9999</v>
      </c>
      <c r="BI708" s="223" t="s">
        <v>1055</v>
      </c>
      <c r="BJ708" s="223">
        <v>-9999</v>
      </c>
      <c r="BK708" s="223">
        <v>-9999</v>
      </c>
      <c r="BL708" s="223">
        <v>-9999</v>
      </c>
      <c r="BM708" s="223">
        <v>-9999</v>
      </c>
      <c r="BN708" s="223">
        <v>-9999</v>
      </c>
      <c r="BO708" s="223">
        <v>-9999</v>
      </c>
      <c r="BP708" s="223">
        <v>-9999</v>
      </c>
      <c r="BQ708" s="223">
        <v>-9999</v>
      </c>
      <c r="BR708" s="223">
        <v>-9999</v>
      </c>
      <c r="BS708" s="242">
        <v>-9999</v>
      </c>
      <c r="BT708" s="223">
        <v>-9999</v>
      </c>
      <c r="BU708" s="223">
        <v>-9999</v>
      </c>
      <c r="BV708" s="223">
        <v>-9999</v>
      </c>
      <c r="BW708" s="223"/>
      <c r="BX708" s="223">
        <v>-9999</v>
      </c>
      <c r="BY708" s="223">
        <v>-9999</v>
      </c>
      <c r="BZ708" s="223">
        <v>-9999</v>
      </c>
      <c r="CA708" s="334" t="s">
        <v>797</v>
      </c>
      <c r="CB708" s="247"/>
      <c r="CC708" s="83">
        <v>1</v>
      </c>
      <c r="CD708" s="32">
        <v>6</v>
      </c>
      <c r="CE708" s="292">
        <v>4.1500000000000004</v>
      </c>
      <c r="CF708" s="292">
        <v>5.3000000000000007</v>
      </c>
      <c r="CG708" s="84">
        <v>6</v>
      </c>
    </row>
    <row r="709" spans="1:1873" s="23" customFormat="1" ht="25.5" x14ac:dyDescent="0.2">
      <c r="A709" s="304" t="s">
        <v>2090</v>
      </c>
      <c r="B709" s="223" t="s">
        <v>803</v>
      </c>
      <c r="C709" s="223" t="s">
        <v>1032</v>
      </c>
      <c r="D709" s="223" t="s">
        <v>619</v>
      </c>
      <c r="E709" s="305" t="s">
        <v>1451</v>
      </c>
      <c r="F709" s="241">
        <v>1</v>
      </c>
      <c r="G709" s="223">
        <v>7</v>
      </c>
      <c r="H709" s="242">
        <v>7</v>
      </c>
      <c r="I709" s="223" t="s">
        <v>807</v>
      </c>
      <c r="J709" s="450">
        <v>1988</v>
      </c>
      <c r="K709" s="560" t="s">
        <v>1211</v>
      </c>
      <c r="L709" s="450">
        <v>1993</v>
      </c>
      <c r="M709" s="243">
        <v>-9999</v>
      </c>
      <c r="N709" s="223">
        <v>-9999</v>
      </c>
      <c r="O709" s="29"/>
      <c r="P709" s="244">
        <f t="shared" si="84"/>
        <v>34.51</v>
      </c>
      <c r="Q709" s="223">
        <v>-9999</v>
      </c>
      <c r="R709" s="243"/>
      <c r="S709" s="223"/>
      <c r="T709" s="243">
        <v>4.93</v>
      </c>
      <c r="U709" s="223">
        <v>-9999</v>
      </c>
      <c r="V709" s="223"/>
      <c r="W709" s="285">
        <f t="shared" si="85"/>
        <v>9.6099999999999959</v>
      </c>
      <c r="X709" s="223">
        <v>-9999</v>
      </c>
      <c r="Y709" s="223"/>
      <c r="Z709" s="561" t="s">
        <v>1702</v>
      </c>
      <c r="AA709" s="425">
        <f t="shared" si="83"/>
        <v>1682.0700000000002</v>
      </c>
      <c r="AB709" s="243">
        <v>-9999</v>
      </c>
      <c r="AC709" s="245">
        <v>4.0460000000000003</v>
      </c>
      <c r="AD709" s="560">
        <f t="shared" si="77"/>
        <v>3300</v>
      </c>
      <c r="AE709" s="675" t="s">
        <v>97</v>
      </c>
      <c r="AF709" s="223">
        <v>3</v>
      </c>
      <c r="AG709" s="223">
        <v>-9999</v>
      </c>
      <c r="AH709" s="223">
        <v>-9999</v>
      </c>
      <c r="AI709" s="223">
        <v>-9999</v>
      </c>
      <c r="AJ709" s="223">
        <v>-9999</v>
      </c>
      <c r="AK709" s="223">
        <v>-9999</v>
      </c>
      <c r="AL709" s="223">
        <v>-9999</v>
      </c>
      <c r="AM709" s="223">
        <v>-9999</v>
      </c>
      <c r="AN709" s="223" t="s">
        <v>631</v>
      </c>
      <c r="AO709" s="223">
        <v>-9999</v>
      </c>
      <c r="AP709" s="223">
        <v>-9999</v>
      </c>
      <c r="AQ709" s="223" t="s">
        <v>631</v>
      </c>
      <c r="AR709" s="223">
        <v>0</v>
      </c>
      <c r="AS709" s="223">
        <v>-9999</v>
      </c>
      <c r="AT709" s="223">
        <v>-9999</v>
      </c>
      <c r="AU709" s="223">
        <v>0</v>
      </c>
      <c r="AV709" s="223">
        <v>-9999</v>
      </c>
      <c r="AW709" s="223">
        <v>-9999</v>
      </c>
      <c r="AX709" s="223">
        <v>0</v>
      </c>
      <c r="AY709" s="223">
        <v>-9999</v>
      </c>
      <c r="AZ709" s="223">
        <v>-9999</v>
      </c>
      <c r="BA709" s="223">
        <v>-9999</v>
      </c>
      <c r="BB709" s="223" t="s">
        <v>631</v>
      </c>
      <c r="BC709" s="223">
        <v>-9999</v>
      </c>
      <c r="BD709" s="223">
        <v>-9999</v>
      </c>
      <c r="BE709" s="223">
        <v>-9999</v>
      </c>
      <c r="BF709" s="223">
        <v>-9999</v>
      </c>
      <c r="BG709" s="223">
        <v>-9999</v>
      </c>
      <c r="BH709" s="223">
        <v>-9999</v>
      </c>
      <c r="BI709" s="223" t="s">
        <v>1055</v>
      </c>
      <c r="BJ709" s="223">
        <v>-9999</v>
      </c>
      <c r="BK709" s="223">
        <v>-9999</v>
      </c>
      <c r="BL709" s="223">
        <v>-9999</v>
      </c>
      <c r="BM709" s="223">
        <v>-9999</v>
      </c>
      <c r="BN709" s="223">
        <v>-9999</v>
      </c>
      <c r="BO709" s="223">
        <v>-9999</v>
      </c>
      <c r="BP709" s="223">
        <v>-9999</v>
      </c>
      <c r="BQ709" s="223">
        <v>-9999</v>
      </c>
      <c r="BR709" s="223">
        <v>-9999</v>
      </c>
      <c r="BS709" s="242">
        <v>-9999</v>
      </c>
      <c r="BT709" s="223">
        <v>-9999</v>
      </c>
      <c r="BU709" s="223">
        <v>-9999</v>
      </c>
      <c r="BV709" s="223">
        <v>-9999</v>
      </c>
      <c r="BW709" s="223"/>
      <c r="BX709" s="223">
        <v>-9999</v>
      </c>
      <c r="BY709" s="223">
        <v>-9999</v>
      </c>
      <c r="BZ709" s="223">
        <v>-9999</v>
      </c>
      <c r="CA709" s="334" t="s">
        <v>797</v>
      </c>
      <c r="CB709" s="247"/>
      <c r="CC709" s="83">
        <v>1</v>
      </c>
      <c r="CD709" s="32">
        <v>7</v>
      </c>
      <c r="CE709" s="292">
        <v>4.93</v>
      </c>
      <c r="CF709" s="292">
        <v>9.6099999999999959</v>
      </c>
      <c r="CG709" s="84">
        <v>7</v>
      </c>
    </row>
    <row r="710" spans="1:1873" s="23" customFormat="1" ht="25.5" x14ac:dyDescent="0.2">
      <c r="A710" s="304" t="s">
        <v>2090</v>
      </c>
      <c r="B710" s="223" t="s">
        <v>803</v>
      </c>
      <c r="C710" s="223" t="s">
        <v>1032</v>
      </c>
      <c r="D710" s="223" t="s">
        <v>619</v>
      </c>
      <c r="E710" s="305" t="s">
        <v>1451</v>
      </c>
      <c r="F710" s="241">
        <v>1</v>
      </c>
      <c r="G710" s="223">
        <v>8</v>
      </c>
      <c r="H710" s="242">
        <v>8</v>
      </c>
      <c r="I710" s="223" t="s">
        <v>807</v>
      </c>
      <c r="J710" s="450">
        <v>1988</v>
      </c>
      <c r="K710" s="560" t="s">
        <v>1211</v>
      </c>
      <c r="L710" s="450">
        <v>1994</v>
      </c>
      <c r="M710" s="243">
        <v>-9999</v>
      </c>
      <c r="N710" s="223">
        <v>-9999</v>
      </c>
      <c r="O710" s="29"/>
      <c r="P710" s="244">
        <f t="shared" si="84"/>
        <v>43.04</v>
      </c>
      <c r="Q710" s="223">
        <v>-9999</v>
      </c>
      <c r="R710" s="243"/>
      <c r="S710" s="223"/>
      <c r="T710" s="243">
        <v>5.38</v>
      </c>
      <c r="U710" s="223">
        <v>-9999</v>
      </c>
      <c r="V710" s="223"/>
      <c r="W710" s="285">
        <f t="shared" si="85"/>
        <v>8.5300000000000011</v>
      </c>
      <c r="X710" s="223">
        <v>-9999</v>
      </c>
      <c r="Y710" s="223"/>
      <c r="Z710" s="561" t="s">
        <v>1702</v>
      </c>
      <c r="AA710" s="425">
        <f t="shared" si="83"/>
        <v>1682.0700000000002</v>
      </c>
      <c r="AB710" s="243">
        <v>-9999</v>
      </c>
      <c r="AC710" s="245">
        <v>4.0460000000000003</v>
      </c>
      <c r="AD710" s="560">
        <f t="shared" si="77"/>
        <v>3300</v>
      </c>
      <c r="AE710" s="675" t="s">
        <v>97</v>
      </c>
      <c r="AF710" s="223">
        <v>3</v>
      </c>
      <c r="AG710" s="223">
        <v>-9999</v>
      </c>
      <c r="AH710" s="223">
        <v>-9999</v>
      </c>
      <c r="AI710" s="223">
        <v>-9999</v>
      </c>
      <c r="AJ710" s="223">
        <v>-9999</v>
      </c>
      <c r="AK710" s="223">
        <v>-9999</v>
      </c>
      <c r="AL710" s="223">
        <v>-9999</v>
      </c>
      <c r="AM710" s="223">
        <v>-9999</v>
      </c>
      <c r="AN710" s="223" t="s">
        <v>631</v>
      </c>
      <c r="AO710" s="223">
        <v>-9999</v>
      </c>
      <c r="AP710" s="223">
        <v>-9999</v>
      </c>
      <c r="AQ710" s="223" t="s">
        <v>631</v>
      </c>
      <c r="AR710" s="223">
        <v>0</v>
      </c>
      <c r="AS710" s="223">
        <v>-9999</v>
      </c>
      <c r="AT710" s="223">
        <v>-9999</v>
      </c>
      <c r="AU710" s="223">
        <v>0</v>
      </c>
      <c r="AV710" s="223">
        <v>-9999</v>
      </c>
      <c r="AW710" s="223">
        <v>-9999</v>
      </c>
      <c r="AX710" s="223">
        <v>0</v>
      </c>
      <c r="AY710" s="223">
        <v>-9999</v>
      </c>
      <c r="AZ710" s="223">
        <v>-9999</v>
      </c>
      <c r="BA710" s="223">
        <v>-9999</v>
      </c>
      <c r="BB710" s="223" t="s">
        <v>631</v>
      </c>
      <c r="BC710" s="223">
        <v>-9999</v>
      </c>
      <c r="BD710" s="223">
        <v>-9999</v>
      </c>
      <c r="BE710" s="223">
        <v>-9999</v>
      </c>
      <c r="BF710" s="223">
        <v>-9999</v>
      </c>
      <c r="BG710" s="223">
        <v>-9999</v>
      </c>
      <c r="BH710" s="223">
        <v>-9999</v>
      </c>
      <c r="BI710" s="223" t="s">
        <v>1055</v>
      </c>
      <c r="BJ710" s="223">
        <v>-9999</v>
      </c>
      <c r="BK710" s="223">
        <v>-9999</v>
      </c>
      <c r="BL710" s="223">
        <v>-9999</v>
      </c>
      <c r="BM710" s="223">
        <v>-9999</v>
      </c>
      <c r="BN710" s="223">
        <v>-9999</v>
      </c>
      <c r="BO710" s="223">
        <v>-9999</v>
      </c>
      <c r="BP710" s="223">
        <v>-9999</v>
      </c>
      <c r="BQ710" s="223">
        <v>-9999</v>
      </c>
      <c r="BR710" s="223">
        <v>-9999</v>
      </c>
      <c r="BS710" s="242">
        <v>-9999</v>
      </c>
      <c r="BT710" s="223">
        <v>-9999</v>
      </c>
      <c r="BU710" s="223">
        <v>-9999</v>
      </c>
      <c r="BV710" s="223">
        <v>-9999</v>
      </c>
      <c r="BW710" s="223"/>
      <c r="BX710" s="223">
        <v>-9999</v>
      </c>
      <c r="BY710" s="223">
        <v>-9999</v>
      </c>
      <c r="BZ710" s="223">
        <v>-9999</v>
      </c>
      <c r="CA710" s="334" t="s">
        <v>797</v>
      </c>
      <c r="CB710" s="247"/>
      <c r="CC710" s="83">
        <v>1</v>
      </c>
      <c r="CD710" s="32">
        <v>8</v>
      </c>
      <c r="CE710" s="292">
        <v>5.38</v>
      </c>
      <c r="CF710" s="292">
        <v>8.5300000000000011</v>
      </c>
      <c r="CG710" s="84">
        <v>8</v>
      </c>
    </row>
    <row r="711" spans="1:1873" s="202" customFormat="1" ht="25.5" x14ac:dyDescent="0.2">
      <c r="A711" s="304" t="s">
        <v>2090</v>
      </c>
      <c r="B711" s="223" t="s">
        <v>803</v>
      </c>
      <c r="C711" s="223" t="s">
        <v>1032</v>
      </c>
      <c r="D711" s="223" t="s">
        <v>619</v>
      </c>
      <c r="E711" s="241" t="s">
        <v>1451</v>
      </c>
      <c r="F711" s="241">
        <v>1</v>
      </c>
      <c r="G711" s="223">
        <v>9</v>
      </c>
      <c r="H711" s="242">
        <v>9</v>
      </c>
      <c r="I711" s="223" t="s">
        <v>807</v>
      </c>
      <c r="J711" s="450">
        <v>1988</v>
      </c>
      <c r="K711" s="560" t="s">
        <v>1211</v>
      </c>
      <c r="L711" s="450">
        <v>1995</v>
      </c>
      <c r="M711" s="243">
        <v>-9999</v>
      </c>
      <c r="N711" s="223">
        <v>-9999</v>
      </c>
      <c r="O711" s="29"/>
      <c r="P711" s="285">
        <f t="shared" si="84"/>
        <v>54.449999999999996</v>
      </c>
      <c r="Q711" s="223">
        <v>-9999</v>
      </c>
      <c r="R711" s="243"/>
      <c r="S711" s="223"/>
      <c r="T711" s="243">
        <v>6.05</v>
      </c>
      <c r="U711" s="223">
        <v>-9999</v>
      </c>
      <c r="V711" s="223"/>
      <c r="W711" s="244">
        <f t="shared" si="85"/>
        <v>11.409999999999997</v>
      </c>
      <c r="X711" s="223">
        <v>-9999</v>
      </c>
      <c r="Y711" s="223"/>
      <c r="Z711" s="561" t="s">
        <v>1702</v>
      </c>
      <c r="AA711" s="425">
        <f t="shared" si="83"/>
        <v>1682.0700000000002</v>
      </c>
      <c r="AB711" s="243">
        <v>-9999</v>
      </c>
      <c r="AC711" s="245">
        <v>4.0460000000000003</v>
      </c>
      <c r="AD711" s="560">
        <f t="shared" si="77"/>
        <v>3300</v>
      </c>
      <c r="AE711" s="675" t="s">
        <v>97</v>
      </c>
      <c r="AF711" s="223">
        <v>3</v>
      </c>
      <c r="AG711" s="223">
        <v>-9999</v>
      </c>
      <c r="AH711" s="223">
        <v>-9999</v>
      </c>
      <c r="AI711" s="223">
        <v>-9999</v>
      </c>
      <c r="AJ711" s="223">
        <v>-9999</v>
      </c>
      <c r="AK711" s="223">
        <v>-9999</v>
      </c>
      <c r="AL711" s="223">
        <v>-9999</v>
      </c>
      <c r="AM711" s="223">
        <v>-9999</v>
      </c>
      <c r="AN711" s="223" t="s">
        <v>631</v>
      </c>
      <c r="AO711" s="223">
        <v>-9999</v>
      </c>
      <c r="AP711" s="223">
        <v>-9999</v>
      </c>
      <c r="AQ711" s="223" t="s">
        <v>631</v>
      </c>
      <c r="AR711" s="223">
        <v>0</v>
      </c>
      <c r="AS711" s="223">
        <v>-9999</v>
      </c>
      <c r="AT711" s="223">
        <v>-9999</v>
      </c>
      <c r="AU711" s="223">
        <v>0</v>
      </c>
      <c r="AV711" s="223">
        <v>-9999</v>
      </c>
      <c r="AW711" s="223">
        <v>-9999</v>
      </c>
      <c r="AX711" s="223">
        <v>0</v>
      </c>
      <c r="AY711" s="223">
        <v>-9999</v>
      </c>
      <c r="AZ711" s="223">
        <v>-9999</v>
      </c>
      <c r="BA711" s="223">
        <v>-9999</v>
      </c>
      <c r="BB711" s="223" t="s">
        <v>631</v>
      </c>
      <c r="BC711" s="223">
        <v>-9999</v>
      </c>
      <c r="BD711" s="223">
        <v>-9999</v>
      </c>
      <c r="BE711" s="223">
        <v>-9999</v>
      </c>
      <c r="BF711" s="223">
        <v>-9999</v>
      </c>
      <c r="BG711" s="223">
        <v>-9999</v>
      </c>
      <c r="BH711" s="223">
        <v>-9999</v>
      </c>
      <c r="BI711" s="223" t="s">
        <v>1055</v>
      </c>
      <c r="BJ711" s="223">
        <v>-9999</v>
      </c>
      <c r="BK711" s="223">
        <v>-9999</v>
      </c>
      <c r="BL711" s="223">
        <v>-9999</v>
      </c>
      <c r="BM711" s="223">
        <v>-9999</v>
      </c>
      <c r="BN711" s="223">
        <v>-9999</v>
      </c>
      <c r="BO711" s="223">
        <v>-9999</v>
      </c>
      <c r="BP711" s="223">
        <v>-9999</v>
      </c>
      <c r="BQ711" s="223">
        <v>-9999</v>
      </c>
      <c r="BR711" s="223">
        <v>-9999</v>
      </c>
      <c r="BS711" s="242">
        <v>-9999</v>
      </c>
      <c r="BT711" s="223">
        <v>-9999</v>
      </c>
      <c r="BU711" s="223">
        <v>-9999</v>
      </c>
      <c r="BV711" s="223">
        <v>-9999</v>
      </c>
      <c r="BW711" s="223"/>
      <c r="BX711" s="223">
        <v>-9999</v>
      </c>
      <c r="BY711" s="223">
        <v>-9999</v>
      </c>
      <c r="BZ711" s="223">
        <v>-9999</v>
      </c>
      <c r="CA711" s="334" t="s">
        <v>797</v>
      </c>
      <c r="CB711" s="247"/>
      <c r="CC711" s="201">
        <v>1</v>
      </c>
      <c r="CD711" s="192">
        <v>9</v>
      </c>
      <c r="CE711" s="394">
        <v>6.05</v>
      </c>
      <c r="CF711" s="292">
        <v>11.409999999999997</v>
      </c>
      <c r="CG711" s="196">
        <v>9</v>
      </c>
      <c r="CH711" s="438" t="s">
        <v>1757</v>
      </c>
      <c r="CI711" s="23"/>
      <c r="CJ711" s="23"/>
      <c r="CK711" s="23"/>
      <c r="CL711" s="23"/>
      <c r="CM711" s="23"/>
      <c r="CN711" s="23"/>
      <c r="CO711" s="23"/>
      <c r="CP711" s="23"/>
      <c r="CQ711" s="23"/>
      <c r="CR711" s="23"/>
      <c r="CS711" s="23"/>
      <c r="CT711" s="23"/>
      <c r="CU711" s="23"/>
      <c r="CV711" s="23"/>
      <c r="CW711" s="23"/>
      <c r="CX711" s="23"/>
      <c r="CY711" s="23"/>
      <c r="CZ711" s="23"/>
      <c r="DA711" s="23"/>
      <c r="DB711" s="23"/>
      <c r="DC711" s="23"/>
      <c r="DD711" s="23"/>
      <c r="DE711" s="23"/>
      <c r="DF711" s="23"/>
      <c r="DG711" s="23"/>
      <c r="DH711" s="23"/>
      <c r="DI711" s="23"/>
      <c r="DJ711" s="23"/>
      <c r="DK711" s="23"/>
      <c r="DL711" s="23"/>
      <c r="DM711" s="23"/>
      <c r="DN711" s="23"/>
      <c r="DO711" s="23"/>
      <c r="DP711" s="23"/>
      <c r="DQ711" s="23"/>
      <c r="DR711" s="23"/>
      <c r="DS711" s="23"/>
      <c r="DT711" s="23"/>
      <c r="DU711" s="23"/>
      <c r="DV711" s="23"/>
      <c r="DW711" s="23"/>
      <c r="DX711" s="23"/>
      <c r="DY711" s="23"/>
      <c r="DZ711" s="23"/>
      <c r="EA711" s="23"/>
      <c r="EB711" s="23"/>
      <c r="EC711" s="23"/>
      <c r="ED711" s="23"/>
      <c r="EE711" s="23"/>
      <c r="EF711" s="23"/>
      <c r="EG711" s="23"/>
      <c r="EH711" s="23"/>
      <c r="EI711" s="23"/>
      <c r="EJ711" s="23"/>
      <c r="EK711" s="23"/>
      <c r="EL711" s="23"/>
      <c r="EM711" s="23"/>
      <c r="EN711" s="23"/>
      <c r="EO711" s="23"/>
      <c r="EP711" s="23"/>
      <c r="EQ711" s="23"/>
      <c r="ER711" s="23"/>
      <c r="ES711" s="23"/>
      <c r="ET711" s="23"/>
      <c r="EU711" s="23"/>
      <c r="EV711" s="23"/>
      <c r="EW711" s="23"/>
      <c r="EX711" s="23"/>
      <c r="EY711" s="23"/>
      <c r="EZ711" s="23"/>
      <c r="FA711" s="23"/>
      <c r="FB711" s="23"/>
      <c r="FC711" s="23"/>
      <c r="FD711" s="23"/>
      <c r="FE711" s="23"/>
      <c r="FF711" s="23"/>
      <c r="FG711" s="23"/>
      <c r="FH711" s="23"/>
      <c r="FI711" s="23"/>
      <c r="FJ711" s="23"/>
      <c r="FK711" s="23"/>
      <c r="FL711" s="23"/>
      <c r="FM711" s="23"/>
      <c r="FN711" s="23"/>
      <c r="FO711" s="23"/>
      <c r="FP711" s="23"/>
      <c r="FQ711" s="23"/>
      <c r="FR711" s="23"/>
      <c r="FS711" s="23"/>
      <c r="FT711" s="23"/>
      <c r="FU711" s="23"/>
      <c r="FV711" s="23"/>
      <c r="FW711" s="23"/>
      <c r="FX711" s="23"/>
      <c r="FY711" s="23"/>
      <c r="FZ711" s="23"/>
      <c r="GA711" s="23"/>
      <c r="GB711" s="23"/>
      <c r="GC711" s="23"/>
      <c r="GD711" s="23"/>
      <c r="GE711" s="23"/>
      <c r="GF711" s="23"/>
      <c r="GG711" s="23"/>
      <c r="GH711" s="23"/>
      <c r="GI711" s="23"/>
      <c r="GJ711" s="23"/>
      <c r="GK711" s="23"/>
      <c r="GL711" s="23"/>
      <c r="GM711" s="23"/>
      <c r="GN711" s="23"/>
      <c r="GO711" s="23"/>
      <c r="GP711" s="23"/>
      <c r="GQ711" s="23"/>
      <c r="GR711" s="23"/>
      <c r="GS711" s="23"/>
      <c r="GT711" s="23"/>
      <c r="GU711" s="23"/>
      <c r="GV711" s="23"/>
      <c r="GW711" s="23"/>
      <c r="GX711" s="23"/>
      <c r="GY711" s="23"/>
      <c r="GZ711" s="23"/>
      <c r="HA711" s="23"/>
      <c r="HB711" s="23"/>
      <c r="HC711" s="23"/>
      <c r="HD711" s="23"/>
      <c r="HE711" s="23"/>
      <c r="HF711" s="23"/>
      <c r="HG711" s="23"/>
      <c r="HH711" s="23"/>
      <c r="HI711" s="23"/>
      <c r="HJ711" s="23"/>
      <c r="HK711" s="23"/>
      <c r="HL711" s="23"/>
      <c r="HM711" s="23"/>
      <c r="HN711" s="23"/>
      <c r="HO711" s="23"/>
      <c r="HP711" s="23"/>
      <c r="HQ711" s="23"/>
      <c r="HR711" s="23"/>
      <c r="HS711" s="23"/>
      <c r="HT711" s="23"/>
      <c r="HU711" s="23"/>
      <c r="HV711" s="23"/>
      <c r="HW711" s="23"/>
      <c r="HX711" s="23"/>
      <c r="HY711" s="23"/>
      <c r="HZ711" s="23"/>
      <c r="IA711" s="23"/>
      <c r="IB711" s="23"/>
      <c r="IC711" s="23"/>
      <c r="ID711" s="23"/>
      <c r="IE711" s="23"/>
      <c r="IF711" s="23"/>
      <c r="IG711" s="23"/>
      <c r="IH711" s="23"/>
      <c r="II711" s="23"/>
      <c r="IJ711" s="23"/>
      <c r="IK711" s="23"/>
      <c r="IL711" s="23"/>
      <c r="IM711" s="23"/>
      <c r="IN711" s="23"/>
      <c r="IO711" s="23"/>
      <c r="IP711" s="23"/>
      <c r="IQ711" s="23"/>
      <c r="IR711" s="23"/>
      <c r="IS711" s="23"/>
      <c r="IT711" s="23"/>
      <c r="IU711" s="23"/>
      <c r="IV711" s="23"/>
      <c r="IW711" s="23"/>
      <c r="IX711" s="23"/>
      <c r="IY711" s="23"/>
      <c r="IZ711" s="23"/>
      <c r="JA711" s="23"/>
      <c r="JB711" s="23"/>
      <c r="JC711" s="23"/>
      <c r="JD711" s="23"/>
      <c r="JE711" s="23"/>
      <c r="JF711" s="23"/>
      <c r="JG711" s="23"/>
      <c r="JH711" s="23"/>
      <c r="JI711" s="23"/>
      <c r="JJ711" s="23"/>
      <c r="JK711" s="23"/>
      <c r="JL711" s="23"/>
      <c r="JM711" s="23"/>
      <c r="JN711" s="23"/>
      <c r="JO711" s="23"/>
      <c r="JP711" s="23"/>
      <c r="JQ711" s="23"/>
      <c r="JR711" s="23"/>
      <c r="JS711" s="23"/>
      <c r="JT711" s="23"/>
      <c r="JU711" s="23"/>
      <c r="JV711" s="23"/>
      <c r="JW711" s="23"/>
      <c r="JX711" s="23"/>
      <c r="JY711" s="23"/>
      <c r="JZ711" s="23"/>
      <c r="KA711" s="23"/>
      <c r="KB711" s="23"/>
      <c r="KC711" s="23"/>
      <c r="KD711" s="23"/>
      <c r="KE711" s="23"/>
      <c r="KF711" s="23"/>
      <c r="KG711" s="23"/>
      <c r="KH711" s="23"/>
      <c r="KI711" s="23"/>
      <c r="KJ711" s="23"/>
      <c r="KK711" s="23"/>
      <c r="KL711" s="23"/>
      <c r="KM711" s="23"/>
      <c r="KN711" s="23"/>
      <c r="KO711" s="23"/>
      <c r="KP711" s="23"/>
      <c r="KQ711" s="23"/>
      <c r="KR711" s="23"/>
      <c r="KS711" s="23"/>
      <c r="KT711" s="23"/>
      <c r="KU711" s="23"/>
      <c r="KV711" s="23"/>
      <c r="KW711" s="23"/>
      <c r="KX711" s="23"/>
      <c r="KY711" s="23"/>
      <c r="KZ711" s="23"/>
      <c r="LA711" s="23"/>
      <c r="LB711" s="23"/>
      <c r="LC711" s="23"/>
      <c r="LD711" s="23"/>
      <c r="LE711" s="23"/>
      <c r="LF711" s="23"/>
      <c r="LG711" s="23"/>
      <c r="LH711" s="23"/>
      <c r="LI711" s="23"/>
      <c r="LJ711" s="23"/>
      <c r="LK711" s="23"/>
      <c r="LL711" s="23"/>
      <c r="LM711" s="23"/>
      <c r="LN711" s="23"/>
      <c r="LO711" s="23"/>
      <c r="LP711" s="23"/>
      <c r="LQ711" s="23"/>
      <c r="LR711" s="23"/>
      <c r="LS711" s="23"/>
      <c r="LT711" s="23"/>
      <c r="LU711" s="23"/>
      <c r="LV711" s="23"/>
      <c r="LW711" s="23"/>
      <c r="LX711" s="23"/>
      <c r="LY711" s="23"/>
      <c r="LZ711" s="23"/>
      <c r="MA711" s="23"/>
      <c r="MB711" s="23"/>
      <c r="MC711" s="23"/>
      <c r="MD711" s="23"/>
      <c r="ME711" s="23"/>
      <c r="MF711" s="23"/>
      <c r="MG711" s="23"/>
      <c r="MH711" s="23"/>
      <c r="MI711" s="23"/>
      <c r="MJ711" s="23"/>
      <c r="MK711" s="23"/>
      <c r="ML711" s="23"/>
      <c r="MM711" s="23"/>
      <c r="MN711" s="23"/>
      <c r="MO711" s="23"/>
      <c r="MP711" s="23"/>
      <c r="MQ711" s="23"/>
      <c r="MR711" s="23"/>
      <c r="MS711" s="23"/>
      <c r="MT711" s="23"/>
      <c r="MU711" s="23"/>
      <c r="MV711" s="23"/>
      <c r="MW711" s="23"/>
      <c r="MX711" s="23"/>
      <c r="MY711" s="23"/>
      <c r="MZ711" s="23"/>
      <c r="NA711" s="23"/>
      <c r="NB711" s="23"/>
      <c r="NC711" s="23"/>
      <c r="ND711" s="23"/>
      <c r="NE711" s="23"/>
      <c r="NF711" s="23"/>
      <c r="NG711" s="23"/>
      <c r="NH711" s="23"/>
      <c r="NI711" s="23"/>
      <c r="NJ711" s="23"/>
      <c r="NK711" s="23"/>
      <c r="NL711" s="23"/>
      <c r="NM711" s="23"/>
      <c r="NN711" s="23"/>
      <c r="NO711" s="23"/>
      <c r="NP711" s="23"/>
      <c r="NQ711" s="23"/>
      <c r="NR711" s="23"/>
      <c r="NS711" s="23"/>
      <c r="NT711" s="23"/>
      <c r="NU711" s="23"/>
      <c r="NV711" s="23"/>
      <c r="NW711" s="23"/>
      <c r="NX711" s="23"/>
      <c r="NY711" s="23"/>
      <c r="NZ711" s="23"/>
      <c r="OA711" s="23"/>
      <c r="OB711" s="23"/>
      <c r="OC711" s="23"/>
      <c r="OD711" s="23"/>
      <c r="OE711" s="23"/>
      <c r="OF711" s="23"/>
      <c r="OG711" s="23"/>
      <c r="OH711" s="23"/>
      <c r="OI711" s="23"/>
      <c r="OJ711" s="23"/>
      <c r="OK711" s="23"/>
      <c r="OL711" s="23"/>
      <c r="OM711" s="23"/>
      <c r="ON711" s="23"/>
      <c r="OO711" s="23"/>
      <c r="OP711" s="23"/>
      <c r="OQ711" s="23"/>
      <c r="OR711" s="23"/>
      <c r="OS711" s="23"/>
      <c r="OT711" s="23"/>
      <c r="OU711" s="23"/>
      <c r="OV711" s="23"/>
      <c r="OW711" s="23"/>
      <c r="OX711" s="23"/>
      <c r="OY711" s="23"/>
      <c r="OZ711" s="23"/>
      <c r="PA711" s="23"/>
      <c r="PB711" s="23"/>
      <c r="PC711" s="23"/>
      <c r="PD711" s="23"/>
      <c r="PE711" s="23"/>
      <c r="PF711" s="23"/>
      <c r="PG711" s="23"/>
      <c r="PH711" s="23"/>
      <c r="PI711" s="23"/>
      <c r="PJ711" s="23"/>
      <c r="PK711" s="23"/>
      <c r="PL711" s="23"/>
      <c r="PM711" s="23"/>
      <c r="PN711" s="23"/>
      <c r="PO711" s="23"/>
      <c r="PP711" s="23"/>
      <c r="PQ711" s="23"/>
      <c r="PR711" s="23"/>
      <c r="PS711" s="23"/>
      <c r="PT711" s="23"/>
      <c r="PU711" s="23"/>
      <c r="PV711" s="23"/>
      <c r="PW711" s="23"/>
      <c r="PX711" s="23"/>
      <c r="PY711" s="23"/>
      <c r="PZ711" s="23"/>
      <c r="QA711" s="23"/>
      <c r="QB711" s="23"/>
      <c r="QC711" s="23"/>
      <c r="QD711" s="23"/>
      <c r="QE711" s="23"/>
      <c r="QF711" s="23"/>
      <c r="QG711" s="23"/>
      <c r="QH711" s="23"/>
      <c r="QI711" s="23"/>
      <c r="QJ711" s="23"/>
      <c r="QK711" s="23"/>
      <c r="QL711" s="23"/>
      <c r="QM711" s="23"/>
      <c r="QN711" s="23"/>
      <c r="QO711" s="23"/>
      <c r="QP711" s="23"/>
      <c r="QQ711" s="23"/>
      <c r="QR711" s="23"/>
      <c r="QS711" s="23"/>
      <c r="QT711" s="23"/>
      <c r="QU711" s="23"/>
      <c r="QV711" s="23"/>
      <c r="QW711" s="23"/>
      <c r="QX711" s="23"/>
      <c r="QY711" s="23"/>
      <c r="QZ711" s="23"/>
      <c r="RA711" s="23"/>
      <c r="RB711" s="23"/>
      <c r="RC711" s="23"/>
      <c r="RD711" s="23"/>
      <c r="RE711" s="23"/>
      <c r="RF711" s="23"/>
      <c r="RG711" s="23"/>
      <c r="RH711" s="23"/>
      <c r="RI711" s="23"/>
      <c r="RJ711" s="23"/>
      <c r="RK711" s="23"/>
      <c r="RL711" s="23"/>
      <c r="RM711" s="23"/>
      <c r="RN711" s="23"/>
      <c r="RO711" s="23"/>
      <c r="RP711" s="23"/>
      <c r="RQ711" s="23"/>
      <c r="RR711" s="23"/>
      <c r="RS711" s="23"/>
      <c r="RT711" s="23"/>
      <c r="RU711" s="23"/>
      <c r="RV711" s="23"/>
      <c r="RW711" s="23"/>
      <c r="RX711" s="23"/>
      <c r="RY711" s="23"/>
      <c r="RZ711" s="23"/>
      <c r="SA711" s="23"/>
      <c r="SB711" s="23"/>
      <c r="SC711" s="23"/>
      <c r="SD711" s="23"/>
      <c r="SE711" s="23"/>
      <c r="SF711" s="23"/>
      <c r="SG711" s="23"/>
      <c r="SH711" s="23"/>
      <c r="SI711" s="23"/>
      <c r="SJ711" s="23"/>
      <c r="SK711" s="23"/>
      <c r="SL711" s="23"/>
      <c r="SM711" s="23"/>
      <c r="SN711" s="23"/>
      <c r="SO711" s="23"/>
      <c r="SP711" s="23"/>
      <c r="SQ711" s="23"/>
      <c r="SR711" s="23"/>
      <c r="SS711" s="23"/>
      <c r="ST711" s="23"/>
      <c r="SU711" s="23"/>
      <c r="SV711" s="23"/>
      <c r="SW711" s="23"/>
      <c r="SX711" s="23"/>
      <c r="SY711" s="23"/>
      <c r="SZ711" s="23"/>
      <c r="TA711" s="23"/>
      <c r="TB711" s="23"/>
      <c r="TC711" s="23"/>
      <c r="TD711" s="23"/>
      <c r="TE711" s="23"/>
      <c r="TF711" s="23"/>
      <c r="TG711" s="23"/>
      <c r="TH711" s="23"/>
      <c r="TI711" s="23"/>
      <c r="TJ711" s="23"/>
      <c r="TK711" s="23"/>
      <c r="TL711" s="23"/>
      <c r="TM711" s="23"/>
      <c r="TN711" s="23"/>
      <c r="TO711" s="23"/>
      <c r="TP711" s="23"/>
      <c r="TQ711" s="23"/>
      <c r="TR711" s="23"/>
      <c r="TS711" s="23"/>
      <c r="TT711" s="23"/>
      <c r="TU711" s="23"/>
      <c r="TV711" s="23"/>
      <c r="TW711" s="23"/>
      <c r="TX711" s="23"/>
      <c r="TY711" s="23"/>
      <c r="TZ711" s="23"/>
      <c r="UA711" s="23"/>
      <c r="UB711" s="23"/>
      <c r="UC711" s="23"/>
      <c r="UD711" s="23"/>
      <c r="UE711" s="23"/>
      <c r="UF711" s="23"/>
      <c r="UG711" s="23"/>
      <c r="UH711" s="23"/>
      <c r="UI711" s="23"/>
      <c r="UJ711" s="23"/>
      <c r="UK711" s="23"/>
      <c r="UL711" s="23"/>
      <c r="UM711" s="23"/>
      <c r="UN711" s="23"/>
      <c r="UO711" s="23"/>
      <c r="UP711" s="23"/>
      <c r="UQ711" s="23"/>
      <c r="UR711" s="23"/>
      <c r="US711" s="23"/>
      <c r="UT711" s="23"/>
      <c r="UU711" s="23"/>
      <c r="UV711" s="23"/>
      <c r="UW711" s="23"/>
      <c r="UX711" s="23"/>
      <c r="UY711" s="23"/>
      <c r="UZ711" s="23"/>
      <c r="VA711" s="23"/>
      <c r="VB711" s="23"/>
      <c r="VC711" s="23"/>
      <c r="VD711" s="23"/>
      <c r="VE711" s="23"/>
      <c r="VF711" s="23"/>
      <c r="VG711" s="23"/>
      <c r="VH711" s="23"/>
      <c r="VI711" s="23"/>
      <c r="VJ711" s="23"/>
      <c r="VK711" s="23"/>
      <c r="VL711" s="23"/>
      <c r="VM711" s="23"/>
      <c r="VN711" s="23"/>
      <c r="VO711" s="23"/>
      <c r="VP711" s="23"/>
      <c r="VQ711" s="23"/>
      <c r="VR711" s="23"/>
      <c r="VS711" s="23"/>
      <c r="VT711" s="23"/>
      <c r="VU711" s="23"/>
      <c r="VV711" s="23"/>
      <c r="VW711" s="23"/>
      <c r="VX711" s="23"/>
      <c r="VY711" s="23"/>
      <c r="VZ711" s="23"/>
      <c r="WA711" s="23"/>
      <c r="WB711" s="23"/>
      <c r="WC711" s="23"/>
      <c r="WD711" s="23"/>
      <c r="WE711" s="23"/>
      <c r="WF711" s="23"/>
      <c r="WG711" s="23"/>
      <c r="WH711" s="23"/>
      <c r="WI711" s="23"/>
      <c r="WJ711" s="23"/>
      <c r="WK711" s="23"/>
      <c r="WL711" s="23"/>
      <c r="WM711" s="23"/>
      <c r="WN711" s="23"/>
      <c r="WO711" s="23"/>
      <c r="WP711" s="23"/>
      <c r="WQ711" s="23"/>
      <c r="WR711" s="23"/>
      <c r="WS711" s="23"/>
      <c r="WT711" s="23"/>
      <c r="WU711" s="23"/>
      <c r="WV711" s="23"/>
      <c r="WW711" s="23"/>
      <c r="WX711" s="23"/>
      <c r="WY711" s="23"/>
      <c r="WZ711" s="23"/>
      <c r="XA711" s="23"/>
      <c r="XB711" s="23"/>
      <c r="XC711" s="23"/>
      <c r="XD711" s="23"/>
      <c r="XE711" s="23"/>
      <c r="XF711" s="23"/>
      <c r="XG711" s="23"/>
      <c r="XH711" s="23"/>
      <c r="XI711" s="23"/>
      <c r="XJ711" s="23"/>
      <c r="XK711" s="23"/>
      <c r="XL711" s="23"/>
      <c r="XM711" s="23"/>
      <c r="XN711" s="23"/>
      <c r="XO711" s="23"/>
      <c r="XP711" s="23"/>
      <c r="XQ711" s="23"/>
      <c r="XR711" s="23"/>
      <c r="XS711" s="23"/>
      <c r="XT711" s="23"/>
      <c r="XU711" s="23"/>
      <c r="XV711" s="23"/>
      <c r="XW711" s="23"/>
      <c r="XX711" s="23"/>
      <c r="XY711" s="23"/>
      <c r="XZ711" s="23"/>
      <c r="YA711" s="23"/>
      <c r="YB711" s="23"/>
      <c r="YC711" s="23"/>
      <c r="YD711" s="23"/>
      <c r="YE711" s="23"/>
      <c r="YF711" s="23"/>
      <c r="YG711" s="23"/>
      <c r="YH711" s="23"/>
      <c r="YI711" s="23"/>
      <c r="YJ711" s="23"/>
      <c r="YK711" s="23"/>
      <c r="YL711" s="23"/>
      <c r="YM711" s="23"/>
      <c r="YN711" s="23"/>
      <c r="YO711" s="23"/>
      <c r="YP711" s="23"/>
      <c r="YQ711" s="23"/>
      <c r="YR711" s="23"/>
      <c r="YS711" s="23"/>
      <c r="YT711" s="23"/>
      <c r="YU711" s="23"/>
      <c r="YV711" s="23"/>
      <c r="YW711" s="23"/>
      <c r="YX711" s="23"/>
      <c r="YY711" s="23"/>
      <c r="YZ711" s="23"/>
      <c r="ZA711" s="23"/>
      <c r="ZB711" s="23"/>
      <c r="ZC711" s="23"/>
      <c r="ZD711" s="23"/>
      <c r="ZE711" s="23"/>
      <c r="ZF711" s="23"/>
      <c r="ZG711" s="23"/>
      <c r="ZH711" s="23"/>
      <c r="ZI711" s="23"/>
      <c r="ZJ711" s="23"/>
      <c r="ZK711" s="23"/>
      <c r="ZL711" s="23"/>
      <c r="ZM711" s="23"/>
      <c r="ZN711" s="23"/>
      <c r="ZO711" s="23"/>
      <c r="ZP711" s="23"/>
      <c r="ZQ711" s="23"/>
      <c r="ZR711" s="23"/>
      <c r="ZS711" s="23"/>
      <c r="ZT711" s="23"/>
      <c r="ZU711" s="23"/>
      <c r="ZV711" s="23"/>
      <c r="ZW711" s="23"/>
      <c r="ZX711" s="23"/>
      <c r="ZY711" s="23"/>
      <c r="ZZ711" s="23"/>
      <c r="AAA711" s="23"/>
      <c r="AAB711" s="23"/>
      <c r="AAC711" s="23"/>
      <c r="AAD711" s="23"/>
      <c r="AAE711" s="23"/>
      <c r="AAF711" s="23"/>
      <c r="AAG711" s="23"/>
      <c r="AAH711" s="23"/>
      <c r="AAI711" s="23"/>
      <c r="AAJ711" s="23"/>
      <c r="AAK711" s="23"/>
      <c r="AAL711" s="23"/>
      <c r="AAM711" s="23"/>
      <c r="AAN711" s="23"/>
      <c r="AAO711" s="23"/>
      <c r="AAP711" s="23"/>
      <c r="AAQ711" s="23"/>
      <c r="AAR711" s="23"/>
      <c r="AAS711" s="23"/>
      <c r="AAT711" s="23"/>
      <c r="AAU711" s="23"/>
      <c r="AAV711" s="23"/>
      <c r="AAW711" s="23"/>
      <c r="AAX711" s="23"/>
      <c r="AAY711" s="23"/>
      <c r="AAZ711" s="23"/>
      <c r="ABA711" s="23"/>
      <c r="ABB711" s="23"/>
      <c r="ABC711" s="23"/>
      <c r="ABD711" s="23"/>
      <c r="ABE711" s="23"/>
      <c r="ABF711" s="23"/>
      <c r="ABG711" s="23"/>
      <c r="ABH711" s="23"/>
      <c r="ABI711" s="23"/>
      <c r="ABJ711" s="23"/>
      <c r="ABK711" s="23"/>
      <c r="ABL711" s="23"/>
      <c r="ABM711" s="23"/>
      <c r="ABN711" s="23"/>
      <c r="ABO711" s="23"/>
      <c r="ABP711" s="23"/>
      <c r="ABQ711" s="23"/>
      <c r="ABR711" s="23"/>
      <c r="ABS711" s="23"/>
      <c r="ABT711" s="23"/>
      <c r="ABU711" s="23"/>
      <c r="ABV711" s="23"/>
      <c r="ABW711" s="23"/>
      <c r="ABX711" s="23"/>
      <c r="ABY711" s="23"/>
      <c r="ABZ711" s="23"/>
      <c r="ACA711" s="23"/>
      <c r="ACB711" s="23"/>
      <c r="ACC711" s="23"/>
      <c r="ACD711" s="23"/>
      <c r="ACE711" s="23"/>
      <c r="ACF711" s="23"/>
      <c r="ACG711" s="23"/>
      <c r="ACH711" s="23"/>
      <c r="ACI711" s="23"/>
      <c r="ACJ711" s="23"/>
      <c r="ACK711" s="23"/>
      <c r="ACL711" s="23"/>
      <c r="ACM711" s="23"/>
      <c r="ACN711" s="23"/>
      <c r="ACO711" s="23"/>
      <c r="ACP711" s="23"/>
      <c r="ACQ711" s="23"/>
      <c r="ACR711" s="23"/>
      <c r="ACS711" s="23"/>
      <c r="ACT711" s="23"/>
      <c r="ACU711" s="23"/>
      <c r="ACV711" s="23"/>
      <c r="ACW711" s="23"/>
      <c r="ACX711" s="23"/>
      <c r="ACY711" s="23"/>
      <c r="ACZ711" s="23"/>
      <c r="ADA711" s="23"/>
      <c r="ADB711" s="23"/>
      <c r="ADC711" s="23"/>
      <c r="ADD711" s="23"/>
      <c r="ADE711" s="23"/>
      <c r="ADF711" s="23"/>
      <c r="ADG711" s="23"/>
      <c r="ADH711" s="23"/>
      <c r="ADI711" s="23"/>
      <c r="ADJ711" s="23"/>
      <c r="ADK711" s="23"/>
      <c r="ADL711" s="23"/>
      <c r="ADM711" s="23"/>
      <c r="ADN711" s="23"/>
      <c r="ADO711" s="23"/>
      <c r="ADP711" s="23"/>
      <c r="ADQ711" s="23"/>
      <c r="ADR711" s="23"/>
      <c r="ADS711" s="23"/>
      <c r="ADT711" s="23"/>
      <c r="ADU711" s="23"/>
      <c r="ADV711" s="23"/>
      <c r="ADW711" s="23"/>
      <c r="ADX711" s="23"/>
      <c r="ADY711" s="23"/>
      <c r="ADZ711" s="23"/>
      <c r="AEA711" s="23"/>
      <c r="AEB711" s="23"/>
      <c r="AEC711" s="23"/>
      <c r="AED711" s="23"/>
      <c r="AEE711" s="23"/>
      <c r="AEF711" s="23"/>
      <c r="AEG711" s="23"/>
      <c r="AEH711" s="23"/>
      <c r="AEI711" s="23"/>
      <c r="AEJ711" s="23"/>
      <c r="AEK711" s="23"/>
      <c r="AEL711" s="23"/>
      <c r="AEM711" s="23"/>
      <c r="AEN711" s="23"/>
      <c r="AEO711" s="23"/>
      <c r="AEP711" s="23"/>
      <c r="AEQ711" s="23"/>
      <c r="AER711" s="23"/>
      <c r="AES711" s="23"/>
      <c r="AET711" s="23"/>
      <c r="AEU711" s="23"/>
      <c r="AEV711" s="23"/>
      <c r="AEW711" s="23"/>
      <c r="AEX711" s="23"/>
      <c r="AEY711" s="23"/>
      <c r="AEZ711" s="23"/>
      <c r="AFA711" s="23"/>
      <c r="AFB711" s="23"/>
      <c r="AFC711" s="23"/>
      <c r="AFD711" s="23"/>
      <c r="AFE711" s="23"/>
      <c r="AFF711" s="23"/>
      <c r="AFG711" s="23"/>
      <c r="AFH711" s="23"/>
      <c r="AFI711" s="23"/>
      <c r="AFJ711" s="23"/>
      <c r="AFK711" s="23"/>
      <c r="AFL711" s="23"/>
      <c r="AFM711" s="23"/>
      <c r="AFN711" s="23"/>
      <c r="AFO711" s="23"/>
      <c r="AFP711" s="23"/>
      <c r="AFQ711" s="23"/>
      <c r="AFR711" s="23"/>
      <c r="AFS711" s="23"/>
      <c r="AFT711" s="23"/>
      <c r="AFU711" s="23"/>
      <c r="AFV711" s="23"/>
      <c r="AFW711" s="23"/>
      <c r="AFX711" s="23"/>
      <c r="AFY711" s="23"/>
      <c r="AFZ711" s="23"/>
      <c r="AGA711" s="23"/>
      <c r="AGB711" s="23"/>
      <c r="AGC711" s="23"/>
      <c r="AGD711" s="23"/>
      <c r="AGE711" s="23"/>
      <c r="AGF711" s="23"/>
      <c r="AGG711" s="23"/>
      <c r="AGH711" s="23"/>
      <c r="AGI711" s="23"/>
      <c r="AGJ711" s="23"/>
      <c r="AGK711" s="23"/>
      <c r="AGL711" s="23"/>
      <c r="AGM711" s="23"/>
      <c r="AGN711" s="23"/>
      <c r="AGO711" s="23"/>
      <c r="AGP711" s="23"/>
      <c r="AGQ711" s="23"/>
      <c r="AGR711" s="23"/>
      <c r="AGS711" s="23"/>
      <c r="AGT711" s="23"/>
      <c r="AGU711" s="23"/>
      <c r="AGV711" s="23"/>
      <c r="AGW711" s="23"/>
      <c r="AGX711" s="23"/>
      <c r="AGY711" s="23"/>
      <c r="AGZ711" s="23"/>
      <c r="AHA711" s="23"/>
      <c r="AHB711" s="23"/>
      <c r="AHC711" s="23"/>
      <c r="AHD711" s="23"/>
      <c r="AHE711" s="23"/>
      <c r="AHF711" s="23"/>
      <c r="AHG711" s="23"/>
      <c r="AHH711" s="23"/>
      <c r="AHI711" s="23"/>
      <c r="AHJ711" s="23"/>
      <c r="AHK711" s="23"/>
      <c r="AHL711" s="23"/>
      <c r="AHM711" s="23"/>
      <c r="AHN711" s="23"/>
      <c r="AHO711" s="23"/>
      <c r="AHP711" s="23"/>
      <c r="AHQ711" s="23"/>
      <c r="AHR711" s="23"/>
      <c r="AHS711" s="23"/>
      <c r="AHT711" s="23"/>
      <c r="AHU711" s="23"/>
      <c r="AHV711" s="23"/>
      <c r="AHW711" s="23"/>
      <c r="AHX711" s="23"/>
      <c r="AHY711" s="23"/>
      <c r="AHZ711" s="23"/>
      <c r="AIA711" s="23"/>
      <c r="AIB711" s="23"/>
      <c r="AIC711" s="23"/>
      <c r="AID711" s="23"/>
      <c r="AIE711" s="23"/>
      <c r="AIF711" s="23"/>
      <c r="AIG711" s="23"/>
      <c r="AIH711" s="23"/>
      <c r="AII711" s="23"/>
      <c r="AIJ711" s="23"/>
      <c r="AIK711" s="23"/>
      <c r="AIL711" s="23"/>
      <c r="AIM711" s="23"/>
      <c r="AIN711" s="23"/>
      <c r="AIO711" s="23"/>
      <c r="AIP711" s="23"/>
      <c r="AIQ711" s="23"/>
      <c r="AIR711" s="23"/>
      <c r="AIS711" s="23"/>
      <c r="AIT711" s="23"/>
      <c r="AIU711" s="23"/>
      <c r="AIV711" s="23"/>
      <c r="AIW711" s="23"/>
      <c r="AIX711" s="23"/>
      <c r="AIY711" s="23"/>
      <c r="AIZ711" s="23"/>
      <c r="AJA711" s="23"/>
      <c r="AJB711" s="23"/>
      <c r="AJC711" s="23"/>
      <c r="AJD711" s="23"/>
      <c r="AJE711" s="23"/>
      <c r="AJF711" s="23"/>
      <c r="AJG711" s="23"/>
      <c r="AJH711" s="23"/>
      <c r="AJI711" s="23"/>
      <c r="AJJ711" s="23"/>
      <c r="AJK711" s="23"/>
      <c r="AJL711" s="23"/>
      <c r="AJM711" s="23"/>
      <c r="AJN711" s="23"/>
      <c r="AJO711" s="23"/>
      <c r="AJP711" s="23"/>
      <c r="AJQ711" s="23"/>
      <c r="AJR711" s="23"/>
      <c r="AJS711" s="23"/>
      <c r="AJT711" s="23"/>
      <c r="AJU711" s="23"/>
      <c r="AJV711" s="23"/>
      <c r="AJW711" s="23"/>
      <c r="AJX711" s="23"/>
      <c r="AJY711" s="23"/>
      <c r="AJZ711" s="23"/>
      <c r="AKA711" s="23"/>
      <c r="AKB711" s="23"/>
      <c r="AKC711" s="23"/>
      <c r="AKD711" s="23"/>
      <c r="AKE711" s="23"/>
      <c r="AKF711" s="23"/>
      <c r="AKG711" s="23"/>
      <c r="AKH711" s="23"/>
      <c r="AKI711" s="23"/>
      <c r="AKJ711" s="23"/>
      <c r="AKK711" s="23"/>
      <c r="AKL711" s="23"/>
      <c r="AKM711" s="23"/>
      <c r="AKN711" s="23"/>
      <c r="AKO711" s="23"/>
      <c r="AKP711" s="23"/>
      <c r="AKQ711" s="23"/>
      <c r="AKR711" s="23"/>
      <c r="AKS711" s="23"/>
      <c r="AKT711" s="23"/>
      <c r="AKU711" s="23"/>
      <c r="AKV711" s="23"/>
      <c r="AKW711" s="23"/>
      <c r="AKX711" s="23"/>
      <c r="AKY711" s="23"/>
      <c r="AKZ711" s="23"/>
      <c r="ALA711" s="23"/>
      <c r="ALB711" s="23"/>
      <c r="ALC711" s="23"/>
      <c r="ALD711" s="23"/>
      <c r="ALE711" s="23"/>
      <c r="ALF711" s="23"/>
      <c r="ALG711" s="23"/>
      <c r="ALH711" s="23"/>
      <c r="ALI711" s="23"/>
      <c r="ALJ711" s="23"/>
      <c r="ALK711" s="23"/>
      <c r="ALL711" s="23"/>
      <c r="ALM711" s="23"/>
      <c r="ALN711" s="23"/>
      <c r="ALO711" s="23"/>
      <c r="ALP711" s="23"/>
      <c r="ALQ711" s="23"/>
      <c r="ALR711" s="23"/>
      <c r="ALS711" s="23"/>
      <c r="ALT711" s="23"/>
      <c r="ALU711" s="23"/>
      <c r="ALV711" s="23"/>
      <c r="ALW711" s="23"/>
      <c r="ALX711" s="23"/>
      <c r="ALY711" s="23"/>
      <c r="ALZ711" s="23"/>
      <c r="AMA711" s="23"/>
      <c r="AMB711" s="23"/>
      <c r="AMC711" s="23"/>
      <c r="AMD711" s="23"/>
      <c r="AME711" s="23"/>
      <c r="AMF711" s="23"/>
      <c r="AMG711" s="23"/>
      <c r="AMH711" s="23"/>
      <c r="AMI711" s="23"/>
      <c r="AMJ711" s="23"/>
      <c r="AMK711" s="23"/>
      <c r="AML711" s="23"/>
      <c r="AMM711" s="23"/>
      <c r="AMN711" s="23"/>
      <c r="AMO711" s="23"/>
      <c r="AMP711" s="23"/>
      <c r="AMQ711" s="23"/>
      <c r="AMR711" s="23"/>
      <c r="AMS711" s="23"/>
      <c r="AMT711" s="23"/>
      <c r="AMU711" s="23"/>
      <c r="AMV711" s="23"/>
      <c r="AMW711" s="23"/>
      <c r="AMX711" s="23"/>
      <c r="AMY711" s="23"/>
      <c r="AMZ711" s="23"/>
      <c r="ANA711" s="23"/>
      <c r="ANB711" s="23"/>
      <c r="ANC711" s="23"/>
      <c r="AND711" s="23"/>
      <c r="ANE711" s="23"/>
      <c r="ANF711" s="23"/>
      <c r="ANG711" s="23"/>
      <c r="ANH711" s="23"/>
      <c r="ANI711" s="23"/>
      <c r="ANJ711" s="23"/>
      <c r="ANK711" s="23"/>
      <c r="ANL711" s="23"/>
      <c r="ANM711" s="23"/>
      <c r="ANN711" s="23"/>
      <c r="ANO711" s="23"/>
      <c r="ANP711" s="23"/>
      <c r="ANQ711" s="23"/>
      <c r="ANR711" s="23"/>
      <c r="ANS711" s="23"/>
      <c r="ANT711" s="23"/>
      <c r="ANU711" s="23"/>
      <c r="ANV711" s="23"/>
      <c r="ANW711" s="23"/>
      <c r="ANX711" s="23"/>
      <c r="ANY711" s="23"/>
      <c r="ANZ711" s="23"/>
      <c r="AOA711" s="23"/>
      <c r="AOB711" s="23"/>
      <c r="AOC711" s="23"/>
      <c r="AOD711" s="23"/>
      <c r="AOE711" s="23"/>
      <c r="AOF711" s="23"/>
      <c r="AOG711" s="23"/>
      <c r="AOH711" s="23"/>
      <c r="AOI711" s="23"/>
      <c r="AOJ711" s="23"/>
      <c r="AOK711" s="23"/>
      <c r="AOL711" s="23"/>
      <c r="AOM711" s="23"/>
      <c r="AON711" s="23"/>
      <c r="AOO711" s="23"/>
      <c r="AOP711" s="23"/>
      <c r="AOQ711" s="23"/>
      <c r="AOR711" s="23"/>
      <c r="AOS711" s="23"/>
      <c r="AOT711" s="23"/>
      <c r="AOU711" s="23"/>
      <c r="AOV711" s="23"/>
      <c r="AOW711" s="23"/>
      <c r="AOX711" s="23"/>
      <c r="AOY711" s="23"/>
      <c r="AOZ711" s="23"/>
      <c r="APA711" s="23"/>
      <c r="APB711" s="23"/>
      <c r="APC711" s="23"/>
      <c r="APD711" s="23"/>
      <c r="APE711" s="23"/>
      <c r="APF711" s="23"/>
      <c r="APG711" s="23"/>
      <c r="APH711" s="23"/>
      <c r="API711" s="23"/>
      <c r="APJ711" s="23"/>
      <c r="APK711" s="23"/>
      <c r="APL711" s="23"/>
      <c r="APM711" s="23"/>
      <c r="APN711" s="23"/>
      <c r="APO711" s="23"/>
      <c r="APP711" s="23"/>
      <c r="APQ711" s="23"/>
      <c r="APR711" s="23"/>
      <c r="APS711" s="23"/>
      <c r="APT711" s="23"/>
      <c r="APU711" s="23"/>
      <c r="APV711" s="23"/>
      <c r="APW711" s="23"/>
      <c r="APX711" s="23"/>
      <c r="APY711" s="23"/>
      <c r="APZ711" s="23"/>
      <c r="AQA711" s="23"/>
      <c r="AQB711" s="23"/>
      <c r="AQC711" s="23"/>
      <c r="AQD711" s="23"/>
      <c r="AQE711" s="23"/>
      <c r="AQF711" s="23"/>
      <c r="AQG711" s="23"/>
      <c r="AQH711" s="23"/>
      <c r="AQI711" s="23"/>
      <c r="AQJ711" s="23"/>
      <c r="AQK711" s="23"/>
      <c r="AQL711" s="23"/>
      <c r="AQM711" s="23"/>
      <c r="AQN711" s="23"/>
      <c r="AQO711" s="23"/>
      <c r="AQP711" s="23"/>
      <c r="AQQ711" s="23"/>
      <c r="AQR711" s="23"/>
      <c r="AQS711" s="23"/>
      <c r="AQT711" s="23"/>
      <c r="AQU711" s="23"/>
      <c r="AQV711" s="23"/>
      <c r="AQW711" s="23"/>
      <c r="AQX711" s="23"/>
      <c r="AQY711" s="23"/>
      <c r="AQZ711" s="23"/>
      <c r="ARA711" s="23"/>
      <c r="ARB711" s="23"/>
      <c r="ARC711" s="23"/>
      <c r="ARD711" s="23"/>
      <c r="ARE711" s="23"/>
      <c r="ARF711" s="23"/>
      <c r="ARG711" s="23"/>
      <c r="ARH711" s="23"/>
      <c r="ARI711" s="23"/>
      <c r="ARJ711" s="23"/>
      <c r="ARK711" s="23"/>
      <c r="ARL711" s="23"/>
      <c r="ARM711" s="23"/>
      <c r="ARN711" s="23"/>
      <c r="ARO711" s="23"/>
      <c r="ARP711" s="23"/>
      <c r="ARQ711" s="23"/>
      <c r="ARR711" s="23"/>
      <c r="ARS711" s="23"/>
      <c r="ART711" s="23"/>
      <c r="ARU711" s="23"/>
      <c r="ARV711" s="23"/>
      <c r="ARW711" s="23"/>
      <c r="ARX711" s="23"/>
      <c r="ARY711" s="23"/>
      <c r="ARZ711" s="23"/>
      <c r="ASA711" s="23"/>
      <c r="ASB711" s="23"/>
      <c r="ASC711" s="23"/>
      <c r="ASD711" s="23"/>
      <c r="ASE711" s="23"/>
      <c r="ASF711" s="23"/>
      <c r="ASG711" s="23"/>
      <c r="ASH711" s="23"/>
      <c r="ASI711" s="23"/>
      <c r="ASJ711" s="23"/>
      <c r="ASK711" s="23"/>
      <c r="ASL711" s="23"/>
      <c r="ASM711" s="23"/>
      <c r="ASN711" s="23"/>
      <c r="ASO711" s="23"/>
      <c r="ASP711" s="23"/>
      <c r="ASQ711" s="23"/>
      <c r="ASR711" s="23"/>
      <c r="ASS711" s="23"/>
      <c r="AST711" s="23"/>
      <c r="ASU711" s="23"/>
      <c r="ASV711" s="23"/>
      <c r="ASW711" s="23"/>
      <c r="ASX711" s="23"/>
      <c r="ASY711" s="23"/>
      <c r="ASZ711" s="23"/>
      <c r="ATA711" s="23"/>
      <c r="ATB711" s="23"/>
      <c r="ATC711" s="23"/>
      <c r="ATD711" s="23"/>
      <c r="ATE711" s="23"/>
      <c r="ATF711" s="23"/>
      <c r="ATG711" s="23"/>
      <c r="ATH711" s="23"/>
      <c r="ATI711" s="23"/>
      <c r="ATJ711" s="23"/>
      <c r="ATK711" s="23"/>
      <c r="ATL711" s="23"/>
      <c r="ATM711" s="23"/>
      <c r="ATN711" s="23"/>
      <c r="ATO711" s="23"/>
      <c r="ATP711" s="23"/>
      <c r="ATQ711" s="23"/>
      <c r="ATR711" s="23"/>
      <c r="ATS711" s="23"/>
      <c r="ATT711" s="23"/>
      <c r="ATU711" s="23"/>
      <c r="ATV711" s="23"/>
      <c r="ATW711" s="23"/>
      <c r="ATX711" s="23"/>
      <c r="ATY711" s="23"/>
      <c r="ATZ711" s="23"/>
      <c r="AUA711" s="23"/>
      <c r="AUB711" s="23"/>
      <c r="AUC711" s="23"/>
      <c r="AUD711" s="23"/>
      <c r="AUE711" s="23"/>
      <c r="AUF711" s="23"/>
      <c r="AUG711" s="23"/>
      <c r="AUH711" s="23"/>
      <c r="AUI711" s="23"/>
      <c r="AUJ711" s="23"/>
      <c r="AUK711" s="23"/>
      <c r="AUL711" s="23"/>
      <c r="AUM711" s="23"/>
      <c r="AUN711" s="23"/>
      <c r="AUO711" s="23"/>
      <c r="AUP711" s="23"/>
      <c r="AUQ711" s="23"/>
      <c r="AUR711" s="23"/>
      <c r="AUS711" s="23"/>
      <c r="AUT711" s="23"/>
      <c r="AUU711" s="23"/>
      <c r="AUV711" s="23"/>
      <c r="AUW711" s="23"/>
      <c r="AUX711" s="23"/>
      <c r="AUY711" s="23"/>
      <c r="AUZ711" s="23"/>
      <c r="AVA711" s="23"/>
      <c r="AVB711" s="23"/>
      <c r="AVC711" s="23"/>
      <c r="AVD711" s="23"/>
      <c r="AVE711" s="23"/>
      <c r="AVF711" s="23"/>
      <c r="AVG711" s="23"/>
      <c r="AVH711" s="23"/>
      <c r="AVI711" s="23"/>
      <c r="AVJ711" s="23"/>
      <c r="AVK711" s="23"/>
      <c r="AVL711" s="23"/>
      <c r="AVM711" s="23"/>
      <c r="AVN711" s="23"/>
      <c r="AVO711" s="23"/>
      <c r="AVP711" s="23"/>
      <c r="AVQ711" s="23"/>
      <c r="AVR711" s="23"/>
      <c r="AVS711" s="23"/>
      <c r="AVT711" s="23"/>
      <c r="AVU711" s="23"/>
      <c r="AVV711" s="23"/>
      <c r="AVW711" s="23"/>
      <c r="AVX711" s="23"/>
      <c r="AVY711" s="23"/>
      <c r="AVZ711" s="23"/>
      <c r="AWA711" s="23"/>
      <c r="AWB711" s="23"/>
      <c r="AWC711" s="23"/>
      <c r="AWD711" s="23"/>
      <c r="AWE711" s="23"/>
      <c r="AWF711" s="23"/>
      <c r="AWG711" s="23"/>
      <c r="AWH711" s="23"/>
      <c r="AWI711" s="23"/>
      <c r="AWJ711" s="23"/>
      <c r="AWK711" s="23"/>
      <c r="AWL711" s="23"/>
      <c r="AWM711" s="23"/>
      <c r="AWN711" s="23"/>
      <c r="AWO711" s="23"/>
      <c r="AWP711" s="23"/>
      <c r="AWQ711" s="23"/>
      <c r="AWR711" s="23"/>
      <c r="AWS711" s="23"/>
      <c r="AWT711" s="23"/>
      <c r="AWU711" s="23"/>
      <c r="AWV711" s="23"/>
      <c r="AWW711" s="23"/>
      <c r="AWX711" s="23"/>
      <c r="AWY711" s="23"/>
      <c r="AWZ711" s="23"/>
      <c r="AXA711" s="23"/>
      <c r="AXB711" s="23"/>
      <c r="AXC711" s="23"/>
      <c r="AXD711" s="23"/>
      <c r="AXE711" s="23"/>
      <c r="AXF711" s="23"/>
      <c r="AXG711" s="23"/>
      <c r="AXH711" s="23"/>
      <c r="AXI711" s="23"/>
      <c r="AXJ711" s="23"/>
      <c r="AXK711" s="23"/>
      <c r="AXL711" s="23"/>
      <c r="AXM711" s="23"/>
      <c r="AXN711" s="23"/>
      <c r="AXO711" s="23"/>
      <c r="AXP711" s="23"/>
      <c r="AXQ711" s="23"/>
      <c r="AXR711" s="23"/>
      <c r="AXS711" s="23"/>
      <c r="AXT711" s="23"/>
      <c r="AXU711" s="23"/>
      <c r="AXV711" s="23"/>
      <c r="AXW711" s="23"/>
      <c r="AXX711" s="23"/>
      <c r="AXY711" s="23"/>
      <c r="AXZ711" s="23"/>
      <c r="AYA711" s="23"/>
      <c r="AYB711" s="23"/>
      <c r="AYC711" s="23"/>
      <c r="AYD711" s="23"/>
      <c r="AYE711" s="23"/>
      <c r="AYF711" s="23"/>
      <c r="AYG711" s="23"/>
      <c r="AYH711" s="23"/>
      <c r="AYI711" s="23"/>
      <c r="AYJ711" s="23"/>
      <c r="AYK711" s="23"/>
      <c r="AYL711" s="23"/>
      <c r="AYM711" s="23"/>
      <c r="AYN711" s="23"/>
      <c r="AYO711" s="23"/>
      <c r="AYP711" s="23"/>
      <c r="AYQ711" s="23"/>
      <c r="AYR711" s="23"/>
      <c r="AYS711" s="23"/>
      <c r="AYT711" s="23"/>
      <c r="AYU711" s="23"/>
      <c r="AYV711" s="23"/>
      <c r="AYW711" s="23"/>
      <c r="AYX711" s="23"/>
      <c r="AYY711" s="23"/>
      <c r="AYZ711" s="23"/>
      <c r="AZA711" s="23"/>
      <c r="AZB711" s="23"/>
      <c r="AZC711" s="23"/>
      <c r="AZD711" s="23"/>
      <c r="AZE711" s="23"/>
      <c r="AZF711" s="23"/>
      <c r="AZG711" s="23"/>
      <c r="AZH711" s="23"/>
      <c r="AZI711" s="23"/>
      <c r="AZJ711" s="23"/>
      <c r="AZK711" s="23"/>
      <c r="AZL711" s="23"/>
      <c r="AZM711" s="23"/>
      <c r="AZN711" s="23"/>
      <c r="AZO711" s="23"/>
      <c r="AZP711" s="23"/>
      <c r="AZQ711" s="23"/>
      <c r="AZR711" s="23"/>
      <c r="AZS711" s="23"/>
      <c r="AZT711" s="23"/>
      <c r="AZU711" s="23"/>
      <c r="AZV711" s="23"/>
      <c r="AZW711" s="23"/>
      <c r="AZX711" s="23"/>
      <c r="AZY711" s="23"/>
      <c r="AZZ711" s="23"/>
      <c r="BAA711" s="23"/>
      <c r="BAB711" s="23"/>
      <c r="BAC711" s="23"/>
      <c r="BAD711" s="23"/>
      <c r="BAE711" s="23"/>
      <c r="BAF711" s="23"/>
      <c r="BAG711" s="23"/>
      <c r="BAH711" s="23"/>
      <c r="BAI711" s="23"/>
      <c r="BAJ711" s="23"/>
      <c r="BAK711" s="23"/>
      <c r="BAL711" s="23"/>
      <c r="BAM711" s="23"/>
      <c r="BAN711" s="23"/>
      <c r="BAO711" s="23"/>
      <c r="BAP711" s="23"/>
      <c r="BAQ711" s="23"/>
      <c r="BAR711" s="23"/>
      <c r="BAS711" s="23"/>
      <c r="BAT711" s="23"/>
      <c r="BAU711" s="23"/>
      <c r="BAV711" s="23"/>
      <c r="BAW711" s="23"/>
      <c r="BAX711" s="23"/>
      <c r="BAY711" s="23"/>
      <c r="BAZ711" s="23"/>
      <c r="BBA711" s="23"/>
      <c r="BBB711" s="23"/>
      <c r="BBC711" s="23"/>
      <c r="BBD711" s="23"/>
      <c r="BBE711" s="23"/>
      <c r="BBF711" s="23"/>
      <c r="BBG711" s="23"/>
      <c r="BBH711" s="23"/>
      <c r="BBI711" s="23"/>
      <c r="BBJ711" s="23"/>
      <c r="BBK711" s="23"/>
      <c r="BBL711" s="23"/>
      <c r="BBM711" s="23"/>
      <c r="BBN711" s="23"/>
      <c r="BBO711" s="23"/>
      <c r="BBP711" s="23"/>
      <c r="BBQ711" s="23"/>
      <c r="BBR711" s="23"/>
      <c r="BBS711" s="23"/>
      <c r="BBT711" s="23"/>
      <c r="BBU711" s="23"/>
      <c r="BBV711" s="23"/>
      <c r="BBW711" s="23"/>
      <c r="BBX711" s="23"/>
      <c r="BBY711" s="23"/>
      <c r="BBZ711" s="23"/>
      <c r="BCA711" s="23"/>
      <c r="BCB711" s="23"/>
      <c r="BCC711" s="23"/>
      <c r="BCD711" s="23"/>
      <c r="BCE711" s="23"/>
      <c r="BCF711" s="23"/>
      <c r="BCG711" s="23"/>
      <c r="BCH711" s="23"/>
      <c r="BCI711" s="23"/>
      <c r="BCJ711" s="23"/>
      <c r="BCK711" s="23"/>
      <c r="BCL711" s="23"/>
      <c r="BCM711" s="23"/>
      <c r="BCN711" s="23"/>
      <c r="BCO711" s="23"/>
      <c r="BCP711" s="23"/>
      <c r="BCQ711" s="23"/>
      <c r="BCR711" s="23"/>
      <c r="BCS711" s="23"/>
      <c r="BCT711" s="23"/>
      <c r="BCU711" s="23"/>
      <c r="BCV711" s="23"/>
      <c r="BCW711" s="23"/>
      <c r="BCX711" s="23"/>
      <c r="BCY711" s="23"/>
      <c r="BCZ711" s="23"/>
      <c r="BDA711" s="23"/>
      <c r="BDB711" s="23"/>
      <c r="BDC711" s="23"/>
      <c r="BDD711" s="23"/>
      <c r="BDE711" s="23"/>
      <c r="BDF711" s="23"/>
      <c r="BDG711" s="23"/>
      <c r="BDH711" s="23"/>
      <c r="BDI711" s="23"/>
      <c r="BDJ711" s="23"/>
      <c r="BDK711" s="23"/>
      <c r="BDL711" s="23"/>
      <c r="BDM711" s="23"/>
      <c r="BDN711" s="23"/>
      <c r="BDO711" s="23"/>
      <c r="BDP711" s="23"/>
      <c r="BDQ711" s="23"/>
      <c r="BDR711" s="23"/>
      <c r="BDS711" s="23"/>
      <c r="BDT711" s="23"/>
      <c r="BDU711" s="23"/>
      <c r="BDV711" s="23"/>
      <c r="BDW711" s="23"/>
      <c r="BDX711" s="23"/>
      <c r="BDY711" s="23"/>
      <c r="BDZ711" s="23"/>
      <c r="BEA711" s="23"/>
      <c r="BEB711" s="23"/>
      <c r="BEC711" s="23"/>
      <c r="BED711" s="23"/>
      <c r="BEE711" s="23"/>
      <c r="BEF711" s="23"/>
      <c r="BEG711" s="23"/>
      <c r="BEH711" s="23"/>
      <c r="BEI711" s="23"/>
      <c r="BEJ711" s="23"/>
      <c r="BEK711" s="23"/>
      <c r="BEL711" s="23"/>
      <c r="BEM711" s="23"/>
      <c r="BEN711" s="23"/>
      <c r="BEO711" s="23"/>
      <c r="BEP711" s="23"/>
      <c r="BEQ711" s="23"/>
      <c r="BER711" s="23"/>
      <c r="BES711" s="23"/>
      <c r="BET711" s="23"/>
      <c r="BEU711" s="23"/>
      <c r="BEV711" s="23"/>
      <c r="BEW711" s="23"/>
      <c r="BEX711" s="23"/>
      <c r="BEY711" s="23"/>
      <c r="BEZ711" s="23"/>
      <c r="BFA711" s="23"/>
      <c r="BFB711" s="23"/>
      <c r="BFC711" s="23"/>
      <c r="BFD711" s="23"/>
      <c r="BFE711" s="23"/>
      <c r="BFF711" s="23"/>
      <c r="BFG711" s="23"/>
      <c r="BFH711" s="23"/>
      <c r="BFI711" s="23"/>
      <c r="BFJ711" s="23"/>
      <c r="BFK711" s="23"/>
      <c r="BFL711" s="23"/>
      <c r="BFM711" s="23"/>
      <c r="BFN711" s="23"/>
      <c r="BFO711" s="23"/>
      <c r="BFP711" s="23"/>
      <c r="BFQ711" s="23"/>
      <c r="BFR711" s="23"/>
      <c r="BFS711" s="23"/>
      <c r="BFT711" s="23"/>
      <c r="BFU711" s="23"/>
      <c r="BFV711" s="23"/>
      <c r="BFW711" s="23"/>
      <c r="BFX711" s="23"/>
      <c r="BFY711" s="23"/>
      <c r="BFZ711" s="23"/>
      <c r="BGA711" s="23"/>
      <c r="BGB711" s="23"/>
      <c r="BGC711" s="23"/>
      <c r="BGD711" s="23"/>
      <c r="BGE711" s="23"/>
      <c r="BGF711" s="23"/>
      <c r="BGG711" s="23"/>
      <c r="BGH711" s="23"/>
      <c r="BGI711" s="23"/>
      <c r="BGJ711" s="23"/>
      <c r="BGK711" s="23"/>
      <c r="BGL711" s="23"/>
      <c r="BGM711" s="23"/>
      <c r="BGN711" s="23"/>
      <c r="BGO711" s="23"/>
      <c r="BGP711" s="23"/>
      <c r="BGQ711" s="23"/>
      <c r="BGR711" s="23"/>
      <c r="BGS711" s="23"/>
      <c r="BGT711" s="23"/>
      <c r="BGU711" s="23"/>
      <c r="BGV711" s="23"/>
      <c r="BGW711" s="23"/>
      <c r="BGX711" s="23"/>
      <c r="BGY711" s="23"/>
      <c r="BGZ711" s="23"/>
      <c r="BHA711" s="23"/>
      <c r="BHB711" s="23"/>
      <c r="BHC711" s="23"/>
      <c r="BHD711" s="23"/>
      <c r="BHE711" s="23"/>
      <c r="BHF711" s="23"/>
      <c r="BHG711" s="23"/>
      <c r="BHH711" s="23"/>
      <c r="BHI711" s="23"/>
      <c r="BHJ711" s="23"/>
      <c r="BHK711" s="23"/>
      <c r="BHL711" s="23"/>
      <c r="BHM711" s="23"/>
      <c r="BHN711" s="23"/>
      <c r="BHO711" s="23"/>
      <c r="BHP711" s="23"/>
      <c r="BHQ711" s="23"/>
      <c r="BHR711" s="23"/>
      <c r="BHS711" s="23"/>
      <c r="BHT711" s="23"/>
      <c r="BHU711" s="23"/>
      <c r="BHV711" s="23"/>
      <c r="BHW711" s="23"/>
      <c r="BHX711" s="23"/>
      <c r="BHY711" s="23"/>
      <c r="BHZ711" s="23"/>
      <c r="BIA711" s="23"/>
      <c r="BIB711" s="23"/>
      <c r="BIC711" s="23"/>
      <c r="BID711" s="23"/>
      <c r="BIE711" s="23"/>
      <c r="BIF711" s="23"/>
      <c r="BIG711" s="23"/>
      <c r="BIH711" s="23"/>
      <c r="BII711" s="23"/>
      <c r="BIJ711" s="23"/>
      <c r="BIK711" s="23"/>
      <c r="BIL711" s="23"/>
      <c r="BIM711" s="23"/>
      <c r="BIN711" s="23"/>
      <c r="BIO711" s="23"/>
      <c r="BIP711" s="23"/>
      <c r="BIQ711" s="23"/>
      <c r="BIR711" s="23"/>
      <c r="BIS711" s="23"/>
      <c r="BIT711" s="23"/>
      <c r="BIU711" s="23"/>
      <c r="BIV711" s="23"/>
      <c r="BIW711" s="23"/>
      <c r="BIX711" s="23"/>
      <c r="BIY711" s="23"/>
      <c r="BIZ711" s="23"/>
      <c r="BJA711" s="23"/>
      <c r="BJB711" s="23"/>
      <c r="BJC711" s="23"/>
      <c r="BJD711" s="23"/>
      <c r="BJE711" s="23"/>
      <c r="BJF711" s="23"/>
      <c r="BJG711" s="23"/>
      <c r="BJH711" s="23"/>
      <c r="BJI711" s="23"/>
      <c r="BJJ711" s="23"/>
      <c r="BJK711" s="23"/>
      <c r="BJL711" s="23"/>
      <c r="BJM711" s="23"/>
      <c r="BJN711" s="23"/>
      <c r="BJO711" s="23"/>
      <c r="BJP711" s="23"/>
      <c r="BJQ711" s="23"/>
      <c r="BJR711" s="23"/>
      <c r="BJS711" s="23"/>
      <c r="BJT711" s="23"/>
      <c r="BJU711" s="23"/>
      <c r="BJV711" s="23"/>
      <c r="BJW711" s="23"/>
      <c r="BJX711" s="23"/>
      <c r="BJY711" s="23"/>
      <c r="BJZ711" s="23"/>
      <c r="BKA711" s="23"/>
      <c r="BKB711" s="23"/>
      <c r="BKC711" s="23"/>
      <c r="BKD711" s="23"/>
      <c r="BKE711" s="23"/>
      <c r="BKF711" s="23"/>
      <c r="BKG711" s="23"/>
      <c r="BKH711" s="23"/>
      <c r="BKI711" s="23"/>
      <c r="BKJ711" s="23"/>
      <c r="BKK711" s="23"/>
      <c r="BKL711" s="23"/>
      <c r="BKM711" s="23"/>
      <c r="BKN711" s="23"/>
      <c r="BKO711" s="23"/>
      <c r="BKP711" s="23"/>
      <c r="BKQ711" s="23"/>
      <c r="BKR711" s="23"/>
      <c r="BKS711" s="23"/>
      <c r="BKT711" s="23"/>
      <c r="BKU711" s="23"/>
      <c r="BKV711" s="23"/>
      <c r="BKW711" s="23"/>
      <c r="BKX711" s="23"/>
      <c r="BKY711" s="23"/>
      <c r="BKZ711" s="23"/>
      <c r="BLA711" s="23"/>
      <c r="BLB711" s="23"/>
      <c r="BLC711" s="23"/>
      <c r="BLD711" s="23"/>
      <c r="BLE711" s="23"/>
      <c r="BLF711" s="23"/>
      <c r="BLG711" s="23"/>
      <c r="BLH711" s="23"/>
      <c r="BLI711" s="23"/>
      <c r="BLJ711" s="23"/>
      <c r="BLK711" s="23"/>
      <c r="BLL711" s="23"/>
      <c r="BLM711" s="23"/>
      <c r="BLN711" s="23"/>
      <c r="BLO711" s="23"/>
      <c r="BLP711" s="23"/>
      <c r="BLQ711" s="23"/>
      <c r="BLR711" s="23"/>
      <c r="BLS711" s="23"/>
      <c r="BLT711" s="23"/>
      <c r="BLU711" s="23"/>
      <c r="BLV711" s="23"/>
      <c r="BLW711" s="23"/>
      <c r="BLX711" s="23"/>
      <c r="BLY711" s="23"/>
      <c r="BLZ711" s="23"/>
      <c r="BMA711" s="23"/>
      <c r="BMB711" s="23"/>
      <c r="BMC711" s="23"/>
      <c r="BMD711" s="23"/>
      <c r="BME711" s="23"/>
      <c r="BMF711" s="23"/>
      <c r="BMG711" s="23"/>
      <c r="BMH711" s="23"/>
      <c r="BMI711" s="23"/>
      <c r="BMJ711" s="23"/>
      <c r="BMK711" s="23"/>
      <c r="BML711" s="23"/>
      <c r="BMM711" s="23"/>
      <c r="BMN711" s="23"/>
      <c r="BMO711" s="23"/>
      <c r="BMP711" s="23"/>
      <c r="BMQ711" s="23"/>
      <c r="BMR711" s="23"/>
      <c r="BMS711" s="23"/>
      <c r="BMT711" s="23"/>
      <c r="BMU711" s="23"/>
      <c r="BMV711" s="23"/>
      <c r="BMW711" s="23"/>
      <c r="BMX711" s="23"/>
      <c r="BMY711" s="23"/>
      <c r="BMZ711" s="23"/>
      <c r="BNA711" s="23"/>
      <c r="BNB711" s="23"/>
      <c r="BNC711" s="23"/>
      <c r="BND711" s="23"/>
      <c r="BNE711" s="23"/>
      <c r="BNF711" s="23"/>
      <c r="BNG711" s="23"/>
      <c r="BNH711" s="23"/>
      <c r="BNI711" s="23"/>
      <c r="BNJ711" s="23"/>
      <c r="BNK711" s="23"/>
      <c r="BNL711" s="23"/>
      <c r="BNM711" s="23"/>
      <c r="BNN711" s="23"/>
      <c r="BNO711" s="23"/>
      <c r="BNP711" s="23"/>
      <c r="BNQ711" s="23"/>
      <c r="BNR711" s="23"/>
      <c r="BNS711" s="23"/>
      <c r="BNT711" s="23"/>
      <c r="BNU711" s="23"/>
      <c r="BNV711" s="23"/>
      <c r="BNW711" s="23"/>
      <c r="BNX711" s="23"/>
      <c r="BNY711" s="23"/>
      <c r="BNZ711" s="23"/>
      <c r="BOA711" s="23"/>
      <c r="BOB711" s="23"/>
      <c r="BOC711" s="23"/>
      <c r="BOD711" s="23"/>
      <c r="BOE711" s="23"/>
      <c r="BOF711" s="23"/>
      <c r="BOG711" s="23"/>
      <c r="BOH711" s="23"/>
      <c r="BOI711" s="23"/>
      <c r="BOJ711" s="23"/>
      <c r="BOK711" s="23"/>
      <c r="BOL711" s="23"/>
      <c r="BOM711" s="23"/>
      <c r="BON711" s="23"/>
      <c r="BOO711" s="23"/>
      <c r="BOP711" s="23"/>
      <c r="BOQ711" s="23"/>
      <c r="BOR711" s="23"/>
      <c r="BOS711" s="23"/>
      <c r="BOT711" s="23"/>
      <c r="BOU711" s="23"/>
      <c r="BOV711" s="23"/>
      <c r="BOW711" s="23"/>
      <c r="BOX711" s="23"/>
      <c r="BOY711" s="23"/>
      <c r="BOZ711" s="23"/>
      <c r="BPA711" s="23"/>
      <c r="BPB711" s="23"/>
      <c r="BPC711" s="23"/>
      <c r="BPD711" s="23"/>
      <c r="BPE711" s="23"/>
      <c r="BPF711" s="23"/>
      <c r="BPG711" s="23"/>
      <c r="BPH711" s="23"/>
      <c r="BPI711" s="23"/>
      <c r="BPJ711" s="23"/>
      <c r="BPK711" s="23"/>
      <c r="BPL711" s="23"/>
      <c r="BPM711" s="23"/>
      <c r="BPN711" s="23"/>
      <c r="BPO711" s="23"/>
      <c r="BPP711" s="23"/>
      <c r="BPQ711" s="23"/>
      <c r="BPR711" s="23"/>
      <c r="BPS711" s="23"/>
      <c r="BPT711" s="23"/>
      <c r="BPU711" s="23"/>
      <c r="BPV711" s="23"/>
      <c r="BPW711" s="23"/>
      <c r="BPX711" s="23"/>
      <c r="BPY711" s="23"/>
      <c r="BPZ711" s="23"/>
      <c r="BQA711" s="23"/>
      <c r="BQB711" s="23"/>
      <c r="BQC711" s="23"/>
      <c r="BQD711" s="23"/>
      <c r="BQE711" s="23"/>
      <c r="BQF711" s="23"/>
      <c r="BQG711" s="23"/>
      <c r="BQH711" s="23"/>
      <c r="BQI711" s="23"/>
      <c r="BQJ711" s="23"/>
      <c r="BQK711" s="23"/>
      <c r="BQL711" s="23"/>
      <c r="BQM711" s="23"/>
      <c r="BQN711" s="23"/>
      <c r="BQO711" s="23"/>
      <c r="BQP711" s="23"/>
      <c r="BQQ711" s="23"/>
      <c r="BQR711" s="23"/>
      <c r="BQS711" s="23"/>
      <c r="BQT711" s="23"/>
      <c r="BQU711" s="23"/>
      <c r="BQV711" s="23"/>
      <c r="BQW711" s="23"/>
      <c r="BQX711" s="23"/>
      <c r="BQY711" s="23"/>
      <c r="BQZ711" s="23"/>
      <c r="BRA711" s="23"/>
      <c r="BRB711" s="23"/>
      <c r="BRC711" s="23"/>
      <c r="BRD711" s="23"/>
      <c r="BRE711" s="23"/>
      <c r="BRF711" s="23"/>
      <c r="BRG711" s="23"/>
      <c r="BRH711" s="23"/>
      <c r="BRI711" s="23"/>
      <c r="BRJ711" s="23"/>
      <c r="BRK711" s="23"/>
      <c r="BRL711" s="23"/>
      <c r="BRM711" s="23"/>
      <c r="BRN711" s="23"/>
      <c r="BRO711" s="23"/>
      <c r="BRP711" s="23"/>
      <c r="BRQ711" s="23"/>
      <c r="BRR711" s="23"/>
      <c r="BRS711" s="23"/>
      <c r="BRT711" s="23"/>
      <c r="BRU711" s="23"/>
      <c r="BRV711" s="23"/>
      <c r="BRW711" s="23"/>
      <c r="BRX711" s="23"/>
      <c r="BRY711" s="23"/>
      <c r="BRZ711" s="23"/>
      <c r="BSA711" s="23"/>
      <c r="BSB711" s="23"/>
      <c r="BSC711" s="23"/>
      <c r="BSD711" s="23"/>
      <c r="BSE711" s="23"/>
      <c r="BSF711" s="23"/>
      <c r="BSG711" s="23"/>
      <c r="BSH711" s="23"/>
      <c r="BSI711" s="23"/>
      <c r="BSJ711" s="23"/>
      <c r="BSK711" s="23"/>
      <c r="BSL711" s="23"/>
      <c r="BSM711" s="23"/>
      <c r="BSN711" s="23"/>
      <c r="BSO711" s="23"/>
      <c r="BSP711" s="23"/>
      <c r="BSQ711" s="23"/>
      <c r="BSR711" s="23"/>
      <c r="BSS711" s="23"/>
      <c r="BST711" s="23"/>
      <c r="BSU711" s="23"/>
      <c r="BSV711" s="23"/>
      <c r="BSW711" s="23"/>
      <c r="BSX711" s="23"/>
      <c r="BSY711" s="23"/>
      <c r="BSZ711" s="23"/>
      <c r="BTA711" s="23"/>
    </row>
    <row r="712" spans="1:1873" s="23" customFormat="1" ht="25.5" x14ac:dyDescent="0.2">
      <c r="A712" s="304" t="s">
        <v>2090</v>
      </c>
      <c r="B712" s="223" t="s">
        <v>803</v>
      </c>
      <c r="C712" s="223" t="s">
        <v>1032</v>
      </c>
      <c r="D712" s="223" t="s">
        <v>619</v>
      </c>
      <c r="E712" s="305" t="s">
        <v>1451</v>
      </c>
      <c r="F712" s="241">
        <v>1</v>
      </c>
      <c r="G712" s="223">
        <v>10</v>
      </c>
      <c r="H712" s="242">
        <v>10</v>
      </c>
      <c r="I712" s="223" t="s">
        <v>807</v>
      </c>
      <c r="J712" s="450">
        <v>1988</v>
      </c>
      <c r="K712" s="560" t="s">
        <v>1211</v>
      </c>
      <c r="L712" s="450">
        <v>1996</v>
      </c>
      <c r="M712" s="243">
        <v>-9999</v>
      </c>
      <c r="N712" s="223">
        <v>-9999</v>
      </c>
      <c r="O712" s="29"/>
      <c r="P712" s="244">
        <f t="shared" si="84"/>
        <v>56</v>
      </c>
      <c r="Q712" s="223">
        <v>-9999</v>
      </c>
      <c r="R712" s="243"/>
      <c r="S712" s="223"/>
      <c r="T712" s="243">
        <v>5.6</v>
      </c>
      <c r="U712" s="223">
        <v>-9999</v>
      </c>
      <c r="V712" s="223"/>
      <c r="W712" s="285">
        <f t="shared" si="85"/>
        <v>1.5500000000000043</v>
      </c>
      <c r="X712" s="223">
        <v>-9999</v>
      </c>
      <c r="Y712" s="223"/>
      <c r="Z712" s="561" t="s">
        <v>1702</v>
      </c>
      <c r="AA712" s="425">
        <f t="shared" si="83"/>
        <v>1682.0700000000002</v>
      </c>
      <c r="AB712" s="243">
        <v>-9999</v>
      </c>
      <c r="AC712" s="245">
        <v>4.0460000000000003</v>
      </c>
      <c r="AD712" s="560">
        <f t="shared" si="77"/>
        <v>3300</v>
      </c>
      <c r="AE712" s="675" t="s">
        <v>97</v>
      </c>
      <c r="AF712" s="223">
        <v>3</v>
      </c>
      <c r="AG712" s="223">
        <v>-9999</v>
      </c>
      <c r="AH712" s="223">
        <v>-9999</v>
      </c>
      <c r="AI712" s="223">
        <v>-9999</v>
      </c>
      <c r="AJ712" s="223">
        <v>-9999</v>
      </c>
      <c r="AK712" s="223">
        <v>-9999</v>
      </c>
      <c r="AL712" s="223">
        <v>-9999</v>
      </c>
      <c r="AM712" s="223">
        <v>-9999</v>
      </c>
      <c r="AN712" s="223" t="s">
        <v>631</v>
      </c>
      <c r="AO712" s="223">
        <v>-9999</v>
      </c>
      <c r="AP712" s="223">
        <v>-9999</v>
      </c>
      <c r="AQ712" s="223" t="s">
        <v>631</v>
      </c>
      <c r="AR712" s="223">
        <v>0</v>
      </c>
      <c r="AS712" s="223">
        <v>-9999</v>
      </c>
      <c r="AT712" s="223">
        <v>-9999</v>
      </c>
      <c r="AU712" s="223">
        <v>0</v>
      </c>
      <c r="AV712" s="223">
        <v>-9999</v>
      </c>
      <c r="AW712" s="223">
        <v>-9999</v>
      </c>
      <c r="AX712" s="223">
        <v>0</v>
      </c>
      <c r="AY712" s="223">
        <v>-9999</v>
      </c>
      <c r="AZ712" s="223">
        <v>-9999</v>
      </c>
      <c r="BA712" s="223">
        <v>-9999</v>
      </c>
      <c r="BB712" s="223" t="s">
        <v>631</v>
      </c>
      <c r="BC712" s="223">
        <v>-9999</v>
      </c>
      <c r="BD712" s="223">
        <v>-9999</v>
      </c>
      <c r="BE712" s="223">
        <v>-9999</v>
      </c>
      <c r="BF712" s="223">
        <v>-9999</v>
      </c>
      <c r="BG712" s="223">
        <v>-9999</v>
      </c>
      <c r="BH712" s="223">
        <v>-9999</v>
      </c>
      <c r="BI712" s="223" t="s">
        <v>1055</v>
      </c>
      <c r="BJ712" s="223">
        <v>-9999</v>
      </c>
      <c r="BK712" s="223">
        <v>-9999</v>
      </c>
      <c r="BL712" s="223">
        <v>-9999</v>
      </c>
      <c r="BM712" s="223">
        <v>-9999</v>
      </c>
      <c r="BN712" s="223">
        <v>-9999</v>
      </c>
      <c r="BO712" s="223">
        <v>-9999</v>
      </c>
      <c r="BP712" s="223">
        <v>-9999</v>
      </c>
      <c r="BQ712" s="223">
        <v>-9999</v>
      </c>
      <c r="BR712" s="223">
        <v>-9999</v>
      </c>
      <c r="BS712" s="242">
        <v>-9999</v>
      </c>
      <c r="BT712" s="223">
        <v>-9999</v>
      </c>
      <c r="BU712" s="223">
        <v>-9999</v>
      </c>
      <c r="BV712" s="223">
        <v>-9999</v>
      </c>
      <c r="BW712" s="223"/>
      <c r="BX712" s="223">
        <v>-9999</v>
      </c>
      <c r="BY712" s="223">
        <v>-9999</v>
      </c>
      <c r="BZ712" s="223">
        <v>-9999</v>
      </c>
      <c r="CA712" s="334" t="s">
        <v>797</v>
      </c>
      <c r="CB712" s="247"/>
      <c r="CC712" s="83">
        <v>1</v>
      </c>
      <c r="CD712" s="32">
        <v>10</v>
      </c>
      <c r="CE712" s="292">
        <v>5.6</v>
      </c>
      <c r="CF712" s="292">
        <v>1.5500000000000043</v>
      </c>
      <c r="CG712" s="84">
        <v>10</v>
      </c>
    </row>
    <row r="713" spans="1:1873" s="23" customFormat="1" x14ac:dyDescent="0.2">
      <c r="A713" s="323"/>
      <c r="B713" s="29"/>
      <c r="C713" s="29"/>
      <c r="D713" s="29"/>
      <c r="E713" s="29"/>
      <c r="F713" s="29"/>
      <c r="G713" s="29"/>
      <c r="H713" s="30"/>
      <c r="I713" s="29"/>
      <c r="J713" s="29"/>
      <c r="K713" s="428"/>
      <c r="L713" s="29"/>
      <c r="M713" s="31"/>
      <c r="N713" s="29"/>
      <c r="O713" s="29"/>
      <c r="P713" s="31"/>
      <c r="Q713" s="29"/>
      <c r="R713" s="31"/>
      <c r="S713" s="29"/>
      <c r="T713" s="31"/>
      <c r="U713" s="31"/>
      <c r="V713" s="31"/>
      <c r="W713" s="31"/>
      <c r="X713" s="29"/>
      <c r="Y713" s="29"/>
      <c r="Z713" s="429"/>
      <c r="AA713" s="115"/>
      <c r="AB713" s="31"/>
      <c r="AC713" s="29"/>
      <c r="AD713" s="29"/>
      <c r="AE713" s="112"/>
      <c r="AF713" s="29"/>
      <c r="AG713" s="29"/>
      <c r="AH713" s="29"/>
      <c r="AI713" s="29"/>
      <c r="AJ713" s="29"/>
      <c r="AK713" s="29"/>
      <c r="AL713" s="29"/>
      <c r="AM713" s="29"/>
      <c r="AN713" s="29"/>
      <c r="AO713" s="29"/>
      <c r="AP713" s="29"/>
      <c r="AQ713" s="29"/>
      <c r="AR713" s="29"/>
      <c r="AS713" s="29"/>
      <c r="AT713" s="29"/>
      <c r="AU713" s="29"/>
      <c r="AV713" s="29"/>
      <c r="AW713" s="29"/>
      <c r="AX713" s="29"/>
      <c r="AY713" s="29"/>
      <c r="AZ713" s="29"/>
      <c r="BA713" s="29"/>
      <c r="BB713" s="29"/>
      <c r="BC713" s="29"/>
      <c r="BD713" s="29"/>
      <c r="BE713" s="29"/>
      <c r="BF713" s="29"/>
      <c r="BG713" s="29"/>
      <c r="BH713" s="29"/>
      <c r="BI713" s="29"/>
      <c r="BJ713" s="29"/>
      <c r="BK713" s="29"/>
      <c r="BL713" s="29"/>
      <c r="BM713" s="29"/>
      <c r="BN713" s="29"/>
      <c r="BO713" s="29"/>
      <c r="BP713" s="29"/>
      <c r="BQ713" s="29"/>
      <c r="BR713" s="29"/>
      <c r="BS713" s="30"/>
      <c r="BT713" s="29"/>
      <c r="BU713" s="29"/>
      <c r="BV713" s="29"/>
      <c r="BW713" s="29"/>
      <c r="BX713" s="29"/>
      <c r="BY713" s="29"/>
      <c r="BZ713" s="29"/>
      <c r="CA713" s="333"/>
      <c r="CC713" s="29"/>
      <c r="CD713" s="29"/>
      <c r="CE713" s="342" t="s">
        <v>1576</v>
      </c>
      <c r="CF713" s="342" t="s">
        <v>1575</v>
      </c>
      <c r="CG713" s="30"/>
    </row>
    <row r="714" spans="1:1873" s="23" customFormat="1" ht="25.5" x14ac:dyDescent="0.2">
      <c r="A714" s="304" t="s">
        <v>2090</v>
      </c>
      <c r="B714" s="223" t="s">
        <v>804</v>
      </c>
      <c r="C714" s="223" t="s">
        <v>1032</v>
      </c>
      <c r="D714" s="223" t="s">
        <v>619</v>
      </c>
      <c r="E714" s="305" t="s">
        <v>1451</v>
      </c>
      <c r="F714" s="241">
        <v>1</v>
      </c>
      <c r="G714" s="223">
        <v>3</v>
      </c>
      <c r="H714" s="242">
        <v>3</v>
      </c>
      <c r="I714" s="223" t="s">
        <v>807</v>
      </c>
      <c r="J714" s="450">
        <v>1988</v>
      </c>
      <c r="K714" s="560" t="s">
        <v>1211</v>
      </c>
      <c r="L714" s="450">
        <v>1989</v>
      </c>
      <c r="M714" s="243">
        <v>-9999</v>
      </c>
      <c r="N714" s="223">
        <v>-9999</v>
      </c>
      <c r="O714" s="29"/>
      <c r="P714" s="243">
        <v>-9999</v>
      </c>
      <c r="Q714" s="223">
        <v>-9999</v>
      </c>
      <c r="R714" s="243"/>
      <c r="S714" s="223"/>
      <c r="T714" s="243">
        <v>-9999</v>
      </c>
      <c r="U714" s="223">
        <v>-9999</v>
      </c>
      <c r="V714" s="223"/>
      <c r="W714" s="243">
        <v>-9999</v>
      </c>
      <c r="X714" s="223">
        <v>-9999</v>
      </c>
      <c r="Y714" s="223"/>
      <c r="Z714" s="561" t="s">
        <v>1702</v>
      </c>
      <c r="AA714" s="425">
        <f t="shared" ref="AA714:AA721" si="86">681*2.47</f>
        <v>1682.0700000000002</v>
      </c>
      <c r="AB714" s="243">
        <v>-9999</v>
      </c>
      <c r="AC714" s="245">
        <v>4.0460000000000003</v>
      </c>
      <c r="AD714" s="560">
        <f t="shared" si="77"/>
        <v>3300</v>
      </c>
      <c r="AE714" s="675" t="s">
        <v>97</v>
      </c>
      <c r="AF714" s="223">
        <v>3</v>
      </c>
      <c r="AG714" s="223">
        <v>-9999</v>
      </c>
      <c r="AH714" s="223">
        <v>-9999</v>
      </c>
      <c r="AI714" s="223">
        <v>-9999</v>
      </c>
      <c r="AJ714" s="223">
        <v>-9999</v>
      </c>
      <c r="AK714" s="223">
        <v>-9999</v>
      </c>
      <c r="AL714" s="223">
        <v>-9999</v>
      </c>
      <c r="AM714" s="223">
        <v>-9999</v>
      </c>
      <c r="AN714" s="223" t="s">
        <v>631</v>
      </c>
      <c r="AO714" s="223">
        <v>-9999</v>
      </c>
      <c r="AP714" s="223">
        <v>-9999</v>
      </c>
      <c r="AQ714" s="223" t="s">
        <v>631</v>
      </c>
      <c r="AR714" s="223">
        <v>0</v>
      </c>
      <c r="AS714" s="223">
        <v>-9999</v>
      </c>
      <c r="AT714" s="223">
        <v>-9999</v>
      </c>
      <c r="AU714" s="223">
        <v>0</v>
      </c>
      <c r="AV714" s="223">
        <v>-9999</v>
      </c>
      <c r="AW714" s="223">
        <v>-9999</v>
      </c>
      <c r="AX714" s="223">
        <v>0</v>
      </c>
      <c r="AY714" s="223">
        <v>-9999</v>
      </c>
      <c r="AZ714" s="223">
        <v>-9999</v>
      </c>
      <c r="BA714" s="223">
        <v>-9999</v>
      </c>
      <c r="BB714" s="223" t="s">
        <v>631</v>
      </c>
      <c r="BC714" s="223">
        <v>-9999</v>
      </c>
      <c r="BD714" s="223">
        <v>-9999</v>
      </c>
      <c r="BE714" s="223">
        <v>-9999</v>
      </c>
      <c r="BF714" s="223">
        <v>-9999</v>
      </c>
      <c r="BG714" s="223">
        <v>-9999</v>
      </c>
      <c r="BH714" s="223">
        <v>-9999</v>
      </c>
      <c r="BI714" s="223" t="s">
        <v>1062</v>
      </c>
      <c r="BJ714" s="223">
        <v>-9999</v>
      </c>
      <c r="BK714" s="223">
        <v>-9999</v>
      </c>
      <c r="BL714" s="223">
        <v>-9999</v>
      </c>
      <c r="BM714" s="223">
        <v>-9999</v>
      </c>
      <c r="BN714" s="223">
        <v>-9999</v>
      </c>
      <c r="BO714" s="223">
        <v>-9999</v>
      </c>
      <c r="BP714" s="223">
        <v>-9999</v>
      </c>
      <c r="BQ714" s="223">
        <v>-9999</v>
      </c>
      <c r="BR714" s="223">
        <v>-9999</v>
      </c>
      <c r="BS714" s="242">
        <v>-9999</v>
      </c>
      <c r="BT714" s="223">
        <v>-9999</v>
      </c>
      <c r="BU714" s="223">
        <v>-9999</v>
      </c>
      <c r="BV714" s="223">
        <v>-9999</v>
      </c>
      <c r="BW714" s="223"/>
      <c r="BX714" s="223">
        <v>-9999</v>
      </c>
      <c r="BY714" s="223">
        <v>-9999</v>
      </c>
      <c r="BZ714" s="223">
        <v>-9999</v>
      </c>
      <c r="CA714" s="334" t="s">
        <v>797</v>
      </c>
      <c r="CB714" s="247"/>
      <c r="CC714" s="83">
        <v>1</v>
      </c>
      <c r="CD714" s="32">
        <v>3</v>
      </c>
      <c r="CE714" s="292"/>
      <c r="CF714" s="292"/>
      <c r="CG714" s="84">
        <v>3</v>
      </c>
    </row>
    <row r="715" spans="1:1873" s="23" customFormat="1" ht="25.5" x14ac:dyDescent="0.2">
      <c r="A715" s="304" t="s">
        <v>2090</v>
      </c>
      <c r="B715" s="223" t="s">
        <v>804</v>
      </c>
      <c r="C715" s="223" t="s">
        <v>1032</v>
      </c>
      <c r="D715" s="223" t="s">
        <v>619</v>
      </c>
      <c r="E715" s="305" t="s">
        <v>1451</v>
      </c>
      <c r="F715" s="241">
        <v>1</v>
      </c>
      <c r="G715" s="223">
        <v>4</v>
      </c>
      <c r="H715" s="242">
        <v>4</v>
      </c>
      <c r="I715" s="223" t="s">
        <v>807</v>
      </c>
      <c r="J715" s="450">
        <v>1988</v>
      </c>
      <c r="K715" s="560" t="s">
        <v>1211</v>
      </c>
      <c r="L715" s="450">
        <v>1990</v>
      </c>
      <c r="M715" s="243">
        <v>-9999</v>
      </c>
      <c r="N715" s="223">
        <v>-9999</v>
      </c>
      <c r="O715" s="29"/>
      <c r="P715" s="244">
        <f t="shared" ref="P715:P720" si="87">+T715*G715</f>
        <v>11.04</v>
      </c>
      <c r="Q715" s="223">
        <v>-9999</v>
      </c>
      <c r="R715" s="243"/>
      <c r="S715" s="223"/>
      <c r="T715" s="243">
        <v>2.76</v>
      </c>
      <c r="U715" s="223">
        <v>-9999</v>
      </c>
      <c r="V715" s="223"/>
      <c r="W715" s="243">
        <v>-9999</v>
      </c>
      <c r="X715" s="223">
        <v>-9999</v>
      </c>
      <c r="Y715" s="223"/>
      <c r="Z715" s="561" t="s">
        <v>1702</v>
      </c>
      <c r="AA715" s="425">
        <f t="shared" si="86"/>
        <v>1682.0700000000002</v>
      </c>
      <c r="AB715" s="243">
        <v>-9999</v>
      </c>
      <c r="AC715" s="245">
        <v>4.0460000000000003</v>
      </c>
      <c r="AD715" s="560">
        <f t="shared" si="77"/>
        <v>3300</v>
      </c>
      <c r="AE715" s="675" t="s">
        <v>97</v>
      </c>
      <c r="AF715" s="223">
        <v>3</v>
      </c>
      <c r="AG715" s="223">
        <v>-9999</v>
      </c>
      <c r="AH715" s="223">
        <v>-9999</v>
      </c>
      <c r="AI715" s="223">
        <v>-9999</v>
      </c>
      <c r="AJ715" s="223">
        <v>-9999</v>
      </c>
      <c r="AK715" s="223">
        <v>-9999</v>
      </c>
      <c r="AL715" s="223">
        <v>-9999</v>
      </c>
      <c r="AM715" s="223">
        <v>-9999</v>
      </c>
      <c r="AN715" s="223" t="s">
        <v>631</v>
      </c>
      <c r="AO715" s="223">
        <v>-9999</v>
      </c>
      <c r="AP715" s="223">
        <v>-9999</v>
      </c>
      <c r="AQ715" s="223" t="s">
        <v>631</v>
      </c>
      <c r="AR715" s="223">
        <v>0</v>
      </c>
      <c r="AS715" s="223">
        <v>-9999</v>
      </c>
      <c r="AT715" s="223">
        <v>-9999</v>
      </c>
      <c r="AU715" s="223">
        <v>0</v>
      </c>
      <c r="AV715" s="223">
        <v>-9999</v>
      </c>
      <c r="AW715" s="223">
        <v>-9999</v>
      </c>
      <c r="AX715" s="223">
        <v>0</v>
      </c>
      <c r="AY715" s="223">
        <v>-9999</v>
      </c>
      <c r="AZ715" s="223">
        <v>-9999</v>
      </c>
      <c r="BA715" s="223">
        <v>-9999</v>
      </c>
      <c r="BB715" s="223" t="s">
        <v>631</v>
      </c>
      <c r="BC715" s="223">
        <v>-9999</v>
      </c>
      <c r="BD715" s="223">
        <v>-9999</v>
      </c>
      <c r="BE715" s="223">
        <v>-9999</v>
      </c>
      <c r="BF715" s="223">
        <v>-9999</v>
      </c>
      <c r="BG715" s="223">
        <v>-9999</v>
      </c>
      <c r="BH715" s="223">
        <v>-9999</v>
      </c>
      <c r="BI715" s="223" t="s">
        <v>1062</v>
      </c>
      <c r="BJ715" s="223">
        <v>-9999</v>
      </c>
      <c r="BK715" s="223">
        <v>-9999</v>
      </c>
      <c r="BL715" s="223">
        <v>-9999</v>
      </c>
      <c r="BM715" s="223">
        <v>-9999</v>
      </c>
      <c r="BN715" s="223">
        <v>-9999</v>
      </c>
      <c r="BO715" s="223">
        <v>-9999</v>
      </c>
      <c r="BP715" s="223">
        <v>-9999</v>
      </c>
      <c r="BQ715" s="223">
        <v>-9999</v>
      </c>
      <c r="BR715" s="223">
        <v>-9999</v>
      </c>
      <c r="BS715" s="242">
        <v>-9999</v>
      </c>
      <c r="BT715" s="223">
        <v>-9999</v>
      </c>
      <c r="BU715" s="223">
        <v>-9999</v>
      </c>
      <c r="BV715" s="223">
        <v>-9999</v>
      </c>
      <c r="BW715" s="223"/>
      <c r="BX715" s="223">
        <v>-9999</v>
      </c>
      <c r="BY715" s="223">
        <v>-9999</v>
      </c>
      <c r="BZ715" s="223">
        <v>-9999</v>
      </c>
      <c r="CA715" s="334" t="s">
        <v>797</v>
      </c>
      <c r="CB715" s="247"/>
      <c r="CC715" s="83">
        <v>1</v>
      </c>
      <c r="CD715" s="32">
        <v>4</v>
      </c>
      <c r="CE715" s="292">
        <v>2.76</v>
      </c>
      <c r="CF715" s="292"/>
      <c r="CG715" s="84">
        <v>4</v>
      </c>
    </row>
    <row r="716" spans="1:1873" s="23" customFormat="1" ht="25.5" x14ac:dyDescent="0.2">
      <c r="A716" s="304" t="s">
        <v>2090</v>
      </c>
      <c r="B716" s="223" t="s">
        <v>804</v>
      </c>
      <c r="C716" s="223" t="s">
        <v>1032</v>
      </c>
      <c r="D716" s="223" t="s">
        <v>619</v>
      </c>
      <c r="E716" s="305" t="s">
        <v>1451</v>
      </c>
      <c r="F716" s="241">
        <v>1</v>
      </c>
      <c r="G716" s="223">
        <v>5</v>
      </c>
      <c r="H716" s="242">
        <v>5</v>
      </c>
      <c r="I716" s="223" t="s">
        <v>807</v>
      </c>
      <c r="J716" s="450">
        <v>1988</v>
      </c>
      <c r="K716" s="560" t="s">
        <v>1211</v>
      </c>
      <c r="L716" s="450">
        <v>1991</v>
      </c>
      <c r="M716" s="243">
        <v>-9999</v>
      </c>
      <c r="N716" s="223">
        <v>-9999</v>
      </c>
      <c r="O716" s="29"/>
      <c r="P716" s="244">
        <f t="shared" si="87"/>
        <v>17.95</v>
      </c>
      <c r="Q716" s="223">
        <v>-9999</v>
      </c>
      <c r="R716" s="243"/>
      <c r="S716" s="223"/>
      <c r="T716" s="243">
        <v>3.59</v>
      </c>
      <c r="U716" s="223">
        <v>-9999</v>
      </c>
      <c r="V716" s="223"/>
      <c r="W716" s="285">
        <f>+P716-P715</f>
        <v>6.91</v>
      </c>
      <c r="X716" s="223">
        <v>-9999</v>
      </c>
      <c r="Y716" s="223"/>
      <c r="Z716" s="561" t="s">
        <v>1702</v>
      </c>
      <c r="AA716" s="425">
        <f t="shared" si="86"/>
        <v>1682.0700000000002</v>
      </c>
      <c r="AB716" s="243">
        <v>-9999</v>
      </c>
      <c r="AC716" s="245">
        <v>4.0460000000000003</v>
      </c>
      <c r="AD716" s="560">
        <f t="shared" si="77"/>
        <v>3300</v>
      </c>
      <c r="AE716" s="675" t="s">
        <v>97</v>
      </c>
      <c r="AF716" s="223">
        <v>3</v>
      </c>
      <c r="AG716" s="223">
        <v>-9999</v>
      </c>
      <c r="AH716" s="223">
        <v>-9999</v>
      </c>
      <c r="AI716" s="223">
        <v>-9999</v>
      </c>
      <c r="AJ716" s="223">
        <v>-9999</v>
      </c>
      <c r="AK716" s="223">
        <v>-9999</v>
      </c>
      <c r="AL716" s="223">
        <v>-9999</v>
      </c>
      <c r="AM716" s="223">
        <v>-9999</v>
      </c>
      <c r="AN716" s="223" t="s">
        <v>631</v>
      </c>
      <c r="AO716" s="223">
        <v>-9999</v>
      </c>
      <c r="AP716" s="223">
        <v>-9999</v>
      </c>
      <c r="AQ716" s="223" t="s">
        <v>631</v>
      </c>
      <c r="AR716" s="223">
        <v>0</v>
      </c>
      <c r="AS716" s="223">
        <v>-9999</v>
      </c>
      <c r="AT716" s="223">
        <v>-9999</v>
      </c>
      <c r="AU716" s="223">
        <v>0</v>
      </c>
      <c r="AV716" s="223">
        <v>-9999</v>
      </c>
      <c r="AW716" s="223">
        <v>-9999</v>
      </c>
      <c r="AX716" s="223">
        <v>0</v>
      </c>
      <c r="AY716" s="223">
        <v>-9999</v>
      </c>
      <c r="AZ716" s="223">
        <v>-9999</v>
      </c>
      <c r="BA716" s="223">
        <v>-9999</v>
      </c>
      <c r="BB716" s="223" t="s">
        <v>631</v>
      </c>
      <c r="BC716" s="223">
        <v>-9999</v>
      </c>
      <c r="BD716" s="223">
        <v>-9999</v>
      </c>
      <c r="BE716" s="223">
        <v>-9999</v>
      </c>
      <c r="BF716" s="223">
        <v>-9999</v>
      </c>
      <c r="BG716" s="223">
        <v>-9999</v>
      </c>
      <c r="BH716" s="223">
        <v>-9999</v>
      </c>
      <c r="BI716" s="223" t="s">
        <v>1062</v>
      </c>
      <c r="BJ716" s="223">
        <v>-9999</v>
      </c>
      <c r="BK716" s="223">
        <v>-9999</v>
      </c>
      <c r="BL716" s="223">
        <v>-9999</v>
      </c>
      <c r="BM716" s="223">
        <v>-9999</v>
      </c>
      <c r="BN716" s="223">
        <v>-9999</v>
      </c>
      <c r="BO716" s="223">
        <v>-9999</v>
      </c>
      <c r="BP716" s="223">
        <v>-9999</v>
      </c>
      <c r="BQ716" s="223">
        <v>-9999</v>
      </c>
      <c r="BR716" s="223">
        <v>-9999</v>
      </c>
      <c r="BS716" s="242">
        <v>-9999</v>
      </c>
      <c r="BT716" s="223">
        <v>-9999</v>
      </c>
      <c r="BU716" s="223">
        <v>-9999</v>
      </c>
      <c r="BV716" s="223">
        <v>-9999</v>
      </c>
      <c r="BW716" s="223"/>
      <c r="BX716" s="223">
        <v>-9999</v>
      </c>
      <c r="BY716" s="223">
        <v>-9999</v>
      </c>
      <c r="BZ716" s="223">
        <v>-9999</v>
      </c>
      <c r="CA716" s="334" t="s">
        <v>797</v>
      </c>
      <c r="CB716" s="247"/>
      <c r="CC716" s="83">
        <v>1</v>
      </c>
      <c r="CD716" s="32">
        <v>5</v>
      </c>
      <c r="CE716" s="292">
        <v>3.59</v>
      </c>
      <c r="CF716" s="292">
        <v>6.91</v>
      </c>
      <c r="CG716" s="84">
        <v>5</v>
      </c>
    </row>
    <row r="717" spans="1:1873" s="23" customFormat="1" ht="25.5" x14ac:dyDescent="0.2">
      <c r="A717" s="304" t="s">
        <v>2090</v>
      </c>
      <c r="B717" s="223" t="s">
        <v>804</v>
      </c>
      <c r="C717" s="223" t="s">
        <v>1032</v>
      </c>
      <c r="D717" s="223" t="s">
        <v>619</v>
      </c>
      <c r="E717" s="305" t="s">
        <v>1451</v>
      </c>
      <c r="F717" s="241">
        <v>1</v>
      </c>
      <c r="G717" s="223">
        <v>6</v>
      </c>
      <c r="H717" s="242">
        <v>6</v>
      </c>
      <c r="I717" s="223" t="s">
        <v>807</v>
      </c>
      <c r="J717" s="450">
        <v>1988</v>
      </c>
      <c r="K717" s="560" t="s">
        <v>1211</v>
      </c>
      <c r="L717" s="450">
        <v>1992</v>
      </c>
      <c r="M717" s="243">
        <v>-9999</v>
      </c>
      <c r="N717" s="223">
        <v>-9999</v>
      </c>
      <c r="O717" s="29"/>
      <c r="P717" s="244">
        <f t="shared" si="87"/>
        <v>30.54</v>
      </c>
      <c r="Q717" s="223">
        <v>-9999</v>
      </c>
      <c r="R717" s="243"/>
      <c r="S717" s="223"/>
      <c r="T717" s="243">
        <v>5.09</v>
      </c>
      <c r="U717" s="223">
        <v>-9999</v>
      </c>
      <c r="V717" s="223"/>
      <c r="W717" s="285">
        <f>+P717-P716</f>
        <v>12.59</v>
      </c>
      <c r="X717" s="223">
        <v>-9999</v>
      </c>
      <c r="Y717" s="223"/>
      <c r="Z717" s="561" t="s">
        <v>1702</v>
      </c>
      <c r="AA717" s="425">
        <f t="shared" si="86"/>
        <v>1682.0700000000002</v>
      </c>
      <c r="AB717" s="243">
        <v>-9999</v>
      </c>
      <c r="AC717" s="245">
        <v>4.0460000000000003</v>
      </c>
      <c r="AD717" s="560">
        <f t="shared" si="77"/>
        <v>3300</v>
      </c>
      <c r="AE717" s="675" t="s">
        <v>97</v>
      </c>
      <c r="AF717" s="223">
        <v>3</v>
      </c>
      <c r="AG717" s="223">
        <v>-9999</v>
      </c>
      <c r="AH717" s="223">
        <v>-9999</v>
      </c>
      <c r="AI717" s="223">
        <v>-9999</v>
      </c>
      <c r="AJ717" s="223">
        <v>-9999</v>
      </c>
      <c r="AK717" s="223">
        <v>-9999</v>
      </c>
      <c r="AL717" s="223">
        <v>-9999</v>
      </c>
      <c r="AM717" s="223">
        <v>-9999</v>
      </c>
      <c r="AN717" s="223" t="s">
        <v>631</v>
      </c>
      <c r="AO717" s="223">
        <v>-9999</v>
      </c>
      <c r="AP717" s="223">
        <v>-9999</v>
      </c>
      <c r="AQ717" s="223" t="s">
        <v>631</v>
      </c>
      <c r="AR717" s="223">
        <v>0</v>
      </c>
      <c r="AS717" s="223">
        <v>-9999</v>
      </c>
      <c r="AT717" s="223">
        <v>-9999</v>
      </c>
      <c r="AU717" s="223">
        <v>0</v>
      </c>
      <c r="AV717" s="223">
        <v>-9999</v>
      </c>
      <c r="AW717" s="223">
        <v>-9999</v>
      </c>
      <c r="AX717" s="223">
        <v>0</v>
      </c>
      <c r="AY717" s="223">
        <v>-9999</v>
      </c>
      <c r="AZ717" s="223">
        <v>-9999</v>
      </c>
      <c r="BA717" s="223">
        <v>-9999</v>
      </c>
      <c r="BB717" s="223" t="s">
        <v>631</v>
      </c>
      <c r="BC717" s="223">
        <v>-9999</v>
      </c>
      <c r="BD717" s="223">
        <v>-9999</v>
      </c>
      <c r="BE717" s="223">
        <v>-9999</v>
      </c>
      <c r="BF717" s="223">
        <v>-9999</v>
      </c>
      <c r="BG717" s="223">
        <v>-9999</v>
      </c>
      <c r="BH717" s="223">
        <v>-9999</v>
      </c>
      <c r="BI717" s="223" t="s">
        <v>1062</v>
      </c>
      <c r="BJ717" s="223">
        <v>-9999</v>
      </c>
      <c r="BK717" s="223">
        <v>-9999</v>
      </c>
      <c r="BL717" s="223">
        <v>-9999</v>
      </c>
      <c r="BM717" s="223">
        <v>-9999</v>
      </c>
      <c r="BN717" s="223">
        <v>-9999</v>
      </c>
      <c r="BO717" s="223">
        <v>-9999</v>
      </c>
      <c r="BP717" s="223">
        <v>-9999</v>
      </c>
      <c r="BQ717" s="223">
        <v>-9999</v>
      </c>
      <c r="BR717" s="223">
        <v>-9999</v>
      </c>
      <c r="BS717" s="242">
        <v>-9999</v>
      </c>
      <c r="BT717" s="223">
        <v>-9999</v>
      </c>
      <c r="BU717" s="223">
        <v>-9999</v>
      </c>
      <c r="BV717" s="223">
        <v>-9999</v>
      </c>
      <c r="BW717" s="223"/>
      <c r="BX717" s="223">
        <v>-9999</v>
      </c>
      <c r="BY717" s="223">
        <v>-9999</v>
      </c>
      <c r="BZ717" s="223">
        <v>-9999</v>
      </c>
      <c r="CA717" s="334" t="s">
        <v>797</v>
      </c>
      <c r="CB717" s="247"/>
      <c r="CC717" s="83">
        <v>1</v>
      </c>
      <c r="CD717" s="32">
        <v>6</v>
      </c>
      <c r="CE717" s="292">
        <v>5.09</v>
      </c>
      <c r="CF717" s="292">
        <v>12.59</v>
      </c>
      <c r="CG717" s="84">
        <v>6</v>
      </c>
    </row>
    <row r="718" spans="1:1873" s="202" customFormat="1" ht="25.5" x14ac:dyDescent="0.2">
      <c r="A718" s="304" t="s">
        <v>2090</v>
      </c>
      <c r="B718" s="223" t="s">
        <v>804</v>
      </c>
      <c r="C718" s="223" t="s">
        <v>1032</v>
      </c>
      <c r="D718" s="223" t="s">
        <v>619</v>
      </c>
      <c r="E718" s="241" t="s">
        <v>1451</v>
      </c>
      <c r="F718" s="241">
        <v>1</v>
      </c>
      <c r="G718" s="223">
        <v>7</v>
      </c>
      <c r="H718" s="242">
        <v>7</v>
      </c>
      <c r="I718" s="223" t="s">
        <v>807</v>
      </c>
      <c r="J718" s="450">
        <v>1988</v>
      </c>
      <c r="K718" s="560" t="s">
        <v>1211</v>
      </c>
      <c r="L718" s="450">
        <v>1993</v>
      </c>
      <c r="M718" s="243">
        <v>-9999</v>
      </c>
      <c r="N718" s="223">
        <v>-9999</v>
      </c>
      <c r="O718" s="29"/>
      <c r="P718" s="285">
        <f t="shared" si="87"/>
        <v>38.15</v>
      </c>
      <c r="Q718" s="223">
        <v>-9999</v>
      </c>
      <c r="R718" s="243"/>
      <c r="S718" s="223"/>
      <c r="T718" s="243">
        <v>5.45</v>
      </c>
      <c r="U718" s="223">
        <v>-9999</v>
      </c>
      <c r="V718" s="223"/>
      <c r="W718" s="244">
        <f>+P718-P717</f>
        <v>7.6099999999999994</v>
      </c>
      <c r="X718" s="223">
        <v>-9999</v>
      </c>
      <c r="Y718" s="223"/>
      <c r="Z718" s="561" t="s">
        <v>1702</v>
      </c>
      <c r="AA718" s="425">
        <f t="shared" si="86"/>
        <v>1682.0700000000002</v>
      </c>
      <c r="AB718" s="243">
        <v>-9999</v>
      </c>
      <c r="AC718" s="245">
        <v>4.0460000000000003</v>
      </c>
      <c r="AD718" s="560">
        <f t="shared" si="77"/>
        <v>3300</v>
      </c>
      <c r="AE718" s="675" t="s">
        <v>97</v>
      </c>
      <c r="AF718" s="223">
        <v>3</v>
      </c>
      <c r="AG718" s="223">
        <v>-9999</v>
      </c>
      <c r="AH718" s="223">
        <v>-9999</v>
      </c>
      <c r="AI718" s="223">
        <v>-9999</v>
      </c>
      <c r="AJ718" s="223">
        <v>-9999</v>
      </c>
      <c r="AK718" s="223">
        <v>-9999</v>
      </c>
      <c r="AL718" s="223">
        <v>-9999</v>
      </c>
      <c r="AM718" s="223">
        <v>-9999</v>
      </c>
      <c r="AN718" s="223" t="s">
        <v>631</v>
      </c>
      <c r="AO718" s="223">
        <v>-9999</v>
      </c>
      <c r="AP718" s="223">
        <v>-9999</v>
      </c>
      <c r="AQ718" s="223" t="s">
        <v>631</v>
      </c>
      <c r="AR718" s="223">
        <v>0</v>
      </c>
      <c r="AS718" s="223">
        <v>-9999</v>
      </c>
      <c r="AT718" s="223">
        <v>-9999</v>
      </c>
      <c r="AU718" s="223">
        <v>0</v>
      </c>
      <c r="AV718" s="223">
        <v>-9999</v>
      </c>
      <c r="AW718" s="223">
        <v>-9999</v>
      </c>
      <c r="AX718" s="223">
        <v>0</v>
      </c>
      <c r="AY718" s="223">
        <v>-9999</v>
      </c>
      <c r="AZ718" s="223">
        <v>-9999</v>
      </c>
      <c r="BA718" s="223">
        <v>-9999</v>
      </c>
      <c r="BB718" s="223" t="s">
        <v>631</v>
      </c>
      <c r="BC718" s="223">
        <v>-9999</v>
      </c>
      <c r="BD718" s="223">
        <v>-9999</v>
      </c>
      <c r="BE718" s="223">
        <v>-9999</v>
      </c>
      <c r="BF718" s="223">
        <v>-9999</v>
      </c>
      <c r="BG718" s="223">
        <v>-9999</v>
      </c>
      <c r="BH718" s="223">
        <v>-9999</v>
      </c>
      <c r="BI718" s="223" t="s">
        <v>1062</v>
      </c>
      <c r="BJ718" s="223">
        <v>-9999</v>
      </c>
      <c r="BK718" s="223">
        <v>-9999</v>
      </c>
      <c r="BL718" s="223">
        <v>-9999</v>
      </c>
      <c r="BM718" s="223">
        <v>-9999</v>
      </c>
      <c r="BN718" s="223">
        <v>-9999</v>
      </c>
      <c r="BO718" s="223">
        <v>-9999</v>
      </c>
      <c r="BP718" s="223">
        <v>-9999</v>
      </c>
      <c r="BQ718" s="223">
        <v>-9999</v>
      </c>
      <c r="BR718" s="223">
        <v>-9999</v>
      </c>
      <c r="BS718" s="242">
        <v>-9999</v>
      </c>
      <c r="BT718" s="223">
        <v>-9999</v>
      </c>
      <c r="BU718" s="223">
        <v>-9999</v>
      </c>
      <c r="BV718" s="223">
        <v>-9999</v>
      </c>
      <c r="BW718" s="223"/>
      <c r="BX718" s="223">
        <v>-9999</v>
      </c>
      <c r="BY718" s="223">
        <v>-9999</v>
      </c>
      <c r="BZ718" s="223">
        <v>-9999</v>
      </c>
      <c r="CA718" s="334" t="s">
        <v>797</v>
      </c>
      <c r="CB718" s="247"/>
      <c r="CC718" s="201">
        <v>1</v>
      </c>
      <c r="CD718" s="192">
        <v>7</v>
      </c>
      <c r="CE718" s="394">
        <v>5.45</v>
      </c>
      <c r="CF718" s="292">
        <v>7.6099999999999994</v>
      </c>
      <c r="CG718" s="196">
        <v>7</v>
      </c>
      <c r="CH718" s="438" t="s">
        <v>1757</v>
      </c>
      <c r="CI718" s="23"/>
      <c r="CJ718" s="23"/>
      <c r="CK718" s="23"/>
      <c r="CL718" s="23"/>
      <c r="CM718" s="23"/>
      <c r="CN718" s="23"/>
      <c r="CO718" s="23"/>
      <c r="CP718" s="23"/>
      <c r="CQ718" s="23"/>
      <c r="CR718" s="23"/>
      <c r="CS718" s="23"/>
      <c r="CT718" s="23"/>
      <c r="CU718" s="23"/>
      <c r="CV718" s="23"/>
      <c r="CW718" s="23"/>
      <c r="CX718" s="23"/>
      <c r="CY718" s="23"/>
      <c r="CZ718" s="23"/>
      <c r="DA718" s="23"/>
      <c r="DB718" s="23"/>
      <c r="DC718" s="23"/>
      <c r="DD718" s="23"/>
      <c r="DE718" s="23"/>
      <c r="DF718" s="23"/>
      <c r="DG718" s="23"/>
      <c r="DH718" s="23"/>
      <c r="DI718" s="23"/>
      <c r="DJ718" s="23"/>
      <c r="DK718" s="23"/>
      <c r="DL718" s="23"/>
      <c r="DM718" s="23"/>
      <c r="DN718" s="23"/>
      <c r="DO718" s="23"/>
      <c r="DP718" s="23"/>
      <c r="DQ718" s="23"/>
      <c r="DR718" s="23"/>
      <c r="DS718" s="23"/>
      <c r="DT718" s="23"/>
      <c r="DU718" s="23"/>
      <c r="DV718" s="23"/>
      <c r="DW718" s="23"/>
      <c r="DX718" s="23"/>
      <c r="DY718" s="23"/>
      <c r="DZ718" s="23"/>
      <c r="EA718" s="23"/>
      <c r="EB718" s="23"/>
      <c r="EC718" s="23"/>
      <c r="ED718" s="23"/>
      <c r="EE718" s="23"/>
      <c r="EF718" s="23"/>
      <c r="EG718" s="23"/>
      <c r="EH718" s="23"/>
      <c r="EI718" s="23"/>
      <c r="EJ718" s="23"/>
      <c r="EK718" s="23"/>
      <c r="EL718" s="23"/>
      <c r="EM718" s="23"/>
      <c r="EN718" s="23"/>
      <c r="EO718" s="23"/>
      <c r="EP718" s="23"/>
      <c r="EQ718" s="23"/>
      <c r="ER718" s="23"/>
      <c r="ES718" s="23"/>
      <c r="ET718" s="23"/>
      <c r="EU718" s="23"/>
      <c r="EV718" s="23"/>
      <c r="EW718" s="23"/>
      <c r="EX718" s="23"/>
      <c r="EY718" s="23"/>
      <c r="EZ718" s="23"/>
      <c r="FA718" s="23"/>
      <c r="FB718" s="23"/>
      <c r="FC718" s="23"/>
      <c r="FD718" s="23"/>
      <c r="FE718" s="23"/>
      <c r="FF718" s="23"/>
      <c r="FG718" s="23"/>
      <c r="FH718" s="23"/>
      <c r="FI718" s="23"/>
      <c r="FJ718" s="23"/>
      <c r="FK718" s="23"/>
      <c r="FL718" s="23"/>
      <c r="FM718" s="23"/>
      <c r="FN718" s="23"/>
      <c r="FO718" s="23"/>
      <c r="FP718" s="23"/>
      <c r="FQ718" s="23"/>
      <c r="FR718" s="23"/>
      <c r="FS718" s="23"/>
      <c r="FT718" s="23"/>
      <c r="FU718" s="23"/>
      <c r="FV718" s="23"/>
      <c r="FW718" s="23"/>
      <c r="FX718" s="23"/>
      <c r="FY718" s="23"/>
      <c r="FZ718" s="23"/>
      <c r="GA718" s="23"/>
      <c r="GB718" s="23"/>
      <c r="GC718" s="23"/>
      <c r="GD718" s="23"/>
      <c r="GE718" s="23"/>
      <c r="GF718" s="23"/>
      <c r="GG718" s="23"/>
      <c r="GH718" s="23"/>
      <c r="GI718" s="23"/>
      <c r="GJ718" s="23"/>
      <c r="GK718" s="23"/>
      <c r="GL718" s="23"/>
      <c r="GM718" s="23"/>
      <c r="GN718" s="23"/>
      <c r="GO718" s="23"/>
      <c r="GP718" s="23"/>
      <c r="GQ718" s="23"/>
      <c r="GR718" s="23"/>
      <c r="GS718" s="23"/>
      <c r="GT718" s="23"/>
      <c r="GU718" s="23"/>
      <c r="GV718" s="23"/>
      <c r="GW718" s="23"/>
      <c r="GX718" s="23"/>
      <c r="GY718" s="23"/>
      <c r="GZ718" s="23"/>
      <c r="HA718" s="23"/>
      <c r="HB718" s="23"/>
      <c r="HC718" s="23"/>
      <c r="HD718" s="23"/>
      <c r="HE718" s="23"/>
      <c r="HF718" s="23"/>
      <c r="HG718" s="23"/>
      <c r="HH718" s="23"/>
      <c r="HI718" s="23"/>
      <c r="HJ718" s="23"/>
      <c r="HK718" s="23"/>
      <c r="HL718" s="23"/>
      <c r="HM718" s="23"/>
      <c r="HN718" s="23"/>
      <c r="HO718" s="23"/>
      <c r="HP718" s="23"/>
      <c r="HQ718" s="23"/>
      <c r="HR718" s="23"/>
      <c r="HS718" s="23"/>
      <c r="HT718" s="23"/>
      <c r="HU718" s="23"/>
      <c r="HV718" s="23"/>
      <c r="HW718" s="23"/>
      <c r="HX718" s="23"/>
      <c r="HY718" s="23"/>
      <c r="HZ718" s="23"/>
      <c r="IA718" s="23"/>
      <c r="IB718" s="23"/>
      <c r="IC718" s="23"/>
      <c r="ID718" s="23"/>
      <c r="IE718" s="23"/>
      <c r="IF718" s="23"/>
      <c r="IG718" s="23"/>
      <c r="IH718" s="23"/>
      <c r="II718" s="23"/>
      <c r="IJ718" s="23"/>
      <c r="IK718" s="23"/>
      <c r="IL718" s="23"/>
      <c r="IM718" s="23"/>
      <c r="IN718" s="23"/>
      <c r="IO718" s="23"/>
      <c r="IP718" s="23"/>
      <c r="IQ718" s="23"/>
      <c r="IR718" s="23"/>
      <c r="IS718" s="23"/>
      <c r="IT718" s="23"/>
      <c r="IU718" s="23"/>
      <c r="IV718" s="23"/>
      <c r="IW718" s="23"/>
      <c r="IX718" s="23"/>
      <c r="IY718" s="23"/>
      <c r="IZ718" s="23"/>
      <c r="JA718" s="23"/>
      <c r="JB718" s="23"/>
      <c r="JC718" s="23"/>
      <c r="JD718" s="23"/>
      <c r="JE718" s="23"/>
      <c r="JF718" s="23"/>
      <c r="JG718" s="23"/>
      <c r="JH718" s="23"/>
      <c r="JI718" s="23"/>
      <c r="JJ718" s="23"/>
      <c r="JK718" s="23"/>
      <c r="JL718" s="23"/>
      <c r="JM718" s="23"/>
      <c r="JN718" s="23"/>
      <c r="JO718" s="23"/>
      <c r="JP718" s="23"/>
      <c r="JQ718" s="23"/>
      <c r="JR718" s="23"/>
      <c r="JS718" s="23"/>
      <c r="JT718" s="23"/>
      <c r="JU718" s="23"/>
      <c r="JV718" s="23"/>
      <c r="JW718" s="23"/>
      <c r="JX718" s="23"/>
      <c r="JY718" s="23"/>
      <c r="JZ718" s="23"/>
      <c r="KA718" s="23"/>
      <c r="KB718" s="23"/>
      <c r="KC718" s="23"/>
      <c r="KD718" s="23"/>
      <c r="KE718" s="23"/>
      <c r="KF718" s="23"/>
      <c r="KG718" s="23"/>
      <c r="KH718" s="23"/>
      <c r="KI718" s="23"/>
      <c r="KJ718" s="23"/>
      <c r="KK718" s="23"/>
      <c r="KL718" s="23"/>
      <c r="KM718" s="23"/>
      <c r="KN718" s="23"/>
      <c r="KO718" s="23"/>
      <c r="KP718" s="23"/>
      <c r="KQ718" s="23"/>
      <c r="KR718" s="23"/>
      <c r="KS718" s="23"/>
      <c r="KT718" s="23"/>
      <c r="KU718" s="23"/>
      <c r="KV718" s="23"/>
      <c r="KW718" s="23"/>
      <c r="KX718" s="23"/>
      <c r="KY718" s="23"/>
      <c r="KZ718" s="23"/>
      <c r="LA718" s="23"/>
      <c r="LB718" s="23"/>
      <c r="LC718" s="23"/>
      <c r="LD718" s="23"/>
      <c r="LE718" s="23"/>
      <c r="LF718" s="23"/>
      <c r="LG718" s="23"/>
      <c r="LH718" s="23"/>
      <c r="LI718" s="23"/>
      <c r="LJ718" s="23"/>
      <c r="LK718" s="23"/>
      <c r="LL718" s="23"/>
      <c r="LM718" s="23"/>
      <c r="LN718" s="23"/>
      <c r="LO718" s="23"/>
      <c r="LP718" s="23"/>
      <c r="LQ718" s="23"/>
      <c r="LR718" s="23"/>
      <c r="LS718" s="23"/>
      <c r="LT718" s="23"/>
      <c r="LU718" s="23"/>
      <c r="LV718" s="23"/>
      <c r="LW718" s="23"/>
      <c r="LX718" s="23"/>
      <c r="LY718" s="23"/>
      <c r="LZ718" s="23"/>
      <c r="MA718" s="23"/>
      <c r="MB718" s="23"/>
      <c r="MC718" s="23"/>
      <c r="MD718" s="23"/>
      <c r="ME718" s="23"/>
      <c r="MF718" s="23"/>
      <c r="MG718" s="23"/>
      <c r="MH718" s="23"/>
      <c r="MI718" s="23"/>
      <c r="MJ718" s="23"/>
      <c r="MK718" s="23"/>
      <c r="ML718" s="23"/>
      <c r="MM718" s="23"/>
      <c r="MN718" s="23"/>
      <c r="MO718" s="23"/>
      <c r="MP718" s="23"/>
      <c r="MQ718" s="23"/>
      <c r="MR718" s="23"/>
      <c r="MS718" s="23"/>
      <c r="MT718" s="23"/>
      <c r="MU718" s="23"/>
      <c r="MV718" s="23"/>
      <c r="MW718" s="23"/>
      <c r="MX718" s="23"/>
      <c r="MY718" s="23"/>
      <c r="MZ718" s="23"/>
      <c r="NA718" s="23"/>
      <c r="NB718" s="23"/>
      <c r="NC718" s="23"/>
      <c r="ND718" s="23"/>
      <c r="NE718" s="23"/>
      <c r="NF718" s="23"/>
      <c r="NG718" s="23"/>
      <c r="NH718" s="23"/>
      <c r="NI718" s="23"/>
      <c r="NJ718" s="23"/>
      <c r="NK718" s="23"/>
      <c r="NL718" s="23"/>
      <c r="NM718" s="23"/>
      <c r="NN718" s="23"/>
      <c r="NO718" s="23"/>
      <c r="NP718" s="23"/>
      <c r="NQ718" s="23"/>
      <c r="NR718" s="23"/>
      <c r="NS718" s="23"/>
      <c r="NT718" s="23"/>
      <c r="NU718" s="23"/>
      <c r="NV718" s="23"/>
      <c r="NW718" s="23"/>
      <c r="NX718" s="23"/>
      <c r="NY718" s="23"/>
      <c r="NZ718" s="23"/>
      <c r="OA718" s="23"/>
      <c r="OB718" s="23"/>
      <c r="OC718" s="23"/>
      <c r="OD718" s="23"/>
      <c r="OE718" s="23"/>
      <c r="OF718" s="23"/>
      <c r="OG718" s="23"/>
      <c r="OH718" s="23"/>
      <c r="OI718" s="23"/>
      <c r="OJ718" s="23"/>
      <c r="OK718" s="23"/>
      <c r="OL718" s="23"/>
      <c r="OM718" s="23"/>
      <c r="ON718" s="23"/>
      <c r="OO718" s="23"/>
      <c r="OP718" s="23"/>
      <c r="OQ718" s="23"/>
      <c r="OR718" s="23"/>
      <c r="OS718" s="23"/>
      <c r="OT718" s="23"/>
      <c r="OU718" s="23"/>
      <c r="OV718" s="23"/>
      <c r="OW718" s="23"/>
      <c r="OX718" s="23"/>
      <c r="OY718" s="23"/>
      <c r="OZ718" s="23"/>
      <c r="PA718" s="23"/>
      <c r="PB718" s="23"/>
      <c r="PC718" s="23"/>
      <c r="PD718" s="23"/>
      <c r="PE718" s="23"/>
      <c r="PF718" s="23"/>
      <c r="PG718" s="23"/>
      <c r="PH718" s="23"/>
      <c r="PI718" s="23"/>
      <c r="PJ718" s="23"/>
      <c r="PK718" s="23"/>
      <c r="PL718" s="23"/>
      <c r="PM718" s="23"/>
      <c r="PN718" s="23"/>
      <c r="PO718" s="23"/>
      <c r="PP718" s="23"/>
      <c r="PQ718" s="23"/>
      <c r="PR718" s="23"/>
      <c r="PS718" s="23"/>
      <c r="PT718" s="23"/>
      <c r="PU718" s="23"/>
      <c r="PV718" s="23"/>
      <c r="PW718" s="23"/>
      <c r="PX718" s="23"/>
      <c r="PY718" s="23"/>
      <c r="PZ718" s="23"/>
      <c r="QA718" s="23"/>
      <c r="QB718" s="23"/>
      <c r="QC718" s="23"/>
      <c r="QD718" s="23"/>
      <c r="QE718" s="23"/>
      <c r="QF718" s="23"/>
      <c r="QG718" s="23"/>
      <c r="QH718" s="23"/>
      <c r="QI718" s="23"/>
      <c r="QJ718" s="23"/>
      <c r="QK718" s="23"/>
      <c r="QL718" s="23"/>
      <c r="QM718" s="23"/>
      <c r="QN718" s="23"/>
      <c r="QO718" s="23"/>
      <c r="QP718" s="23"/>
      <c r="QQ718" s="23"/>
      <c r="QR718" s="23"/>
      <c r="QS718" s="23"/>
      <c r="QT718" s="23"/>
      <c r="QU718" s="23"/>
      <c r="QV718" s="23"/>
      <c r="QW718" s="23"/>
      <c r="QX718" s="23"/>
      <c r="QY718" s="23"/>
      <c r="QZ718" s="23"/>
      <c r="RA718" s="23"/>
      <c r="RB718" s="23"/>
      <c r="RC718" s="23"/>
      <c r="RD718" s="23"/>
      <c r="RE718" s="23"/>
      <c r="RF718" s="23"/>
      <c r="RG718" s="23"/>
      <c r="RH718" s="23"/>
      <c r="RI718" s="23"/>
      <c r="RJ718" s="23"/>
      <c r="RK718" s="23"/>
      <c r="RL718" s="23"/>
      <c r="RM718" s="23"/>
      <c r="RN718" s="23"/>
      <c r="RO718" s="23"/>
      <c r="RP718" s="23"/>
      <c r="RQ718" s="23"/>
      <c r="RR718" s="23"/>
      <c r="RS718" s="23"/>
      <c r="RT718" s="23"/>
      <c r="RU718" s="23"/>
      <c r="RV718" s="23"/>
      <c r="RW718" s="23"/>
      <c r="RX718" s="23"/>
      <c r="RY718" s="23"/>
      <c r="RZ718" s="23"/>
      <c r="SA718" s="23"/>
      <c r="SB718" s="23"/>
      <c r="SC718" s="23"/>
      <c r="SD718" s="23"/>
      <c r="SE718" s="23"/>
      <c r="SF718" s="23"/>
      <c r="SG718" s="23"/>
      <c r="SH718" s="23"/>
      <c r="SI718" s="23"/>
      <c r="SJ718" s="23"/>
      <c r="SK718" s="23"/>
      <c r="SL718" s="23"/>
      <c r="SM718" s="23"/>
      <c r="SN718" s="23"/>
      <c r="SO718" s="23"/>
      <c r="SP718" s="23"/>
      <c r="SQ718" s="23"/>
      <c r="SR718" s="23"/>
      <c r="SS718" s="23"/>
      <c r="ST718" s="23"/>
      <c r="SU718" s="23"/>
      <c r="SV718" s="23"/>
      <c r="SW718" s="23"/>
      <c r="SX718" s="23"/>
      <c r="SY718" s="23"/>
      <c r="SZ718" s="23"/>
      <c r="TA718" s="23"/>
      <c r="TB718" s="23"/>
      <c r="TC718" s="23"/>
      <c r="TD718" s="23"/>
      <c r="TE718" s="23"/>
      <c r="TF718" s="23"/>
      <c r="TG718" s="23"/>
      <c r="TH718" s="23"/>
      <c r="TI718" s="23"/>
      <c r="TJ718" s="23"/>
      <c r="TK718" s="23"/>
      <c r="TL718" s="23"/>
      <c r="TM718" s="23"/>
      <c r="TN718" s="23"/>
      <c r="TO718" s="23"/>
      <c r="TP718" s="23"/>
      <c r="TQ718" s="23"/>
      <c r="TR718" s="23"/>
      <c r="TS718" s="23"/>
      <c r="TT718" s="23"/>
      <c r="TU718" s="23"/>
      <c r="TV718" s="23"/>
      <c r="TW718" s="23"/>
      <c r="TX718" s="23"/>
      <c r="TY718" s="23"/>
      <c r="TZ718" s="23"/>
      <c r="UA718" s="23"/>
      <c r="UB718" s="23"/>
      <c r="UC718" s="23"/>
      <c r="UD718" s="23"/>
      <c r="UE718" s="23"/>
      <c r="UF718" s="23"/>
      <c r="UG718" s="23"/>
      <c r="UH718" s="23"/>
      <c r="UI718" s="23"/>
      <c r="UJ718" s="23"/>
      <c r="UK718" s="23"/>
      <c r="UL718" s="23"/>
      <c r="UM718" s="23"/>
      <c r="UN718" s="23"/>
      <c r="UO718" s="23"/>
      <c r="UP718" s="23"/>
      <c r="UQ718" s="23"/>
      <c r="UR718" s="23"/>
      <c r="US718" s="23"/>
      <c r="UT718" s="23"/>
      <c r="UU718" s="23"/>
      <c r="UV718" s="23"/>
      <c r="UW718" s="23"/>
      <c r="UX718" s="23"/>
      <c r="UY718" s="23"/>
      <c r="UZ718" s="23"/>
      <c r="VA718" s="23"/>
      <c r="VB718" s="23"/>
      <c r="VC718" s="23"/>
      <c r="VD718" s="23"/>
      <c r="VE718" s="23"/>
      <c r="VF718" s="23"/>
      <c r="VG718" s="23"/>
      <c r="VH718" s="23"/>
      <c r="VI718" s="23"/>
      <c r="VJ718" s="23"/>
      <c r="VK718" s="23"/>
      <c r="VL718" s="23"/>
      <c r="VM718" s="23"/>
      <c r="VN718" s="23"/>
      <c r="VO718" s="23"/>
      <c r="VP718" s="23"/>
      <c r="VQ718" s="23"/>
      <c r="VR718" s="23"/>
      <c r="VS718" s="23"/>
      <c r="VT718" s="23"/>
      <c r="VU718" s="23"/>
      <c r="VV718" s="23"/>
      <c r="VW718" s="23"/>
      <c r="VX718" s="23"/>
      <c r="VY718" s="23"/>
      <c r="VZ718" s="23"/>
      <c r="WA718" s="23"/>
      <c r="WB718" s="23"/>
      <c r="WC718" s="23"/>
      <c r="WD718" s="23"/>
      <c r="WE718" s="23"/>
      <c r="WF718" s="23"/>
      <c r="WG718" s="23"/>
      <c r="WH718" s="23"/>
      <c r="WI718" s="23"/>
      <c r="WJ718" s="23"/>
      <c r="WK718" s="23"/>
      <c r="WL718" s="23"/>
      <c r="WM718" s="23"/>
      <c r="WN718" s="23"/>
      <c r="WO718" s="23"/>
      <c r="WP718" s="23"/>
      <c r="WQ718" s="23"/>
      <c r="WR718" s="23"/>
      <c r="WS718" s="23"/>
      <c r="WT718" s="23"/>
      <c r="WU718" s="23"/>
      <c r="WV718" s="23"/>
      <c r="WW718" s="23"/>
      <c r="WX718" s="23"/>
      <c r="WY718" s="23"/>
      <c r="WZ718" s="23"/>
      <c r="XA718" s="23"/>
      <c r="XB718" s="23"/>
      <c r="XC718" s="23"/>
      <c r="XD718" s="23"/>
      <c r="XE718" s="23"/>
      <c r="XF718" s="23"/>
      <c r="XG718" s="23"/>
      <c r="XH718" s="23"/>
      <c r="XI718" s="23"/>
      <c r="XJ718" s="23"/>
      <c r="XK718" s="23"/>
      <c r="XL718" s="23"/>
      <c r="XM718" s="23"/>
      <c r="XN718" s="23"/>
      <c r="XO718" s="23"/>
      <c r="XP718" s="23"/>
      <c r="XQ718" s="23"/>
      <c r="XR718" s="23"/>
      <c r="XS718" s="23"/>
      <c r="XT718" s="23"/>
      <c r="XU718" s="23"/>
      <c r="XV718" s="23"/>
      <c r="XW718" s="23"/>
      <c r="XX718" s="23"/>
      <c r="XY718" s="23"/>
      <c r="XZ718" s="23"/>
      <c r="YA718" s="23"/>
      <c r="YB718" s="23"/>
      <c r="YC718" s="23"/>
      <c r="YD718" s="23"/>
      <c r="YE718" s="23"/>
      <c r="YF718" s="23"/>
      <c r="YG718" s="23"/>
      <c r="YH718" s="23"/>
      <c r="YI718" s="23"/>
      <c r="YJ718" s="23"/>
      <c r="YK718" s="23"/>
      <c r="YL718" s="23"/>
      <c r="YM718" s="23"/>
      <c r="YN718" s="23"/>
      <c r="YO718" s="23"/>
      <c r="YP718" s="23"/>
      <c r="YQ718" s="23"/>
      <c r="YR718" s="23"/>
      <c r="YS718" s="23"/>
      <c r="YT718" s="23"/>
      <c r="YU718" s="23"/>
      <c r="YV718" s="23"/>
      <c r="YW718" s="23"/>
      <c r="YX718" s="23"/>
      <c r="YY718" s="23"/>
      <c r="YZ718" s="23"/>
      <c r="ZA718" s="23"/>
      <c r="ZB718" s="23"/>
      <c r="ZC718" s="23"/>
      <c r="ZD718" s="23"/>
      <c r="ZE718" s="23"/>
      <c r="ZF718" s="23"/>
      <c r="ZG718" s="23"/>
      <c r="ZH718" s="23"/>
      <c r="ZI718" s="23"/>
      <c r="ZJ718" s="23"/>
      <c r="ZK718" s="23"/>
      <c r="ZL718" s="23"/>
      <c r="ZM718" s="23"/>
      <c r="ZN718" s="23"/>
      <c r="ZO718" s="23"/>
      <c r="ZP718" s="23"/>
      <c r="ZQ718" s="23"/>
      <c r="ZR718" s="23"/>
      <c r="ZS718" s="23"/>
      <c r="ZT718" s="23"/>
      <c r="ZU718" s="23"/>
      <c r="ZV718" s="23"/>
      <c r="ZW718" s="23"/>
      <c r="ZX718" s="23"/>
      <c r="ZY718" s="23"/>
      <c r="ZZ718" s="23"/>
      <c r="AAA718" s="23"/>
      <c r="AAB718" s="23"/>
      <c r="AAC718" s="23"/>
      <c r="AAD718" s="23"/>
      <c r="AAE718" s="23"/>
      <c r="AAF718" s="23"/>
      <c r="AAG718" s="23"/>
      <c r="AAH718" s="23"/>
      <c r="AAI718" s="23"/>
      <c r="AAJ718" s="23"/>
      <c r="AAK718" s="23"/>
      <c r="AAL718" s="23"/>
      <c r="AAM718" s="23"/>
      <c r="AAN718" s="23"/>
      <c r="AAO718" s="23"/>
      <c r="AAP718" s="23"/>
      <c r="AAQ718" s="23"/>
      <c r="AAR718" s="23"/>
      <c r="AAS718" s="23"/>
      <c r="AAT718" s="23"/>
      <c r="AAU718" s="23"/>
      <c r="AAV718" s="23"/>
      <c r="AAW718" s="23"/>
      <c r="AAX718" s="23"/>
      <c r="AAY718" s="23"/>
      <c r="AAZ718" s="23"/>
      <c r="ABA718" s="23"/>
      <c r="ABB718" s="23"/>
      <c r="ABC718" s="23"/>
      <c r="ABD718" s="23"/>
      <c r="ABE718" s="23"/>
      <c r="ABF718" s="23"/>
      <c r="ABG718" s="23"/>
      <c r="ABH718" s="23"/>
      <c r="ABI718" s="23"/>
      <c r="ABJ718" s="23"/>
      <c r="ABK718" s="23"/>
      <c r="ABL718" s="23"/>
      <c r="ABM718" s="23"/>
      <c r="ABN718" s="23"/>
      <c r="ABO718" s="23"/>
      <c r="ABP718" s="23"/>
      <c r="ABQ718" s="23"/>
      <c r="ABR718" s="23"/>
      <c r="ABS718" s="23"/>
      <c r="ABT718" s="23"/>
      <c r="ABU718" s="23"/>
      <c r="ABV718" s="23"/>
      <c r="ABW718" s="23"/>
      <c r="ABX718" s="23"/>
      <c r="ABY718" s="23"/>
      <c r="ABZ718" s="23"/>
      <c r="ACA718" s="23"/>
      <c r="ACB718" s="23"/>
      <c r="ACC718" s="23"/>
      <c r="ACD718" s="23"/>
      <c r="ACE718" s="23"/>
      <c r="ACF718" s="23"/>
      <c r="ACG718" s="23"/>
      <c r="ACH718" s="23"/>
      <c r="ACI718" s="23"/>
      <c r="ACJ718" s="23"/>
      <c r="ACK718" s="23"/>
      <c r="ACL718" s="23"/>
      <c r="ACM718" s="23"/>
      <c r="ACN718" s="23"/>
      <c r="ACO718" s="23"/>
      <c r="ACP718" s="23"/>
      <c r="ACQ718" s="23"/>
      <c r="ACR718" s="23"/>
      <c r="ACS718" s="23"/>
      <c r="ACT718" s="23"/>
      <c r="ACU718" s="23"/>
      <c r="ACV718" s="23"/>
      <c r="ACW718" s="23"/>
      <c r="ACX718" s="23"/>
      <c r="ACY718" s="23"/>
      <c r="ACZ718" s="23"/>
      <c r="ADA718" s="23"/>
      <c r="ADB718" s="23"/>
      <c r="ADC718" s="23"/>
      <c r="ADD718" s="23"/>
      <c r="ADE718" s="23"/>
      <c r="ADF718" s="23"/>
      <c r="ADG718" s="23"/>
      <c r="ADH718" s="23"/>
      <c r="ADI718" s="23"/>
      <c r="ADJ718" s="23"/>
      <c r="ADK718" s="23"/>
      <c r="ADL718" s="23"/>
      <c r="ADM718" s="23"/>
      <c r="ADN718" s="23"/>
      <c r="ADO718" s="23"/>
      <c r="ADP718" s="23"/>
      <c r="ADQ718" s="23"/>
      <c r="ADR718" s="23"/>
      <c r="ADS718" s="23"/>
      <c r="ADT718" s="23"/>
      <c r="ADU718" s="23"/>
      <c r="ADV718" s="23"/>
      <c r="ADW718" s="23"/>
      <c r="ADX718" s="23"/>
      <c r="ADY718" s="23"/>
      <c r="ADZ718" s="23"/>
      <c r="AEA718" s="23"/>
      <c r="AEB718" s="23"/>
      <c r="AEC718" s="23"/>
      <c r="AED718" s="23"/>
      <c r="AEE718" s="23"/>
      <c r="AEF718" s="23"/>
      <c r="AEG718" s="23"/>
      <c r="AEH718" s="23"/>
      <c r="AEI718" s="23"/>
      <c r="AEJ718" s="23"/>
      <c r="AEK718" s="23"/>
      <c r="AEL718" s="23"/>
      <c r="AEM718" s="23"/>
      <c r="AEN718" s="23"/>
      <c r="AEO718" s="23"/>
      <c r="AEP718" s="23"/>
      <c r="AEQ718" s="23"/>
      <c r="AER718" s="23"/>
      <c r="AES718" s="23"/>
      <c r="AET718" s="23"/>
      <c r="AEU718" s="23"/>
      <c r="AEV718" s="23"/>
      <c r="AEW718" s="23"/>
      <c r="AEX718" s="23"/>
      <c r="AEY718" s="23"/>
      <c r="AEZ718" s="23"/>
      <c r="AFA718" s="23"/>
      <c r="AFB718" s="23"/>
      <c r="AFC718" s="23"/>
      <c r="AFD718" s="23"/>
      <c r="AFE718" s="23"/>
      <c r="AFF718" s="23"/>
      <c r="AFG718" s="23"/>
      <c r="AFH718" s="23"/>
      <c r="AFI718" s="23"/>
      <c r="AFJ718" s="23"/>
      <c r="AFK718" s="23"/>
      <c r="AFL718" s="23"/>
      <c r="AFM718" s="23"/>
      <c r="AFN718" s="23"/>
      <c r="AFO718" s="23"/>
      <c r="AFP718" s="23"/>
      <c r="AFQ718" s="23"/>
      <c r="AFR718" s="23"/>
      <c r="AFS718" s="23"/>
      <c r="AFT718" s="23"/>
      <c r="AFU718" s="23"/>
      <c r="AFV718" s="23"/>
      <c r="AFW718" s="23"/>
      <c r="AFX718" s="23"/>
      <c r="AFY718" s="23"/>
      <c r="AFZ718" s="23"/>
      <c r="AGA718" s="23"/>
      <c r="AGB718" s="23"/>
      <c r="AGC718" s="23"/>
      <c r="AGD718" s="23"/>
      <c r="AGE718" s="23"/>
      <c r="AGF718" s="23"/>
      <c r="AGG718" s="23"/>
      <c r="AGH718" s="23"/>
      <c r="AGI718" s="23"/>
      <c r="AGJ718" s="23"/>
      <c r="AGK718" s="23"/>
      <c r="AGL718" s="23"/>
      <c r="AGM718" s="23"/>
      <c r="AGN718" s="23"/>
      <c r="AGO718" s="23"/>
      <c r="AGP718" s="23"/>
      <c r="AGQ718" s="23"/>
      <c r="AGR718" s="23"/>
      <c r="AGS718" s="23"/>
      <c r="AGT718" s="23"/>
      <c r="AGU718" s="23"/>
      <c r="AGV718" s="23"/>
      <c r="AGW718" s="23"/>
      <c r="AGX718" s="23"/>
      <c r="AGY718" s="23"/>
      <c r="AGZ718" s="23"/>
      <c r="AHA718" s="23"/>
      <c r="AHB718" s="23"/>
      <c r="AHC718" s="23"/>
      <c r="AHD718" s="23"/>
      <c r="AHE718" s="23"/>
      <c r="AHF718" s="23"/>
      <c r="AHG718" s="23"/>
      <c r="AHH718" s="23"/>
      <c r="AHI718" s="23"/>
      <c r="AHJ718" s="23"/>
      <c r="AHK718" s="23"/>
      <c r="AHL718" s="23"/>
      <c r="AHM718" s="23"/>
      <c r="AHN718" s="23"/>
      <c r="AHO718" s="23"/>
      <c r="AHP718" s="23"/>
      <c r="AHQ718" s="23"/>
      <c r="AHR718" s="23"/>
      <c r="AHS718" s="23"/>
      <c r="AHT718" s="23"/>
      <c r="AHU718" s="23"/>
      <c r="AHV718" s="23"/>
      <c r="AHW718" s="23"/>
      <c r="AHX718" s="23"/>
      <c r="AHY718" s="23"/>
      <c r="AHZ718" s="23"/>
      <c r="AIA718" s="23"/>
      <c r="AIB718" s="23"/>
      <c r="AIC718" s="23"/>
      <c r="AID718" s="23"/>
      <c r="AIE718" s="23"/>
      <c r="AIF718" s="23"/>
      <c r="AIG718" s="23"/>
      <c r="AIH718" s="23"/>
      <c r="AII718" s="23"/>
      <c r="AIJ718" s="23"/>
      <c r="AIK718" s="23"/>
      <c r="AIL718" s="23"/>
      <c r="AIM718" s="23"/>
      <c r="AIN718" s="23"/>
      <c r="AIO718" s="23"/>
      <c r="AIP718" s="23"/>
      <c r="AIQ718" s="23"/>
      <c r="AIR718" s="23"/>
      <c r="AIS718" s="23"/>
      <c r="AIT718" s="23"/>
      <c r="AIU718" s="23"/>
      <c r="AIV718" s="23"/>
      <c r="AIW718" s="23"/>
      <c r="AIX718" s="23"/>
      <c r="AIY718" s="23"/>
      <c r="AIZ718" s="23"/>
      <c r="AJA718" s="23"/>
      <c r="AJB718" s="23"/>
      <c r="AJC718" s="23"/>
      <c r="AJD718" s="23"/>
      <c r="AJE718" s="23"/>
      <c r="AJF718" s="23"/>
      <c r="AJG718" s="23"/>
      <c r="AJH718" s="23"/>
      <c r="AJI718" s="23"/>
      <c r="AJJ718" s="23"/>
      <c r="AJK718" s="23"/>
      <c r="AJL718" s="23"/>
      <c r="AJM718" s="23"/>
      <c r="AJN718" s="23"/>
      <c r="AJO718" s="23"/>
      <c r="AJP718" s="23"/>
      <c r="AJQ718" s="23"/>
      <c r="AJR718" s="23"/>
      <c r="AJS718" s="23"/>
      <c r="AJT718" s="23"/>
      <c r="AJU718" s="23"/>
      <c r="AJV718" s="23"/>
      <c r="AJW718" s="23"/>
      <c r="AJX718" s="23"/>
      <c r="AJY718" s="23"/>
      <c r="AJZ718" s="23"/>
      <c r="AKA718" s="23"/>
      <c r="AKB718" s="23"/>
      <c r="AKC718" s="23"/>
      <c r="AKD718" s="23"/>
      <c r="AKE718" s="23"/>
      <c r="AKF718" s="23"/>
      <c r="AKG718" s="23"/>
      <c r="AKH718" s="23"/>
      <c r="AKI718" s="23"/>
      <c r="AKJ718" s="23"/>
      <c r="AKK718" s="23"/>
      <c r="AKL718" s="23"/>
      <c r="AKM718" s="23"/>
      <c r="AKN718" s="23"/>
      <c r="AKO718" s="23"/>
      <c r="AKP718" s="23"/>
      <c r="AKQ718" s="23"/>
      <c r="AKR718" s="23"/>
      <c r="AKS718" s="23"/>
      <c r="AKT718" s="23"/>
      <c r="AKU718" s="23"/>
      <c r="AKV718" s="23"/>
      <c r="AKW718" s="23"/>
      <c r="AKX718" s="23"/>
      <c r="AKY718" s="23"/>
      <c r="AKZ718" s="23"/>
      <c r="ALA718" s="23"/>
      <c r="ALB718" s="23"/>
      <c r="ALC718" s="23"/>
      <c r="ALD718" s="23"/>
      <c r="ALE718" s="23"/>
      <c r="ALF718" s="23"/>
      <c r="ALG718" s="23"/>
      <c r="ALH718" s="23"/>
      <c r="ALI718" s="23"/>
      <c r="ALJ718" s="23"/>
      <c r="ALK718" s="23"/>
      <c r="ALL718" s="23"/>
      <c r="ALM718" s="23"/>
      <c r="ALN718" s="23"/>
      <c r="ALO718" s="23"/>
      <c r="ALP718" s="23"/>
      <c r="ALQ718" s="23"/>
      <c r="ALR718" s="23"/>
      <c r="ALS718" s="23"/>
      <c r="ALT718" s="23"/>
      <c r="ALU718" s="23"/>
      <c r="ALV718" s="23"/>
      <c r="ALW718" s="23"/>
      <c r="ALX718" s="23"/>
      <c r="ALY718" s="23"/>
      <c r="ALZ718" s="23"/>
      <c r="AMA718" s="23"/>
      <c r="AMB718" s="23"/>
      <c r="AMC718" s="23"/>
      <c r="AMD718" s="23"/>
      <c r="AME718" s="23"/>
      <c r="AMF718" s="23"/>
      <c r="AMG718" s="23"/>
      <c r="AMH718" s="23"/>
      <c r="AMI718" s="23"/>
      <c r="AMJ718" s="23"/>
      <c r="AMK718" s="23"/>
      <c r="AML718" s="23"/>
      <c r="AMM718" s="23"/>
      <c r="AMN718" s="23"/>
      <c r="AMO718" s="23"/>
      <c r="AMP718" s="23"/>
      <c r="AMQ718" s="23"/>
      <c r="AMR718" s="23"/>
      <c r="AMS718" s="23"/>
      <c r="AMT718" s="23"/>
      <c r="AMU718" s="23"/>
      <c r="AMV718" s="23"/>
      <c r="AMW718" s="23"/>
      <c r="AMX718" s="23"/>
      <c r="AMY718" s="23"/>
      <c r="AMZ718" s="23"/>
      <c r="ANA718" s="23"/>
      <c r="ANB718" s="23"/>
      <c r="ANC718" s="23"/>
      <c r="AND718" s="23"/>
      <c r="ANE718" s="23"/>
      <c r="ANF718" s="23"/>
      <c r="ANG718" s="23"/>
      <c r="ANH718" s="23"/>
      <c r="ANI718" s="23"/>
      <c r="ANJ718" s="23"/>
      <c r="ANK718" s="23"/>
      <c r="ANL718" s="23"/>
      <c r="ANM718" s="23"/>
      <c r="ANN718" s="23"/>
      <c r="ANO718" s="23"/>
      <c r="ANP718" s="23"/>
      <c r="ANQ718" s="23"/>
      <c r="ANR718" s="23"/>
      <c r="ANS718" s="23"/>
      <c r="ANT718" s="23"/>
      <c r="ANU718" s="23"/>
      <c r="ANV718" s="23"/>
      <c r="ANW718" s="23"/>
      <c r="ANX718" s="23"/>
      <c r="ANY718" s="23"/>
      <c r="ANZ718" s="23"/>
      <c r="AOA718" s="23"/>
      <c r="AOB718" s="23"/>
      <c r="AOC718" s="23"/>
      <c r="AOD718" s="23"/>
      <c r="AOE718" s="23"/>
      <c r="AOF718" s="23"/>
      <c r="AOG718" s="23"/>
      <c r="AOH718" s="23"/>
      <c r="AOI718" s="23"/>
      <c r="AOJ718" s="23"/>
      <c r="AOK718" s="23"/>
      <c r="AOL718" s="23"/>
      <c r="AOM718" s="23"/>
      <c r="AON718" s="23"/>
      <c r="AOO718" s="23"/>
      <c r="AOP718" s="23"/>
      <c r="AOQ718" s="23"/>
      <c r="AOR718" s="23"/>
      <c r="AOS718" s="23"/>
      <c r="AOT718" s="23"/>
      <c r="AOU718" s="23"/>
      <c r="AOV718" s="23"/>
      <c r="AOW718" s="23"/>
      <c r="AOX718" s="23"/>
      <c r="AOY718" s="23"/>
      <c r="AOZ718" s="23"/>
      <c r="APA718" s="23"/>
      <c r="APB718" s="23"/>
      <c r="APC718" s="23"/>
      <c r="APD718" s="23"/>
      <c r="APE718" s="23"/>
      <c r="APF718" s="23"/>
      <c r="APG718" s="23"/>
      <c r="APH718" s="23"/>
      <c r="API718" s="23"/>
      <c r="APJ718" s="23"/>
      <c r="APK718" s="23"/>
      <c r="APL718" s="23"/>
      <c r="APM718" s="23"/>
      <c r="APN718" s="23"/>
      <c r="APO718" s="23"/>
      <c r="APP718" s="23"/>
      <c r="APQ718" s="23"/>
      <c r="APR718" s="23"/>
      <c r="APS718" s="23"/>
      <c r="APT718" s="23"/>
      <c r="APU718" s="23"/>
      <c r="APV718" s="23"/>
      <c r="APW718" s="23"/>
      <c r="APX718" s="23"/>
      <c r="APY718" s="23"/>
      <c r="APZ718" s="23"/>
      <c r="AQA718" s="23"/>
      <c r="AQB718" s="23"/>
      <c r="AQC718" s="23"/>
      <c r="AQD718" s="23"/>
      <c r="AQE718" s="23"/>
      <c r="AQF718" s="23"/>
      <c r="AQG718" s="23"/>
      <c r="AQH718" s="23"/>
      <c r="AQI718" s="23"/>
      <c r="AQJ718" s="23"/>
      <c r="AQK718" s="23"/>
      <c r="AQL718" s="23"/>
      <c r="AQM718" s="23"/>
      <c r="AQN718" s="23"/>
      <c r="AQO718" s="23"/>
      <c r="AQP718" s="23"/>
      <c r="AQQ718" s="23"/>
      <c r="AQR718" s="23"/>
      <c r="AQS718" s="23"/>
      <c r="AQT718" s="23"/>
      <c r="AQU718" s="23"/>
      <c r="AQV718" s="23"/>
      <c r="AQW718" s="23"/>
      <c r="AQX718" s="23"/>
      <c r="AQY718" s="23"/>
      <c r="AQZ718" s="23"/>
      <c r="ARA718" s="23"/>
      <c r="ARB718" s="23"/>
      <c r="ARC718" s="23"/>
      <c r="ARD718" s="23"/>
      <c r="ARE718" s="23"/>
      <c r="ARF718" s="23"/>
      <c r="ARG718" s="23"/>
      <c r="ARH718" s="23"/>
      <c r="ARI718" s="23"/>
      <c r="ARJ718" s="23"/>
      <c r="ARK718" s="23"/>
      <c r="ARL718" s="23"/>
      <c r="ARM718" s="23"/>
      <c r="ARN718" s="23"/>
      <c r="ARO718" s="23"/>
      <c r="ARP718" s="23"/>
      <c r="ARQ718" s="23"/>
      <c r="ARR718" s="23"/>
      <c r="ARS718" s="23"/>
      <c r="ART718" s="23"/>
      <c r="ARU718" s="23"/>
      <c r="ARV718" s="23"/>
      <c r="ARW718" s="23"/>
      <c r="ARX718" s="23"/>
      <c r="ARY718" s="23"/>
      <c r="ARZ718" s="23"/>
      <c r="ASA718" s="23"/>
      <c r="ASB718" s="23"/>
      <c r="ASC718" s="23"/>
      <c r="ASD718" s="23"/>
      <c r="ASE718" s="23"/>
      <c r="ASF718" s="23"/>
      <c r="ASG718" s="23"/>
      <c r="ASH718" s="23"/>
      <c r="ASI718" s="23"/>
      <c r="ASJ718" s="23"/>
      <c r="ASK718" s="23"/>
      <c r="ASL718" s="23"/>
      <c r="ASM718" s="23"/>
      <c r="ASN718" s="23"/>
      <c r="ASO718" s="23"/>
      <c r="ASP718" s="23"/>
      <c r="ASQ718" s="23"/>
      <c r="ASR718" s="23"/>
      <c r="ASS718" s="23"/>
      <c r="AST718" s="23"/>
      <c r="ASU718" s="23"/>
      <c r="ASV718" s="23"/>
      <c r="ASW718" s="23"/>
      <c r="ASX718" s="23"/>
      <c r="ASY718" s="23"/>
      <c r="ASZ718" s="23"/>
      <c r="ATA718" s="23"/>
      <c r="ATB718" s="23"/>
      <c r="ATC718" s="23"/>
      <c r="ATD718" s="23"/>
      <c r="ATE718" s="23"/>
      <c r="ATF718" s="23"/>
      <c r="ATG718" s="23"/>
      <c r="ATH718" s="23"/>
      <c r="ATI718" s="23"/>
      <c r="ATJ718" s="23"/>
      <c r="ATK718" s="23"/>
      <c r="ATL718" s="23"/>
      <c r="ATM718" s="23"/>
      <c r="ATN718" s="23"/>
      <c r="ATO718" s="23"/>
      <c r="ATP718" s="23"/>
      <c r="ATQ718" s="23"/>
      <c r="ATR718" s="23"/>
      <c r="ATS718" s="23"/>
      <c r="ATT718" s="23"/>
      <c r="ATU718" s="23"/>
      <c r="ATV718" s="23"/>
      <c r="ATW718" s="23"/>
      <c r="ATX718" s="23"/>
      <c r="ATY718" s="23"/>
      <c r="ATZ718" s="23"/>
      <c r="AUA718" s="23"/>
      <c r="AUB718" s="23"/>
      <c r="AUC718" s="23"/>
      <c r="AUD718" s="23"/>
      <c r="AUE718" s="23"/>
      <c r="AUF718" s="23"/>
      <c r="AUG718" s="23"/>
      <c r="AUH718" s="23"/>
      <c r="AUI718" s="23"/>
      <c r="AUJ718" s="23"/>
      <c r="AUK718" s="23"/>
      <c r="AUL718" s="23"/>
      <c r="AUM718" s="23"/>
      <c r="AUN718" s="23"/>
      <c r="AUO718" s="23"/>
      <c r="AUP718" s="23"/>
      <c r="AUQ718" s="23"/>
      <c r="AUR718" s="23"/>
      <c r="AUS718" s="23"/>
      <c r="AUT718" s="23"/>
      <c r="AUU718" s="23"/>
      <c r="AUV718" s="23"/>
      <c r="AUW718" s="23"/>
      <c r="AUX718" s="23"/>
      <c r="AUY718" s="23"/>
      <c r="AUZ718" s="23"/>
      <c r="AVA718" s="23"/>
      <c r="AVB718" s="23"/>
      <c r="AVC718" s="23"/>
      <c r="AVD718" s="23"/>
      <c r="AVE718" s="23"/>
      <c r="AVF718" s="23"/>
      <c r="AVG718" s="23"/>
      <c r="AVH718" s="23"/>
      <c r="AVI718" s="23"/>
      <c r="AVJ718" s="23"/>
      <c r="AVK718" s="23"/>
      <c r="AVL718" s="23"/>
      <c r="AVM718" s="23"/>
      <c r="AVN718" s="23"/>
      <c r="AVO718" s="23"/>
      <c r="AVP718" s="23"/>
      <c r="AVQ718" s="23"/>
      <c r="AVR718" s="23"/>
      <c r="AVS718" s="23"/>
      <c r="AVT718" s="23"/>
      <c r="AVU718" s="23"/>
      <c r="AVV718" s="23"/>
      <c r="AVW718" s="23"/>
      <c r="AVX718" s="23"/>
      <c r="AVY718" s="23"/>
      <c r="AVZ718" s="23"/>
      <c r="AWA718" s="23"/>
      <c r="AWB718" s="23"/>
      <c r="AWC718" s="23"/>
      <c r="AWD718" s="23"/>
      <c r="AWE718" s="23"/>
      <c r="AWF718" s="23"/>
      <c r="AWG718" s="23"/>
      <c r="AWH718" s="23"/>
      <c r="AWI718" s="23"/>
      <c r="AWJ718" s="23"/>
      <c r="AWK718" s="23"/>
      <c r="AWL718" s="23"/>
      <c r="AWM718" s="23"/>
      <c r="AWN718" s="23"/>
      <c r="AWO718" s="23"/>
      <c r="AWP718" s="23"/>
      <c r="AWQ718" s="23"/>
      <c r="AWR718" s="23"/>
      <c r="AWS718" s="23"/>
      <c r="AWT718" s="23"/>
      <c r="AWU718" s="23"/>
      <c r="AWV718" s="23"/>
      <c r="AWW718" s="23"/>
      <c r="AWX718" s="23"/>
      <c r="AWY718" s="23"/>
      <c r="AWZ718" s="23"/>
      <c r="AXA718" s="23"/>
      <c r="AXB718" s="23"/>
      <c r="AXC718" s="23"/>
      <c r="AXD718" s="23"/>
      <c r="AXE718" s="23"/>
      <c r="AXF718" s="23"/>
      <c r="AXG718" s="23"/>
      <c r="AXH718" s="23"/>
      <c r="AXI718" s="23"/>
      <c r="AXJ718" s="23"/>
      <c r="AXK718" s="23"/>
      <c r="AXL718" s="23"/>
      <c r="AXM718" s="23"/>
      <c r="AXN718" s="23"/>
      <c r="AXO718" s="23"/>
      <c r="AXP718" s="23"/>
      <c r="AXQ718" s="23"/>
      <c r="AXR718" s="23"/>
      <c r="AXS718" s="23"/>
      <c r="AXT718" s="23"/>
      <c r="AXU718" s="23"/>
      <c r="AXV718" s="23"/>
      <c r="AXW718" s="23"/>
      <c r="AXX718" s="23"/>
      <c r="AXY718" s="23"/>
      <c r="AXZ718" s="23"/>
      <c r="AYA718" s="23"/>
      <c r="AYB718" s="23"/>
      <c r="AYC718" s="23"/>
      <c r="AYD718" s="23"/>
      <c r="AYE718" s="23"/>
      <c r="AYF718" s="23"/>
      <c r="AYG718" s="23"/>
      <c r="AYH718" s="23"/>
      <c r="AYI718" s="23"/>
      <c r="AYJ718" s="23"/>
      <c r="AYK718" s="23"/>
      <c r="AYL718" s="23"/>
      <c r="AYM718" s="23"/>
      <c r="AYN718" s="23"/>
      <c r="AYO718" s="23"/>
      <c r="AYP718" s="23"/>
      <c r="AYQ718" s="23"/>
      <c r="AYR718" s="23"/>
      <c r="AYS718" s="23"/>
      <c r="AYT718" s="23"/>
      <c r="AYU718" s="23"/>
      <c r="AYV718" s="23"/>
      <c r="AYW718" s="23"/>
      <c r="AYX718" s="23"/>
      <c r="AYY718" s="23"/>
      <c r="AYZ718" s="23"/>
      <c r="AZA718" s="23"/>
      <c r="AZB718" s="23"/>
      <c r="AZC718" s="23"/>
      <c r="AZD718" s="23"/>
      <c r="AZE718" s="23"/>
      <c r="AZF718" s="23"/>
      <c r="AZG718" s="23"/>
      <c r="AZH718" s="23"/>
      <c r="AZI718" s="23"/>
      <c r="AZJ718" s="23"/>
      <c r="AZK718" s="23"/>
      <c r="AZL718" s="23"/>
      <c r="AZM718" s="23"/>
      <c r="AZN718" s="23"/>
      <c r="AZO718" s="23"/>
      <c r="AZP718" s="23"/>
      <c r="AZQ718" s="23"/>
      <c r="AZR718" s="23"/>
      <c r="AZS718" s="23"/>
      <c r="AZT718" s="23"/>
      <c r="AZU718" s="23"/>
      <c r="AZV718" s="23"/>
      <c r="AZW718" s="23"/>
      <c r="AZX718" s="23"/>
      <c r="AZY718" s="23"/>
      <c r="AZZ718" s="23"/>
      <c r="BAA718" s="23"/>
      <c r="BAB718" s="23"/>
      <c r="BAC718" s="23"/>
      <c r="BAD718" s="23"/>
      <c r="BAE718" s="23"/>
      <c r="BAF718" s="23"/>
      <c r="BAG718" s="23"/>
      <c r="BAH718" s="23"/>
      <c r="BAI718" s="23"/>
      <c r="BAJ718" s="23"/>
      <c r="BAK718" s="23"/>
      <c r="BAL718" s="23"/>
      <c r="BAM718" s="23"/>
      <c r="BAN718" s="23"/>
      <c r="BAO718" s="23"/>
      <c r="BAP718" s="23"/>
      <c r="BAQ718" s="23"/>
      <c r="BAR718" s="23"/>
      <c r="BAS718" s="23"/>
      <c r="BAT718" s="23"/>
      <c r="BAU718" s="23"/>
      <c r="BAV718" s="23"/>
      <c r="BAW718" s="23"/>
      <c r="BAX718" s="23"/>
      <c r="BAY718" s="23"/>
      <c r="BAZ718" s="23"/>
      <c r="BBA718" s="23"/>
      <c r="BBB718" s="23"/>
      <c r="BBC718" s="23"/>
      <c r="BBD718" s="23"/>
      <c r="BBE718" s="23"/>
      <c r="BBF718" s="23"/>
      <c r="BBG718" s="23"/>
      <c r="BBH718" s="23"/>
      <c r="BBI718" s="23"/>
      <c r="BBJ718" s="23"/>
      <c r="BBK718" s="23"/>
      <c r="BBL718" s="23"/>
      <c r="BBM718" s="23"/>
      <c r="BBN718" s="23"/>
      <c r="BBO718" s="23"/>
      <c r="BBP718" s="23"/>
      <c r="BBQ718" s="23"/>
      <c r="BBR718" s="23"/>
      <c r="BBS718" s="23"/>
      <c r="BBT718" s="23"/>
      <c r="BBU718" s="23"/>
      <c r="BBV718" s="23"/>
      <c r="BBW718" s="23"/>
      <c r="BBX718" s="23"/>
      <c r="BBY718" s="23"/>
      <c r="BBZ718" s="23"/>
      <c r="BCA718" s="23"/>
      <c r="BCB718" s="23"/>
      <c r="BCC718" s="23"/>
      <c r="BCD718" s="23"/>
      <c r="BCE718" s="23"/>
      <c r="BCF718" s="23"/>
      <c r="BCG718" s="23"/>
      <c r="BCH718" s="23"/>
      <c r="BCI718" s="23"/>
      <c r="BCJ718" s="23"/>
      <c r="BCK718" s="23"/>
      <c r="BCL718" s="23"/>
      <c r="BCM718" s="23"/>
      <c r="BCN718" s="23"/>
      <c r="BCO718" s="23"/>
      <c r="BCP718" s="23"/>
      <c r="BCQ718" s="23"/>
      <c r="BCR718" s="23"/>
      <c r="BCS718" s="23"/>
      <c r="BCT718" s="23"/>
      <c r="BCU718" s="23"/>
      <c r="BCV718" s="23"/>
      <c r="BCW718" s="23"/>
      <c r="BCX718" s="23"/>
      <c r="BCY718" s="23"/>
      <c r="BCZ718" s="23"/>
      <c r="BDA718" s="23"/>
      <c r="BDB718" s="23"/>
      <c r="BDC718" s="23"/>
      <c r="BDD718" s="23"/>
      <c r="BDE718" s="23"/>
      <c r="BDF718" s="23"/>
      <c r="BDG718" s="23"/>
      <c r="BDH718" s="23"/>
      <c r="BDI718" s="23"/>
      <c r="BDJ718" s="23"/>
      <c r="BDK718" s="23"/>
      <c r="BDL718" s="23"/>
      <c r="BDM718" s="23"/>
      <c r="BDN718" s="23"/>
      <c r="BDO718" s="23"/>
      <c r="BDP718" s="23"/>
      <c r="BDQ718" s="23"/>
      <c r="BDR718" s="23"/>
      <c r="BDS718" s="23"/>
      <c r="BDT718" s="23"/>
      <c r="BDU718" s="23"/>
      <c r="BDV718" s="23"/>
      <c r="BDW718" s="23"/>
      <c r="BDX718" s="23"/>
      <c r="BDY718" s="23"/>
      <c r="BDZ718" s="23"/>
      <c r="BEA718" s="23"/>
      <c r="BEB718" s="23"/>
      <c r="BEC718" s="23"/>
      <c r="BED718" s="23"/>
      <c r="BEE718" s="23"/>
      <c r="BEF718" s="23"/>
      <c r="BEG718" s="23"/>
      <c r="BEH718" s="23"/>
      <c r="BEI718" s="23"/>
      <c r="BEJ718" s="23"/>
      <c r="BEK718" s="23"/>
      <c r="BEL718" s="23"/>
      <c r="BEM718" s="23"/>
      <c r="BEN718" s="23"/>
      <c r="BEO718" s="23"/>
      <c r="BEP718" s="23"/>
      <c r="BEQ718" s="23"/>
      <c r="BER718" s="23"/>
      <c r="BES718" s="23"/>
      <c r="BET718" s="23"/>
      <c r="BEU718" s="23"/>
      <c r="BEV718" s="23"/>
      <c r="BEW718" s="23"/>
      <c r="BEX718" s="23"/>
      <c r="BEY718" s="23"/>
      <c r="BEZ718" s="23"/>
      <c r="BFA718" s="23"/>
      <c r="BFB718" s="23"/>
      <c r="BFC718" s="23"/>
      <c r="BFD718" s="23"/>
      <c r="BFE718" s="23"/>
      <c r="BFF718" s="23"/>
      <c r="BFG718" s="23"/>
      <c r="BFH718" s="23"/>
      <c r="BFI718" s="23"/>
      <c r="BFJ718" s="23"/>
      <c r="BFK718" s="23"/>
      <c r="BFL718" s="23"/>
      <c r="BFM718" s="23"/>
      <c r="BFN718" s="23"/>
      <c r="BFO718" s="23"/>
      <c r="BFP718" s="23"/>
      <c r="BFQ718" s="23"/>
      <c r="BFR718" s="23"/>
      <c r="BFS718" s="23"/>
      <c r="BFT718" s="23"/>
      <c r="BFU718" s="23"/>
      <c r="BFV718" s="23"/>
      <c r="BFW718" s="23"/>
      <c r="BFX718" s="23"/>
      <c r="BFY718" s="23"/>
      <c r="BFZ718" s="23"/>
      <c r="BGA718" s="23"/>
      <c r="BGB718" s="23"/>
      <c r="BGC718" s="23"/>
      <c r="BGD718" s="23"/>
      <c r="BGE718" s="23"/>
      <c r="BGF718" s="23"/>
      <c r="BGG718" s="23"/>
      <c r="BGH718" s="23"/>
      <c r="BGI718" s="23"/>
      <c r="BGJ718" s="23"/>
      <c r="BGK718" s="23"/>
      <c r="BGL718" s="23"/>
      <c r="BGM718" s="23"/>
      <c r="BGN718" s="23"/>
      <c r="BGO718" s="23"/>
      <c r="BGP718" s="23"/>
      <c r="BGQ718" s="23"/>
      <c r="BGR718" s="23"/>
      <c r="BGS718" s="23"/>
      <c r="BGT718" s="23"/>
      <c r="BGU718" s="23"/>
      <c r="BGV718" s="23"/>
      <c r="BGW718" s="23"/>
      <c r="BGX718" s="23"/>
      <c r="BGY718" s="23"/>
      <c r="BGZ718" s="23"/>
      <c r="BHA718" s="23"/>
      <c r="BHB718" s="23"/>
      <c r="BHC718" s="23"/>
      <c r="BHD718" s="23"/>
      <c r="BHE718" s="23"/>
      <c r="BHF718" s="23"/>
      <c r="BHG718" s="23"/>
      <c r="BHH718" s="23"/>
      <c r="BHI718" s="23"/>
      <c r="BHJ718" s="23"/>
      <c r="BHK718" s="23"/>
      <c r="BHL718" s="23"/>
      <c r="BHM718" s="23"/>
      <c r="BHN718" s="23"/>
      <c r="BHO718" s="23"/>
      <c r="BHP718" s="23"/>
      <c r="BHQ718" s="23"/>
      <c r="BHR718" s="23"/>
      <c r="BHS718" s="23"/>
      <c r="BHT718" s="23"/>
      <c r="BHU718" s="23"/>
      <c r="BHV718" s="23"/>
      <c r="BHW718" s="23"/>
      <c r="BHX718" s="23"/>
      <c r="BHY718" s="23"/>
      <c r="BHZ718" s="23"/>
      <c r="BIA718" s="23"/>
      <c r="BIB718" s="23"/>
      <c r="BIC718" s="23"/>
      <c r="BID718" s="23"/>
      <c r="BIE718" s="23"/>
      <c r="BIF718" s="23"/>
      <c r="BIG718" s="23"/>
      <c r="BIH718" s="23"/>
      <c r="BII718" s="23"/>
      <c r="BIJ718" s="23"/>
      <c r="BIK718" s="23"/>
      <c r="BIL718" s="23"/>
      <c r="BIM718" s="23"/>
      <c r="BIN718" s="23"/>
      <c r="BIO718" s="23"/>
      <c r="BIP718" s="23"/>
      <c r="BIQ718" s="23"/>
      <c r="BIR718" s="23"/>
      <c r="BIS718" s="23"/>
      <c r="BIT718" s="23"/>
      <c r="BIU718" s="23"/>
      <c r="BIV718" s="23"/>
      <c r="BIW718" s="23"/>
      <c r="BIX718" s="23"/>
      <c r="BIY718" s="23"/>
      <c r="BIZ718" s="23"/>
      <c r="BJA718" s="23"/>
      <c r="BJB718" s="23"/>
      <c r="BJC718" s="23"/>
      <c r="BJD718" s="23"/>
      <c r="BJE718" s="23"/>
      <c r="BJF718" s="23"/>
      <c r="BJG718" s="23"/>
      <c r="BJH718" s="23"/>
      <c r="BJI718" s="23"/>
      <c r="BJJ718" s="23"/>
      <c r="BJK718" s="23"/>
      <c r="BJL718" s="23"/>
      <c r="BJM718" s="23"/>
      <c r="BJN718" s="23"/>
      <c r="BJO718" s="23"/>
      <c r="BJP718" s="23"/>
      <c r="BJQ718" s="23"/>
      <c r="BJR718" s="23"/>
      <c r="BJS718" s="23"/>
      <c r="BJT718" s="23"/>
      <c r="BJU718" s="23"/>
      <c r="BJV718" s="23"/>
      <c r="BJW718" s="23"/>
      <c r="BJX718" s="23"/>
      <c r="BJY718" s="23"/>
      <c r="BJZ718" s="23"/>
      <c r="BKA718" s="23"/>
      <c r="BKB718" s="23"/>
      <c r="BKC718" s="23"/>
      <c r="BKD718" s="23"/>
      <c r="BKE718" s="23"/>
      <c r="BKF718" s="23"/>
      <c r="BKG718" s="23"/>
      <c r="BKH718" s="23"/>
      <c r="BKI718" s="23"/>
      <c r="BKJ718" s="23"/>
      <c r="BKK718" s="23"/>
      <c r="BKL718" s="23"/>
      <c r="BKM718" s="23"/>
      <c r="BKN718" s="23"/>
      <c r="BKO718" s="23"/>
      <c r="BKP718" s="23"/>
      <c r="BKQ718" s="23"/>
      <c r="BKR718" s="23"/>
      <c r="BKS718" s="23"/>
      <c r="BKT718" s="23"/>
      <c r="BKU718" s="23"/>
      <c r="BKV718" s="23"/>
      <c r="BKW718" s="23"/>
      <c r="BKX718" s="23"/>
      <c r="BKY718" s="23"/>
      <c r="BKZ718" s="23"/>
      <c r="BLA718" s="23"/>
      <c r="BLB718" s="23"/>
      <c r="BLC718" s="23"/>
      <c r="BLD718" s="23"/>
      <c r="BLE718" s="23"/>
      <c r="BLF718" s="23"/>
      <c r="BLG718" s="23"/>
      <c r="BLH718" s="23"/>
      <c r="BLI718" s="23"/>
      <c r="BLJ718" s="23"/>
      <c r="BLK718" s="23"/>
      <c r="BLL718" s="23"/>
      <c r="BLM718" s="23"/>
      <c r="BLN718" s="23"/>
      <c r="BLO718" s="23"/>
      <c r="BLP718" s="23"/>
      <c r="BLQ718" s="23"/>
      <c r="BLR718" s="23"/>
      <c r="BLS718" s="23"/>
      <c r="BLT718" s="23"/>
      <c r="BLU718" s="23"/>
      <c r="BLV718" s="23"/>
      <c r="BLW718" s="23"/>
      <c r="BLX718" s="23"/>
      <c r="BLY718" s="23"/>
      <c r="BLZ718" s="23"/>
      <c r="BMA718" s="23"/>
      <c r="BMB718" s="23"/>
      <c r="BMC718" s="23"/>
      <c r="BMD718" s="23"/>
      <c r="BME718" s="23"/>
      <c r="BMF718" s="23"/>
      <c r="BMG718" s="23"/>
      <c r="BMH718" s="23"/>
      <c r="BMI718" s="23"/>
      <c r="BMJ718" s="23"/>
      <c r="BMK718" s="23"/>
      <c r="BML718" s="23"/>
      <c r="BMM718" s="23"/>
      <c r="BMN718" s="23"/>
      <c r="BMO718" s="23"/>
      <c r="BMP718" s="23"/>
      <c r="BMQ718" s="23"/>
      <c r="BMR718" s="23"/>
      <c r="BMS718" s="23"/>
      <c r="BMT718" s="23"/>
      <c r="BMU718" s="23"/>
      <c r="BMV718" s="23"/>
      <c r="BMW718" s="23"/>
      <c r="BMX718" s="23"/>
      <c r="BMY718" s="23"/>
      <c r="BMZ718" s="23"/>
      <c r="BNA718" s="23"/>
      <c r="BNB718" s="23"/>
      <c r="BNC718" s="23"/>
      <c r="BND718" s="23"/>
      <c r="BNE718" s="23"/>
      <c r="BNF718" s="23"/>
      <c r="BNG718" s="23"/>
      <c r="BNH718" s="23"/>
      <c r="BNI718" s="23"/>
      <c r="BNJ718" s="23"/>
      <c r="BNK718" s="23"/>
      <c r="BNL718" s="23"/>
      <c r="BNM718" s="23"/>
      <c r="BNN718" s="23"/>
      <c r="BNO718" s="23"/>
      <c r="BNP718" s="23"/>
      <c r="BNQ718" s="23"/>
      <c r="BNR718" s="23"/>
      <c r="BNS718" s="23"/>
      <c r="BNT718" s="23"/>
      <c r="BNU718" s="23"/>
      <c r="BNV718" s="23"/>
      <c r="BNW718" s="23"/>
      <c r="BNX718" s="23"/>
      <c r="BNY718" s="23"/>
      <c r="BNZ718" s="23"/>
      <c r="BOA718" s="23"/>
      <c r="BOB718" s="23"/>
      <c r="BOC718" s="23"/>
      <c r="BOD718" s="23"/>
      <c r="BOE718" s="23"/>
      <c r="BOF718" s="23"/>
      <c r="BOG718" s="23"/>
      <c r="BOH718" s="23"/>
      <c r="BOI718" s="23"/>
      <c r="BOJ718" s="23"/>
      <c r="BOK718" s="23"/>
      <c r="BOL718" s="23"/>
      <c r="BOM718" s="23"/>
      <c r="BON718" s="23"/>
      <c r="BOO718" s="23"/>
      <c r="BOP718" s="23"/>
      <c r="BOQ718" s="23"/>
      <c r="BOR718" s="23"/>
      <c r="BOS718" s="23"/>
      <c r="BOT718" s="23"/>
      <c r="BOU718" s="23"/>
      <c r="BOV718" s="23"/>
      <c r="BOW718" s="23"/>
      <c r="BOX718" s="23"/>
      <c r="BOY718" s="23"/>
      <c r="BOZ718" s="23"/>
      <c r="BPA718" s="23"/>
      <c r="BPB718" s="23"/>
      <c r="BPC718" s="23"/>
      <c r="BPD718" s="23"/>
      <c r="BPE718" s="23"/>
      <c r="BPF718" s="23"/>
      <c r="BPG718" s="23"/>
      <c r="BPH718" s="23"/>
      <c r="BPI718" s="23"/>
      <c r="BPJ718" s="23"/>
      <c r="BPK718" s="23"/>
      <c r="BPL718" s="23"/>
      <c r="BPM718" s="23"/>
      <c r="BPN718" s="23"/>
      <c r="BPO718" s="23"/>
      <c r="BPP718" s="23"/>
      <c r="BPQ718" s="23"/>
      <c r="BPR718" s="23"/>
      <c r="BPS718" s="23"/>
      <c r="BPT718" s="23"/>
      <c r="BPU718" s="23"/>
      <c r="BPV718" s="23"/>
      <c r="BPW718" s="23"/>
      <c r="BPX718" s="23"/>
      <c r="BPY718" s="23"/>
      <c r="BPZ718" s="23"/>
      <c r="BQA718" s="23"/>
      <c r="BQB718" s="23"/>
      <c r="BQC718" s="23"/>
      <c r="BQD718" s="23"/>
      <c r="BQE718" s="23"/>
      <c r="BQF718" s="23"/>
      <c r="BQG718" s="23"/>
      <c r="BQH718" s="23"/>
      <c r="BQI718" s="23"/>
      <c r="BQJ718" s="23"/>
      <c r="BQK718" s="23"/>
      <c r="BQL718" s="23"/>
      <c r="BQM718" s="23"/>
      <c r="BQN718" s="23"/>
      <c r="BQO718" s="23"/>
      <c r="BQP718" s="23"/>
      <c r="BQQ718" s="23"/>
      <c r="BQR718" s="23"/>
      <c r="BQS718" s="23"/>
      <c r="BQT718" s="23"/>
      <c r="BQU718" s="23"/>
      <c r="BQV718" s="23"/>
      <c r="BQW718" s="23"/>
      <c r="BQX718" s="23"/>
      <c r="BQY718" s="23"/>
      <c r="BQZ718" s="23"/>
      <c r="BRA718" s="23"/>
      <c r="BRB718" s="23"/>
      <c r="BRC718" s="23"/>
      <c r="BRD718" s="23"/>
      <c r="BRE718" s="23"/>
      <c r="BRF718" s="23"/>
      <c r="BRG718" s="23"/>
      <c r="BRH718" s="23"/>
      <c r="BRI718" s="23"/>
      <c r="BRJ718" s="23"/>
      <c r="BRK718" s="23"/>
      <c r="BRL718" s="23"/>
      <c r="BRM718" s="23"/>
      <c r="BRN718" s="23"/>
      <c r="BRO718" s="23"/>
      <c r="BRP718" s="23"/>
      <c r="BRQ718" s="23"/>
      <c r="BRR718" s="23"/>
      <c r="BRS718" s="23"/>
      <c r="BRT718" s="23"/>
      <c r="BRU718" s="23"/>
      <c r="BRV718" s="23"/>
      <c r="BRW718" s="23"/>
      <c r="BRX718" s="23"/>
      <c r="BRY718" s="23"/>
      <c r="BRZ718" s="23"/>
      <c r="BSA718" s="23"/>
      <c r="BSB718" s="23"/>
      <c r="BSC718" s="23"/>
      <c r="BSD718" s="23"/>
      <c r="BSE718" s="23"/>
      <c r="BSF718" s="23"/>
      <c r="BSG718" s="23"/>
      <c r="BSH718" s="23"/>
      <c r="BSI718" s="23"/>
      <c r="BSJ718" s="23"/>
      <c r="BSK718" s="23"/>
      <c r="BSL718" s="23"/>
      <c r="BSM718" s="23"/>
      <c r="BSN718" s="23"/>
      <c r="BSO718" s="23"/>
      <c r="BSP718" s="23"/>
      <c r="BSQ718" s="23"/>
      <c r="BSR718" s="23"/>
      <c r="BSS718" s="23"/>
      <c r="BST718" s="23"/>
      <c r="BSU718" s="23"/>
      <c r="BSV718" s="23"/>
      <c r="BSW718" s="23"/>
      <c r="BSX718" s="23"/>
      <c r="BSY718" s="23"/>
      <c r="BSZ718" s="23"/>
      <c r="BTA718" s="23"/>
    </row>
    <row r="719" spans="1:1873" s="23" customFormat="1" ht="25.5" x14ac:dyDescent="0.2">
      <c r="A719" s="304" t="s">
        <v>2090</v>
      </c>
      <c r="B719" s="223" t="s">
        <v>804</v>
      </c>
      <c r="C719" s="223" t="s">
        <v>1032</v>
      </c>
      <c r="D719" s="223" t="s">
        <v>619</v>
      </c>
      <c r="E719" s="305" t="s">
        <v>1451</v>
      </c>
      <c r="F719" s="241">
        <v>1</v>
      </c>
      <c r="G719" s="223">
        <v>8</v>
      </c>
      <c r="H719" s="242">
        <v>8</v>
      </c>
      <c r="I719" s="223" t="s">
        <v>807</v>
      </c>
      <c r="J719" s="450">
        <v>1988</v>
      </c>
      <c r="K719" s="560" t="s">
        <v>1211</v>
      </c>
      <c r="L719" s="450">
        <v>1994</v>
      </c>
      <c r="M719" s="243">
        <v>-9999</v>
      </c>
      <c r="N719" s="223">
        <v>-9999</v>
      </c>
      <c r="O719" s="29"/>
      <c r="P719" s="244">
        <f t="shared" si="87"/>
        <v>43.36</v>
      </c>
      <c r="Q719" s="223">
        <v>-9999</v>
      </c>
      <c r="R719" s="243"/>
      <c r="S719" s="223"/>
      <c r="T719" s="243">
        <v>5.42</v>
      </c>
      <c r="U719" s="223">
        <v>-9999</v>
      </c>
      <c r="V719" s="223"/>
      <c r="W719" s="285">
        <f>+P719-P718</f>
        <v>5.2100000000000009</v>
      </c>
      <c r="X719" s="223">
        <v>-9999</v>
      </c>
      <c r="Y719" s="223"/>
      <c r="Z719" s="561" t="s">
        <v>1702</v>
      </c>
      <c r="AA719" s="425">
        <f t="shared" si="86"/>
        <v>1682.0700000000002</v>
      </c>
      <c r="AB719" s="243">
        <v>-9999</v>
      </c>
      <c r="AC719" s="245">
        <v>4.0460000000000003</v>
      </c>
      <c r="AD719" s="560">
        <f t="shared" si="77"/>
        <v>3300</v>
      </c>
      <c r="AE719" s="675" t="s">
        <v>97</v>
      </c>
      <c r="AF719" s="223">
        <v>3</v>
      </c>
      <c r="AG719" s="223">
        <v>-9999</v>
      </c>
      <c r="AH719" s="223">
        <v>-9999</v>
      </c>
      <c r="AI719" s="223">
        <v>-9999</v>
      </c>
      <c r="AJ719" s="223">
        <v>-9999</v>
      </c>
      <c r="AK719" s="223">
        <v>-9999</v>
      </c>
      <c r="AL719" s="223">
        <v>-9999</v>
      </c>
      <c r="AM719" s="223">
        <v>-9999</v>
      </c>
      <c r="AN719" s="223" t="s">
        <v>631</v>
      </c>
      <c r="AO719" s="223">
        <v>-9999</v>
      </c>
      <c r="AP719" s="223">
        <v>-9999</v>
      </c>
      <c r="AQ719" s="223" t="s">
        <v>631</v>
      </c>
      <c r="AR719" s="223">
        <v>0</v>
      </c>
      <c r="AS719" s="223">
        <v>-9999</v>
      </c>
      <c r="AT719" s="223">
        <v>-9999</v>
      </c>
      <c r="AU719" s="223">
        <v>0</v>
      </c>
      <c r="AV719" s="223">
        <v>-9999</v>
      </c>
      <c r="AW719" s="223">
        <v>-9999</v>
      </c>
      <c r="AX719" s="223">
        <v>0</v>
      </c>
      <c r="AY719" s="223">
        <v>-9999</v>
      </c>
      <c r="AZ719" s="223">
        <v>-9999</v>
      </c>
      <c r="BA719" s="223">
        <v>-9999</v>
      </c>
      <c r="BB719" s="223" t="s">
        <v>631</v>
      </c>
      <c r="BC719" s="223">
        <v>-9999</v>
      </c>
      <c r="BD719" s="223">
        <v>-9999</v>
      </c>
      <c r="BE719" s="223">
        <v>-9999</v>
      </c>
      <c r="BF719" s="223">
        <v>-9999</v>
      </c>
      <c r="BG719" s="223">
        <v>-9999</v>
      </c>
      <c r="BH719" s="223">
        <v>-9999</v>
      </c>
      <c r="BI719" s="223" t="s">
        <v>1062</v>
      </c>
      <c r="BJ719" s="223">
        <v>-9999</v>
      </c>
      <c r="BK719" s="223">
        <v>-9999</v>
      </c>
      <c r="BL719" s="223">
        <v>-9999</v>
      </c>
      <c r="BM719" s="223">
        <v>-9999</v>
      </c>
      <c r="BN719" s="223">
        <v>-9999</v>
      </c>
      <c r="BO719" s="223">
        <v>-9999</v>
      </c>
      <c r="BP719" s="223">
        <v>-9999</v>
      </c>
      <c r="BQ719" s="223">
        <v>-9999</v>
      </c>
      <c r="BR719" s="223">
        <v>-9999</v>
      </c>
      <c r="BS719" s="242">
        <v>-9999</v>
      </c>
      <c r="BT719" s="223">
        <v>-9999</v>
      </c>
      <c r="BU719" s="223">
        <v>-9999</v>
      </c>
      <c r="BV719" s="223">
        <v>-9999</v>
      </c>
      <c r="BW719" s="223"/>
      <c r="BX719" s="223">
        <v>-9999</v>
      </c>
      <c r="BY719" s="223">
        <v>-9999</v>
      </c>
      <c r="BZ719" s="223">
        <v>-9999</v>
      </c>
      <c r="CA719" s="334" t="s">
        <v>797</v>
      </c>
      <c r="CB719" s="247"/>
      <c r="CC719" s="83">
        <v>1</v>
      </c>
      <c r="CD719" s="32">
        <v>8</v>
      </c>
      <c r="CE719" s="292">
        <v>5.42</v>
      </c>
      <c r="CF719" s="292">
        <v>5.2100000000000009</v>
      </c>
      <c r="CG719" s="84">
        <v>8</v>
      </c>
    </row>
    <row r="720" spans="1:1873" s="23" customFormat="1" ht="25.5" x14ac:dyDescent="0.2">
      <c r="A720" s="304" t="s">
        <v>2090</v>
      </c>
      <c r="B720" s="223" t="s">
        <v>804</v>
      </c>
      <c r="C720" s="223" t="s">
        <v>1032</v>
      </c>
      <c r="D720" s="223" t="s">
        <v>619</v>
      </c>
      <c r="E720" s="305" t="s">
        <v>1451</v>
      </c>
      <c r="F720" s="241">
        <v>1</v>
      </c>
      <c r="G720" s="223">
        <v>9</v>
      </c>
      <c r="H720" s="242">
        <v>9</v>
      </c>
      <c r="I720" s="223" t="s">
        <v>807</v>
      </c>
      <c r="J720" s="450">
        <v>1988</v>
      </c>
      <c r="K720" s="560" t="s">
        <v>1211</v>
      </c>
      <c r="L720" s="450">
        <v>1995</v>
      </c>
      <c r="M720" s="243">
        <v>-9999</v>
      </c>
      <c r="N720" s="223">
        <v>-9999</v>
      </c>
      <c r="O720" s="29"/>
      <c r="P720" s="244">
        <f t="shared" si="87"/>
        <v>47.429999999999993</v>
      </c>
      <c r="Q720" s="223">
        <v>-9999</v>
      </c>
      <c r="R720" s="243"/>
      <c r="S720" s="223"/>
      <c r="T720" s="243">
        <v>5.27</v>
      </c>
      <c r="U720" s="223">
        <v>-9999</v>
      </c>
      <c r="V720" s="223"/>
      <c r="W720" s="285">
        <f>+P720-P719</f>
        <v>4.0699999999999932</v>
      </c>
      <c r="X720" s="223">
        <v>-9999</v>
      </c>
      <c r="Y720" s="223"/>
      <c r="Z720" s="561" t="s">
        <v>1702</v>
      </c>
      <c r="AA720" s="425">
        <f t="shared" si="86"/>
        <v>1682.0700000000002</v>
      </c>
      <c r="AB720" s="243">
        <v>-9999</v>
      </c>
      <c r="AC720" s="245">
        <v>4.0460000000000003</v>
      </c>
      <c r="AD720" s="560">
        <f t="shared" si="77"/>
        <v>3300</v>
      </c>
      <c r="AE720" s="675" t="s">
        <v>97</v>
      </c>
      <c r="AF720" s="223">
        <v>3</v>
      </c>
      <c r="AG720" s="223">
        <v>-9999</v>
      </c>
      <c r="AH720" s="223">
        <v>-9999</v>
      </c>
      <c r="AI720" s="223">
        <v>-9999</v>
      </c>
      <c r="AJ720" s="223">
        <v>-9999</v>
      </c>
      <c r="AK720" s="223">
        <v>-9999</v>
      </c>
      <c r="AL720" s="223">
        <v>-9999</v>
      </c>
      <c r="AM720" s="223">
        <v>-9999</v>
      </c>
      <c r="AN720" s="223" t="s">
        <v>631</v>
      </c>
      <c r="AO720" s="223">
        <v>-9999</v>
      </c>
      <c r="AP720" s="223">
        <v>-9999</v>
      </c>
      <c r="AQ720" s="223" t="s">
        <v>631</v>
      </c>
      <c r="AR720" s="223">
        <v>0</v>
      </c>
      <c r="AS720" s="223">
        <v>-9999</v>
      </c>
      <c r="AT720" s="223">
        <v>-9999</v>
      </c>
      <c r="AU720" s="223">
        <v>0</v>
      </c>
      <c r="AV720" s="223">
        <v>-9999</v>
      </c>
      <c r="AW720" s="223">
        <v>-9999</v>
      </c>
      <c r="AX720" s="223">
        <v>0</v>
      </c>
      <c r="AY720" s="223">
        <v>-9999</v>
      </c>
      <c r="AZ720" s="223">
        <v>-9999</v>
      </c>
      <c r="BA720" s="223">
        <v>-9999</v>
      </c>
      <c r="BB720" s="223" t="s">
        <v>631</v>
      </c>
      <c r="BC720" s="223">
        <v>-9999</v>
      </c>
      <c r="BD720" s="223">
        <v>-9999</v>
      </c>
      <c r="BE720" s="223">
        <v>-9999</v>
      </c>
      <c r="BF720" s="223">
        <v>-9999</v>
      </c>
      <c r="BG720" s="223">
        <v>-9999</v>
      </c>
      <c r="BH720" s="223">
        <v>-9999</v>
      </c>
      <c r="BI720" s="223" t="s">
        <v>1062</v>
      </c>
      <c r="BJ720" s="223">
        <v>-9999</v>
      </c>
      <c r="BK720" s="223">
        <v>-9999</v>
      </c>
      <c r="BL720" s="223">
        <v>-9999</v>
      </c>
      <c r="BM720" s="223">
        <v>-9999</v>
      </c>
      <c r="BN720" s="223">
        <v>-9999</v>
      </c>
      <c r="BO720" s="223">
        <v>-9999</v>
      </c>
      <c r="BP720" s="223">
        <v>-9999</v>
      </c>
      <c r="BQ720" s="223">
        <v>-9999</v>
      </c>
      <c r="BR720" s="223">
        <v>-9999</v>
      </c>
      <c r="BS720" s="242">
        <v>-9999</v>
      </c>
      <c r="BT720" s="223">
        <v>-9999</v>
      </c>
      <c r="BU720" s="223">
        <v>-9999</v>
      </c>
      <c r="BV720" s="223">
        <v>-9999</v>
      </c>
      <c r="BW720" s="223"/>
      <c r="BX720" s="223">
        <v>-9999</v>
      </c>
      <c r="BY720" s="223">
        <v>-9999</v>
      </c>
      <c r="BZ720" s="223">
        <v>-9999</v>
      </c>
      <c r="CA720" s="334" t="s">
        <v>797</v>
      </c>
      <c r="CB720" s="247"/>
      <c r="CC720" s="83">
        <v>1</v>
      </c>
      <c r="CD720" s="32">
        <v>9</v>
      </c>
      <c r="CE720" s="292">
        <v>5.27</v>
      </c>
      <c r="CF720" s="292">
        <v>4.0699999999999932</v>
      </c>
      <c r="CG720" s="84">
        <v>9</v>
      </c>
    </row>
    <row r="721" spans="1:86" s="23" customFormat="1" ht="25.5" x14ac:dyDescent="0.2">
      <c r="A721" s="304" t="s">
        <v>2090</v>
      </c>
      <c r="B721" s="223" t="s">
        <v>804</v>
      </c>
      <c r="C721" s="223" t="s">
        <v>1032</v>
      </c>
      <c r="D721" s="223" t="s">
        <v>619</v>
      </c>
      <c r="E721" s="305" t="s">
        <v>1451</v>
      </c>
      <c r="F721" s="241">
        <v>1</v>
      </c>
      <c r="G721" s="223">
        <v>10</v>
      </c>
      <c r="H721" s="242">
        <v>10</v>
      </c>
      <c r="I721" s="223" t="s">
        <v>807</v>
      </c>
      <c r="J721" s="450">
        <v>1988</v>
      </c>
      <c r="K721" s="560" t="s">
        <v>1211</v>
      </c>
      <c r="L721" s="450">
        <v>1996</v>
      </c>
      <c r="M721" s="243">
        <v>-9999</v>
      </c>
      <c r="N721" s="223">
        <v>-9999</v>
      </c>
      <c r="O721" s="29"/>
      <c r="P721" s="243">
        <v>-9999</v>
      </c>
      <c r="Q721" s="223">
        <v>-9999</v>
      </c>
      <c r="R721" s="243"/>
      <c r="S721" s="223"/>
      <c r="T721" s="243">
        <v>-9999</v>
      </c>
      <c r="U721" s="223">
        <v>-9999</v>
      </c>
      <c r="V721" s="223"/>
      <c r="W721" s="243">
        <v>-9999</v>
      </c>
      <c r="X721" s="223">
        <v>-9999</v>
      </c>
      <c r="Y721" s="223"/>
      <c r="Z721" s="561" t="s">
        <v>1702</v>
      </c>
      <c r="AA721" s="425">
        <f t="shared" si="86"/>
        <v>1682.0700000000002</v>
      </c>
      <c r="AB721" s="243">
        <v>-9999</v>
      </c>
      <c r="AC721" s="245">
        <v>4.0460000000000003</v>
      </c>
      <c r="AD721" s="560">
        <f t="shared" si="77"/>
        <v>3300</v>
      </c>
      <c r="AE721" s="675" t="s">
        <v>97</v>
      </c>
      <c r="AF721" s="223">
        <v>3</v>
      </c>
      <c r="AG721" s="223">
        <v>-9999</v>
      </c>
      <c r="AH721" s="223">
        <v>-9999</v>
      </c>
      <c r="AI721" s="223">
        <v>-9999</v>
      </c>
      <c r="AJ721" s="223">
        <v>-9999</v>
      </c>
      <c r="AK721" s="223">
        <v>-9999</v>
      </c>
      <c r="AL721" s="223">
        <v>-9999</v>
      </c>
      <c r="AM721" s="223">
        <v>-9999</v>
      </c>
      <c r="AN721" s="223" t="s">
        <v>631</v>
      </c>
      <c r="AO721" s="223">
        <v>-9999</v>
      </c>
      <c r="AP721" s="223">
        <v>-9999</v>
      </c>
      <c r="AQ721" s="223" t="s">
        <v>631</v>
      </c>
      <c r="AR721" s="223">
        <v>0</v>
      </c>
      <c r="AS721" s="223">
        <v>-9999</v>
      </c>
      <c r="AT721" s="223">
        <v>-9999</v>
      </c>
      <c r="AU721" s="223">
        <v>0</v>
      </c>
      <c r="AV721" s="223">
        <v>-9999</v>
      </c>
      <c r="AW721" s="223">
        <v>-9999</v>
      </c>
      <c r="AX721" s="223">
        <v>0</v>
      </c>
      <c r="AY721" s="223">
        <v>-9999</v>
      </c>
      <c r="AZ721" s="223">
        <v>-9999</v>
      </c>
      <c r="BA721" s="223">
        <v>-9999</v>
      </c>
      <c r="BB721" s="223" t="s">
        <v>631</v>
      </c>
      <c r="BC721" s="223">
        <v>-9999</v>
      </c>
      <c r="BD721" s="223">
        <v>-9999</v>
      </c>
      <c r="BE721" s="223">
        <v>-9999</v>
      </c>
      <c r="BF721" s="223">
        <v>-9999</v>
      </c>
      <c r="BG721" s="223">
        <v>-9999</v>
      </c>
      <c r="BH721" s="223">
        <v>-9999</v>
      </c>
      <c r="BI721" s="223" t="s">
        <v>1062</v>
      </c>
      <c r="BJ721" s="223">
        <v>-9999</v>
      </c>
      <c r="BK721" s="223">
        <v>-9999</v>
      </c>
      <c r="BL721" s="223">
        <v>-9999</v>
      </c>
      <c r="BM721" s="223">
        <v>-9999</v>
      </c>
      <c r="BN721" s="223">
        <v>-9999</v>
      </c>
      <c r="BO721" s="223">
        <v>-9999</v>
      </c>
      <c r="BP721" s="223">
        <v>-9999</v>
      </c>
      <c r="BQ721" s="223">
        <v>-9999</v>
      </c>
      <c r="BR721" s="223">
        <v>-9999</v>
      </c>
      <c r="BS721" s="242">
        <v>-9999</v>
      </c>
      <c r="BT721" s="223">
        <v>-9999</v>
      </c>
      <c r="BU721" s="223">
        <v>-9999</v>
      </c>
      <c r="BV721" s="223">
        <v>-9999</v>
      </c>
      <c r="BW721" s="223"/>
      <c r="BX721" s="223">
        <v>-9999</v>
      </c>
      <c r="BY721" s="223">
        <v>-9999</v>
      </c>
      <c r="BZ721" s="223">
        <v>-9999</v>
      </c>
      <c r="CA721" s="334" t="s">
        <v>797</v>
      </c>
      <c r="CB721" s="247"/>
      <c r="CC721" s="83">
        <v>1</v>
      </c>
      <c r="CD721" s="32">
        <v>10</v>
      </c>
      <c r="CE721" s="292"/>
      <c r="CF721" s="292"/>
      <c r="CG721" s="84">
        <v>10</v>
      </c>
    </row>
    <row r="722" spans="1:86" s="23" customFormat="1" x14ac:dyDescent="0.2">
      <c r="A722" s="29"/>
      <c r="B722" s="29"/>
      <c r="C722" s="29"/>
      <c r="D722" s="29"/>
      <c r="E722" s="66"/>
      <c r="F722" s="66"/>
      <c r="G722" s="29"/>
      <c r="H722" s="30"/>
      <c r="I722" s="29"/>
      <c r="J722" s="112"/>
      <c r="K722" s="112"/>
      <c r="L722" s="112"/>
      <c r="M722" s="31"/>
      <c r="N722" s="29"/>
      <c r="O722" s="29"/>
      <c r="P722" s="31"/>
      <c r="Q722" s="29"/>
      <c r="R722" s="31"/>
      <c r="S722" s="29"/>
      <c r="T722" s="31"/>
      <c r="U722" s="29"/>
      <c r="V722" s="29"/>
      <c r="W722" s="31"/>
      <c r="X722" s="29"/>
      <c r="Y722" s="29"/>
      <c r="Z722" s="112"/>
      <c r="AA722" s="115"/>
      <c r="AB722" s="31"/>
      <c r="AC722" s="71"/>
      <c r="AD722" s="71"/>
      <c r="AE722" s="112"/>
      <c r="AF722" s="29"/>
      <c r="AG722" s="29"/>
      <c r="AH722" s="29"/>
      <c r="AI722" s="29"/>
      <c r="AJ722" s="29"/>
      <c r="AK722" s="29"/>
      <c r="AL722" s="29"/>
      <c r="AM722" s="29"/>
      <c r="AN722" s="29"/>
      <c r="AO722" s="29"/>
      <c r="AP722" s="29"/>
      <c r="AQ722" s="29"/>
      <c r="AR722" s="29"/>
      <c r="AS722" s="29"/>
      <c r="AT722" s="29"/>
      <c r="AU722" s="29"/>
      <c r="AV722" s="29"/>
      <c r="AW722" s="29"/>
      <c r="AX722" s="29"/>
      <c r="AY722" s="29"/>
      <c r="AZ722" s="29"/>
      <c r="BA722" s="29"/>
      <c r="BB722" s="29"/>
      <c r="BC722" s="29"/>
      <c r="BD722" s="29"/>
      <c r="BE722" s="29"/>
      <c r="BF722" s="29"/>
      <c r="BG722" s="29"/>
      <c r="BH722" s="29"/>
      <c r="BI722" s="29"/>
      <c r="BJ722" s="29"/>
      <c r="BK722" s="29"/>
      <c r="BL722" s="29"/>
      <c r="BM722" s="29"/>
      <c r="BN722" s="29"/>
      <c r="BO722" s="29"/>
      <c r="BP722" s="29"/>
      <c r="BQ722" s="29"/>
      <c r="BR722" s="29"/>
      <c r="BS722" s="30"/>
      <c r="BT722" s="29"/>
      <c r="BU722" s="29"/>
      <c r="BV722" s="29"/>
      <c r="BW722" s="29"/>
      <c r="BX722" s="29"/>
      <c r="BY722" s="29"/>
      <c r="BZ722" s="29"/>
      <c r="CA722" s="333"/>
      <c r="CC722" s="66"/>
      <c r="CD722" s="29"/>
      <c r="CE722" s="342" t="s">
        <v>1576</v>
      </c>
      <c r="CF722" s="342" t="s">
        <v>1575</v>
      </c>
      <c r="CG722" s="30"/>
    </row>
    <row r="723" spans="1:86" s="23" customFormat="1" x14ac:dyDescent="0.2">
      <c r="A723" s="25" t="s">
        <v>805</v>
      </c>
      <c r="B723" s="223" t="s">
        <v>806</v>
      </c>
      <c r="C723" s="404" t="s">
        <v>1711</v>
      </c>
      <c r="D723" s="240" t="s">
        <v>619</v>
      </c>
      <c r="E723" s="305" t="s">
        <v>1726</v>
      </c>
      <c r="F723" s="240">
        <v>1</v>
      </c>
      <c r="G723" s="242">
        <v>2</v>
      </c>
      <c r="H723" s="242">
        <v>3</v>
      </c>
      <c r="I723" s="223" t="s">
        <v>807</v>
      </c>
      <c r="J723" s="223">
        <v>1995</v>
      </c>
      <c r="K723" s="223" t="s">
        <v>1211</v>
      </c>
      <c r="L723" s="223">
        <v>1996</v>
      </c>
      <c r="M723" s="243">
        <v>-9999</v>
      </c>
      <c r="N723" s="223">
        <v>-9999</v>
      </c>
      <c r="O723" s="29"/>
      <c r="P723" s="244">
        <f>+T723*G723</f>
        <v>2.4</v>
      </c>
      <c r="Q723" s="223">
        <v>-9999</v>
      </c>
      <c r="R723" s="243"/>
      <c r="S723" s="223"/>
      <c r="T723" s="243">
        <v>1.2</v>
      </c>
      <c r="U723" s="223">
        <v>-9999</v>
      </c>
      <c r="V723" s="223"/>
      <c r="W723" s="243">
        <v>-9999</v>
      </c>
      <c r="X723" s="223">
        <v>-9999</v>
      </c>
      <c r="Y723" s="223"/>
      <c r="Z723" s="404" t="s">
        <v>1703</v>
      </c>
      <c r="AA723" s="564">
        <v>1075</v>
      </c>
      <c r="AB723" s="243">
        <v>1</v>
      </c>
      <c r="AC723" s="223">
        <v>-9999</v>
      </c>
      <c r="AD723" s="223">
        <v>18.600000000000001</v>
      </c>
      <c r="AE723" s="404" t="s">
        <v>1738</v>
      </c>
      <c r="AF723" s="223">
        <v>10</v>
      </c>
      <c r="AG723" s="404" t="s">
        <v>1740</v>
      </c>
      <c r="AH723" s="223" t="s">
        <v>1034</v>
      </c>
      <c r="AI723" s="404" t="s">
        <v>1739</v>
      </c>
      <c r="AJ723" s="223">
        <v>-9999</v>
      </c>
      <c r="AK723" s="223" t="s">
        <v>626</v>
      </c>
      <c r="AL723" s="223" t="s">
        <v>828</v>
      </c>
      <c r="AM723" s="223">
        <v>-9999</v>
      </c>
      <c r="AN723" s="223" t="s">
        <v>631</v>
      </c>
      <c r="AO723" s="223">
        <v>-9999</v>
      </c>
      <c r="AP723" s="223">
        <v>-9999</v>
      </c>
      <c r="AQ723" s="223" t="s">
        <v>631</v>
      </c>
      <c r="AR723" s="223">
        <v>0</v>
      </c>
      <c r="AS723" s="223">
        <v>-9999</v>
      </c>
      <c r="AT723" s="223">
        <v>-9999</v>
      </c>
      <c r="AU723" s="223">
        <v>0</v>
      </c>
      <c r="AV723" s="223">
        <v>-9999</v>
      </c>
      <c r="AW723" s="223">
        <v>-9999</v>
      </c>
      <c r="AX723" s="223">
        <v>0</v>
      </c>
      <c r="AY723" s="223">
        <v>-9999</v>
      </c>
      <c r="AZ723" s="223">
        <v>-9999</v>
      </c>
      <c r="BA723" s="223">
        <v>-9988</v>
      </c>
      <c r="BB723" s="223" t="s">
        <v>626</v>
      </c>
      <c r="BC723" s="223">
        <v>-9999</v>
      </c>
      <c r="BD723" s="223">
        <v>-9999</v>
      </c>
      <c r="BE723" s="223">
        <v>-9999</v>
      </c>
      <c r="BF723" s="223">
        <v>-9999</v>
      </c>
      <c r="BG723" s="223">
        <v>-9999</v>
      </c>
      <c r="BH723" s="223">
        <v>-9999</v>
      </c>
      <c r="BI723" s="223" t="s">
        <v>1035</v>
      </c>
      <c r="BJ723" s="223">
        <v>-9999</v>
      </c>
      <c r="BK723" s="223">
        <v>-9999</v>
      </c>
      <c r="BL723" s="223">
        <v>-9999</v>
      </c>
      <c r="BM723" s="223">
        <v>-9999</v>
      </c>
      <c r="BN723" s="223">
        <v>-9999</v>
      </c>
      <c r="BO723" s="223">
        <v>-9999</v>
      </c>
      <c r="BP723" s="223">
        <v>-9999</v>
      </c>
      <c r="BQ723" s="223">
        <v>-9999</v>
      </c>
      <c r="BR723" s="223">
        <v>-9999</v>
      </c>
      <c r="BS723" s="242">
        <v>-9999</v>
      </c>
      <c r="BT723" s="223">
        <v>-9999</v>
      </c>
      <c r="BU723" s="223">
        <v>-9999</v>
      </c>
      <c r="BV723" s="223">
        <v>-9999</v>
      </c>
      <c r="BW723" s="223"/>
      <c r="BX723" s="223">
        <v>-9999</v>
      </c>
      <c r="BY723" s="223">
        <v>-9999</v>
      </c>
      <c r="BZ723" s="223">
        <v>-9999</v>
      </c>
      <c r="CA723" s="334" t="s">
        <v>797</v>
      </c>
      <c r="CB723" s="247"/>
      <c r="CC723" s="25">
        <v>1</v>
      </c>
      <c r="CD723" s="84">
        <v>2</v>
      </c>
      <c r="CE723" s="292">
        <v>1.2</v>
      </c>
      <c r="CF723" s="292"/>
      <c r="CG723" s="84">
        <v>3</v>
      </c>
    </row>
    <row r="724" spans="1:86" s="23" customFormat="1" x14ac:dyDescent="0.2">
      <c r="A724" s="25" t="s">
        <v>805</v>
      </c>
      <c r="B724" s="223" t="s">
        <v>806</v>
      </c>
      <c r="C724" s="223" t="s">
        <v>1711</v>
      </c>
      <c r="D724" s="240" t="s">
        <v>619</v>
      </c>
      <c r="E724" s="305" t="s">
        <v>1726</v>
      </c>
      <c r="F724" s="240">
        <v>1</v>
      </c>
      <c r="G724" s="242">
        <v>3</v>
      </c>
      <c r="H724" s="242">
        <v>4</v>
      </c>
      <c r="I724" s="223" t="s">
        <v>807</v>
      </c>
      <c r="J724" s="223">
        <v>1995</v>
      </c>
      <c r="K724" s="223" t="s">
        <v>1211</v>
      </c>
      <c r="L724" s="223">
        <v>1997</v>
      </c>
      <c r="M724" s="243">
        <v>-9999</v>
      </c>
      <c r="N724" s="223">
        <v>-9999</v>
      </c>
      <c r="O724" s="29"/>
      <c r="P724" s="244">
        <f>+T724*G724</f>
        <v>5.4</v>
      </c>
      <c r="Q724" s="223">
        <v>-9999</v>
      </c>
      <c r="R724" s="243"/>
      <c r="S724" s="223"/>
      <c r="T724" s="243">
        <v>1.8</v>
      </c>
      <c r="U724" s="223">
        <v>-9999</v>
      </c>
      <c r="V724" s="223"/>
      <c r="W724" s="285">
        <f>+P724-P723</f>
        <v>3.0000000000000004</v>
      </c>
      <c r="X724" s="223">
        <v>-9999</v>
      </c>
      <c r="Y724" s="223"/>
      <c r="Z724" s="404" t="s">
        <v>1703</v>
      </c>
      <c r="AA724" s="564">
        <v>1075</v>
      </c>
      <c r="AB724" s="243">
        <v>1</v>
      </c>
      <c r="AC724" s="223">
        <v>-9999</v>
      </c>
      <c r="AD724" s="223">
        <v>18.600000000000001</v>
      </c>
      <c r="AE724" s="404" t="s">
        <v>1738</v>
      </c>
      <c r="AF724" s="223">
        <v>10</v>
      </c>
      <c r="AG724" s="404" t="s">
        <v>1740</v>
      </c>
      <c r="AH724" s="223" t="s">
        <v>1034</v>
      </c>
      <c r="AI724" s="404" t="s">
        <v>1739</v>
      </c>
      <c r="AJ724" s="223">
        <v>-9999</v>
      </c>
      <c r="AK724" s="223" t="s">
        <v>626</v>
      </c>
      <c r="AL724" s="223" t="s">
        <v>828</v>
      </c>
      <c r="AM724" s="223">
        <v>-9999</v>
      </c>
      <c r="AN724" s="223" t="s">
        <v>631</v>
      </c>
      <c r="AO724" s="223">
        <v>-9999</v>
      </c>
      <c r="AP724" s="223">
        <v>-9999</v>
      </c>
      <c r="AQ724" s="223" t="s">
        <v>631</v>
      </c>
      <c r="AR724" s="223">
        <v>0</v>
      </c>
      <c r="AS724" s="223">
        <v>-9999</v>
      </c>
      <c r="AT724" s="223">
        <v>-9999</v>
      </c>
      <c r="AU724" s="223">
        <v>0</v>
      </c>
      <c r="AV724" s="223">
        <v>-9999</v>
      </c>
      <c r="AW724" s="223">
        <v>-9999</v>
      </c>
      <c r="AX724" s="223">
        <v>0</v>
      </c>
      <c r="AY724" s="223">
        <v>-9999</v>
      </c>
      <c r="AZ724" s="223">
        <v>-9999</v>
      </c>
      <c r="BA724" s="223">
        <v>-9988</v>
      </c>
      <c r="BB724" s="223" t="s">
        <v>626</v>
      </c>
      <c r="BC724" s="223">
        <v>-9999</v>
      </c>
      <c r="BD724" s="223">
        <v>-9999</v>
      </c>
      <c r="BE724" s="223">
        <v>-9999</v>
      </c>
      <c r="BF724" s="223">
        <v>-9999</v>
      </c>
      <c r="BG724" s="223">
        <v>-9999</v>
      </c>
      <c r="BH724" s="223">
        <v>-9999</v>
      </c>
      <c r="BI724" s="223" t="s">
        <v>1035</v>
      </c>
      <c r="BJ724" s="223">
        <v>-9999</v>
      </c>
      <c r="BK724" s="223">
        <v>-9999</v>
      </c>
      <c r="BL724" s="223">
        <v>-9999</v>
      </c>
      <c r="BM724" s="223">
        <v>-9999</v>
      </c>
      <c r="BN724" s="223">
        <v>-9999</v>
      </c>
      <c r="BO724" s="223">
        <v>-9999</v>
      </c>
      <c r="BP724" s="223">
        <v>-9999</v>
      </c>
      <c r="BQ724" s="223">
        <v>-9999</v>
      </c>
      <c r="BR724" s="223">
        <v>-9999</v>
      </c>
      <c r="BS724" s="242">
        <v>-9999</v>
      </c>
      <c r="BT724" s="223">
        <v>-9999</v>
      </c>
      <c r="BU724" s="223">
        <v>-9999</v>
      </c>
      <c r="BV724" s="223">
        <v>-9999</v>
      </c>
      <c r="BW724" s="223"/>
      <c r="BX724" s="223">
        <v>-9999</v>
      </c>
      <c r="BY724" s="223">
        <v>-9999</v>
      </c>
      <c r="BZ724" s="223">
        <v>-9999</v>
      </c>
      <c r="CA724" s="334" t="s">
        <v>797</v>
      </c>
      <c r="CB724" s="247"/>
      <c r="CC724" s="25">
        <v>1</v>
      </c>
      <c r="CD724" s="84">
        <v>3</v>
      </c>
      <c r="CE724" s="292">
        <v>1.8</v>
      </c>
      <c r="CF724" s="292">
        <v>3.0000000000000004</v>
      </c>
      <c r="CG724" s="84">
        <v>4</v>
      </c>
    </row>
    <row r="725" spans="1:86" s="23" customFormat="1" x14ac:dyDescent="0.2">
      <c r="A725" s="25" t="s">
        <v>805</v>
      </c>
      <c r="B725" s="223" t="s">
        <v>806</v>
      </c>
      <c r="C725" s="223" t="s">
        <v>1711</v>
      </c>
      <c r="D725" s="240" t="s">
        <v>619</v>
      </c>
      <c r="E725" s="305" t="s">
        <v>1726</v>
      </c>
      <c r="F725" s="240">
        <v>1</v>
      </c>
      <c r="G725" s="242">
        <v>4</v>
      </c>
      <c r="H725" s="242">
        <v>5</v>
      </c>
      <c r="I725" s="223" t="s">
        <v>807</v>
      </c>
      <c r="J725" s="223">
        <v>1995</v>
      </c>
      <c r="K725" s="223" t="s">
        <v>1211</v>
      </c>
      <c r="L725" s="223">
        <v>1998</v>
      </c>
      <c r="M725" s="243">
        <v>-9999</v>
      </c>
      <c r="N725" s="223">
        <v>-9999</v>
      </c>
      <c r="O725" s="29"/>
      <c r="P725" s="244">
        <f>+T725*G725</f>
        <v>13.2</v>
      </c>
      <c r="Q725" s="223">
        <v>-9999</v>
      </c>
      <c r="R725" s="243"/>
      <c r="S725" s="223"/>
      <c r="T725" s="243">
        <v>3.3</v>
      </c>
      <c r="U725" s="223">
        <v>-9999</v>
      </c>
      <c r="V725" s="223"/>
      <c r="W725" s="285">
        <f>+P725-P724</f>
        <v>7.7999999999999989</v>
      </c>
      <c r="X725" s="223">
        <v>-9999</v>
      </c>
      <c r="Y725" s="223"/>
      <c r="Z725" s="404" t="s">
        <v>1703</v>
      </c>
      <c r="AA725" s="564">
        <v>1075</v>
      </c>
      <c r="AB725" s="243">
        <v>1</v>
      </c>
      <c r="AC725" s="223">
        <v>-9999</v>
      </c>
      <c r="AD725" s="223">
        <v>18.600000000000001</v>
      </c>
      <c r="AE725" s="404" t="s">
        <v>1738</v>
      </c>
      <c r="AF725" s="223">
        <v>10</v>
      </c>
      <c r="AG725" s="404" t="s">
        <v>1740</v>
      </c>
      <c r="AH725" s="223" t="s">
        <v>1034</v>
      </c>
      <c r="AI725" s="404" t="s">
        <v>1739</v>
      </c>
      <c r="AJ725" s="223">
        <v>-9999</v>
      </c>
      <c r="AK725" s="223" t="s">
        <v>626</v>
      </c>
      <c r="AL725" s="223" t="s">
        <v>828</v>
      </c>
      <c r="AM725" s="223">
        <v>-9999</v>
      </c>
      <c r="AN725" s="223" t="s">
        <v>631</v>
      </c>
      <c r="AO725" s="223">
        <v>-9999</v>
      </c>
      <c r="AP725" s="223">
        <v>-9999</v>
      </c>
      <c r="AQ725" s="223" t="s">
        <v>631</v>
      </c>
      <c r="AR725" s="223">
        <v>0</v>
      </c>
      <c r="AS725" s="223">
        <v>-9999</v>
      </c>
      <c r="AT725" s="223">
        <v>-9999</v>
      </c>
      <c r="AU725" s="223">
        <v>0</v>
      </c>
      <c r="AV725" s="223">
        <v>-9999</v>
      </c>
      <c r="AW725" s="223">
        <v>-9999</v>
      </c>
      <c r="AX725" s="223">
        <v>0</v>
      </c>
      <c r="AY725" s="223">
        <v>-9999</v>
      </c>
      <c r="AZ725" s="223">
        <v>-9999</v>
      </c>
      <c r="BA725" s="223">
        <v>-9988</v>
      </c>
      <c r="BB725" s="223" t="s">
        <v>626</v>
      </c>
      <c r="BC725" s="223">
        <v>-9999</v>
      </c>
      <c r="BD725" s="223">
        <v>-9999</v>
      </c>
      <c r="BE725" s="223">
        <v>-9999</v>
      </c>
      <c r="BF725" s="223">
        <v>-9999</v>
      </c>
      <c r="BG725" s="223">
        <v>-9999</v>
      </c>
      <c r="BH725" s="223">
        <v>-9999</v>
      </c>
      <c r="BI725" s="223" t="s">
        <v>1035</v>
      </c>
      <c r="BJ725" s="223">
        <v>-9999</v>
      </c>
      <c r="BK725" s="223">
        <v>-9999</v>
      </c>
      <c r="BL725" s="223">
        <v>-9999</v>
      </c>
      <c r="BM725" s="223">
        <v>-9999</v>
      </c>
      <c r="BN725" s="223">
        <v>-9999</v>
      </c>
      <c r="BO725" s="223">
        <v>-9999</v>
      </c>
      <c r="BP725" s="223">
        <v>-9999</v>
      </c>
      <c r="BQ725" s="223">
        <v>-9999</v>
      </c>
      <c r="BR725" s="223">
        <v>-9999</v>
      </c>
      <c r="BS725" s="242">
        <v>-9999</v>
      </c>
      <c r="BT725" s="223">
        <v>-9999</v>
      </c>
      <c r="BU725" s="223">
        <v>-9999</v>
      </c>
      <c r="BV725" s="223">
        <v>-9999</v>
      </c>
      <c r="BW725" s="223"/>
      <c r="BX725" s="223">
        <v>-9999</v>
      </c>
      <c r="BY725" s="223">
        <v>-9999</v>
      </c>
      <c r="BZ725" s="223">
        <v>-9999</v>
      </c>
      <c r="CA725" s="334" t="s">
        <v>797</v>
      </c>
      <c r="CB725" s="247"/>
      <c r="CC725" s="25">
        <v>1</v>
      </c>
      <c r="CD725" s="84">
        <v>4</v>
      </c>
      <c r="CE725" s="292">
        <v>3.3</v>
      </c>
      <c r="CF725" s="292">
        <v>7.7999999999999989</v>
      </c>
      <c r="CG725" s="84">
        <v>5</v>
      </c>
    </row>
    <row r="726" spans="1:86" s="23" customFormat="1" x14ac:dyDescent="0.2">
      <c r="A726" s="25" t="s">
        <v>805</v>
      </c>
      <c r="B726" s="223" t="s">
        <v>806</v>
      </c>
      <c r="C726" s="223" t="s">
        <v>1711</v>
      </c>
      <c r="D726" s="240" t="s">
        <v>619</v>
      </c>
      <c r="E726" s="305" t="s">
        <v>1726</v>
      </c>
      <c r="F726" s="240">
        <v>1</v>
      </c>
      <c r="G726" s="242">
        <v>5</v>
      </c>
      <c r="H726" s="242">
        <v>6</v>
      </c>
      <c r="I726" s="223" t="s">
        <v>807</v>
      </c>
      <c r="J726" s="223">
        <v>1995</v>
      </c>
      <c r="K726" s="223" t="s">
        <v>1211</v>
      </c>
      <c r="L726" s="223">
        <v>1999</v>
      </c>
      <c r="M726" s="243">
        <v>-9999</v>
      </c>
      <c r="N726" s="223">
        <v>-9999</v>
      </c>
      <c r="O726" s="29"/>
      <c r="P726" s="244">
        <f>+T726*G726</f>
        <v>26.75</v>
      </c>
      <c r="Q726" s="223">
        <v>-9999</v>
      </c>
      <c r="R726" s="243"/>
      <c r="S726" s="223"/>
      <c r="T726" s="243">
        <v>5.35</v>
      </c>
      <c r="U726" s="223">
        <v>-9999</v>
      </c>
      <c r="V726" s="223"/>
      <c r="W726" s="285">
        <f>+P726-P725</f>
        <v>13.55</v>
      </c>
      <c r="X726" s="223">
        <v>-9999</v>
      </c>
      <c r="Y726" s="223"/>
      <c r="Z726" s="404" t="s">
        <v>1703</v>
      </c>
      <c r="AA726" s="564">
        <v>1075</v>
      </c>
      <c r="AB726" s="243">
        <v>1</v>
      </c>
      <c r="AC726" s="223">
        <v>-9999</v>
      </c>
      <c r="AD726" s="223">
        <v>18.600000000000001</v>
      </c>
      <c r="AE726" s="404" t="s">
        <v>1738</v>
      </c>
      <c r="AF726" s="223">
        <v>10</v>
      </c>
      <c r="AG726" s="404" t="s">
        <v>1740</v>
      </c>
      <c r="AH726" s="223" t="s">
        <v>1034</v>
      </c>
      <c r="AI726" s="404" t="s">
        <v>1739</v>
      </c>
      <c r="AJ726" s="223">
        <v>-9999</v>
      </c>
      <c r="AK726" s="223" t="s">
        <v>626</v>
      </c>
      <c r="AL726" s="223" t="s">
        <v>828</v>
      </c>
      <c r="AM726" s="223">
        <v>-9999</v>
      </c>
      <c r="AN726" s="223" t="s">
        <v>631</v>
      </c>
      <c r="AO726" s="223">
        <v>-9999</v>
      </c>
      <c r="AP726" s="223">
        <v>-9999</v>
      </c>
      <c r="AQ726" s="223" t="s">
        <v>631</v>
      </c>
      <c r="AR726" s="223">
        <v>0</v>
      </c>
      <c r="AS726" s="223">
        <v>-9999</v>
      </c>
      <c r="AT726" s="223">
        <v>-9999</v>
      </c>
      <c r="AU726" s="223">
        <v>0</v>
      </c>
      <c r="AV726" s="223">
        <v>-9999</v>
      </c>
      <c r="AW726" s="223">
        <v>-9999</v>
      </c>
      <c r="AX726" s="223">
        <v>0</v>
      </c>
      <c r="AY726" s="223">
        <v>-9999</v>
      </c>
      <c r="AZ726" s="223">
        <v>-9999</v>
      </c>
      <c r="BA726" s="223">
        <v>-9988</v>
      </c>
      <c r="BB726" s="223" t="s">
        <v>626</v>
      </c>
      <c r="BC726" s="223">
        <v>-9999</v>
      </c>
      <c r="BD726" s="223">
        <v>-9999</v>
      </c>
      <c r="BE726" s="223">
        <v>-9999</v>
      </c>
      <c r="BF726" s="223">
        <v>-9999</v>
      </c>
      <c r="BG726" s="223">
        <v>-9999</v>
      </c>
      <c r="BH726" s="223">
        <v>-9999</v>
      </c>
      <c r="BI726" s="223" t="s">
        <v>1035</v>
      </c>
      <c r="BJ726" s="223">
        <v>-9999</v>
      </c>
      <c r="BK726" s="223">
        <v>-9999</v>
      </c>
      <c r="BL726" s="223">
        <v>-9999</v>
      </c>
      <c r="BM726" s="223">
        <v>-9999</v>
      </c>
      <c r="BN726" s="223">
        <v>-9999</v>
      </c>
      <c r="BO726" s="223">
        <v>-9999</v>
      </c>
      <c r="BP726" s="223">
        <v>-9999</v>
      </c>
      <c r="BQ726" s="223">
        <v>-9999</v>
      </c>
      <c r="BR726" s="223">
        <v>-9999</v>
      </c>
      <c r="BS726" s="242">
        <v>-9999</v>
      </c>
      <c r="BT726" s="223">
        <v>-9999</v>
      </c>
      <c r="BU726" s="223">
        <v>-9999</v>
      </c>
      <c r="BV726" s="223">
        <v>-9999</v>
      </c>
      <c r="BW726" s="223"/>
      <c r="BX726" s="223">
        <v>-9999</v>
      </c>
      <c r="BY726" s="223">
        <v>-9999</v>
      </c>
      <c r="BZ726" s="223">
        <v>-9999</v>
      </c>
      <c r="CA726" s="334" t="s">
        <v>797</v>
      </c>
      <c r="CB726" s="247"/>
      <c r="CC726" s="25">
        <v>1</v>
      </c>
      <c r="CD726" s="84">
        <v>5</v>
      </c>
      <c r="CE726" s="292">
        <v>5.35</v>
      </c>
      <c r="CF726" s="292">
        <v>13.55</v>
      </c>
      <c r="CG726" s="84">
        <v>6</v>
      </c>
    </row>
    <row r="727" spans="1:86" s="23" customFormat="1" x14ac:dyDescent="0.2">
      <c r="A727" s="25" t="s">
        <v>805</v>
      </c>
      <c r="B727" s="223" t="s">
        <v>806</v>
      </c>
      <c r="C727" s="223" t="s">
        <v>1711</v>
      </c>
      <c r="D727" s="240" t="s">
        <v>619</v>
      </c>
      <c r="E727" s="305" t="s">
        <v>1726</v>
      </c>
      <c r="F727" s="240">
        <v>1</v>
      </c>
      <c r="G727" s="242">
        <v>6</v>
      </c>
      <c r="H727" s="242">
        <v>7</v>
      </c>
      <c r="I727" s="223" t="s">
        <v>807</v>
      </c>
      <c r="J727" s="223">
        <v>1995</v>
      </c>
      <c r="K727" s="223" t="s">
        <v>1211</v>
      </c>
      <c r="L727" s="223">
        <v>2000</v>
      </c>
      <c r="M727" s="243">
        <v>-9999</v>
      </c>
      <c r="N727" s="223">
        <v>-9999</v>
      </c>
      <c r="O727" s="29"/>
      <c r="P727" s="244">
        <f>+T727*G727</f>
        <v>40.74</v>
      </c>
      <c r="Q727" s="223">
        <v>-9999</v>
      </c>
      <c r="R727" s="243"/>
      <c r="S727" s="223"/>
      <c r="T727" s="421">
        <v>6.79</v>
      </c>
      <c r="U727" s="223">
        <v>-9999</v>
      </c>
      <c r="V727" s="223"/>
      <c r="W727" s="285">
        <f>+P727-P726</f>
        <v>13.990000000000002</v>
      </c>
      <c r="X727" s="223">
        <v>-9999</v>
      </c>
      <c r="Y727" s="223"/>
      <c r="Z727" s="404" t="s">
        <v>1703</v>
      </c>
      <c r="AA727" s="564">
        <v>1075</v>
      </c>
      <c r="AB727" s="243">
        <v>1</v>
      </c>
      <c r="AC727" s="223">
        <v>-9999</v>
      </c>
      <c r="AD727" s="223">
        <v>18.600000000000001</v>
      </c>
      <c r="AE727" s="404" t="s">
        <v>1738</v>
      </c>
      <c r="AF727" s="223">
        <v>10</v>
      </c>
      <c r="AG727" s="404" t="s">
        <v>1740</v>
      </c>
      <c r="AH727" s="223" t="s">
        <v>1034</v>
      </c>
      <c r="AI727" s="404" t="s">
        <v>1739</v>
      </c>
      <c r="AJ727" s="223">
        <v>-9999</v>
      </c>
      <c r="AK727" s="223" t="s">
        <v>626</v>
      </c>
      <c r="AL727" s="223" t="s">
        <v>828</v>
      </c>
      <c r="AM727" s="223">
        <v>-9999</v>
      </c>
      <c r="AN727" s="223" t="s">
        <v>631</v>
      </c>
      <c r="AO727" s="223">
        <v>-9999</v>
      </c>
      <c r="AP727" s="223">
        <v>-9999</v>
      </c>
      <c r="AQ727" s="223" t="s">
        <v>631</v>
      </c>
      <c r="AR727" s="223">
        <v>0</v>
      </c>
      <c r="AS727" s="223">
        <v>-9999</v>
      </c>
      <c r="AT727" s="223">
        <v>-9999</v>
      </c>
      <c r="AU727" s="223">
        <v>0</v>
      </c>
      <c r="AV727" s="223">
        <v>-9999</v>
      </c>
      <c r="AW727" s="223">
        <v>-9999</v>
      </c>
      <c r="AX727" s="223">
        <v>0</v>
      </c>
      <c r="AY727" s="223">
        <v>-9999</v>
      </c>
      <c r="AZ727" s="223">
        <v>-9999</v>
      </c>
      <c r="BA727" s="223">
        <v>-9988</v>
      </c>
      <c r="BB727" s="223" t="s">
        <v>626</v>
      </c>
      <c r="BC727" s="223">
        <v>-9999</v>
      </c>
      <c r="BD727" s="223">
        <v>-9999</v>
      </c>
      <c r="BE727" s="223">
        <v>-9999</v>
      </c>
      <c r="BF727" s="223">
        <v>-9999</v>
      </c>
      <c r="BG727" s="223">
        <v>-9999</v>
      </c>
      <c r="BH727" s="223">
        <v>-9999</v>
      </c>
      <c r="BI727" s="223" t="s">
        <v>1035</v>
      </c>
      <c r="BJ727" s="223">
        <v>-9999</v>
      </c>
      <c r="BK727" s="223">
        <v>-9999</v>
      </c>
      <c r="BL727" s="223">
        <v>-9999</v>
      </c>
      <c r="BM727" s="223">
        <v>-9999</v>
      </c>
      <c r="BN727" s="243">
        <v>13.13</v>
      </c>
      <c r="BO727" s="223">
        <v>-9999</v>
      </c>
      <c r="BP727" s="223">
        <v>-9999</v>
      </c>
      <c r="BQ727" s="223">
        <v>-9999</v>
      </c>
      <c r="BR727" s="223">
        <v>-9999</v>
      </c>
      <c r="BS727" s="242">
        <v>-9999</v>
      </c>
      <c r="BT727" s="223">
        <v>-9999</v>
      </c>
      <c r="BU727" s="223">
        <v>-9999</v>
      </c>
      <c r="BV727" s="223">
        <v>-9999</v>
      </c>
      <c r="BW727" s="223"/>
      <c r="BX727" s="223">
        <v>-9999</v>
      </c>
      <c r="BY727" s="223">
        <v>-9999</v>
      </c>
      <c r="BZ727" s="223">
        <v>-9999</v>
      </c>
      <c r="CA727" s="334" t="s">
        <v>797</v>
      </c>
      <c r="CB727" s="247"/>
      <c r="CC727" s="25">
        <v>1</v>
      </c>
      <c r="CD727" s="84">
        <v>6</v>
      </c>
      <c r="CE727" s="292">
        <v>6.79</v>
      </c>
      <c r="CF727" s="292">
        <v>13.990000000000002</v>
      </c>
      <c r="CG727" s="84">
        <v>7</v>
      </c>
    </row>
    <row r="728" spans="1:86" s="23" customFormat="1" x14ac:dyDescent="0.2">
      <c r="A728" s="25"/>
      <c r="B728" s="223" t="s">
        <v>806</v>
      </c>
      <c r="C728" s="223" t="s">
        <v>1711</v>
      </c>
      <c r="D728" s="240" t="s">
        <v>619</v>
      </c>
      <c r="E728" s="305" t="s">
        <v>1726</v>
      </c>
      <c r="F728" s="240">
        <v>1</v>
      </c>
      <c r="G728" s="242">
        <v>7</v>
      </c>
      <c r="H728" s="242">
        <v>8</v>
      </c>
      <c r="I728" s="223" t="s">
        <v>807</v>
      </c>
      <c r="J728" s="223">
        <v>1995</v>
      </c>
      <c r="K728" s="223" t="s">
        <v>1211</v>
      </c>
      <c r="L728" s="223">
        <v>2001</v>
      </c>
      <c r="M728" s="243">
        <v>-9999</v>
      </c>
      <c r="N728" s="223">
        <v>-9999</v>
      </c>
      <c r="O728" s="29"/>
      <c r="P728" s="285">
        <v>-9999</v>
      </c>
      <c r="Q728" s="223">
        <v>-9999</v>
      </c>
      <c r="R728" s="243"/>
      <c r="S728" s="223"/>
      <c r="T728" s="243">
        <v>-9999</v>
      </c>
      <c r="U728" s="223">
        <v>-9999</v>
      </c>
      <c r="V728" s="223"/>
      <c r="W728" s="243">
        <v>-9999</v>
      </c>
      <c r="X728" s="223">
        <v>-9999</v>
      </c>
      <c r="Y728" s="223"/>
      <c r="Z728" s="404" t="s">
        <v>1703</v>
      </c>
      <c r="AA728" s="564">
        <v>1075</v>
      </c>
      <c r="AB728" s="243">
        <v>1</v>
      </c>
      <c r="AC728" s="223">
        <v>-9999</v>
      </c>
      <c r="AD728" s="223">
        <v>18.600000000000001</v>
      </c>
      <c r="AE728" s="404" t="s">
        <v>1738</v>
      </c>
      <c r="AF728" s="223">
        <v>10</v>
      </c>
      <c r="AG728" s="404" t="s">
        <v>1740</v>
      </c>
      <c r="AH728" s="223" t="s">
        <v>1034</v>
      </c>
      <c r="AI728" s="404" t="s">
        <v>1739</v>
      </c>
      <c r="AJ728" s="223">
        <v>-9999</v>
      </c>
      <c r="AK728" s="223" t="s">
        <v>626</v>
      </c>
      <c r="AL728" s="223" t="s">
        <v>828</v>
      </c>
      <c r="AM728" s="223">
        <v>-9999</v>
      </c>
      <c r="AN728" s="223" t="s">
        <v>631</v>
      </c>
      <c r="AO728" s="223">
        <v>-9999</v>
      </c>
      <c r="AP728" s="223">
        <v>-9999</v>
      </c>
      <c r="AQ728" s="223" t="s">
        <v>631</v>
      </c>
      <c r="AR728" s="223">
        <v>0</v>
      </c>
      <c r="AS728" s="223">
        <v>-9999</v>
      </c>
      <c r="AT728" s="223">
        <v>-9999</v>
      </c>
      <c r="AU728" s="223">
        <v>0</v>
      </c>
      <c r="AV728" s="223">
        <v>-9999</v>
      </c>
      <c r="AW728" s="223">
        <v>-9999</v>
      </c>
      <c r="AX728" s="223">
        <v>0</v>
      </c>
      <c r="AY728" s="223">
        <v>-9999</v>
      </c>
      <c r="AZ728" s="223">
        <v>-9999</v>
      </c>
      <c r="BA728" s="223">
        <v>-9988</v>
      </c>
      <c r="BB728" s="223" t="s">
        <v>626</v>
      </c>
      <c r="BC728" s="223">
        <v>-9999</v>
      </c>
      <c r="BD728" s="223">
        <v>-9999</v>
      </c>
      <c r="BE728" s="223">
        <v>-9999</v>
      </c>
      <c r="BF728" s="223">
        <v>-9999</v>
      </c>
      <c r="BG728" s="223">
        <v>-9999</v>
      </c>
      <c r="BH728" s="223">
        <v>-9999</v>
      </c>
      <c r="BI728" s="223" t="s">
        <v>1035</v>
      </c>
      <c r="BJ728" s="223">
        <v>-9999</v>
      </c>
      <c r="BK728" s="223">
        <v>-9999</v>
      </c>
      <c r="BL728" s="223">
        <v>-9999</v>
      </c>
      <c r="BM728" s="223">
        <v>-9999</v>
      </c>
      <c r="BN728" s="223">
        <v>-9999</v>
      </c>
      <c r="BO728" s="223">
        <v>-9999</v>
      </c>
      <c r="BP728" s="223">
        <v>-9999</v>
      </c>
      <c r="BQ728" s="223">
        <v>-9999</v>
      </c>
      <c r="BR728" s="223">
        <v>-9999</v>
      </c>
      <c r="BS728" s="242">
        <v>-9999</v>
      </c>
      <c r="BT728" s="223">
        <v>-9999</v>
      </c>
      <c r="BU728" s="223">
        <v>-9999</v>
      </c>
      <c r="BV728" s="223">
        <v>-9999</v>
      </c>
      <c r="BW728" s="223"/>
      <c r="BX728" s="223">
        <v>-9999</v>
      </c>
      <c r="BY728" s="223">
        <v>-9999</v>
      </c>
      <c r="BZ728" s="223">
        <v>-9999</v>
      </c>
      <c r="CA728" s="334" t="s">
        <v>797</v>
      </c>
      <c r="CB728" s="247"/>
      <c r="CC728" s="25">
        <v>1</v>
      </c>
      <c r="CD728" s="84">
        <v>7</v>
      </c>
      <c r="CE728" s="292"/>
      <c r="CF728" s="292"/>
      <c r="CG728" s="84"/>
    </row>
    <row r="729" spans="1:86" s="23" customFormat="1" x14ac:dyDescent="0.2">
      <c r="A729" s="25"/>
      <c r="B729" s="223" t="s">
        <v>806</v>
      </c>
      <c r="C729" s="223" t="s">
        <v>1711</v>
      </c>
      <c r="D729" s="240" t="s">
        <v>619</v>
      </c>
      <c r="E729" s="305" t="s">
        <v>1726</v>
      </c>
      <c r="F729" s="240">
        <v>1</v>
      </c>
      <c r="G729" s="242">
        <v>8</v>
      </c>
      <c r="H729" s="242">
        <v>9</v>
      </c>
      <c r="I729" s="223" t="s">
        <v>807</v>
      </c>
      <c r="J729" s="223">
        <v>1995</v>
      </c>
      <c r="K729" s="223" t="s">
        <v>1211</v>
      </c>
      <c r="L729" s="223">
        <v>2002</v>
      </c>
      <c r="M729" s="243">
        <v>-9999</v>
      </c>
      <c r="N729" s="223">
        <v>-9999</v>
      </c>
      <c r="O729" s="29"/>
      <c r="P729" s="285">
        <v>-9999</v>
      </c>
      <c r="Q729" s="223">
        <v>-9999</v>
      </c>
      <c r="R729" s="243"/>
      <c r="S729" s="223"/>
      <c r="T729" s="243">
        <v>-9999</v>
      </c>
      <c r="U729" s="223">
        <v>-9999</v>
      </c>
      <c r="V729" s="223"/>
      <c r="W729" s="243">
        <v>-9999</v>
      </c>
      <c r="X729" s="223">
        <v>-9999</v>
      </c>
      <c r="Y729" s="223"/>
      <c r="Z729" s="404" t="s">
        <v>1703</v>
      </c>
      <c r="AA729" s="564">
        <v>1075</v>
      </c>
      <c r="AB729" s="243">
        <v>1</v>
      </c>
      <c r="AC729" s="223">
        <v>-9999</v>
      </c>
      <c r="AD729" s="223">
        <v>18.600000000000001</v>
      </c>
      <c r="AE729" s="404" t="s">
        <v>1738</v>
      </c>
      <c r="AF729" s="223">
        <v>10</v>
      </c>
      <c r="AG729" s="404" t="s">
        <v>1740</v>
      </c>
      <c r="AH729" s="223" t="s">
        <v>1034</v>
      </c>
      <c r="AI729" s="404" t="s">
        <v>1739</v>
      </c>
      <c r="AJ729" s="223">
        <v>-9999</v>
      </c>
      <c r="AK729" s="223" t="s">
        <v>626</v>
      </c>
      <c r="AL729" s="223" t="s">
        <v>828</v>
      </c>
      <c r="AM729" s="223">
        <v>-9999</v>
      </c>
      <c r="AN729" s="223" t="s">
        <v>631</v>
      </c>
      <c r="AO729" s="223">
        <v>-9999</v>
      </c>
      <c r="AP729" s="223">
        <v>-9999</v>
      </c>
      <c r="AQ729" s="223" t="s">
        <v>631</v>
      </c>
      <c r="AR729" s="223">
        <v>0</v>
      </c>
      <c r="AS729" s="223">
        <v>-9999</v>
      </c>
      <c r="AT729" s="223">
        <v>-9999</v>
      </c>
      <c r="AU729" s="223">
        <v>0</v>
      </c>
      <c r="AV729" s="223">
        <v>-9999</v>
      </c>
      <c r="AW729" s="223">
        <v>-9999</v>
      </c>
      <c r="AX729" s="223">
        <v>0</v>
      </c>
      <c r="AY729" s="223">
        <v>-9999</v>
      </c>
      <c r="AZ729" s="223">
        <v>-9999</v>
      </c>
      <c r="BA729" s="223">
        <v>-9988</v>
      </c>
      <c r="BB729" s="223" t="s">
        <v>626</v>
      </c>
      <c r="BC729" s="223">
        <v>-9999</v>
      </c>
      <c r="BD729" s="223">
        <v>-9999</v>
      </c>
      <c r="BE729" s="223">
        <v>-9999</v>
      </c>
      <c r="BF729" s="223">
        <v>-9999</v>
      </c>
      <c r="BG729" s="223">
        <v>-9999</v>
      </c>
      <c r="BH729" s="223">
        <v>-9999</v>
      </c>
      <c r="BI729" s="223" t="s">
        <v>1035</v>
      </c>
      <c r="BJ729" s="223">
        <v>-9999</v>
      </c>
      <c r="BK729" s="223">
        <v>-9999</v>
      </c>
      <c r="BL729" s="223">
        <v>-9999</v>
      </c>
      <c r="BM729" s="223">
        <v>-9999</v>
      </c>
      <c r="BN729" s="223">
        <v>-9999</v>
      </c>
      <c r="BO729" s="223">
        <v>-9999</v>
      </c>
      <c r="BP729" s="223">
        <v>-9999</v>
      </c>
      <c r="BQ729" s="223">
        <v>-9999</v>
      </c>
      <c r="BR729" s="223">
        <v>-9999</v>
      </c>
      <c r="BS729" s="242">
        <v>-9999</v>
      </c>
      <c r="BT729" s="223">
        <v>-9999</v>
      </c>
      <c r="BU729" s="223">
        <v>-9999</v>
      </c>
      <c r="BV729" s="223">
        <v>-9999</v>
      </c>
      <c r="BW729" s="223"/>
      <c r="BX729" s="223">
        <v>-9999</v>
      </c>
      <c r="BY729" s="223">
        <v>-9999</v>
      </c>
      <c r="BZ729" s="223">
        <v>-9999</v>
      </c>
      <c r="CA729" s="334" t="s">
        <v>797</v>
      </c>
      <c r="CB729" s="247"/>
      <c r="CC729" s="25">
        <v>1</v>
      </c>
      <c r="CD729" s="84">
        <v>8</v>
      </c>
      <c r="CE729" s="292"/>
      <c r="CF729" s="292"/>
      <c r="CG729" s="84"/>
    </row>
    <row r="730" spans="1:86" s="23" customFormat="1" x14ac:dyDescent="0.2">
      <c r="A730" s="25"/>
      <c r="B730" s="223" t="s">
        <v>806</v>
      </c>
      <c r="C730" s="223" t="s">
        <v>1711</v>
      </c>
      <c r="D730" s="240" t="s">
        <v>619</v>
      </c>
      <c r="E730" s="305" t="s">
        <v>1726</v>
      </c>
      <c r="F730" s="240">
        <v>1</v>
      </c>
      <c r="G730" s="242">
        <v>9</v>
      </c>
      <c r="H730" s="242">
        <v>10</v>
      </c>
      <c r="I730" s="223" t="s">
        <v>807</v>
      </c>
      <c r="J730" s="223">
        <v>1995</v>
      </c>
      <c r="K730" s="223" t="s">
        <v>1211</v>
      </c>
      <c r="L730" s="223">
        <v>2003</v>
      </c>
      <c r="M730" s="243">
        <v>-9999</v>
      </c>
      <c r="N730" s="223">
        <v>-9999</v>
      </c>
      <c r="O730" s="29"/>
      <c r="P730" s="285">
        <v>-9999</v>
      </c>
      <c r="Q730" s="223">
        <v>-9999</v>
      </c>
      <c r="R730" s="243"/>
      <c r="S730" s="223"/>
      <c r="T730" s="243">
        <v>-9999</v>
      </c>
      <c r="U730" s="223">
        <v>-9999</v>
      </c>
      <c r="V730" s="223"/>
      <c r="W730" s="243">
        <v>-9999</v>
      </c>
      <c r="X730" s="223">
        <v>-9999</v>
      </c>
      <c r="Y730" s="223"/>
      <c r="Z730" s="404" t="s">
        <v>1703</v>
      </c>
      <c r="AA730" s="564">
        <v>1075</v>
      </c>
      <c r="AB730" s="243">
        <v>1</v>
      </c>
      <c r="AC730" s="223">
        <v>-9999</v>
      </c>
      <c r="AD730" s="223">
        <v>18.600000000000001</v>
      </c>
      <c r="AE730" s="404" t="s">
        <v>1738</v>
      </c>
      <c r="AF730" s="223">
        <v>10</v>
      </c>
      <c r="AG730" s="404" t="s">
        <v>1740</v>
      </c>
      <c r="AH730" s="223" t="s">
        <v>1034</v>
      </c>
      <c r="AI730" s="404" t="s">
        <v>1739</v>
      </c>
      <c r="AJ730" s="223">
        <v>-9999</v>
      </c>
      <c r="AK730" s="223" t="s">
        <v>626</v>
      </c>
      <c r="AL730" s="223" t="s">
        <v>828</v>
      </c>
      <c r="AM730" s="223">
        <v>-9999</v>
      </c>
      <c r="AN730" s="223" t="s">
        <v>631</v>
      </c>
      <c r="AO730" s="223">
        <v>-9999</v>
      </c>
      <c r="AP730" s="223">
        <v>-9999</v>
      </c>
      <c r="AQ730" s="223" t="s">
        <v>631</v>
      </c>
      <c r="AR730" s="223">
        <v>0</v>
      </c>
      <c r="AS730" s="223">
        <v>-9999</v>
      </c>
      <c r="AT730" s="223">
        <v>-9999</v>
      </c>
      <c r="AU730" s="223">
        <v>0</v>
      </c>
      <c r="AV730" s="223">
        <v>-9999</v>
      </c>
      <c r="AW730" s="223">
        <v>-9999</v>
      </c>
      <c r="AX730" s="223">
        <v>0</v>
      </c>
      <c r="AY730" s="223">
        <v>-9999</v>
      </c>
      <c r="AZ730" s="223">
        <v>-9999</v>
      </c>
      <c r="BA730" s="223">
        <v>-9988</v>
      </c>
      <c r="BB730" s="223" t="s">
        <v>626</v>
      </c>
      <c r="BC730" s="223">
        <v>-9999</v>
      </c>
      <c r="BD730" s="223">
        <v>-9999</v>
      </c>
      <c r="BE730" s="223">
        <v>-9999</v>
      </c>
      <c r="BF730" s="223">
        <v>-9999</v>
      </c>
      <c r="BG730" s="223">
        <v>-9999</v>
      </c>
      <c r="BH730" s="223">
        <v>-9999</v>
      </c>
      <c r="BI730" s="223" t="s">
        <v>1035</v>
      </c>
      <c r="BJ730" s="223">
        <v>-9999</v>
      </c>
      <c r="BK730" s="223">
        <v>-9999</v>
      </c>
      <c r="BL730" s="223">
        <v>-9999</v>
      </c>
      <c r="BM730" s="223">
        <v>-9999</v>
      </c>
      <c r="BN730" s="223">
        <v>-9999</v>
      </c>
      <c r="BO730" s="223">
        <v>-9999</v>
      </c>
      <c r="BP730" s="223">
        <v>-9999</v>
      </c>
      <c r="BQ730" s="223">
        <v>-9999</v>
      </c>
      <c r="BR730" s="223">
        <v>-9999</v>
      </c>
      <c r="BS730" s="242">
        <v>-9999</v>
      </c>
      <c r="BT730" s="223">
        <v>-9999</v>
      </c>
      <c r="BU730" s="223">
        <v>-9999</v>
      </c>
      <c r="BV730" s="223">
        <v>-9999</v>
      </c>
      <c r="BW730" s="223"/>
      <c r="BX730" s="223">
        <v>-9999</v>
      </c>
      <c r="BY730" s="223">
        <v>-9999</v>
      </c>
      <c r="BZ730" s="223">
        <v>-9999</v>
      </c>
      <c r="CA730" s="334" t="s">
        <v>797</v>
      </c>
      <c r="CB730" s="247"/>
      <c r="CC730" s="25">
        <v>1</v>
      </c>
      <c r="CD730" s="84">
        <v>9</v>
      </c>
      <c r="CE730" s="292"/>
      <c r="CF730" s="292"/>
      <c r="CG730" s="84"/>
    </row>
    <row r="731" spans="1:86" s="13" customFormat="1" x14ac:dyDescent="0.2">
      <c r="A731" s="283" t="s">
        <v>1389</v>
      </c>
      <c r="B731" s="249" t="s">
        <v>806</v>
      </c>
      <c r="C731" s="249" t="s">
        <v>1711</v>
      </c>
      <c r="D731" s="283" t="s">
        <v>619</v>
      </c>
      <c r="E731" s="306" t="s">
        <v>1726</v>
      </c>
      <c r="F731" s="283">
        <v>1</v>
      </c>
      <c r="G731" s="251">
        <v>10</v>
      </c>
      <c r="H731" s="251">
        <v>11</v>
      </c>
      <c r="I731" s="249" t="s">
        <v>807</v>
      </c>
      <c r="J731" s="249">
        <v>1995</v>
      </c>
      <c r="K731" s="249" t="s">
        <v>1211</v>
      </c>
      <c r="L731" s="249">
        <v>2004</v>
      </c>
      <c r="M731" s="253">
        <v>-9999</v>
      </c>
      <c r="N731" s="249">
        <v>-9999</v>
      </c>
      <c r="O731" s="18"/>
      <c r="P731" s="284">
        <f>+T731*G731</f>
        <v>97.699999999999989</v>
      </c>
      <c r="Q731" s="249">
        <v>-9999</v>
      </c>
      <c r="R731" s="253"/>
      <c r="S731" s="249"/>
      <c r="T731" s="426">
        <v>9.77</v>
      </c>
      <c r="U731" s="249">
        <v>0.57999999999999996</v>
      </c>
      <c r="V731" s="249"/>
      <c r="W731" s="253">
        <v>-9999</v>
      </c>
      <c r="X731" s="249">
        <v>-9999</v>
      </c>
      <c r="Y731" s="249"/>
      <c r="Z731" s="249" t="s">
        <v>808</v>
      </c>
      <c r="AA731" s="384">
        <v>1075</v>
      </c>
      <c r="AB731" s="253">
        <v>1</v>
      </c>
      <c r="AC731" s="249">
        <v>-9999</v>
      </c>
      <c r="AD731" s="249">
        <v>18.600000000000001</v>
      </c>
      <c r="AE731" s="249" t="s">
        <v>1738</v>
      </c>
      <c r="AF731" s="249">
        <v>10</v>
      </c>
      <c r="AG731" s="249" t="s">
        <v>1740</v>
      </c>
      <c r="AH731" s="249" t="s">
        <v>1034</v>
      </c>
      <c r="AI731" s="249" t="s">
        <v>1739</v>
      </c>
      <c r="AJ731" s="249">
        <v>-9999</v>
      </c>
      <c r="AK731" s="249" t="s">
        <v>626</v>
      </c>
      <c r="AL731" s="249" t="s">
        <v>828</v>
      </c>
      <c r="AM731" s="249">
        <v>-9999</v>
      </c>
      <c r="AN731" s="249" t="s">
        <v>631</v>
      </c>
      <c r="AO731" s="249">
        <v>-9999</v>
      </c>
      <c r="AP731" s="249">
        <v>-9999</v>
      </c>
      <c r="AQ731" s="249" t="s">
        <v>631</v>
      </c>
      <c r="AR731" s="249">
        <v>0</v>
      </c>
      <c r="AS731" s="249">
        <v>-9999</v>
      </c>
      <c r="AT731" s="249">
        <v>-9999</v>
      </c>
      <c r="AU731" s="249">
        <v>0</v>
      </c>
      <c r="AV731" s="249">
        <v>-9999</v>
      </c>
      <c r="AW731" s="249">
        <v>-9999</v>
      </c>
      <c r="AX731" s="249">
        <v>0</v>
      </c>
      <c r="AY731" s="249">
        <v>-9999</v>
      </c>
      <c r="AZ731" s="249">
        <v>-9999</v>
      </c>
      <c r="BA731" s="249">
        <v>-9988</v>
      </c>
      <c r="BB731" s="249" t="s">
        <v>626</v>
      </c>
      <c r="BC731" s="249">
        <v>-9999</v>
      </c>
      <c r="BD731" s="249">
        <v>-9999</v>
      </c>
      <c r="BE731" s="249">
        <v>-9999</v>
      </c>
      <c r="BF731" s="249">
        <v>-9999</v>
      </c>
      <c r="BG731" s="249">
        <v>-9999</v>
      </c>
      <c r="BH731" s="249">
        <v>-9999</v>
      </c>
      <c r="BI731" s="249" t="s">
        <v>1035</v>
      </c>
      <c r="BJ731" s="249">
        <v>-9999</v>
      </c>
      <c r="BK731" s="249">
        <v>-9999</v>
      </c>
      <c r="BL731" s="249">
        <v>-9999</v>
      </c>
      <c r="BM731" s="249">
        <v>-9999</v>
      </c>
      <c r="BN731" s="249">
        <v>-9999</v>
      </c>
      <c r="BO731" s="249">
        <v>-9999</v>
      </c>
      <c r="BP731" s="249">
        <v>-9999</v>
      </c>
      <c r="BQ731" s="249">
        <v>-9999</v>
      </c>
      <c r="BR731" s="249">
        <v>-9999</v>
      </c>
      <c r="BS731" s="251">
        <v>-9999</v>
      </c>
      <c r="BT731" s="249">
        <v>-9999</v>
      </c>
      <c r="BU731" s="249">
        <v>-9999</v>
      </c>
      <c r="BV731" s="249">
        <v>-9999</v>
      </c>
      <c r="BW731" s="249"/>
      <c r="BX731" s="249">
        <v>-9999</v>
      </c>
      <c r="BY731" s="249">
        <v>-9999</v>
      </c>
      <c r="BZ731" s="249">
        <v>-9999</v>
      </c>
      <c r="CA731" s="335" t="s">
        <v>797</v>
      </c>
      <c r="CB731" s="254" t="s">
        <v>1435</v>
      </c>
      <c r="CC731" s="302">
        <v>1</v>
      </c>
      <c r="CD731" s="251">
        <v>10</v>
      </c>
      <c r="CE731" s="393">
        <v>9.77</v>
      </c>
      <c r="CF731" s="99"/>
      <c r="CG731" s="303">
        <v>11</v>
      </c>
      <c r="CH731" s="436"/>
    </row>
    <row r="732" spans="1:86" s="13" customFormat="1" x14ac:dyDescent="0.2">
      <c r="A732" s="302"/>
      <c r="B732" s="249"/>
      <c r="C732" s="249"/>
      <c r="D732" s="283"/>
      <c r="E732" s="306"/>
      <c r="F732" s="283"/>
      <c r="G732" s="251"/>
      <c r="H732" s="251"/>
      <c r="I732" s="249"/>
      <c r="J732" s="249"/>
      <c r="K732" s="249"/>
      <c r="L732" s="249"/>
      <c r="M732" s="253"/>
      <c r="N732" s="249"/>
      <c r="O732" s="18"/>
      <c r="P732" s="284"/>
      <c r="Q732" s="249"/>
      <c r="R732" s="253"/>
      <c r="S732" s="249"/>
      <c r="T732" s="426"/>
      <c r="U732" s="249"/>
      <c r="V732" s="249"/>
      <c r="W732" s="253"/>
      <c r="X732" s="249"/>
      <c r="Y732" s="249"/>
      <c r="Z732" s="249"/>
      <c r="AA732" s="384"/>
      <c r="AB732" s="253"/>
      <c r="AC732" s="249"/>
      <c r="AD732" s="249"/>
      <c r="AE732" s="249"/>
      <c r="AF732" s="249"/>
      <c r="AG732" s="249"/>
      <c r="AH732" s="249"/>
      <c r="AI732" s="249"/>
      <c r="AJ732" s="249"/>
      <c r="AK732" s="249"/>
      <c r="AL732" s="249"/>
      <c r="AM732" s="249"/>
      <c r="AN732" s="249"/>
      <c r="AO732" s="249"/>
      <c r="AP732" s="249"/>
      <c r="AQ732" s="249"/>
      <c r="AR732" s="249"/>
      <c r="AS732" s="249"/>
      <c r="AT732" s="249"/>
      <c r="AU732" s="249"/>
      <c r="AV732" s="249"/>
      <c r="AW732" s="249"/>
      <c r="AX732" s="249"/>
      <c r="AY732" s="249"/>
      <c r="AZ732" s="249"/>
      <c r="BA732" s="249"/>
      <c r="BB732" s="249"/>
      <c r="BC732" s="249"/>
      <c r="BD732" s="249"/>
      <c r="BE732" s="249"/>
      <c r="BF732" s="249"/>
      <c r="BG732" s="249"/>
      <c r="BH732" s="249"/>
      <c r="BI732" s="249"/>
      <c r="BJ732" s="249"/>
      <c r="BK732" s="249"/>
      <c r="BL732" s="249"/>
      <c r="BM732" s="249"/>
      <c r="BN732" s="249"/>
      <c r="BO732" s="249"/>
      <c r="BP732" s="249"/>
      <c r="BQ732" s="249"/>
      <c r="BR732" s="249"/>
      <c r="BS732" s="251"/>
      <c r="BT732" s="249"/>
      <c r="BU732" s="249"/>
      <c r="BV732" s="249"/>
      <c r="BW732" s="249"/>
      <c r="BX732" s="249"/>
      <c r="BY732" s="249"/>
      <c r="BZ732" s="249"/>
      <c r="CA732" s="335"/>
      <c r="CB732" s="254"/>
      <c r="CC732" s="302"/>
      <c r="CD732" s="303"/>
      <c r="CE732" s="99"/>
      <c r="CF732" s="99"/>
      <c r="CG732" s="303"/>
    </row>
    <row r="733" spans="1:86" s="13" customFormat="1" x14ac:dyDescent="0.2">
      <c r="A733" s="283" t="s">
        <v>1389</v>
      </c>
      <c r="B733" s="249" t="s">
        <v>806</v>
      </c>
      <c r="C733" s="249" t="s">
        <v>1753</v>
      </c>
      <c r="D733" s="283" t="s">
        <v>619</v>
      </c>
      <c r="E733" s="283" t="s">
        <v>1456</v>
      </c>
      <c r="F733" s="283">
        <v>1</v>
      </c>
      <c r="G733" s="283">
        <v>10</v>
      </c>
      <c r="H733" s="251">
        <v>11</v>
      </c>
      <c r="I733" s="249" t="s">
        <v>807</v>
      </c>
      <c r="J733" s="249">
        <v>1995</v>
      </c>
      <c r="K733" s="249" t="s">
        <v>1211</v>
      </c>
      <c r="L733" s="249">
        <v>2004</v>
      </c>
      <c r="M733" s="253">
        <v>-9999</v>
      </c>
      <c r="N733" s="249">
        <v>-9999</v>
      </c>
      <c r="O733" s="18"/>
      <c r="P733" s="284">
        <f>+T733*G733</f>
        <v>99.420000000000016</v>
      </c>
      <c r="Q733" s="249">
        <v>-9999</v>
      </c>
      <c r="R733" s="253"/>
      <c r="S733" s="249"/>
      <c r="T733" s="426">
        <f>(10.4+9.77+11.3+8.94+9.3)/5</f>
        <v>9.9420000000000019</v>
      </c>
      <c r="U733" s="249">
        <f>+(0.62+0.62+0.58+0.7+0.58)/5</f>
        <v>0.61999999999999988</v>
      </c>
      <c r="V733" s="249"/>
      <c r="W733" s="253">
        <v>-9999</v>
      </c>
      <c r="X733" s="249">
        <v>-9999</v>
      </c>
      <c r="Y733" s="249"/>
      <c r="Z733" s="249" t="s">
        <v>808</v>
      </c>
      <c r="AA733" s="384">
        <v>1075</v>
      </c>
      <c r="AB733" s="253">
        <v>1</v>
      </c>
      <c r="AC733" s="249">
        <v>-9999</v>
      </c>
      <c r="AD733" s="249">
        <v>18.600000000000001</v>
      </c>
      <c r="AE733" s="249" t="s">
        <v>1738</v>
      </c>
      <c r="AF733" s="249">
        <v>10</v>
      </c>
      <c r="AG733" s="249" t="s">
        <v>1740</v>
      </c>
      <c r="AH733" s="249" t="s">
        <v>1034</v>
      </c>
      <c r="AI733" s="249" t="s">
        <v>1739</v>
      </c>
      <c r="AJ733" s="249">
        <v>-9999</v>
      </c>
      <c r="AK733" s="249" t="s">
        <v>626</v>
      </c>
      <c r="AL733" s="249" t="s">
        <v>828</v>
      </c>
      <c r="AM733" s="249">
        <v>-9999</v>
      </c>
      <c r="AN733" s="249" t="s">
        <v>631</v>
      </c>
      <c r="AO733" s="249">
        <v>-9999</v>
      </c>
      <c r="AP733" s="249">
        <v>-9999</v>
      </c>
      <c r="AQ733" s="249" t="s">
        <v>631</v>
      </c>
      <c r="AR733" s="249">
        <v>0</v>
      </c>
      <c r="AS733" s="249">
        <v>-9999</v>
      </c>
      <c r="AT733" s="249">
        <v>-9999</v>
      </c>
      <c r="AU733" s="249">
        <v>0</v>
      </c>
      <c r="AV733" s="249">
        <v>-9999</v>
      </c>
      <c r="AW733" s="249">
        <v>-9999</v>
      </c>
      <c r="AX733" s="249">
        <v>0</v>
      </c>
      <c r="AY733" s="249">
        <v>-9999</v>
      </c>
      <c r="AZ733" s="249">
        <v>-9999</v>
      </c>
      <c r="BA733" s="249">
        <v>-9988</v>
      </c>
      <c r="BB733" s="249" t="s">
        <v>626</v>
      </c>
      <c r="BC733" s="249">
        <v>-9999</v>
      </c>
      <c r="BD733" s="249">
        <v>-9999</v>
      </c>
      <c r="BE733" s="249">
        <v>-9999</v>
      </c>
      <c r="BF733" s="249">
        <v>-9999</v>
      </c>
      <c r="BG733" s="249">
        <v>-9999</v>
      </c>
      <c r="BH733" s="249">
        <v>-9999</v>
      </c>
      <c r="BI733" s="249" t="s">
        <v>1035</v>
      </c>
      <c r="BJ733" s="249">
        <v>-9999</v>
      </c>
      <c r="BK733" s="249">
        <v>-9999</v>
      </c>
      <c r="BL733" s="249">
        <v>-9999</v>
      </c>
      <c r="BM733" s="249">
        <v>-9999</v>
      </c>
      <c r="BN733" s="249">
        <v>-9999</v>
      </c>
      <c r="BO733" s="249">
        <v>-9999</v>
      </c>
      <c r="BP733" s="249">
        <v>-9999</v>
      </c>
      <c r="BQ733" s="249">
        <v>-9999</v>
      </c>
      <c r="BR733" s="249">
        <v>-9999</v>
      </c>
      <c r="BS733" s="251">
        <v>-9999</v>
      </c>
      <c r="BT733" s="249">
        <v>-9999</v>
      </c>
      <c r="BU733" s="249">
        <v>-9999</v>
      </c>
      <c r="BV733" s="249">
        <v>-9999</v>
      </c>
      <c r="BW733" s="249"/>
      <c r="BX733" s="249">
        <v>-9999</v>
      </c>
      <c r="BY733" s="249">
        <v>-9999</v>
      </c>
      <c r="BZ733" s="249">
        <v>-9999</v>
      </c>
      <c r="CA733" s="335" t="s">
        <v>797</v>
      </c>
      <c r="CB733" s="254"/>
      <c r="CC733" s="283">
        <v>1</v>
      </c>
      <c r="CD733" s="283">
        <v>10</v>
      </c>
      <c r="CE733" s="99">
        <v>9.9420000000000019</v>
      </c>
      <c r="CF733" s="99">
        <v>-9999</v>
      </c>
      <c r="CG733" s="251">
        <v>11</v>
      </c>
    </row>
    <row r="734" spans="1:86" s="13" customFormat="1" x14ac:dyDescent="0.2">
      <c r="A734" s="283" t="s">
        <v>1389</v>
      </c>
      <c r="B734" s="249" t="s">
        <v>806</v>
      </c>
      <c r="C734" s="249" t="s">
        <v>1729</v>
      </c>
      <c r="D734" s="283" t="s">
        <v>619</v>
      </c>
      <c r="E734" s="283" t="s">
        <v>1390</v>
      </c>
      <c r="F734" s="283">
        <v>1</v>
      </c>
      <c r="G734" s="283">
        <v>10</v>
      </c>
      <c r="H734" s="251">
        <v>11</v>
      </c>
      <c r="I734" s="249" t="s">
        <v>807</v>
      </c>
      <c r="J734" s="249">
        <v>1995</v>
      </c>
      <c r="K734" s="249" t="s">
        <v>1211</v>
      </c>
      <c r="L734" s="249">
        <v>2004</v>
      </c>
      <c r="M734" s="253">
        <v>-9999</v>
      </c>
      <c r="N734" s="249">
        <v>-9999</v>
      </c>
      <c r="O734" s="18"/>
      <c r="P734" s="284">
        <f>+T734*G734</f>
        <v>113</v>
      </c>
      <c r="Q734" s="249">
        <v>-9999</v>
      </c>
      <c r="R734" s="253"/>
      <c r="S734" s="249"/>
      <c r="T734" s="426">
        <v>11.3</v>
      </c>
      <c r="U734" s="249">
        <v>0.57999999999999996</v>
      </c>
      <c r="V734" s="249"/>
      <c r="W734" s="253">
        <v>-9999</v>
      </c>
      <c r="X734" s="249">
        <v>-9999</v>
      </c>
      <c r="Y734" s="249"/>
      <c r="Z734" s="249" t="s">
        <v>808</v>
      </c>
      <c r="AA734" s="251">
        <v>1075</v>
      </c>
      <c r="AB734" s="253">
        <v>1</v>
      </c>
      <c r="AC734" s="249">
        <v>-9999</v>
      </c>
      <c r="AD734" s="249">
        <v>18.600000000000001</v>
      </c>
      <c r="AE734" s="249" t="s">
        <v>1738</v>
      </c>
      <c r="AF734" s="249">
        <v>10</v>
      </c>
      <c r="AG734" s="249" t="s">
        <v>1740</v>
      </c>
      <c r="AH734" s="249" t="s">
        <v>1034</v>
      </c>
      <c r="AI734" s="249" t="s">
        <v>1739</v>
      </c>
      <c r="AJ734" s="249">
        <v>-9999</v>
      </c>
      <c r="AK734" s="249" t="s">
        <v>626</v>
      </c>
      <c r="AL734" s="249" t="s">
        <v>828</v>
      </c>
      <c r="AM734" s="249">
        <v>-9999</v>
      </c>
      <c r="AN734" s="249" t="s">
        <v>631</v>
      </c>
      <c r="AO734" s="249">
        <v>-9999</v>
      </c>
      <c r="AP734" s="249">
        <v>-9999</v>
      </c>
      <c r="AQ734" s="249" t="s">
        <v>631</v>
      </c>
      <c r="AR734" s="249">
        <v>0</v>
      </c>
      <c r="AS734" s="249">
        <v>-9999</v>
      </c>
      <c r="AT734" s="249">
        <v>-9999</v>
      </c>
      <c r="AU734" s="249">
        <v>0</v>
      </c>
      <c r="AV734" s="249">
        <v>-9999</v>
      </c>
      <c r="AW734" s="249">
        <v>-9999</v>
      </c>
      <c r="AX734" s="249">
        <v>0</v>
      </c>
      <c r="AY734" s="249">
        <v>-9999</v>
      </c>
      <c r="AZ734" s="249">
        <v>-9999</v>
      </c>
      <c r="BA734" s="249">
        <v>-9988</v>
      </c>
      <c r="BB734" s="249" t="s">
        <v>626</v>
      </c>
      <c r="BC734" s="249">
        <v>-9999</v>
      </c>
      <c r="BD734" s="249">
        <v>-9999</v>
      </c>
      <c r="BE734" s="249">
        <v>-9999</v>
      </c>
      <c r="BF734" s="249">
        <v>-9999</v>
      </c>
      <c r="BG734" s="249">
        <v>-9999</v>
      </c>
      <c r="BH734" s="249">
        <v>-9999</v>
      </c>
      <c r="BI734" s="249" t="s">
        <v>1035</v>
      </c>
      <c r="BJ734" s="249">
        <v>-9999</v>
      </c>
      <c r="BK734" s="249">
        <v>-9999</v>
      </c>
      <c r="BL734" s="249">
        <v>-9999</v>
      </c>
      <c r="BM734" s="249">
        <v>-9999</v>
      </c>
      <c r="BN734" s="249">
        <v>-9999</v>
      </c>
      <c r="BO734" s="249">
        <v>-9999</v>
      </c>
      <c r="BP734" s="249">
        <v>-9999</v>
      </c>
      <c r="BQ734" s="249">
        <v>-9999</v>
      </c>
      <c r="BR734" s="249">
        <v>-9999</v>
      </c>
      <c r="BS734" s="251">
        <v>-9999</v>
      </c>
      <c r="BT734" s="249">
        <v>-9999</v>
      </c>
      <c r="BU734" s="249">
        <v>-9999</v>
      </c>
      <c r="BV734" s="249">
        <v>-9999</v>
      </c>
      <c r="BW734" s="249"/>
      <c r="BX734" s="249">
        <v>-9999</v>
      </c>
      <c r="BY734" s="249">
        <v>-9999</v>
      </c>
      <c r="BZ734" s="249">
        <v>-9999</v>
      </c>
      <c r="CA734" s="335" t="s">
        <v>797</v>
      </c>
      <c r="CB734" s="254"/>
      <c r="CC734" s="283">
        <v>1</v>
      </c>
      <c r="CD734" s="283">
        <v>10</v>
      </c>
      <c r="CE734" s="99">
        <v>11.3</v>
      </c>
      <c r="CF734" s="99">
        <v>-9999</v>
      </c>
      <c r="CG734" s="251">
        <v>11</v>
      </c>
    </row>
    <row r="735" spans="1:86" s="23" customFormat="1" x14ac:dyDescent="0.2">
      <c r="A735" s="403" t="s">
        <v>1389</v>
      </c>
      <c r="B735" s="223" t="s">
        <v>806</v>
      </c>
      <c r="C735" s="404" t="s">
        <v>1730</v>
      </c>
      <c r="D735" s="240" t="s">
        <v>619</v>
      </c>
      <c r="E735" s="403" t="s">
        <v>1728</v>
      </c>
      <c r="F735" s="240">
        <v>1</v>
      </c>
      <c r="G735" s="240">
        <v>10</v>
      </c>
      <c r="H735" s="242">
        <v>11</v>
      </c>
      <c r="I735" s="223" t="s">
        <v>807</v>
      </c>
      <c r="J735" s="223">
        <v>1995</v>
      </c>
      <c r="K735" s="223" t="s">
        <v>1211</v>
      </c>
      <c r="L735" s="223">
        <v>2004</v>
      </c>
      <c r="M735" s="243">
        <v>-9999</v>
      </c>
      <c r="N735" s="223">
        <v>-9999</v>
      </c>
      <c r="O735" s="29"/>
      <c r="P735" s="244">
        <f>+T735*G735</f>
        <v>70.8</v>
      </c>
      <c r="Q735" s="223">
        <v>-9999</v>
      </c>
      <c r="R735" s="243"/>
      <c r="S735" s="223"/>
      <c r="T735" s="421">
        <v>7.08</v>
      </c>
      <c r="U735" s="223">
        <v>0.42</v>
      </c>
      <c r="V735" s="223"/>
      <c r="W735" s="243">
        <v>-9999</v>
      </c>
      <c r="X735" s="223">
        <v>-9999</v>
      </c>
      <c r="Y735" s="223"/>
      <c r="Z735" s="223" t="s">
        <v>808</v>
      </c>
      <c r="AA735" s="242">
        <v>1075</v>
      </c>
      <c r="AB735" s="243">
        <v>1</v>
      </c>
      <c r="AC735" s="223">
        <v>-9999</v>
      </c>
      <c r="AD735" s="223">
        <v>18.600000000000001</v>
      </c>
      <c r="AE735" s="223">
        <v>2</v>
      </c>
      <c r="AF735" s="223">
        <v>10</v>
      </c>
      <c r="AG735" s="404" t="s">
        <v>1740</v>
      </c>
      <c r="AH735" s="223" t="s">
        <v>1034</v>
      </c>
      <c r="AI735" s="404" t="s">
        <v>1739</v>
      </c>
      <c r="AJ735" s="223">
        <v>-9999</v>
      </c>
      <c r="AK735" s="223" t="s">
        <v>626</v>
      </c>
      <c r="AL735" s="223" t="s">
        <v>828</v>
      </c>
      <c r="AM735" s="223">
        <v>-9999</v>
      </c>
      <c r="AN735" s="223" t="s">
        <v>631</v>
      </c>
      <c r="AO735" s="223">
        <v>-9999</v>
      </c>
      <c r="AP735" s="223">
        <v>-9999</v>
      </c>
      <c r="AQ735" s="223" t="s">
        <v>631</v>
      </c>
      <c r="AR735" s="223">
        <v>0</v>
      </c>
      <c r="AS735" s="223">
        <v>-9999</v>
      </c>
      <c r="AT735" s="223">
        <v>-9999</v>
      </c>
      <c r="AU735" s="223">
        <v>0</v>
      </c>
      <c r="AV735" s="223">
        <v>-9999</v>
      </c>
      <c r="AW735" s="223">
        <v>-9999</v>
      </c>
      <c r="AX735" s="223">
        <v>0</v>
      </c>
      <c r="AY735" s="223">
        <v>-9999</v>
      </c>
      <c r="AZ735" s="223">
        <v>-9999</v>
      </c>
      <c r="BA735" s="223">
        <v>-9988</v>
      </c>
      <c r="BB735" s="223" t="s">
        <v>626</v>
      </c>
      <c r="BC735" s="223">
        <v>-9999</v>
      </c>
      <c r="BD735" s="223">
        <v>-9999</v>
      </c>
      <c r="BE735" s="223">
        <v>-9999</v>
      </c>
      <c r="BF735" s="223">
        <v>-9999</v>
      </c>
      <c r="BG735" s="223">
        <v>-9999</v>
      </c>
      <c r="BH735" s="223">
        <v>-9999</v>
      </c>
      <c r="BI735" s="223" t="s">
        <v>1035</v>
      </c>
      <c r="BJ735" s="223">
        <v>-9999</v>
      </c>
      <c r="BK735" s="223">
        <v>-9999</v>
      </c>
      <c r="BL735" s="223">
        <v>-9999</v>
      </c>
      <c r="BM735" s="223">
        <v>-9999</v>
      </c>
      <c r="BN735" s="223">
        <v>-9999</v>
      </c>
      <c r="BO735" s="223">
        <v>-9999</v>
      </c>
      <c r="BP735" s="223">
        <v>-9999</v>
      </c>
      <c r="BQ735" s="223">
        <v>-9999</v>
      </c>
      <c r="BR735" s="223">
        <v>-9999</v>
      </c>
      <c r="BS735" s="242">
        <v>-9999</v>
      </c>
      <c r="BT735" s="223">
        <v>-9999</v>
      </c>
      <c r="BU735" s="223">
        <v>-9999</v>
      </c>
      <c r="BV735" s="223">
        <v>-9999</v>
      </c>
      <c r="BW735" s="223"/>
      <c r="BX735" s="223">
        <v>-9999</v>
      </c>
      <c r="BY735" s="223">
        <v>-9999</v>
      </c>
      <c r="BZ735" s="223">
        <v>-9999</v>
      </c>
      <c r="CA735" s="334" t="s">
        <v>797</v>
      </c>
      <c r="CB735" s="247"/>
      <c r="CC735" s="240">
        <v>1</v>
      </c>
      <c r="CD735" s="240">
        <v>10</v>
      </c>
      <c r="CE735" s="292">
        <v>7.08</v>
      </c>
      <c r="CF735" s="292">
        <v>-9999</v>
      </c>
      <c r="CG735" s="242">
        <v>11</v>
      </c>
    </row>
    <row r="736" spans="1:86" s="23" customFormat="1" x14ac:dyDescent="0.2">
      <c r="A736" s="1"/>
      <c r="B736" s="29"/>
      <c r="C736" s="29"/>
      <c r="D736" s="1"/>
      <c r="E736" s="220"/>
      <c r="F736" s="1"/>
      <c r="G736" s="30"/>
      <c r="H736" s="30"/>
      <c r="I736" s="29"/>
      <c r="J736" s="29"/>
      <c r="K736" s="29"/>
      <c r="L736" s="29"/>
      <c r="M736" s="31"/>
      <c r="N736" s="29"/>
      <c r="O736" s="29"/>
      <c r="P736" s="70"/>
      <c r="Q736" s="29"/>
      <c r="R736" s="31"/>
      <c r="S736" s="29"/>
      <c r="T736" s="734"/>
      <c r="U736" s="29"/>
      <c r="V736" s="29"/>
      <c r="W736" s="31"/>
      <c r="X736" s="29"/>
      <c r="Y736" s="29"/>
      <c r="Z736" s="29"/>
      <c r="AA736" s="30"/>
      <c r="AB736" s="31"/>
      <c r="AC736" s="29"/>
      <c r="AD736" s="29"/>
      <c r="AE736" s="29"/>
      <c r="AF736" s="29"/>
      <c r="AG736" s="29"/>
      <c r="AH736" s="29"/>
      <c r="AI736" s="323"/>
      <c r="AJ736" s="29"/>
      <c r="AK736" s="29"/>
      <c r="AL736" s="29"/>
      <c r="AM736" s="29"/>
      <c r="AN736" s="29"/>
      <c r="AO736" s="29"/>
      <c r="AP736" s="29"/>
      <c r="AQ736" s="29"/>
      <c r="AR736" s="29"/>
      <c r="AS736" s="29"/>
      <c r="AT736" s="29"/>
      <c r="AU736" s="29"/>
      <c r="AV736" s="29"/>
      <c r="AW736" s="29"/>
      <c r="AX736" s="29"/>
      <c r="AY736" s="29"/>
      <c r="AZ736" s="29"/>
      <c r="BA736" s="29"/>
      <c r="BB736" s="29"/>
      <c r="BC736" s="29"/>
      <c r="BD736" s="29"/>
      <c r="BE736" s="29"/>
      <c r="BF736" s="29"/>
      <c r="BG736" s="29"/>
      <c r="BH736" s="29"/>
      <c r="BI736" s="29"/>
      <c r="BJ736" s="29"/>
      <c r="BK736" s="29"/>
      <c r="BL736" s="29"/>
      <c r="BM736" s="29"/>
      <c r="BN736" s="31"/>
      <c r="BO736" s="29"/>
      <c r="BP736" s="29"/>
      <c r="BQ736" s="29"/>
      <c r="BR736" s="29"/>
      <c r="BS736" s="30"/>
      <c r="BT736" s="29"/>
      <c r="BU736" s="29"/>
      <c r="BV736" s="29"/>
      <c r="BW736" s="29"/>
      <c r="BX736" s="29"/>
      <c r="BY736" s="29"/>
      <c r="BZ736" s="29"/>
      <c r="CA736" s="333"/>
      <c r="CC736" s="1"/>
      <c r="CD736" s="30"/>
      <c r="CE736" s="342" t="s">
        <v>1576</v>
      </c>
      <c r="CF736" s="342" t="s">
        <v>1575</v>
      </c>
      <c r="CG736" s="30"/>
    </row>
    <row r="737" spans="1:1873" s="23" customFormat="1" x14ac:dyDescent="0.2">
      <c r="A737" s="25" t="s">
        <v>805</v>
      </c>
      <c r="B737" s="223" t="s">
        <v>810</v>
      </c>
      <c r="C737" s="404" t="s">
        <v>1452</v>
      </c>
      <c r="D737" s="240" t="s">
        <v>619</v>
      </c>
      <c r="E737" s="305" t="s">
        <v>1391</v>
      </c>
      <c r="F737" s="240">
        <v>1</v>
      </c>
      <c r="G737" s="242">
        <v>2</v>
      </c>
      <c r="H737" s="242">
        <v>3</v>
      </c>
      <c r="I737" s="223" t="s">
        <v>807</v>
      </c>
      <c r="J737" s="223">
        <v>1995</v>
      </c>
      <c r="K737" s="223" t="s">
        <v>1211</v>
      </c>
      <c r="L737" s="223">
        <v>1996</v>
      </c>
      <c r="M737" s="243">
        <v>-9999</v>
      </c>
      <c r="N737" s="223">
        <v>-9999</v>
      </c>
      <c r="O737" s="29"/>
      <c r="P737" s="244">
        <f>+T737*G737</f>
        <v>3.4</v>
      </c>
      <c r="Q737" s="223">
        <v>-9999</v>
      </c>
      <c r="R737" s="243"/>
      <c r="S737" s="223"/>
      <c r="T737" s="243">
        <v>1.7</v>
      </c>
      <c r="U737" s="223">
        <v>-9999</v>
      </c>
      <c r="V737" s="223"/>
      <c r="W737" s="243">
        <v>-9999</v>
      </c>
      <c r="X737" s="223">
        <v>-9999</v>
      </c>
      <c r="Y737" s="223"/>
      <c r="Z737" s="404" t="s">
        <v>1703</v>
      </c>
      <c r="AA737" s="564">
        <v>1075</v>
      </c>
      <c r="AB737" s="243">
        <v>1</v>
      </c>
      <c r="AC737" s="223">
        <v>-9999</v>
      </c>
      <c r="AD737" s="223">
        <v>18.600000000000001</v>
      </c>
      <c r="AE737" s="404" t="s">
        <v>1738</v>
      </c>
      <c r="AF737" s="223">
        <v>10</v>
      </c>
      <c r="AG737" s="404" t="s">
        <v>1741</v>
      </c>
      <c r="AH737" s="223" t="s">
        <v>1034</v>
      </c>
      <c r="AI737" s="404" t="s">
        <v>1739</v>
      </c>
      <c r="AJ737" s="223">
        <v>-9999</v>
      </c>
      <c r="AK737" s="223" t="s">
        <v>626</v>
      </c>
      <c r="AL737" s="223" t="s">
        <v>828</v>
      </c>
      <c r="AM737" s="223">
        <v>-9999</v>
      </c>
      <c r="AN737" s="223" t="s">
        <v>631</v>
      </c>
      <c r="AO737" s="223">
        <v>-9999</v>
      </c>
      <c r="AP737" s="223">
        <v>-9999</v>
      </c>
      <c r="AQ737" s="223" t="s">
        <v>631</v>
      </c>
      <c r="AR737" s="223">
        <v>0</v>
      </c>
      <c r="AS737" s="223">
        <v>-9999</v>
      </c>
      <c r="AT737" s="223">
        <v>-9999</v>
      </c>
      <c r="AU737" s="223">
        <v>0</v>
      </c>
      <c r="AV737" s="223">
        <v>-9999</v>
      </c>
      <c r="AW737" s="223">
        <v>-9999</v>
      </c>
      <c r="AX737" s="223">
        <v>0</v>
      </c>
      <c r="AY737" s="223">
        <v>-9999</v>
      </c>
      <c r="AZ737" s="223">
        <v>-9999</v>
      </c>
      <c r="BA737" s="223">
        <v>-9988</v>
      </c>
      <c r="BB737" s="223" t="s">
        <v>626</v>
      </c>
      <c r="BC737" s="223">
        <v>-9999</v>
      </c>
      <c r="BD737" s="223">
        <v>-9999</v>
      </c>
      <c r="BE737" s="223">
        <v>-9999</v>
      </c>
      <c r="BF737" s="223">
        <v>-9999</v>
      </c>
      <c r="BG737" s="223">
        <v>-9999</v>
      </c>
      <c r="BH737" s="223">
        <v>-9999</v>
      </c>
      <c r="BI737" s="223" t="s">
        <v>1035</v>
      </c>
      <c r="BJ737" s="223">
        <v>-9999</v>
      </c>
      <c r="BK737" s="223">
        <v>-9999</v>
      </c>
      <c r="BL737" s="223">
        <v>-9999</v>
      </c>
      <c r="BM737" s="223">
        <v>-9999</v>
      </c>
      <c r="BN737" s="223">
        <v>-9999</v>
      </c>
      <c r="BO737" s="223">
        <v>-9999</v>
      </c>
      <c r="BP737" s="223">
        <v>-9999</v>
      </c>
      <c r="BQ737" s="223">
        <v>-9999</v>
      </c>
      <c r="BR737" s="223">
        <v>-9999</v>
      </c>
      <c r="BS737" s="242">
        <v>-9999</v>
      </c>
      <c r="BT737" s="223">
        <v>-9999</v>
      </c>
      <c r="BU737" s="223">
        <v>-9999</v>
      </c>
      <c r="BV737" s="223">
        <v>-9999</v>
      </c>
      <c r="BW737" s="223"/>
      <c r="BX737" s="223">
        <v>-9999</v>
      </c>
      <c r="BY737" s="223">
        <v>-9999</v>
      </c>
      <c r="BZ737" s="223">
        <v>-9999</v>
      </c>
      <c r="CA737" s="334" t="s">
        <v>797</v>
      </c>
      <c r="CB737" s="247"/>
      <c r="CC737" s="25">
        <v>1</v>
      </c>
      <c r="CD737" s="84">
        <v>2</v>
      </c>
      <c r="CE737" s="292">
        <v>1.7</v>
      </c>
      <c r="CF737" s="292"/>
      <c r="CG737" s="84">
        <v>3</v>
      </c>
    </row>
    <row r="738" spans="1:1873" s="23" customFormat="1" x14ac:dyDescent="0.2">
      <c r="A738" s="25" t="s">
        <v>805</v>
      </c>
      <c r="B738" s="223" t="s">
        <v>810</v>
      </c>
      <c r="C738" s="404" t="s">
        <v>1452</v>
      </c>
      <c r="D738" s="240" t="s">
        <v>619</v>
      </c>
      <c r="E738" s="305" t="s">
        <v>1391</v>
      </c>
      <c r="F738" s="240">
        <v>1</v>
      </c>
      <c r="G738" s="242">
        <v>3</v>
      </c>
      <c r="H738" s="242">
        <v>4</v>
      </c>
      <c r="I738" s="223" t="s">
        <v>807</v>
      </c>
      <c r="J738" s="223">
        <v>1995</v>
      </c>
      <c r="K738" s="223" t="s">
        <v>1211</v>
      </c>
      <c r="L738" s="223">
        <v>1997</v>
      </c>
      <c r="M738" s="243">
        <v>-9999</v>
      </c>
      <c r="N738" s="223">
        <v>-9999</v>
      </c>
      <c r="O738" s="29"/>
      <c r="P738" s="244">
        <f>+T738*G738</f>
        <v>10.5</v>
      </c>
      <c r="Q738" s="223">
        <v>-9999</v>
      </c>
      <c r="R738" s="243"/>
      <c r="S738" s="223"/>
      <c r="T738" s="243">
        <v>3.5</v>
      </c>
      <c r="U738" s="223">
        <v>-9999</v>
      </c>
      <c r="V738" s="223"/>
      <c r="W738" s="285">
        <f>+P738-P737</f>
        <v>7.1</v>
      </c>
      <c r="X738" s="223">
        <v>-9999</v>
      </c>
      <c r="Y738" s="223"/>
      <c r="Z738" s="404" t="s">
        <v>1703</v>
      </c>
      <c r="AA738" s="564">
        <v>1075</v>
      </c>
      <c r="AB738" s="243">
        <v>1</v>
      </c>
      <c r="AC738" s="223">
        <v>-9999</v>
      </c>
      <c r="AD738" s="223">
        <v>18.600000000000001</v>
      </c>
      <c r="AE738" s="404" t="s">
        <v>1738</v>
      </c>
      <c r="AF738" s="223">
        <v>10</v>
      </c>
      <c r="AG738" s="404" t="s">
        <v>1741</v>
      </c>
      <c r="AH738" s="223" t="s">
        <v>1034</v>
      </c>
      <c r="AI738" s="404" t="s">
        <v>1739</v>
      </c>
      <c r="AJ738" s="223">
        <v>-9999</v>
      </c>
      <c r="AK738" s="223" t="s">
        <v>626</v>
      </c>
      <c r="AL738" s="223" t="s">
        <v>828</v>
      </c>
      <c r="AM738" s="223">
        <v>-9999</v>
      </c>
      <c r="AN738" s="223" t="s">
        <v>631</v>
      </c>
      <c r="AO738" s="223">
        <v>-9999</v>
      </c>
      <c r="AP738" s="223">
        <v>-9999</v>
      </c>
      <c r="AQ738" s="223" t="s">
        <v>631</v>
      </c>
      <c r="AR738" s="223">
        <v>0</v>
      </c>
      <c r="AS738" s="223">
        <v>-9999</v>
      </c>
      <c r="AT738" s="223">
        <v>-9999</v>
      </c>
      <c r="AU738" s="223">
        <v>0</v>
      </c>
      <c r="AV738" s="223">
        <v>-9999</v>
      </c>
      <c r="AW738" s="223">
        <v>-9999</v>
      </c>
      <c r="AX738" s="223">
        <v>0</v>
      </c>
      <c r="AY738" s="223">
        <v>-9999</v>
      </c>
      <c r="AZ738" s="223">
        <v>-9999</v>
      </c>
      <c r="BA738" s="223">
        <v>-9988</v>
      </c>
      <c r="BB738" s="223" t="s">
        <v>626</v>
      </c>
      <c r="BC738" s="223">
        <v>-9999</v>
      </c>
      <c r="BD738" s="223">
        <v>-9999</v>
      </c>
      <c r="BE738" s="223">
        <v>-9999</v>
      </c>
      <c r="BF738" s="223">
        <v>-9999</v>
      </c>
      <c r="BG738" s="223">
        <v>-9999</v>
      </c>
      <c r="BH738" s="223">
        <v>-9999</v>
      </c>
      <c r="BI738" s="223" t="s">
        <v>1035</v>
      </c>
      <c r="BJ738" s="223">
        <v>-9999</v>
      </c>
      <c r="BK738" s="223">
        <v>-9999</v>
      </c>
      <c r="BL738" s="223">
        <v>-9999</v>
      </c>
      <c r="BM738" s="223">
        <v>-9999</v>
      </c>
      <c r="BN738" s="223">
        <v>-9999</v>
      </c>
      <c r="BO738" s="223">
        <v>-9999</v>
      </c>
      <c r="BP738" s="223">
        <v>-9999</v>
      </c>
      <c r="BQ738" s="223">
        <v>-9999</v>
      </c>
      <c r="BR738" s="223">
        <v>-9999</v>
      </c>
      <c r="BS738" s="242">
        <v>-9999</v>
      </c>
      <c r="BT738" s="223">
        <v>-9999</v>
      </c>
      <c r="BU738" s="223">
        <v>-9999</v>
      </c>
      <c r="BV738" s="223">
        <v>-9999</v>
      </c>
      <c r="BW738" s="223"/>
      <c r="BX738" s="223">
        <v>-9999</v>
      </c>
      <c r="BY738" s="223">
        <v>-9999</v>
      </c>
      <c r="BZ738" s="223">
        <v>-9999</v>
      </c>
      <c r="CA738" s="334" t="s">
        <v>797</v>
      </c>
      <c r="CB738" s="247"/>
      <c r="CC738" s="25">
        <v>1</v>
      </c>
      <c r="CD738" s="84">
        <v>3</v>
      </c>
      <c r="CE738" s="292">
        <v>3.5</v>
      </c>
      <c r="CF738" s="292">
        <v>7.1</v>
      </c>
      <c r="CG738" s="84">
        <v>4</v>
      </c>
    </row>
    <row r="739" spans="1:1873" s="23" customFormat="1" x14ac:dyDescent="0.2">
      <c r="A739" s="25" t="s">
        <v>805</v>
      </c>
      <c r="B739" s="223" t="s">
        <v>810</v>
      </c>
      <c r="C739" s="404" t="s">
        <v>1452</v>
      </c>
      <c r="D739" s="240" t="s">
        <v>619</v>
      </c>
      <c r="E739" s="305" t="s">
        <v>1391</v>
      </c>
      <c r="F739" s="240">
        <v>1</v>
      </c>
      <c r="G739" s="242">
        <v>4</v>
      </c>
      <c r="H739" s="242">
        <v>5</v>
      </c>
      <c r="I739" s="223" t="s">
        <v>807</v>
      </c>
      <c r="J739" s="223">
        <v>1995</v>
      </c>
      <c r="K739" s="223" t="s">
        <v>1211</v>
      </c>
      <c r="L739" s="223">
        <v>1998</v>
      </c>
      <c r="M739" s="243">
        <v>-9999</v>
      </c>
      <c r="N739" s="223">
        <v>-9999</v>
      </c>
      <c r="O739" s="29"/>
      <c r="P739" s="244">
        <f>+T739*G739</f>
        <v>43.6</v>
      </c>
      <c r="Q739" s="223">
        <v>-9999</v>
      </c>
      <c r="R739" s="243"/>
      <c r="S739" s="223"/>
      <c r="T739" s="243">
        <v>10.9</v>
      </c>
      <c r="U739" s="223">
        <v>-9999</v>
      </c>
      <c r="V739" s="223"/>
      <c r="W739" s="285">
        <f>+P739-P738</f>
        <v>33.1</v>
      </c>
      <c r="X739" s="223">
        <v>-9999</v>
      </c>
      <c r="Y739" s="223"/>
      <c r="Z739" s="404" t="s">
        <v>1703</v>
      </c>
      <c r="AA739" s="564">
        <v>1075</v>
      </c>
      <c r="AB739" s="243">
        <v>1</v>
      </c>
      <c r="AC739" s="223">
        <v>-9999</v>
      </c>
      <c r="AD739" s="223">
        <v>18.600000000000001</v>
      </c>
      <c r="AE739" s="404" t="s">
        <v>1738</v>
      </c>
      <c r="AF739" s="223">
        <v>10</v>
      </c>
      <c r="AG739" s="404" t="s">
        <v>1741</v>
      </c>
      <c r="AH739" s="223" t="s">
        <v>1034</v>
      </c>
      <c r="AI739" s="404" t="s">
        <v>1739</v>
      </c>
      <c r="AJ739" s="223">
        <v>-9999</v>
      </c>
      <c r="AK739" s="223" t="s">
        <v>626</v>
      </c>
      <c r="AL739" s="223" t="s">
        <v>828</v>
      </c>
      <c r="AM739" s="223">
        <v>-9999</v>
      </c>
      <c r="AN739" s="223" t="s">
        <v>631</v>
      </c>
      <c r="AO739" s="223">
        <v>-9999</v>
      </c>
      <c r="AP739" s="223">
        <v>-9999</v>
      </c>
      <c r="AQ739" s="223" t="s">
        <v>631</v>
      </c>
      <c r="AR739" s="223">
        <v>0</v>
      </c>
      <c r="AS739" s="223">
        <v>-9999</v>
      </c>
      <c r="AT739" s="223">
        <v>-9999</v>
      </c>
      <c r="AU739" s="223">
        <v>0</v>
      </c>
      <c r="AV739" s="223">
        <v>-9999</v>
      </c>
      <c r="AW739" s="223">
        <v>-9999</v>
      </c>
      <c r="AX739" s="223">
        <v>0</v>
      </c>
      <c r="AY739" s="223">
        <v>-9999</v>
      </c>
      <c r="AZ739" s="223">
        <v>-9999</v>
      </c>
      <c r="BA739" s="223">
        <v>-9988</v>
      </c>
      <c r="BB739" s="223" t="s">
        <v>626</v>
      </c>
      <c r="BC739" s="223">
        <v>-9999</v>
      </c>
      <c r="BD739" s="223">
        <v>-9999</v>
      </c>
      <c r="BE739" s="223">
        <v>-9999</v>
      </c>
      <c r="BF739" s="223">
        <v>-9999</v>
      </c>
      <c r="BG739" s="223">
        <v>-9999</v>
      </c>
      <c r="BH739" s="223">
        <v>-9999</v>
      </c>
      <c r="BI739" s="223" t="s">
        <v>1035</v>
      </c>
      <c r="BJ739" s="223">
        <v>-9999</v>
      </c>
      <c r="BK739" s="223">
        <v>-9999</v>
      </c>
      <c r="BL739" s="223">
        <v>-9999</v>
      </c>
      <c r="BM739" s="223">
        <v>-9999</v>
      </c>
      <c r="BN739" s="223">
        <v>-9999</v>
      </c>
      <c r="BO739" s="223">
        <v>-9999</v>
      </c>
      <c r="BP739" s="223">
        <v>-9999</v>
      </c>
      <c r="BQ739" s="223">
        <v>-9999</v>
      </c>
      <c r="BR739" s="223">
        <v>-9999</v>
      </c>
      <c r="BS739" s="242">
        <v>-9999</v>
      </c>
      <c r="BT739" s="223">
        <v>-9999</v>
      </c>
      <c r="BU739" s="223">
        <v>-9999</v>
      </c>
      <c r="BV739" s="223">
        <v>-9999</v>
      </c>
      <c r="BW739" s="223"/>
      <c r="BX739" s="223">
        <v>-9999</v>
      </c>
      <c r="BY739" s="223">
        <v>-9999</v>
      </c>
      <c r="BZ739" s="223">
        <v>-9999</v>
      </c>
      <c r="CA739" s="334" t="s">
        <v>797</v>
      </c>
      <c r="CB739" s="247"/>
      <c r="CC739" s="25">
        <v>1</v>
      </c>
      <c r="CD739" s="84">
        <v>4</v>
      </c>
      <c r="CE739" s="292">
        <v>10.9</v>
      </c>
      <c r="CF739" s="292">
        <v>33.1</v>
      </c>
      <c r="CG739" s="84">
        <v>5</v>
      </c>
    </row>
    <row r="740" spans="1:1873" s="23" customFormat="1" x14ac:dyDescent="0.2">
      <c r="A740" s="25" t="s">
        <v>805</v>
      </c>
      <c r="B740" s="223" t="s">
        <v>810</v>
      </c>
      <c r="C740" s="404" t="s">
        <v>1452</v>
      </c>
      <c r="D740" s="240" t="s">
        <v>619</v>
      </c>
      <c r="E740" s="305" t="s">
        <v>1391</v>
      </c>
      <c r="F740" s="240">
        <v>1</v>
      </c>
      <c r="G740" s="242">
        <v>5</v>
      </c>
      <c r="H740" s="242">
        <v>6</v>
      </c>
      <c r="I740" s="223" t="s">
        <v>807</v>
      </c>
      <c r="J740" s="223">
        <v>1995</v>
      </c>
      <c r="K740" s="223" t="s">
        <v>1211</v>
      </c>
      <c r="L740" s="223">
        <v>1999</v>
      </c>
      <c r="M740" s="243">
        <v>-9999</v>
      </c>
      <c r="N740" s="223">
        <v>-9999</v>
      </c>
      <c r="O740" s="29"/>
      <c r="P740" s="244">
        <f>+T740*G740</f>
        <v>74.5</v>
      </c>
      <c r="Q740" s="223">
        <v>-9999</v>
      </c>
      <c r="R740" s="243"/>
      <c r="S740" s="223"/>
      <c r="T740" s="243">
        <v>14.9</v>
      </c>
      <c r="U740" s="223">
        <v>-9999</v>
      </c>
      <c r="V740" s="223"/>
      <c r="W740" s="285">
        <f>+P740-P739</f>
        <v>30.9</v>
      </c>
      <c r="X740" s="223">
        <v>-9999</v>
      </c>
      <c r="Y740" s="223"/>
      <c r="Z740" s="404" t="s">
        <v>1703</v>
      </c>
      <c r="AA740" s="564">
        <v>1075</v>
      </c>
      <c r="AB740" s="243">
        <v>1</v>
      </c>
      <c r="AC740" s="223">
        <v>-9999</v>
      </c>
      <c r="AD740" s="223">
        <v>18.600000000000001</v>
      </c>
      <c r="AE740" s="404" t="s">
        <v>1738</v>
      </c>
      <c r="AF740" s="223">
        <v>10</v>
      </c>
      <c r="AG740" s="404" t="s">
        <v>1741</v>
      </c>
      <c r="AH740" s="223" t="s">
        <v>1034</v>
      </c>
      <c r="AI740" s="404" t="s">
        <v>1739</v>
      </c>
      <c r="AJ740" s="223">
        <v>-9999</v>
      </c>
      <c r="AK740" s="223" t="s">
        <v>626</v>
      </c>
      <c r="AL740" s="223" t="s">
        <v>828</v>
      </c>
      <c r="AM740" s="223">
        <v>-9999</v>
      </c>
      <c r="AN740" s="223" t="s">
        <v>631</v>
      </c>
      <c r="AO740" s="223">
        <v>-9999</v>
      </c>
      <c r="AP740" s="223">
        <v>-9999</v>
      </c>
      <c r="AQ740" s="223" t="s">
        <v>631</v>
      </c>
      <c r="AR740" s="223">
        <v>0</v>
      </c>
      <c r="AS740" s="223">
        <v>-9999</v>
      </c>
      <c r="AT740" s="223">
        <v>-9999</v>
      </c>
      <c r="AU740" s="223">
        <v>0</v>
      </c>
      <c r="AV740" s="223">
        <v>-9999</v>
      </c>
      <c r="AW740" s="223">
        <v>-9999</v>
      </c>
      <c r="AX740" s="223">
        <v>0</v>
      </c>
      <c r="AY740" s="223">
        <v>-9999</v>
      </c>
      <c r="AZ740" s="223">
        <v>-9999</v>
      </c>
      <c r="BA740" s="223">
        <v>-9988</v>
      </c>
      <c r="BB740" s="223" t="s">
        <v>626</v>
      </c>
      <c r="BC740" s="223">
        <v>-9999</v>
      </c>
      <c r="BD740" s="223">
        <v>-9999</v>
      </c>
      <c r="BE740" s="223">
        <v>-9999</v>
      </c>
      <c r="BF740" s="223">
        <v>-9999</v>
      </c>
      <c r="BG740" s="223">
        <v>-9999</v>
      </c>
      <c r="BH740" s="223">
        <v>-9999</v>
      </c>
      <c r="BI740" s="223" t="s">
        <v>1035</v>
      </c>
      <c r="BJ740" s="223">
        <v>-9999</v>
      </c>
      <c r="BK740" s="223">
        <v>-9999</v>
      </c>
      <c r="BL740" s="223">
        <v>-9999</v>
      </c>
      <c r="BM740" s="223">
        <v>-9999</v>
      </c>
      <c r="BN740" s="223">
        <v>-9999</v>
      </c>
      <c r="BO740" s="223">
        <v>-9999</v>
      </c>
      <c r="BP740" s="223">
        <v>-9999</v>
      </c>
      <c r="BQ740" s="223">
        <v>-9999</v>
      </c>
      <c r="BR740" s="223">
        <v>-9999</v>
      </c>
      <c r="BS740" s="242">
        <v>-9999</v>
      </c>
      <c r="BT740" s="223">
        <v>-9999</v>
      </c>
      <c r="BU740" s="223">
        <v>-9999</v>
      </c>
      <c r="BV740" s="223">
        <v>-9999</v>
      </c>
      <c r="BW740" s="223"/>
      <c r="BX740" s="223">
        <v>-9999</v>
      </c>
      <c r="BY740" s="223">
        <v>-9999</v>
      </c>
      <c r="BZ740" s="223">
        <v>-9999</v>
      </c>
      <c r="CA740" s="334" t="s">
        <v>797</v>
      </c>
      <c r="CB740" s="247"/>
      <c r="CC740" s="25">
        <v>1</v>
      </c>
      <c r="CD740" s="84">
        <v>5</v>
      </c>
      <c r="CE740" s="292">
        <v>14.9</v>
      </c>
      <c r="CF740" s="292">
        <v>30.9</v>
      </c>
      <c r="CG740" s="84">
        <v>6</v>
      </c>
    </row>
    <row r="741" spans="1:1873" s="247" customFormat="1" ht="11.45" customHeight="1" x14ac:dyDescent="0.2">
      <c r="A741" s="240" t="s">
        <v>805</v>
      </c>
      <c r="B741" s="223" t="s">
        <v>810</v>
      </c>
      <c r="C741" s="404" t="s">
        <v>1452</v>
      </c>
      <c r="D741" s="240" t="s">
        <v>619</v>
      </c>
      <c r="E741" s="305" t="s">
        <v>1391</v>
      </c>
      <c r="F741" s="240">
        <v>1</v>
      </c>
      <c r="G741" s="242">
        <v>6</v>
      </c>
      <c r="H741" s="242">
        <v>7</v>
      </c>
      <c r="I741" s="223" t="s">
        <v>807</v>
      </c>
      <c r="J741" s="223">
        <v>1995</v>
      </c>
      <c r="K741" s="223" t="s">
        <v>1211</v>
      </c>
      <c r="L741" s="223">
        <v>2000</v>
      </c>
      <c r="M741" s="243">
        <v>-9999</v>
      </c>
      <c r="N741" s="223">
        <v>-9999</v>
      </c>
      <c r="O741" s="29"/>
      <c r="P741" s="244">
        <f>+T741*G741</f>
        <v>102.96000000000001</v>
      </c>
      <c r="Q741" s="223">
        <v>-9999</v>
      </c>
      <c r="R741" s="243"/>
      <c r="S741" s="223"/>
      <c r="T741" s="421">
        <v>17.16</v>
      </c>
      <c r="U741" s="223">
        <v>-9999</v>
      </c>
      <c r="V741" s="223"/>
      <c r="W741" s="285">
        <f>+P741-P740</f>
        <v>28.460000000000008</v>
      </c>
      <c r="X741" s="223">
        <v>-9999</v>
      </c>
      <c r="Y741" s="223"/>
      <c r="Z741" s="404" t="s">
        <v>1703</v>
      </c>
      <c r="AA741" s="564">
        <v>1075</v>
      </c>
      <c r="AB741" s="243">
        <v>1</v>
      </c>
      <c r="AC741" s="223">
        <v>-9999</v>
      </c>
      <c r="AD741" s="223">
        <v>18.600000000000001</v>
      </c>
      <c r="AE741" s="404" t="s">
        <v>1738</v>
      </c>
      <c r="AF741" s="223">
        <v>10</v>
      </c>
      <c r="AG741" s="404" t="s">
        <v>1741</v>
      </c>
      <c r="AH741" s="223" t="s">
        <v>1034</v>
      </c>
      <c r="AI741" s="404" t="s">
        <v>1739</v>
      </c>
      <c r="AJ741" s="223">
        <v>-9999</v>
      </c>
      <c r="AK741" s="223" t="s">
        <v>626</v>
      </c>
      <c r="AL741" s="223" t="s">
        <v>828</v>
      </c>
      <c r="AM741" s="223">
        <v>-9999</v>
      </c>
      <c r="AN741" s="223" t="s">
        <v>631</v>
      </c>
      <c r="AO741" s="223">
        <v>-9999</v>
      </c>
      <c r="AP741" s="223">
        <v>-9999</v>
      </c>
      <c r="AQ741" s="223" t="s">
        <v>631</v>
      </c>
      <c r="AR741" s="223">
        <v>0</v>
      </c>
      <c r="AS741" s="223">
        <v>-9999</v>
      </c>
      <c r="AT741" s="223">
        <v>-9999</v>
      </c>
      <c r="AU741" s="223">
        <v>0</v>
      </c>
      <c r="AV741" s="223">
        <v>-9999</v>
      </c>
      <c r="AW741" s="223">
        <v>-9999</v>
      </c>
      <c r="AX741" s="223">
        <v>0</v>
      </c>
      <c r="AY741" s="223">
        <v>-9999</v>
      </c>
      <c r="AZ741" s="223">
        <v>-9999</v>
      </c>
      <c r="BA741" s="223">
        <v>-9988</v>
      </c>
      <c r="BB741" s="223" t="s">
        <v>626</v>
      </c>
      <c r="BC741" s="223">
        <v>-9999</v>
      </c>
      <c r="BD741" s="223">
        <v>-9999</v>
      </c>
      <c r="BE741" s="223">
        <v>-9999</v>
      </c>
      <c r="BF741" s="223">
        <v>-9999</v>
      </c>
      <c r="BG741" s="223">
        <v>-9999</v>
      </c>
      <c r="BH741" s="223">
        <v>-9999</v>
      </c>
      <c r="BI741" s="223" t="s">
        <v>1035</v>
      </c>
      <c r="BJ741" s="223">
        <v>-9999</v>
      </c>
      <c r="BK741" s="223">
        <v>-9999</v>
      </c>
      <c r="BL741" s="223">
        <v>-9999</v>
      </c>
      <c r="BM741" s="223">
        <v>-9999</v>
      </c>
      <c r="BN741" s="243">
        <v>19.28</v>
      </c>
      <c r="BO741" s="223">
        <v>-9999</v>
      </c>
      <c r="BP741" s="223">
        <v>-9999</v>
      </c>
      <c r="BQ741" s="223">
        <v>-9999</v>
      </c>
      <c r="BR741" s="223">
        <v>-9999</v>
      </c>
      <c r="BS741" s="242">
        <v>-9999</v>
      </c>
      <c r="BT741" s="223">
        <v>-9999</v>
      </c>
      <c r="BU741" s="223">
        <v>-9999</v>
      </c>
      <c r="BV741" s="223">
        <v>-9999</v>
      </c>
      <c r="BW741" s="223"/>
      <c r="BX741" s="223">
        <v>-9999</v>
      </c>
      <c r="BY741" s="223">
        <v>-9999</v>
      </c>
      <c r="BZ741" s="223">
        <v>-9999</v>
      </c>
      <c r="CA741" s="334" t="s">
        <v>797</v>
      </c>
      <c r="CC741" s="240">
        <v>1</v>
      </c>
      <c r="CD741" s="242">
        <v>6</v>
      </c>
      <c r="CE741" s="292">
        <v>17.16</v>
      </c>
      <c r="CF741" s="292">
        <v>28.460000000000008</v>
      </c>
      <c r="CG741" s="242">
        <v>7</v>
      </c>
      <c r="CH741" s="23"/>
      <c r="CI741" s="23"/>
      <c r="CJ741" s="23"/>
      <c r="CK741" s="23"/>
      <c r="CL741" s="23"/>
      <c r="CM741" s="23"/>
      <c r="CN741" s="23"/>
      <c r="CO741" s="23"/>
      <c r="CP741" s="23"/>
      <c r="CQ741" s="23"/>
      <c r="CR741" s="23"/>
      <c r="CS741" s="23"/>
      <c r="CT741" s="23"/>
      <c r="CU741" s="23"/>
      <c r="CV741" s="23"/>
      <c r="CW741" s="23"/>
      <c r="CX741" s="23"/>
      <c r="CY741" s="23"/>
      <c r="CZ741" s="23"/>
      <c r="DA741" s="23"/>
      <c r="DB741" s="23"/>
      <c r="DC741" s="23"/>
      <c r="DD741" s="23"/>
      <c r="DE741" s="23"/>
      <c r="DF741" s="23"/>
      <c r="DG741" s="23"/>
      <c r="DH741" s="23"/>
      <c r="DI741" s="23"/>
      <c r="DJ741" s="23"/>
      <c r="DK741" s="23"/>
      <c r="DL741" s="23"/>
      <c r="DM741" s="23"/>
      <c r="DN741" s="23"/>
      <c r="DO741" s="23"/>
      <c r="DP741" s="23"/>
      <c r="DQ741" s="23"/>
      <c r="DR741" s="23"/>
      <c r="DS741" s="23"/>
      <c r="DT741" s="23"/>
      <c r="DU741" s="23"/>
      <c r="DV741" s="23"/>
      <c r="DW741" s="23"/>
      <c r="DX741" s="23"/>
      <c r="DY741" s="23"/>
      <c r="DZ741" s="23"/>
      <c r="EA741" s="23"/>
      <c r="EB741" s="23"/>
      <c r="EC741" s="23"/>
      <c r="ED741" s="23"/>
      <c r="EE741" s="23"/>
      <c r="EF741" s="23"/>
      <c r="EG741" s="23"/>
      <c r="EH741" s="23"/>
      <c r="EI741" s="23"/>
      <c r="EJ741" s="23"/>
      <c r="EK741" s="23"/>
      <c r="EL741" s="23"/>
      <c r="EM741" s="23"/>
      <c r="EN741" s="23"/>
      <c r="EO741" s="23"/>
      <c r="EP741" s="23"/>
      <c r="EQ741" s="23"/>
      <c r="ER741" s="23"/>
      <c r="ES741" s="23"/>
      <c r="ET741" s="23"/>
      <c r="EU741" s="23"/>
      <c r="EV741" s="23"/>
      <c r="EW741" s="23"/>
      <c r="EX741" s="23"/>
      <c r="EY741" s="23"/>
      <c r="EZ741" s="23"/>
      <c r="FA741" s="23"/>
      <c r="FB741" s="23"/>
      <c r="FC741" s="23"/>
      <c r="FD741" s="23"/>
      <c r="FE741" s="23"/>
      <c r="FF741" s="23"/>
      <c r="FG741" s="23"/>
      <c r="FH741" s="23"/>
      <c r="FI741" s="23"/>
      <c r="FJ741" s="23"/>
      <c r="FK741" s="23"/>
      <c r="FL741" s="23"/>
      <c r="FM741" s="23"/>
      <c r="FN741" s="23"/>
      <c r="FO741" s="23"/>
      <c r="FP741" s="23"/>
      <c r="FQ741" s="23"/>
      <c r="FR741" s="23"/>
      <c r="FS741" s="23"/>
      <c r="FT741" s="23"/>
      <c r="FU741" s="23"/>
      <c r="FV741" s="23"/>
      <c r="FW741" s="23"/>
      <c r="FX741" s="23"/>
      <c r="FY741" s="23"/>
      <c r="FZ741" s="23"/>
      <c r="GA741" s="23"/>
      <c r="GB741" s="23"/>
      <c r="GC741" s="23"/>
      <c r="GD741" s="23"/>
      <c r="GE741" s="23"/>
      <c r="GF741" s="23"/>
      <c r="GG741" s="23"/>
      <c r="GH741" s="23"/>
      <c r="GI741" s="23"/>
      <c r="GJ741" s="23"/>
      <c r="GK741" s="23"/>
      <c r="GL741" s="23"/>
      <c r="GM741" s="23"/>
      <c r="GN741" s="23"/>
      <c r="GO741" s="23"/>
      <c r="GP741" s="23"/>
      <c r="GQ741" s="23"/>
      <c r="GR741" s="23"/>
      <c r="GS741" s="23"/>
      <c r="GT741" s="23"/>
      <c r="GU741" s="23"/>
      <c r="GV741" s="23"/>
      <c r="GW741" s="23"/>
      <c r="GX741" s="23"/>
      <c r="GY741" s="23"/>
      <c r="GZ741" s="23"/>
      <c r="HA741" s="23"/>
      <c r="HB741" s="23"/>
      <c r="HC741" s="23"/>
      <c r="HD741" s="23"/>
      <c r="HE741" s="23"/>
      <c r="HF741" s="23"/>
      <c r="HG741" s="23"/>
      <c r="HH741" s="23"/>
      <c r="HI741" s="23"/>
      <c r="HJ741" s="23"/>
      <c r="HK741" s="23"/>
      <c r="HL741" s="23"/>
      <c r="HM741" s="23"/>
      <c r="HN741" s="23"/>
      <c r="HO741" s="23"/>
      <c r="HP741" s="23"/>
      <c r="HQ741" s="23"/>
      <c r="HR741" s="23"/>
      <c r="HS741" s="23"/>
      <c r="HT741" s="23"/>
      <c r="HU741" s="23"/>
      <c r="HV741" s="23"/>
      <c r="HW741" s="23"/>
      <c r="HX741" s="23"/>
      <c r="HY741" s="23"/>
      <c r="HZ741" s="23"/>
      <c r="IA741" s="23"/>
      <c r="IB741" s="23"/>
      <c r="IC741" s="23"/>
      <c r="ID741" s="23"/>
      <c r="IE741" s="23"/>
      <c r="IF741" s="23"/>
      <c r="IG741" s="23"/>
      <c r="IH741" s="23"/>
      <c r="II741" s="23"/>
      <c r="IJ741" s="23"/>
      <c r="IK741" s="23"/>
      <c r="IL741" s="23"/>
      <c r="IM741" s="23"/>
      <c r="IN741" s="23"/>
      <c r="IO741" s="23"/>
      <c r="IP741" s="23"/>
      <c r="IQ741" s="23"/>
      <c r="IR741" s="23"/>
      <c r="IS741" s="23"/>
      <c r="IT741" s="23"/>
      <c r="IU741" s="23"/>
      <c r="IV741" s="23"/>
      <c r="IW741" s="23"/>
      <c r="IX741" s="23"/>
      <c r="IY741" s="23"/>
      <c r="IZ741" s="23"/>
      <c r="JA741" s="23"/>
      <c r="JB741" s="23"/>
      <c r="JC741" s="23"/>
      <c r="JD741" s="23"/>
      <c r="JE741" s="23"/>
      <c r="JF741" s="23"/>
      <c r="JG741" s="23"/>
      <c r="JH741" s="23"/>
      <c r="JI741" s="23"/>
      <c r="JJ741" s="23"/>
      <c r="JK741" s="23"/>
      <c r="JL741" s="23"/>
      <c r="JM741" s="23"/>
      <c r="JN741" s="23"/>
      <c r="JO741" s="23"/>
      <c r="JP741" s="23"/>
      <c r="JQ741" s="23"/>
      <c r="JR741" s="23"/>
      <c r="JS741" s="23"/>
      <c r="JT741" s="23"/>
      <c r="JU741" s="23"/>
      <c r="JV741" s="23"/>
      <c r="JW741" s="23"/>
      <c r="JX741" s="23"/>
      <c r="JY741" s="23"/>
      <c r="JZ741" s="23"/>
      <c r="KA741" s="23"/>
      <c r="KB741" s="23"/>
      <c r="KC741" s="23"/>
      <c r="KD741" s="23"/>
      <c r="KE741" s="23"/>
      <c r="KF741" s="23"/>
      <c r="KG741" s="23"/>
      <c r="KH741" s="23"/>
      <c r="KI741" s="23"/>
      <c r="KJ741" s="23"/>
      <c r="KK741" s="23"/>
      <c r="KL741" s="23"/>
      <c r="KM741" s="23"/>
      <c r="KN741" s="23"/>
      <c r="KO741" s="23"/>
      <c r="KP741" s="23"/>
      <c r="KQ741" s="23"/>
      <c r="KR741" s="23"/>
      <c r="KS741" s="23"/>
      <c r="KT741" s="23"/>
      <c r="KU741" s="23"/>
      <c r="KV741" s="23"/>
      <c r="KW741" s="23"/>
      <c r="KX741" s="23"/>
      <c r="KY741" s="23"/>
      <c r="KZ741" s="23"/>
      <c r="LA741" s="23"/>
      <c r="LB741" s="23"/>
      <c r="LC741" s="23"/>
      <c r="LD741" s="23"/>
      <c r="LE741" s="23"/>
      <c r="LF741" s="23"/>
      <c r="LG741" s="23"/>
      <c r="LH741" s="23"/>
      <c r="LI741" s="23"/>
      <c r="LJ741" s="23"/>
      <c r="LK741" s="23"/>
      <c r="LL741" s="23"/>
      <c r="LM741" s="23"/>
      <c r="LN741" s="23"/>
      <c r="LO741" s="23"/>
      <c r="LP741" s="23"/>
      <c r="LQ741" s="23"/>
      <c r="LR741" s="23"/>
      <c r="LS741" s="23"/>
      <c r="LT741" s="23"/>
      <c r="LU741" s="23"/>
      <c r="LV741" s="23"/>
      <c r="LW741" s="23"/>
      <c r="LX741" s="23"/>
      <c r="LY741" s="23"/>
      <c r="LZ741" s="23"/>
      <c r="MA741" s="23"/>
      <c r="MB741" s="23"/>
      <c r="MC741" s="23"/>
      <c r="MD741" s="23"/>
      <c r="ME741" s="23"/>
      <c r="MF741" s="23"/>
      <c r="MG741" s="23"/>
      <c r="MH741" s="23"/>
      <c r="MI741" s="23"/>
      <c r="MJ741" s="23"/>
      <c r="MK741" s="23"/>
      <c r="ML741" s="23"/>
      <c r="MM741" s="23"/>
      <c r="MN741" s="23"/>
      <c r="MO741" s="23"/>
      <c r="MP741" s="23"/>
      <c r="MQ741" s="23"/>
      <c r="MR741" s="23"/>
      <c r="MS741" s="23"/>
      <c r="MT741" s="23"/>
      <c r="MU741" s="23"/>
      <c r="MV741" s="23"/>
      <c r="MW741" s="23"/>
      <c r="MX741" s="23"/>
      <c r="MY741" s="23"/>
      <c r="MZ741" s="23"/>
      <c r="NA741" s="23"/>
      <c r="NB741" s="23"/>
      <c r="NC741" s="23"/>
      <c r="ND741" s="23"/>
      <c r="NE741" s="23"/>
      <c r="NF741" s="23"/>
      <c r="NG741" s="23"/>
      <c r="NH741" s="23"/>
      <c r="NI741" s="23"/>
      <c r="NJ741" s="23"/>
      <c r="NK741" s="23"/>
      <c r="NL741" s="23"/>
      <c r="NM741" s="23"/>
      <c r="NN741" s="23"/>
      <c r="NO741" s="23"/>
      <c r="NP741" s="23"/>
      <c r="NQ741" s="23"/>
      <c r="NR741" s="23"/>
      <c r="NS741" s="23"/>
      <c r="NT741" s="23"/>
      <c r="NU741" s="23"/>
      <c r="NV741" s="23"/>
      <c r="NW741" s="23"/>
      <c r="NX741" s="23"/>
      <c r="NY741" s="23"/>
      <c r="NZ741" s="23"/>
      <c r="OA741" s="23"/>
      <c r="OB741" s="23"/>
      <c r="OC741" s="23"/>
      <c r="OD741" s="23"/>
      <c r="OE741" s="23"/>
      <c r="OF741" s="23"/>
      <c r="OG741" s="23"/>
      <c r="OH741" s="23"/>
      <c r="OI741" s="23"/>
      <c r="OJ741" s="23"/>
      <c r="OK741" s="23"/>
      <c r="OL741" s="23"/>
      <c r="OM741" s="23"/>
      <c r="ON741" s="23"/>
      <c r="OO741" s="23"/>
      <c r="OP741" s="23"/>
      <c r="OQ741" s="23"/>
      <c r="OR741" s="23"/>
      <c r="OS741" s="23"/>
      <c r="OT741" s="23"/>
      <c r="OU741" s="23"/>
      <c r="OV741" s="23"/>
      <c r="OW741" s="23"/>
      <c r="OX741" s="23"/>
      <c r="OY741" s="23"/>
      <c r="OZ741" s="23"/>
      <c r="PA741" s="23"/>
      <c r="PB741" s="23"/>
      <c r="PC741" s="23"/>
      <c r="PD741" s="23"/>
      <c r="PE741" s="23"/>
      <c r="PF741" s="23"/>
      <c r="PG741" s="23"/>
      <c r="PH741" s="23"/>
      <c r="PI741" s="23"/>
      <c r="PJ741" s="23"/>
      <c r="PK741" s="23"/>
      <c r="PL741" s="23"/>
      <c r="PM741" s="23"/>
      <c r="PN741" s="23"/>
      <c r="PO741" s="23"/>
      <c r="PP741" s="23"/>
      <c r="PQ741" s="23"/>
      <c r="PR741" s="23"/>
      <c r="PS741" s="23"/>
      <c r="PT741" s="23"/>
      <c r="PU741" s="23"/>
      <c r="PV741" s="23"/>
      <c r="PW741" s="23"/>
      <c r="PX741" s="23"/>
      <c r="PY741" s="23"/>
      <c r="PZ741" s="23"/>
      <c r="QA741" s="23"/>
      <c r="QB741" s="23"/>
      <c r="QC741" s="23"/>
      <c r="QD741" s="23"/>
      <c r="QE741" s="23"/>
      <c r="QF741" s="23"/>
      <c r="QG741" s="23"/>
      <c r="QH741" s="23"/>
      <c r="QI741" s="23"/>
      <c r="QJ741" s="23"/>
      <c r="QK741" s="23"/>
      <c r="QL741" s="23"/>
      <c r="QM741" s="23"/>
      <c r="QN741" s="23"/>
      <c r="QO741" s="23"/>
      <c r="QP741" s="23"/>
      <c r="QQ741" s="23"/>
      <c r="QR741" s="23"/>
      <c r="QS741" s="23"/>
      <c r="QT741" s="23"/>
      <c r="QU741" s="23"/>
      <c r="QV741" s="23"/>
      <c r="QW741" s="23"/>
      <c r="QX741" s="23"/>
      <c r="QY741" s="23"/>
      <c r="QZ741" s="23"/>
      <c r="RA741" s="23"/>
      <c r="RB741" s="23"/>
      <c r="RC741" s="23"/>
      <c r="RD741" s="23"/>
      <c r="RE741" s="23"/>
      <c r="RF741" s="23"/>
      <c r="RG741" s="23"/>
      <c r="RH741" s="23"/>
      <c r="RI741" s="23"/>
      <c r="RJ741" s="23"/>
      <c r="RK741" s="23"/>
      <c r="RL741" s="23"/>
      <c r="RM741" s="23"/>
      <c r="RN741" s="23"/>
      <c r="RO741" s="23"/>
      <c r="RP741" s="23"/>
      <c r="RQ741" s="23"/>
      <c r="RR741" s="23"/>
      <c r="RS741" s="23"/>
      <c r="RT741" s="23"/>
      <c r="RU741" s="23"/>
      <c r="RV741" s="23"/>
      <c r="RW741" s="23"/>
      <c r="RX741" s="23"/>
      <c r="RY741" s="23"/>
      <c r="RZ741" s="23"/>
      <c r="SA741" s="23"/>
      <c r="SB741" s="23"/>
      <c r="SC741" s="23"/>
      <c r="SD741" s="23"/>
      <c r="SE741" s="23"/>
      <c r="SF741" s="23"/>
      <c r="SG741" s="23"/>
      <c r="SH741" s="23"/>
      <c r="SI741" s="23"/>
      <c r="SJ741" s="23"/>
      <c r="SK741" s="23"/>
      <c r="SL741" s="23"/>
      <c r="SM741" s="23"/>
      <c r="SN741" s="23"/>
      <c r="SO741" s="23"/>
      <c r="SP741" s="23"/>
      <c r="SQ741" s="23"/>
      <c r="SR741" s="23"/>
      <c r="SS741" s="23"/>
      <c r="ST741" s="23"/>
      <c r="SU741" s="23"/>
      <c r="SV741" s="23"/>
      <c r="SW741" s="23"/>
      <c r="SX741" s="23"/>
      <c r="SY741" s="23"/>
      <c r="SZ741" s="23"/>
      <c r="TA741" s="23"/>
      <c r="TB741" s="23"/>
      <c r="TC741" s="23"/>
      <c r="TD741" s="23"/>
      <c r="TE741" s="23"/>
      <c r="TF741" s="23"/>
      <c r="TG741" s="23"/>
      <c r="TH741" s="23"/>
      <c r="TI741" s="23"/>
      <c r="TJ741" s="23"/>
      <c r="TK741" s="23"/>
      <c r="TL741" s="23"/>
      <c r="TM741" s="23"/>
      <c r="TN741" s="23"/>
      <c r="TO741" s="23"/>
      <c r="TP741" s="23"/>
      <c r="TQ741" s="23"/>
      <c r="TR741" s="23"/>
      <c r="TS741" s="23"/>
      <c r="TT741" s="23"/>
      <c r="TU741" s="23"/>
      <c r="TV741" s="23"/>
      <c r="TW741" s="23"/>
      <c r="TX741" s="23"/>
      <c r="TY741" s="23"/>
      <c r="TZ741" s="23"/>
      <c r="UA741" s="23"/>
      <c r="UB741" s="23"/>
      <c r="UC741" s="23"/>
      <c r="UD741" s="23"/>
      <c r="UE741" s="23"/>
      <c r="UF741" s="23"/>
      <c r="UG741" s="23"/>
      <c r="UH741" s="23"/>
      <c r="UI741" s="23"/>
      <c r="UJ741" s="23"/>
      <c r="UK741" s="23"/>
      <c r="UL741" s="23"/>
      <c r="UM741" s="23"/>
      <c r="UN741" s="23"/>
      <c r="UO741" s="23"/>
      <c r="UP741" s="23"/>
      <c r="UQ741" s="23"/>
      <c r="UR741" s="23"/>
      <c r="US741" s="23"/>
      <c r="UT741" s="23"/>
      <c r="UU741" s="23"/>
      <c r="UV741" s="23"/>
      <c r="UW741" s="23"/>
      <c r="UX741" s="23"/>
      <c r="UY741" s="23"/>
      <c r="UZ741" s="23"/>
      <c r="VA741" s="23"/>
      <c r="VB741" s="23"/>
      <c r="VC741" s="23"/>
      <c r="VD741" s="23"/>
      <c r="VE741" s="23"/>
      <c r="VF741" s="23"/>
      <c r="VG741" s="23"/>
      <c r="VH741" s="23"/>
      <c r="VI741" s="23"/>
      <c r="VJ741" s="23"/>
      <c r="VK741" s="23"/>
      <c r="VL741" s="23"/>
      <c r="VM741" s="23"/>
      <c r="VN741" s="23"/>
      <c r="VO741" s="23"/>
      <c r="VP741" s="23"/>
      <c r="VQ741" s="23"/>
      <c r="VR741" s="23"/>
      <c r="VS741" s="23"/>
      <c r="VT741" s="23"/>
      <c r="VU741" s="23"/>
      <c r="VV741" s="23"/>
      <c r="VW741" s="23"/>
      <c r="VX741" s="23"/>
      <c r="VY741" s="23"/>
      <c r="VZ741" s="23"/>
      <c r="WA741" s="23"/>
      <c r="WB741" s="23"/>
      <c r="WC741" s="23"/>
      <c r="WD741" s="23"/>
      <c r="WE741" s="23"/>
      <c r="WF741" s="23"/>
      <c r="WG741" s="23"/>
      <c r="WH741" s="23"/>
      <c r="WI741" s="23"/>
      <c r="WJ741" s="23"/>
      <c r="WK741" s="23"/>
      <c r="WL741" s="23"/>
      <c r="WM741" s="23"/>
      <c r="WN741" s="23"/>
      <c r="WO741" s="23"/>
      <c r="WP741" s="23"/>
      <c r="WQ741" s="23"/>
      <c r="WR741" s="23"/>
      <c r="WS741" s="23"/>
      <c r="WT741" s="23"/>
      <c r="WU741" s="23"/>
      <c r="WV741" s="23"/>
      <c r="WW741" s="23"/>
      <c r="WX741" s="23"/>
      <c r="WY741" s="23"/>
      <c r="WZ741" s="23"/>
      <c r="XA741" s="23"/>
      <c r="XB741" s="23"/>
      <c r="XC741" s="23"/>
      <c r="XD741" s="23"/>
      <c r="XE741" s="23"/>
      <c r="XF741" s="23"/>
      <c r="XG741" s="23"/>
      <c r="XH741" s="23"/>
      <c r="XI741" s="23"/>
      <c r="XJ741" s="23"/>
      <c r="XK741" s="23"/>
      <c r="XL741" s="23"/>
      <c r="XM741" s="23"/>
      <c r="XN741" s="23"/>
      <c r="XO741" s="23"/>
      <c r="XP741" s="23"/>
      <c r="XQ741" s="23"/>
      <c r="XR741" s="23"/>
      <c r="XS741" s="23"/>
      <c r="XT741" s="23"/>
      <c r="XU741" s="23"/>
      <c r="XV741" s="23"/>
      <c r="XW741" s="23"/>
      <c r="XX741" s="23"/>
      <c r="XY741" s="23"/>
      <c r="XZ741" s="23"/>
      <c r="YA741" s="23"/>
      <c r="YB741" s="23"/>
      <c r="YC741" s="23"/>
      <c r="YD741" s="23"/>
      <c r="YE741" s="23"/>
      <c r="YF741" s="23"/>
      <c r="YG741" s="23"/>
      <c r="YH741" s="23"/>
      <c r="YI741" s="23"/>
      <c r="YJ741" s="23"/>
      <c r="YK741" s="23"/>
      <c r="YL741" s="23"/>
      <c r="YM741" s="23"/>
      <c r="YN741" s="23"/>
      <c r="YO741" s="23"/>
      <c r="YP741" s="23"/>
      <c r="YQ741" s="23"/>
      <c r="YR741" s="23"/>
      <c r="YS741" s="23"/>
      <c r="YT741" s="23"/>
      <c r="YU741" s="23"/>
      <c r="YV741" s="23"/>
      <c r="YW741" s="23"/>
      <c r="YX741" s="23"/>
      <c r="YY741" s="23"/>
      <c r="YZ741" s="23"/>
      <c r="ZA741" s="23"/>
      <c r="ZB741" s="23"/>
      <c r="ZC741" s="23"/>
      <c r="ZD741" s="23"/>
      <c r="ZE741" s="23"/>
      <c r="ZF741" s="23"/>
      <c r="ZG741" s="23"/>
      <c r="ZH741" s="23"/>
      <c r="ZI741" s="23"/>
      <c r="ZJ741" s="23"/>
      <c r="ZK741" s="23"/>
      <c r="ZL741" s="23"/>
      <c r="ZM741" s="23"/>
      <c r="ZN741" s="23"/>
      <c r="ZO741" s="23"/>
      <c r="ZP741" s="23"/>
      <c r="ZQ741" s="23"/>
      <c r="ZR741" s="23"/>
      <c r="ZS741" s="23"/>
      <c r="ZT741" s="23"/>
      <c r="ZU741" s="23"/>
      <c r="ZV741" s="23"/>
      <c r="ZW741" s="23"/>
      <c r="ZX741" s="23"/>
      <c r="ZY741" s="23"/>
      <c r="ZZ741" s="23"/>
      <c r="AAA741" s="23"/>
      <c r="AAB741" s="23"/>
      <c r="AAC741" s="23"/>
      <c r="AAD741" s="23"/>
      <c r="AAE741" s="23"/>
      <c r="AAF741" s="23"/>
      <c r="AAG741" s="23"/>
      <c r="AAH741" s="23"/>
      <c r="AAI741" s="23"/>
      <c r="AAJ741" s="23"/>
      <c r="AAK741" s="23"/>
      <c r="AAL741" s="23"/>
      <c r="AAM741" s="23"/>
      <c r="AAN741" s="23"/>
      <c r="AAO741" s="23"/>
      <c r="AAP741" s="23"/>
      <c r="AAQ741" s="23"/>
      <c r="AAR741" s="23"/>
      <c r="AAS741" s="23"/>
      <c r="AAT741" s="23"/>
      <c r="AAU741" s="23"/>
      <c r="AAV741" s="23"/>
      <c r="AAW741" s="23"/>
      <c r="AAX741" s="23"/>
      <c r="AAY741" s="23"/>
      <c r="AAZ741" s="23"/>
      <c r="ABA741" s="23"/>
      <c r="ABB741" s="23"/>
      <c r="ABC741" s="23"/>
      <c r="ABD741" s="23"/>
      <c r="ABE741" s="23"/>
      <c r="ABF741" s="23"/>
      <c r="ABG741" s="23"/>
      <c r="ABH741" s="23"/>
      <c r="ABI741" s="23"/>
      <c r="ABJ741" s="23"/>
      <c r="ABK741" s="23"/>
      <c r="ABL741" s="23"/>
      <c r="ABM741" s="23"/>
      <c r="ABN741" s="23"/>
      <c r="ABO741" s="23"/>
      <c r="ABP741" s="23"/>
      <c r="ABQ741" s="23"/>
      <c r="ABR741" s="23"/>
      <c r="ABS741" s="23"/>
      <c r="ABT741" s="23"/>
      <c r="ABU741" s="23"/>
      <c r="ABV741" s="23"/>
      <c r="ABW741" s="23"/>
      <c r="ABX741" s="23"/>
      <c r="ABY741" s="23"/>
      <c r="ABZ741" s="23"/>
      <c r="ACA741" s="23"/>
      <c r="ACB741" s="23"/>
      <c r="ACC741" s="23"/>
      <c r="ACD741" s="23"/>
      <c r="ACE741" s="23"/>
      <c r="ACF741" s="23"/>
      <c r="ACG741" s="23"/>
      <c r="ACH741" s="23"/>
      <c r="ACI741" s="23"/>
      <c r="ACJ741" s="23"/>
      <c r="ACK741" s="23"/>
      <c r="ACL741" s="23"/>
      <c r="ACM741" s="23"/>
      <c r="ACN741" s="23"/>
      <c r="ACO741" s="23"/>
      <c r="ACP741" s="23"/>
      <c r="ACQ741" s="23"/>
      <c r="ACR741" s="23"/>
      <c r="ACS741" s="23"/>
      <c r="ACT741" s="23"/>
      <c r="ACU741" s="23"/>
      <c r="ACV741" s="23"/>
      <c r="ACW741" s="23"/>
      <c r="ACX741" s="23"/>
      <c r="ACY741" s="23"/>
      <c r="ACZ741" s="23"/>
      <c r="ADA741" s="23"/>
      <c r="ADB741" s="23"/>
      <c r="ADC741" s="23"/>
      <c r="ADD741" s="23"/>
      <c r="ADE741" s="23"/>
      <c r="ADF741" s="23"/>
      <c r="ADG741" s="23"/>
      <c r="ADH741" s="23"/>
      <c r="ADI741" s="23"/>
      <c r="ADJ741" s="23"/>
      <c r="ADK741" s="23"/>
      <c r="ADL741" s="23"/>
      <c r="ADM741" s="23"/>
      <c r="ADN741" s="23"/>
      <c r="ADO741" s="23"/>
      <c r="ADP741" s="23"/>
      <c r="ADQ741" s="23"/>
      <c r="ADR741" s="23"/>
      <c r="ADS741" s="23"/>
      <c r="ADT741" s="23"/>
      <c r="ADU741" s="23"/>
      <c r="ADV741" s="23"/>
      <c r="ADW741" s="23"/>
      <c r="ADX741" s="23"/>
      <c r="ADY741" s="23"/>
      <c r="ADZ741" s="23"/>
      <c r="AEA741" s="23"/>
      <c r="AEB741" s="23"/>
      <c r="AEC741" s="23"/>
      <c r="AED741" s="23"/>
      <c r="AEE741" s="23"/>
      <c r="AEF741" s="23"/>
      <c r="AEG741" s="23"/>
      <c r="AEH741" s="23"/>
      <c r="AEI741" s="23"/>
      <c r="AEJ741" s="23"/>
      <c r="AEK741" s="23"/>
      <c r="AEL741" s="23"/>
      <c r="AEM741" s="23"/>
      <c r="AEN741" s="23"/>
      <c r="AEO741" s="23"/>
      <c r="AEP741" s="23"/>
      <c r="AEQ741" s="23"/>
      <c r="AER741" s="23"/>
      <c r="AES741" s="23"/>
      <c r="AET741" s="23"/>
      <c r="AEU741" s="23"/>
      <c r="AEV741" s="23"/>
      <c r="AEW741" s="23"/>
      <c r="AEX741" s="23"/>
      <c r="AEY741" s="23"/>
      <c r="AEZ741" s="23"/>
      <c r="AFA741" s="23"/>
      <c r="AFB741" s="23"/>
      <c r="AFC741" s="23"/>
      <c r="AFD741" s="23"/>
      <c r="AFE741" s="23"/>
      <c r="AFF741" s="23"/>
      <c r="AFG741" s="23"/>
      <c r="AFH741" s="23"/>
      <c r="AFI741" s="23"/>
      <c r="AFJ741" s="23"/>
      <c r="AFK741" s="23"/>
      <c r="AFL741" s="23"/>
      <c r="AFM741" s="23"/>
      <c r="AFN741" s="23"/>
      <c r="AFO741" s="23"/>
      <c r="AFP741" s="23"/>
      <c r="AFQ741" s="23"/>
      <c r="AFR741" s="23"/>
      <c r="AFS741" s="23"/>
      <c r="AFT741" s="23"/>
      <c r="AFU741" s="23"/>
      <c r="AFV741" s="23"/>
      <c r="AFW741" s="23"/>
      <c r="AFX741" s="23"/>
      <c r="AFY741" s="23"/>
      <c r="AFZ741" s="23"/>
      <c r="AGA741" s="23"/>
      <c r="AGB741" s="23"/>
      <c r="AGC741" s="23"/>
      <c r="AGD741" s="23"/>
      <c r="AGE741" s="23"/>
      <c r="AGF741" s="23"/>
      <c r="AGG741" s="23"/>
      <c r="AGH741" s="23"/>
      <c r="AGI741" s="23"/>
      <c r="AGJ741" s="23"/>
      <c r="AGK741" s="23"/>
      <c r="AGL741" s="23"/>
      <c r="AGM741" s="23"/>
      <c r="AGN741" s="23"/>
      <c r="AGO741" s="23"/>
      <c r="AGP741" s="23"/>
      <c r="AGQ741" s="23"/>
      <c r="AGR741" s="23"/>
      <c r="AGS741" s="23"/>
      <c r="AGT741" s="23"/>
      <c r="AGU741" s="23"/>
      <c r="AGV741" s="23"/>
      <c r="AGW741" s="23"/>
      <c r="AGX741" s="23"/>
      <c r="AGY741" s="23"/>
      <c r="AGZ741" s="23"/>
      <c r="AHA741" s="23"/>
      <c r="AHB741" s="23"/>
      <c r="AHC741" s="23"/>
      <c r="AHD741" s="23"/>
      <c r="AHE741" s="23"/>
      <c r="AHF741" s="23"/>
      <c r="AHG741" s="23"/>
      <c r="AHH741" s="23"/>
      <c r="AHI741" s="23"/>
      <c r="AHJ741" s="23"/>
      <c r="AHK741" s="23"/>
      <c r="AHL741" s="23"/>
      <c r="AHM741" s="23"/>
      <c r="AHN741" s="23"/>
      <c r="AHO741" s="23"/>
      <c r="AHP741" s="23"/>
      <c r="AHQ741" s="23"/>
      <c r="AHR741" s="23"/>
      <c r="AHS741" s="23"/>
      <c r="AHT741" s="23"/>
      <c r="AHU741" s="23"/>
      <c r="AHV741" s="23"/>
      <c r="AHW741" s="23"/>
      <c r="AHX741" s="23"/>
      <c r="AHY741" s="23"/>
      <c r="AHZ741" s="23"/>
      <c r="AIA741" s="23"/>
      <c r="AIB741" s="23"/>
      <c r="AIC741" s="23"/>
      <c r="AID741" s="23"/>
      <c r="AIE741" s="23"/>
      <c r="AIF741" s="23"/>
      <c r="AIG741" s="23"/>
      <c r="AIH741" s="23"/>
      <c r="AII741" s="23"/>
      <c r="AIJ741" s="23"/>
      <c r="AIK741" s="23"/>
      <c r="AIL741" s="23"/>
      <c r="AIM741" s="23"/>
      <c r="AIN741" s="23"/>
      <c r="AIO741" s="23"/>
      <c r="AIP741" s="23"/>
      <c r="AIQ741" s="23"/>
      <c r="AIR741" s="23"/>
      <c r="AIS741" s="23"/>
      <c r="AIT741" s="23"/>
      <c r="AIU741" s="23"/>
      <c r="AIV741" s="23"/>
      <c r="AIW741" s="23"/>
      <c r="AIX741" s="23"/>
      <c r="AIY741" s="23"/>
      <c r="AIZ741" s="23"/>
      <c r="AJA741" s="23"/>
      <c r="AJB741" s="23"/>
      <c r="AJC741" s="23"/>
      <c r="AJD741" s="23"/>
      <c r="AJE741" s="23"/>
      <c r="AJF741" s="23"/>
      <c r="AJG741" s="23"/>
      <c r="AJH741" s="23"/>
      <c r="AJI741" s="23"/>
      <c r="AJJ741" s="23"/>
      <c r="AJK741" s="23"/>
      <c r="AJL741" s="23"/>
      <c r="AJM741" s="23"/>
      <c r="AJN741" s="23"/>
      <c r="AJO741" s="23"/>
      <c r="AJP741" s="23"/>
      <c r="AJQ741" s="23"/>
      <c r="AJR741" s="23"/>
      <c r="AJS741" s="23"/>
      <c r="AJT741" s="23"/>
      <c r="AJU741" s="23"/>
      <c r="AJV741" s="23"/>
      <c r="AJW741" s="23"/>
      <c r="AJX741" s="23"/>
      <c r="AJY741" s="23"/>
      <c r="AJZ741" s="23"/>
      <c r="AKA741" s="23"/>
      <c r="AKB741" s="23"/>
      <c r="AKC741" s="23"/>
      <c r="AKD741" s="23"/>
      <c r="AKE741" s="23"/>
      <c r="AKF741" s="23"/>
      <c r="AKG741" s="23"/>
      <c r="AKH741" s="23"/>
      <c r="AKI741" s="23"/>
      <c r="AKJ741" s="23"/>
      <c r="AKK741" s="23"/>
      <c r="AKL741" s="23"/>
      <c r="AKM741" s="23"/>
      <c r="AKN741" s="23"/>
      <c r="AKO741" s="23"/>
      <c r="AKP741" s="23"/>
      <c r="AKQ741" s="23"/>
      <c r="AKR741" s="23"/>
      <c r="AKS741" s="23"/>
      <c r="AKT741" s="23"/>
      <c r="AKU741" s="23"/>
      <c r="AKV741" s="23"/>
      <c r="AKW741" s="23"/>
      <c r="AKX741" s="23"/>
      <c r="AKY741" s="23"/>
      <c r="AKZ741" s="23"/>
      <c r="ALA741" s="23"/>
      <c r="ALB741" s="23"/>
      <c r="ALC741" s="23"/>
      <c r="ALD741" s="23"/>
      <c r="ALE741" s="23"/>
      <c r="ALF741" s="23"/>
      <c r="ALG741" s="23"/>
      <c r="ALH741" s="23"/>
      <c r="ALI741" s="23"/>
      <c r="ALJ741" s="23"/>
      <c r="ALK741" s="23"/>
      <c r="ALL741" s="23"/>
      <c r="ALM741" s="23"/>
      <c r="ALN741" s="23"/>
      <c r="ALO741" s="23"/>
      <c r="ALP741" s="23"/>
      <c r="ALQ741" s="23"/>
      <c r="ALR741" s="23"/>
      <c r="ALS741" s="23"/>
      <c r="ALT741" s="23"/>
      <c r="ALU741" s="23"/>
      <c r="ALV741" s="23"/>
      <c r="ALW741" s="23"/>
      <c r="ALX741" s="23"/>
      <c r="ALY741" s="23"/>
      <c r="ALZ741" s="23"/>
      <c r="AMA741" s="23"/>
      <c r="AMB741" s="23"/>
      <c r="AMC741" s="23"/>
      <c r="AMD741" s="23"/>
      <c r="AME741" s="23"/>
      <c r="AMF741" s="23"/>
      <c r="AMG741" s="23"/>
      <c r="AMH741" s="23"/>
      <c r="AMI741" s="23"/>
      <c r="AMJ741" s="23"/>
      <c r="AMK741" s="23"/>
      <c r="AML741" s="23"/>
      <c r="AMM741" s="23"/>
      <c r="AMN741" s="23"/>
      <c r="AMO741" s="23"/>
      <c r="AMP741" s="23"/>
      <c r="AMQ741" s="23"/>
      <c r="AMR741" s="23"/>
      <c r="AMS741" s="23"/>
      <c r="AMT741" s="23"/>
      <c r="AMU741" s="23"/>
      <c r="AMV741" s="23"/>
      <c r="AMW741" s="23"/>
      <c r="AMX741" s="23"/>
      <c r="AMY741" s="23"/>
      <c r="AMZ741" s="23"/>
      <c r="ANA741" s="23"/>
      <c r="ANB741" s="23"/>
      <c r="ANC741" s="23"/>
      <c r="AND741" s="23"/>
      <c r="ANE741" s="23"/>
      <c r="ANF741" s="23"/>
      <c r="ANG741" s="23"/>
      <c r="ANH741" s="23"/>
      <c r="ANI741" s="23"/>
      <c r="ANJ741" s="23"/>
      <c r="ANK741" s="23"/>
      <c r="ANL741" s="23"/>
      <c r="ANM741" s="23"/>
      <c r="ANN741" s="23"/>
      <c r="ANO741" s="23"/>
      <c r="ANP741" s="23"/>
      <c r="ANQ741" s="23"/>
      <c r="ANR741" s="23"/>
      <c r="ANS741" s="23"/>
      <c r="ANT741" s="23"/>
      <c r="ANU741" s="23"/>
      <c r="ANV741" s="23"/>
      <c r="ANW741" s="23"/>
      <c r="ANX741" s="23"/>
      <c r="ANY741" s="23"/>
      <c r="ANZ741" s="23"/>
      <c r="AOA741" s="23"/>
      <c r="AOB741" s="23"/>
      <c r="AOC741" s="23"/>
      <c r="AOD741" s="23"/>
      <c r="AOE741" s="23"/>
      <c r="AOF741" s="23"/>
      <c r="AOG741" s="23"/>
      <c r="AOH741" s="23"/>
      <c r="AOI741" s="23"/>
      <c r="AOJ741" s="23"/>
      <c r="AOK741" s="23"/>
      <c r="AOL741" s="23"/>
      <c r="AOM741" s="23"/>
      <c r="AON741" s="23"/>
      <c r="AOO741" s="23"/>
      <c r="AOP741" s="23"/>
      <c r="AOQ741" s="23"/>
      <c r="AOR741" s="23"/>
      <c r="AOS741" s="23"/>
      <c r="AOT741" s="23"/>
      <c r="AOU741" s="23"/>
      <c r="AOV741" s="23"/>
      <c r="AOW741" s="23"/>
      <c r="AOX741" s="23"/>
      <c r="AOY741" s="23"/>
      <c r="AOZ741" s="23"/>
      <c r="APA741" s="23"/>
      <c r="APB741" s="23"/>
      <c r="APC741" s="23"/>
      <c r="APD741" s="23"/>
      <c r="APE741" s="23"/>
      <c r="APF741" s="23"/>
      <c r="APG741" s="23"/>
      <c r="APH741" s="23"/>
      <c r="API741" s="23"/>
      <c r="APJ741" s="23"/>
      <c r="APK741" s="23"/>
      <c r="APL741" s="23"/>
      <c r="APM741" s="23"/>
      <c r="APN741" s="23"/>
      <c r="APO741" s="23"/>
      <c r="APP741" s="23"/>
      <c r="APQ741" s="23"/>
      <c r="APR741" s="23"/>
      <c r="APS741" s="23"/>
      <c r="APT741" s="23"/>
      <c r="APU741" s="23"/>
      <c r="APV741" s="23"/>
      <c r="APW741" s="23"/>
      <c r="APX741" s="23"/>
      <c r="APY741" s="23"/>
      <c r="APZ741" s="23"/>
      <c r="AQA741" s="23"/>
      <c r="AQB741" s="23"/>
      <c r="AQC741" s="23"/>
      <c r="AQD741" s="23"/>
      <c r="AQE741" s="23"/>
      <c r="AQF741" s="23"/>
      <c r="AQG741" s="23"/>
      <c r="AQH741" s="23"/>
      <c r="AQI741" s="23"/>
      <c r="AQJ741" s="23"/>
      <c r="AQK741" s="23"/>
      <c r="AQL741" s="23"/>
      <c r="AQM741" s="23"/>
      <c r="AQN741" s="23"/>
      <c r="AQO741" s="23"/>
      <c r="AQP741" s="23"/>
      <c r="AQQ741" s="23"/>
      <c r="AQR741" s="23"/>
      <c r="AQS741" s="23"/>
      <c r="AQT741" s="23"/>
      <c r="AQU741" s="23"/>
      <c r="AQV741" s="23"/>
      <c r="AQW741" s="23"/>
      <c r="AQX741" s="23"/>
      <c r="AQY741" s="23"/>
      <c r="AQZ741" s="23"/>
      <c r="ARA741" s="23"/>
      <c r="ARB741" s="23"/>
      <c r="ARC741" s="23"/>
      <c r="ARD741" s="23"/>
      <c r="ARE741" s="23"/>
      <c r="ARF741" s="23"/>
      <c r="ARG741" s="23"/>
      <c r="ARH741" s="23"/>
      <c r="ARI741" s="23"/>
      <c r="ARJ741" s="23"/>
      <c r="ARK741" s="23"/>
      <c r="ARL741" s="23"/>
      <c r="ARM741" s="23"/>
      <c r="ARN741" s="23"/>
      <c r="ARO741" s="23"/>
      <c r="ARP741" s="23"/>
      <c r="ARQ741" s="23"/>
      <c r="ARR741" s="23"/>
      <c r="ARS741" s="23"/>
      <c r="ART741" s="23"/>
      <c r="ARU741" s="23"/>
      <c r="ARV741" s="23"/>
      <c r="ARW741" s="23"/>
      <c r="ARX741" s="23"/>
      <c r="ARY741" s="23"/>
      <c r="ARZ741" s="23"/>
      <c r="ASA741" s="23"/>
      <c r="ASB741" s="23"/>
      <c r="ASC741" s="23"/>
      <c r="ASD741" s="23"/>
      <c r="ASE741" s="23"/>
      <c r="ASF741" s="23"/>
      <c r="ASG741" s="23"/>
      <c r="ASH741" s="23"/>
      <c r="ASI741" s="23"/>
      <c r="ASJ741" s="23"/>
      <c r="ASK741" s="23"/>
      <c r="ASL741" s="23"/>
      <c r="ASM741" s="23"/>
      <c r="ASN741" s="23"/>
      <c r="ASO741" s="23"/>
      <c r="ASP741" s="23"/>
      <c r="ASQ741" s="23"/>
      <c r="ASR741" s="23"/>
      <c r="ASS741" s="23"/>
      <c r="AST741" s="23"/>
      <c r="ASU741" s="23"/>
      <c r="ASV741" s="23"/>
      <c r="ASW741" s="23"/>
      <c r="ASX741" s="23"/>
      <c r="ASY741" s="23"/>
      <c r="ASZ741" s="23"/>
      <c r="ATA741" s="23"/>
      <c r="ATB741" s="23"/>
      <c r="ATC741" s="23"/>
      <c r="ATD741" s="23"/>
      <c r="ATE741" s="23"/>
      <c r="ATF741" s="23"/>
      <c r="ATG741" s="23"/>
      <c r="ATH741" s="23"/>
      <c r="ATI741" s="23"/>
      <c r="ATJ741" s="23"/>
      <c r="ATK741" s="23"/>
      <c r="ATL741" s="23"/>
      <c r="ATM741" s="23"/>
      <c r="ATN741" s="23"/>
      <c r="ATO741" s="23"/>
      <c r="ATP741" s="23"/>
      <c r="ATQ741" s="23"/>
      <c r="ATR741" s="23"/>
      <c r="ATS741" s="23"/>
      <c r="ATT741" s="23"/>
      <c r="ATU741" s="23"/>
      <c r="ATV741" s="23"/>
      <c r="ATW741" s="23"/>
      <c r="ATX741" s="23"/>
      <c r="ATY741" s="23"/>
      <c r="ATZ741" s="23"/>
      <c r="AUA741" s="23"/>
      <c r="AUB741" s="23"/>
      <c r="AUC741" s="23"/>
      <c r="AUD741" s="23"/>
      <c r="AUE741" s="23"/>
      <c r="AUF741" s="23"/>
      <c r="AUG741" s="23"/>
      <c r="AUH741" s="23"/>
      <c r="AUI741" s="23"/>
      <c r="AUJ741" s="23"/>
      <c r="AUK741" s="23"/>
      <c r="AUL741" s="23"/>
      <c r="AUM741" s="23"/>
      <c r="AUN741" s="23"/>
      <c r="AUO741" s="23"/>
      <c r="AUP741" s="23"/>
      <c r="AUQ741" s="23"/>
      <c r="AUR741" s="23"/>
      <c r="AUS741" s="23"/>
      <c r="AUT741" s="23"/>
      <c r="AUU741" s="23"/>
      <c r="AUV741" s="23"/>
      <c r="AUW741" s="23"/>
      <c r="AUX741" s="23"/>
      <c r="AUY741" s="23"/>
      <c r="AUZ741" s="23"/>
      <c r="AVA741" s="23"/>
      <c r="AVB741" s="23"/>
      <c r="AVC741" s="23"/>
      <c r="AVD741" s="23"/>
      <c r="AVE741" s="23"/>
      <c r="AVF741" s="23"/>
      <c r="AVG741" s="23"/>
      <c r="AVH741" s="23"/>
      <c r="AVI741" s="23"/>
      <c r="AVJ741" s="23"/>
      <c r="AVK741" s="23"/>
      <c r="AVL741" s="23"/>
      <c r="AVM741" s="23"/>
      <c r="AVN741" s="23"/>
      <c r="AVO741" s="23"/>
      <c r="AVP741" s="23"/>
      <c r="AVQ741" s="23"/>
      <c r="AVR741" s="23"/>
      <c r="AVS741" s="23"/>
      <c r="AVT741" s="23"/>
      <c r="AVU741" s="23"/>
      <c r="AVV741" s="23"/>
      <c r="AVW741" s="23"/>
      <c r="AVX741" s="23"/>
      <c r="AVY741" s="23"/>
      <c r="AVZ741" s="23"/>
      <c r="AWA741" s="23"/>
      <c r="AWB741" s="23"/>
      <c r="AWC741" s="23"/>
      <c r="AWD741" s="23"/>
      <c r="AWE741" s="23"/>
      <c r="AWF741" s="23"/>
      <c r="AWG741" s="23"/>
      <c r="AWH741" s="23"/>
      <c r="AWI741" s="23"/>
      <c r="AWJ741" s="23"/>
      <c r="AWK741" s="23"/>
      <c r="AWL741" s="23"/>
      <c r="AWM741" s="23"/>
      <c r="AWN741" s="23"/>
      <c r="AWO741" s="23"/>
      <c r="AWP741" s="23"/>
      <c r="AWQ741" s="23"/>
      <c r="AWR741" s="23"/>
      <c r="AWS741" s="23"/>
      <c r="AWT741" s="23"/>
      <c r="AWU741" s="23"/>
      <c r="AWV741" s="23"/>
      <c r="AWW741" s="23"/>
      <c r="AWX741" s="23"/>
      <c r="AWY741" s="23"/>
      <c r="AWZ741" s="23"/>
      <c r="AXA741" s="23"/>
      <c r="AXB741" s="23"/>
      <c r="AXC741" s="23"/>
      <c r="AXD741" s="23"/>
      <c r="AXE741" s="23"/>
      <c r="AXF741" s="23"/>
      <c r="AXG741" s="23"/>
      <c r="AXH741" s="23"/>
      <c r="AXI741" s="23"/>
      <c r="AXJ741" s="23"/>
      <c r="AXK741" s="23"/>
      <c r="AXL741" s="23"/>
      <c r="AXM741" s="23"/>
      <c r="AXN741" s="23"/>
      <c r="AXO741" s="23"/>
      <c r="AXP741" s="23"/>
      <c r="AXQ741" s="23"/>
      <c r="AXR741" s="23"/>
      <c r="AXS741" s="23"/>
      <c r="AXT741" s="23"/>
      <c r="AXU741" s="23"/>
      <c r="AXV741" s="23"/>
      <c r="AXW741" s="23"/>
      <c r="AXX741" s="23"/>
      <c r="AXY741" s="23"/>
      <c r="AXZ741" s="23"/>
      <c r="AYA741" s="23"/>
      <c r="AYB741" s="23"/>
      <c r="AYC741" s="23"/>
      <c r="AYD741" s="23"/>
      <c r="AYE741" s="23"/>
      <c r="AYF741" s="23"/>
      <c r="AYG741" s="23"/>
      <c r="AYH741" s="23"/>
      <c r="AYI741" s="23"/>
      <c r="AYJ741" s="23"/>
      <c r="AYK741" s="23"/>
      <c r="AYL741" s="23"/>
      <c r="AYM741" s="23"/>
      <c r="AYN741" s="23"/>
      <c r="AYO741" s="23"/>
      <c r="AYP741" s="23"/>
      <c r="AYQ741" s="23"/>
      <c r="AYR741" s="23"/>
      <c r="AYS741" s="23"/>
      <c r="AYT741" s="23"/>
      <c r="AYU741" s="23"/>
      <c r="AYV741" s="23"/>
      <c r="AYW741" s="23"/>
      <c r="AYX741" s="23"/>
      <c r="AYY741" s="23"/>
      <c r="AYZ741" s="23"/>
      <c r="AZA741" s="23"/>
      <c r="AZB741" s="23"/>
      <c r="AZC741" s="23"/>
      <c r="AZD741" s="23"/>
      <c r="AZE741" s="23"/>
      <c r="AZF741" s="23"/>
      <c r="AZG741" s="23"/>
      <c r="AZH741" s="23"/>
      <c r="AZI741" s="23"/>
      <c r="AZJ741" s="23"/>
      <c r="AZK741" s="23"/>
      <c r="AZL741" s="23"/>
      <c r="AZM741" s="23"/>
      <c r="AZN741" s="23"/>
      <c r="AZO741" s="23"/>
      <c r="AZP741" s="23"/>
      <c r="AZQ741" s="23"/>
      <c r="AZR741" s="23"/>
      <c r="AZS741" s="23"/>
      <c r="AZT741" s="23"/>
      <c r="AZU741" s="23"/>
      <c r="AZV741" s="23"/>
      <c r="AZW741" s="23"/>
      <c r="AZX741" s="23"/>
      <c r="AZY741" s="23"/>
      <c r="AZZ741" s="23"/>
      <c r="BAA741" s="23"/>
      <c r="BAB741" s="23"/>
      <c r="BAC741" s="23"/>
      <c r="BAD741" s="23"/>
      <c r="BAE741" s="23"/>
      <c r="BAF741" s="23"/>
      <c r="BAG741" s="23"/>
      <c r="BAH741" s="23"/>
      <c r="BAI741" s="23"/>
      <c r="BAJ741" s="23"/>
      <c r="BAK741" s="23"/>
      <c r="BAL741" s="23"/>
      <c r="BAM741" s="23"/>
      <c r="BAN741" s="23"/>
      <c r="BAO741" s="23"/>
      <c r="BAP741" s="23"/>
      <c r="BAQ741" s="23"/>
      <c r="BAR741" s="23"/>
      <c r="BAS741" s="23"/>
      <c r="BAT741" s="23"/>
      <c r="BAU741" s="23"/>
      <c r="BAV741" s="23"/>
      <c r="BAW741" s="23"/>
      <c r="BAX741" s="23"/>
      <c r="BAY741" s="23"/>
      <c r="BAZ741" s="23"/>
      <c r="BBA741" s="23"/>
      <c r="BBB741" s="23"/>
      <c r="BBC741" s="23"/>
      <c r="BBD741" s="23"/>
      <c r="BBE741" s="23"/>
      <c r="BBF741" s="23"/>
      <c r="BBG741" s="23"/>
      <c r="BBH741" s="23"/>
      <c r="BBI741" s="23"/>
      <c r="BBJ741" s="23"/>
      <c r="BBK741" s="23"/>
      <c r="BBL741" s="23"/>
      <c r="BBM741" s="23"/>
      <c r="BBN741" s="23"/>
      <c r="BBO741" s="23"/>
      <c r="BBP741" s="23"/>
      <c r="BBQ741" s="23"/>
      <c r="BBR741" s="23"/>
      <c r="BBS741" s="23"/>
      <c r="BBT741" s="23"/>
      <c r="BBU741" s="23"/>
      <c r="BBV741" s="23"/>
      <c r="BBW741" s="23"/>
      <c r="BBX741" s="23"/>
      <c r="BBY741" s="23"/>
      <c r="BBZ741" s="23"/>
      <c r="BCA741" s="23"/>
      <c r="BCB741" s="23"/>
      <c r="BCC741" s="23"/>
      <c r="BCD741" s="23"/>
      <c r="BCE741" s="23"/>
      <c r="BCF741" s="23"/>
      <c r="BCG741" s="23"/>
      <c r="BCH741" s="23"/>
      <c r="BCI741" s="23"/>
      <c r="BCJ741" s="23"/>
      <c r="BCK741" s="23"/>
      <c r="BCL741" s="23"/>
      <c r="BCM741" s="23"/>
      <c r="BCN741" s="23"/>
      <c r="BCO741" s="23"/>
      <c r="BCP741" s="23"/>
      <c r="BCQ741" s="23"/>
      <c r="BCR741" s="23"/>
      <c r="BCS741" s="23"/>
      <c r="BCT741" s="23"/>
      <c r="BCU741" s="23"/>
      <c r="BCV741" s="23"/>
      <c r="BCW741" s="23"/>
      <c r="BCX741" s="23"/>
      <c r="BCY741" s="23"/>
      <c r="BCZ741" s="23"/>
      <c r="BDA741" s="23"/>
      <c r="BDB741" s="23"/>
      <c r="BDC741" s="23"/>
      <c r="BDD741" s="23"/>
      <c r="BDE741" s="23"/>
      <c r="BDF741" s="23"/>
      <c r="BDG741" s="23"/>
      <c r="BDH741" s="23"/>
      <c r="BDI741" s="23"/>
      <c r="BDJ741" s="23"/>
      <c r="BDK741" s="23"/>
      <c r="BDL741" s="23"/>
      <c r="BDM741" s="23"/>
      <c r="BDN741" s="23"/>
      <c r="BDO741" s="23"/>
      <c r="BDP741" s="23"/>
      <c r="BDQ741" s="23"/>
      <c r="BDR741" s="23"/>
      <c r="BDS741" s="23"/>
      <c r="BDT741" s="23"/>
      <c r="BDU741" s="23"/>
      <c r="BDV741" s="23"/>
      <c r="BDW741" s="23"/>
      <c r="BDX741" s="23"/>
      <c r="BDY741" s="23"/>
      <c r="BDZ741" s="23"/>
      <c r="BEA741" s="23"/>
      <c r="BEB741" s="23"/>
      <c r="BEC741" s="23"/>
      <c r="BED741" s="23"/>
      <c r="BEE741" s="23"/>
      <c r="BEF741" s="23"/>
      <c r="BEG741" s="23"/>
      <c r="BEH741" s="23"/>
      <c r="BEI741" s="23"/>
      <c r="BEJ741" s="23"/>
      <c r="BEK741" s="23"/>
      <c r="BEL741" s="23"/>
      <c r="BEM741" s="23"/>
      <c r="BEN741" s="23"/>
      <c r="BEO741" s="23"/>
      <c r="BEP741" s="23"/>
      <c r="BEQ741" s="23"/>
      <c r="BER741" s="23"/>
      <c r="BES741" s="23"/>
      <c r="BET741" s="23"/>
      <c r="BEU741" s="23"/>
      <c r="BEV741" s="23"/>
      <c r="BEW741" s="23"/>
      <c r="BEX741" s="23"/>
      <c r="BEY741" s="23"/>
      <c r="BEZ741" s="23"/>
      <c r="BFA741" s="23"/>
      <c r="BFB741" s="23"/>
      <c r="BFC741" s="23"/>
      <c r="BFD741" s="23"/>
      <c r="BFE741" s="23"/>
      <c r="BFF741" s="23"/>
      <c r="BFG741" s="23"/>
      <c r="BFH741" s="23"/>
      <c r="BFI741" s="23"/>
      <c r="BFJ741" s="23"/>
      <c r="BFK741" s="23"/>
      <c r="BFL741" s="23"/>
      <c r="BFM741" s="23"/>
      <c r="BFN741" s="23"/>
      <c r="BFO741" s="23"/>
      <c r="BFP741" s="23"/>
      <c r="BFQ741" s="23"/>
      <c r="BFR741" s="23"/>
      <c r="BFS741" s="23"/>
      <c r="BFT741" s="23"/>
      <c r="BFU741" s="23"/>
      <c r="BFV741" s="23"/>
      <c r="BFW741" s="23"/>
      <c r="BFX741" s="23"/>
      <c r="BFY741" s="23"/>
      <c r="BFZ741" s="23"/>
      <c r="BGA741" s="23"/>
      <c r="BGB741" s="23"/>
      <c r="BGC741" s="23"/>
      <c r="BGD741" s="23"/>
      <c r="BGE741" s="23"/>
      <c r="BGF741" s="23"/>
      <c r="BGG741" s="23"/>
      <c r="BGH741" s="23"/>
      <c r="BGI741" s="23"/>
      <c r="BGJ741" s="23"/>
      <c r="BGK741" s="23"/>
      <c r="BGL741" s="23"/>
      <c r="BGM741" s="23"/>
      <c r="BGN741" s="23"/>
      <c r="BGO741" s="23"/>
      <c r="BGP741" s="23"/>
      <c r="BGQ741" s="23"/>
      <c r="BGR741" s="23"/>
      <c r="BGS741" s="23"/>
      <c r="BGT741" s="23"/>
      <c r="BGU741" s="23"/>
      <c r="BGV741" s="23"/>
      <c r="BGW741" s="23"/>
      <c r="BGX741" s="23"/>
      <c r="BGY741" s="23"/>
      <c r="BGZ741" s="23"/>
      <c r="BHA741" s="23"/>
      <c r="BHB741" s="23"/>
      <c r="BHC741" s="23"/>
      <c r="BHD741" s="23"/>
      <c r="BHE741" s="23"/>
      <c r="BHF741" s="23"/>
      <c r="BHG741" s="23"/>
      <c r="BHH741" s="23"/>
      <c r="BHI741" s="23"/>
      <c r="BHJ741" s="23"/>
      <c r="BHK741" s="23"/>
      <c r="BHL741" s="23"/>
      <c r="BHM741" s="23"/>
      <c r="BHN741" s="23"/>
      <c r="BHO741" s="23"/>
      <c r="BHP741" s="23"/>
      <c r="BHQ741" s="23"/>
      <c r="BHR741" s="23"/>
      <c r="BHS741" s="23"/>
      <c r="BHT741" s="23"/>
      <c r="BHU741" s="23"/>
      <c r="BHV741" s="23"/>
      <c r="BHW741" s="23"/>
      <c r="BHX741" s="23"/>
      <c r="BHY741" s="23"/>
      <c r="BHZ741" s="23"/>
      <c r="BIA741" s="23"/>
      <c r="BIB741" s="23"/>
      <c r="BIC741" s="23"/>
      <c r="BID741" s="23"/>
      <c r="BIE741" s="23"/>
      <c r="BIF741" s="23"/>
      <c r="BIG741" s="23"/>
      <c r="BIH741" s="23"/>
      <c r="BII741" s="23"/>
      <c r="BIJ741" s="23"/>
      <c r="BIK741" s="23"/>
      <c r="BIL741" s="23"/>
      <c r="BIM741" s="23"/>
      <c r="BIN741" s="23"/>
      <c r="BIO741" s="23"/>
      <c r="BIP741" s="23"/>
      <c r="BIQ741" s="23"/>
      <c r="BIR741" s="23"/>
      <c r="BIS741" s="23"/>
      <c r="BIT741" s="23"/>
      <c r="BIU741" s="23"/>
      <c r="BIV741" s="23"/>
      <c r="BIW741" s="23"/>
      <c r="BIX741" s="23"/>
      <c r="BIY741" s="23"/>
      <c r="BIZ741" s="23"/>
      <c r="BJA741" s="23"/>
      <c r="BJB741" s="23"/>
      <c r="BJC741" s="23"/>
      <c r="BJD741" s="23"/>
      <c r="BJE741" s="23"/>
      <c r="BJF741" s="23"/>
      <c r="BJG741" s="23"/>
      <c r="BJH741" s="23"/>
      <c r="BJI741" s="23"/>
      <c r="BJJ741" s="23"/>
      <c r="BJK741" s="23"/>
      <c r="BJL741" s="23"/>
      <c r="BJM741" s="23"/>
      <c r="BJN741" s="23"/>
      <c r="BJO741" s="23"/>
      <c r="BJP741" s="23"/>
      <c r="BJQ741" s="23"/>
      <c r="BJR741" s="23"/>
      <c r="BJS741" s="23"/>
      <c r="BJT741" s="23"/>
      <c r="BJU741" s="23"/>
      <c r="BJV741" s="23"/>
      <c r="BJW741" s="23"/>
      <c r="BJX741" s="23"/>
      <c r="BJY741" s="23"/>
      <c r="BJZ741" s="23"/>
      <c r="BKA741" s="23"/>
      <c r="BKB741" s="23"/>
      <c r="BKC741" s="23"/>
      <c r="BKD741" s="23"/>
      <c r="BKE741" s="23"/>
      <c r="BKF741" s="23"/>
      <c r="BKG741" s="23"/>
      <c r="BKH741" s="23"/>
      <c r="BKI741" s="23"/>
      <c r="BKJ741" s="23"/>
      <c r="BKK741" s="23"/>
      <c r="BKL741" s="23"/>
      <c r="BKM741" s="23"/>
      <c r="BKN741" s="23"/>
      <c r="BKO741" s="23"/>
      <c r="BKP741" s="23"/>
      <c r="BKQ741" s="23"/>
      <c r="BKR741" s="23"/>
      <c r="BKS741" s="23"/>
      <c r="BKT741" s="23"/>
      <c r="BKU741" s="23"/>
      <c r="BKV741" s="23"/>
      <c r="BKW741" s="23"/>
      <c r="BKX741" s="23"/>
      <c r="BKY741" s="23"/>
      <c r="BKZ741" s="23"/>
      <c r="BLA741" s="23"/>
      <c r="BLB741" s="23"/>
      <c r="BLC741" s="23"/>
      <c r="BLD741" s="23"/>
      <c r="BLE741" s="23"/>
      <c r="BLF741" s="23"/>
      <c r="BLG741" s="23"/>
      <c r="BLH741" s="23"/>
      <c r="BLI741" s="23"/>
      <c r="BLJ741" s="23"/>
      <c r="BLK741" s="23"/>
      <c r="BLL741" s="23"/>
      <c r="BLM741" s="23"/>
      <c r="BLN741" s="23"/>
      <c r="BLO741" s="23"/>
      <c r="BLP741" s="23"/>
      <c r="BLQ741" s="23"/>
      <c r="BLR741" s="23"/>
      <c r="BLS741" s="23"/>
      <c r="BLT741" s="23"/>
      <c r="BLU741" s="23"/>
      <c r="BLV741" s="23"/>
      <c r="BLW741" s="23"/>
      <c r="BLX741" s="23"/>
      <c r="BLY741" s="23"/>
      <c r="BLZ741" s="23"/>
      <c r="BMA741" s="23"/>
      <c r="BMB741" s="23"/>
      <c r="BMC741" s="23"/>
      <c r="BMD741" s="23"/>
      <c r="BME741" s="23"/>
      <c r="BMF741" s="23"/>
      <c r="BMG741" s="23"/>
      <c r="BMH741" s="23"/>
      <c r="BMI741" s="23"/>
      <c r="BMJ741" s="23"/>
      <c r="BMK741" s="23"/>
      <c r="BML741" s="23"/>
      <c r="BMM741" s="23"/>
      <c r="BMN741" s="23"/>
      <c r="BMO741" s="23"/>
      <c r="BMP741" s="23"/>
      <c r="BMQ741" s="23"/>
      <c r="BMR741" s="23"/>
      <c r="BMS741" s="23"/>
      <c r="BMT741" s="23"/>
      <c r="BMU741" s="23"/>
      <c r="BMV741" s="23"/>
      <c r="BMW741" s="23"/>
      <c r="BMX741" s="23"/>
      <c r="BMY741" s="23"/>
      <c r="BMZ741" s="23"/>
      <c r="BNA741" s="23"/>
      <c r="BNB741" s="23"/>
      <c r="BNC741" s="23"/>
      <c r="BND741" s="23"/>
      <c r="BNE741" s="23"/>
      <c r="BNF741" s="23"/>
      <c r="BNG741" s="23"/>
      <c r="BNH741" s="23"/>
      <c r="BNI741" s="23"/>
      <c r="BNJ741" s="23"/>
      <c r="BNK741" s="23"/>
      <c r="BNL741" s="23"/>
      <c r="BNM741" s="23"/>
      <c r="BNN741" s="23"/>
      <c r="BNO741" s="23"/>
      <c r="BNP741" s="23"/>
      <c r="BNQ741" s="23"/>
      <c r="BNR741" s="23"/>
      <c r="BNS741" s="23"/>
      <c r="BNT741" s="23"/>
      <c r="BNU741" s="23"/>
      <c r="BNV741" s="23"/>
      <c r="BNW741" s="23"/>
      <c r="BNX741" s="23"/>
      <c r="BNY741" s="23"/>
      <c r="BNZ741" s="23"/>
      <c r="BOA741" s="23"/>
      <c r="BOB741" s="23"/>
      <c r="BOC741" s="23"/>
      <c r="BOD741" s="23"/>
      <c r="BOE741" s="23"/>
      <c r="BOF741" s="23"/>
      <c r="BOG741" s="23"/>
      <c r="BOH741" s="23"/>
      <c r="BOI741" s="23"/>
      <c r="BOJ741" s="23"/>
      <c r="BOK741" s="23"/>
      <c r="BOL741" s="23"/>
      <c r="BOM741" s="23"/>
      <c r="BON741" s="23"/>
      <c r="BOO741" s="23"/>
      <c r="BOP741" s="23"/>
      <c r="BOQ741" s="23"/>
      <c r="BOR741" s="23"/>
      <c r="BOS741" s="23"/>
      <c r="BOT741" s="23"/>
      <c r="BOU741" s="23"/>
      <c r="BOV741" s="23"/>
      <c r="BOW741" s="23"/>
      <c r="BOX741" s="23"/>
      <c r="BOY741" s="23"/>
      <c r="BOZ741" s="23"/>
      <c r="BPA741" s="23"/>
      <c r="BPB741" s="23"/>
      <c r="BPC741" s="23"/>
      <c r="BPD741" s="23"/>
      <c r="BPE741" s="23"/>
      <c r="BPF741" s="23"/>
      <c r="BPG741" s="23"/>
      <c r="BPH741" s="23"/>
      <c r="BPI741" s="23"/>
      <c r="BPJ741" s="23"/>
      <c r="BPK741" s="23"/>
      <c r="BPL741" s="23"/>
      <c r="BPM741" s="23"/>
      <c r="BPN741" s="23"/>
      <c r="BPO741" s="23"/>
      <c r="BPP741" s="23"/>
      <c r="BPQ741" s="23"/>
      <c r="BPR741" s="23"/>
      <c r="BPS741" s="23"/>
      <c r="BPT741" s="23"/>
      <c r="BPU741" s="23"/>
      <c r="BPV741" s="23"/>
      <c r="BPW741" s="23"/>
      <c r="BPX741" s="23"/>
      <c r="BPY741" s="23"/>
      <c r="BPZ741" s="23"/>
      <c r="BQA741" s="23"/>
      <c r="BQB741" s="23"/>
      <c r="BQC741" s="23"/>
      <c r="BQD741" s="23"/>
      <c r="BQE741" s="23"/>
      <c r="BQF741" s="23"/>
      <c r="BQG741" s="23"/>
      <c r="BQH741" s="23"/>
      <c r="BQI741" s="23"/>
      <c r="BQJ741" s="23"/>
      <c r="BQK741" s="23"/>
      <c r="BQL741" s="23"/>
      <c r="BQM741" s="23"/>
      <c r="BQN741" s="23"/>
      <c r="BQO741" s="23"/>
      <c r="BQP741" s="23"/>
      <c r="BQQ741" s="23"/>
      <c r="BQR741" s="23"/>
      <c r="BQS741" s="23"/>
      <c r="BQT741" s="23"/>
      <c r="BQU741" s="23"/>
      <c r="BQV741" s="23"/>
      <c r="BQW741" s="23"/>
      <c r="BQX741" s="23"/>
      <c r="BQY741" s="23"/>
      <c r="BQZ741" s="23"/>
      <c r="BRA741" s="23"/>
      <c r="BRB741" s="23"/>
      <c r="BRC741" s="23"/>
      <c r="BRD741" s="23"/>
      <c r="BRE741" s="23"/>
      <c r="BRF741" s="23"/>
      <c r="BRG741" s="23"/>
      <c r="BRH741" s="23"/>
      <c r="BRI741" s="23"/>
      <c r="BRJ741" s="23"/>
      <c r="BRK741" s="23"/>
      <c r="BRL741" s="23"/>
      <c r="BRM741" s="23"/>
      <c r="BRN741" s="23"/>
      <c r="BRO741" s="23"/>
      <c r="BRP741" s="23"/>
      <c r="BRQ741" s="23"/>
      <c r="BRR741" s="23"/>
      <c r="BRS741" s="23"/>
      <c r="BRT741" s="23"/>
      <c r="BRU741" s="23"/>
      <c r="BRV741" s="23"/>
      <c r="BRW741" s="23"/>
      <c r="BRX741" s="23"/>
      <c r="BRY741" s="23"/>
      <c r="BRZ741" s="23"/>
      <c r="BSA741" s="23"/>
      <c r="BSB741" s="23"/>
      <c r="BSC741" s="23"/>
      <c r="BSD741" s="23"/>
      <c r="BSE741" s="23"/>
      <c r="BSF741" s="23"/>
      <c r="BSG741" s="23"/>
      <c r="BSH741" s="23"/>
      <c r="BSI741" s="23"/>
      <c r="BSJ741" s="23"/>
      <c r="BSK741" s="23"/>
      <c r="BSL741" s="23"/>
      <c r="BSM741" s="23"/>
      <c r="BSN741" s="23"/>
      <c r="BSO741" s="23"/>
      <c r="BSP741" s="23"/>
      <c r="BSQ741" s="23"/>
      <c r="BSR741" s="23"/>
      <c r="BSS741" s="23"/>
      <c r="BST741" s="23"/>
      <c r="BSU741" s="23"/>
      <c r="BSV741" s="23"/>
      <c r="BSW741" s="23"/>
      <c r="BSX741" s="23"/>
      <c r="BSY741" s="23"/>
      <c r="BSZ741" s="23"/>
      <c r="BTA741" s="23"/>
    </row>
    <row r="742" spans="1:1873" s="247" customFormat="1" ht="11.45" customHeight="1" x14ac:dyDescent="0.2">
      <c r="A742" s="240"/>
      <c r="B742" s="223" t="s">
        <v>810</v>
      </c>
      <c r="C742" s="404" t="s">
        <v>1452</v>
      </c>
      <c r="D742" s="240" t="s">
        <v>619</v>
      </c>
      <c r="E742" s="305" t="s">
        <v>1391</v>
      </c>
      <c r="F742" s="240">
        <v>1</v>
      </c>
      <c r="G742" s="242">
        <v>7</v>
      </c>
      <c r="H742" s="242">
        <v>8</v>
      </c>
      <c r="I742" s="404" t="s">
        <v>807</v>
      </c>
      <c r="J742" s="223">
        <v>1995</v>
      </c>
      <c r="K742" s="223" t="s">
        <v>1211</v>
      </c>
      <c r="L742" s="223">
        <v>2001</v>
      </c>
      <c r="M742" s="243">
        <v>-9999</v>
      </c>
      <c r="N742" s="223">
        <v>-9999</v>
      </c>
      <c r="O742" s="29"/>
      <c r="P742" s="243">
        <v>-9999</v>
      </c>
      <c r="Q742" s="223">
        <v>-9999</v>
      </c>
      <c r="R742" s="243"/>
      <c r="S742" s="223"/>
      <c r="T742" s="243">
        <v>-9999</v>
      </c>
      <c r="U742" s="223">
        <v>-9999</v>
      </c>
      <c r="V742" s="223"/>
      <c r="W742" s="243">
        <v>-9999</v>
      </c>
      <c r="X742" s="223">
        <v>-9999</v>
      </c>
      <c r="Y742" s="223"/>
      <c r="Z742" s="404" t="s">
        <v>1703</v>
      </c>
      <c r="AA742" s="564">
        <v>1075</v>
      </c>
      <c r="AB742" s="243">
        <v>1</v>
      </c>
      <c r="AC742" s="223">
        <v>-9999</v>
      </c>
      <c r="AD742" s="223">
        <v>18.600000000000001</v>
      </c>
      <c r="AE742" s="404" t="s">
        <v>1738</v>
      </c>
      <c r="AF742" s="223">
        <v>10</v>
      </c>
      <c r="AG742" s="404" t="s">
        <v>1741</v>
      </c>
      <c r="AH742" s="223" t="s">
        <v>1034</v>
      </c>
      <c r="AI742" s="404" t="s">
        <v>1739</v>
      </c>
      <c r="AJ742" s="223">
        <v>-9999</v>
      </c>
      <c r="AK742" s="223" t="s">
        <v>626</v>
      </c>
      <c r="AL742" s="223" t="s">
        <v>828</v>
      </c>
      <c r="AM742" s="223">
        <v>-9999</v>
      </c>
      <c r="AN742" s="223" t="s">
        <v>631</v>
      </c>
      <c r="AO742" s="223">
        <v>-9999</v>
      </c>
      <c r="AP742" s="223">
        <v>-9999</v>
      </c>
      <c r="AQ742" s="223" t="s">
        <v>631</v>
      </c>
      <c r="AR742" s="223">
        <v>0</v>
      </c>
      <c r="AS742" s="223">
        <v>-9999</v>
      </c>
      <c r="AT742" s="223">
        <v>-9999</v>
      </c>
      <c r="AU742" s="223">
        <v>0</v>
      </c>
      <c r="AV742" s="223">
        <v>-9999</v>
      </c>
      <c r="AW742" s="223">
        <v>-9999</v>
      </c>
      <c r="AX742" s="223">
        <v>0</v>
      </c>
      <c r="AY742" s="223">
        <v>-9999</v>
      </c>
      <c r="AZ742" s="223">
        <v>-9999</v>
      </c>
      <c r="BA742" s="223">
        <v>-9988</v>
      </c>
      <c r="BB742" s="223" t="s">
        <v>626</v>
      </c>
      <c r="BC742" s="223">
        <v>-9999</v>
      </c>
      <c r="BD742" s="223">
        <v>-9999</v>
      </c>
      <c r="BE742" s="223">
        <v>-9999</v>
      </c>
      <c r="BF742" s="223">
        <v>-9999</v>
      </c>
      <c r="BG742" s="223">
        <v>-9999</v>
      </c>
      <c r="BH742" s="223">
        <v>-9999</v>
      </c>
      <c r="BI742" s="223" t="s">
        <v>1035</v>
      </c>
      <c r="BJ742" s="223">
        <v>-9999</v>
      </c>
      <c r="BK742" s="223">
        <v>-9999</v>
      </c>
      <c r="BL742" s="223">
        <v>-9999</v>
      </c>
      <c r="BM742" s="223">
        <v>-9999</v>
      </c>
      <c r="BN742" s="223">
        <v>-9999</v>
      </c>
      <c r="BO742" s="223">
        <v>-9999</v>
      </c>
      <c r="BP742" s="223">
        <v>-9999</v>
      </c>
      <c r="BQ742" s="223">
        <v>-9999</v>
      </c>
      <c r="BR742" s="223">
        <v>-9999</v>
      </c>
      <c r="BS742" s="242">
        <v>-9999</v>
      </c>
      <c r="BT742" s="223">
        <v>-9999</v>
      </c>
      <c r="BU742" s="223">
        <v>-9999</v>
      </c>
      <c r="BV742" s="223">
        <v>-9999</v>
      </c>
      <c r="BW742" s="223"/>
      <c r="BX742" s="223">
        <v>-9999</v>
      </c>
      <c r="BY742" s="223">
        <v>-9999</v>
      </c>
      <c r="BZ742" s="223">
        <v>-9999</v>
      </c>
      <c r="CA742" s="334" t="s">
        <v>797</v>
      </c>
      <c r="CC742" s="240">
        <v>1</v>
      </c>
      <c r="CD742" s="242">
        <v>7</v>
      </c>
      <c r="CE742" s="292"/>
      <c r="CF742" s="292"/>
      <c r="CG742" s="242"/>
      <c r="CH742" s="23"/>
      <c r="CI742" s="23"/>
      <c r="CJ742" s="23"/>
      <c r="CK742" s="23"/>
      <c r="CL742" s="23"/>
      <c r="CM742" s="23"/>
      <c r="CN742" s="23"/>
      <c r="CO742" s="23"/>
      <c r="CP742" s="23"/>
      <c r="CQ742" s="23"/>
      <c r="CR742" s="23"/>
      <c r="CS742" s="23"/>
      <c r="CT742" s="23"/>
      <c r="CU742" s="23"/>
      <c r="CV742" s="23"/>
      <c r="CW742" s="23"/>
      <c r="CX742" s="23"/>
      <c r="CY742" s="23"/>
      <c r="CZ742" s="23"/>
      <c r="DA742" s="23"/>
      <c r="DB742" s="23"/>
      <c r="DC742" s="23"/>
      <c r="DD742" s="23"/>
      <c r="DE742" s="23"/>
      <c r="DF742" s="23"/>
      <c r="DG742" s="23"/>
      <c r="DH742" s="23"/>
      <c r="DI742" s="23"/>
      <c r="DJ742" s="23"/>
      <c r="DK742" s="23"/>
      <c r="DL742" s="23"/>
      <c r="DM742" s="23"/>
      <c r="DN742" s="23"/>
      <c r="DO742" s="23"/>
      <c r="DP742" s="23"/>
      <c r="DQ742" s="23"/>
      <c r="DR742" s="23"/>
      <c r="DS742" s="23"/>
      <c r="DT742" s="23"/>
      <c r="DU742" s="23"/>
      <c r="DV742" s="23"/>
      <c r="DW742" s="23"/>
      <c r="DX742" s="23"/>
      <c r="DY742" s="23"/>
      <c r="DZ742" s="23"/>
      <c r="EA742" s="23"/>
      <c r="EB742" s="23"/>
      <c r="EC742" s="23"/>
      <c r="ED742" s="23"/>
      <c r="EE742" s="23"/>
      <c r="EF742" s="23"/>
      <c r="EG742" s="23"/>
      <c r="EH742" s="23"/>
      <c r="EI742" s="23"/>
      <c r="EJ742" s="23"/>
      <c r="EK742" s="23"/>
      <c r="EL742" s="23"/>
      <c r="EM742" s="23"/>
      <c r="EN742" s="23"/>
      <c r="EO742" s="23"/>
      <c r="EP742" s="23"/>
      <c r="EQ742" s="23"/>
      <c r="ER742" s="23"/>
      <c r="ES742" s="23"/>
      <c r="ET742" s="23"/>
      <c r="EU742" s="23"/>
      <c r="EV742" s="23"/>
      <c r="EW742" s="23"/>
      <c r="EX742" s="23"/>
      <c r="EY742" s="23"/>
      <c r="EZ742" s="23"/>
      <c r="FA742" s="23"/>
      <c r="FB742" s="23"/>
      <c r="FC742" s="23"/>
      <c r="FD742" s="23"/>
      <c r="FE742" s="23"/>
      <c r="FF742" s="23"/>
      <c r="FG742" s="23"/>
      <c r="FH742" s="23"/>
      <c r="FI742" s="23"/>
      <c r="FJ742" s="23"/>
      <c r="FK742" s="23"/>
      <c r="FL742" s="23"/>
      <c r="FM742" s="23"/>
      <c r="FN742" s="23"/>
      <c r="FO742" s="23"/>
      <c r="FP742" s="23"/>
      <c r="FQ742" s="23"/>
      <c r="FR742" s="23"/>
      <c r="FS742" s="23"/>
      <c r="FT742" s="23"/>
      <c r="FU742" s="23"/>
      <c r="FV742" s="23"/>
      <c r="FW742" s="23"/>
      <c r="FX742" s="23"/>
      <c r="FY742" s="23"/>
      <c r="FZ742" s="23"/>
      <c r="GA742" s="23"/>
      <c r="GB742" s="23"/>
      <c r="GC742" s="23"/>
      <c r="GD742" s="23"/>
      <c r="GE742" s="23"/>
      <c r="GF742" s="23"/>
      <c r="GG742" s="23"/>
      <c r="GH742" s="23"/>
      <c r="GI742" s="23"/>
      <c r="GJ742" s="23"/>
      <c r="GK742" s="23"/>
      <c r="GL742" s="23"/>
      <c r="GM742" s="23"/>
      <c r="GN742" s="23"/>
      <c r="GO742" s="23"/>
      <c r="GP742" s="23"/>
      <c r="GQ742" s="23"/>
      <c r="GR742" s="23"/>
      <c r="GS742" s="23"/>
      <c r="GT742" s="23"/>
      <c r="GU742" s="23"/>
      <c r="GV742" s="23"/>
      <c r="GW742" s="23"/>
      <c r="GX742" s="23"/>
      <c r="GY742" s="23"/>
      <c r="GZ742" s="23"/>
      <c r="HA742" s="23"/>
      <c r="HB742" s="23"/>
      <c r="HC742" s="23"/>
      <c r="HD742" s="23"/>
      <c r="HE742" s="23"/>
      <c r="HF742" s="23"/>
      <c r="HG742" s="23"/>
      <c r="HH742" s="23"/>
      <c r="HI742" s="23"/>
      <c r="HJ742" s="23"/>
      <c r="HK742" s="23"/>
      <c r="HL742" s="23"/>
      <c r="HM742" s="23"/>
      <c r="HN742" s="23"/>
      <c r="HO742" s="23"/>
      <c r="HP742" s="23"/>
      <c r="HQ742" s="23"/>
      <c r="HR742" s="23"/>
      <c r="HS742" s="23"/>
      <c r="HT742" s="23"/>
      <c r="HU742" s="23"/>
      <c r="HV742" s="23"/>
      <c r="HW742" s="23"/>
      <c r="HX742" s="23"/>
      <c r="HY742" s="23"/>
      <c r="HZ742" s="23"/>
      <c r="IA742" s="23"/>
      <c r="IB742" s="23"/>
      <c r="IC742" s="23"/>
      <c r="ID742" s="23"/>
      <c r="IE742" s="23"/>
      <c r="IF742" s="23"/>
      <c r="IG742" s="23"/>
      <c r="IH742" s="23"/>
      <c r="II742" s="23"/>
      <c r="IJ742" s="23"/>
      <c r="IK742" s="23"/>
      <c r="IL742" s="23"/>
      <c r="IM742" s="23"/>
      <c r="IN742" s="23"/>
      <c r="IO742" s="23"/>
      <c r="IP742" s="23"/>
      <c r="IQ742" s="23"/>
      <c r="IR742" s="23"/>
      <c r="IS742" s="23"/>
      <c r="IT742" s="23"/>
      <c r="IU742" s="23"/>
      <c r="IV742" s="23"/>
      <c r="IW742" s="23"/>
      <c r="IX742" s="23"/>
      <c r="IY742" s="23"/>
      <c r="IZ742" s="23"/>
      <c r="JA742" s="23"/>
      <c r="JB742" s="23"/>
      <c r="JC742" s="23"/>
      <c r="JD742" s="23"/>
      <c r="JE742" s="23"/>
      <c r="JF742" s="23"/>
      <c r="JG742" s="23"/>
      <c r="JH742" s="23"/>
      <c r="JI742" s="23"/>
      <c r="JJ742" s="23"/>
      <c r="JK742" s="23"/>
      <c r="JL742" s="23"/>
      <c r="JM742" s="23"/>
      <c r="JN742" s="23"/>
      <c r="JO742" s="23"/>
      <c r="JP742" s="23"/>
      <c r="JQ742" s="23"/>
      <c r="JR742" s="23"/>
      <c r="JS742" s="23"/>
      <c r="JT742" s="23"/>
      <c r="JU742" s="23"/>
      <c r="JV742" s="23"/>
      <c r="JW742" s="23"/>
      <c r="JX742" s="23"/>
      <c r="JY742" s="23"/>
      <c r="JZ742" s="23"/>
      <c r="KA742" s="23"/>
      <c r="KB742" s="23"/>
      <c r="KC742" s="23"/>
      <c r="KD742" s="23"/>
      <c r="KE742" s="23"/>
      <c r="KF742" s="23"/>
      <c r="KG742" s="23"/>
      <c r="KH742" s="23"/>
      <c r="KI742" s="23"/>
      <c r="KJ742" s="23"/>
      <c r="KK742" s="23"/>
      <c r="KL742" s="23"/>
      <c r="KM742" s="23"/>
      <c r="KN742" s="23"/>
      <c r="KO742" s="23"/>
      <c r="KP742" s="23"/>
      <c r="KQ742" s="23"/>
      <c r="KR742" s="23"/>
      <c r="KS742" s="23"/>
      <c r="KT742" s="23"/>
      <c r="KU742" s="23"/>
      <c r="KV742" s="23"/>
      <c r="KW742" s="23"/>
      <c r="KX742" s="23"/>
      <c r="KY742" s="23"/>
      <c r="KZ742" s="23"/>
      <c r="LA742" s="23"/>
      <c r="LB742" s="23"/>
      <c r="LC742" s="23"/>
      <c r="LD742" s="23"/>
      <c r="LE742" s="23"/>
      <c r="LF742" s="23"/>
      <c r="LG742" s="23"/>
      <c r="LH742" s="23"/>
      <c r="LI742" s="23"/>
      <c r="LJ742" s="23"/>
      <c r="LK742" s="23"/>
      <c r="LL742" s="23"/>
      <c r="LM742" s="23"/>
      <c r="LN742" s="23"/>
      <c r="LO742" s="23"/>
      <c r="LP742" s="23"/>
      <c r="LQ742" s="23"/>
      <c r="LR742" s="23"/>
      <c r="LS742" s="23"/>
      <c r="LT742" s="23"/>
      <c r="LU742" s="23"/>
      <c r="LV742" s="23"/>
      <c r="LW742" s="23"/>
      <c r="LX742" s="23"/>
      <c r="LY742" s="23"/>
      <c r="LZ742" s="23"/>
      <c r="MA742" s="23"/>
      <c r="MB742" s="23"/>
      <c r="MC742" s="23"/>
      <c r="MD742" s="23"/>
      <c r="ME742" s="23"/>
      <c r="MF742" s="23"/>
      <c r="MG742" s="23"/>
      <c r="MH742" s="23"/>
      <c r="MI742" s="23"/>
      <c r="MJ742" s="23"/>
      <c r="MK742" s="23"/>
      <c r="ML742" s="23"/>
      <c r="MM742" s="23"/>
      <c r="MN742" s="23"/>
      <c r="MO742" s="23"/>
      <c r="MP742" s="23"/>
      <c r="MQ742" s="23"/>
      <c r="MR742" s="23"/>
      <c r="MS742" s="23"/>
      <c r="MT742" s="23"/>
      <c r="MU742" s="23"/>
      <c r="MV742" s="23"/>
      <c r="MW742" s="23"/>
      <c r="MX742" s="23"/>
      <c r="MY742" s="23"/>
      <c r="MZ742" s="23"/>
      <c r="NA742" s="23"/>
      <c r="NB742" s="23"/>
      <c r="NC742" s="23"/>
      <c r="ND742" s="23"/>
      <c r="NE742" s="23"/>
      <c r="NF742" s="23"/>
      <c r="NG742" s="23"/>
      <c r="NH742" s="23"/>
      <c r="NI742" s="23"/>
      <c r="NJ742" s="23"/>
      <c r="NK742" s="23"/>
      <c r="NL742" s="23"/>
      <c r="NM742" s="23"/>
      <c r="NN742" s="23"/>
      <c r="NO742" s="23"/>
      <c r="NP742" s="23"/>
      <c r="NQ742" s="23"/>
      <c r="NR742" s="23"/>
      <c r="NS742" s="23"/>
      <c r="NT742" s="23"/>
      <c r="NU742" s="23"/>
      <c r="NV742" s="23"/>
      <c r="NW742" s="23"/>
      <c r="NX742" s="23"/>
      <c r="NY742" s="23"/>
      <c r="NZ742" s="23"/>
      <c r="OA742" s="23"/>
      <c r="OB742" s="23"/>
      <c r="OC742" s="23"/>
      <c r="OD742" s="23"/>
      <c r="OE742" s="23"/>
      <c r="OF742" s="23"/>
      <c r="OG742" s="23"/>
      <c r="OH742" s="23"/>
      <c r="OI742" s="23"/>
      <c r="OJ742" s="23"/>
      <c r="OK742" s="23"/>
      <c r="OL742" s="23"/>
      <c r="OM742" s="23"/>
      <c r="ON742" s="23"/>
      <c r="OO742" s="23"/>
      <c r="OP742" s="23"/>
      <c r="OQ742" s="23"/>
      <c r="OR742" s="23"/>
      <c r="OS742" s="23"/>
      <c r="OT742" s="23"/>
      <c r="OU742" s="23"/>
      <c r="OV742" s="23"/>
      <c r="OW742" s="23"/>
      <c r="OX742" s="23"/>
      <c r="OY742" s="23"/>
      <c r="OZ742" s="23"/>
      <c r="PA742" s="23"/>
      <c r="PB742" s="23"/>
      <c r="PC742" s="23"/>
      <c r="PD742" s="23"/>
      <c r="PE742" s="23"/>
      <c r="PF742" s="23"/>
      <c r="PG742" s="23"/>
      <c r="PH742" s="23"/>
      <c r="PI742" s="23"/>
      <c r="PJ742" s="23"/>
      <c r="PK742" s="23"/>
      <c r="PL742" s="23"/>
      <c r="PM742" s="23"/>
      <c r="PN742" s="23"/>
      <c r="PO742" s="23"/>
      <c r="PP742" s="23"/>
      <c r="PQ742" s="23"/>
      <c r="PR742" s="23"/>
      <c r="PS742" s="23"/>
      <c r="PT742" s="23"/>
      <c r="PU742" s="23"/>
      <c r="PV742" s="23"/>
      <c r="PW742" s="23"/>
      <c r="PX742" s="23"/>
      <c r="PY742" s="23"/>
      <c r="PZ742" s="23"/>
      <c r="QA742" s="23"/>
      <c r="QB742" s="23"/>
      <c r="QC742" s="23"/>
      <c r="QD742" s="23"/>
      <c r="QE742" s="23"/>
      <c r="QF742" s="23"/>
      <c r="QG742" s="23"/>
      <c r="QH742" s="23"/>
      <c r="QI742" s="23"/>
      <c r="QJ742" s="23"/>
      <c r="QK742" s="23"/>
      <c r="QL742" s="23"/>
      <c r="QM742" s="23"/>
      <c r="QN742" s="23"/>
      <c r="QO742" s="23"/>
      <c r="QP742" s="23"/>
      <c r="QQ742" s="23"/>
      <c r="QR742" s="23"/>
      <c r="QS742" s="23"/>
      <c r="QT742" s="23"/>
      <c r="QU742" s="23"/>
      <c r="QV742" s="23"/>
      <c r="QW742" s="23"/>
      <c r="QX742" s="23"/>
      <c r="QY742" s="23"/>
      <c r="QZ742" s="23"/>
      <c r="RA742" s="23"/>
      <c r="RB742" s="23"/>
      <c r="RC742" s="23"/>
      <c r="RD742" s="23"/>
      <c r="RE742" s="23"/>
      <c r="RF742" s="23"/>
      <c r="RG742" s="23"/>
      <c r="RH742" s="23"/>
      <c r="RI742" s="23"/>
      <c r="RJ742" s="23"/>
      <c r="RK742" s="23"/>
      <c r="RL742" s="23"/>
      <c r="RM742" s="23"/>
      <c r="RN742" s="23"/>
      <c r="RO742" s="23"/>
      <c r="RP742" s="23"/>
      <c r="RQ742" s="23"/>
      <c r="RR742" s="23"/>
      <c r="RS742" s="23"/>
      <c r="RT742" s="23"/>
      <c r="RU742" s="23"/>
      <c r="RV742" s="23"/>
      <c r="RW742" s="23"/>
      <c r="RX742" s="23"/>
      <c r="RY742" s="23"/>
      <c r="RZ742" s="23"/>
      <c r="SA742" s="23"/>
      <c r="SB742" s="23"/>
      <c r="SC742" s="23"/>
      <c r="SD742" s="23"/>
      <c r="SE742" s="23"/>
      <c r="SF742" s="23"/>
      <c r="SG742" s="23"/>
      <c r="SH742" s="23"/>
      <c r="SI742" s="23"/>
      <c r="SJ742" s="23"/>
      <c r="SK742" s="23"/>
      <c r="SL742" s="23"/>
      <c r="SM742" s="23"/>
      <c r="SN742" s="23"/>
      <c r="SO742" s="23"/>
      <c r="SP742" s="23"/>
      <c r="SQ742" s="23"/>
      <c r="SR742" s="23"/>
      <c r="SS742" s="23"/>
      <c r="ST742" s="23"/>
      <c r="SU742" s="23"/>
      <c r="SV742" s="23"/>
      <c r="SW742" s="23"/>
      <c r="SX742" s="23"/>
      <c r="SY742" s="23"/>
      <c r="SZ742" s="23"/>
      <c r="TA742" s="23"/>
      <c r="TB742" s="23"/>
      <c r="TC742" s="23"/>
      <c r="TD742" s="23"/>
      <c r="TE742" s="23"/>
      <c r="TF742" s="23"/>
      <c r="TG742" s="23"/>
      <c r="TH742" s="23"/>
      <c r="TI742" s="23"/>
      <c r="TJ742" s="23"/>
      <c r="TK742" s="23"/>
      <c r="TL742" s="23"/>
      <c r="TM742" s="23"/>
      <c r="TN742" s="23"/>
      <c r="TO742" s="23"/>
      <c r="TP742" s="23"/>
      <c r="TQ742" s="23"/>
      <c r="TR742" s="23"/>
      <c r="TS742" s="23"/>
      <c r="TT742" s="23"/>
      <c r="TU742" s="23"/>
      <c r="TV742" s="23"/>
      <c r="TW742" s="23"/>
      <c r="TX742" s="23"/>
      <c r="TY742" s="23"/>
      <c r="TZ742" s="23"/>
      <c r="UA742" s="23"/>
      <c r="UB742" s="23"/>
      <c r="UC742" s="23"/>
      <c r="UD742" s="23"/>
      <c r="UE742" s="23"/>
      <c r="UF742" s="23"/>
      <c r="UG742" s="23"/>
      <c r="UH742" s="23"/>
      <c r="UI742" s="23"/>
      <c r="UJ742" s="23"/>
      <c r="UK742" s="23"/>
      <c r="UL742" s="23"/>
      <c r="UM742" s="23"/>
      <c r="UN742" s="23"/>
      <c r="UO742" s="23"/>
      <c r="UP742" s="23"/>
      <c r="UQ742" s="23"/>
      <c r="UR742" s="23"/>
      <c r="US742" s="23"/>
      <c r="UT742" s="23"/>
      <c r="UU742" s="23"/>
      <c r="UV742" s="23"/>
      <c r="UW742" s="23"/>
      <c r="UX742" s="23"/>
      <c r="UY742" s="23"/>
      <c r="UZ742" s="23"/>
      <c r="VA742" s="23"/>
      <c r="VB742" s="23"/>
      <c r="VC742" s="23"/>
      <c r="VD742" s="23"/>
      <c r="VE742" s="23"/>
      <c r="VF742" s="23"/>
      <c r="VG742" s="23"/>
      <c r="VH742" s="23"/>
      <c r="VI742" s="23"/>
      <c r="VJ742" s="23"/>
      <c r="VK742" s="23"/>
      <c r="VL742" s="23"/>
      <c r="VM742" s="23"/>
      <c r="VN742" s="23"/>
      <c r="VO742" s="23"/>
      <c r="VP742" s="23"/>
      <c r="VQ742" s="23"/>
      <c r="VR742" s="23"/>
      <c r="VS742" s="23"/>
      <c r="VT742" s="23"/>
      <c r="VU742" s="23"/>
      <c r="VV742" s="23"/>
      <c r="VW742" s="23"/>
      <c r="VX742" s="23"/>
      <c r="VY742" s="23"/>
      <c r="VZ742" s="23"/>
      <c r="WA742" s="23"/>
      <c r="WB742" s="23"/>
      <c r="WC742" s="23"/>
      <c r="WD742" s="23"/>
      <c r="WE742" s="23"/>
      <c r="WF742" s="23"/>
      <c r="WG742" s="23"/>
      <c r="WH742" s="23"/>
      <c r="WI742" s="23"/>
      <c r="WJ742" s="23"/>
      <c r="WK742" s="23"/>
      <c r="WL742" s="23"/>
      <c r="WM742" s="23"/>
      <c r="WN742" s="23"/>
      <c r="WO742" s="23"/>
      <c r="WP742" s="23"/>
      <c r="WQ742" s="23"/>
      <c r="WR742" s="23"/>
      <c r="WS742" s="23"/>
      <c r="WT742" s="23"/>
      <c r="WU742" s="23"/>
      <c r="WV742" s="23"/>
      <c r="WW742" s="23"/>
      <c r="WX742" s="23"/>
      <c r="WY742" s="23"/>
      <c r="WZ742" s="23"/>
      <c r="XA742" s="23"/>
      <c r="XB742" s="23"/>
      <c r="XC742" s="23"/>
      <c r="XD742" s="23"/>
      <c r="XE742" s="23"/>
      <c r="XF742" s="23"/>
      <c r="XG742" s="23"/>
      <c r="XH742" s="23"/>
      <c r="XI742" s="23"/>
      <c r="XJ742" s="23"/>
      <c r="XK742" s="23"/>
      <c r="XL742" s="23"/>
      <c r="XM742" s="23"/>
      <c r="XN742" s="23"/>
      <c r="XO742" s="23"/>
      <c r="XP742" s="23"/>
      <c r="XQ742" s="23"/>
      <c r="XR742" s="23"/>
      <c r="XS742" s="23"/>
      <c r="XT742" s="23"/>
      <c r="XU742" s="23"/>
      <c r="XV742" s="23"/>
      <c r="XW742" s="23"/>
      <c r="XX742" s="23"/>
      <c r="XY742" s="23"/>
      <c r="XZ742" s="23"/>
      <c r="YA742" s="23"/>
      <c r="YB742" s="23"/>
      <c r="YC742" s="23"/>
      <c r="YD742" s="23"/>
      <c r="YE742" s="23"/>
      <c r="YF742" s="23"/>
      <c r="YG742" s="23"/>
      <c r="YH742" s="23"/>
      <c r="YI742" s="23"/>
      <c r="YJ742" s="23"/>
      <c r="YK742" s="23"/>
      <c r="YL742" s="23"/>
      <c r="YM742" s="23"/>
      <c r="YN742" s="23"/>
      <c r="YO742" s="23"/>
      <c r="YP742" s="23"/>
      <c r="YQ742" s="23"/>
      <c r="YR742" s="23"/>
      <c r="YS742" s="23"/>
      <c r="YT742" s="23"/>
      <c r="YU742" s="23"/>
      <c r="YV742" s="23"/>
      <c r="YW742" s="23"/>
      <c r="YX742" s="23"/>
      <c r="YY742" s="23"/>
      <c r="YZ742" s="23"/>
      <c r="ZA742" s="23"/>
      <c r="ZB742" s="23"/>
      <c r="ZC742" s="23"/>
      <c r="ZD742" s="23"/>
      <c r="ZE742" s="23"/>
      <c r="ZF742" s="23"/>
      <c r="ZG742" s="23"/>
      <c r="ZH742" s="23"/>
      <c r="ZI742" s="23"/>
      <c r="ZJ742" s="23"/>
      <c r="ZK742" s="23"/>
      <c r="ZL742" s="23"/>
      <c r="ZM742" s="23"/>
      <c r="ZN742" s="23"/>
      <c r="ZO742" s="23"/>
      <c r="ZP742" s="23"/>
      <c r="ZQ742" s="23"/>
      <c r="ZR742" s="23"/>
      <c r="ZS742" s="23"/>
      <c r="ZT742" s="23"/>
      <c r="ZU742" s="23"/>
      <c r="ZV742" s="23"/>
      <c r="ZW742" s="23"/>
      <c r="ZX742" s="23"/>
      <c r="ZY742" s="23"/>
      <c r="ZZ742" s="23"/>
      <c r="AAA742" s="23"/>
      <c r="AAB742" s="23"/>
      <c r="AAC742" s="23"/>
      <c r="AAD742" s="23"/>
      <c r="AAE742" s="23"/>
      <c r="AAF742" s="23"/>
      <c r="AAG742" s="23"/>
      <c r="AAH742" s="23"/>
      <c r="AAI742" s="23"/>
      <c r="AAJ742" s="23"/>
      <c r="AAK742" s="23"/>
      <c r="AAL742" s="23"/>
      <c r="AAM742" s="23"/>
      <c r="AAN742" s="23"/>
      <c r="AAO742" s="23"/>
      <c r="AAP742" s="23"/>
      <c r="AAQ742" s="23"/>
      <c r="AAR742" s="23"/>
      <c r="AAS742" s="23"/>
      <c r="AAT742" s="23"/>
      <c r="AAU742" s="23"/>
      <c r="AAV742" s="23"/>
      <c r="AAW742" s="23"/>
      <c r="AAX742" s="23"/>
      <c r="AAY742" s="23"/>
      <c r="AAZ742" s="23"/>
      <c r="ABA742" s="23"/>
      <c r="ABB742" s="23"/>
      <c r="ABC742" s="23"/>
      <c r="ABD742" s="23"/>
      <c r="ABE742" s="23"/>
      <c r="ABF742" s="23"/>
      <c r="ABG742" s="23"/>
      <c r="ABH742" s="23"/>
      <c r="ABI742" s="23"/>
      <c r="ABJ742" s="23"/>
      <c r="ABK742" s="23"/>
      <c r="ABL742" s="23"/>
      <c r="ABM742" s="23"/>
      <c r="ABN742" s="23"/>
      <c r="ABO742" s="23"/>
      <c r="ABP742" s="23"/>
      <c r="ABQ742" s="23"/>
      <c r="ABR742" s="23"/>
      <c r="ABS742" s="23"/>
      <c r="ABT742" s="23"/>
      <c r="ABU742" s="23"/>
      <c r="ABV742" s="23"/>
      <c r="ABW742" s="23"/>
      <c r="ABX742" s="23"/>
      <c r="ABY742" s="23"/>
      <c r="ABZ742" s="23"/>
      <c r="ACA742" s="23"/>
      <c r="ACB742" s="23"/>
      <c r="ACC742" s="23"/>
      <c r="ACD742" s="23"/>
      <c r="ACE742" s="23"/>
      <c r="ACF742" s="23"/>
      <c r="ACG742" s="23"/>
      <c r="ACH742" s="23"/>
      <c r="ACI742" s="23"/>
      <c r="ACJ742" s="23"/>
      <c r="ACK742" s="23"/>
      <c r="ACL742" s="23"/>
      <c r="ACM742" s="23"/>
      <c r="ACN742" s="23"/>
      <c r="ACO742" s="23"/>
      <c r="ACP742" s="23"/>
      <c r="ACQ742" s="23"/>
      <c r="ACR742" s="23"/>
      <c r="ACS742" s="23"/>
      <c r="ACT742" s="23"/>
      <c r="ACU742" s="23"/>
      <c r="ACV742" s="23"/>
      <c r="ACW742" s="23"/>
      <c r="ACX742" s="23"/>
      <c r="ACY742" s="23"/>
      <c r="ACZ742" s="23"/>
      <c r="ADA742" s="23"/>
      <c r="ADB742" s="23"/>
      <c r="ADC742" s="23"/>
      <c r="ADD742" s="23"/>
      <c r="ADE742" s="23"/>
      <c r="ADF742" s="23"/>
      <c r="ADG742" s="23"/>
      <c r="ADH742" s="23"/>
      <c r="ADI742" s="23"/>
      <c r="ADJ742" s="23"/>
      <c r="ADK742" s="23"/>
      <c r="ADL742" s="23"/>
      <c r="ADM742" s="23"/>
      <c r="ADN742" s="23"/>
      <c r="ADO742" s="23"/>
      <c r="ADP742" s="23"/>
      <c r="ADQ742" s="23"/>
      <c r="ADR742" s="23"/>
      <c r="ADS742" s="23"/>
      <c r="ADT742" s="23"/>
      <c r="ADU742" s="23"/>
      <c r="ADV742" s="23"/>
      <c r="ADW742" s="23"/>
      <c r="ADX742" s="23"/>
      <c r="ADY742" s="23"/>
      <c r="ADZ742" s="23"/>
      <c r="AEA742" s="23"/>
      <c r="AEB742" s="23"/>
      <c r="AEC742" s="23"/>
      <c r="AED742" s="23"/>
      <c r="AEE742" s="23"/>
      <c r="AEF742" s="23"/>
      <c r="AEG742" s="23"/>
      <c r="AEH742" s="23"/>
      <c r="AEI742" s="23"/>
      <c r="AEJ742" s="23"/>
      <c r="AEK742" s="23"/>
      <c r="AEL742" s="23"/>
      <c r="AEM742" s="23"/>
      <c r="AEN742" s="23"/>
      <c r="AEO742" s="23"/>
      <c r="AEP742" s="23"/>
      <c r="AEQ742" s="23"/>
      <c r="AER742" s="23"/>
      <c r="AES742" s="23"/>
      <c r="AET742" s="23"/>
      <c r="AEU742" s="23"/>
      <c r="AEV742" s="23"/>
      <c r="AEW742" s="23"/>
      <c r="AEX742" s="23"/>
      <c r="AEY742" s="23"/>
      <c r="AEZ742" s="23"/>
      <c r="AFA742" s="23"/>
      <c r="AFB742" s="23"/>
      <c r="AFC742" s="23"/>
      <c r="AFD742" s="23"/>
      <c r="AFE742" s="23"/>
      <c r="AFF742" s="23"/>
      <c r="AFG742" s="23"/>
      <c r="AFH742" s="23"/>
      <c r="AFI742" s="23"/>
      <c r="AFJ742" s="23"/>
      <c r="AFK742" s="23"/>
      <c r="AFL742" s="23"/>
      <c r="AFM742" s="23"/>
      <c r="AFN742" s="23"/>
      <c r="AFO742" s="23"/>
      <c r="AFP742" s="23"/>
      <c r="AFQ742" s="23"/>
      <c r="AFR742" s="23"/>
      <c r="AFS742" s="23"/>
      <c r="AFT742" s="23"/>
      <c r="AFU742" s="23"/>
      <c r="AFV742" s="23"/>
      <c r="AFW742" s="23"/>
      <c r="AFX742" s="23"/>
      <c r="AFY742" s="23"/>
      <c r="AFZ742" s="23"/>
      <c r="AGA742" s="23"/>
      <c r="AGB742" s="23"/>
      <c r="AGC742" s="23"/>
      <c r="AGD742" s="23"/>
      <c r="AGE742" s="23"/>
      <c r="AGF742" s="23"/>
      <c r="AGG742" s="23"/>
      <c r="AGH742" s="23"/>
      <c r="AGI742" s="23"/>
      <c r="AGJ742" s="23"/>
      <c r="AGK742" s="23"/>
      <c r="AGL742" s="23"/>
      <c r="AGM742" s="23"/>
      <c r="AGN742" s="23"/>
      <c r="AGO742" s="23"/>
      <c r="AGP742" s="23"/>
      <c r="AGQ742" s="23"/>
      <c r="AGR742" s="23"/>
      <c r="AGS742" s="23"/>
      <c r="AGT742" s="23"/>
      <c r="AGU742" s="23"/>
      <c r="AGV742" s="23"/>
      <c r="AGW742" s="23"/>
      <c r="AGX742" s="23"/>
      <c r="AGY742" s="23"/>
      <c r="AGZ742" s="23"/>
      <c r="AHA742" s="23"/>
      <c r="AHB742" s="23"/>
      <c r="AHC742" s="23"/>
      <c r="AHD742" s="23"/>
      <c r="AHE742" s="23"/>
      <c r="AHF742" s="23"/>
      <c r="AHG742" s="23"/>
      <c r="AHH742" s="23"/>
      <c r="AHI742" s="23"/>
      <c r="AHJ742" s="23"/>
      <c r="AHK742" s="23"/>
      <c r="AHL742" s="23"/>
      <c r="AHM742" s="23"/>
      <c r="AHN742" s="23"/>
      <c r="AHO742" s="23"/>
      <c r="AHP742" s="23"/>
      <c r="AHQ742" s="23"/>
      <c r="AHR742" s="23"/>
      <c r="AHS742" s="23"/>
      <c r="AHT742" s="23"/>
      <c r="AHU742" s="23"/>
      <c r="AHV742" s="23"/>
      <c r="AHW742" s="23"/>
      <c r="AHX742" s="23"/>
      <c r="AHY742" s="23"/>
      <c r="AHZ742" s="23"/>
      <c r="AIA742" s="23"/>
      <c r="AIB742" s="23"/>
      <c r="AIC742" s="23"/>
      <c r="AID742" s="23"/>
      <c r="AIE742" s="23"/>
      <c r="AIF742" s="23"/>
      <c r="AIG742" s="23"/>
      <c r="AIH742" s="23"/>
      <c r="AII742" s="23"/>
      <c r="AIJ742" s="23"/>
      <c r="AIK742" s="23"/>
      <c r="AIL742" s="23"/>
      <c r="AIM742" s="23"/>
      <c r="AIN742" s="23"/>
      <c r="AIO742" s="23"/>
      <c r="AIP742" s="23"/>
      <c r="AIQ742" s="23"/>
      <c r="AIR742" s="23"/>
      <c r="AIS742" s="23"/>
      <c r="AIT742" s="23"/>
      <c r="AIU742" s="23"/>
      <c r="AIV742" s="23"/>
      <c r="AIW742" s="23"/>
      <c r="AIX742" s="23"/>
      <c r="AIY742" s="23"/>
      <c r="AIZ742" s="23"/>
      <c r="AJA742" s="23"/>
      <c r="AJB742" s="23"/>
      <c r="AJC742" s="23"/>
      <c r="AJD742" s="23"/>
      <c r="AJE742" s="23"/>
      <c r="AJF742" s="23"/>
      <c r="AJG742" s="23"/>
      <c r="AJH742" s="23"/>
      <c r="AJI742" s="23"/>
      <c r="AJJ742" s="23"/>
      <c r="AJK742" s="23"/>
      <c r="AJL742" s="23"/>
      <c r="AJM742" s="23"/>
      <c r="AJN742" s="23"/>
      <c r="AJO742" s="23"/>
      <c r="AJP742" s="23"/>
      <c r="AJQ742" s="23"/>
      <c r="AJR742" s="23"/>
      <c r="AJS742" s="23"/>
      <c r="AJT742" s="23"/>
      <c r="AJU742" s="23"/>
      <c r="AJV742" s="23"/>
      <c r="AJW742" s="23"/>
      <c r="AJX742" s="23"/>
      <c r="AJY742" s="23"/>
      <c r="AJZ742" s="23"/>
      <c r="AKA742" s="23"/>
      <c r="AKB742" s="23"/>
      <c r="AKC742" s="23"/>
      <c r="AKD742" s="23"/>
      <c r="AKE742" s="23"/>
      <c r="AKF742" s="23"/>
      <c r="AKG742" s="23"/>
      <c r="AKH742" s="23"/>
      <c r="AKI742" s="23"/>
      <c r="AKJ742" s="23"/>
      <c r="AKK742" s="23"/>
      <c r="AKL742" s="23"/>
      <c r="AKM742" s="23"/>
      <c r="AKN742" s="23"/>
      <c r="AKO742" s="23"/>
      <c r="AKP742" s="23"/>
      <c r="AKQ742" s="23"/>
      <c r="AKR742" s="23"/>
      <c r="AKS742" s="23"/>
      <c r="AKT742" s="23"/>
      <c r="AKU742" s="23"/>
      <c r="AKV742" s="23"/>
      <c r="AKW742" s="23"/>
      <c r="AKX742" s="23"/>
      <c r="AKY742" s="23"/>
      <c r="AKZ742" s="23"/>
      <c r="ALA742" s="23"/>
      <c r="ALB742" s="23"/>
      <c r="ALC742" s="23"/>
      <c r="ALD742" s="23"/>
      <c r="ALE742" s="23"/>
      <c r="ALF742" s="23"/>
      <c r="ALG742" s="23"/>
      <c r="ALH742" s="23"/>
      <c r="ALI742" s="23"/>
      <c r="ALJ742" s="23"/>
      <c r="ALK742" s="23"/>
      <c r="ALL742" s="23"/>
      <c r="ALM742" s="23"/>
      <c r="ALN742" s="23"/>
      <c r="ALO742" s="23"/>
      <c r="ALP742" s="23"/>
      <c r="ALQ742" s="23"/>
      <c r="ALR742" s="23"/>
      <c r="ALS742" s="23"/>
      <c r="ALT742" s="23"/>
      <c r="ALU742" s="23"/>
      <c r="ALV742" s="23"/>
      <c r="ALW742" s="23"/>
      <c r="ALX742" s="23"/>
      <c r="ALY742" s="23"/>
      <c r="ALZ742" s="23"/>
      <c r="AMA742" s="23"/>
      <c r="AMB742" s="23"/>
      <c r="AMC742" s="23"/>
      <c r="AMD742" s="23"/>
      <c r="AME742" s="23"/>
      <c r="AMF742" s="23"/>
      <c r="AMG742" s="23"/>
      <c r="AMH742" s="23"/>
      <c r="AMI742" s="23"/>
      <c r="AMJ742" s="23"/>
      <c r="AMK742" s="23"/>
      <c r="AML742" s="23"/>
      <c r="AMM742" s="23"/>
      <c r="AMN742" s="23"/>
      <c r="AMO742" s="23"/>
      <c r="AMP742" s="23"/>
      <c r="AMQ742" s="23"/>
      <c r="AMR742" s="23"/>
      <c r="AMS742" s="23"/>
      <c r="AMT742" s="23"/>
      <c r="AMU742" s="23"/>
      <c r="AMV742" s="23"/>
      <c r="AMW742" s="23"/>
      <c r="AMX742" s="23"/>
      <c r="AMY742" s="23"/>
      <c r="AMZ742" s="23"/>
      <c r="ANA742" s="23"/>
      <c r="ANB742" s="23"/>
      <c r="ANC742" s="23"/>
      <c r="AND742" s="23"/>
      <c r="ANE742" s="23"/>
      <c r="ANF742" s="23"/>
      <c r="ANG742" s="23"/>
      <c r="ANH742" s="23"/>
      <c r="ANI742" s="23"/>
      <c r="ANJ742" s="23"/>
      <c r="ANK742" s="23"/>
      <c r="ANL742" s="23"/>
      <c r="ANM742" s="23"/>
      <c r="ANN742" s="23"/>
      <c r="ANO742" s="23"/>
      <c r="ANP742" s="23"/>
      <c r="ANQ742" s="23"/>
      <c r="ANR742" s="23"/>
      <c r="ANS742" s="23"/>
      <c r="ANT742" s="23"/>
      <c r="ANU742" s="23"/>
      <c r="ANV742" s="23"/>
      <c r="ANW742" s="23"/>
      <c r="ANX742" s="23"/>
      <c r="ANY742" s="23"/>
      <c r="ANZ742" s="23"/>
      <c r="AOA742" s="23"/>
      <c r="AOB742" s="23"/>
      <c r="AOC742" s="23"/>
      <c r="AOD742" s="23"/>
      <c r="AOE742" s="23"/>
      <c r="AOF742" s="23"/>
      <c r="AOG742" s="23"/>
      <c r="AOH742" s="23"/>
      <c r="AOI742" s="23"/>
      <c r="AOJ742" s="23"/>
      <c r="AOK742" s="23"/>
      <c r="AOL742" s="23"/>
      <c r="AOM742" s="23"/>
      <c r="AON742" s="23"/>
      <c r="AOO742" s="23"/>
      <c r="AOP742" s="23"/>
      <c r="AOQ742" s="23"/>
      <c r="AOR742" s="23"/>
      <c r="AOS742" s="23"/>
      <c r="AOT742" s="23"/>
      <c r="AOU742" s="23"/>
      <c r="AOV742" s="23"/>
      <c r="AOW742" s="23"/>
      <c r="AOX742" s="23"/>
      <c r="AOY742" s="23"/>
      <c r="AOZ742" s="23"/>
      <c r="APA742" s="23"/>
      <c r="APB742" s="23"/>
      <c r="APC742" s="23"/>
      <c r="APD742" s="23"/>
      <c r="APE742" s="23"/>
      <c r="APF742" s="23"/>
      <c r="APG742" s="23"/>
      <c r="APH742" s="23"/>
      <c r="API742" s="23"/>
      <c r="APJ742" s="23"/>
      <c r="APK742" s="23"/>
      <c r="APL742" s="23"/>
      <c r="APM742" s="23"/>
      <c r="APN742" s="23"/>
      <c r="APO742" s="23"/>
      <c r="APP742" s="23"/>
      <c r="APQ742" s="23"/>
      <c r="APR742" s="23"/>
      <c r="APS742" s="23"/>
      <c r="APT742" s="23"/>
      <c r="APU742" s="23"/>
      <c r="APV742" s="23"/>
      <c r="APW742" s="23"/>
      <c r="APX742" s="23"/>
      <c r="APY742" s="23"/>
      <c r="APZ742" s="23"/>
      <c r="AQA742" s="23"/>
      <c r="AQB742" s="23"/>
      <c r="AQC742" s="23"/>
      <c r="AQD742" s="23"/>
      <c r="AQE742" s="23"/>
      <c r="AQF742" s="23"/>
      <c r="AQG742" s="23"/>
      <c r="AQH742" s="23"/>
      <c r="AQI742" s="23"/>
      <c r="AQJ742" s="23"/>
      <c r="AQK742" s="23"/>
      <c r="AQL742" s="23"/>
      <c r="AQM742" s="23"/>
      <c r="AQN742" s="23"/>
      <c r="AQO742" s="23"/>
      <c r="AQP742" s="23"/>
      <c r="AQQ742" s="23"/>
      <c r="AQR742" s="23"/>
      <c r="AQS742" s="23"/>
      <c r="AQT742" s="23"/>
      <c r="AQU742" s="23"/>
      <c r="AQV742" s="23"/>
      <c r="AQW742" s="23"/>
      <c r="AQX742" s="23"/>
      <c r="AQY742" s="23"/>
      <c r="AQZ742" s="23"/>
      <c r="ARA742" s="23"/>
      <c r="ARB742" s="23"/>
      <c r="ARC742" s="23"/>
      <c r="ARD742" s="23"/>
      <c r="ARE742" s="23"/>
      <c r="ARF742" s="23"/>
      <c r="ARG742" s="23"/>
      <c r="ARH742" s="23"/>
      <c r="ARI742" s="23"/>
      <c r="ARJ742" s="23"/>
      <c r="ARK742" s="23"/>
      <c r="ARL742" s="23"/>
      <c r="ARM742" s="23"/>
      <c r="ARN742" s="23"/>
      <c r="ARO742" s="23"/>
      <c r="ARP742" s="23"/>
      <c r="ARQ742" s="23"/>
      <c r="ARR742" s="23"/>
      <c r="ARS742" s="23"/>
      <c r="ART742" s="23"/>
      <c r="ARU742" s="23"/>
      <c r="ARV742" s="23"/>
      <c r="ARW742" s="23"/>
      <c r="ARX742" s="23"/>
      <c r="ARY742" s="23"/>
      <c r="ARZ742" s="23"/>
      <c r="ASA742" s="23"/>
      <c r="ASB742" s="23"/>
      <c r="ASC742" s="23"/>
      <c r="ASD742" s="23"/>
      <c r="ASE742" s="23"/>
      <c r="ASF742" s="23"/>
      <c r="ASG742" s="23"/>
      <c r="ASH742" s="23"/>
      <c r="ASI742" s="23"/>
      <c r="ASJ742" s="23"/>
      <c r="ASK742" s="23"/>
      <c r="ASL742" s="23"/>
      <c r="ASM742" s="23"/>
      <c r="ASN742" s="23"/>
      <c r="ASO742" s="23"/>
      <c r="ASP742" s="23"/>
      <c r="ASQ742" s="23"/>
      <c r="ASR742" s="23"/>
      <c r="ASS742" s="23"/>
      <c r="AST742" s="23"/>
      <c r="ASU742" s="23"/>
      <c r="ASV742" s="23"/>
      <c r="ASW742" s="23"/>
      <c r="ASX742" s="23"/>
      <c r="ASY742" s="23"/>
      <c r="ASZ742" s="23"/>
      <c r="ATA742" s="23"/>
      <c r="ATB742" s="23"/>
      <c r="ATC742" s="23"/>
      <c r="ATD742" s="23"/>
      <c r="ATE742" s="23"/>
      <c r="ATF742" s="23"/>
      <c r="ATG742" s="23"/>
      <c r="ATH742" s="23"/>
      <c r="ATI742" s="23"/>
      <c r="ATJ742" s="23"/>
      <c r="ATK742" s="23"/>
      <c r="ATL742" s="23"/>
      <c r="ATM742" s="23"/>
      <c r="ATN742" s="23"/>
      <c r="ATO742" s="23"/>
      <c r="ATP742" s="23"/>
      <c r="ATQ742" s="23"/>
      <c r="ATR742" s="23"/>
      <c r="ATS742" s="23"/>
      <c r="ATT742" s="23"/>
      <c r="ATU742" s="23"/>
      <c r="ATV742" s="23"/>
      <c r="ATW742" s="23"/>
      <c r="ATX742" s="23"/>
      <c r="ATY742" s="23"/>
      <c r="ATZ742" s="23"/>
      <c r="AUA742" s="23"/>
      <c r="AUB742" s="23"/>
      <c r="AUC742" s="23"/>
      <c r="AUD742" s="23"/>
      <c r="AUE742" s="23"/>
      <c r="AUF742" s="23"/>
      <c r="AUG742" s="23"/>
      <c r="AUH742" s="23"/>
      <c r="AUI742" s="23"/>
      <c r="AUJ742" s="23"/>
      <c r="AUK742" s="23"/>
      <c r="AUL742" s="23"/>
      <c r="AUM742" s="23"/>
      <c r="AUN742" s="23"/>
      <c r="AUO742" s="23"/>
      <c r="AUP742" s="23"/>
      <c r="AUQ742" s="23"/>
      <c r="AUR742" s="23"/>
      <c r="AUS742" s="23"/>
      <c r="AUT742" s="23"/>
      <c r="AUU742" s="23"/>
      <c r="AUV742" s="23"/>
      <c r="AUW742" s="23"/>
      <c r="AUX742" s="23"/>
      <c r="AUY742" s="23"/>
      <c r="AUZ742" s="23"/>
      <c r="AVA742" s="23"/>
      <c r="AVB742" s="23"/>
      <c r="AVC742" s="23"/>
      <c r="AVD742" s="23"/>
      <c r="AVE742" s="23"/>
      <c r="AVF742" s="23"/>
      <c r="AVG742" s="23"/>
      <c r="AVH742" s="23"/>
      <c r="AVI742" s="23"/>
      <c r="AVJ742" s="23"/>
      <c r="AVK742" s="23"/>
      <c r="AVL742" s="23"/>
      <c r="AVM742" s="23"/>
      <c r="AVN742" s="23"/>
      <c r="AVO742" s="23"/>
      <c r="AVP742" s="23"/>
      <c r="AVQ742" s="23"/>
      <c r="AVR742" s="23"/>
      <c r="AVS742" s="23"/>
      <c r="AVT742" s="23"/>
      <c r="AVU742" s="23"/>
      <c r="AVV742" s="23"/>
      <c r="AVW742" s="23"/>
      <c r="AVX742" s="23"/>
      <c r="AVY742" s="23"/>
      <c r="AVZ742" s="23"/>
      <c r="AWA742" s="23"/>
      <c r="AWB742" s="23"/>
      <c r="AWC742" s="23"/>
      <c r="AWD742" s="23"/>
      <c r="AWE742" s="23"/>
      <c r="AWF742" s="23"/>
      <c r="AWG742" s="23"/>
      <c r="AWH742" s="23"/>
      <c r="AWI742" s="23"/>
      <c r="AWJ742" s="23"/>
      <c r="AWK742" s="23"/>
      <c r="AWL742" s="23"/>
      <c r="AWM742" s="23"/>
      <c r="AWN742" s="23"/>
      <c r="AWO742" s="23"/>
      <c r="AWP742" s="23"/>
      <c r="AWQ742" s="23"/>
      <c r="AWR742" s="23"/>
      <c r="AWS742" s="23"/>
      <c r="AWT742" s="23"/>
      <c r="AWU742" s="23"/>
      <c r="AWV742" s="23"/>
      <c r="AWW742" s="23"/>
      <c r="AWX742" s="23"/>
      <c r="AWY742" s="23"/>
      <c r="AWZ742" s="23"/>
      <c r="AXA742" s="23"/>
      <c r="AXB742" s="23"/>
      <c r="AXC742" s="23"/>
      <c r="AXD742" s="23"/>
      <c r="AXE742" s="23"/>
      <c r="AXF742" s="23"/>
      <c r="AXG742" s="23"/>
      <c r="AXH742" s="23"/>
      <c r="AXI742" s="23"/>
      <c r="AXJ742" s="23"/>
      <c r="AXK742" s="23"/>
      <c r="AXL742" s="23"/>
      <c r="AXM742" s="23"/>
      <c r="AXN742" s="23"/>
      <c r="AXO742" s="23"/>
      <c r="AXP742" s="23"/>
      <c r="AXQ742" s="23"/>
      <c r="AXR742" s="23"/>
      <c r="AXS742" s="23"/>
      <c r="AXT742" s="23"/>
      <c r="AXU742" s="23"/>
      <c r="AXV742" s="23"/>
      <c r="AXW742" s="23"/>
      <c r="AXX742" s="23"/>
      <c r="AXY742" s="23"/>
      <c r="AXZ742" s="23"/>
      <c r="AYA742" s="23"/>
      <c r="AYB742" s="23"/>
      <c r="AYC742" s="23"/>
      <c r="AYD742" s="23"/>
      <c r="AYE742" s="23"/>
      <c r="AYF742" s="23"/>
      <c r="AYG742" s="23"/>
      <c r="AYH742" s="23"/>
      <c r="AYI742" s="23"/>
      <c r="AYJ742" s="23"/>
      <c r="AYK742" s="23"/>
      <c r="AYL742" s="23"/>
      <c r="AYM742" s="23"/>
      <c r="AYN742" s="23"/>
      <c r="AYO742" s="23"/>
      <c r="AYP742" s="23"/>
      <c r="AYQ742" s="23"/>
      <c r="AYR742" s="23"/>
      <c r="AYS742" s="23"/>
      <c r="AYT742" s="23"/>
      <c r="AYU742" s="23"/>
      <c r="AYV742" s="23"/>
      <c r="AYW742" s="23"/>
      <c r="AYX742" s="23"/>
      <c r="AYY742" s="23"/>
      <c r="AYZ742" s="23"/>
      <c r="AZA742" s="23"/>
      <c r="AZB742" s="23"/>
      <c r="AZC742" s="23"/>
      <c r="AZD742" s="23"/>
      <c r="AZE742" s="23"/>
      <c r="AZF742" s="23"/>
      <c r="AZG742" s="23"/>
      <c r="AZH742" s="23"/>
      <c r="AZI742" s="23"/>
      <c r="AZJ742" s="23"/>
      <c r="AZK742" s="23"/>
      <c r="AZL742" s="23"/>
      <c r="AZM742" s="23"/>
      <c r="AZN742" s="23"/>
      <c r="AZO742" s="23"/>
      <c r="AZP742" s="23"/>
      <c r="AZQ742" s="23"/>
      <c r="AZR742" s="23"/>
      <c r="AZS742" s="23"/>
      <c r="AZT742" s="23"/>
      <c r="AZU742" s="23"/>
      <c r="AZV742" s="23"/>
      <c r="AZW742" s="23"/>
      <c r="AZX742" s="23"/>
      <c r="AZY742" s="23"/>
      <c r="AZZ742" s="23"/>
      <c r="BAA742" s="23"/>
      <c r="BAB742" s="23"/>
      <c r="BAC742" s="23"/>
      <c r="BAD742" s="23"/>
      <c r="BAE742" s="23"/>
      <c r="BAF742" s="23"/>
      <c r="BAG742" s="23"/>
      <c r="BAH742" s="23"/>
      <c r="BAI742" s="23"/>
      <c r="BAJ742" s="23"/>
      <c r="BAK742" s="23"/>
      <c r="BAL742" s="23"/>
      <c r="BAM742" s="23"/>
      <c r="BAN742" s="23"/>
      <c r="BAO742" s="23"/>
      <c r="BAP742" s="23"/>
      <c r="BAQ742" s="23"/>
      <c r="BAR742" s="23"/>
      <c r="BAS742" s="23"/>
      <c r="BAT742" s="23"/>
      <c r="BAU742" s="23"/>
      <c r="BAV742" s="23"/>
      <c r="BAW742" s="23"/>
      <c r="BAX742" s="23"/>
      <c r="BAY742" s="23"/>
      <c r="BAZ742" s="23"/>
      <c r="BBA742" s="23"/>
      <c r="BBB742" s="23"/>
      <c r="BBC742" s="23"/>
      <c r="BBD742" s="23"/>
      <c r="BBE742" s="23"/>
      <c r="BBF742" s="23"/>
      <c r="BBG742" s="23"/>
      <c r="BBH742" s="23"/>
      <c r="BBI742" s="23"/>
      <c r="BBJ742" s="23"/>
      <c r="BBK742" s="23"/>
      <c r="BBL742" s="23"/>
      <c r="BBM742" s="23"/>
      <c r="BBN742" s="23"/>
      <c r="BBO742" s="23"/>
      <c r="BBP742" s="23"/>
      <c r="BBQ742" s="23"/>
      <c r="BBR742" s="23"/>
      <c r="BBS742" s="23"/>
      <c r="BBT742" s="23"/>
      <c r="BBU742" s="23"/>
      <c r="BBV742" s="23"/>
      <c r="BBW742" s="23"/>
      <c r="BBX742" s="23"/>
      <c r="BBY742" s="23"/>
      <c r="BBZ742" s="23"/>
      <c r="BCA742" s="23"/>
      <c r="BCB742" s="23"/>
      <c r="BCC742" s="23"/>
      <c r="BCD742" s="23"/>
      <c r="BCE742" s="23"/>
      <c r="BCF742" s="23"/>
      <c r="BCG742" s="23"/>
      <c r="BCH742" s="23"/>
      <c r="BCI742" s="23"/>
      <c r="BCJ742" s="23"/>
      <c r="BCK742" s="23"/>
      <c r="BCL742" s="23"/>
      <c r="BCM742" s="23"/>
      <c r="BCN742" s="23"/>
      <c r="BCO742" s="23"/>
      <c r="BCP742" s="23"/>
      <c r="BCQ742" s="23"/>
      <c r="BCR742" s="23"/>
      <c r="BCS742" s="23"/>
      <c r="BCT742" s="23"/>
      <c r="BCU742" s="23"/>
      <c r="BCV742" s="23"/>
      <c r="BCW742" s="23"/>
      <c r="BCX742" s="23"/>
      <c r="BCY742" s="23"/>
      <c r="BCZ742" s="23"/>
      <c r="BDA742" s="23"/>
      <c r="BDB742" s="23"/>
      <c r="BDC742" s="23"/>
      <c r="BDD742" s="23"/>
      <c r="BDE742" s="23"/>
      <c r="BDF742" s="23"/>
      <c r="BDG742" s="23"/>
      <c r="BDH742" s="23"/>
      <c r="BDI742" s="23"/>
      <c r="BDJ742" s="23"/>
      <c r="BDK742" s="23"/>
      <c r="BDL742" s="23"/>
      <c r="BDM742" s="23"/>
      <c r="BDN742" s="23"/>
      <c r="BDO742" s="23"/>
      <c r="BDP742" s="23"/>
      <c r="BDQ742" s="23"/>
      <c r="BDR742" s="23"/>
      <c r="BDS742" s="23"/>
      <c r="BDT742" s="23"/>
      <c r="BDU742" s="23"/>
      <c r="BDV742" s="23"/>
      <c r="BDW742" s="23"/>
      <c r="BDX742" s="23"/>
      <c r="BDY742" s="23"/>
      <c r="BDZ742" s="23"/>
      <c r="BEA742" s="23"/>
      <c r="BEB742" s="23"/>
      <c r="BEC742" s="23"/>
      <c r="BED742" s="23"/>
      <c r="BEE742" s="23"/>
      <c r="BEF742" s="23"/>
      <c r="BEG742" s="23"/>
      <c r="BEH742" s="23"/>
      <c r="BEI742" s="23"/>
      <c r="BEJ742" s="23"/>
      <c r="BEK742" s="23"/>
      <c r="BEL742" s="23"/>
      <c r="BEM742" s="23"/>
      <c r="BEN742" s="23"/>
      <c r="BEO742" s="23"/>
      <c r="BEP742" s="23"/>
      <c r="BEQ742" s="23"/>
      <c r="BER742" s="23"/>
      <c r="BES742" s="23"/>
      <c r="BET742" s="23"/>
      <c r="BEU742" s="23"/>
      <c r="BEV742" s="23"/>
      <c r="BEW742" s="23"/>
      <c r="BEX742" s="23"/>
      <c r="BEY742" s="23"/>
      <c r="BEZ742" s="23"/>
      <c r="BFA742" s="23"/>
      <c r="BFB742" s="23"/>
      <c r="BFC742" s="23"/>
      <c r="BFD742" s="23"/>
      <c r="BFE742" s="23"/>
      <c r="BFF742" s="23"/>
      <c r="BFG742" s="23"/>
      <c r="BFH742" s="23"/>
      <c r="BFI742" s="23"/>
      <c r="BFJ742" s="23"/>
      <c r="BFK742" s="23"/>
      <c r="BFL742" s="23"/>
      <c r="BFM742" s="23"/>
      <c r="BFN742" s="23"/>
      <c r="BFO742" s="23"/>
      <c r="BFP742" s="23"/>
      <c r="BFQ742" s="23"/>
      <c r="BFR742" s="23"/>
      <c r="BFS742" s="23"/>
      <c r="BFT742" s="23"/>
      <c r="BFU742" s="23"/>
      <c r="BFV742" s="23"/>
      <c r="BFW742" s="23"/>
      <c r="BFX742" s="23"/>
      <c r="BFY742" s="23"/>
      <c r="BFZ742" s="23"/>
      <c r="BGA742" s="23"/>
      <c r="BGB742" s="23"/>
      <c r="BGC742" s="23"/>
      <c r="BGD742" s="23"/>
      <c r="BGE742" s="23"/>
      <c r="BGF742" s="23"/>
      <c r="BGG742" s="23"/>
      <c r="BGH742" s="23"/>
      <c r="BGI742" s="23"/>
      <c r="BGJ742" s="23"/>
      <c r="BGK742" s="23"/>
      <c r="BGL742" s="23"/>
      <c r="BGM742" s="23"/>
      <c r="BGN742" s="23"/>
      <c r="BGO742" s="23"/>
      <c r="BGP742" s="23"/>
      <c r="BGQ742" s="23"/>
      <c r="BGR742" s="23"/>
      <c r="BGS742" s="23"/>
      <c r="BGT742" s="23"/>
      <c r="BGU742" s="23"/>
      <c r="BGV742" s="23"/>
      <c r="BGW742" s="23"/>
      <c r="BGX742" s="23"/>
      <c r="BGY742" s="23"/>
      <c r="BGZ742" s="23"/>
      <c r="BHA742" s="23"/>
      <c r="BHB742" s="23"/>
      <c r="BHC742" s="23"/>
      <c r="BHD742" s="23"/>
      <c r="BHE742" s="23"/>
      <c r="BHF742" s="23"/>
      <c r="BHG742" s="23"/>
      <c r="BHH742" s="23"/>
      <c r="BHI742" s="23"/>
      <c r="BHJ742" s="23"/>
      <c r="BHK742" s="23"/>
      <c r="BHL742" s="23"/>
      <c r="BHM742" s="23"/>
      <c r="BHN742" s="23"/>
      <c r="BHO742" s="23"/>
      <c r="BHP742" s="23"/>
      <c r="BHQ742" s="23"/>
      <c r="BHR742" s="23"/>
      <c r="BHS742" s="23"/>
      <c r="BHT742" s="23"/>
      <c r="BHU742" s="23"/>
      <c r="BHV742" s="23"/>
      <c r="BHW742" s="23"/>
      <c r="BHX742" s="23"/>
      <c r="BHY742" s="23"/>
      <c r="BHZ742" s="23"/>
      <c r="BIA742" s="23"/>
      <c r="BIB742" s="23"/>
      <c r="BIC742" s="23"/>
      <c r="BID742" s="23"/>
      <c r="BIE742" s="23"/>
      <c r="BIF742" s="23"/>
      <c r="BIG742" s="23"/>
      <c r="BIH742" s="23"/>
      <c r="BII742" s="23"/>
      <c r="BIJ742" s="23"/>
      <c r="BIK742" s="23"/>
      <c r="BIL742" s="23"/>
      <c r="BIM742" s="23"/>
      <c r="BIN742" s="23"/>
      <c r="BIO742" s="23"/>
      <c r="BIP742" s="23"/>
      <c r="BIQ742" s="23"/>
      <c r="BIR742" s="23"/>
      <c r="BIS742" s="23"/>
      <c r="BIT742" s="23"/>
      <c r="BIU742" s="23"/>
      <c r="BIV742" s="23"/>
      <c r="BIW742" s="23"/>
      <c r="BIX742" s="23"/>
      <c r="BIY742" s="23"/>
      <c r="BIZ742" s="23"/>
      <c r="BJA742" s="23"/>
      <c r="BJB742" s="23"/>
      <c r="BJC742" s="23"/>
      <c r="BJD742" s="23"/>
      <c r="BJE742" s="23"/>
      <c r="BJF742" s="23"/>
      <c r="BJG742" s="23"/>
      <c r="BJH742" s="23"/>
      <c r="BJI742" s="23"/>
      <c r="BJJ742" s="23"/>
      <c r="BJK742" s="23"/>
      <c r="BJL742" s="23"/>
      <c r="BJM742" s="23"/>
      <c r="BJN742" s="23"/>
      <c r="BJO742" s="23"/>
      <c r="BJP742" s="23"/>
      <c r="BJQ742" s="23"/>
      <c r="BJR742" s="23"/>
      <c r="BJS742" s="23"/>
      <c r="BJT742" s="23"/>
      <c r="BJU742" s="23"/>
      <c r="BJV742" s="23"/>
      <c r="BJW742" s="23"/>
      <c r="BJX742" s="23"/>
      <c r="BJY742" s="23"/>
      <c r="BJZ742" s="23"/>
      <c r="BKA742" s="23"/>
      <c r="BKB742" s="23"/>
      <c r="BKC742" s="23"/>
      <c r="BKD742" s="23"/>
      <c r="BKE742" s="23"/>
      <c r="BKF742" s="23"/>
      <c r="BKG742" s="23"/>
      <c r="BKH742" s="23"/>
      <c r="BKI742" s="23"/>
      <c r="BKJ742" s="23"/>
      <c r="BKK742" s="23"/>
      <c r="BKL742" s="23"/>
      <c r="BKM742" s="23"/>
      <c r="BKN742" s="23"/>
      <c r="BKO742" s="23"/>
      <c r="BKP742" s="23"/>
      <c r="BKQ742" s="23"/>
      <c r="BKR742" s="23"/>
      <c r="BKS742" s="23"/>
      <c r="BKT742" s="23"/>
      <c r="BKU742" s="23"/>
      <c r="BKV742" s="23"/>
      <c r="BKW742" s="23"/>
      <c r="BKX742" s="23"/>
      <c r="BKY742" s="23"/>
      <c r="BKZ742" s="23"/>
      <c r="BLA742" s="23"/>
      <c r="BLB742" s="23"/>
      <c r="BLC742" s="23"/>
      <c r="BLD742" s="23"/>
      <c r="BLE742" s="23"/>
      <c r="BLF742" s="23"/>
      <c r="BLG742" s="23"/>
      <c r="BLH742" s="23"/>
      <c r="BLI742" s="23"/>
      <c r="BLJ742" s="23"/>
      <c r="BLK742" s="23"/>
      <c r="BLL742" s="23"/>
      <c r="BLM742" s="23"/>
      <c r="BLN742" s="23"/>
      <c r="BLO742" s="23"/>
      <c r="BLP742" s="23"/>
      <c r="BLQ742" s="23"/>
      <c r="BLR742" s="23"/>
      <c r="BLS742" s="23"/>
      <c r="BLT742" s="23"/>
      <c r="BLU742" s="23"/>
      <c r="BLV742" s="23"/>
      <c r="BLW742" s="23"/>
      <c r="BLX742" s="23"/>
      <c r="BLY742" s="23"/>
      <c r="BLZ742" s="23"/>
      <c r="BMA742" s="23"/>
      <c r="BMB742" s="23"/>
      <c r="BMC742" s="23"/>
      <c r="BMD742" s="23"/>
      <c r="BME742" s="23"/>
      <c r="BMF742" s="23"/>
      <c r="BMG742" s="23"/>
      <c r="BMH742" s="23"/>
      <c r="BMI742" s="23"/>
      <c r="BMJ742" s="23"/>
      <c r="BMK742" s="23"/>
      <c r="BML742" s="23"/>
      <c r="BMM742" s="23"/>
      <c r="BMN742" s="23"/>
      <c r="BMO742" s="23"/>
      <c r="BMP742" s="23"/>
      <c r="BMQ742" s="23"/>
      <c r="BMR742" s="23"/>
      <c r="BMS742" s="23"/>
      <c r="BMT742" s="23"/>
      <c r="BMU742" s="23"/>
      <c r="BMV742" s="23"/>
      <c r="BMW742" s="23"/>
      <c r="BMX742" s="23"/>
      <c r="BMY742" s="23"/>
      <c r="BMZ742" s="23"/>
      <c r="BNA742" s="23"/>
      <c r="BNB742" s="23"/>
      <c r="BNC742" s="23"/>
      <c r="BND742" s="23"/>
      <c r="BNE742" s="23"/>
      <c r="BNF742" s="23"/>
      <c r="BNG742" s="23"/>
      <c r="BNH742" s="23"/>
      <c r="BNI742" s="23"/>
      <c r="BNJ742" s="23"/>
      <c r="BNK742" s="23"/>
      <c r="BNL742" s="23"/>
      <c r="BNM742" s="23"/>
      <c r="BNN742" s="23"/>
      <c r="BNO742" s="23"/>
      <c r="BNP742" s="23"/>
      <c r="BNQ742" s="23"/>
      <c r="BNR742" s="23"/>
      <c r="BNS742" s="23"/>
      <c r="BNT742" s="23"/>
      <c r="BNU742" s="23"/>
      <c r="BNV742" s="23"/>
      <c r="BNW742" s="23"/>
      <c r="BNX742" s="23"/>
      <c r="BNY742" s="23"/>
      <c r="BNZ742" s="23"/>
      <c r="BOA742" s="23"/>
      <c r="BOB742" s="23"/>
      <c r="BOC742" s="23"/>
      <c r="BOD742" s="23"/>
      <c r="BOE742" s="23"/>
      <c r="BOF742" s="23"/>
      <c r="BOG742" s="23"/>
      <c r="BOH742" s="23"/>
      <c r="BOI742" s="23"/>
      <c r="BOJ742" s="23"/>
      <c r="BOK742" s="23"/>
      <c r="BOL742" s="23"/>
      <c r="BOM742" s="23"/>
      <c r="BON742" s="23"/>
      <c r="BOO742" s="23"/>
      <c r="BOP742" s="23"/>
      <c r="BOQ742" s="23"/>
      <c r="BOR742" s="23"/>
      <c r="BOS742" s="23"/>
      <c r="BOT742" s="23"/>
      <c r="BOU742" s="23"/>
      <c r="BOV742" s="23"/>
      <c r="BOW742" s="23"/>
      <c r="BOX742" s="23"/>
      <c r="BOY742" s="23"/>
      <c r="BOZ742" s="23"/>
      <c r="BPA742" s="23"/>
      <c r="BPB742" s="23"/>
      <c r="BPC742" s="23"/>
      <c r="BPD742" s="23"/>
      <c r="BPE742" s="23"/>
      <c r="BPF742" s="23"/>
      <c r="BPG742" s="23"/>
      <c r="BPH742" s="23"/>
      <c r="BPI742" s="23"/>
      <c r="BPJ742" s="23"/>
      <c r="BPK742" s="23"/>
      <c r="BPL742" s="23"/>
      <c r="BPM742" s="23"/>
      <c r="BPN742" s="23"/>
      <c r="BPO742" s="23"/>
      <c r="BPP742" s="23"/>
      <c r="BPQ742" s="23"/>
      <c r="BPR742" s="23"/>
      <c r="BPS742" s="23"/>
      <c r="BPT742" s="23"/>
      <c r="BPU742" s="23"/>
      <c r="BPV742" s="23"/>
      <c r="BPW742" s="23"/>
      <c r="BPX742" s="23"/>
      <c r="BPY742" s="23"/>
      <c r="BPZ742" s="23"/>
      <c r="BQA742" s="23"/>
      <c r="BQB742" s="23"/>
      <c r="BQC742" s="23"/>
      <c r="BQD742" s="23"/>
      <c r="BQE742" s="23"/>
      <c r="BQF742" s="23"/>
      <c r="BQG742" s="23"/>
      <c r="BQH742" s="23"/>
      <c r="BQI742" s="23"/>
      <c r="BQJ742" s="23"/>
      <c r="BQK742" s="23"/>
      <c r="BQL742" s="23"/>
      <c r="BQM742" s="23"/>
      <c r="BQN742" s="23"/>
      <c r="BQO742" s="23"/>
      <c r="BQP742" s="23"/>
      <c r="BQQ742" s="23"/>
      <c r="BQR742" s="23"/>
      <c r="BQS742" s="23"/>
      <c r="BQT742" s="23"/>
      <c r="BQU742" s="23"/>
      <c r="BQV742" s="23"/>
      <c r="BQW742" s="23"/>
      <c r="BQX742" s="23"/>
      <c r="BQY742" s="23"/>
      <c r="BQZ742" s="23"/>
      <c r="BRA742" s="23"/>
      <c r="BRB742" s="23"/>
      <c r="BRC742" s="23"/>
      <c r="BRD742" s="23"/>
      <c r="BRE742" s="23"/>
      <c r="BRF742" s="23"/>
      <c r="BRG742" s="23"/>
      <c r="BRH742" s="23"/>
      <c r="BRI742" s="23"/>
      <c r="BRJ742" s="23"/>
      <c r="BRK742" s="23"/>
      <c r="BRL742" s="23"/>
      <c r="BRM742" s="23"/>
      <c r="BRN742" s="23"/>
      <c r="BRO742" s="23"/>
      <c r="BRP742" s="23"/>
      <c r="BRQ742" s="23"/>
      <c r="BRR742" s="23"/>
      <c r="BRS742" s="23"/>
      <c r="BRT742" s="23"/>
      <c r="BRU742" s="23"/>
      <c r="BRV742" s="23"/>
      <c r="BRW742" s="23"/>
      <c r="BRX742" s="23"/>
      <c r="BRY742" s="23"/>
      <c r="BRZ742" s="23"/>
      <c r="BSA742" s="23"/>
      <c r="BSB742" s="23"/>
      <c r="BSC742" s="23"/>
      <c r="BSD742" s="23"/>
      <c r="BSE742" s="23"/>
      <c r="BSF742" s="23"/>
      <c r="BSG742" s="23"/>
      <c r="BSH742" s="23"/>
      <c r="BSI742" s="23"/>
      <c r="BSJ742" s="23"/>
      <c r="BSK742" s="23"/>
      <c r="BSL742" s="23"/>
      <c r="BSM742" s="23"/>
      <c r="BSN742" s="23"/>
      <c r="BSO742" s="23"/>
      <c r="BSP742" s="23"/>
      <c r="BSQ742" s="23"/>
      <c r="BSR742" s="23"/>
      <c r="BSS742" s="23"/>
      <c r="BST742" s="23"/>
      <c r="BSU742" s="23"/>
      <c r="BSV742" s="23"/>
      <c r="BSW742" s="23"/>
      <c r="BSX742" s="23"/>
      <c r="BSY742" s="23"/>
      <c r="BSZ742" s="23"/>
      <c r="BTA742" s="23"/>
    </row>
    <row r="743" spans="1:1873" s="254" customFormat="1" ht="11.45" customHeight="1" x14ac:dyDescent="0.2">
      <c r="A743" s="283" t="s">
        <v>1389</v>
      </c>
      <c r="B743" s="249" t="s">
        <v>810</v>
      </c>
      <c r="C743" s="249" t="s">
        <v>1452</v>
      </c>
      <c r="D743" s="283" t="s">
        <v>619</v>
      </c>
      <c r="E743" s="306" t="s">
        <v>1391</v>
      </c>
      <c r="F743" s="283">
        <v>1</v>
      </c>
      <c r="G743" s="251">
        <v>8</v>
      </c>
      <c r="H743" s="251">
        <v>9</v>
      </c>
      <c r="I743" s="249" t="s">
        <v>807</v>
      </c>
      <c r="J743" s="249">
        <v>1995</v>
      </c>
      <c r="K743" s="249" t="s">
        <v>1211</v>
      </c>
      <c r="L743" s="249">
        <v>2002</v>
      </c>
      <c r="M743" s="253">
        <v>-9999</v>
      </c>
      <c r="N743" s="249">
        <v>-9999</v>
      </c>
      <c r="O743" s="18"/>
      <c r="P743" s="284">
        <f>+T743*G743</f>
        <v>168.72</v>
      </c>
      <c r="Q743" s="249">
        <v>-9999</v>
      </c>
      <c r="R743" s="253"/>
      <c r="S743" s="249"/>
      <c r="T743" s="426">
        <v>21.09</v>
      </c>
      <c r="U743" s="249">
        <v>1.29</v>
      </c>
      <c r="V743" s="249"/>
      <c r="W743" s="253">
        <v>-9999</v>
      </c>
      <c r="X743" s="249">
        <v>-9999</v>
      </c>
      <c r="Y743" s="249"/>
      <c r="Z743" s="249" t="s">
        <v>808</v>
      </c>
      <c r="AA743" s="384">
        <v>1075</v>
      </c>
      <c r="AB743" s="253">
        <v>1</v>
      </c>
      <c r="AC743" s="249">
        <v>-9999</v>
      </c>
      <c r="AD743" s="249">
        <v>18.600000000000001</v>
      </c>
      <c r="AE743" s="249" t="s">
        <v>1738</v>
      </c>
      <c r="AF743" s="249">
        <v>10</v>
      </c>
      <c r="AG743" s="249" t="s">
        <v>1741</v>
      </c>
      <c r="AH743" s="249" t="s">
        <v>1034</v>
      </c>
      <c r="AI743" s="249" t="s">
        <v>1739</v>
      </c>
      <c r="AJ743" s="249">
        <v>-9999</v>
      </c>
      <c r="AK743" s="249" t="s">
        <v>626</v>
      </c>
      <c r="AL743" s="249" t="s">
        <v>828</v>
      </c>
      <c r="AM743" s="249">
        <v>-9999</v>
      </c>
      <c r="AN743" s="249" t="s">
        <v>631</v>
      </c>
      <c r="AO743" s="249">
        <v>-9999</v>
      </c>
      <c r="AP743" s="249">
        <v>-9999</v>
      </c>
      <c r="AQ743" s="249" t="s">
        <v>631</v>
      </c>
      <c r="AR743" s="249">
        <v>0</v>
      </c>
      <c r="AS743" s="249">
        <v>-9999</v>
      </c>
      <c r="AT743" s="249">
        <v>-9999</v>
      </c>
      <c r="AU743" s="249">
        <v>0</v>
      </c>
      <c r="AV743" s="249">
        <v>-9999</v>
      </c>
      <c r="AW743" s="249">
        <v>-9999</v>
      </c>
      <c r="AX743" s="249">
        <v>0</v>
      </c>
      <c r="AY743" s="249">
        <v>-9999</v>
      </c>
      <c r="AZ743" s="249">
        <v>-9999</v>
      </c>
      <c r="BA743" s="249">
        <v>-9988</v>
      </c>
      <c r="BB743" s="249" t="s">
        <v>626</v>
      </c>
      <c r="BC743" s="249">
        <v>-9999</v>
      </c>
      <c r="BD743" s="249">
        <v>-9999</v>
      </c>
      <c r="BE743" s="249">
        <v>-9999</v>
      </c>
      <c r="BF743" s="249">
        <v>-9999</v>
      </c>
      <c r="BG743" s="249">
        <v>-9999</v>
      </c>
      <c r="BH743" s="249">
        <v>-9999</v>
      </c>
      <c r="BI743" s="249" t="s">
        <v>1035</v>
      </c>
      <c r="BJ743" s="249">
        <v>-9999</v>
      </c>
      <c r="BK743" s="249">
        <v>-9999</v>
      </c>
      <c r="BL743" s="249">
        <v>-9999</v>
      </c>
      <c r="BM743" s="249">
        <v>-9999</v>
      </c>
      <c r="BN743" s="253">
        <v>18.690000000000001</v>
      </c>
      <c r="BO743" s="249">
        <v>-9999</v>
      </c>
      <c r="BP743" s="249">
        <v>-9999</v>
      </c>
      <c r="BQ743" s="249">
        <v>-9999</v>
      </c>
      <c r="BR743" s="249">
        <v>-9999</v>
      </c>
      <c r="BS743" s="251">
        <v>-9999</v>
      </c>
      <c r="BT743" s="249">
        <v>-9999</v>
      </c>
      <c r="BU743" s="249">
        <v>-9999</v>
      </c>
      <c r="BV743" s="249">
        <v>-9999</v>
      </c>
      <c r="BW743" s="249"/>
      <c r="BX743" s="249">
        <v>-9999</v>
      </c>
      <c r="BY743" s="249">
        <v>-9999</v>
      </c>
      <c r="BZ743" s="249">
        <v>-9999</v>
      </c>
      <c r="CA743" s="335" t="s">
        <v>797</v>
      </c>
      <c r="CC743" s="191">
        <v>1</v>
      </c>
      <c r="CD743" s="195">
        <v>8</v>
      </c>
      <c r="CE743" s="393">
        <v>21.09</v>
      </c>
      <c r="CF743" s="99"/>
      <c r="CG743" s="195">
        <v>9</v>
      </c>
      <c r="CH743" s="436" t="s">
        <v>1757</v>
      </c>
      <c r="CI743" s="13"/>
      <c r="CJ743" s="13"/>
      <c r="CK743" s="13"/>
      <c r="CL743" s="13"/>
      <c r="CM743" s="13"/>
      <c r="CN743" s="13"/>
      <c r="CO743" s="13"/>
      <c r="CP743" s="13"/>
      <c r="CQ743" s="13"/>
      <c r="CR743" s="13"/>
      <c r="CS743" s="13"/>
      <c r="CT743" s="13"/>
      <c r="CU743" s="13"/>
      <c r="CV743" s="13"/>
      <c r="CW743" s="13"/>
      <c r="CX743" s="13"/>
      <c r="CY743" s="13"/>
      <c r="CZ743" s="13"/>
      <c r="DA743" s="13"/>
      <c r="DB743" s="13"/>
      <c r="DC743" s="13"/>
      <c r="DD743" s="13"/>
      <c r="DE743" s="13"/>
      <c r="DF743" s="13"/>
      <c r="DG743" s="13"/>
      <c r="DH743" s="13"/>
      <c r="DI743" s="13"/>
      <c r="DJ743" s="13"/>
      <c r="DK743" s="13"/>
      <c r="DL743" s="13"/>
      <c r="DM743" s="13"/>
      <c r="DN743" s="13"/>
      <c r="DO743" s="13"/>
      <c r="DP743" s="13"/>
      <c r="DQ743" s="13"/>
      <c r="DR743" s="13"/>
      <c r="DS743" s="13"/>
      <c r="DT743" s="13"/>
      <c r="DU743" s="13"/>
      <c r="DV743" s="13"/>
      <c r="DW743" s="13"/>
      <c r="DX743" s="13"/>
      <c r="DY743" s="13"/>
      <c r="DZ743" s="13"/>
      <c r="EA743" s="13"/>
      <c r="EB743" s="13"/>
      <c r="EC743" s="13"/>
      <c r="ED743" s="13"/>
      <c r="EE743" s="13"/>
      <c r="EF743" s="13"/>
      <c r="EG743" s="13"/>
      <c r="EH743" s="13"/>
      <c r="EI743" s="13"/>
      <c r="EJ743" s="13"/>
      <c r="EK743" s="13"/>
      <c r="EL743" s="13"/>
      <c r="EM743" s="13"/>
      <c r="EN743" s="13"/>
      <c r="EO743" s="13"/>
      <c r="EP743" s="13"/>
      <c r="EQ743" s="13"/>
      <c r="ER743" s="13"/>
      <c r="ES743" s="13"/>
      <c r="ET743" s="13"/>
      <c r="EU743" s="13"/>
      <c r="EV743" s="13"/>
      <c r="EW743" s="13"/>
      <c r="EX743" s="13"/>
      <c r="EY743" s="13"/>
      <c r="EZ743" s="13"/>
      <c r="FA743" s="13"/>
      <c r="FB743" s="13"/>
      <c r="FC743" s="13"/>
      <c r="FD743" s="13"/>
      <c r="FE743" s="13"/>
      <c r="FF743" s="13"/>
      <c r="FG743" s="13"/>
      <c r="FH743" s="13"/>
      <c r="FI743" s="13"/>
      <c r="FJ743" s="13"/>
      <c r="FK743" s="13"/>
      <c r="FL743" s="13"/>
      <c r="FM743" s="13"/>
      <c r="FN743" s="13"/>
      <c r="FO743" s="13"/>
      <c r="FP743" s="13"/>
      <c r="FQ743" s="13"/>
      <c r="FR743" s="13"/>
      <c r="FS743" s="13"/>
      <c r="FT743" s="13"/>
      <c r="FU743" s="13"/>
      <c r="FV743" s="13"/>
      <c r="FW743" s="13"/>
      <c r="FX743" s="13"/>
      <c r="FY743" s="13"/>
      <c r="FZ743" s="13"/>
      <c r="GA743" s="13"/>
      <c r="GB743" s="13"/>
      <c r="GC743" s="13"/>
      <c r="GD743" s="13"/>
      <c r="GE743" s="13"/>
      <c r="GF743" s="13"/>
      <c r="GG743" s="13"/>
      <c r="GH743" s="13"/>
      <c r="GI743" s="13"/>
      <c r="GJ743" s="13"/>
      <c r="GK743" s="13"/>
      <c r="GL743" s="13"/>
      <c r="GM743" s="13"/>
      <c r="GN743" s="13"/>
      <c r="GO743" s="13"/>
      <c r="GP743" s="13"/>
      <c r="GQ743" s="13"/>
      <c r="GR743" s="13"/>
      <c r="GS743" s="13"/>
      <c r="GT743" s="13"/>
      <c r="GU743" s="13"/>
      <c r="GV743" s="13"/>
      <c r="GW743" s="13"/>
      <c r="GX743" s="13"/>
      <c r="GY743" s="13"/>
      <c r="GZ743" s="13"/>
      <c r="HA743" s="13"/>
      <c r="HB743" s="13"/>
      <c r="HC743" s="13"/>
      <c r="HD743" s="13"/>
      <c r="HE743" s="13"/>
      <c r="HF743" s="13"/>
      <c r="HG743" s="13"/>
      <c r="HH743" s="13"/>
      <c r="HI743" s="13"/>
      <c r="HJ743" s="13"/>
      <c r="HK743" s="13"/>
      <c r="HL743" s="13"/>
      <c r="HM743" s="13"/>
      <c r="HN743" s="13"/>
      <c r="HO743" s="13"/>
      <c r="HP743" s="13"/>
      <c r="HQ743" s="13"/>
      <c r="HR743" s="13"/>
      <c r="HS743" s="13"/>
      <c r="HT743" s="13"/>
      <c r="HU743" s="13"/>
      <c r="HV743" s="13"/>
      <c r="HW743" s="13"/>
      <c r="HX743" s="13"/>
      <c r="HY743" s="13"/>
      <c r="HZ743" s="13"/>
      <c r="IA743" s="13"/>
      <c r="IB743" s="13"/>
      <c r="IC743" s="13"/>
      <c r="ID743" s="13"/>
      <c r="IE743" s="13"/>
      <c r="IF743" s="13"/>
      <c r="IG743" s="13"/>
      <c r="IH743" s="13"/>
      <c r="II743" s="13"/>
      <c r="IJ743" s="13"/>
      <c r="IK743" s="13"/>
      <c r="IL743" s="13"/>
      <c r="IM743" s="13"/>
      <c r="IN743" s="13"/>
      <c r="IO743" s="13"/>
      <c r="IP743" s="13"/>
      <c r="IQ743" s="13"/>
      <c r="IR743" s="13"/>
      <c r="IS743" s="13"/>
      <c r="IT743" s="13"/>
      <c r="IU743" s="13"/>
      <c r="IV743" s="13"/>
      <c r="IW743" s="13"/>
      <c r="IX743" s="13"/>
      <c r="IY743" s="13"/>
      <c r="IZ743" s="13"/>
      <c r="JA743" s="13"/>
      <c r="JB743" s="13"/>
      <c r="JC743" s="13"/>
      <c r="JD743" s="13"/>
      <c r="JE743" s="13"/>
      <c r="JF743" s="13"/>
      <c r="JG743" s="13"/>
      <c r="JH743" s="13"/>
      <c r="JI743" s="13"/>
      <c r="JJ743" s="13"/>
      <c r="JK743" s="13"/>
      <c r="JL743" s="13"/>
      <c r="JM743" s="13"/>
      <c r="JN743" s="13"/>
      <c r="JO743" s="13"/>
      <c r="JP743" s="13"/>
      <c r="JQ743" s="13"/>
      <c r="JR743" s="13"/>
      <c r="JS743" s="13"/>
      <c r="JT743" s="13"/>
      <c r="JU743" s="13"/>
      <c r="JV743" s="13"/>
      <c r="JW743" s="13"/>
      <c r="JX743" s="13"/>
      <c r="JY743" s="13"/>
      <c r="JZ743" s="13"/>
      <c r="KA743" s="13"/>
      <c r="KB743" s="13"/>
      <c r="KC743" s="13"/>
      <c r="KD743" s="13"/>
      <c r="KE743" s="13"/>
      <c r="KF743" s="13"/>
      <c r="KG743" s="13"/>
      <c r="KH743" s="13"/>
      <c r="KI743" s="13"/>
      <c r="KJ743" s="13"/>
      <c r="KK743" s="13"/>
      <c r="KL743" s="13"/>
      <c r="KM743" s="13"/>
      <c r="KN743" s="13"/>
      <c r="KO743" s="13"/>
      <c r="KP743" s="13"/>
      <c r="KQ743" s="13"/>
      <c r="KR743" s="13"/>
      <c r="KS743" s="13"/>
      <c r="KT743" s="13"/>
      <c r="KU743" s="13"/>
      <c r="KV743" s="13"/>
      <c r="KW743" s="13"/>
      <c r="KX743" s="13"/>
      <c r="KY743" s="13"/>
      <c r="KZ743" s="13"/>
      <c r="LA743" s="13"/>
      <c r="LB743" s="13"/>
      <c r="LC743" s="13"/>
      <c r="LD743" s="13"/>
      <c r="LE743" s="13"/>
      <c r="LF743" s="13"/>
      <c r="LG743" s="13"/>
      <c r="LH743" s="13"/>
      <c r="LI743" s="13"/>
      <c r="LJ743" s="13"/>
      <c r="LK743" s="13"/>
      <c r="LL743" s="13"/>
      <c r="LM743" s="13"/>
      <c r="LN743" s="13"/>
      <c r="LO743" s="13"/>
      <c r="LP743" s="13"/>
      <c r="LQ743" s="13"/>
      <c r="LR743" s="13"/>
      <c r="LS743" s="13"/>
      <c r="LT743" s="13"/>
      <c r="LU743" s="13"/>
      <c r="LV743" s="13"/>
      <c r="LW743" s="13"/>
      <c r="LX743" s="13"/>
      <c r="LY743" s="13"/>
      <c r="LZ743" s="13"/>
      <c r="MA743" s="13"/>
      <c r="MB743" s="13"/>
      <c r="MC743" s="13"/>
      <c r="MD743" s="13"/>
      <c r="ME743" s="13"/>
      <c r="MF743" s="13"/>
      <c r="MG743" s="13"/>
      <c r="MH743" s="13"/>
      <c r="MI743" s="13"/>
      <c r="MJ743" s="13"/>
      <c r="MK743" s="13"/>
      <c r="ML743" s="13"/>
      <c r="MM743" s="13"/>
      <c r="MN743" s="13"/>
      <c r="MO743" s="13"/>
      <c r="MP743" s="13"/>
      <c r="MQ743" s="13"/>
      <c r="MR743" s="13"/>
      <c r="MS743" s="13"/>
      <c r="MT743" s="13"/>
      <c r="MU743" s="13"/>
      <c r="MV743" s="13"/>
      <c r="MW743" s="13"/>
      <c r="MX743" s="13"/>
      <c r="MY743" s="13"/>
      <c r="MZ743" s="13"/>
      <c r="NA743" s="13"/>
      <c r="NB743" s="13"/>
      <c r="NC743" s="13"/>
      <c r="ND743" s="13"/>
      <c r="NE743" s="13"/>
      <c r="NF743" s="13"/>
      <c r="NG743" s="13"/>
      <c r="NH743" s="13"/>
      <c r="NI743" s="13"/>
      <c r="NJ743" s="13"/>
      <c r="NK743" s="13"/>
      <c r="NL743" s="13"/>
      <c r="NM743" s="13"/>
      <c r="NN743" s="13"/>
      <c r="NO743" s="13"/>
      <c r="NP743" s="13"/>
      <c r="NQ743" s="13"/>
      <c r="NR743" s="13"/>
      <c r="NS743" s="13"/>
      <c r="NT743" s="13"/>
      <c r="NU743" s="13"/>
      <c r="NV743" s="13"/>
      <c r="NW743" s="13"/>
      <c r="NX743" s="13"/>
      <c r="NY743" s="13"/>
      <c r="NZ743" s="13"/>
      <c r="OA743" s="13"/>
      <c r="OB743" s="13"/>
      <c r="OC743" s="13"/>
      <c r="OD743" s="13"/>
      <c r="OE743" s="13"/>
      <c r="OF743" s="13"/>
      <c r="OG743" s="13"/>
      <c r="OH743" s="13"/>
      <c r="OI743" s="13"/>
      <c r="OJ743" s="13"/>
      <c r="OK743" s="13"/>
      <c r="OL743" s="13"/>
      <c r="OM743" s="13"/>
      <c r="ON743" s="13"/>
      <c r="OO743" s="13"/>
      <c r="OP743" s="13"/>
      <c r="OQ743" s="13"/>
      <c r="OR743" s="13"/>
      <c r="OS743" s="13"/>
      <c r="OT743" s="13"/>
      <c r="OU743" s="13"/>
      <c r="OV743" s="13"/>
      <c r="OW743" s="13"/>
      <c r="OX743" s="13"/>
      <c r="OY743" s="13"/>
      <c r="OZ743" s="13"/>
      <c r="PA743" s="13"/>
      <c r="PB743" s="13"/>
      <c r="PC743" s="13"/>
      <c r="PD743" s="13"/>
      <c r="PE743" s="13"/>
      <c r="PF743" s="13"/>
      <c r="PG743" s="13"/>
      <c r="PH743" s="13"/>
      <c r="PI743" s="13"/>
      <c r="PJ743" s="13"/>
      <c r="PK743" s="13"/>
      <c r="PL743" s="13"/>
      <c r="PM743" s="13"/>
      <c r="PN743" s="13"/>
      <c r="PO743" s="13"/>
      <c r="PP743" s="13"/>
      <c r="PQ743" s="13"/>
      <c r="PR743" s="13"/>
      <c r="PS743" s="13"/>
      <c r="PT743" s="13"/>
      <c r="PU743" s="13"/>
      <c r="PV743" s="13"/>
      <c r="PW743" s="13"/>
      <c r="PX743" s="13"/>
      <c r="PY743" s="13"/>
      <c r="PZ743" s="13"/>
      <c r="QA743" s="13"/>
      <c r="QB743" s="13"/>
      <c r="QC743" s="13"/>
      <c r="QD743" s="13"/>
      <c r="QE743" s="13"/>
      <c r="QF743" s="13"/>
      <c r="QG743" s="13"/>
      <c r="QH743" s="13"/>
      <c r="QI743" s="13"/>
      <c r="QJ743" s="13"/>
      <c r="QK743" s="13"/>
      <c r="QL743" s="13"/>
      <c r="QM743" s="13"/>
      <c r="QN743" s="13"/>
      <c r="QO743" s="13"/>
      <c r="QP743" s="13"/>
      <c r="QQ743" s="13"/>
      <c r="QR743" s="13"/>
      <c r="QS743" s="13"/>
      <c r="QT743" s="13"/>
      <c r="QU743" s="13"/>
      <c r="QV743" s="13"/>
      <c r="QW743" s="13"/>
      <c r="QX743" s="13"/>
      <c r="QY743" s="13"/>
      <c r="QZ743" s="13"/>
      <c r="RA743" s="13"/>
      <c r="RB743" s="13"/>
      <c r="RC743" s="13"/>
      <c r="RD743" s="13"/>
      <c r="RE743" s="13"/>
      <c r="RF743" s="13"/>
      <c r="RG743" s="13"/>
      <c r="RH743" s="13"/>
      <c r="RI743" s="13"/>
      <c r="RJ743" s="13"/>
      <c r="RK743" s="13"/>
      <c r="RL743" s="13"/>
      <c r="RM743" s="13"/>
      <c r="RN743" s="13"/>
      <c r="RO743" s="13"/>
      <c r="RP743" s="13"/>
      <c r="RQ743" s="13"/>
      <c r="RR743" s="13"/>
      <c r="RS743" s="13"/>
      <c r="RT743" s="13"/>
      <c r="RU743" s="13"/>
      <c r="RV743" s="13"/>
      <c r="RW743" s="13"/>
      <c r="RX743" s="13"/>
      <c r="RY743" s="13"/>
      <c r="RZ743" s="13"/>
      <c r="SA743" s="13"/>
      <c r="SB743" s="13"/>
      <c r="SC743" s="13"/>
      <c r="SD743" s="13"/>
      <c r="SE743" s="13"/>
      <c r="SF743" s="13"/>
      <c r="SG743" s="13"/>
      <c r="SH743" s="13"/>
      <c r="SI743" s="13"/>
      <c r="SJ743" s="13"/>
      <c r="SK743" s="13"/>
      <c r="SL743" s="13"/>
      <c r="SM743" s="13"/>
      <c r="SN743" s="13"/>
      <c r="SO743" s="13"/>
      <c r="SP743" s="13"/>
      <c r="SQ743" s="13"/>
      <c r="SR743" s="13"/>
      <c r="SS743" s="13"/>
      <c r="ST743" s="13"/>
      <c r="SU743" s="13"/>
      <c r="SV743" s="13"/>
      <c r="SW743" s="13"/>
      <c r="SX743" s="13"/>
      <c r="SY743" s="13"/>
      <c r="SZ743" s="13"/>
      <c r="TA743" s="13"/>
      <c r="TB743" s="13"/>
      <c r="TC743" s="13"/>
      <c r="TD743" s="13"/>
      <c r="TE743" s="13"/>
      <c r="TF743" s="13"/>
      <c r="TG743" s="13"/>
      <c r="TH743" s="13"/>
      <c r="TI743" s="13"/>
      <c r="TJ743" s="13"/>
      <c r="TK743" s="13"/>
      <c r="TL743" s="13"/>
      <c r="TM743" s="13"/>
      <c r="TN743" s="13"/>
      <c r="TO743" s="13"/>
      <c r="TP743" s="13"/>
      <c r="TQ743" s="13"/>
      <c r="TR743" s="13"/>
      <c r="TS743" s="13"/>
      <c r="TT743" s="13"/>
      <c r="TU743" s="13"/>
      <c r="TV743" s="13"/>
      <c r="TW743" s="13"/>
      <c r="TX743" s="13"/>
      <c r="TY743" s="13"/>
      <c r="TZ743" s="13"/>
      <c r="UA743" s="13"/>
      <c r="UB743" s="13"/>
      <c r="UC743" s="13"/>
      <c r="UD743" s="13"/>
      <c r="UE743" s="13"/>
      <c r="UF743" s="13"/>
      <c r="UG743" s="13"/>
      <c r="UH743" s="13"/>
      <c r="UI743" s="13"/>
      <c r="UJ743" s="13"/>
      <c r="UK743" s="13"/>
      <c r="UL743" s="13"/>
      <c r="UM743" s="13"/>
      <c r="UN743" s="13"/>
      <c r="UO743" s="13"/>
      <c r="UP743" s="13"/>
      <c r="UQ743" s="13"/>
      <c r="UR743" s="13"/>
      <c r="US743" s="13"/>
      <c r="UT743" s="13"/>
      <c r="UU743" s="13"/>
      <c r="UV743" s="13"/>
      <c r="UW743" s="13"/>
      <c r="UX743" s="13"/>
      <c r="UY743" s="13"/>
      <c r="UZ743" s="13"/>
      <c r="VA743" s="13"/>
      <c r="VB743" s="13"/>
      <c r="VC743" s="13"/>
      <c r="VD743" s="13"/>
      <c r="VE743" s="13"/>
      <c r="VF743" s="13"/>
      <c r="VG743" s="13"/>
      <c r="VH743" s="13"/>
      <c r="VI743" s="13"/>
      <c r="VJ743" s="13"/>
      <c r="VK743" s="13"/>
      <c r="VL743" s="13"/>
      <c r="VM743" s="13"/>
      <c r="VN743" s="13"/>
      <c r="VO743" s="13"/>
      <c r="VP743" s="13"/>
      <c r="VQ743" s="13"/>
      <c r="VR743" s="13"/>
      <c r="VS743" s="13"/>
      <c r="VT743" s="13"/>
      <c r="VU743" s="13"/>
      <c r="VV743" s="13"/>
      <c r="VW743" s="13"/>
      <c r="VX743" s="13"/>
      <c r="VY743" s="13"/>
      <c r="VZ743" s="13"/>
      <c r="WA743" s="13"/>
      <c r="WB743" s="13"/>
      <c r="WC743" s="13"/>
      <c r="WD743" s="13"/>
      <c r="WE743" s="13"/>
      <c r="WF743" s="13"/>
      <c r="WG743" s="13"/>
      <c r="WH743" s="13"/>
      <c r="WI743" s="13"/>
      <c r="WJ743" s="13"/>
      <c r="WK743" s="13"/>
      <c r="WL743" s="13"/>
      <c r="WM743" s="13"/>
      <c r="WN743" s="13"/>
      <c r="WO743" s="13"/>
      <c r="WP743" s="13"/>
      <c r="WQ743" s="13"/>
      <c r="WR743" s="13"/>
      <c r="WS743" s="13"/>
      <c r="WT743" s="13"/>
      <c r="WU743" s="13"/>
      <c r="WV743" s="13"/>
      <c r="WW743" s="13"/>
      <c r="WX743" s="13"/>
      <c r="WY743" s="13"/>
      <c r="WZ743" s="13"/>
      <c r="XA743" s="13"/>
      <c r="XB743" s="13"/>
      <c r="XC743" s="13"/>
      <c r="XD743" s="13"/>
      <c r="XE743" s="13"/>
      <c r="XF743" s="13"/>
      <c r="XG743" s="13"/>
      <c r="XH743" s="13"/>
      <c r="XI743" s="13"/>
      <c r="XJ743" s="13"/>
      <c r="XK743" s="13"/>
      <c r="XL743" s="13"/>
      <c r="XM743" s="13"/>
      <c r="XN743" s="13"/>
      <c r="XO743" s="13"/>
      <c r="XP743" s="13"/>
      <c r="XQ743" s="13"/>
      <c r="XR743" s="13"/>
      <c r="XS743" s="13"/>
      <c r="XT743" s="13"/>
      <c r="XU743" s="13"/>
      <c r="XV743" s="13"/>
      <c r="XW743" s="13"/>
      <c r="XX743" s="13"/>
      <c r="XY743" s="13"/>
      <c r="XZ743" s="13"/>
      <c r="YA743" s="13"/>
      <c r="YB743" s="13"/>
      <c r="YC743" s="13"/>
      <c r="YD743" s="13"/>
      <c r="YE743" s="13"/>
      <c r="YF743" s="13"/>
      <c r="YG743" s="13"/>
      <c r="YH743" s="13"/>
      <c r="YI743" s="13"/>
      <c r="YJ743" s="13"/>
      <c r="YK743" s="13"/>
      <c r="YL743" s="13"/>
      <c r="YM743" s="13"/>
      <c r="YN743" s="13"/>
      <c r="YO743" s="13"/>
      <c r="YP743" s="13"/>
      <c r="YQ743" s="13"/>
      <c r="YR743" s="13"/>
      <c r="YS743" s="13"/>
      <c r="YT743" s="13"/>
      <c r="YU743" s="13"/>
      <c r="YV743" s="13"/>
      <c r="YW743" s="13"/>
      <c r="YX743" s="13"/>
      <c r="YY743" s="13"/>
      <c r="YZ743" s="13"/>
      <c r="ZA743" s="13"/>
      <c r="ZB743" s="13"/>
      <c r="ZC743" s="13"/>
      <c r="ZD743" s="13"/>
      <c r="ZE743" s="13"/>
      <c r="ZF743" s="13"/>
      <c r="ZG743" s="13"/>
      <c r="ZH743" s="13"/>
      <c r="ZI743" s="13"/>
      <c r="ZJ743" s="13"/>
      <c r="ZK743" s="13"/>
      <c r="ZL743" s="13"/>
      <c r="ZM743" s="13"/>
      <c r="ZN743" s="13"/>
      <c r="ZO743" s="13"/>
      <c r="ZP743" s="13"/>
      <c r="ZQ743" s="13"/>
      <c r="ZR743" s="13"/>
      <c r="ZS743" s="13"/>
      <c r="ZT743" s="13"/>
      <c r="ZU743" s="13"/>
      <c r="ZV743" s="13"/>
      <c r="ZW743" s="13"/>
      <c r="ZX743" s="13"/>
      <c r="ZY743" s="13"/>
      <c r="ZZ743" s="13"/>
      <c r="AAA743" s="13"/>
      <c r="AAB743" s="13"/>
      <c r="AAC743" s="13"/>
      <c r="AAD743" s="13"/>
      <c r="AAE743" s="13"/>
      <c r="AAF743" s="13"/>
      <c r="AAG743" s="13"/>
      <c r="AAH743" s="13"/>
      <c r="AAI743" s="13"/>
      <c r="AAJ743" s="13"/>
      <c r="AAK743" s="13"/>
      <c r="AAL743" s="13"/>
      <c r="AAM743" s="13"/>
      <c r="AAN743" s="13"/>
      <c r="AAO743" s="13"/>
      <c r="AAP743" s="13"/>
      <c r="AAQ743" s="13"/>
      <c r="AAR743" s="13"/>
      <c r="AAS743" s="13"/>
      <c r="AAT743" s="13"/>
      <c r="AAU743" s="13"/>
      <c r="AAV743" s="13"/>
      <c r="AAW743" s="13"/>
      <c r="AAX743" s="13"/>
      <c r="AAY743" s="13"/>
      <c r="AAZ743" s="13"/>
      <c r="ABA743" s="13"/>
      <c r="ABB743" s="13"/>
      <c r="ABC743" s="13"/>
      <c r="ABD743" s="13"/>
      <c r="ABE743" s="13"/>
      <c r="ABF743" s="13"/>
      <c r="ABG743" s="13"/>
      <c r="ABH743" s="13"/>
      <c r="ABI743" s="13"/>
      <c r="ABJ743" s="13"/>
      <c r="ABK743" s="13"/>
      <c r="ABL743" s="13"/>
      <c r="ABM743" s="13"/>
      <c r="ABN743" s="13"/>
      <c r="ABO743" s="13"/>
      <c r="ABP743" s="13"/>
      <c r="ABQ743" s="13"/>
      <c r="ABR743" s="13"/>
      <c r="ABS743" s="13"/>
      <c r="ABT743" s="13"/>
      <c r="ABU743" s="13"/>
      <c r="ABV743" s="13"/>
      <c r="ABW743" s="13"/>
      <c r="ABX743" s="13"/>
      <c r="ABY743" s="13"/>
      <c r="ABZ743" s="13"/>
      <c r="ACA743" s="13"/>
      <c r="ACB743" s="13"/>
      <c r="ACC743" s="13"/>
      <c r="ACD743" s="13"/>
      <c r="ACE743" s="13"/>
      <c r="ACF743" s="13"/>
      <c r="ACG743" s="13"/>
      <c r="ACH743" s="13"/>
      <c r="ACI743" s="13"/>
      <c r="ACJ743" s="13"/>
      <c r="ACK743" s="13"/>
      <c r="ACL743" s="13"/>
      <c r="ACM743" s="13"/>
      <c r="ACN743" s="13"/>
      <c r="ACO743" s="13"/>
      <c r="ACP743" s="13"/>
      <c r="ACQ743" s="13"/>
      <c r="ACR743" s="13"/>
      <c r="ACS743" s="13"/>
      <c r="ACT743" s="13"/>
      <c r="ACU743" s="13"/>
      <c r="ACV743" s="13"/>
      <c r="ACW743" s="13"/>
      <c r="ACX743" s="13"/>
      <c r="ACY743" s="13"/>
      <c r="ACZ743" s="13"/>
      <c r="ADA743" s="13"/>
      <c r="ADB743" s="13"/>
      <c r="ADC743" s="13"/>
      <c r="ADD743" s="13"/>
      <c r="ADE743" s="13"/>
      <c r="ADF743" s="13"/>
      <c r="ADG743" s="13"/>
      <c r="ADH743" s="13"/>
      <c r="ADI743" s="13"/>
      <c r="ADJ743" s="13"/>
      <c r="ADK743" s="13"/>
      <c r="ADL743" s="13"/>
      <c r="ADM743" s="13"/>
      <c r="ADN743" s="13"/>
      <c r="ADO743" s="13"/>
      <c r="ADP743" s="13"/>
      <c r="ADQ743" s="13"/>
      <c r="ADR743" s="13"/>
      <c r="ADS743" s="13"/>
      <c r="ADT743" s="13"/>
      <c r="ADU743" s="13"/>
      <c r="ADV743" s="13"/>
      <c r="ADW743" s="13"/>
      <c r="ADX743" s="13"/>
      <c r="ADY743" s="13"/>
      <c r="ADZ743" s="13"/>
      <c r="AEA743" s="13"/>
      <c r="AEB743" s="13"/>
      <c r="AEC743" s="13"/>
      <c r="AED743" s="13"/>
      <c r="AEE743" s="13"/>
      <c r="AEF743" s="13"/>
      <c r="AEG743" s="13"/>
      <c r="AEH743" s="13"/>
      <c r="AEI743" s="13"/>
      <c r="AEJ743" s="13"/>
      <c r="AEK743" s="13"/>
      <c r="AEL743" s="13"/>
      <c r="AEM743" s="13"/>
      <c r="AEN743" s="13"/>
      <c r="AEO743" s="13"/>
      <c r="AEP743" s="13"/>
      <c r="AEQ743" s="13"/>
      <c r="AER743" s="13"/>
      <c r="AES743" s="13"/>
      <c r="AET743" s="13"/>
      <c r="AEU743" s="13"/>
      <c r="AEV743" s="13"/>
      <c r="AEW743" s="13"/>
      <c r="AEX743" s="13"/>
      <c r="AEY743" s="13"/>
      <c r="AEZ743" s="13"/>
      <c r="AFA743" s="13"/>
      <c r="AFB743" s="13"/>
      <c r="AFC743" s="13"/>
      <c r="AFD743" s="13"/>
      <c r="AFE743" s="13"/>
      <c r="AFF743" s="13"/>
      <c r="AFG743" s="13"/>
      <c r="AFH743" s="13"/>
      <c r="AFI743" s="13"/>
      <c r="AFJ743" s="13"/>
      <c r="AFK743" s="13"/>
      <c r="AFL743" s="13"/>
      <c r="AFM743" s="13"/>
      <c r="AFN743" s="13"/>
      <c r="AFO743" s="13"/>
      <c r="AFP743" s="13"/>
      <c r="AFQ743" s="13"/>
      <c r="AFR743" s="13"/>
      <c r="AFS743" s="13"/>
      <c r="AFT743" s="13"/>
      <c r="AFU743" s="13"/>
      <c r="AFV743" s="13"/>
      <c r="AFW743" s="13"/>
      <c r="AFX743" s="13"/>
      <c r="AFY743" s="13"/>
      <c r="AFZ743" s="13"/>
      <c r="AGA743" s="13"/>
      <c r="AGB743" s="13"/>
      <c r="AGC743" s="13"/>
      <c r="AGD743" s="13"/>
      <c r="AGE743" s="13"/>
      <c r="AGF743" s="13"/>
      <c r="AGG743" s="13"/>
      <c r="AGH743" s="13"/>
      <c r="AGI743" s="13"/>
      <c r="AGJ743" s="13"/>
      <c r="AGK743" s="13"/>
      <c r="AGL743" s="13"/>
      <c r="AGM743" s="13"/>
      <c r="AGN743" s="13"/>
      <c r="AGO743" s="13"/>
      <c r="AGP743" s="13"/>
      <c r="AGQ743" s="13"/>
      <c r="AGR743" s="13"/>
      <c r="AGS743" s="13"/>
      <c r="AGT743" s="13"/>
      <c r="AGU743" s="13"/>
      <c r="AGV743" s="13"/>
      <c r="AGW743" s="13"/>
      <c r="AGX743" s="13"/>
      <c r="AGY743" s="13"/>
      <c r="AGZ743" s="13"/>
      <c r="AHA743" s="13"/>
      <c r="AHB743" s="13"/>
      <c r="AHC743" s="13"/>
      <c r="AHD743" s="13"/>
      <c r="AHE743" s="13"/>
      <c r="AHF743" s="13"/>
      <c r="AHG743" s="13"/>
      <c r="AHH743" s="13"/>
      <c r="AHI743" s="13"/>
      <c r="AHJ743" s="13"/>
      <c r="AHK743" s="13"/>
      <c r="AHL743" s="13"/>
      <c r="AHM743" s="13"/>
      <c r="AHN743" s="13"/>
      <c r="AHO743" s="13"/>
      <c r="AHP743" s="13"/>
      <c r="AHQ743" s="13"/>
      <c r="AHR743" s="13"/>
      <c r="AHS743" s="13"/>
      <c r="AHT743" s="13"/>
      <c r="AHU743" s="13"/>
      <c r="AHV743" s="13"/>
      <c r="AHW743" s="13"/>
      <c r="AHX743" s="13"/>
      <c r="AHY743" s="13"/>
      <c r="AHZ743" s="13"/>
      <c r="AIA743" s="13"/>
      <c r="AIB743" s="13"/>
      <c r="AIC743" s="13"/>
      <c r="AID743" s="13"/>
      <c r="AIE743" s="13"/>
      <c r="AIF743" s="13"/>
      <c r="AIG743" s="13"/>
      <c r="AIH743" s="13"/>
      <c r="AII743" s="13"/>
      <c r="AIJ743" s="13"/>
      <c r="AIK743" s="13"/>
      <c r="AIL743" s="13"/>
      <c r="AIM743" s="13"/>
      <c r="AIN743" s="13"/>
      <c r="AIO743" s="13"/>
      <c r="AIP743" s="13"/>
      <c r="AIQ743" s="13"/>
      <c r="AIR743" s="13"/>
      <c r="AIS743" s="13"/>
      <c r="AIT743" s="13"/>
      <c r="AIU743" s="13"/>
      <c r="AIV743" s="13"/>
      <c r="AIW743" s="13"/>
      <c r="AIX743" s="13"/>
      <c r="AIY743" s="13"/>
      <c r="AIZ743" s="13"/>
      <c r="AJA743" s="13"/>
      <c r="AJB743" s="13"/>
      <c r="AJC743" s="13"/>
      <c r="AJD743" s="13"/>
      <c r="AJE743" s="13"/>
      <c r="AJF743" s="13"/>
      <c r="AJG743" s="13"/>
      <c r="AJH743" s="13"/>
      <c r="AJI743" s="13"/>
      <c r="AJJ743" s="13"/>
      <c r="AJK743" s="13"/>
      <c r="AJL743" s="13"/>
      <c r="AJM743" s="13"/>
      <c r="AJN743" s="13"/>
      <c r="AJO743" s="13"/>
      <c r="AJP743" s="13"/>
      <c r="AJQ743" s="13"/>
      <c r="AJR743" s="13"/>
      <c r="AJS743" s="13"/>
      <c r="AJT743" s="13"/>
      <c r="AJU743" s="13"/>
      <c r="AJV743" s="13"/>
      <c r="AJW743" s="13"/>
      <c r="AJX743" s="13"/>
      <c r="AJY743" s="13"/>
      <c r="AJZ743" s="13"/>
      <c r="AKA743" s="13"/>
      <c r="AKB743" s="13"/>
      <c r="AKC743" s="13"/>
      <c r="AKD743" s="13"/>
      <c r="AKE743" s="13"/>
      <c r="AKF743" s="13"/>
      <c r="AKG743" s="13"/>
      <c r="AKH743" s="13"/>
      <c r="AKI743" s="13"/>
      <c r="AKJ743" s="13"/>
      <c r="AKK743" s="13"/>
      <c r="AKL743" s="13"/>
      <c r="AKM743" s="13"/>
      <c r="AKN743" s="13"/>
      <c r="AKO743" s="13"/>
      <c r="AKP743" s="13"/>
      <c r="AKQ743" s="13"/>
      <c r="AKR743" s="13"/>
      <c r="AKS743" s="13"/>
      <c r="AKT743" s="13"/>
      <c r="AKU743" s="13"/>
      <c r="AKV743" s="13"/>
      <c r="AKW743" s="13"/>
      <c r="AKX743" s="13"/>
      <c r="AKY743" s="13"/>
      <c r="AKZ743" s="13"/>
      <c r="ALA743" s="13"/>
      <c r="ALB743" s="13"/>
      <c r="ALC743" s="13"/>
      <c r="ALD743" s="13"/>
      <c r="ALE743" s="13"/>
      <c r="ALF743" s="13"/>
      <c r="ALG743" s="13"/>
      <c r="ALH743" s="13"/>
      <c r="ALI743" s="13"/>
      <c r="ALJ743" s="13"/>
      <c r="ALK743" s="13"/>
      <c r="ALL743" s="13"/>
      <c r="ALM743" s="13"/>
      <c r="ALN743" s="13"/>
      <c r="ALO743" s="13"/>
      <c r="ALP743" s="13"/>
      <c r="ALQ743" s="13"/>
      <c r="ALR743" s="13"/>
      <c r="ALS743" s="13"/>
      <c r="ALT743" s="13"/>
      <c r="ALU743" s="13"/>
      <c r="ALV743" s="13"/>
      <c r="ALW743" s="13"/>
      <c r="ALX743" s="13"/>
      <c r="ALY743" s="13"/>
      <c r="ALZ743" s="13"/>
      <c r="AMA743" s="13"/>
      <c r="AMB743" s="13"/>
      <c r="AMC743" s="13"/>
      <c r="AMD743" s="13"/>
      <c r="AME743" s="13"/>
      <c r="AMF743" s="13"/>
      <c r="AMG743" s="13"/>
      <c r="AMH743" s="13"/>
      <c r="AMI743" s="13"/>
      <c r="AMJ743" s="13"/>
      <c r="AMK743" s="13"/>
      <c r="AML743" s="13"/>
      <c r="AMM743" s="13"/>
      <c r="AMN743" s="13"/>
      <c r="AMO743" s="13"/>
      <c r="AMP743" s="13"/>
      <c r="AMQ743" s="13"/>
      <c r="AMR743" s="13"/>
      <c r="AMS743" s="13"/>
      <c r="AMT743" s="13"/>
      <c r="AMU743" s="13"/>
      <c r="AMV743" s="13"/>
      <c r="AMW743" s="13"/>
      <c r="AMX743" s="13"/>
      <c r="AMY743" s="13"/>
      <c r="AMZ743" s="13"/>
      <c r="ANA743" s="13"/>
      <c r="ANB743" s="13"/>
      <c r="ANC743" s="13"/>
      <c r="AND743" s="13"/>
      <c r="ANE743" s="13"/>
      <c r="ANF743" s="13"/>
      <c r="ANG743" s="13"/>
      <c r="ANH743" s="13"/>
      <c r="ANI743" s="13"/>
      <c r="ANJ743" s="13"/>
      <c r="ANK743" s="13"/>
      <c r="ANL743" s="13"/>
      <c r="ANM743" s="13"/>
      <c r="ANN743" s="13"/>
      <c r="ANO743" s="13"/>
      <c r="ANP743" s="13"/>
      <c r="ANQ743" s="13"/>
      <c r="ANR743" s="13"/>
      <c r="ANS743" s="13"/>
      <c r="ANT743" s="13"/>
      <c r="ANU743" s="13"/>
      <c r="ANV743" s="13"/>
      <c r="ANW743" s="13"/>
      <c r="ANX743" s="13"/>
      <c r="ANY743" s="13"/>
      <c r="ANZ743" s="13"/>
      <c r="AOA743" s="13"/>
      <c r="AOB743" s="13"/>
      <c r="AOC743" s="13"/>
      <c r="AOD743" s="13"/>
      <c r="AOE743" s="13"/>
      <c r="AOF743" s="13"/>
      <c r="AOG743" s="13"/>
      <c r="AOH743" s="13"/>
      <c r="AOI743" s="13"/>
      <c r="AOJ743" s="13"/>
      <c r="AOK743" s="13"/>
      <c r="AOL743" s="13"/>
      <c r="AOM743" s="13"/>
      <c r="AON743" s="13"/>
      <c r="AOO743" s="13"/>
      <c r="AOP743" s="13"/>
      <c r="AOQ743" s="13"/>
      <c r="AOR743" s="13"/>
      <c r="AOS743" s="13"/>
      <c r="AOT743" s="13"/>
      <c r="AOU743" s="13"/>
      <c r="AOV743" s="13"/>
      <c r="AOW743" s="13"/>
      <c r="AOX743" s="13"/>
      <c r="AOY743" s="13"/>
      <c r="AOZ743" s="13"/>
      <c r="APA743" s="13"/>
      <c r="APB743" s="13"/>
      <c r="APC743" s="13"/>
      <c r="APD743" s="13"/>
      <c r="APE743" s="13"/>
      <c r="APF743" s="13"/>
      <c r="APG743" s="13"/>
      <c r="APH743" s="13"/>
      <c r="API743" s="13"/>
      <c r="APJ743" s="13"/>
      <c r="APK743" s="13"/>
      <c r="APL743" s="13"/>
      <c r="APM743" s="13"/>
      <c r="APN743" s="13"/>
      <c r="APO743" s="13"/>
      <c r="APP743" s="13"/>
      <c r="APQ743" s="13"/>
      <c r="APR743" s="13"/>
      <c r="APS743" s="13"/>
      <c r="APT743" s="13"/>
      <c r="APU743" s="13"/>
      <c r="APV743" s="13"/>
      <c r="APW743" s="13"/>
      <c r="APX743" s="13"/>
      <c r="APY743" s="13"/>
      <c r="APZ743" s="13"/>
      <c r="AQA743" s="13"/>
      <c r="AQB743" s="13"/>
      <c r="AQC743" s="13"/>
      <c r="AQD743" s="13"/>
      <c r="AQE743" s="13"/>
      <c r="AQF743" s="13"/>
      <c r="AQG743" s="13"/>
      <c r="AQH743" s="13"/>
      <c r="AQI743" s="13"/>
      <c r="AQJ743" s="13"/>
      <c r="AQK743" s="13"/>
      <c r="AQL743" s="13"/>
      <c r="AQM743" s="13"/>
      <c r="AQN743" s="13"/>
      <c r="AQO743" s="13"/>
      <c r="AQP743" s="13"/>
      <c r="AQQ743" s="13"/>
      <c r="AQR743" s="13"/>
      <c r="AQS743" s="13"/>
      <c r="AQT743" s="13"/>
      <c r="AQU743" s="13"/>
      <c r="AQV743" s="13"/>
      <c r="AQW743" s="13"/>
      <c r="AQX743" s="13"/>
      <c r="AQY743" s="13"/>
      <c r="AQZ743" s="13"/>
      <c r="ARA743" s="13"/>
      <c r="ARB743" s="13"/>
      <c r="ARC743" s="13"/>
      <c r="ARD743" s="13"/>
      <c r="ARE743" s="13"/>
      <c r="ARF743" s="13"/>
      <c r="ARG743" s="13"/>
      <c r="ARH743" s="13"/>
      <c r="ARI743" s="13"/>
      <c r="ARJ743" s="13"/>
      <c r="ARK743" s="13"/>
      <c r="ARL743" s="13"/>
      <c r="ARM743" s="13"/>
      <c r="ARN743" s="13"/>
      <c r="ARO743" s="13"/>
      <c r="ARP743" s="13"/>
      <c r="ARQ743" s="13"/>
      <c r="ARR743" s="13"/>
      <c r="ARS743" s="13"/>
      <c r="ART743" s="13"/>
      <c r="ARU743" s="13"/>
      <c r="ARV743" s="13"/>
      <c r="ARW743" s="13"/>
      <c r="ARX743" s="13"/>
      <c r="ARY743" s="13"/>
      <c r="ARZ743" s="13"/>
      <c r="ASA743" s="13"/>
      <c r="ASB743" s="13"/>
      <c r="ASC743" s="13"/>
      <c r="ASD743" s="13"/>
      <c r="ASE743" s="13"/>
      <c r="ASF743" s="13"/>
      <c r="ASG743" s="13"/>
      <c r="ASH743" s="13"/>
      <c r="ASI743" s="13"/>
      <c r="ASJ743" s="13"/>
      <c r="ASK743" s="13"/>
      <c r="ASL743" s="13"/>
      <c r="ASM743" s="13"/>
      <c r="ASN743" s="13"/>
      <c r="ASO743" s="13"/>
      <c r="ASP743" s="13"/>
      <c r="ASQ743" s="13"/>
      <c r="ASR743" s="13"/>
      <c r="ASS743" s="13"/>
      <c r="AST743" s="13"/>
      <c r="ASU743" s="13"/>
      <c r="ASV743" s="13"/>
      <c r="ASW743" s="13"/>
      <c r="ASX743" s="13"/>
      <c r="ASY743" s="13"/>
      <c r="ASZ743" s="13"/>
      <c r="ATA743" s="13"/>
      <c r="ATB743" s="13"/>
      <c r="ATC743" s="13"/>
      <c r="ATD743" s="13"/>
      <c r="ATE743" s="13"/>
      <c r="ATF743" s="13"/>
      <c r="ATG743" s="13"/>
      <c r="ATH743" s="13"/>
      <c r="ATI743" s="13"/>
      <c r="ATJ743" s="13"/>
      <c r="ATK743" s="13"/>
      <c r="ATL743" s="13"/>
      <c r="ATM743" s="13"/>
      <c r="ATN743" s="13"/>
      <c r="ATO743" s="13"/>
      <c r="ATP743" s="13"/>
      <c r="ATQ743" s="13"/>
      <c r="ATR743" s="13"/>
      <c r="ATS743" s="13"/>
      <c r="ATT743" s="13"/>
      <c r="ATU743" s="13"/>
      <c r="ATV743" s="13"/>
      <c r="ATW743" s="13"/>
      <c r="ATX743" s="13"/>
      <c r="ATY743" s="13"/>
      <c r="ATZ743" s="13"/>
      <c r="AUA743" s="13"/>
      <c r="AUB743" s="13"/>
      <c r="AUC743" s="13"/>
      <c r="AUD743" s="13"/>
      <c r="AUE743" s="13"/>
      <c r="AUF743" s="13"/>
      <c r="AUG743" s="13"/>
      <c r="AUH743" s="13"/>
      <c r="AUI743" s="13"/>
      <c r="AUJ743" s="13"/>
      <c r="AUK743" s="13"/>
      <c r="AUL743" s="13"/>
      <c r="AUM743" s="13"/>
      <c r="AUN743" s="13"/>
      <c r="AUO743" s="13"/>
      <c r="AUP743" s="13"/>
      <c r="AUQ743" s="13"/>
      <c r="AUR743" s="13"/>
      <c r="AUS743" s="13"/>
      <c r="AUT743" s="13"/>
      <c r="AUU743" s="13"/>
      <c r="AUV743" s="13"/>
      <c r="AUW743" s="13"/>
      <c r="AUX743" s="13"/>
      <c r="AUY743" s="13"/>
      <c r="AUZ743" s="13"/>
      <c r="AVA743" s="13"/>
      <c r="AVB743" s="13"/>
      <c r="AVC743" s="13"/>
      <c r="AVD743" s="13"/>
      <c r="AVE743" s="13"/>
      <c r="AVF743" s="13"/>
      <c r="AVG743" s="13"/>
      <c r="AVH743" s="13"/>
      <c r="AVI743" s="13"/>
      <c r="AVJ743" s="13"/>
      <c r="AVK743" s="13"/>
      <c r="AVL743" s="13"/>
      <c r="AVM743" s="13"/>
      <c r="AVN743" s="13"/>
      <c r="AVO743" s="13"/>
      <c r="AVP743" s="13"/>
      <c r="AVQ743" s="13"/>
      <c r="AVR743" s="13"/>
      <c r="AVS743" s="13"/>
      <c r="AVT743" s="13"/>
      <c r="AVU743" s="13"/>
      <c r="AVV743" s="13"/>
      <c r="AVW743" s="13"/>
      <c r="AVX743" s="13"/>
      <c r="AVY743" s="13"/>
      <c r="AVZ743" s="13"/>
      <c r="AWA743" s="13"/>
      <c r="AWB743" s="13"/>
      <c r="AWC743" s="13"/>
      <c r="AWD743" s="13"/>
      <c r="AWE743" s="13"/>
      <c r="AWF743" s="13"/>
      <c r="AWG743" s="13"/>
      <c r="AWH743" s="13"/>
      <c r="AWI743" s="13"/>
      <c r="AWJ743" s="13"/>
      <c r="AWK743" s="13"/>
      <c r="AWL743" s="13"/>
      <c r="AWM743" s="13"/>
      <c r="AWN743" s="13"/>
      <c r="AWO743" s="13"/>
      <c r="AWP743" s="13"/>
      <c r="AWQ743" s="13"/>
      <c r="AWR743" s="13"/>
      <c r="AWS743" s="13"/>
      <c r="AWT743" s="13"/>
      <c r="AWU743" s="13"/>
      <c r="AWV743" s="13"/>
      <c r="AWW743" s="13"/>
      <c r="AWX743" s="13"/>
      <c r="AWY743" s="13"/>
      <c r="AWZ743" s="13"/>
      <c r="AXA743" s="13"/>
      <c r="AXB743" s="13"/>
      <c r="AXC743" s="13"/>
      <c r="AXD743" s="13"/>
      <c r="AXE743" s="13"/>
      <c r="AXF743" s="13"/>
      <c r="AXG743" s="13"/>
      <c r="AXH743" s="13"/>
      <c r="AXI743" s="13"/>
      <c r="AXJ743" s="13"/>
      <c r="AXK743" s="13"/>
      <c r="AXL743" s="13"/>
      <c r="AXM743" s="13"/>
      <c r="AXN743" s="13"/>
      <c r="AXO743" s="13"/>
      <c r="AXP743" s="13"/>
      <c r="AXQ743" s="13"/>
      <c r="AXR743" s="13"/>
      <c r="AXS743" s="13"/>
      <c r="AXT743" s="13"/>
      <c r="AXU743" s="13"/>
      <c r="AXV743" s="13"/>
      <c r="AXW743" s="13"/>
      <c r="AXX743" s="13"/>
      <c r="AXY743" s="13"/>
      <c r="AXZ743" s="13"/>
      <c r="AYA743" s="13"/>
      <c r="AYB743" s="13"/>
      <c r="AYC743" s="13"/>
      <c r="AYD743" s="13"/>
      <c r="AYE743" s="13"/>
      <c r="AYF743" s="13"/>
      <c r="AYG743" s="13"/>
      <c r="AYH743" s="13"/>
      <c r="AYI743" s="13"/>
      <c r="AYJ743" s="13"/>
      <c r="AYK743" s="13"/>
      <c r="AYL743" s="13"/>
      <c r="AYM743" s="13"/>
      <c r="AYN743" s="13"/>
      <c r="AYO743" s="13"/>
      <c r="AYP743" s="13"/>
      <c r="AYQ743" s="13"/>
      <c r="AYR743" s="13"/>
      <c r="AYS743" s="13"/>
      <c r="AYT743" s="13"/>
      <c r="AYU743" s="13"/>
      <c r="AYV743" s="13"/>
      <c r="AYW743" s="13"/>
      <c r="AYX743" s="13"/>
      <c r="AYY743" s="13"/>
      <c r="AYZ743" s="13"/>
      <c r="AZA743" s="13"/>
      <c r="AZB743" s="13"/>
      <c r="AZC743" s="13"/>
      <c r="AZD743" s="13"/>
      <c r="AZE743" s="13"/>
      <c r="AZF743" s="13"/>
      <c r="AZG743" s="13"/>
      <c r="AZH743" s="13"/>
      <c r="AZI743" s="13"/>
      <c r="AZJ743" s="13"/>
      <c r="AZK743" s="13"/>
      <c r="AZL743" s="13"/>
      <c r="AZM743" s="13"/>
      <c r="AZN743" s="13"/>
      <c r="AZO743" s="13"/>
      <c r="AZP743" s="13"/>
      <c r="AZQ743" s="13"/>
      <c r="AZR743" s="13"/>
      <c r="AZS743" s="13"/>
      <c r="AZT743" s="13"/>
      <c r="AZU743" s="13"/>
      <c r="AZV743" s="13"/>
      <c r="AZW743" s="13"/>
      <c r="AZX743" s="13"/>
      <c r="AZY743" s="13"/>
      <c r="AZZ743" s="13"/>
      <c r="BAA743" s="13"/>
      <c r="BAB743" s="13"/>
      <c r="BAC743" s="13"/>
      <c r="BAD743" s="13"/>
      <c r="BAE743" s="13"/>
      <c r="BAF743" s="13"/>
      <c r="BAG743" s="13"/>
      <c r="BAH743" s="13"/>
      <c r="BAI743" s="13"/>
      <c r="BAJ743" s="13"/>
      <c r="BAK743" s="13"/>
      <c r="BAL743" s="13"/>
      <c r="BAM743" s="13"/>
      <c r="BAN743" s="13"/>
      <c r="BAO743" s="13"/>
      <c r="BAP743" s="13"/>
      <c r="BAQ743" s="13"/>
      <c r="BAR743" s="13"/>
      <c r="BAS743" s="13"/>
      <c r="BAT743" s="13"/>
      <c r="BAU743" s="13"/>
      <c r="BAV743" s="13"/>
      <c r="BAW743" s="13"/>
      <c r="BAX743" s="13"/>
      <c r="BAY743" s="13"/>
      <c r="BAZ743" s="13"/>
      <c r="BBA743" s="13"/>
      <c r="BBB743" s="13"/>
      <c r="BBC743" s="13"/>
      <c r="BBD743" s="13"/>
      <c r="BBE743" s="13"/>
      <c r="BBF743" s="13"/>
      <c r="BBG743" s="13"/>
      <c r="BBH743" s="13"/>
      <c r="BBI743" s="13"/>
      <c r="BBJ743" s="13"/>
      <c r="BBK743" s="13"/>
      <c r="BBL743" s="13"/>
      <c r="BBM743" s="13"/>
      <c r="BBN743" s="13"/>
      <c r="BBO743" s="13"/>
      <c r="BBP743" s="13"/>
      <c r="BBQ743" s="13"/>
      <c r="BBR743" s="13"/>
      <c r="BBS743" s="13"/>
      <c r="BBT743" s="13"/>
      <c r="BBU743" s="13"/>
      <c r="BBV743" s="13"/>
      <c r="BBW743" s="13"/>
      <c r="BBX743" s="13"/>
      <c r="BBY743" s="13"/>
      <c r="BBZ743" s="13"/>
      <c r="BCA743" s="13"/>
      <c r="BCB743" s="13"/>
      <c r="BCC743" s="13"/>
      <c r="BCD743" s="13"/>
      <c r="BCE743" s="13"/>
      <c r="BCF743" s="13"/>
      <c r="BCG743" s="13"/>
      <c r="BCH743" s="13"/>
      <c r="BCI743" s="13"/>
      <c r="BCJ743" s="13"/>
      <c r="BCK743" s="13"/>
      <c r="BCL743" s="13"/>
      <c r="BCM743" s="13"/>
      <c r="BCN743" s="13"/>
      <c r="BCO743" s="13"/>
      <c r="BCP743" s="13"/>
      <c r="BCQ743" s="13"/>
      <c r="BCR743" s="13"/>
      <c r="BCS743" s="13"/>
      <c r="BCT743" s="13"/>
      <c r="BCU743" s="13"/>
      <c r="BCV743" s="13"/>
      <c r="BCW743" s="13"/>
      <c r="BCX743" s="13"/>
      <c r="BCY743" s="13"/>
      <c r="BCZ743" s="13"/>
      <c r="BDA743" s="13"/>
      <c r="BDB743" s="13"/>
      <c r="BDC743" s="13"/>
      <c r="BDD743" s="13"/>
      <c r="BDE743" s="13"/>
      <c r="BDF743" s="13"/>
      <c r="BDG743" s="13"/>
      <c r="BDH743" s="13"/>
      <c r="BDI743" s="13"/>
      <c r="BDJ743" s="13"/>
      <c r="BDK743" s="13"/>
      <c r="BDL743" s="13"/>
      <c r="BDM743" s="13"/>
      <c r="BDN743" s="13"/>
      <c r="BDO743" s="13"/>
      <c r="BDP743" s="13"/>
      <c r="BDQ743" s="13"/>
      <c r="BDR743" s="13"/>
      <c r="BDS743" s="13"/>
      <c r="BDT743" s="13"/>
      <c r="BDU743" s="13"/>
      <c r="BDV743" s="13"/>
      <c r="BDW743" s="13"/>
      <c r="BDX743" s="13"/>
      <c r="BDY743" s="13"/>
      <c r="BDZ743" s="13"/>
      <c r="BEA743" s="13"/>
      <c r="BEB743" s="13"/>
      <c r="BEC743" s="13"/>
      <c r="BED743" s="13"/>
      <c r="BEE743" s="13"/>
      <c r="BEF743" s="13"/>
      <c r="BEG743" s="13"/>
      <c r="BEH743" s="13"/>
      <c r="BEI743" s="13"/>
      <c r="BEJ743" s="13"/>
      <c r="BEK743" s="13"/>
      <c r="BEL743" s="13"/>
      <c r="BEM743" s="13"/>
      <c r="BEN743" s="13"/>
      <c r="BEO743" s="13"/>
      <c r="BEP743" s="13"/>
      <c r="BEQ743" s="13"/>
      <c r="BER743" s="13"/>
      <c r="BES743" s="13"/>
      <c r="BET743" s="13"/>
      <c r="BEU743" s="13"/>
      <c r="BEV743" s="13"/>
      <c r="BEW743" s="13"/>
      <c r="BEX743" s="13"/>
      <c r="BEY743" s="13"/>
      <c r="BEZ743" s="13"/>
      <c r="BFA743" s="13"/>
      <c r="BFB743" s="13"/>
      <c r="BFC743" s="13"/>
      <c r="BFD743" s="13"/>
      <c r="BFE743" s="13"/>
      <c r="BFF743" s="13"/>
      <c r="BFG743" s="13"/>
      <c r="BFH743" s="13"/>
      <c r="BFI743" s="13"/>
      <c r="BFJ743" s="13"/>
      <c r="BFK743" s="13"/>
      <c r="BFL743" s="13"/>
      <c r="BFM743" s="13"/>
      <c r="BFN743" s="13"/>
      <c r="BFO743" s="13"/>
      <c r="BFP743" s="13"/>
      <c r="BFQ743" s="13"/>
      <c r="BFR743" s="13"/>
      <c r="BFS743" s="13"/>
      <c r="BFT743" s="13"/>
      <c r="BFU743" s="13"/>
      <c r="BFV743" s="13"/>
      <c r="BFW743" s="13"/>
      <c r="BFX743" s="13"/>
      <c r="BFY743" s="13"/>
      <c r="BFZ743" s="13"/>
      <c r="BGA743" s="13"/>
      <c r="BGB743" s="13"/>
      <c r="BGC743" s="13"/>
      <c r="BGD743" s="13"/>
      <c r="BGE743" s="13"/>
      <c r="BGF743" s="13"/>
      <c r="BGG743" s="13"/>
      <c r="BGH743" s="13"/>
      <c r="BGI743" s="13"/>
      <c r="BGJ743" s="13"/>
      <c r="BGK743" s="13"/>
      <c r="BGL743" s="13"/>
      <c r="BGM743" s="13"/>
      <c r="BGN743" s="13"/>
      <c r="BGO743" s="13"/>
      <c r="BGP743" s="13"/>
      <c r="BGQ743" s="13"/>
      <c r="BGR743" s="13"/>
      <c r="BGS743" s="13"/>
      <c r="BGT743" s="13"/>
      <c r="BGU743" s="13"/>
      <c r="BGV743" s="13"/>
      <c r="BGW743" s="13"/>
      <c r="BGX743" s="13"/>
      <c r="BGY743" s="13"/>
      <c r="BGZ743" s="13"/>
      <c r="BHA743" s="13"/>
      <c r="BHB743" s="13"/>
      <c r="BHC743" s="13"/>
      <c r="BHD743" s="13"/>
      <c r="BHE743" s="13"/>
      <c r="BHF743" s="13"/>
      <c r="BHG743" s="13"/>
      <c r="BHH743" s="13"/>
      <c r="BHI743" s="13"/>
      <c r="BHJ743" s="13"/>
      <c r="BHK743" s="13"/>
      <c r="BHL743" s="13"/>
      <c r="BHM743" s="13"/>
      <c r="BHN743" s="13"/>
      <c r="BHO743" s="13"/>
      <c r="BHP743" s="13"/>
      <c r="BHQ743" s="13"/>
      <c r="BHR743" s="13"/>
      <c r="BHS743" s="13"/>
      <c r="BHT743" s="13"/>
      <c r="BHU743" s="13"/>
      <c r="BHV743" s="13"/>
      <c r="BHW743" s="13"/>
      <c r="BHX743" s="13"/>
      <c r="BHY743" s="13"/>
      <c r="BHZ743" s="13"/>
      <c r="BIA743" s="13"/>
      <c r="BIB743" s="13"/>
      <c r="BIC743" s="13"/>
      <c r="BID743" s="13"/>
      <c r="BIE743" s="13"/>
      <c r="BIF743" s="13"/>
      <c r="BIG743" s="13"/>
      <c r="BIH743" s="13"/>
      <c r="BII743" s="13"/>
      <c r="BIJ743" s="13"/>
      <c r="BIK743" s="13"/>
      <c r="BIL743" s="13"/>
      <c r="BIM743" s="13"/>
      <c r="BIN743" s="13"/>
      <c r="BIO743" s="13"/>
      <c r="BIP743" s="13"/>
      <c r="BIQ743" s="13"/>
      <c r="BIR743" s="13"/>
      <c r="BIS743" s="13"/>
      <c r="BIT743" s="13"/>
      <c r="BIU743" s="13"/>
      <c r="BIV743" s="13"/>
      <c r="BIW743" s="13"/>
      <c r="BIX743" s="13"/>
      <c r="BIY743" s="13"/>
      <c r="BIZ743" s="13"/>
      <c r="BJA743" s="13"/>
      <c r="BJB743" s="13"/>
      <c r="BJC743" s="13"/>
      <c r="BJD743" s="13"/>
      <c r="BJE743" s="13"/>
      <c r="BJF743" s="13"/>
      <c r="BJG743" s="13"/>
      <c r="BJH743" s="13"/>
      <c r="BJI743" s="13"/>
      <c r="BJJ743" s="13"/>
      <c r="BJK743" s="13"/>
      <c r="BJL743" s="13"/>
      <c r="BJM743" s="13"/>
      <c r="BJN743" s="13"/>
      <c r="BJO743" s="13"/>
      <c r="BJP743" s="13"/>
      <c r="BJQ743" s="13"/>
      <c r="BJR743" s="13"/>
      <c r="BJS743" s="13"/>
      <c r="BJT743" s="13"/>
      <c r="BJU743" s="13"/>
      <c r="BJV743" s="13"/>
      <c r="BJW743" s="13"/>
      <c r="BJX743" s="13"/>
      <c r="BJY743" s="13"/>
      <c r="BJZ743" s="13"/>
      <c r="BKA743" s="13"/>
      <c r="BKB743" s="13"/>
      <c r="BKC743" s="13"/>
      <c r="BKD743" s="13"/>
      <c r="BKE743" s="13"/>
      <c r="BKF743" s="13"/>
      <c r="BKG743" s="13"/>
      <c r="BKH743" s="13"/>
      <c r="BKI743" s="13"/>
      <c r="BKJ743" s="13"/>
      <c r="BKK743" s="13"/>
      <c r="BKL743" s="13"/>
      <c r="BKM743" s="13"/>
      <c r="BKN743" s="13"/>
      <c r="BKO743" s="13"/>
      <c r="BKP743" s="13"/>
      <c r="BKQ743" s="13"/>
      <c r="BKR743" s="13"/>
      <c r="BKS743" s="13"/>
      <c r="BKT743" s="13"/>
      <c r="BKU743" s="13"/>
      <c r="BKV743" s="13"/>
      <c r="BKW743" s="13"/>
      <c r="BKX743" s="13"/>
      <c r="BKY743" s="13"/>
      <c r="BKZ743" s="13"/>
      <c r="BLA743" s="13"/>
      <c r="BLB743" s="13"/>
      <c r="BLC743" s="13"/>
      <c r="BLD743" s="13"/>
      <c r="BLE743" s="13"/>
      <c r="BLF743" s="13"/>
      <c r="BLG743" s="13"/>
      <c r="BLH743" s="13"/>
      <c r="BLI743" s="13"/>
      <c r="BLJ743" s="13"/>
      <c r="BLK743" s="13"/>
      <c r="BLL743" s="13"/>
      <c r="BLM743" s="13"/>
      <c r="BLN743" s="13"/>
      <c r="BLO743" s="13"/>
      <c r="BLP743" s="13"/>
      <c r="BLQ743" s="13"/>
      <c r="BLR743" s="13"/>
      <c r="BLS743" s="13"/>
      <c r="BLT743" s="13"/>
      <c r="BLU743" s="13"/>
      <c r="BLV743" s="13"/>
      <c r="BLW743" s="13"/>
      <c r="BLX743" s="13"/>
      <c r="BLY743" s="13"/>
      <c r="BLZ743" s="13"/>
      <c r="BMA743" s="13"/>
      <c r="BMB743" s="13"/>
      <c r="BMC743" s="13"/>
      <c r="BMD743" s="13"/>
      <c r="BME743" s="13"/>
      <c r="BMF743" s="13"/>
      <c r="BMG743" s="13"/>
      <c r="BMH743" s="13"/>
      <c r="BMI743" s="13"/>
      <c r="BMJ743" s="13"/>
      <c r="BMK743" s="13"/>
      <c r="BML743" s="13"/>
      <c r="BMM743" s="13"/>
      <c r="BMN743" s="13"/>
      <c r="BMO743" s="13"/>
      <c r="BMP743" s="13"/>
      <c r="BMQ743" s="13"/>
      <c r="BMR743" s="13"/>
      <c r="BMS743" s="13"/>
      <c r="BMT743" s="13"/>
      <c r="BMU743" s="13"/>
      <c r="BMV743" s="13"/>
      <c r="BMW743" s="13"/>
      <c r="BMX743" s="13"/>
      <c r="BMY743" s="13"/>
      <c r="BMZ743" s="13"/>
      <c r="BNA743" s="13"/>
      <c r="BNB743" s="13"/>
      <c r="BNC743" s="13"/>
      <c r="BND743" s="13"/>
      <c r="BNE743" s="13"/>
      <c r="BNF743" s="13"/>
      <c r="BNG743" s="13"/>
      <c r="BNH743" s="13"/>
      <c r="BNI743" s="13"/>
      <c r="BNJ743" s="13"/>
      <c r="BNK743" s="13"/>
      <c r="BNL743" s="13"/>
      <c r="BNM743" s="13"/>
      <c r="BNN743" s="13"/>
      <c r="BNO743" s="13"/>
      <c r="BNP743" s="13"/>
      <c r="BNQ743" s="13"/>
      <c r="BNR743" s="13"/>
      <c r="BNS743" s="13"/>
      <c r="BNT743" s="13"/>
      <c r="BNU743" s="13"/>
      <c r="BNV743" s="13"/>
      <c r="BNW743" s="13"/>
      <c r="BNX743" s="13"/>
      <c r="BNY743" s="13"/>
      <c r="BNZ743" s="13"/>
      <c r="BOA743" s="13"/>
      <c r="BOB743" s="13"/>
      <c r="BOC743" s="13"/>
      <c r="BOD743" s="13"/>
      <c r="BOE743" s="13"/>
      <c r="BOF743" s="13"/>
      <c r="BOG743" s="13"/>
      <c r="BOH743" s="13"/>
      <c r="BOI743" s="13"/>
      <c r="BOJ743" s="13"/>
      <c r="BOK743" s="13"/>
      <c r="BOL743" s="13"/>
      <c r="BOM743" s="13"/>
      <c r="BON743" s="13"/>
      <c r="BOO743" s="13"/>
      <c r="BOP743" s="13"/>
      <c r="BOQ743" s="13"/>
      <c r="BOR743" s="13"/>
      <c r="BOS743" s="13"/>
      <c r="BOT743" s="13"/>
      <c r="BOU743" s="13"/>
      <c r="BOV743" s="13"/>
      <c r="BOW743" s="13"/>
      <c r="BOX743" s="13"/>
      <c r="BOY743" s="13"/>
      <c r="BOZ743" s="13"/>
      <c r="BPA743" s="13"/>
      <c r="BPB743" s="13"/>
      <c r="BPC743" s="13"/>
      <c r="BPD743" s="13"/>
      <c r="BPE743" s="13"/>
      <c r="BPF743" s="13"/>
      <c r="BPG743" s="13"/>
      <c r="BPH743" s="13"/>
      <c r="BPI743" s="13"/>
      <c r="BPJ743" s="13"/>
      <c r="BPK743" s="13"/>
      <c r="BPL743" s="13"/>
      <c r="BPM743" s="13"/>
      <c r="BPN743" s="13"/>
      <c r="BPO743" s="13"/>
      <c r="BPP743" s="13"/>
      <c r="BPQ743" s="13"/>
      <c r="BPR743" s="13"/>
      <c r="BPS743" s="13"/>
      <c r="BPT743" s="13"/>
      <c r="BPU743" s="13"/>
      <c r="BPV743" s="13"/>
      <c r="BPW743" s="13"/>
      <c r="BPX743" s="13"/>
      <c r="BPY743" s="13"/>
      <c r="BPZ743" s="13"/>
      <c r="BQA743" s="13"/>
      <c r="BQB743" s="13"/>
      <c r="BQC743" s="13"/>
      <c r="BQD743" s="13"/>
      <c r="BQE743" s="13"/>
      <c r="BQF743" s="13"/>
      <c r="BQG743" s="13"/>
      <c r="BQH743" s="13"/>
      <c r="BQI743" s="13"/>
      <c r="BQJ743" s="13"/>
      <c r="BQK743" s="13"/>
      <c r="BQL743" s="13"/>
      <c r="BQM743" s="13"/>
      <c r="BQN743" s="13"/>
      <c r="BQO743" s="13"/>
      <c r="BQP743" s="13"/>
      <c r="BQQ743" s="13"/>
      <c r="BQR743" s="13"/>
      <c r="BQS743" s="13"/>
      <c r="BQT743" s="13"/>
      <c r="BQU743" s="13"/>
      <c r="BQV743" s="13"/>
      <c r="BQW743" s="13"/>
      <c r="BQX743" s="13"/>
      <c r="BQY743" s="13"/>
      <c r="BQZ743" s="13"/>
      <c r="BRA743" s="13"/>
      <c r="BRB743" s="13"/>
      <c r="BRC743" s="13"/>
      <c r="BRD743" s="13"/>
      <c r="BRE743" s="13"/>
      <c r="BRF743" s="13"/>
      <c r="BRG743" s="13"/>
      <c r="BRH743" s="13"/>
      <c r="BRI743" s="13"/>
      <c r="BRJ743" s="13"/>
      <c r="BRK743" s="13"/>
      <c r="BRL743" s="13"/>
      <c r="BRM743" s="13"/>
      <c r="BRN743" s="13"/>
      <c r="BRO743" s="13"/>
      <c r="BRP743" s="13"/>
      <c r="BRQ743" s="13"/>
      <c r="BRR743" s="13"/>
      <c r="BRS743" s="13"/>
      <c r="BRT743" s="13"/>
      <c r="BRU743" s="13"/>
      <c r="BRV743" s="13"/>
      <c r="BRW743" s="13"/>
      <c r="BRX743" s="13"/>
      <c r="BRY743" s="13"/>
      <c r="BRZ743" s="13"/>
      <c r="BSA743" s="13"/>
      <c r="BSB743" s="13"/>
      <c r="BSC743" s="13"/>
      <c r="BSD743" s="13"/>
      <c r="BSE743" s="13"/>
      <c r="BSF743" s="13"/>
      <c r="BSG743" s="13"/>
      <c r="BSH743" s="13"/>
      <c r="BSI743" s="13"/>
      <c r="BSJ743" s="13"/>
      <c r="BSK743" s="13"/>
      <c r="BSL743" s="13"/>
      <c r="BSM743" s="13"/>
      <c r="BSN743" s="13"/>
      <c r="BSO743" s="13"/>
      <c r="BSP743" s="13"/>
      <c r="BSQ743" s="13"/>
      <c r="BSR743" s="13"/>
      <c r="BSS743" s="13"/>
      <c r="BST743" s="13"/>
      <c r="BSU743" s="13"/>
      <c r="BSV743" s="13"/>
      <c r="BSW743" s="13"/>
      <c r="BSX743" s="13"/>
      <c r="BSY743" s="13"/>
      <c r="BSZ743" s="13"/>
      <c r="BTA743" s="13"/>
    </row>
    <row r="744" spans="1:1873" s="254" customFormat="1" ht="11.45" customHeight="1" x14ac:dyDescent="0.2">
      <c r="A744" s="283"/>
      <c r="B744" s="249"/>
      <c r="C744" s="249"/>
      <c r="D744" s="283"/>
      <c r="E744" s="306"/>
      <c r="F744" s="283"/>
      <c r="G744" s="251"/>
      <c r="H744" s="251"/>
      <c r="I744" s="249"/>
      <c r="J744" s="249"/>
      <c r="K744" s="249"/>
      <c r="L744" s="249"/>
      <c r="M744" s="253"/>
      <c r="N744" s="249"/>
      <c r="O744" s="18"/>
      <c r="P744" s="244"/>
      <c r="Q744" s="249"/>
      <c r="R744" s="253"/>
      <c r="S744" s="249"/>
      <c r="T744" s="426"/>
      <c r="U744" s="249"/>
      <c r="V744" s="249"/>
      <c r="W744" s="253"/>
      <c r="X744" s="249"/>
      <c r="Y744" s="249"/>
      <c r="Z744" s="249"/>
      <c r="AA744" s="384"/>
      <c r="AB744" s="253"/>
      <c r="AC744" s="249"/>
      <c r="AD744" s="249"/>
      <c r="AE744" s="249"/>
      <c r="AF744" s="249"/>
      <c r="AG744" s="404"/>
      <c r="AH744" s="249"/>
      <c r="AI744" s="404"/>
      <c r="AJ744" s="249"/>
      <c r="AK744" s="249"/>
      <c r="AL744" s="249"/>
      <c r="AM744" s="249"/>
      <c r="AN744" s="249"/>
      <c r="AO744" s="249"/>
      <c r="AP744" s="249"/>
      <c r="AQ744" s="249"/>
      <c r="AR744" s="249"/>
      <c r="AS744" s="249"/>
      <c r="AT744" s="249"/>
      <c r="AU744" s="249"/>
      <c r="AV744" s="249"/>
      <c r="AW744" s="249"/>
      <c r="AX744" s="249"/>
      <c r="AY744" s="249"/>
      <c r="AZ744" s="249"/>
      <c r="BA744" s="249"/>
      <c r="BB744" s="249"/>
      <c r="BC744" s="249"/>
      <c r="BD744" s="249"/>
      <c r="BE744" s="249"/>
      <c r="BF744" s="249"/>
      <c r="BG744" s="249"/>
      <c r="BH744" s="249"/>
      <c r="BI744" s="249"/>
      <c r="BJ744" s="249"/>
      <c r="BK744" s="249"/>
      <c r="BL744" s="249"/>
      <c r="BM744" s="249"/>
      <c r="BN744" s="253"/>
      <c r="BO744" s="249"/>
      <c r="BP744" s="249"/>
      <c r="BQ744" s="249"/>
      <c r="BR744" s="249"/>
      <c r="BS744" s="251"/>
      <c r="BT744" s="249"/>
      <c r="BU744" s="249"/>
      <c r="BV744" s="249"/>
      <c r="BW744" s="249"/>
      <c r="BX744" s="249"/>
      <c r="BY744" s="249"/>
      <c r="BZ744" s="249"/>
      <c r="CA744" s="335"/>
      <c r="CC744" s="283"/>
      <c r="CD744" s="251"/>
      <c r="CE744" s="342"/>
      <c r="CF744" s="342"/>
      <c r="CG744" s="251"/>
      <c r="CH744" s="13"/>
      <c r="CI744" s="13"/>
      <c r="CJ744" s="13"/>
      <c r="CK744" s="13"/>
      <c r="CL744" s="13"/>
      <c r="CM744" s="13"/>
      <c r="CN744" s="13"/>
      <c r="CO744" s="13"/>
      <c r="CP744" s="13"/>
      <c r="CQ744" s="13"/>
      <c r="CR744" s="13"/>
      <c r="CS744" s="13"/>
      <c r="CT744" s="13"/>
      <c r="CU744" s="13"/>
      <c r="CV744" s="13"/>
      <c r="CW744" s="13"/>
      <c r="CX744" s="13"/>
      <c r="CY744" s="13"/>
      <c r="CZ744" s="13"/>
      <c r="DA744" s="13"/>
      <c r="DB744" s="13"/>
      <c r="DC744" s="13"/>
      <c r="DD744" s="13"/>
      <c r="DE744" s="13"/>
      <c r="DF744" s="13"/>
      <c r="DG744" s="13"/>
      <c r="DH744" s="13"/>
      <c r="DI744" s="13"/>
      <c r="DJ744" s="13"/>
      <c r="DK744" s="13"/>
      <c r="DL744" s="13"/>
      <c r="DM744" s="13"/>
      <c r="DN744" s="13"/>
      <c r="DO744" s="13"/>
      <c r="DP744" s="13"/>
      <c r="DQ744" s="13"/>
      <c r="DR744" s="13"/>
      <c r="DS744" s="13"/>
      <c r="DT744" s="13"/>
      <c r="DU744" s="13"/>
      <c r="DV744" s="13"/>
      <c r="DW744" s="13"/>
      <c r="DX744" s="13"/>
      <c r="DY744" s="13"/>
      <c r="DZ744" s="13"/>
      <c r="EA744" s="13"/>
      <c r="EB744" s="13"/>
      <c r="EC744" s="13"/>
      <c r="ED744" s="13"/>
      <c r="EE744" s="13"/>
      <c r="EF744" s="13"/>
      <c r="EG744" s="13"/>
      <c r="EH744" s="13"/>
      <c r="EI744" s="13"/>
      <c r="EJ744" s="13"/>
      <c r="EK744" s="13"/>
      <c r="EL744" s="13"/>
      <c r="EM744" s="13"/>
      <c r="EN744" s="13"/>
      <c r="EO744" s="13"/>
      <c r="EP744" s="13"/>
      <c r="EQ744" s="13"/>
      <c r="ER744" s="13"/>
      <c r="ES744" s="13"/>
      <c r="ET744" s="13"/>
      <c r="EU744" s="13"/>
      <c r="EV744" s="13"/>
      <c r="EW744" s="13"/>
      <c r="EX744" s="13"/>
      <c r="EY744" s="13"/>
      <c r="EZ744" s="13"/>
      <c r="FA744" s="13"/>
      <c r="FB744" s="13"/>
      <c r="FC744" s="13"/>
      <c r="FD744" s="13"/>
      <c r="FE744" s="13"/>
      <c r="FF744" s="13"/>
      <c r="FG744" s="13"/>
      <c r="FH744" s="13"/>
      <c r="FI744" s="13"/>
      <c r="FJ744" s="13"/>
      <c r="FK744" s="13"/>
      <c r="FL744" s="13"/>
      <c r="FM744" s="13"/>
      <c r="FN744" s="13"/>
      <c r="FO744" s="13"/>
      <c r="FP744" s="13"/>
      <c r="FQ744" s="13"/>
      <c r="FR744" s="13"/>
      <c r="FS744" s="13"/>
      <c r="FT744" s="13"/>
      <c r="FU744" s="13"/>
      <c r="FV744" s="13"/>
      <c r="FW744" s="13"/>
      <c r="FX744" s="13"/>
      <c r="FY744" s="13"/>
      <c r="FZ744" s="13"/>
      <c r="GA744" s="13"/>
      <c r="GB744" s="13"/>
      <c r="GC744" s="13"/>
      <c r="GD744" s="13"/>
      <c r="GE744" s="13"/>
      <c r="GF744" s="13"/>
      <c r="GG744" s="13"/>
      <c r="GH744" s="13"/>
      <c r="GI744" s="13"/>
      <c r="GJ744" s="13"/>
      <c r="GK744" s="13"/>
      <c r="GL744" s="13"/>
      <c r="GM744" s="13"/>
      <c r="GN744" s="13"/>
      <c r="GO744" s="13"/>
      <c r="GP744" s="13"/>
      <c r="GQ744" s="13"/>
      <c r="GR744" s="13"/>
      <c r="GS744" s="13"/>
      <c r="GT744" s="13"/>
      <c r="GU744" s="13"/>
      <c r="GV744" s="13"/>
      <c r="GW744" s="13"/>
      <c r="GX744" s="13"/>
      <c r="GY744" s="13"/>
      <c r="GZ744" s="13"/>
      <c r="HA744" s="13"/>
      <c r="HB744" s="13"/>
      <c r="HC744" s="13"/>
      <c r="HD744" s="13"/>
      <c r="HE744" s="13"/>
      <c r="HF744" s="13"/>
      <c r="HG744" s="13"/>
      <c r="HH744" s="13"/>
      <c r="HI744" s="13"/>
      <c r="HJ744" s="13"/>
      <c r="HK744" s="13"/>
      <c r="HL744" s="13"/>
      <c r="HM744" s="13"/>
      <c r="HN744" s="13"/>
      <c r="HO744" s="13"/>
      <c r="HP744" s="13"/>
      <c r="HQ744" s="13"/>
      <c r="HR744" s="13"/>
      <c r="HS744" s="13"/>
      <c r="HT744" s="13"/>
      <c r="HU744" s="13"/>
      <c r="HV744" s="13"/>
      <c r="HW744" s="13"/>
      <c r="HX744" s="13"/>
      <c r="HY744" s="13"/>
      <c r="HZ744" s="13"/>
      <c r="IA744" s="13"/>
      <c r="IB744" s="13"/>
      <c r="IC744" s="13"/>
      <c r="ID744" s="13"/>
      <c r="IE744" s="13"/>
      <c r="IF744" s="13"/>
      <c r="IG744" s="13"/>
      <c r="IH744" s="13"/>
      <c r="II744" s="13"/>
      <c r="IJ744" s="13"/>
      <c r="IK744" s="13"/>
      <c r="IL744" s="13"/>
      <c r="IM744" s="13"/>
      <c r="IN744" s="13"/>
      <c r="IO744" s="13"/>
      <c r="IP744" s="13"/>
      <c r="IQ744" s="13"/>
      <c r="IR744" s="13"/>
      <c r="IS744" s="13"/>
      <c r="IT744" s="13"/>
      <c r="IU744" s="13"/>
      <c r="IV744" s="13"/>
      <c r="IW744" s="13"/>
      <c r="IX744" s="13"/>
      <c r="IY744" s="13"/>
      <c r="IZ744" s="13"/>
      <c r="JA744" s="13"/>
      <c r="JB744" s="13"/>
      <c r="JC744" s="13"/>
      <c r="JD744" s="13"/>
      <c r="JE744" s="13"/>
      <c r="JF744" s="13"/>
      <c r="JG744" s="13"/>
      <c r="JH744" s="13"/>
      <c r="JI744" s="13"/>
      <c r="JJ744" s="13"/>
      <c r="JK744" s="13"/>
      <c r="JL744" s="13"/>
      <c r="JM744" s="13"/>
      <c r="JN744" s="13"/>
      <c r="JO744" s="13"/>
      <c r="JP744" s="13"/>
      <c r="JQ744" s="13"/>
      <c r="JR744" s="13"/>
      <c r="JS744" s="13"/>
      <c r="JT744" s="13"/>
      <c r="JU744" s="13"/>
      <c r="JV744" s="13"/>
      <c r="JW744" s="13"/>
      <c r="JX744" s="13"/>
      <c r="JY744" s="13"/>
      <c r="JZ744" s="13"/>
      <c r="KA744" s="13"/>
      <c r="KB744" s="13"/>
      <c r="KC744" s="13"/>
      <c r="KD744" s="13"/>
      <c r="KE744" s="13"/>
      <c r="KF744" s="13"/>
      <c r="KG744" s="13"/>
      <c r="KH744" s="13"/>
      <c r="KI744" s="13"/>
      <c r="KJ744" s="13"/>
      <c r="KK744" s="13"/>
      <c r="KL744" s="13"/>
      <c r="KM744" s="13"/>
      <c r="KN744" s="13"/>
      <c r="KO744" s="13"/>
      <c r="KP744" s="13"/>
      <c r="KQ744" s="13"/>
      <c r="KR744" s="13"/>
      <c r="KS744" s="13"/>
      <c r="KT744" s="13"/>
      <c r="KU744" s="13"/>
      <c r="KV744" s="13"/>
      <c r="KW744" s="13"/>
      <c r="KX744" s="13"/>
      <c r="KY744" s="13"/>
      <c r="KZ744" s="13"/>
      <c r="LA744" s="13"/>
      <c r="LB744" s="13"/>
      <c r="LC744" s="13"/>
      <c r="LD744" s="13"/>
      <c r="LE744" s="13"/>
      <c r="LF744" s="13"/>
      <c r="LG744" s="13"/>
      <c r="LH744" s="13"/>
      <c r="LI744" s="13"/>
      <c r="LJ744" s="13"/>
      <c r="LK744" s="13"/>
      <c r="LL744" s="13"/>
      <c r="LM744" s="13"/>
      <c r="LN744" s="13"/>
      <c r="LO744" s="13"/>
      <c r="LP744" s="13"/>
      <c r="LQ744" s="13"/>
      <c r="LR744" s="13"/>
      <c r="LS744" s="13"/>
      <c r="LT744" s="13"/>
      <c r="LU744" s="13"/>
      <c r="LV744" s="13"/>
      <c r="LW744" s="13"/>
      <c r="LX744" s="13"/>
      <c r="LY744" s="13"/>
      <c r="LZ744" s="13"/>
      <c r="MA744" s="13"/>
      <c r="MB744" s="13"/>
      <c r="MC744" s="13"/>
      <c r="MD744" s="13"/>
      <c r="ME744" s="13"/>
      <c r="MF744" s="13"/>
      <c r="MG744" s="13"/>
      <c r="MH744" s="13"/>
      <c r="MI744" s="13"/>
      <c r="MJ744" s="13"/>
      <c r="MK744" s="13"/>
      <c r="ML744" s="13"/>
      <c r="MM744" s="13"/>
      <c r="MN744" s="13"/>
      <c r="MO744" s="13"/>
      <c r="MP744" s="13"/>
      <c r="MQ744" s="13"/>
      <c r="MR744" s="13"/>
      <c r="MS744" s="13"/>
      <c r="MT744" s="13"/>
      <c r="MU744" s="13"/>
      <c r="MV744" s="13"/>
      <c r="MW744" s="13"/>
      <c r="MX744" s="13"/>
      <c r="MY744" s="13"/>
      <c r="MZ744" s="13"/>
      <c r="NA744" s="13"/>
      <c r="NB744" s="13"/>
      <c r="NC744" s="13"/>
      <c r="ND744" s="13"/>
      <c r="NE744" s="13"/>
      <c r="NF744" s="13"/>
      <c r="NG744" s="13"/>
      <c r="NH744" s="13"/>
      <c r="NI744" s="13"/>
      <c r="NJ744" s="13"/>
      <c r="NK744" s="13"/>
      <c r="NL744" s="13"/>
      <c r="NM744" s="13"/>
      <c r="NN744" s="13"/>
      <c r="NO744" s="13"/>
      <c r="NP744" s="13"/>
      <c r="NQ744" s="13"/>
      <c r="NR744" s="13"/>
      <c r="NS744" s="13"/>
      <c r="NT744" s="13"/>
      <c r="NU744" s="13"/>
      <c r="NV744" s="13"/>
      <c r="NW744" s="13"/>
      <c r="NX744" s="13"/>
      <c r="NY744" s="13"/>
      <c r="NZ744" s="13"/>
      <c r="OA744" s="13"/>
      <c r="OB744" s="13"/>
      <c r="OC744" s="13"/>
      <c r="OD744" s="13"/>
      <c r="OE744" s="13"/>
      <c r="OF744" s="13"/>
      <c r="OG744" s="13"/>
      <c r="OH744" s="13"/>
      <c r="OI744" s="13"/>
      <c r="OJ744" s="13"/>
      <c r="OK744" s="13"/>
      <c r="OL744" s="13"/>
      <c r="OM744" s="13"/>
      <c r="ON744" s="13"/>
      <c r="OO744" s="13"/>
      <c r="OP744" s="13"/>
      <c r="OQ744" s="13"/>
      <c r="OR744" s="13"/>
      <c r="OS744" s="13"/>
      <c r="OT744" s="13"/>
      <c r="OU744" s="13"/>
      <c r="OV744" s="13"/>
      <c r="OW744" s="13"/>
      <c r="OX744" s="13"/>
      <c r="OY744" s="13"/>
      <c r="OZ744" s="13"/>
      <c r="PA744" s="13"/>
      <c r="PB744" s="13"/>
      <c r="PC744" s="13"/>
      <c r="PD744" s="13"/>
      <c r="PE744" s="13"/>
      <c r="PF744" s="13"/>
      <c r="PG744" s="13"/>
      <c r="PH744" s="13"/>
      <c r="PI744" s="13"/>
      <c r="PJ744" s="13"/>
      <c r="PK744" s="13"/>
      <c r="PL744" s="13"/>
      <c r="PM744" s="13"/>
      <c r="PN744" s="13"/>
      <c r="PO744" s="13"/>
      <c r="PP744" s="13"/>
      <c r="PQ744" s="13"/>
      <c r="PR744" s="13"/>
      <c r="PS744" s="13"/>
      <c r="PT744" s="13"/>
      <c r="PU744" s="13"/>
      <c r="PV744" s="13"/>
      <c r="PW744" s="13"/>
      <c r="PX744" s="13"/>
      <c r="PY744" s="13"/>
      <c r="PZ744" s="13"/>
      <c r="QA744" s="13"/>
      <c r="QB744" s="13"/>
      <c r="QC744" s="13"/>
      <c r="QD744" s="13"/>
      <c r="QE744" s="13"/>
      <c r="QF744" s="13"/>
      <c r="QG744" s="13"/>
      <c r="QH744" s="13"/>
      <c r="QI744" s="13"/>
      <c r="QJ744" s="13"/>
      <c r="QK744" s="13"/>
      <c r="QL744" s="13"/>
      <c r="QM744" s="13"/>
      <c r="QN744" s="13"/>
      <c r="QO744" s="13"/>
      <c r="QP744" s="13"/>
      <c r="QQ744" s="13"/>
      <c r="QR744" s="13"/>
      <c r="QS744" s="13"/>
      <c r="QT744" s="13"/>
      <c r="QU744" s="13"/>
      <c r="QV744" s="13"/>
      <c r="QW744" s="13"/>
      <c r="QX744" s="13"/>
      <c r="QY744" s="13"/>
      <c r="QZ744" s="13"/>
      <c r="RA744" s="13"/>
      <c r="RB744" s="13"/>
      <c r="RC744" s="13"/>
      <c r="RD744" s="13"/>
      <c r="RE744" s="13"/>
      <c r="RF744" s="13"/>
      <c r="RG744" s="13"/>
      <c r="RH744" s="13"/>
      <c r="RI744" s="13"/>
      <c r="RJ744" s="13"/>
      <c r="RK744" s="13"/>
      <c r="RL744" s="13"/>
      <c r="RM744" s="13"/>
      <c r="RN744" s="13"/>
      <c r="RO744" s="13"/>
      <c r="RP744" s="13"/>
      <c r="RQ744" s="13"/>
      <c r="RR744" s="13"/>
      <c r="RS744" s="13"/>
      <c r="RT744" s="13"/>
      <c r="RU744" s="13"/>
      <c r="RV744" s="13"/>
      <c r="RW744" s="13"/>
      <c r="RX744" s="13"/>
      <c r="RY744" s="13"/>
      <c r="RZ744" s="13"/>
      <c r="SA744" s="13"/>
      <c r="SB744" s="13"/>
      <c r="SC744" s="13"/>
      <c r="SD744" s="13"/>
      <c r="SE744" s="13"/>
      <c r="SF744" s="13"/>
      <c r="SG744" s="13"/>
      <c r="SH744" s="13"/>
      <c r="SI744" s="13"/>
      <c r="SJ744" s="13"/>
      <c r="SK744" s="13"/>
      <c r="SL744" s="13"/>
      <c r="SM744" s="13"/>
      <c r="SN744" s="13"/>
      <c r="SO744" s="13"/>
      <c r="SP744" s="13"/>
      <c r="SQ744" s="13"/>
      <c r="SR744" s="13"/>
      <c r="SS744" s="13"/>
      <c r="ST744" s="13"/>
      <c r="SU744" s="13"/>
      <c r="SV744" s="13"/>
      <c r="SW744" s="13"/>
      <c r="SX744" s="13"/>
      <c r="SY744" s="13"/>
      <c r="SZ744" s="13"/>
      <c r="TA744" s="13"/>
      <c r="TB744" s="13"/>
      <c r="TC744" s="13"/>
      <c r="TD744" s="13"/>
      <c r="TE744" s="13"/>
      <c r="TF744" s="13"/>
      <c r="TG744" s="13"/>
      <c r="TH744" s="13"/>
      <c r="TI744" s="13"/>
      <c r="TJ744" s="13"/>
      <c r="TK744" s="13"/>
      <c r="TL744" s="13"/>
      <c r="TM744" s="13"/>
      <c r="TN744" s="13"/>
      <c r="TO744" s="13"/>
      <c r="TP744" s="13"/>
      <c r="TQ744" s="13"/>
      <c r="TR744" s="13"/>
      <c r="TS744" s="13"/>
      <c r="TT744" s="13"/>
      <c r="TU744" s="13"/>
      <c r="TV744" s="13"/>
      <c r="TW744" s="13"/>
      <c r="TX744" s="13"/>
      <c r="TY744" s="13"/>
      <c r="TZ744" s="13"/>
      <c r="UA744" s="13"/>
      <c r="UB744" s="13"/>
      <c r="UC744" s="13"/>
      <c r="UD744" s="13"/>
      <c r="UE744" s="13"/>
      <c r="UF744" s="13"/>
      <c r="UG744" s="13"/>
      <c r="UH744" s="13"/>
      <c r="UI744" s="13"/>
      <c r="UJ744" s="13"/>
      <c r="UK744" s="13"/>
      <c r="UL744" s="13"/>
      <c r="UM744" s="13"/>
      <c r="UN744" s="13"/>
      <c r="UO744" s="13"/>
      <c r="UP744" s="13"/>
      <c r="UQ744" s="13"/>
      <c r="UR744" s="13"/>
      <c r="US744" s="13"/>
      <c r="UT744" s="13"/>
      <c r="UU744" s="13"/>
      <c r="UV744" s="13"/>
      <c r="UW744" s="13"/>
      <c r="UX744" s="13"/>
      <c r="UY744" s="13"/>
      <c r="UZ744" s="13"/>
      <c r="VA744" s="13"/>
      <c r="VB744" s="13"/>
      <c r="VC744" s="13"/>
      <c r="VD744" s="13"/>
      <c r="VE744" s="13"/>
      <c r="VF744" s="13"/>
      <c r="VG744" s="13"/>
      <c r="VH744" s="13"/>
      <c r="VI744" s="13"/>
      <c r="VJ744" s="13"/>
      <c r="VK744" s="13"/>
      <c r="VL744" s="13"/>
      <c r="VM744" s="13"/>
      <c r="VN744" s="13"/>
      <c r="VO744" s="13"/>
      <c r="VP744" s="13"/>
      <c r="VQ744" s="13"/>
      <c r="VR744" s="13"/>
      <c r="VS744" s="13"/>
      <c r="VT744" s="13"/>
      <c r="VU744" s="13"/>
      <c r="VV744" s="13"/>
      <c r="VW744" s="13"/>
      <c r="VX744" s="13"/>
      <c r="VY744" s="13"/>
      <c r="VZ744" s="13"/>
      <c r="WA744" s="13"/>
      <c r="WB744" s="13"/>
      <c r="WC744" s="13"/>
      <c r="WD744" s="13"/>
      <c r="WE744" s="13"/>
      <c r="WF744" s="13"/>
      <c r="WG744" s="13"/>
      <c r="WH744" s="13"/>
      <c r="WI744" s="13"/>
      <c r="WJ744" s="13"/>
      <c r="WK744" s="13"/>
      <c r="WL744" s="13"/>
      <c r="WM744" s="13"/>
      <c r="WN744" s="13"/>
      <c r="WO744" s="13"/>
      <c r="WP744" s="13"/>
      <c r="WQ744" s="13"/>
      <c r="WR744" s="13"/>
      <c r="WS744" s="13"/>
      <c r="WT744" s="13"/>
      <c r="WU744" s="13"/>
      <c r="WV744" s="13"/>
      <c r="WW744" s="13"/>
      <c r="WX744" s="13"/>
      <c r="WY744" s="13"/>
      <c r="WZ744" s="13"/>
      <c r="XA744" s="13"/>
      <c r="XB744" s="13"/>
      <c r="XC744" s="13"/>
      <c r="XD744" s="13"/>
      <c r="XE744" s="13"/>
      <c r="XF744" s="13"/>
      <c r="XG744" s="13"/>
      <c r="XH744" s="13"/>
      <c r="XI744" s="13"/>
      <c r="XJ744" s="13"/>
      <c r="XK744" s="13"/>
      <c r="XL744" s="13"/>
      <c r="XM744" s="13"/>
      <c r="XN744" s="13"/>
      <c r="XO744" s="13"/>
      <c r="XP744" s="13"/>
      <c r="XQ744" s="13"/>
      <c r="XR744" s="13"/>
      <c r="XS744" s="13"/>
      <c r="XT744" s="13"/>
      <c r="XU744" s="13"/>
      <c r="XV744" s="13"/>
      <c r="XW744" s="13"/>
      <c r="XX744" s="13"/>
      <c r="XY744" s="13"/>
      <c r="XZ744" s="13"/>
      <c r="YA744" s="13"/>
      <c r="YB744" s="13"/>
      <c r="YC744" s="13"/>
      <c r="YD744" s="13"/>
      <c r="YE744" s="13"/>
      <c r="YF744" s="13"/>
      <c r="YG744" s="13"/>
      <c r="YH744" s="13"/>
      <c r="YI744" s="13"/>
      <c r="YJ744" s="13"/>
      <c r="YK744" s="13"/>
      <c r="YL744" s="13"/>
      <c r="YM744" s="13"/>
      <c r="YN744" s="13"/>
      <c r="YO744" s="13"/>
      <c r="YP744" s="13"/>
      <c r="YQ744" s="13"/>
      <c r="YR744" s="13"/>
      <c r="YS744" s="13"/>
      <c r="YT744" s="13"/>
      <c r="YU744" s="13"/>
      <c r="YV744" s="13"/>
      <c r="YW744" s="13"/>
      <c r="YX744" s="13"/>
      <c r="YY744" s="13"/>
      <c r="YZ744" s="13"/>
      <c r="ZA744" s="13"/>
      <c r="ZB744" s="13"/>
      <c r="ZC744" s="13"/>
      <c r="ZD744" s="13"/>
      <c r="ZE744" s="13"/>
      <c r="ZF744" s="13"/>
      <c r="ZG744" s="13"/>
      <c r="ZH744" s="13"/>
      <c r="ZI744" s="13"/>
      <c r="ZJ744" s="13"/>
      <c r="ZK744" s="13"/>
      <c r="ZL744" s="13"/>
      <c r="ZM744" s="13"/>
      <c r="ZN744" s="13"/>
      <c r="ZO744" s="13"/>
      <c r="ZP744" s="13"/>
      <c r="ZQ744" s="13"/>
      <c r="ZR744" s="13"/>
      <c r="ZS744" s="13"/>
      <c r="ZT744" s="13"/>
      <c r="ZU744" s="13"/>
      <c r="ZV744" s="13"/>
      <c r="ZW744" s="13"/>
      <c r="ZX744" s="13"/>
      <c r="ZY744" s="13"/>
      <c r="ZZ744" s="13"/>
      <c r="AAA744" s="13"/>
      <c r="AAB744" s="13"/>
      <c r="AAC744" s="13"/>
      <c r="AAD744" s="13"/>
      <c r="AAE744" s="13"/>
      <c r="AAF744" s="13"/>
      <c r="AAG744" s="13"/>
      <c r="AAH744" s="13"/>
      <c r="AAI744" s="13"/>
      <c r="AAJ744" s="13"/>
      <c r="AAK744" s="13"/>
      <c r="AAL744" s="13"/>
      <c r="AAM744" s="13"/>
      <c r="AAN744" s="13"/>
      <c r="AAO744" s="13"/>
      <c r="AAP744" s="13"/>
      <c r="AAQ744" s="13"/>
      <c r="AAR744" s="13"/>
      <c r="AAS744" s="13"/>
      <c r="AAT744" s="13"/>
      <c r="AAU744" s="13"/>
      <c r="AAV744" s="13"/>
      <c r="AAW744" s="13"/>
      <c r="AAX744" s="13"/>
      <c r="AAY744" s="13"/>
      <c r="AAZ744" s="13"/>
      <c r="ABA744" s="13"/>
      <c r="ABB744" s="13"/>
      <c r="ABC744" s="13"/>
      <c r="ABD744" s="13"/>
      <c r="ABE744" s="13"/>
      <c r="ABF744" s="13"/>
      <c r="ABG744" s="13"/>
      <c r="ABH744" s="13"/>
      <c r="ABI744" s="13"/>
      <c r="ABJ744" s="13"/>
      <c r="ABK744" s="13"/>
      <c r="ABL744" s="13"/>
      <c r="ABM744" s="13"/>
      <c r="ABN744" s="13"/>
      <c r="ABO744" s="13"/>
      <c r="ABP744" s="13"/>
      <c r="ABQ744" s="13"/>
      <c r="ABR744" s="13"/>
      <c r="ABS744" s="13"/>
      <c r="ABT744" s="13"/>
      <c r="ABU744" s="13"/>
      <c r="ABV744" s="13"/>
      <c r="ABW744" s="13"/>
      <c r="ABX744" s="13"/>
      <c r="ABY744" s="13"/>
      <c r="ABZ744" s="13"/>
      <c r="ACA744" s="13"/>
      <c r="ACB744" s="13"/>
      <c r="ACC744" s="13"/>
      <c r="ACD744" s="13"/>
      <c r="ACE744" s="13"/>
      <c r="ACF744" s="13"/>
      <c r="ACG744" s="13"/>
      <c r="ACH744" s="13"/>
      <c r="ACI744" s="13"/>
      <c r="ACJ744" s="13"/>
      <c r="ACK744" s="13"/>
      <c r="ACL744" s="13"/>
      <c r="ACM744" s="13"/>
      <c r="ACN744" s="13"/>
      <c r="ACO744" s="13"/>
      <c r="ACP744" s="13"/>
      <c r="ACQ744" s="13"/>
      <c r="ACR744" s="13"/>
      <c r="ACS744" s="13"/>
      <c r="ACT744" s="13"/>
      <c r="ACU744" s="13"/>
      <c r="ACV744" s="13"/>
      <c r="ACW744" s="13"/>
      <c r="ACX744" s="13"/>
      <c r="ACY744" s="13"/>
      <c r="ACZ744" s="13"/>
      <c r="ADA744" s="13"/>
      <c r="ADB744" s="13"/>
      <c r="ADC744" s="13"/>
      <c r="ADD744" s="13"/>
      <c r="ADE744" s="13"/>
      <c r="ADF744" s="13"/>
      <c r="ADG744" s="13"/>
      <c r="ADH744" s="13"/>
      <c r="ADI744" s="13"/>
      <c r="ADJ744" s="13"/>
      <c r="ADK744" s="13"/>
      <c r="ADL744" s="13"/>
      <c r="ADM744" s="13"/>
      <c r="ADN744" s="13"/>
      <c r="ADO744" s="13"/>
      <c r="ADP744" s="13"/>
      <c r="ADQ744" s="13"/>
      <c r="ADR744" s="13"/>
      <c r="ADS744" s="13"/>
      <c r="ADT744" s="13"/>
      <c r="ADU744" s="13"/>
      <c r="ADV744" s="13"/>
      <c r="ADW744" s="13"/>
      <c r="ADX744" s="13"/>
      <c r="ADY744" s="13"/>
      <c r="ADZ744" s="13"/>
      <c r="AEA744" s="13"/>
      <c r="AEB744" s="13"/>
      <c r="AEC744" s="13"/>
      <c r="AED744" s="13"/>
      <c r="AEE744" s="13"/>
      <c r="AEF744" s="13"/>
      <c r="AEG744" s="13"/>
      <c r="AEH744" s="13"/>
      <c r="AEI744" s="13"/>
      <c r="AEJ744" s="13"/>
      <c r="AEK744" s="13"/>
      <c r="AEL744" s="13"/>
      <c r="AEM744" s="13"/>
      <c r="AEN744" s="13"/>
      <c r="AEO744" s="13"/>
      <c r="AEP744" s="13"/>
      <c r="AEQ744" s="13"/>
      <c r="AER744" s="13"/>
      <c r="AES744" s="13"/>
      <c r="AET744" s="13"/>
      <c r="AEU744" s="13"/>
      <c r="AEV744" s="13"/>
      <c r="AEW744" s="13"/>
      <c r="AEX744" s="13"/>
      <c r="AEY744" s="13"/>
      <c r="AEZ744" s="13"/>
      <c r="AFA744" s="13"/>
      <c r="AFB744" s="13"/>
      <c r="AFC744" s="13"/>
      <c r="AFD744" s="13"/>
      <c r="AFE744" s="13"/>
      <c r="AFF744" s="13"/>
      <c r="AFG744" s="13"/>
      <c r="AFH744" s="13"/>
      <c r="AFI744" s="13"/>
      <c r="AFJ744" s="13"/>
      <c r="AFK744" s="13"/>
      <c r="AFL744" s="13"/>
      <c r="AFM744" s="13"/>
      <c r="AFN744" s="13"/>
      <c r="AFO744" s="13"/>
      <c r="AFP744" s="13"/>
      <c r="AFQ744" s="13"/>
      <c r="AFR744" s="13"/>
      <c r="AFS744" s="13"/>
      <c r="AFT744" s="13"/>
      <c r="AFU744" s="13"/>
      <c r="AFV744" s="13"/>
      <c r="AFW744" s="13"/>
      <c r="AFX744" s="13"/>
      <c r="AFY744" s="13"/>
      <c r="AFZ744" s="13"/>
      <c r="AGA744" s="13"/>
      <c r="AGB744" s="13"/>
      <c r="AGC744" s="13"/>
      <c r="AGD744" s="13"/>
      <c r="AGE744" s="13"/>
      <c r="AGF744" s="13"/>
      <c r="AGG744" s="13"/>
      <c r="AGH744" s="13"/>
      <c r="AGI744" s="13"/>
      <c r="AGJ744" s="13"/>
      <c r="AGK744" s="13"/>
      <c r="AGL744" s="13"/>
      <c r="AGM744" s="13"/>
      <c r="AGN744" s="13"/>
      <c r="AGO744" s="13"/>
      <c r="AGP744" s="13"/>
      <c r="AGQ744" s="13"/>
      <c r="AGR744" s="13"/>
      <c r="AGS744" s="13"/>
      <c r="AGT744" s="13"/>
      <c r="AGU744" s="13"/>
      <c r="AGV744" s="13"/>
      <c r="AGW744" s="13"/>
      <c r="AGX744" s="13"/>
      <c r="AGY744" s="13"/>
      <c r="AGZ744" s="13"/>
      <c r="AHA744" s="13"/>
      <c r="AHB744" s="13"/>
      <c r="AHC744" s="13"/>
      <c r="AHD744" s="13"/>
      <c r="AHE744" s="13"/>
      <c r="AHF744" s="13"/>
      <c r="AHG744" s="13"/>
      <c r="AHH744" s="13"/>
      <c r="AHI744" s="13"/>
      <c r="AHJ744" s="13"/>
      <c r="AHK744" s="13"/>
      <c r="AHL744" s="13"/>
      <c r="AHM744" s="13"/>
      <c r="AHN744" s="13"/>
      <c r="AHO744" s="13"/>
      <c r="AHP744" s="13"/>
      <c r="AHQ744" s="13"/>
      <c r="AHR744" s="13"/>
      <c r="AHS744" s="13"/>
      <c r="AHT744" s="13"/>
      <c r="AHU744" s="13"/>
      <c r="AHV744" s="13"/>
      <c r="AHW744" s="13"/>
      <c r="AHX744" s="13"/>
      <c r="AHY744" s="13"/>
      <c r="AHZ744" s="13"/>
      <c r="AIA744" s="13"/>
      <c r="AIB744" s="13"/>
      <c r="AIC744" s="13"/>
      <c r="AID744" s="13"/>
      <c r="AIE744" s="13"/>
      <c r="AIF744" s="13"/>
      <c r="AIG744" s="13"/>
      <c r="AIH744" s="13"/>
      <c r="AII744" s="13"/>
      <c r="AIJ744" s="13"/>
      <c r="AIK744" s="13"/>
      <c r="AIL744" s="13"/>
      <c r="AIM744" s="13"/>
      <c r="AIN744" s="13"/>
      <c r="AIO744" s="13"/>
      <c r="AIP744" s="13"/>
      <c r="AIQ744" s="13"/>
      <c r="AIR744" s="13"/>
      <c r="AIS744" s="13"/>
      <c r="AIT744" s="13"/>
      <c r="AIU744" s="13"/>
      <c r="AIV744" s="13"/>
      <c r="AIW744" s="13"/>
      <c r="AIX744" s="13"/>
      <c r="AIY744" s="13"/>
      <c r="AIZ744" s="13"/>
      <c r="AJA744" s="13"/>
      <c r="AJB744" s="13"/>
      <c r="AJC744" s="13"/>
      <c r="AJD744" s="13"/>
      <c r="AJE744" s="13"/>
      <c r="AJF744" s="13"/>
      <c r="AJG744" s="13"/>
      <c r="AJH744" s="13"/>
      <c r="AJI744" s="13"/>
      <c r="AJJ744" s="13"/>
      <c r="AJK744" s="13"/>
      <c r="AJL744" s="13"/>
      <c r="AJM744" s="13"/>
      <c r="AJN744" s="13"/>
      <c r="AJO744" s="13"/>
      <c r="AJP744" s="13"/>
      <c r="AJQ744" s="13"/>
      <c r="AJR744" s="13"/>
      <c r="AJS744" s="13"/>
      <c r="AJT744" s="13"/>
      <c r="AJU744" s="13"/>
      <c r="AJV744" s="13"/>
      <c r="AJW744" s="13"/>
      <c r="AJX744" s="13"/>
      <c r="AJY744" s="13"/>
      <c r="AJZ744" s="13"/>
      <c r="AKA744" s="13"/>
      <c r="AKB744" s="13"/>
      <c r="AKC744" s="13"/>
      <c r="AKD744" s="13"/>
      <c r="AKE744" s="13"/>
      <c r="AKF744" s="13"/>
      <c r="AKG744" s="13"/>
      <c r="AKH744" s="13"/>
      <c r="AKI744" s="13"/>
      <c r="AKJ744" s="13"/>
      <c r="AKK744" s="13"/>
      <c r="AKL744" s="13"/>
      <c r="AKM744" s="13"/>
      <c r="AKN744" s="13"/>
      <c r="AKO744" s="13"/>
      <c r="AKP744" s="13"/>
      <c r="AKQ744" s="13"/>
      <c r="AKR744" s="13"/>
      <c r="AKS744" s="13"/>
      <c r="AKT744" s="13"/>
      <c r="AKU744" s="13"/>
      <c r="AKV744" s="13"/>
      <c r="AKW744" s="13"/>
      <c r="AKX744" s="13"/>
      <c r="AKY744" s="13"/>
      <c r="AKZ744" s="13"/>
      <c r="ALA744" s="13"/>
      <c r="ALB744" s="13"/>
      <c r="ALC744" s="13"/>
      <c r="ALD744" s="13"/>
      <c r="ALE744" s="13"/>
      <c r="ALF744" s="13"/>
      <c r="ALG744" s="13"/>
      <c r="ALH744" s="13"/>
      <c r="ALI744" s="13"/>
      <c r="ALJ744" s="13"/>
      <c r="ALK744" s="13"/>
      <c r="ALL744" s="13"/>
      <c r="ALM744" s="13"/>
      <c r="ALN744" s="13"/>
      <c r="ALO744" s="13"/>
      <c r="ALP744" s="13"/>
      <c r="ALQ744" s="13"/>
      <c r="ALR744" s="13"/>
      <c r="ALS744" s="13"/>
      <c r="ALT744" s="13"/>
      <c r="ALU744" s="13"/>
      <c r="ALV744" s="13"/>
      <c r="ALW744" s="13"/>
      <c r="ALX744" s="13"/>
      <c r="ALY744" s="13"/>
      <c r="ALZ744" s="13"/>
      <c r="AMA744" s="13"/>
      <c r="AMB744" s="13"/>
      <c r="AMC744" s="13"/>
      <c r="AMD744" s="13"/>
      <c r="AME744" s="13"/>
      <c r="AMF744" s="13"/>
      <c r="AMG744" s="13"/>
      <c r="AMH744" s="13"/>
      <c r="AMI744" s="13"/>
      <c r="AMJ744" s="13"/>
      <c r="AMK744" s="13"/>
      <c r="AML744" s="13"/>
      <c r="AMM744" s="13"/>
      <c r="AMN744" s="13"/>
      <c r="AMO744" s="13"/>
      <c r="AMP744" s="13"/>
      <c r="AMQ744" s="13"/>
      <c r="AMR744" s="13"/>
      <c r="AMS744" s="13"/>
      <c r="AMT744" s="13"/>
      <c r="AMU744" s="13"/>
      <c r="AMV744" s="13"/>
      <c r="AMW744" s="13"/>
      <c r="AMX744" s="13"/>
      <c r="AMY744" s="13"/>
      <c r="AMZ744" s="13"/>
      <c r="ANA744" s="13"/>
      <c r="ANB744" s="13"/>
      <c r="ANC744" s="13"/>
      <c r="AND744" s="13"/>
      <c r="ANE744" s="13"/>
      <c r="ANF744" s="13"/>
      <c r="ANG744" s="13"/>
      <c r="ANH744" s="13"/>
      <c r="ANI744" s="13"/>
      <c r="ANJ744" s="13"/>
      <c r="ANK744" s="13"/>
      <c r="ANL744" s="13"/>
      <c r="ANM744" s="13"/>
      <c r="ANN744" s="13"/>
      <c r="ANO744" s="13"/>
      <c r="ANP744" s="13"/>
      <c r="ANQ744" s="13"/>
      <c r="ANR744" s="13"/>
      <c r="ANS744" s="13"/>
      <c r="ANT744" s="13"/>
      <c r="ANU744" s="13"/>
      <c r="ANV744" s="13"/>
      <c r="ANW744" s="13"/>
      <c r="ANX744" s="13"/>
      <c r="ANY744" s="13"/>
      <c r="ANZ744" s="13"/>
      <c r="AOA744" s="13"/>
      <c r="AOB744" s="13"/>
      <c r="AOC744" s="13"/>
      <c r="AOD744" s="13"/>
      <c r="AOE744" s="13"/>
      <c r="AOF744" s="13"/>
      <c r="AOG744" s="13"/>
      <c r="AOH744" s="13"/>
      <c r="AOI744" s="13"/>
      <c r="AOJ744" s="13"/>
      <c r="AOK744" s="13"/>
      <c r="AOL744" s="13"/>
      <c r="AOM744" s="13"/>
      <c r="AON744" s="13"/>
      <c r="AOO744" s="13"/>
      <c r="AOP744" s="13"/>
      <c r="AOQ744" s="13"/>
      <c r="AOR744" s="13"/>
      <c r="AOS744" s="13"/>
      <c r="AOT744" s="13"/>
      <c r="AOU744" s="13"/>
      <c r="AOV744" s="13"/>
      <c r="AOW744" s="13"/>
      <c r="AOX744" s="13"/>
      <c r="AOY744" s="13"/>
      <c r="AOZ744" s="13"/>
      <c r="APA744" s="13"/>
      <c r="APB744" s="13"/>
      <c r="APC744" s="13"/>
      <c r="APD744" s="13"/>
      <c r="APE744" s="13"/>
      <c r="APF744" s="13"/>
      <c r="APG744" s="13"/>
      <c r="APH744" s="13"/>
      <c r="API744" s="13"/>
      <c r="APJ744" s="13"/>
      <c r="APK744" s="13"/>
      <c r="APL744" s="13"/>
      <c r="APM744" s="13"/>
      <c r="APN744" s="13"/>
      <c r="APO744" s="13"/>
      <c r="APP744" s="13"/>
      <c r="APQ744" s="13"/>
      <c r="APR744" s="13"/>
      <c r="APS744" s="13"/>
      <c r="APT744" s="13"/>
      <c r="APU744" s="13"/>
      <c r="APV744" s="13"/>
      <c r="APW744" s="13"/>
      <c r="APX744" s="13"/>
      <c r="APY744" s="13"/>
      <c r="APZ744" s="13"/>
      <c r="AQA744" s="13"/>
      <c r="AQB744" s="13"/>
      <c r="AQC744" s="13"/>
      <c r="AQD744" s="13"/>
      <c r="AQE744" s="13"/>
      <c r="AQF744" s="13"/>
      <c r="AQG744" s="13"/>
      <c r="AQH744" s="13"/>
      <c r="AQI744" s="13"/>
      <c r="AQJ744" s="13"/>
      <c r="AQK744" s="13"/>
      <c r="AQL744" s="13"/>
      <c r="AQM744" s="13"/>
      <c r="AQN744" s="13"/>
      <c r="AQO744" s="13"/>
      <c r="AQP744" s="13"/>
      <c r="AQQ744" s="13"/>
      <c r="AQR744" s="13"/>
      <c r="AQS744" s="13"/>
      <c r="AQT744" s="13"/>
      <c r="AQU744" s="13"/>
      <c r="AQV744" s="13"/>
      <c r="AQW744" s="13"/>
      <c r="AQX744" s="13"/>
      <c r="AQY744" s="13"/>
      <c r="AQZ744" s="13"/>
      <c r="ARA744" s="13"/>
      <c r="ARB744" s="13"/>
      <c r="ARC744" s="13"/>
      <c r="ARD744" s="13"/>
      <c r="ARE744" s="13"/>
      <c r="ARF744" s="13"/>
      <c r="ARG744" s="13"/>
      <c r="ARH744" s="13"/>
      <c r="ARI744" s="13"/>
      <c r="ARJ744" s="13"/>
      <c r="ARK744" s="13"/>
      <c r="ARL744" s="13"/>
      <c r="ARM744" s="13"/>
      <c r="ARN744" s="13"/>
      <c r="ARO744" s="13"/>
      <c r="ARP744" s="13"/>
      <c r="ARQ744" s="13"/>
      <c r="ARR744" s="13"/>
      <c r="ARS744" s="13"/>
      <c r="ART744" s="13"/>
      <c r="ARU744" s="13"/>
      <c r="ARV744" s="13"/>
      <c r="ARW744" s="13"/>
      <c r="ARX744" s="13"/>
      <c r="ARY744" s="13"/>
      <c r="ARZ744" s="13"/>
      <c r="ASA744" s="13"/>
      <c r="ASB744" s="13"/>
      <c r="ASC744" s="13"/>
      <c r="ASD744" s="13"/>
      <c r="ASE744" s="13"/>
      <c r="ASF744" s="13"/>
      <c r="ASG744" s="13"/>
      <c r="ASH744" s="13"/>
      <c r="ASI744" s="13"/>
      <c r="ASJ744" s="13"/>
      <c r="ASK744" s="13"/>
      <c r="ASL744" s="13"/>
      <c r="ASM744" s="13"/>
      <c r="ASN744" s="13"/>
      <c r="ASO744" s="13"/>
      <c r="ASP744" s="13"/>
      <c r="ASQ744" s="13"/>
      <c r="ASR744" s="13"/>
      <c r="ASS744" s="13"/>
      <c r="AST744" s="13"/>
      <c r="ASU744" s="13"/>
      <c r="ASV744" s="13"/>
      <c r="ASW744" s="13"/>
      <c r="ASX744" s="13"/>
      <c r="ASY744" s="13"/>
      <c r="ASZ744" s="13"/>
      <c r="ATA744" s="13"/>
      <c r="ATB744" s="13"/>
      <c r="ATC744" s="13"/>
      <c r="ATD744" s="13"/>
      <c r="ATE744" s="13"/>
      <c r="ATF744" s="13"/>
      <c r="ATG744" s="13"/>
      <c r="ATH744" s="13"/>
      <c r="ATI744" s="13"/>
      <c r="ATJ744" s="13"/>
      <c r="ATK744" s="13"/>
      <c r="ATL744" s="13"/>
      <c r="ATM744" s="13"/>
      <c r="ATN744" s="13"/>
      <c r="ATO744" s="13"/>
      <c r="ATP744" s="13"/>
      <c r="ATQ744" s="13"/>
      <c r="ATR744" s="13"/>
      <c r="ATS744" s="13"/>
      <c r="ATT744" s="13"/>
      <c r="ATU744" s="13"/>
      <c r="ATV744" s="13"/>
      <c r="ATW744" s="13"/>
      <c r="ATX744" s="13"/>
      <c r="ATY744" s="13"/>
      <c r="ATZ744" s="13"/>
      <c r="AUA744" s="13"/>
      <c r="AUB744" s="13"/>
      <c r="AUC744" s="13"/>
      <c r="AUD744" s="13"/>
      <c r="AUE744" s="13"/>
      <c r="AUF744" s="13"/>
      <c r="AUG744" s="13"/>
      <c r="AUH744" s="13"/>
      <c r="AUI744" s="13"/>
      <c r="AUJ744" s="13"/>
      <c r="AUK744" s="13"/>
      <c r="AUL744" s="13"/>
      <c r="AUM744" s="13"/>
      <c r="AUN744" s="13"/>
      <c r="AUO744" s="13"/>
      <c r="AUP744" s="13"/>
      <c r="AUQ744" s="13"/>
      <c r="AUR744" s="13"/>
      <c r="AUS744" s="13"/>
      <c r="AUT744" s="13"/>
      <c r="AUU744" s="13"/>
      <c r="AUV744" s="13"/>
      <c r="AUW744" s="13"/>
      <c r="AUX744" s="13"/>
      <c r="AUY744" s="13"/>
      <c r="AUZ744" s="13"/>
      <c r="AVA744" s="13"/>
      <c r="AVB744" s="13"/>
      <c r="AVC744" s="13"/>
      <c r="AVD744" s="13"/>
      <c r="AVE744" s="13"/>
      <c r="AVF744" s="13"/>
      <c r="AVG744" s="13"/>
      <c r="AVH744" s="13"/>
      <c r="AVI744" s="13"/>
      <c r="AVJ744" s="13"/>
      <c r="AVK744" s="13"/>
      <c r="AVL744" s="13"/>
      <c r="AVM744" s="13"/>
      <c r="AVN744" s="13"/>
      <c r="AVO744" s="13"/>
      <c r="AVP744" s="13"/>
      <c r="AVQ744" s="13"/>
      <c r="AVR744" s="13"/>
      <c r="AVS744" s="13"/>
      <c r="AVT744" s="13"/>
      <c r="AVU744" s="13"/>
      <c r="AVV744" s="13"/>
      <c r="AVW744" s="13"/>
      <c r="AVX744" s="13"/>
      <c r="AVY744" s="13"/>
      <c r="AVZ744" s="13"/>
      <c r="AWA744" s="13"/>
      <c r="AWB744" s="13"/>
      <c r="AWC744" s="13"/>
      <c r="AWD744" s="13"/>
      <c r="AWE744" s="13"/>
      <c r="AWF744" s="13"/>
      <c r="AWG744" s="13"/>
      <c r="AWH744" s="13"/>
      <c r="AWI744" s="13"/>
      <c r="AWJ744" s="13"/>
      <c r="AWK744" s="13"/>
      <c r="AWL744" s="13"/>
      <c r="AWM744" s="13"/>
      <c r="AWN744" s="13"/>
      <c r="AWO744" s="13"/>
      <c r="AWP744" s="13"/>
      <c r="AWQ744" s="13"/>
      <c r="AWR744" s="13"/>
      <c r="AWS744" s="13"/>
      <c r="AWT744" s="13"/>
      <c r="AWU744" s="13"/>
      <c r="AWV744" s="13"/>
      <c r="AWW744" s="13"/>
      <c r="AWX744" s="13"/>
      <c r="AWY744" s="13"/>
      <c r="AWZ744" s="13"/>
      <c r="AXA744" s="13"/>
      <c r="AXB744" s="13"/>
      <c r="AXC744" s="13"/>
      <c r="AXD744" s="13"/>
      <c r="AXE744" s="13"/>
      <c r="AXF744" s="13"/>
      <c r="AXG744" s="13"/>
      <c r="AXH744" s="13"/>
      <c r="AXI744" s="13"/>
      <c r="AXJ744" s="13"/>
      <c r="AXK744" s="13"/>
      <c r="AXL744" s="13"/>
      <c r="AXM744" s="13"/>
      <c r="AXN744" s="13"/>
      <c r="AXO744" s="13"/>
      <c r="AXP744" s="13"/>
      <c r="AXQ744" s="13"/>
      <c r="AXR744" s="13"/>
      <c r="AXS744" s="13"/>
      <c r="AXT744" s="13"/>
      <c r="AXU744" s="13"/>
      <c r="AXV744" s="13"/>
      <c r="AXW744" s="13"/>
      <c r="AXX744" s="13"/>
      <c r="AXY744" s="13"/>
      <c r="AXZ744" s="13"/>
      <c r="AYA744" s="13"/>
      <c r="AYB744" s="13"/>
      <c r="AYC744" s="13"/>
      <c r="AYD744" s="13"/>
      <c r="AYE744" s="13"/>
      <c r="AYF744" s="13"/>
      <c r="AYG744" s="13"/>
      <c r="AYH744" s="13"/>
      <c r="AYI744" s="13"/>
      <c r="AYJ744" s="13"/>
      <c r="AYK744" s="13"/>
      <c r="AYL744" s="13"/>
      <c r="AYM744" s="13"/>
      <c r="AYN744" s="13"/>
      <c r="AYO744" s="13"/>
      <c r="AYP744" s="13"/>
      <c r="AYQ744" s="13"/>
      <c r="AYR744" s="13"/>
      <c r="AYS744" s="13"/>
      <c r="AYT744" s="13"/>
      <c r="AYU744" s="13"/>
      <c r="AYV744" s="13"/>
      <c r="AYW744" s="13"/>
      <c r="AYX744" s="13"/>
      <c r="AYY744" s="13"/>
      <c r="AYZ744" s="13"/>
      <c r="AZA744" s="13"/>
      <c r="AZB744" s="13"/>
      <c r="AZC744" s="13"/>
      <c r="AZD744" s="13"/>
      <c r="AZE744" s="13"/>
      <c r="AZF744" s="13"/>
      <c r="AZG744" s="13"/>
      <c r="AZH744" s="13"/>
      <c r="AZI744" s="13"/>
      <c r="AZJ744" s="13"/>
      <c r="AZK744" s="13"/>
      <c r="AZL744" s="13"/>
      <c r="AZM744" s="13"/>
      <c r="AZN744" s="13"/>
      <c r="AZO744" s="13"/>
      <c r="AZP744" s="13"/>
      <c r="AZQ744" s="13"/>
      <c r="AZR744" s="13"/>
      <c r="AZS744" s="13"/>
      <c r="AZT744" s="13"/>
      <c r="AZU744" s="13"/>
      <c r="AZV744" s="13"/>
      <c r="AZW744" s="13"/>
      <c r="AZX744" s="13"/>
      <c r="AZY744" s="13"/>
      <c r="AZZ744" s="13"/>
      <c r="BAA744" s="13"/>
      <c r="BAB744" s="13"/>
      <c r="BAC744" s="13"/>
      <c r="BAD744" s="13"/>
      <c r="BAE744" s="13"/>
      <c r="BAF744" s="13"/>
      <c r="BAG744" s="13"/>
      <c r="BAH744" s="13"/>
      <c r="BAI744" s="13"/>
      <c r="BAJ744" s="13"/>
      <c r="BAK744" s="13"/>
      <c r="BAL744" s="13"/>
      <c r="BAM744" s="13"/>
      <c r="BAN744" s="13"/>
      <c r="BAO744" s="13"/>
      <c r="BAP744" s="13"/>
      <c r="BAQ744" s="13"/>
      <c r="BAR744" s="13"/>
      <c r="BAS744" s="13"/>
      <c r="BAT744" s="13"/>
      <c r="BAU744" s="13"/>
      <c r="BAV744" s="13"/>
      <c r="BAW744" s="13"/>
      <c r="BAX744" s="13"/>
      <c r="BAY744" s="13"/>
      <c r="BAZ744" s="13"/>
      <c r="BBA744" s="13"/>
      <c r="BBB744" s="13"/>
      <c r="BBC744" s="13"/>
      <c r="BBD744" s="13"/>
      <c r="BBE744" s="13"/>
      <c r="BBF744" s="13"/>
      <c r="BBG744" s="13"/>
      <c r="BBH744" s="13"/>
      <c r="BBI744" s="13"/>
      <c r="BBJ744" s="13"/>
      <c r="BBK744" s="13"/>
      <c r="BBL744" s="13"/>
      <c r="BBM744" s="13"/>
      <c r="BBN744" s="13"/>
      <c r="BBO744" s="13"/>
      <c r="BBP744" s="13"/>
      <c r="BBQ744" s="13"/>
      <c r="BBR744" s="13"/>
      <c r="BBS744" s="13"/>
      <c r="BBT744" s="13"/>
      <c r="BBU744" s="13"/>
      <c r="BBV744" s="13"/>
      <c r="BBW744" s="13"/>
      <c r="BBX744" s="13"/>
      <c r="BBY744" s="13"/>
      <c r="BBZ744" s="13"/>
      <c r="BCA744" s="13"/>
      <c r="BCB744" s="13"/>
      <c r="BCC744" s="13"/>
      <c r="BCD744" s="13"/>
      <c r="BCE744" s="13"/>
      <c r="BCF744" s="13"/>
      <c r="BCG744" s="13"/>
      <c r="BCH744" s="13"/>
      <c r="BCI744" s="13"/>
      <c r="BCJ744" s="13"/>
      <c r="BCK744" s="13"/>
      <c r="BCL744" s="13"/>
      <c r="BCM744" s="13"/>
      <c r="BCN744" s="13"/>
      <c r="BCO744" s="13"/>
      <c r="BCP744" s="13"/>
      <c r="BCQ744" s="13"/>
      <c r="BCR744" s="13"/>
      <c r="BCS744" s="13"/>
      <c r="BCT744" s="13"/>
      <c r="BCU744" s="13"/>
      <c r="BCV744" s="13"/>
      <c r="BCW744" s="13"/>
      <c r="BCX744" s="13"/>
      <c r="BCY744" s="13"/>
      <c r="BCZ744" s="13"/>
      <c r="BDA744" s="13"/>
      <c r="BDB744" s="13"/>
      <c r="BDC744" s="13"/>
      <c r="BDD744" s="13"/>
      <c r="BDE744" s="13"/>
      <c r="BDF744" s="13"/>
      <c r="BDG744" s="13"/>
      <c r="BDH744" s="13"/>
      <c r="BDI744" s="13"/>
      <c r="BDJ744" s="13"/>
      <c r="BDK744" s="13"/>
      <c r="BDL744" s="13"/>
      <c r="BDM744" s="13"/>
      <c r="BDN744" s="13"/>
      <c r="BDO744" s="13"/>
      <c r="BDP744" s="13"/>
      <c r="BDQ744" s="13"/>
      <c r="BDR744" s="13"/>
      <c r="BDS744" s="13"/>
      <c r="BDT744" s="13"/>
      <c r="BDU744" s="13"/>
      <c r="BDV744" s="13"/>
      <c r="BDW744" s="13"/>
      <c r="BDX744" s="13"/>
      <c r="BDY744" s="13"/>
      <c r="BDZ744" s="13"/>
      <c r="BEA744" s="13"/>
      <c r="BEB744" s="13"/>
      <c r="BEC744" s="13"/>
      <c r="BED744" s="13"/>
      <c r="BEE744" s="13"/>
      <c r="BEF744" s="13"/>
      <c r="BEG744" s="13"/>
      <c r="BEH744" s="13"/>
      <c r="BEI744" s="13"/>
      <c r="BEJ744" s="13"/>
      <c r="BEK744" s="13"/>
      <c r="BEL744" s="13"/>
      <c r="BEM744" s="13"/>
      <c r="BEN744" s="13"/>
      <c r="BEO744" s="13"/>
      <c r="BEP744" s="13"/>
      <c r="BEQ744" s="13"/>
      <c r="BER744" s="13"/>
      <c r="BES744" s="13"/>
      <c r="BET744" s="13"/>
      <c r="BEU744" s="13"/>
      <c r="BEV744" s="13"/>
      <c r="BEW744" s="13"/>
      <c r="BEX744" s="13"/>
      <c r="BEY744" s="13"/>
      <c r="BEZ744" s="13"/>
      <c r="BFA744" s="13"/>
      <c r="BFB744" s="13"/>
      <c r="BFC744" s="13"/>
      <c r="BFD744" s="13"/>
      <c r="BFE744" s="13"/>
      <c r="BFF744" s="13"/>
      <c r="BFG744" s="13"/>
      <c r="BFH744" s="13"/>
      <c r="BFI744" s="13"/>
      <c r="BFJ744" s="13"/>
      <c r="BFK744" s="13"/>
      <c r="BFL744" s="13"/>
      <c r="BFM744" s="13"/>
      <c r="BFN744" s="13"/>
      <c r="BFO744" s="13"/>
      <c r="BFP744" s="13"/>
      <c r="BFQ744" s="13"/>
      <c r="BFR744" s="13"/>
      <c r="BFS744" s="13"/>
      <c r="BFT744" s="13"/>
      <c r="BFU744" s="13"/>
      <c r="BFV744" s="13"/>
      <c r="BFW744" s="13"/>
      <c r="BFX744" s="13"/>
      <c r="BFY744" s="13"/>
      <c r="BFZ744" s="13"/>
      <c r="BGA744" s="13"/>
      <c r="BGB744" s="13"/>
      <c r="BGC744" s="13"/>
      <c r="BGD744" s="13"/>
      <c r="BGE744" s="13"/>
      <c r="BGF744" s="13"/>
      <c r="BGG744" s="13"/>
      <c r="BGH744" s="13"/>
      <c r="BGI744" s="13"/>
      <c r="BGJ744" s="13"/>
      <c r="BGK744" s="13"/>
      <c r="BGL744" s="13"/>
      <c r="BGM744" s="13"/>
      <c r="BGN744" s="13"/>
      <c r="BGO744" s="13"/>
      <c r="BGP744" s="13"/>
      <c r="BGQ744" s="13"/>
      <c r="BGR744" s="13"/>
      <c r="BGS744" s="13"/>
      <c r="BGT744" s="13"/>
      <c r="BGU744" s="13"/>
      <c r="BGV744" s="13"/>
      <c r="BGW744" s="13"/>
      <c r="BGX744" s="13"/>
      <c r="BGY744" s="13"/>
      <c r="BGZ744" s="13"/>
      <c r="BHA744" s="13"/>
      <c r="BHB744" s="13"/>
      <c r="BHC744" s="13"/>
      <c r="BHD744" s="13"/>
      <c r="BHE744" s="13"/>
      <c r="BHF744" s="13"/>
      <c r="BHG744" s="13"/>
      <c r="BHH744" s="13"/>
      <c r="BHI744" s="13"/>
      <c r="BHJ744" s="13"/>
      <c r="BHK744" s="13"/>
      <c r="BHL744" s="13"/>
      <c r="BHM744" s="13"/>
      <c r="BHN744" s="13"/>
      <c r="BHO744" s="13"/>
      <c r="BHP744" s="13"/>
      <c r="BHQ744" s="13"/>
      <c r="BHR744" s="13"/>
      <c r="BHS744" s="13"/>
      <c r="BHT744" s="13"/>
      <c r="BHU744" s="13"/>
      <c r="BHV744" s="13"/>
      <c r="BHW744" s="13"/>
      <c r="BHX744" s="13"/>
      <c r="BHY744" s="13"/>
      <c r="BHZ744" s="13"/>
      <c r="BIA744" s="13"/>
      <c r="BIB744" s="13"/>
      <c r="BIC744" s="13"/>
      <c r="BID744" s="13"/>
      <c r="BIE744" s="13"/>
      <c r="BIF744" s="13"/>
      <c r="BIG744" s="13"/>
      <c r="BIH744" s="13"/>
      <c r="BII744" s="13"/>
      <c r="BIJ744" s="13"/>
      <c r="BIK744" s="13"/>
      <c r="BIL744" s="13"/>
      <c r="BIM744" s="13"/>
      <c r="BIN744" s="13"/>
      <c r="BIO744" s="13"/>
      <c r="BIP744" s="13"/>
      <c r="BIQ744" s="13"/>
      <c r="BIR744" s="13"/>
      <c r="BIS744" s="13"/>
      <c r="BIT744" s="13"/>
      <c r="BIU744" s="13"/>
      <c r="BIV744" s="13"/>
      <c r="BIW744" s="13"/>
      <c r="BIX744" s="13"/>
      <c r="BIY744" s="13"/>
      <c r="BIZ744" s="13"/>
      <c r="BJA744" s="13"/>
      <c r="BJB744" s="13"/>
      <c r="BJC744" s="13"/>
      <c r="BJD744" s="13"/>
      <c r="BJE744" s="13"/>
      <c r="BJF744" s="13"/>
      <c r="BJG744" s="13"/>
      <c r="BJH744" s="13"/>
      <c r="BJI744" s="13"/>
      <c r="BJJ744" s="13"/>
      <c r="BJK744" s="13"/>
      <c r="BJL744" s="13"/>
      <c r="BJM744" s="13"/>
      <c r="BJN744" s="13"/>
      <c r="BJO744" s="13"/>
      <c r="BJP744" s="13"/>
      <c r="BJQ744" s="13"/>
      <c r="BJR744" s="13"/>
      <c r="BJS744" s="13"/>
      <c r="BJT744" s="13"/>
      <c r="BJU744" s="13"/>
      <c r="BJV744" s="13"/>
      <c r="BJW744" s="13"/>
      <c r="BJX744" s="13"/>
      <c r="BJY744" s="13"/>
      <c r="BJZ744" s="13"/>
      <c r="BKA744" s="13"/>
      <c r="BKB744" s="13"/>
      <c r="BKC744" s="13"/>
      <c r="BKD744" s="13"/>
      <c r="BKE744" s="13"/>
      <c r="BKF744" s="13"/>
      <c r="BKG744" s="13"/>
      <c r="BKH744" s="13"/>
      <c r="BKI744" s="13"/>
      <c r="BKJ744" s="13"/>
      <c r="BKK744" s="13"/>
      <c r="BKL744" s="13"/>
      <c r="BKM744" s="13"/>
      <c r="BKN744" s="13"/>
      <c r="BKO744" s="13"/>
      <c r="BKP744" s="13"/>
      <c r="BKQ744" s="13"/>
      <c r="BKR744" s="13"/>
      <c r="BKS744" s="13"/>
      <c r="BKT744" s="13"/>
      <c r="BKU744" s="13"/>
      <c r="BKV744" s="13"/>
      <c r="BKW744" s="13"/>
      <c r="BKX744" s="13"/>
      <c r="BKY744" s="13"/>
      <c r="BKZ744" s="13"/>
      <c r="BLA744" s="13"/>
      <c r="BLB744" s="13"/>
      <c r="BLC744" s="13"/>
      <c r="BLD744" s="13"/>
      <c r="BLE744" s="13"/>
      <c r="BLF744" s="13"/>
      <c r="BLG744" s="13"/>
      <c r="BLH744" s="13"/>
      <c r="BLI744" s="13"/>
      <c r="BLJ744" s="13"/>
      <c r="BLK744" s="13"/>
      <c r="BLL744" s="13"/>
      <c r="BLM744" s="13"/>
      <c r="BLN744" s="13"/>
      <c r="BLO744" s="13"/>
      <c r="BLP744" s="13"/>
      <c r="BLQ744" s="13"/>
      <c r="BLR744" s="13"/>
      <c r="BLS744" s="13"/>
      <c r="BLT744" s="13"/>
      <c r="BLU744" s="13"/>
      <c r="BLV744" s="13"/>
      <c r="BLW744" s="13"/>
      <c r="BLX744" s="13"/>
      <c r="BLY744" s="13"/>
      <c r="BLZ744" s="13"/>
      <c r="BMA744" s="13"/>
      <c r="BMB744" s="13"/>
      <c r="BMC744" s="13"/>
      <c r="BMD744" s="13"/>
      <c r="BME744" s="13"/>
      <c r="BMF744" s="13"/>
      <c r="BMG744" s="13"/>
      <c r="BMH744" s="13"/>
      <c r="BMI744" s="13"/>
      <c r="BMJ744" s="13"/>
      <c r="BMK744" s="13"/>
      <c r="BML744" s="13"/>
      <c r="BMM744" s="13"/>
      <c r="BMN744" s="13"/>
      <c r="BMO744" s="13"/>
      <c r="BMP744" s="13"/>
      <c r="BMQ744" s="13"/>
      <c r="BMR744" s="13"/>
      <c r="BMS744" s="13"/>
      <c r="BMT744" s="13"/>
      <c r="BMU744" s="13"/>
      <c r="BMV744" s="13"/>
      <c r="BMW744" s="13"/>
      <c r="BMX744" s="13"/>
      <c r="BMY744" s="13"/>
      <c r="BMZ744" s="13"/>
      <c r="BNA744" s="13"/>
      <c r="BNB744" s="13"/>
      <c r="BNC744" s="13"/>
      <c r="BND744" s="13"/>
      <c r="BNE744" s="13"/>
      <c r="BNF744" s="13"/>
      <c r="BNG744" s="13"/>
      <c r="BNH744" s="13"/>
      <c r="BNI744" s="13"/>
      <c r="BNJ744" s="13"/>
      <c r="BNK744" s="13"/>
      <c r="BNL744" s="13"/>
      <c r="BNM744" s="13"/>
      <c r="BNN744" s="13"/>
      <c r="BNO744" s="13"/>
      <c r="BNP744" s="13"/>
      <c r="BNQ744" s="13"/>
      <c r="BNR744" s="13"/>
      <c r="BNS744" s="13"/>
      <c r="BNT744" s="13"/>
      <c r="BNU744" s="13"/>
      <c r="BNV744" s="13"/>
      <c r="BNW744" s="13"/>
      <c r="BNX744" s="13"/>
      <c r="BNY744" s="13"/>
      <c r="BNZ744" s="13"/>
      <c r="BOA744" s="13"/>
      <c r="BOB744" s="13"/>
      <c r="BOC744" s="13"/>
      <c r="BOD744" s="13"/>
      <c r="BOE744" s="13"/>
      <c r="BOF744" s="13"/>
      <c r="BOG744" s="13"/>
      <c r="BOH744" s="13"/>
      <c r="BOI744" s="13"/>
      <c r="BOJ744" s="13"/>
      <c r="BOK744" s="13"/>
      <c r="BOL744" s="13"/>
      <c r="BOM744" s="13"/>
      <c r="BON744" s="13"/>
      <c r="BOO744" s="13"/>
      <c r="BOP744" s="13"/>
      <c r="BOQ744" s="13"/>
      <c r="BOR744" s="13"/>
      <c r="BOS744" s="13"/>
      <c r="BOT744" s="13"/>
      <c r="BOU744" s="13"/>
      <c r="BOV744" s="13"/>
      <c r="BOW744" s="13"/>
      <c r="BOX744" s="13"/>
      <c r="BOY744" s="13"/>
      <c r="BOZ744" s="13"/>
      <c r="BPA744" s="13"/>
      <c r="BPB744" s="13"/>
      <c r="BPC744" s="13"/>
      <c r="BPD744" s="13"/>
      <c r="BPE744" s="13"/>
      <c r="BPF744" s="13"/>
      <c r="BPG744" s="13"/>
      <c r="BPH744" s="13"/>
      <c r="BPI744" s="13"/>
      <c r="BPJ744" s="13"/>
      <c r="BPK744" s="13"/>
      <c r="BPL744" s="13"/>
      <c r="BPM744" s="13"/>
      <c r="BPN744" s="13"/>
      <c r="BPO744" s="13"/>
      <c r="BPP744" s="13"/>
      <c r="BPQ744" s="13"/>
      <c r="BPR744" s="13"/>
      <c r="BPS744" s="13"/>
      <c r="BPT744" s="13"/>
      <c r="BPU744" s="13"/>
      <c r="BPV744" s="13"/>
      <c r="BPW744" s="13"/>
      <c r="BPX744" s="13"/>
      <c r="BPY744" s="13"/>
      <c r="BPZ744" s="13"/>
      <c r="BQA744" s="13"/>
      <c r="BQB744" s="13"/>
      <c r="BQC744" s="13"/>
      <c r="BQD744" s="13"/>
      <c r="BQE744" s="13"/>
      <c r="BQF744" s="13"/>
      <c r="BQG744" s="13"/>
      <c r="BQH744" s="13"/>
      <c r="BQI744" s="13"/>
      <c r="BQJ744" s="13"/>
      <c r="BQK744" s="13"/>
      <c r="BQL744" s="13"/>
      <c r="BQM744" s="13"/>
      <c r="BQN744" s="13"/>
      <c r="BQO744" s="13"/>
      <c r="BQP744" s="13"/>
      <c r="BQQ744" s="13"/>
      <c r="BQR744" s="13"/>
      <c r="BQS744" s="13"/>
      <c r="BQT744" s="13"/>
      <c r="BQU744" s="13"/>
      <c r="BQV744" s="13"/>
      <c r="BQW744" s="13"/>
      <c r="BQX744" s="13"/>
      <c r="BQY744" s="13"/>
      <c r="BQZ744" s="13"/>
      <c r="BRA744" s="13"/>
      <c r="BRB744" s="13"/>
      <c r="BRC744" s="13"/>
      <c r="BRD744" s="13"/>
      <c r="BRE744" s="13"/>
      <c r="BRF744" s="13"/>
      <c r="BRG744" s="13"/>
      <c r="BRH744" s="13"/>
      <c r="BRI744" s="13"/>
      <c r="BRJ744" s="13"/>
      <c r="BRK744" s="13"/>
      <c r="BRL744" s="13"/>
      <c r="BRM744" s="13"/>
      <c r="BRN744" s="13"/>
      <c r="BRO744" s="13"/>
      <c r="BRP744" s="13"/>
      <c r="BRQ744" s="13"/>
      <c r="BRR744" s="13"/>
      <c r="BRS744" s="13"/>
      <c r="BRT744" s="13"/>
      <c r="BRU744" s="13"/>
      <c r="BRV744" s="13"/>
      <c r="BRW744" s="13"/>
      <c r="BRX744" s="13"/>
      <c r="BRY744" s="13"/>
      <c r="BRZ744" s="13"/>
      <c r="BSA744" s="13"/>
      <c r="BSB744" s="13"/>
      <c r="BSC744" s="13"/>
      <c r="BSD744" s="13"/>
      <c r="BSE744" s="13"/>
      <c r="BSF744" s="13"/>
      <c r="BSG744" s="13"/>
      <c r="BSH744" s="13"/>
      <c r="BSI744" s="13"/>
      <c r="BSJ744" s="13"/>
      <c r="BSK744" s="13"/>
      <c r="BSL744" s="13"/>
      <c r="BSM744" s="13"/>
      <c r="BSN744" s="13"/>
      <c r="BSO744" s="13"/>
      <c r="BSP744" s="13"/>
      <c r="BSQ744" s="13"/>
      <c r="BSR744" s="13"/>
      <c r="BSS744" s="13"/>
      <c r="BST744" s="13"/>
      <c r="BSU744" s="13"/>
      <c r="BSV744" s="13"/>
      <c r="BSW744" s="13"/>
      <c r="BSX744" s="13"/>
      <c r="BSY744" s="13"/>
      <c r="BSZ744" s="13"/>
      <c r="BTA744" s="13"/>
    </row>
    <row r="745" spans="1:1873" s="199" customFormat="1" x14ac:dyDescent="0.2">
      <c r="A745" s="283" t="s">
        <v>1389</v>
      </c>
      <c r="B745" s="249" t="s">
        <v>810</v>
      </c>
      <c r="C745" s="249" t="s">
        <v>1752</v>
      </c>
      <c r="D745" s="283" t="s">
        <v>619</v>
      </c>
      <c r="E745" s="283" t="s">
        <v>1456</v>
      </c>
      <c r="F745" s="283">
        <v>1</v>
      </c>
      <c r="G745" s="283">
        <v>8</v>
      </c>
      <c r="H745" s="251">
        <v>9</v>
      </c>
      <c r="I745" s="249" t="s">
        <v>807</v>
      </c>
      <c r="J745" s="249">
        <v>1995</v>
      </c>
      <c r="K745" s="249" t="s">
        <v>1211</v>
      </c>
      <c r="L745" s="249">
        <v>2002</v>
      </c>
      <c r="M745" s="253">
        <v>-9999</v>
      </c>
      <c r="N745" s="249">
        <v>-9999</v>
      </c>
      <c r="O745" s="18"/>
      <c r="P745" s="284">
        <f>+T745*G745</f>
        <v>145.44</v>
      </c>
      <c r="Q745" s="249">
        <v>-9999</v>
      </c>
      <c r="R745" s="253"/>
      <c r="S745" s="249"/>
      <c r="T745" s="426">
        <f>(17.47+21.09+16.73+17.8+17.81)/5</f>
        <v>18.18</v>
      </c>
      <c r="U745" s="249">
        <v>-9999</v>
      </c>
      <c r="V745" s="249"/>
      <c r="W745" s="253">
        <v>-9999</v>
      </c>
      <c r="X745" s="249">
        <v>-9999</v>
      </c>
      <c r="Y745" s="249"/>
      <c r="Z745" s="249" t="s">
        <v>808</v>
      </c>
      <c r="AA745" s="384">
        <v>1075</v>
      </c>
      <c r="AB745" s="253">
        <v>1</v>
      </c>
      <c r="AC745" s="249">
        <v>-9999</v>
      </c>
      <c r="AD745" s="249">
        <v>18.600000000000001</v>
      </c>
      <c r="AE745" s="249" t="s">
        <v>1738</v>
      </c>
      <c r="AF745" s="249">
        <v>10</v>
      </c>
      <c r="AG745" s="249" t="s">
        <v>1741</v>
      </c>
      <c r="AH745" s="249" t="s">
        <v>1034</v>
      </c>
      <c r="AI745" s="249" t="s">
        <v>1739</v>
      </c>
      <c r="AJ745" s="249">
        <v>-9999</v>
      </c>
      <c r="AK745" s="249" t="s">
        <v>626</v>
      </c>
      <c r="AL745" s="249" t="s">
        <v>828</v>
      </c>
      <c r="AM745" s="249">
        <v>-9999</v>
      </c>
      <c r="AN745" s="249" t="s">
        <v>631</v>
      </c>
      <c r="AO745" s="249">
        <v>-9999</v>
      </c>
      <c r="AP745" s="249">
        <v>-9999</v>
      </c>
      <c r="AQ745" s="249" t="s">
        <v>631</v>
      </c>
      <c r="AR745" s="249">
        <v>0</v>
      </c>
      <c r="AS745" s="249">
        <v>-9999</v>
      </c>
      <c r="AT745" s="249">
        <v>-9999</v>
      </c>
      <c r="AU745" s="249">
        <v>0</v>
      </c>
      <c r="AV745" s="249">
        <v>-9999</v>
      </c>
      <c r="AW745" s="249">
        <v>-9999</v>
      </c>
      <c r="AX745" s="249">
        <v>0</v>
      </c>
      <c r="AY745" s="249">
        <v>-9999</v>
      </c>
      <c r="AZ745" s="249">
        <v>-9999</v>
      </c>
      <c r="BA745" s="249">
        <v>-9988</v>
      </c>
      <c r="BB745" s="249" t="s">
        <v>626</v>
      </c>
      <c r="BC745" s="249">
        <v>-9999</v>
      </c>
      <c r="BD745" s="249">
        <v>-9999</v>
      </c>
      <c r="BE745" s="249">
        <v>-9999</v>
      </c>
      <c r="BF745" s="249">
        <v>-9999</v>
      </c>
      <c r="BG745" s="249">
        <v>-9999</v>
      </c>
      <c r="BH745" s="249">
        <v>-9999</v>
      </c>
      <c r="BI745" s="249" t="s">
        <v>1035</v>
      </c>
      <c r="BJ745" s="249">
        <v>-9999</v>
      </c>
      <c r="BK745" s="249">
        <v>-9999</v>
      </c>
      <c r="BL745" s="249">
        <v>-9999</v>
      </c>
      <c r="BM745" s="249">
        <v>-9999</v>
      </c>
      <c r="BN745" s="249">
        <v>-9999</v>
      </c>
      <c r="BO745" s="249">
        <v>-9999</v>
      </c>
      <c r="BP745" s="249">
        <v>-9999</v>
      </c>
      <c r="BQ745" s="249">
        <v>-9999</v>
      </c>
      <c r="BR745" s="249">
        <v>-9999</v>
      </c>
      <c r="BS745" s="251">
        <v>-9999</v>
      </c>
      <c r="BT745" s="249">
        <v>-9999</v>
      </c>
      <c r="BU745" s="249">
        <v>-9999</v>
      </c>
      <c r="BV745" s="249">
        <v>-9999</v>
      </c>
      <c r="BW745" s="249"/>
      <c r="BX745" s="249">
        <v>-9999</v>
      </c>
      <c r="BY745" s="249">
        <v>-9999</v>
      </c>
      <c r="BZ745" s="249">
        <v>-9999</v>
      </c>
      <c r="CA745" s="335" t="s">
        <v>797</v>
      </c>
      <c r="CB745" s="254"/>
      <c r="CC745" s="191">
        <v>1</v>
      </c>
      <c r="CD745" s="191">
        <v>8</v>
      </c>
      <c r="CE745" s="393">
        <v>18.18</v>
      </c>
      <c r="CF745" s="99">
        <v>-9999</v>
      </c>
      <c r="CG745" s="195">
        <v>9</v>
      </c>
      <c r="CH745" s="436" t="s">
        <v>1757</v>
      </c>
      <c r="CI745" s="13"/>
      <c r="CJ745" s="13"/>
      <c r="CK745" s="13"/>
      <c r="CL745" s="13"/>
      <c r="CM745" s="13"/>
      <c r="CN745" s="13"/>
      <c r="CO745" s="13"/>
      <c r="CP745" s="13"/>
      <c r="CQ745" s="13"/>
      <c r="CR745" s="13"/>
      <c r="CS745" s="13"/>
      <c r="CT745" s="13"/>
      <c r="CU745" s="13"/>
      <c r="CV745" s="13"/>
      <c r="CW745" s="13"/>
      <c r="CX745" s="13"/>
      <c r="CY745" s="13"/>
      <c r="CZ745" s="13"/>
      <c r="DA745" s="13"/>
      <c r="DB745" s="13"/>
      <c r="DC745" s="13"/>
      <c r="DD745" s="13"/>
      <c r="DE745" s="13"/>
      <c r="DF745" s="13"/>
      <c r="DG745" s="13"/>
      <c r="DH745" s="13"/>
      <c r="DI745" s="13"/>
      <c r="DJ745" s="13"/>
      <c r="DK745" s="13"/>
      <c r="DL745" s="13"/>
      <c r="DM745" s="13"/>
      <c r="DN745" s="13"/>
      <c r="DO745" s="13"/>
      <c r="DP745" s="13"/>
      <c r="DQ745" s="13"/>
      <c r="DR745" s="13"/>
      <c r="DS745" s="13"/>
      <c r="DT745" s="13"/>
      <c r="DU745" s="13"/>
      <c r="DV745" s="13"/>
      <c r="DW745" s="13"/>
      <c r="DX745" s="13"/>
      <c r="DY745" s="13"/>
      <c r="DZ745" s="13"/>
      <c r="EA745" s="13"/>
      <c r="EB745" s="13"/>
      <c r="EC745" s="13"/>
      <c r="ED745" s="13"/>
      <c r="EE745" s="13"/>
      <c r="EF745" s="13"/>
      <c r="EG745" s="13"/>
      <c r="EH745" s="13"/>
      <c r="EI745" s="13"/>
      <c r="EJ745" s="13"/>
      <c r="EK745" s="13"/>
      <c r="EL745" s="13"/>
      <c r="EM745" s="13"/>
      <c r="EN745" s="13"/>
      <c r="EO745" s="13"/>
      <c r="EP745" s="13"/>
      <c r="EQ745" s="13"/>
      <c r="ER745" s="13"/>
      <c r="ES745" s="13"/>
      <c r="ET745" s="13"/>
      <c r="EU745" s="13"/>
      <c r="EV745" s="13"/>
      <c r="EW745" s="13"/>
      <c r="EX745" s="13"/>
      <c r="EY745" s="13"/>
      <c r="EZ745" s="13"/>
      <c r="FA745" s="13"/>
      <c r="FB745" s="13"/>
      <c r="FC745" s="13"/>
      <c r="FD745" s="13"/>
      <c r="FE745" s="13"/>
      <c r="FF745" s="13"/>
      <c r="FG745" s="13"/>
      <c r="FH745" s="13"/>
      <c r="FI745" s="13"/>
      <c r="FJ745" s="13"/>
      <c r="FK745" s="13"/>
      <c r="FL745" s="13"/>
      <c r="FM745" s="13"/>
      <c r="FN745" s="13"/>
      <c r="FO745" s="13"/>
      <c r="FP745" s="13"/>
      <c r="FQ745" s="13"/>
      <c r="FR745" s="13"/>
      <c r="FS745" s="13"/>
      <c r="FT745" s="13"/>
      <c r="FU745" s="13"/>
      <c r="FV745" s="13"/>
      <c r="FW745" s="13"/>
      <c r="FX745" s="13"/>
      <c r="FY745" s="13"/>
      <c r="FZ745" s="13"/>
      <c r="GA745" s="13"/>
      <c r="GB745" s="13"/>
      <c r="GC745" s="13"/>
      <c r="GD745" s="13"/>
      <c r="GE745" s="13"/>
      <c r="GF745" s="13"/>
      <c r="GG745" s="13"/>
      <c r="GH745" s="13"/>
      <c r="GI745" s="13"/>
      <c r="GJ745" s="13"/>
      <c r="GK745" s="13"/>
      <c r="GL745" s="13"/>
      <c r="GM745" s="13"/>
      <c r="GN745" s="13"/>
      <c r="GO745" s="13"/>
      <c r="GP745" s="13"/>
      <c r="GQ745" s="13"/>
      <c r="GR745" s="13"/>
      <c r="GS745" s="13"/>
      <c r="GT745" s="13"/>
      <c r="GU745" s="13"/>
      <c r="GV745" s="13"/>
      <c r="GW745" s="13"/>
      <c r="GX745" s="13"/>
      <c r="GY745" s="13"/>
      <c r="GZ745" s="13"/>
      <c r="HA745" s="13"/>
      <c r="HB745" s="13"/>
      <c r="HC745" s="13"/>
      <c r="HD745" s="13"/>
      <c r="HE745" s="13"/>
      <c r="HF745" s="13"/>
      <c r="HG745" s="13"/>
      <c r="HH745" s="13"/>
      <c r="HI745" s="13"/>
      <c r="HJ745" s="13"/>
      <c r="HK745" s="13"/>
      <c r="HL745" s="13"/>
      <c r="HM745" s="13"/>
      <c r="HN745" s="13"/>
      <c r="HO745" s="13"/>
      <c r="HP745" s="13"/>
      <c r="HQ745" s="13"/>
      <c r="HR745" s="13"/>
      <c r="HS745" s="13"/>
      <c r="HT745" s="13"/>
      <c r="HU745" s="13"/>
      <c r="HV745" s="13"/>
      <c r="HW745" s="13"/>
      <c r="HX745" s="13"/>
      <c r="HY745" s="13"/>
      <c r="HZ745" s="13"/>
      <c r="IA745" s="13"/>
      <c r="IB745" s="13"/>
      <c r="IC745" s="13"/>
      <c r="ID745" s="13"/>
      <c r="IE745" s="13"/>
      <c r="IF745" s="13"/>
      <c r="IG745" s="13"/>
      <c r="IH745" s="13"/>
      <c r="II745" s="13"/>
      <c r="IJ745" s="13"/>
      <c r="IK745" s="13"/>
      <c r="IL745" s="13"/>
      <c r="IM745" s="13"/>
      <c r="IN745" s="13"/>
      <c r="IO745" s="13"/>
      <c r="IP745" s="13"/>
      <c r="IQ745" s="13"/>
      <c r="IR745" s="13"/>
      <c r="IS745" s="13"/>
      <c r="IT745" s="13"/>
      <c r="IU745" s="13"/>
      <c r="IV745" s="13"/>
      <c r="IW745" s="13"/>
      <c r="IX745" s="13"/>
      <c r="IY745" s="13"/>
      <c r="IZ745" s="13"/>
      <c r="JA745" s="13"/>
      <c r="JB745" s="13"/>
      <c r="JC745" s="13"/>
      <c r="JD745" s="13"/>
      <c r="JE745" s="13"/>
      <c r="JF745" s="13"/>
      <c r="JG745" s="13"/>
      <c r="JH745" s="13"/>
      <c r="JI745" s="13"/>
      <c r="JJ745" s="13"/>
      <c r="JK745" s="13"/>
      <c r="JL745" s="13"/>
      <c r="JM745" s="13"/>
      <c r="JN745" s="13"/>
      <c r="JO745" s="13"/>
      <c r="JP745" s="13"/>
      <c r="JQ745" s="13"/>
      <c r="JR745" s="13"/>
      <c r="JS745" s="13"/>
      <c r="JT745" s="13"/>
      <c r="JU745" s="13"/>
      <c r="JV745" s="13"/>
      <c r="JW745" s="13"/>
      <c r="JX745" s="13"/>
      <c r="JY745" s="13"/>
      <c r="JZ745" s="13"/>
      <c r="KA745" s="13"/>
      <c r="KB745" s="13"/>
      <c r="KC745" s="13"/>
      <c r="KD745" s="13"/>
      <c r="KE745" s="13"/>
      <c r="KF745" s="13"/>
      <c r="KG745" s="13"/>
      <c r="KH745" s="13"/>
      <c r="KI745" s="13"/>
      <c r="KJ745" s="13"/>
      <c r="KK745" s="13"/>
      <c r="KL745" s="13"/>
      <c r="KM745" s="13"/>
      <c r="KN745" s="13"/>
      <c r="KO745" s="13"/>
      <c r="KP745" s="13"/>
      <c r="KQ745" s="13"/>
      <c r="KR745" s="13"/>
      <c r="KS745" s="13"/>
      <c r="KT745" s="13"/>
      <c r="KU745" s="13"/>
      <c r="KV745" s="13"/>
      <c r="KW745" s="13"/>
      <c r="KX745" s="13"/>
      <c r="KY745" s="13"/>
      <c r="KZ745" s="13"/>
      <c r="LA745" s="13"/>
      <c r="LB745" s="13"/>
      <c r="LC745" s="13"/>
      <c r="LD745" s="13"/>
      <c r="LE745" s="13"/>
      <c r="LF745" s="13"/>
      <c r="LG745" s="13"/>
      <c r="LH745" s="13"/>
      <c r="LI745" s="13"/>
      <c r="LJ745" s="13"/>
      <c r="LK745" s="13"/>
      <c r="LL745" s="13"/>
      <c r="LM745" s="13"/>
      <c r="LN745" s="13"/>
      <c r="LO745" s="13"/>
      <c r="LP745" s="13"/>
      <c r="LQ745" s="13"/>
      <c r="LR745" s="13"/>
      <c r="LS745" s="13"/>
      <c r="LT745" s="13"/>
      <c r="LU745" s="13"/>
      <c r="LV745" s="13"/>
      <c r="LW745" s="13"/>
      <c r="LX745" s="13"/>
      <c r="LY745" s="13"/>
      <c r="LZ745" s="13"/>
      <c r="MA745" s="13"/>
      <c r="MB745" s="13"/>
      <c r="MC745" s="13"/>
      <c r="MD745" s="13"/>
      <c r="ME745" s="13"/>
      <c r="MF745" s="13"/>
      <c r="MG745" s="13"/>
      <c r="MH745" s="13"/>
      <c r="MI745" s="13"/>
      <c r="MJ745" s="13"/>
      <c r="MK745" s="13"/>
      <c r="ML745" s="13"/>
      <c r="MM745" s="13"/>
      <c r="MN745" s="13"/>
      <c r="MO745" s="13"/>
      <c r="MP745" s="13"/>
      <c r="MQ745" s="13"/>
      <c r="MR745" s="13"/>
      <c r="MS745" s="13"/>
      <c r="MT745" s="13"/>
      <c r="MU745" s="13"/>
      <c r="MV745" s="13"/>
      <c r="MW745" s="13"/>
      <c r="MX745" s="13"/>
      <c r="MY745" s="13"/>
      <c r="MZ745" s="13"/>
      <c r="NA745" s="13"/>
      <c r="NB745" s="13"/>
      <c r="NC745" s="13"/>
      <c r="ND745" s="13"/>
      <c r="NE745" s="13"/>
      <c r="NF745" s="13"/>
      <c r="NG745" s="13"/>
      <c r="NH745" s="13"/>
      <c r="NI745" s="13"/>
      <c r="NJ745" s="13"/>
      <c r="NK745" s="13"/>
      <c r="NL745" s="13"/>
      <c r="NM745" s="13"/>
      <c r="NN745" s="13"/>
      <c r="NO745" s="13"/>
      <c r="NP745" s="13"/>
      <c r="NQ745" s="13"/>
      <c r="NR745" s="13"/>
      <c r="NS745" s="13"/>
      <c r="NT745" s="13"/>
      <c r="NU745" s="13"/>
      <c r="NV745" s="13"/>
      <c r="NW745" s="13"/>
      <c r="NX745" s="13"/>
      <c r="NY745" s="13"/>
      <c r="NZ745" s="13"/>
      <c r="OA745" s="13"/>
      <c r="OB745" s="13"/>
      <c r="OC745" s="13"/>
      <c r="OD745" s="13"/>
      <c r="OE745" s="13"/>
      <c r="OF745" s="13"/>
      <c r="OG745" s="13"/>
      <c r="OH745" s="13"/>
      <c r="OI745" s="13"/>
      <c r="OJ745" s="13"/>
      <c r="OK745" s="13"/>
      <c r="OL745" s="13"/>
      <c r="OM745" s="13"/>
      <c r="ON745" s="13"/>
      <c r="OO745" s="13"/>
      <c r="OP745" s="13"/>
      <c r="OQ745" s="13"/>
      <c r="OR745" s="13"/>
      <c r="OS745" s="13"/>
      <c r="OT745" s="13"/>
      <c r="OU745" s="13"/>
      <c r="OV745" s="13"/>
      <c r="OW745" s="13"/>
      <c r="OX745" s="13"/>
      <c r="OY745" s="13"/>
      <c r="OZ745" s="13"/>
      <c r="PA745" s="13"/>
      <c r="PB745" s="13"/>
      <c r="PC745" s="13"/>
      <c r="PD745" s="13"/>
      <c r="PE745" s="13"/>
      <c r="PF745" s="13"/>
      <c r="PG745" s="13"/>
      <c r="PH745" s="13"/>
      <c r="PI745" s="13"/>
      <c r="PJ745" s="13"/>
      <c r="PK745" s="13"/>
      <c r="PL745" s="13"/>
      <c r="PM745" s="13"/>
      <c r="PN745" s="13"/>
      <c r="PO745" s="13"/>
      <c r="PP745" s="13"/>
      <c r="PQ745" s="13"/>
      <c r="PR745" s="13"/>
      <c r="PS745" s="13"/>
      <c r="PT745" s="13"/>
      <c r="PU745" s="13"/>
      <c r="PV745" s="13"/>
      <c r="PW745" s="13"/>
      <c r="PX745" s="13"/>
      <c r="PY745" s="13"/>
      <c r="PZ745" s="13"/>
      <c r="QA745" s="13"/>
      <c r="QB745" s="13"/>
      <c r="QC745" s="13"/>
      <c r="QD745" s="13"/>
      <c r="QE745" s="13"/>
      <c r="QF745" s="13"/>
      <c r="QG745" s="13"/>
      <c r="QH745" s="13"/>
      <c r="QI745" s="13"/>
      <c r="QJ745" s="13"/>
      <c r="QK745" s="13"/>
      <c r="QL745" s="13"/>
      <c r="QM745" s="13"/>
      <c r="QN745" s="13"/>
      <c r="QO745" s="13"/>
      <c r="QP745" s="13"/>
      <c r="QQ745" s="13"/>
      <c r="QR745" s="13"/>
      <c r="QS745" s="13"/>
      <c r="QT745" s="13"/>
      <c r="QU745" s="13"/>
      <c r="QV745" s="13"/>
      <c r="QW745" s="13"/>
      <c r="QX745" s="13"/>
      <c r="QY745" s="13"/>
      <c r="QZ745" s="13"/>
      <c r="RA745" s="13"/>
      <c r="RB745" s="13"/>
      <c r="RC745" s="13"/>
      <c r="RD745" s="13"/>
      <c r="RE745" s="13"/>
      <c r="RF745" s="13"/>
      <c r="RG745" s="13"/>
      <c r="RH745" s="13"/>
      <c r="RI745" s="13"/>
      <c r="RJ745" s="13"/>
      <c r="RK745" s="13"/>
      <c r="RL745" s="13"/>
      <c r="RM745" s="13"/>
      <c r="RN745" s="13"/>
      <c r="RO745" s="13"/>
      <c r="RP745" s="13"/>
      <c r="RQ745" s="13"/>
      <c r="RR745" s="13"/>
      <c r="RS745" s="13"/>
      <c r="RT745" s="13"/>
      <c r="RU745" s="13"/>
      <c r="RV745" s="13"/>
      <c r="RW745" s="13"/>
      <c r="RX745" s="13"/>
      <c r="RY745" s="13"/>
      <c r="RZ745" s="13"/>
      <c r="SA745" s="13"/>
      <c r="SB745" s="13"/>
      <c r="SC745" s="13"/>
      <c r="SD745" s="13"/>
      <c r="SE745" s="13"/>
      <c r="SF745" s="13"/>
      <c r="SG745" s="13"/>
      <c r="SH745" s="13"/>
      <c r="SI745" s="13"/>
      <c r="SJ745" s="13"/>
      <c r="SK745" s="13"/>
      <c r="SL745" s="13"/>
      <c r="SM745" s="13"/>
      <c r="SN745" s="13"/>
      <c r="SO745" s="13"/>
      <c r="SP745" s="13"/>
      <c r="SQ745" s="13"/>
      <c r="SR745" s="13"/>
      <c r="SS745" s="13"/>
      <c r="ST745" s="13"/>
      <c r="SU745" s="13"/>
      <c r="SV745" s="13"/>
      <c r="SW745" s="13"/>
      <c r="SX745" s="13"/>
      <c r="SY745" s="13"/>
      <c r="SZ745" s="13"/>
      <c r="TA745" s="13"/>
      <c r="TB745" s="13"/>
      <c r="TC745" s="13"/>
      <c r="TD745" s="13"/>
      <c r="TE745" s="13"/>
      <c r="TF745" s="13"/>
      <c r="TG745" s="13"/>
      <c r="TH745" s="13"/>
      <c r="TI745" s="13"/>
      <c r="TJ745" s="13"/>
      <c r="TK745" s="13"/>
      <c r="TL745" s="13"/>
      <c r="TM745" s="13"/>
      <c r="TN745" s="13"/>
      <c r="TO745" s="13"/>
      <c r="TP745" s="13"/>
      <c r="TQ745" s="13"/>
      <c r="TR745" s="13"/>
      <c r="TS745" s="13"/>
      <c r="TT745" s="13"/>
      <c r="TU745" s="13"/>
      <c r="TV745" s="13"/>
      <c r="TW745" s="13"/>
      <c r="TX745" s="13"/>
      <c r="TY745" s="13"/>
      <c r="TZ745" s="13"/>
      <c r="UA745" s="13"/>
      <c r="UB745" s="13"/>
      <c r="UC745" s="13"/>
      <c r="UD745" s="13"/>
      <c r="UE745" s="13"/>
      <c r="UF745" s="13"/>
      <c r="UG745" s="13"/>
      <c r="UH745" s="13"/>
      <c r="UI745" s="13"/>
      <c r="UJ745" s="13"/>
      <c r="UK745" s="13"/>
      <c r="UL745" s="13"/>
      <c r="UM745" s="13"/>
      <c r="UN745" s="13"/>
      <c r="UO745" s="13"/>
      <c r="UP745" s="13"/>
      <c r="UQ745" s="13"/>
      <c r="UR745" s="13"/>
      <c r="US745" s="13"/>
      <c r="UT745" s="13"/>
      <c r="UU745" s="13"/>
      <c r="UV745" s="13"/>
      <c r="UW745" s="13"/>
      <c r="UX745" s="13"/>
      <c r="UY745" s="13"/>
      <c r="UZ745" s="13"/>
      <c r="VA745" s="13"/>
      <c r="VB745" s="13"/>
      <c r="VC745" s="13"/>
      <c r="VD745" s="13"/>
      <c r="VE745" s="13"/>
      <c r="VF745" s="13"/>
      <c r="VG745" s="13"/>
      <c r="VH745" s="13"/>
      <c r="VI745" s="13"/>
      <c r="VJ745" s="13"/>
      <c r="VK745" s="13"/>
      <c r="VL745" s="13"/>
      <c r="VM745" s="13"/>
      <c r="VN745" s="13"/>
      <c r="VO745" s="13"/>
      <c r="VP745" s="13"/>
      <c r="VQ745" s="13"/>
      <c r="VR745" s="13"/>
      <c r="VS745" s="13"/>
      <c r="VT745" s="13"/>
      <c r="VU745" s="13"/>
      <c r="VV745" s="13"/>
      <c r="VW745" s="13"/>
      <c r="VX745" s="13"/>
      <c r="VY745" s="13"/>
      <c r="VZ745" s="13"/>
      <c r="WA745" s="13"/>
      <c r="WB745" s="13"/>
      <c r="WC745" s="13"/>
      <c r="WD745" s="13"/>
      <c r="WE745" s="13"/>
      <c r="WF745" s="13"/>
      <c r="WG745" s="13"/>
      <c r="WH745" s="13"/>
      <c r="WI745" s="13"/>
      <c r="WJ745" s="13"/>
      <c r="WK745" s="13"/>
      <c r="WL745" s="13"/>
      <c r="WM745" s="13"/>
      <c r="WN745" s="13"/>
      <c r="WO745" s="13"/>
      <c r="WP745" s="13"/>
      <c r="WQ745" s="13"/>
      <c r="WR745" s="13"/>
      <c r="WS745" s="13"/>
      <c r="WT745" s="13"/>
      <c r="WU745" s="13"/>
      <c r="WV745" s="13"/>
      <c r="WW745" s="13"/>
      <c r="WX745" s="13"/>
      <c r="WY745" s="13"/>
      <c r="WZ745" s="13"/>
      <c r="XA745" s="13"/>
      <c r="XB745" s="13"/>
      <c r="XC745" s="13"/>
      <c r="XD745" s="13"/>
      <c r="XE745" s="13"/>
      <c r="XF745" s="13"/>
      <c r="XG745" s="13"/>
      <c r="XH745" s="13"/>
      <c r="XI745" s="13"/>
      <c r="XJ745" s="13"/>
      <c r="XK745" s="13"/>
      <c r="XL745" s="13"/>
      <c r="XM745" s="13"/>
      <c r="XN745" s="13"/>
      <c r="XO745" s="13"/>
      <c r="XP745" s="13"/>
      <c r="XQ745" s="13"/>
      <c r="XR745" s="13"/>
      <c r="XS745" s="13"/>
      <c r="XT745" s="13"/>
      <c r="XU745" s="13"/>
      <c r="XV745" s="13"/>
      <c r="XW745" s="13"/>
      <c r="XX745" s="13"/>
      <c r="XY745" s="13"/>
      <c r="XZ745" s="13"/>
      <c r="YA745" s="13"/>
      <c r="YB745" s="13"/>
      <c r="YC745" s="13"/>
      <c r="YD745" s="13"/>
      <c r="YE745" s="13"/>
      <c r="YF745" s="13"/>
      <c r="YG745" s="13"/>
      <c r="YH745" s="13"/>
      <c r="YI745" s="13"/>
      <c r="YJ745" s="13"/>
      <c r="YK745" s="13"/>
      <c r="YL745" s="13"/>
      <c r="YM745" s="13"/>
      <c r="YN745" s="13"/>
      <c r="YO745" s="13"/>
      <c r="YP745" s="13"/>
      <c r="YQ745" s="13"/>
      <c r="YR745" s="13"/>
      <c r="YS745" s="13"/>
      <c r="YT745" s="13"/>
      <c r="YU745" s="13"/>
      <c r="YV745" s="13"/>
      <c r="YW745" s="13"/>
      <c r="YX745" s="13"/>
      <c r="YY745" s="13"/>
      <c r="YZ745" s="13"/>
      <c r="ZA745" s="13"/>
      <c r="ZB745" s="13"/>
      <c r="ZC745" s="13"/>
      <c r="ZD745" s="13"/>
      <c r="ZE745" s="13"/>
      <c r="ZF745" s="13"/>
      <c r="ZG745" s="13"/>
      <c r="ZH745" s="13"/>
      <c r="ZI745" s="13"/>
      <c r="ZJ745" s="13"/>
      <c r="ZK745" s="13"/>
      <c r="ZL745" s="13"/>
      <c r="ZM745" s="13"/>
      <c r="ZN745" s="13"/>
      <c r="ZO745" s="13"/>
      <c r="ZP745" s="13"/>
      <c r="ZQ745" s="13"/>
      <c r="ZR745" s="13"/>
      <c r="ZS745" s="13"/>
      <c r="ZT745" s="13"/>
      <c r="ZU745" s="13"/>
      <c r="ZV745" s="13"/>
      <c r="ZW745" s="13"/>
      <c r="ZX745" s="13"/>
      <c r="ZY745" s="13"/>
      <c r="ZZ745" s="13"/>
      <c r="AAA745" s="13"/>
      <c r="AAB745" s="13"/>
      <c r="AAC745" s="13"/>
      <c r="AAD745" s="13"/>
      <c r="AAE745" s="13"/>
      <c r="AAF745" s="13"/>
      <c r="AAG745" s="13"/>
      <c r="AAH745" s="13"/>
      <c r="AAI745" s="13"/>
      <c r="AAJ745" s="13"/>
      <c r="AAK745" s="13"/>
      <c r="AAL745" s="13"/>
      <c r="AAM745" s="13"/>
      <c r="AAN745" s="13"/>
      <c r="AAO745" s="13"/>
      <c r="AAP745" s="13"/>
      <c r="AAQ745" s="13"/>
      <c r="AAR745" s="13"/>
      <c r="AAS745" s="13"/>
      <c r="AAT745" s="13"/>
      <c r="AAU745" s="13"/>
      <c r="AAV745" s="13"/>
      <c r="AAW745" s="13"/>
      <c r="AAX745" s="13"/>
      <c r="AAY745" s="13"/>
      <c r="AAZ745" s="13"/>
      <c r="ABA745" s="13"/>
      <c r="ABB745" s="13"/>
      <c r="ABC745" s="13"/>
      <c r="ABD745" s="13"/>
      <c r="ABE745" s="13"/>
      <c r="ABF745" s="13"/>
      <c r="ABG745" s="13"/>
      <c r="ABH745" s="13"/>
      <c r="ABI745" s="13"/>
      <c r="ABJ745" s="13"/>
      <c r="ABK745" s="13"/>
      <c r="ABL745" s="13"/>
      <c r="ABM745" s="13"/>
      <c r="ABN745" s="13"/>
      <c r="ABO745" s="13"/>
      <c r="ABP745" s="13"/>
      <c r="ABQ745" s="13"/>
      <c r="ABR745" s="13"/>
      <c r="ABS745" s="13"/>
      <c r="ABT745" s="13"/>
      <c r="ABU745" s="13"/>
      <c r="ABV745" s="13"/>
      <c r="ABW745" s="13"/>
      <c r="ABX745" s="13"/>
      <c r="ABY745" s="13"/>
      <c r="ABZ745" s="13"/>
      <c r="ACA745" s="13"/>
      <c r="ACB745" s="13"/>
      <c r="ACC745" s="13"/>
      <c r="ACD745" s="13"/>
      <c r="ACE745" s="13"/>
      <c r="ACF745" s="13"/>
      <c r="ACG745" s="13"/>
      <c r="ACH745" s="13"/>
      <c r="ACI745" s="13"/>
      <c r="ACJ745" s="13"/>
      <c r="ACK745" s="13"/>
      <c r="ACL745" s="13"/>
      <c r="ACM745" s="13"/>
      <c r="ACN745" s="13"/>
      <c r="ACO745" s="13"/>
      <c r="ACP745" s="13"/>
      <c r="ACQ745" s="13"/>
      <c r="ACR745" s="13"/>
      <c r="ACS745" s="13"/>
      <c r="ACT745" s="13"/>
      <c r="ACU745" s="13"/>
      <c r="ACV745" s="13"/>
      <c r="ACW745" s="13"/>
      <c r="ACX745" s="13"/>
      <c r="ACY745" s="13"/>
      <c r="ACZ745" s="13"/>
      <c r="ADA745" s="13"/>
      <c r="ADB745" s="13"/>
      <c r="ADC745" s="13"/>
      <c r="ADD745" s="13"/>
      <c r="ADE745" s="13"/>
      <c r="ADF745" s="13"/>
      <c r="ADG745" s="13"/>
      <c r="ADH745" s="13"/>
      <c r="ADI745" s="13"/>
      <c r="ADJ745" s="13"/>
      <c r="ADK745" s="13"/>
      <c r="ADL745" s="13"/>
      <c r="ADM745" s="13"/>
      <c r="ADN745" s="13"/>
      <c r="ADO745" s="13"/>
      <c r="ADP745" s="13"/>
      <c r="ADQ745" s="13"/>
      <c r="ADR745" s="13"/>
      <c r="ADS745" s="13"/>
      <c r="ADT745" s="13"/>
      <c r="ADU745" s="13"/>
      <c r="ADV745" s="13"/>
      <c r="ADW745" s="13"/>
      <c r="ADX745" s="13"/>
      <c r="ADY745" s="13"/>
      <c r="ADZ745" s="13"/>
      <c r="AEA745" s="13"/>
      <c r="AEB745" s="13"/>
      <c r="AEC745" s="13"/>
      <c r="AED745" s="13"/>
      <c r="AEE745" s="13"/>
      <c r="AEF745" s="13"/>
      <c r="AEG745" s="13"/>
      <c r="AEH745" s="13"/>
      <c r="AEI745" s="13"/>
      <c r="AEJ745" s="13"/>
      <c r="AEK745" s="13"/>
      <c r="AEL745" s="13"/>
      <c r="AEM745" s="13"/>
      <c r="AEN745" s="13"/>
      <c r="AEO745" s="13"/>
      <c r="AEP745" s="13"/>
      <c r="AEQ745" s="13"/>
      <c r="AER745" s="13"/>
      <c r="AES745" s="13"/>
      <c r="AET745" s="13"/>
      <c r="AEU745" s="13"/>
      <c r="AEV745" s="13"/>
      <c r="AEW745" s="13"/>
      <c r="AEX745" s="13"/>
      <c r="AEY745" s="13"/>
      <c r="AEZ745" s="13"/>
      <c r="AFA745" s="13"/>
      <c r="AFB745" s="13"/>
      <c r="AFC745" s="13"/>
      <c r="AFD745" s="13"/>
      <c r="AFE745" s="13"/>
      <c r="AFF745" s="13"/>
      <c r="AFG745" s="13"/>
      <c r="AFH745" s="13"/>
      <c r="AFI745" s="13"/>
      <c r="AFJ745" s="13"/>
      <c r="AFK745" s="13"/>
      <c r="AFL745" s="13"/>
      <c r="AFM745" s="13"/>
      <c r="AFN745" s="13"/>
      <c r="AFO745" s="13"/>
      <c r="AFP745" s="13"/>
      <c r="AFQ745" s="13"/>
      <c r="AFR745" s="13"/>
      <c r="AFS745" s="13"/>
      <c r="AFT745" s="13"/>
      <c r="AFU745" s="13"/>
      <c r="AFV745" s="13"/>
      <c r="AFW745" s="13"/>
      <c r="AFX745" s="13"/>
      <c r="AFY745" s="13"/>
      <c r="AFZ745" s="13"/>
      <c r="AGA745" s="13"/>
      <c r="AGB745" s="13"/>
      <c r="AGC745" s="13"/>
      <c r="AGD745" s="13"/>
      <c r="AGE745" s="13"/>
      <c r="AGF745" s="13"/>
      <c r="AGG745" s="13"/>
      <c r="AGH745" s="13"/>
      <c r="AGI745" s="13"/>
      <c r="AGJ745" s="13"/>
      <c r="AGK745" s="13"/>
      <c r="AGL745" s="13"/>
      <c r="AGM745" s="13"/>
      <c r="AGN745" s="13"/>
      <c r="AGO745" s="13"/>
      <c r="AGP745" s="13"/>
      <c r="AGQ745" s="13"/>
      <c r="AGR745" s="13"/>
      <c r="AGS745" s="13"/>
      <c r="AGT745" s="13"/>
      <c r="AGU745" s="13"/>
      <c r="AGV745" s="13"/>
      <c r="AGW745" s="13"/>
      <c r="AGX745" s="13"/>
      <c r="AGY745" s="13"/>
      <c r="AGZ745" s="13"/>
      <c r="AHA745" s="13"/>
      <c r="AHB745" s="13"/>
      <c r="AHC745" s="13"/>
      <c r="AHD745" s="13"/>
      <c r="AHE745" s="13"/>
      <c r="AHF745" s="13"/>
      <c r="AHG745" s="13"/>
      <c r="AHH745" s="13"/>
      <c r="AHI745" s="13"/>
      <c r="AHJ745" s="13"/>
      <c r="AHK745" s="13"/>
      <c r="AHL745" s="13"/>
      <c r="AHM745" s="13"/>
      <c r="AHN745" s="13"/>
      <c r="AHO745" s="13"/>
      <c r="AHP745" s="13"/>
      <c r="AHQ745" s="13"/>
      <c r="AHR745" s="13"/>
      <c r="AHS745" s="13"/>
      <c r="AHT745" s="13"/>
      <c r="AHU745" s="13"/>
      <c r="AHV745" s="13"/>
      <c r="AHW745" s="13"/>
      <c r="AHX745" s="13"/>
      <c r="AHY745" s="13"/>
      <c r="AHZ745" s="13"/>
      <c r="AIA745" s="13"/>
      <c r="AIB745" s="13"/>
      <c r="AIC745" s="13"/>
      <c r="AID745" s="13"/>
      <c r="AIE745" s="13"/>
      <c r="AIF745" s="13"/>
      <c r="AIG745" s="13"/>
      <c r="AIH745" s="13"/>
      <c r="AII745" s="13"/>
      <c r="AIJ745" s="13"/>
      <c r="AIK745" s="13"/>
      <c r="AIL745" s="13"/>
      <c r="AIM745" s="13"/>
      <c r="AIN745" s="13"/>
      <c r="AIO745" s="13"/>
      <c r="AIP745" s="13"/>
      <c r="AIQ745" s="13"/>
      <c r="AIR745" s="13"/>
      <c r="AIS745" s="13"/>
      <c r="AIT745" s="13"/>
      <c r="AIU745" s="13"/>
      <c r="AIV745" s="13"/>
      <c r="AIW745" s="13"/>
      <c r="AIX745" s="13"/>
      <c r="AIY745" s="13"/>
      <c r="AIZ745" s="13"/>
      <c r="AJA745" s="13"/>
      <c r="AJB745" s="13"/>
      <c r="AJC745" s="13"/>
      <c r="AJD745" s="13"/>
      <c r="AJE745" s="13"/>
      <c r="AJF745" s="13"/>
      <c r="AJG745" s="13"/>
      <c r="AJH745" s="13"/>
      <c r="AJI745" s="13"/>
      <c r="AJJ745" s="13"/>
      <c r="AJK745" s="13"/>
      <c r="AJL745" s="13"/>
      <c r="AJM745" s="13"/>
      <c r="AJN745" s="13"/>
      <c r="AJO745" s="13"/>
      <c r="AJP745" s="13"/>
      <c r="AJQ745" s="13"/>
      <c r="AJR745" s="13"/>
      <c r="AJS745" s="13"/>
      <c r="AJT745" s="13"/>
      <c r="AJU745" s="13"/>
      <c r="AJV745" s="13"/>
      <c r="AJW745" s="13"/>
      <c r="AJX745" s="13"/>
      <c r="AJY745" s="13"/>
      <c r="AJZ745" s="13"/>
      <c r="AKA745" s="13"/>
      <c r="AKB745" s="13"/>
      <c r="AKC745" s="13"/>
      <c r="AKD745" s="13"/>
      <c r="AKE745" s="13"/>
      <c r="AKF745" s="13"/>
      <c r="AKG745" s="13"/>
      <c r="AKH745" s="13"/>
      <c r="AKI745" s="13"/>
      <c r="AKJ745" s="13"/>
      <c r="AKK745" s="13"/>
      <c r="AKL745" s="13"/>
      <c r="AKM745" s="13"/>
      <c r="AKN745" s="13"/>
      <c r="AKO745" s="13"/>
      <c r="AKP745" s="13"/>
      <c r="AKQ745" s="13"/>
      <c r="AKR745" s="13"/>
      <c r="AKS745" s="13"/>
      <c r="AKT745" s="13"/>
      <c r="AKU745" s="13"/>
      <c r="AKV745" s="13"/>
      <c r="AKW745" s="13"/>
      <c r="AKX745" s="13"/>
      <c r="AKY745" s="13"/>
      <c r="AKZ745" s="13"/>
      <c r="ALA745" s="13"/>
      <c r="ALB745" s="13"/>
      <c r="ALC745" s="13"/>
      <c r="ALD745" s="13"/>
      <c r="ALE745" s="13"/>
      <c r="ALF745" s="13"/>
      <c r="ALG745" s="13"/>
      <c r="ALH745" s="13"/>
      <c r="ALI745" s="13"/>
      <c r="ALJ745" s="13"/>
      <c r="ALK745" s="13"/>
      <c r="ALL745" s="13"/>
      <c r="ALM745" s="13"/>
      <c r="ALN745" s="13"/>
      <c r="ALO745" s="13"/>
      <c r="ALP745" s="13"/>
      <c r="ALQ745" s="13"/>
      <c r="ALR745" s="13"/>
      <c r="ALS745" s="13"/>
      <c r="ALT745" s="13"/>
      <c r="ALU745" s="13"/>
      <c r="ALV745" s="13"/>
      <c r="ALW745" s="13"/>
      <c r="ALX745" s="13"/>
      <c r="ALY745" s="13"/>
      <c r="ALZ745" s="13"/>
      <c r="AMA745" s="13"/>
      <c r="AMB745" s="13"/>
      <c r="AMC745" s="13"/>
      <c r="AMD745" s="13"/>
      <c r="AME745" s="13"/>
      <c r="AMF745" s="13"/>
      <c r="AMG745" s="13"/>
      <c r="AMH745" s="13"/>
      <c r="AMI745" s="13"/>
      <c r="AMJ745" s="13"/>
      <c r="AMK745" s="13"/>
      <c r="AML745" s="13"/>
      <c r="AMM745" s="13"/>
      <c r="AMN745" s="13"/>
      <c r="AMO745" s="13"/>
      <c r="AMP745" s="13"/>
      <c r="AMQ745" s="13"/>
      <c r="AMR745" s="13"/>
      <c r="AMS745" s="13"/>
      <c r="AMT745" s="13"/>
      <c r="AMU745" s="13"/>
      <c r="AMV745" s="13"/>
      <c r="AMW745" s="13"/>
      <c r="AMX745" s="13"/>
      <c r="AMY745" s="13"/>
      <c r="AMZ745" s="13"/>
      <c r="ANA745" s="13"/>
      <c r="ANB745" s="13"/>
      <c r="ANC745" s="13"/>
      <c r="AND745" s="13"/>
      <c r="ANE745" s="13"/>
      <c r="ANF745" s="13"/>
      <c r="ANG745" s="13"/>
      <c r="ANH745" s="13"/>
      <c r="ANI745" s="13"/>
      <c r="ANJ745" s="13"/>
      <c r="ANK745" s="13"/>
      <c r="ANL745" s="13"/>
      <c r="ANM745" s="13"/>
      <c r="ANN745" s="13"/>
      <c r="ANO745" s="13"/>
      <c r="ANP745" s="13"/>
      <c r="ANQ745" s="13"/>
      <c r="ANR745" s="13"/>
      <c r="ANS745" s="13"/>
      <c r="ANT745" s="13"/>
      <c r="ANU745" s="13"/>
      <c r="ANV745" s="13"/>
      <c r="ANW745" s="13"/>
      <c r="ANX745" s="13"/>
      <c r="ANY745" s="13"/>
      <c r="ANZ745" s="13"/>
      <c r="AOA745" s="13"/>
      <c r="AOB745" s="13"/>
      <c r="AOC745" s="13"/>
      <c r="AOD745" s="13"/>
      <c r="AOE745" s="13"/>
      <c r="AOF745" s="13"/>
      <c r="AOG745" s="13"/>
      <c r="AOH745" s="13"/>
      <c r="AOI745" s="13"/>
      <c r="AOJ745" s="13"/>
      <c r="AOK745" s="13"/>
      <c r="AOL745" s="13"/>
      <c r="AOM745" s="13"/>
      <c r="AON745" s="13"/>
      <c r="AOO745" s="13"/>
      <c r="AOP745" s="13"/>
      <c r="AOQ745" s="13"/>
      <c r="AOR745" s="13"/>
      <c r="AOS745" s="13"/>
      <c r="AOT745" s="13"/>
      <c r="AOU745" s="13"/>
      <c r="AOV745" s="13"/>
      <c r="AOW745" s="13"/>
      <c r="AOX745" s="13"/>
      <c r="AOY745" s="13"/>
      <c r="AOZ745" s="13"/>
      <c r="APA745" s="13"/>
      <c r="APB745" s="13"/>
      <c r="APC745" s="13"/>
      <c r="APD745" s="13"/>
      <c r="APE745" s="13"/>
      <c r="APF745" s="13"/>
      <c r="APG745" s="13"/>
      <c r="APH745" s="13"/>
      <c r="API745" s="13"/>
      <c r="APJ745" s="13"/>
      <c r="APK745" s="13"/>
      <c r="APL745" s="13"/>
      <c r="APM745" s="13"/>
      <c r="APN745" s="13"/>
      <c r="APO745" s="13"/>
      <c r="APP745" s="13"/>
      <c r="APQ745" s="13"/>
      <c r="APR745" s="13"/>
      <c r="APS745" s="13"/>
      <c r="APT745" s="13"/>
      <c r="APU745" s="13"/>
      <c r="APV745" s="13"/>
      <c r="APW745" s="13"/>
      <c r="APX745" s="13"/>
      <c r="APY745" s="13"/>
      <c r="APZ745" s="13"/>
      <c r="AQA745" s="13"/>
      <c r="AQB745" s="13"/>
      <c r="AQC745" s="13"/>
      <c r="AQD745" s="13"/>
      <c r="AQE745" s="13"/>
      <c r="AQF745" s="13"/>
      <c r="AQG745" s="13"/>
      <c r="AQH745" s="13"/>
      <c r="AQI745" s="13"/>
      <c r="AQJ745" s="13"/>
      <c r="AQK745" s="13"/>
      <c r="AQL745" s="13"/>
      <c r="AQM745" s="13"/>
      <c r="AQN745" s="13"/>
      <c r="AQO745" s="13"/>
      <c r="AQP745" s="13"/>
      <c r="AQQ745" s="13"/>
      <c r="AQR745" s="13"/>
      <c r="AQS745" s="13"/>
      <c r="AQT745" s="13"/>
      <c r="AQU745" s="13"/>
      <c r="AQV745" s="13"/>
      <c r="AQW745" s="13"/>
      <c r="AQX745" s="13"/>
      <c r="AQY745" s="13"/>
      <c r="AQZ745" s="13"/>
      <c r="ARA745" s="13"/>
      <c r="ARB745" s="13"/>
      <c r="ARC745" s="13"/>
      <c r="ARD745" s="13"/>
      <c r="ARE745" s="13"/>
      <c r="ARF745" s="13"/>
      <c r="ARG745" s="13"/>
      <c r="ARH745" s="13"/>
      <c r="ARI745" s="13"/>
      <c r="ARJ745" s="13"/>
      <c r="ARK745" s="13"/>
      <c r="ARL745" s="13"/>
      <c r="ARM745" s="13"/>
      <c r="ARN745" s="13"/>
      <c r="ARO745" s="13"/>
      <c r="ARP745" s="13"/>
      <c r="ARQ745" s="13"/>
      <c r="ARR745" s="13"/>
      <c r="ARS745" s="13"/>
      <c r="ART745" s="13"/>
      <c r="ARU745" s="13"/>
      <c r="ARV745" s="13"/>
      <c r="ARW745" s="13"/>
      <c r="ARX745" s="13"/>
      <c r="ARY745" s="13"/>
      <c r="ARZ745" s="13"/>
      <c r="ASA745" s="13"/>
      <c r="ASB745" s="13"/>
      <c r="ASC745" s="13"/>
      <c r="ASD745" s="13"/>
      <c r="ASE745" s="13"/>
      <c r="ASF745" s="13"/>
      <c r="ASG745" s="13"/>
      <c r="ASH745" s="13"/>
      <c r="ASI745" s="13"/>
      <c r="ASJ745" s="13"/>
      <c r="ASK745" s="13"/>
      <c r="ASL745" s="13"/>
      <c r="ASM745" s="13"/>
      <c r="ASN745" s="13"/>
      <c r="ASO745" s="13"/>
      <c r="ASP745" s="13"/>
      <c r="ASQ745" s="13"/>
      <c r="ASR745" s="13"/>
      <c r="ASS745" s="13"/>
      <c r="AST745" s="13"/>
      <c r="ASU745" s="13"/>
      <c r="ASV745" s="13"/>
      <c r="ASW745" s="13"/>
      <c r="ASX745" s="13"/>
      <c r="ASY745" s="13"/>
      <c r="ASZ745" s="13"/>
      <c r="ATA745" s="13"/>
      <c r="ATB745" s="13"/>
      <c r="ATC745" s="13"/>
      <c r="ATD745" s="13"/>
      <c r="ATE745" s="13"/>
      <c r="ATF745" s="13"/>
      <c r="ATG745" s="13"/>
      <c r="ATH745" s="13"/>
      <c r="ATI745" s="13"/>
      <c r="ATJ745" s="13"/>
      <c r="ATK745" s="13"/>
      <c r="ATL745" s="13"/>
      <c r="ATM745" s="13"/>
      <c r="ATN745" s="13"/>
      <c r="ATO745" s="13"/>
      <c r="ATP745" s="13"/>
      <c r="ATQ745" s="13"/>
      <c r="ATR745" s="13"/>
      <c r="ATS745" s="13"/>
      <c r="ATT745" s="13"/>
      <c r="ATU745" s="13"/>
      <c r="ATV745" s="13"/>
      <c r="ATW745" s="13"/>
      <c r="ATX745" s="13"/>
      <c r="ATY745" s="13"/>
      <c r="ATZ745" s="13"/>
      <c r="AUA745" s="13"/>
      <c r="AUB745" s="13"/>
      <c r="AUC745" s="13"/>
      <c r="AUD745" s="13"/>
      <c r="AUE745" s="13"/>
      <c r="AUF745" s="13"/>
      <c r="AUG745" s="13"/>
      <c r="AUH745" s="13"/>
      <c r="AUI745" s="13"/>
      <c r="AUJ745" s="13"/>
      <c r="AUK745" s="13"/>
      <c r="AUL745" s="13"/>
      <c r="AUM745" s="13"/>
      <c r="AUN745" s="13"/>
      <c r="AUO745" s="13"/>
      <c r="AUP745" s="13"/>
      <c r="AUQ745" s="13"/>
      <c r="AUR745" s="13"/>
      <c r="AUS745" s="13"/>
      <c r="AUT745" s="13"/>
      <c r="AUU745" s="13"/>
      <c r="AUV745" s="13"/>
      <c r="AUW745" s="13"/>
      <c r="AUX745" s="13"/>
      <c r="AUY745" s="13"/>
      <c r="AUZ745" s="13"/>
      <c r="AVA745" s="13"/>
      <c r="AVB745" s="13"/>
      <c r="AVC745" s="13"/>
      <c r="AVD745" s="13"/>
      <c r="AVE745" s="13"/>
      <c r="AVF745" s="13"/>
      <c r="AVG745" s="13"/>
      <c r="AVH745" s="13"/>
      <c r="AVI745" s="13"/>
      <c r="AVJ745" s="13"/>
      <c r="AVK745" s="13"/>
      <c r="AVL745" s="13"/>
      <c r="AVM745" s="13"/>
      <c r="AVN745" s="13"/>
      <c r="AVO745" s="13"/>
      <c r="AVP745" s="13"/>
      <c r="AVQ745" s="13"/>
      <c r="AVR745" s="13"/>
      <c r="AVS745" s="13"/>
      <c r="AVT745" s="13"/>
      <c r="AVU745" s="13"/>
      <c r="AVV745" s="13"/>
      <c r="AVW745" s="13"/>
      <c r="AVX745" s="13"/>
      <c r="AVY745" s="13"/>
      <c r="AVZ745" s="13"/>
      <c r="AWA745" s="13"/>
      <c r="AWB745" s="13"/>
      <c r="AWC745" s="13"/>
      <c r="AWD745" s="13"/>
      <c r="AWE745" s="13"/>
      <c r="AWF745" s="13"/>
      <c r="AWG745" s="13"/>
      <c r="AWH745" s="13"/>
      <c r="AWI745" s="13"/>
      <c r="AWJ745" s="13"/>
      <c r="AWK745" s="13"/>
      <c r="AWL745" s="13"/>
      <c r="AWM745" s="13"/>
      <c r="AWN745" s="13"/>
      <c r="AWO745" s="13"/>
      <c r="AWP745" s="13"/>
      <c r="AWQ745" s="13"/>
      <c r="AWR745" s="13"/>
      <c r="AWS745" s="13"/>
      <c r="AWT745" s="13"/>
      <c r="AWU745" s="13"/>
      <c r="AWV745" s="13"/>
      <c r="AWW745" s="13"/>
      <c r="AWX745" s="13"/>
      <c r="AWY745" s="13"/>
      <c r="AWZ745" s="13"/>
      <c r="AXA745" s="13"/>
      <c r="AXB745" s="13"/>
      <c r="AXC745" s="13"/>
      <c r="AXD745" s="13"/>
      <c r="AXE745" s="13"/>
      <c r="AXF745" s="13"/>
      <c r="AXG745" s="13"/>
      <c r="AXH745" s="13"/>
      <c r="AXI745" s="13"/>
      <c r="AXJ745" s="13"/>
      <c r="AXK745" s="13"/>
      <c r="AXL745" s="13"/>
      <c r="AXM745" s="13"/>
      <c r="AXN745" s="13"/>
      <c r="AXO745" s="13"/>
      <c r="AXP745" s="13"/>
      <c r="AXQ745" s="13"/>
      <c r="AXR745" s="13"/>
      <c r="AXS745" s="13"/>
      <c r="AXT745" s="13"/>
      <c r="AXU745" s="13"/>
      <c r="AXV745" s="13"/>
      <c r="AXW745" s="13"/>
      <c r="AXX745" s="13"/>
      <c r="AXY745" s="13"/>
      <c r="AXZ745" s="13"/>
      <c r="AYA745" s="13"/>
      <c r="AYB745" s="13"/>
      <c r="AYC745" s="13"/>
      <c r="AYD745" s="13"/>
      <c r="AYE745" s="13"/>
      <c r="AYF745" s="13"/>
      <c r="AYG745" s="13"/>
      <c r="AYH745" s="13"/>
      <c r="AYI745" s="13"/>
      <c r="AYJ745" s="13"/>
      <c r="AYK745" s="13"/>
      <c r="AYL745" s="13"/>
      <c r="AYM745" s="13"/>
      <c r="AYN745" s="13"/>
      <c r="AYO745" s="13"/>
      <c r="AYP745" s="13"/>
      <c r="AYQ745" s="13"/>
      <c r="AYR745" s="13"/>
      <c r="AYS745" s="13"/>
      <c r="AYT745" s="13"/>
      <c r="AYU745" s="13"/>
      <c r="AYV745" s="13"/>
      <c r="AYW745" s="13"/>
      <c r="AYX745" s="13"/>
      <c r="AYY745" s="13"/>
      <c r="AYZ745" s="13"/>
      <c r="AZA745" s="13"/>
      <c r="AZB745" s="13"/>
      <c r="AZC745" s="13"/>
      <c r="AZD745" s="13"/>
      <c r="AZE745" s="13"/>
      <c r="AZF745" s="13"/>
      <c r="AZG745" s="13"/>
      <c r="AZH745" s="13"/>
      <c r="AZI745" s="13"/>
      <c r="AZJ745" s="13"/>
      <c r="AZK745" s="13"/>
      <c r="AZL745" s="13"/>
      <c r="AZM745" s="13"/>
      <c r="AZN745" s="13"/>
      <c r="AZO745" s="13"/>
      <c r="AZP745" s="13"/>
      <c r="AZQ745" s="13"/>
      <c r="AZR745" s="13"/>
      <c r="AZS745" s="13"/>
      <c r="AZT745" s="13"/>
      <c r="AZU745" s="13"/>
      <c r="AZV745" s="13"/>
      <c r="AZW745" s="13"/>
      <c r="AZX745" s="13"/>
      <c r="AZY745" s="13"/>
      <c r="AZZ745" s="13"/>
      <c r="BAA745" s="13"/>
      <c r="BAB745" s="13"/>
      <c r="BAC745" s="13"/>
      <c r="BAD745" s="13"/>
      <c r="BAE745" s="13"/>
      <c r="BAF745" s="13"/>
      <c r="BAG745" s="13"/>
      <c r="BAH745" s="13"/>
      <c r="BAI745" s="13"/>
      <c r="BAJ745" s="13"/>
      <c r="BAK745" s="13"/>
      <c r="BAL745" s="13"/>
      <c r="BAM745" s="13"/>
      <c r="BAN745" s="13"/>
      <c r="BAO745" s="13"/>
      <c r="BAP745" s="13"/>
      <c r="BAQ745" s="13"/>
      <c r="BAR745" s="13"/>
      <c r="BAS745" s="13"/>
      <c r="BAT745" s="13"/>
      <c r="BAU745" s="13"/>
      <c r="BAV745" s="13"/>
      <c r="BAW745" s="13"/>
      <c r="BAX745" s="13"/>
      <c r="BAY745" s="13"/>
      <c r="BAZ745" s="13"/>
      <c r="BBA745" s="13"/>
      <c r="BBB745" s="13"/>
      <c r="BBC745" s="13"/>
      <c r="BBD745" s="13"/>
      <c r="BBE745" s="13"/>
      <c r="BBF745" s="13"/>
      <c r="BBG745" s="13"/>
      <c r="BBH745" s="13"/>
      <c r="BBI745" s="13"/>
      <c r="BBJ745" s="13"/>
      <c r="BBK745" s="13"/>
      <c r="BBL745" s="13"/>
      <c r="BBM745" s="13"/>
      <c r="BBN745" s="13"/>
      <c r="BBO745" s="13"/>
      <c r="BBP745" s="13"/>
      <c r="BBQ745" s="13"/>
      <c r="BBR745" s="13"/>
      <c r="BBS745" s="13"/>
      <c r="BBT745" s="13"/>
      <c r="BBU745" s="13"/>
      <c r="BBV745" s="13"/>
      <c r="BBW745" s="13"/>
      <c r="BBX745" s="13"/>
      <c r="BBY745" s="13"/>
      <c r="BBZ745" s="13"/>
      <c r="BCA745" s="13"/>
      <c r="BCB745" s="13"/>
      <c r="BCC745" s="13"/>
      <c r="BCD745" s="13"/>
      <c r="BCE745" s="13"/>
      <c r="BCF745" s="13"/>
      <c r="BCG745" s="13"/>
      <c r="BCH745" s="13"/>
      <c r="BCI745" s="13"/>
      <c r="BCJ745" s="13"/>
      <c r="BCK745" s="13"/>
      <c r="BCL745" s="13"/>
      <c r="BCM745" s="13"/>
      <c r="BCN745" s="13"/>
      <c r="BCO745" s="13"/>
      <c r="BCP745" s="13"/>
      <c r="BCQ745" s="13"/>
      <c r="BCR745" s="13"/>
      <c r="BCS745" s="13"/>
      <c r="BCT745" s="13"/>
      <c r="BCU745" s="13"/>
      <c r="BCV745" s="13"/>
      <c r="BCW745" s="13"/>
      <c r="BCX745" s="13"/>
      <c r="BCY745" s="13"/>
      <c r="BCZ745" s="13"/>
      <c r="BDA745" s="13"/>
      <c r="BDB745" s="13"/>
      <c r="BDC745" s="13"/>
      <c r="BDD745" s="13"/>
      <c r="BDE745" s="13"/>
      <c r="BDF745" s="13"/>
      <c r="BDG745" s="13"/>
      <c r="BDH745" s="13"/>
      <c r="BDI745" s="13"/>
      <c r="BDJ745" s="13"/>
      <c r="BDK745" s="13"/>
      <c r="BDL745" s="13"/>
      <c r="BDM745" s="13"/>
      <c r="BDN745" s="13"/>
      <c r="BDO745" s="13"/>
      <c r="BDP745" s="13"/>
      <c r="BDQ745" s="13"/>
      <c r="BDR745" s="13"/>
      <c r="BDS745" s="13"/>
      <c r="BDT745" s="13"/>
      <c r="BDU745" s="13"/>
      <c r="BDV745" s="13"/>
      <c r="BDW745" s="13"/>
      <c r="BDX745" s="13"/>
      <c r="BDY745" s="13"/>
      <c r="BDZ745" s="13"/>
      <c r="BEA745" s="13"/>
      <c r="BEB745" s="13"/>
      <c r="BEC745" s="13"/>
      <c r="BED745" s="13"/>
      <c r="BEE745" s="13"/>
      <c r="BEF745" s="13"/>
      <c r="BEG745" s="13"/>
      <c r="BEH745" s="13"/>
      <c r="BEI745" s="13"/>
      <c r="BEJ745" s="13"/>
      <c r="BEK745" s="13"/>
      <c r="BEL745" s="13"/>
      <c r="BEM745" s="13"/>
      <c r="BEN745" s="13"/>
      <c r="BEO745" s="13"/>
      <c r="BEP745" s="13"/>
      <c r="BEQ745" s="13"/>
      <c r="BER745" s="13"/>
      <c r="BES745" s="13"/>
      <c r="BET745" s="13"/>
      <c r="BEU745" s="13"/>
      <c r="BEV745" s="13"/>
      <c r="BEW745" s="13"/>
      <c r="BEX745" s="13"/>
      <c r="BEY745" s="13"/>
      <c r="BEZ745" s="13"/>
      <c r="BFA745" s="13"/>
      <c r="BFB745" s="13"/>
      <c r="BFC745" s="13"/>
      <c r="BFD745" s="13"/>
      <c r="BFE745" s="13"/>
      <c r="BFF745" s="13"/>
      <c r="BFG745" s="13"/>
      <c r="BFH745" s="13"/>
      <c r="BFI745" s="13"/>
      <c r="BFJ745" s="13"/>
      <c r="BFK745" s="13"/>
      <c r="BFL745" s="13"/>
      <c r="BFM745" s="13"/>
      <c r="BFN745" s="13"/>
      <c r="BFO745" s="13"/>
      <c r="BFP745" s="13"/>
      <c r="BFQ745" s="13"/>
      <c r="BFR745" s="13"/>
      <c r="BFS745" s="13"/>
      <c r="BFT745" s="13"/>
      <c r="BFU745" s="13"/>
      <c r="BFV745" s="13"/>
      <c r="BFW745" s="13"/>
      <c r="BFX745" s="13"/>
      <c r="BFY745" s="13"/>
      <c r="BFZ745" s="13"/>
      <c r="BGA745" s="13"/>
      <c r="BGB745" s="13"/>
      <c r="BGC745" s="13"/>
      <c r="BGD745" s="13"/>
      <c r="BGE745" s="13"/>
      <c r="BGF745" s="13"/>
      <c r="BGG745" s="13"/>
      <c r="BGH745" s="13"/>
      <c r="BGI745" s="13"/>
      <c r="BGJ745" s="13"/>
      <c r="BGK745" s="13"/>
      <c r="BGL745" s="13"/>
      <c r="BGM745" s="13"/>
      <c r="BGN745" s="13"/>
      <c r="BGO745" s="13"/>
      <c r="BGP745" s="13"/>
      <c r="BGQ745" s="13"/>
      <c r="BGR745" s="13"/>
      <c r="BGS745" s="13"/>
      <c r="BGT745" s="13"/>
      <c r="BGU745" s="13"/>
      <c r="BGV745" s="13"/>
      <c r="BGW745" s="13"/>
      <c r="BGX745" s="13"/>
      <c r="BGY745" s="13"/>
      <c r="BGZ745" s="13"/>
      <c r="BHA745" s="13"/>
      <c r="BHB745" s="13"/>
      <c r="BHC745" s="13"/>
      <c r="BHD745" s="13"/>
      <c r="BHE745" s="13"/>
      <c r="BHF745" s="13"/>
      <c r="BHG745" s="13"/>
      <c r="BHH745" s="13"/>
      <c r="BHI745" s="13"/>
      <c r="BHJ745" s="13"/>
      <c r="BHK745" s="13"/>
      <c r="BHL745" s="13"/>
      <c r="BHM745" s="13"/>
      <c r="BHN745" s="13"/>
      <c r="BHO745" s="13"/>
      <c r="BHP745" s="13"/>
      <c r="BHQ745" s="13"/>
      <c r="BHR745" s="13"/>
      <c r="BHS745" s="13"/>
      <c r="BHT745" s="13"/>
      <c r="BHU745" s="13"/>
      <c r="BHV745" s="13"/>
      <c r="BHW745" s="13"/>
      <c r="BHX745" s="13"/>
      <c r="BHY745" s="13"/>
      <c r="BHZ745" s="13"/>
      <c r="BIA745" s="13"/>
      <c r="BIB745" s="13"/>
      <c r="BIC745" s="13"/>
      <c r="BID745" s="13"/>
      <c r="BIE745" s="13"/>
      <c r="BIF745" s="13"/>
      <c r="BIG745" s="13"/>
      <c r="BIH745" s="13"/>
      <c r="BII745" s="13"/>
      <c r="BIJ745" s="13"/>
      <c r="BIK745" s="13"/>
      <c r="BIL745" s="13"/>
      <c r="BIM745" s="13"/>
      <c r="BIN745" s="13"/>
      <c r="BIO745" s="13"/>
      <c r="BIP745" s="13"/>
      <c r="BIQ745" s="13"/>
      <c r="BIR745" s="13"/>
      <c r="BIS745" s="13"/>
      <c r="BIT745" s="13"/>
      <c r="BIU745" s="13"/>
      <c r="BIV745" s="13"/>
      <c r="BIW745" s="13"/>
      <c r="BIX745" s="13"/>
      <c r="BIY745" s="13"/>
      <c r="BIZ745" s="13"/>
      <c r="BJA745" s="13"/>
      <c r="BJB745" s="13"/>
      <c r="BJC745" s="13"/>
      <c r="BJD745" s="13"/>
      <c r="BJE745" s="13"/>
      <c r="BJF745" s="13"/>
      <c r="BJG745" s="13"/>
      <c r="BJH745" s="13"/>
      <c r="BJI745" s="13"/>
      <c r="BJJ745" s="13"/>
      <c r="BJK745" s="13"/>
      <c r="BJL745" s="13"/>
      <c r="BJM745" s="13"/>
      <c r="BJN745" s="13"/>
      <c r="BJO745" s="13"/>
      <c r="BJP745" s="13"/>
      <c r="BJQ745" s="13"/>
      <c r="BJR745" s="13"/>
      <c r="BJS745" s="13"/>
      <c r="BJT745" s="13"/>
      <c r="BJU745" s="13"/>
      <c r="BJV745" s="13"/>
      <c r="BJW745" s="13"/>
      <c r="BJX745" s="13"/>
      <c r="BJY745" s="13"/>
      <c r="BJZ745" s="13"/>
      <c r="BKA745" s="13"/>
      <c r="BKB745" s="13"/>
      <c r="BKC745" s="13"/>
      <c r="BKD745" s="13"/>
      <c r="BKE745" s="13"/>
      <c r="BKF745" s="13"/>
      <c r="BKG745" s="13"/>
      <c r="BKH745" s="13"/>
      <c r="BKI745" s="13"/>
      <c r="BKJ745" s="13"/>
      <c r="BKK745" s="13"/>
      <c r="BKL745" s="13"/>
      <c r="BKM745" s="13"/>
      <c r="BKN745" s="13"/>
      <c r="BKO745" s="13"/>
      <c r="BKP745" s="13"/>
      <c r="BKQ745" s="13"/>
      <c r="BKR745" s="13"/>
      <c r="BKS745" s="13"/>
      <c r="BKT745" s="13"/>
      <c r="BKU745" s="13"/>
      <c r="BKV745" s="13"/>
      <c r="BKW745" s="13"/>
      <c r="BKX745" s="13"/>
      <c r="BKY745" s="13"/>
      <c r="BKZ745" s="13"/>
      <c r="BLA745" s="13"/>
      <c r="BLB745" s="13"/>
      <c r="BLC745" s="13"/>
      <c r="BLD745" s="13"/>
      <c r="BLE745" s="13"/>
      <c r="BLF745" s="13"/>
      <c r="BLG745" s="13"/>
      <c r="BLH745" s="13"/>
      <c r="BLI745" s="13"/>
      <c r="BLJ745" s="13"/>
      <c r="BLK745" s="13"/>
      <c r="BLL745" s="13"/>
      <c r="BLM745" s="13"/>
      <c r="BLN745" s="13"/>
      <c r="BLO745" s="13"/>
      <c r="BLP745" s="13"/>
      <c r="BLQ745" s="13"/>
      <c r="BLR745" s="13"/>
      <c r="BLS745" s="13"/>
      <c r="BLT745" s="13"/>
      <c r="BLU745" s="13"/>
      <c r="BLV745" s="13"/>
      <c r="BLW745" s="13"/>
      <c r="BLX745" s="13"/>
      <c r="BLY745" s="13"/>
      <c r="BLZ745" s="13"/>
      <c r="BMA745" s="13"/>
      <c r="BMB745" s="13"/>
      <c r="BMC745" s="13"/>
      <c r="BMD745" s="13"/>
      <c r="BME745" s="13"/>
      <c r="BMF745" s="13"/>
      <c r="BMG745" s="13"/>
      <c r="BMH745" s="13"/>
      <c r="BMI745" s="13"/>
      <c r="BMJ745" s="13"/>
      <c r="BMK745" s="13"/>
      <c r="BML745" s="13"/>
      <c r="BMM745" s="13"/>
      <c r="BMN745" s="13"/>
      <c r="BMO745" s="13"/>
      <c r="BMP745" s="13"/>
      <c r="BMQ745" s="13"/>
      <c r="BMR745" s="13"/>
      <c r="BMS745" s="13"/>
      <c r="BMT745" s="13"/>
      <c r="BMU745" s="13"/>
      <c r="BMV745" s="13"/>
      <c r="BMW745" s="13"/>
      <c r="BMX745" s="13"/>
      <c r="BMY745" s="13"/>
      <c r="BMZ745" s="13"/>
      <c r="BNA745" s="13"/>
      <c r="BNB745" s="13"/>
      <c r="BNC745" s="13"/>
      <c r="BND745" s="13"/>
      <c r="BNE745" s="13"/>
      <c r="BNF745" s="13"/>
      <c r="BNG745" s="13"/>
      <c r="BNH745" s="13"/>
      <c r="BNI745" s="13"/>
      <c r="BNJ745" s="13"/>
      <c r="BNK745" s="13"/>
      <c r="BNL745" s="13"/>
      <c r="BNM745" s="13"/>
      <c r="BNN745" s="13"/>
      <c r="BNO745" s="13"/>
      <c r="BNP745" s="13"/>
      <c r="BNQ745" s="13"/>
      <c r="BNR745" s="13"/>
      <c r="BNS745" s="13"/>
      <c r="BNT745" s="13"/>
      <c r="BNU745" s="13"/>
      <c r="BNV745" s="13"/>
      <c r="BNW745" s="13"/>
      <c r="BNX745" s="13"/>
      <c r="BNY745" s="13"/>
      <c r="BNZ745" s="13"/>
      <c r="BOA745" s="13"/>
      <c r="BOB745" s="13"/>
      <c r="BOC745" s="13"/>
      <c r="BOD745" s="13"/>
      <c r="BOE745" s="13"/>
      <c r="BOF745" s="13"/>
      <c r="BOG745" s="13"/>
      <c r="BOH745" s="13"/>
      <c r="BOI745" s="13"/>
      <c r="BOJ745" s="13"/>
      <c r="BOK745" s="13"/>
      <c r="BOL745" s="13"/>
      <c r="BOM745" s="13"/>
      <c r="BON745" s="13"/>
      <c r="BOO745" s="13"/>
      <c r="BOP745" s="13"/>
      <c r="BOQ745" s="13"/>
      <c r="BOR745" s="13"/>
      <c r="BOS745" s="13"/>
      <c r="BOT745" s="13"/>
      <c r="BOU745" s="13"/>
      <c r="BOV745" s="13"/>
      <c r="BOW745" s="13"/>
      <c r="BOX745" s="13"/>
      <c r="BOY745" s="13"/>
      <c r="BOZ745" s="13"/>
      <c r="BPA745" s="13"/>
      <c r="BPB745" s="13"/>
      <c r="BPC745" s="13"/>
      <c r="BPD745" s="13"/>
      <c r="BPE745" s="13"/>
      <c r="BPF745" s="13"/>
      <c r="BPG745" s="13"/>
      <c r="BPH745" s="13"/>
      <c r="BPI745" s="13"/>
      <c r="BPJ745" s="13"/>
      <c r="BPK745" s="13"/>
      <c r="BPL745" s="13"/>
      <c r="BPM745" s="13"/>
      <c r="BPN745" s="13"/>
      <c r="BPO745" s="13"/>
      <c r="BPP745" s="13"/>
      <c r="BPQ745" s="13"/>
      <c r="BPR745" s="13"/>
      <c r="BPS745" s="13"/>
      <c r="BPT745" s="13"/>
      <c r="BPU745" s="13"/>
      <c r="BPV745" s="13"/>
      <c r="BPW745" s="13"/>
      <c r="BPX745" s="13"/>
      <c r="BPY745" s="13"/>
      <c r="BPZ745" s="13"/>
      <c r="BQA745" s="13"/>
      <c r="BQB745" s="13"/>
      <c r="BQC745" s="13"/>
      <c r="BQD745" s="13"/>
      <c r="BQE745" s="13"/>
      <c r="BQF745" s="13"/>
      <c r="BQG745" s="13"/>
      <c r="BQH745" s="13"/>
      <c r="BQI745" s="13"/>
      <c r="BQJ745" s="13"/>
      <c r="BQK745" s="13"/>
      <c r="BQL745" s="13"/>
      <c r="BQM745" s="13"/>
      <c r="BQN745" s="13"/>
      <c r="BQO745" s="13"/>
      <c r="BQP745" s="13"/>
      <c r="BQQ745" s="13"/>
      <c r="BQR745" s="13"/>
      <c r="BQS745" s="13"/>
      <c r="BQT745" s="13"/>
      <c r="BQU745" s="13"/>
      <c r="BQV745" s="13"/>
      <c r="BQW745" s="13"/>
      <c r="BQX745" s="13"/>
      <c r="BQY745" s="13"/>
      <c r="BQZ745" s="13"/>
      <c r="BRA745" s="13"/>
      <c r="BRB745" s="13"/>
      <c r="BRC745" s="13"/>
      <c r="BRD745" s="13"/>
      <c r="BRE745" s="13"/>
      <c r="BRF745" s="13"/>
      <c r="BRG745" s="13"/>
      <c r="BRH745" s="13"/>
      <c r="BRI745" s="13"/>
      <c r="BRJ745" s="13"/>
      <c r="BRK745" s="13"/>
      <c r="BRL745" s="13"/>
      <c r="BRM745" s="13"/>
      <c r="BRN745" s="13"/>
      <c r="BRO745" s="13"/>
      <c r="BRP745" s="13"/>
      <c r="BRQ745" s="13"/>
      <c r="BRR745" s="13"/>
      <c r="BRS745" s="13"/>
      <c r="BRT745" s="13"/>
      <c r="BRU745" s="13"/>
      <c r="BRV745" s="13"/>
      <c r="BRW745" s="13"/>
      <c r="BRX745" s="13"/>
      <c r="BRY745" s="13"/>
      <c r="BRZ745" s="13"/>
      <c r="BSA745" s="13"/>
      <c r="BSB745" s="13"/>
      <c r="BSC745" s="13"/>
      <c r="BSD745" s="13"/>
      <c r="BSE745" s="13"/>
      <c r="BSF745" s="13"/>
      <c r="BSG745" s="13"/>
      <c r="BSH745" s="13"/>
      <c r="BSI745" s="13"/>
      <c r="BSJ745" s="13"/>
      <c r="BSK745" s="13"/>
      <c r="BSL745" s="13"/>
      <c r="BSM745" s="13"/>
      <c r="BSN745" s="13"/>
      <c r="BSO745" s="13"/>
      <c r="BSP745" s="13"/>
      <c r="BSQ745" s="13"/>
      <c r="BSR745" s="13"/>
      <c r="BSS745" s="13"/>
      <c r="BST745" s="13"/>
      <c r="BSU745" s="13"/>
      <c r="BSV745" s="13"/>
      <c r="BSW745" s="13"/>
      <c r="BSX745" s="13"/>
      <c r="BSY745" s="13"/>
      <c r="BSZ745" s="13"/>
      <c r="BTA745" s="13"/>
    </row>
    <row r="746" spans="1:1873" s="199" customFormat="1" x14ac:dyDescent="0.2">
      <c r="A746" s="283" t="s">
        <v>1389</v>
      </c>
      <c r="B746" s="249" t="s">
        <v>810</v>
      </c>
      <c r="C746" s="249" t="s">
        <v>1731</v>
      </c>
      <c r="D746" s="283" t="s">
        <v>619</v>
      </c>
      <c r="E746" s="283" t="s">
        <v>1457</v>
      </c>
      <c r="F746" s="283">
        <v>1</v>
      </c>
      <c r="G746" s="283">
        <v>8</v>
      </c>
      <c r="H746" s="251">
        <v>9</v>
      </c>
      <c r="I746" s="249" t="s">
        <v>807</v>
      </c>
      <c r="J746" s="249">
        <v>1995</v>
      </c>
      <c r="K746" s="249" t="s">
        <v>1211</v>
      </c>
      <c r="L746" s="249">
        <v>2002</v>
      </c>
      <c r="M746" s="253">
        <v>-9999</v>
      </c>
      <c r="N746" s="249">
        <v>-9999</v>
      </c>
      <c r="O746" s="18"/>
      <c r="P746" s="284">
        <f>+T746*G746</f>
        <v>133.84</v>
      </c>
      <c r="Q746" s="249">
        <v>-9999</v>
      </c>
      <c r="R746" s="253"/>
      <c r="S746" s="249"/>
      <c r="T746" s="426">
        <v>16.73</v>
      </c>
      <c r="U746" s="249">
        <v>-9999</v>
      </c>
      <c r="V746" s="249"/>
      <c r="W746" s="253">
        <v>-9999</v>
      </c>
      <c r="X746" s="249">
        <v>-9999</v>
      </c>
      <c r="Y746" s="249"/>
      <c r="Z746" s="249" t="s">
        <v>808</v>
      </c>
      <c r="AA746" s="251">
        <v>1075</v>
      </c>
      <c r="AB746" s="253">
        <v>1</v>
      </c>
      <c r="AC746" s="249">
        <v>-9999</v>
      </c>
      <c r="AD746" s="249">
        <v>18.600000000000001</v>
      </c>
      <c r="AE746" s="249" t="s">
        <v>1738</v>
      </c>
      <c r="AF746" s="249">
        <v>10</v>
      </c>
      <c r="AG746" s="249" t="s">
        <v>1741</v>
      </c>
      <c r="AH746" s="249" t="s">
        <v>1034</v>
      </c>
      <c r="AI746" s="249" t="s">
        <v>1739</v>
      </c>
      <c r="AJ746" s="249">
        <v>-9999</v>
      </c>
      <c r="AK746" s="249" t="s">
        <v>626</v>
      </c>
      <c r="AL746" s="249" t="s">
        <v>828</v>
      </c>
      <c r="AM746" s="249">
        <v>-9999</v>
      </c>
      <c r="AN746" s="249" t="s">
        <v>631</v>
      </c>
      <c r="AO746" s="249">
        <v>-9999</v>
      </c>
      <c r="AP746" s="249">
        <v>-9999</v>
      </c>
      <c r="AQ746" s="249" t="s">
        <v>631</v>
      </c>
      <c r="AR746" s="249">
        <v>0</v>
      </c>
      <c r="AS746" s="249">
        <v>-9999</v>
      </c>
      <c r="AT746" s="249">
        <v>-9999</v>
      </c>
      <c r="AU746" s="249">
        <v>0</v>
      </c>
      <c r="AV746" s="249">
        <v>-9999</v>
      </c>
      <c r="AW746" s="249">
        <v>-9999</v>
      </c>
      <c r="AX746" s="249">
        <v>0</v>
      </c>
      <c r="AY746" s="249">
        <v>-9999</v>
      </c>
      <c r="AZ746" s="249">
        <v>-9999</v>
      </c>
      <c r="BA746" s="249">
        <v>-9988</v>
      </c>
      <c r="BB746" s="249" t="s">
        <v>626</v>
      </c>
      <c r="BC746" s="249">
        <v>-9999</v>
      </c>
      <c r="BD746" s="249">
        <v>-9999</v>
      </c>
      <c r="BE746" s="249">
        <v>-9999</v>
      </c>
      <c r="BF746" s="249">
        <v>-9999</v>
      </c>
      <c r="BG746" s="249">
        <v>-9999</v>
      </c>
      <c r="BH746" s="249">
        <v>-9999</v>
      </c>
      <c r="BI746" s="249" t="s">
        <v>1035</v>
      </c>
      <c r="BJ746" s="249">
        <v>-9999</v>
      </c>
      <c r="BK746" s="249">
        <v>-9999</v>
      </c>
      <c r="BL746" s="249">
        <v>-9999</v>
      </c>
      <c r="BM746" s="249">
        <v>-9999</v>
      </c>
      <c r="BN746" s="249">
        <v>-9999</v>
      </c>
      <c r="BO746" s="249">
        <v>-9999</v>
      </c>
      <c r="BP746" s="249">
        <v>-9999</v>
      </c>
      <c r="BQ746" s="249">
        <v>-9999</v>
      </c>
      <c r="BR746" s="249">
        <v>-9999</v>
      </c>
      <c r="BS746" s="251">
        <v>-9999</v>
      </c>
      <c r="BT746" s="249">
        <v>-9999</v>
      </c>
      <c r="BU746" s="249">
        <v>-9999</v>
      </c>
      <c r="BV746" s="249">
        <v>-9999</v>
      </c>
      <c r="BW746" s="249"/>
      <c r="BX746" s="249">
        <v>-9999</v>
      </c>
      <c r="BY746" s="249">
        <v>-9999</v>
      </c>
      <c r="BZ746" s="249">
        <v>-9999</v>
      </c>
      <c r="CA746" s="335" t="s">
        <v>797</v>
      </c>
      <c r="CB746" s="254"/>
      <c r="CC746" s="191">
        <v>1</v>
      </c>
      <c r="CD746" s="283">
        <v>8</v>
      </c>
      <c r="CE746" s="393">
        <v>16.73</v>
      </c>
      <c r="CF746" s="99">
        <v>-9999</v>
      </c>
      <c r="CG746" s="251">
        <v>9</v>
      </c>
      <c r="CH746" s="436"/>
      <c r="CI746" s="13"/>
      <c r="CJ746" s="13"/>
      <c r="CK746" s="13"/>
      <c r="CL746" s="13"/>
      <c r="CM746" s="13"/>
      <c r="CN746" s="13"/>
      <c r="CO746" s="13"/>
      <c r="CP746" s="13"/>
      <c r="CQ746" s="13"/>
      <c r="CR746" s="13"/>
      <c r="CS746" s="13"/>
      <c r="CT746" s="13"/>
      <c r="CU746" s="13"/>
      <c r="CV746" s="13"/>
      <c r="CW746" s="13"/>
      <c r="CX746" s="13"/>
      <c r="CY746" s="13"/>
      <c r="CZ746" s="13"/>
      <c r="DA746" s="13"/>
      <c r="DB746" s="13"/>
      <c r="DC746" s="13"/>
      <c r="DD746" s="13"/>
      <c r="DE746" s="13"/>
      <c r="DF746" s="13"/>
      <c r="DG746" s="13"/>
      <c r="DH746" s="13"/>
      <c r="DI746" s="13"/>
      <c r="DJ746" s="13"/>
      <c r="DK746" s="13"/>
      <c r="DL746" s="13"/>
      <c r="DM746" s="13"/>
      <c r="DN746" s="13"/>
      <c r="DO746" s="13"/>
      <c r="DP746" s="13"/>
      <c r="DQ746" s="13"/>
      <c r="DR746" s="13"/>
      <c r="DS746" s="13"/>
      <c r="DT746" s="13"/>
      <c r="DU746" s="13"/>
      <c r="DV746" s="13"/>
      <c r="DW746" s="13"/>
      <c r="DX746" s="13"/>
      <c r="DY746" s="13"/>
      <c r="DZ746" s="13"/>
      <c r="EA746" s="13"/>
      <c r="EB746" s="13"/>
      <c r="EC746" s="13"/>
      <c r="ED746" s="13"/>
      <c r="EE746" s="13"/>
      <c r="EF746" s="13"/>
      <c r="EG746" s="13"/>
      <c r="EH746" s="13"/>
      <c r="EI746" s="13"/>
      <c r="EJ746" s="13"/>
      <c r="EK746" s="13"/>
      <c r="EL746" s="13"/>
      <c r="EM746" s="13"/>
      <c r="EN746" s="13"/>
      <c r="EO746" s="13"/>
      <c r="EP746" s="13"/>
      <c r="EQ746" s="13"/>
      <c r="ER746" s="13"/>
      <c r="ES746" s="13"/>
      <c r="ET746" s="13"/>
      <c r="EU746" s="13"/>
      <c r="EV746" s="13"/>
      <c r="EW746" s="13"/>
      <c r="EX746" s="13"/>
      <c r="EY746" s="13"/>
      <c r="EZ746" s="13"/>
      <c r="FA746" s="13"/>
      <c r="FB746" s="13"/>
      <c r="FC746" s="13"/>
      <c r="FD746" s="13"/>
      <c r="FE746" s="13"/>
      <c r="FF746" s="13"/>
      <c r="FG746" s="13"/>
      <c r="FH746" s="13"/>
      <c r="FI746" s="13"/>
      <c r="FJ746" s="13"/>
      <c r="FK746" s="13"/>
      <c r="FL746" s="13"/>
      <c r="FM746" s="13"/>
      <c r="FN746" s="13"/>
      <c r="FO746" s="13"/>
      <c r="FP746" s="13"/>
      <c r="FQ746" s="13"/>
      <c r="FR746" s="13"/>
      <c r="FS746" s="13"/>
      <c r="FT746" s="13"/>
      <c r="FU746" s="13"/>
      <c r="FV746" s="13"/>
      <c r="FW746" s="13"/>
      <c r="FX746" s="13"/>
      <c r="FY746" s="13"/>
      <c r="FZ746" s="13"/>
      <c r="GA746" s="13"/>
      <c r="GB746" s="13"/>
      <c r="GC746" s="13"/>
      <c r="GD746" s="13"/>
      <c r="GE746" s="13"/>
      <c r="GF746" s="13"/>
      <c r="GG746" s="13"/>
      <c r="GH746" s="13"/>
      <c r="GI746" s="13"/>
      <c r="GJ746" s="13"/>
      <c r="GK746" s="13"/>
      <c r="GL746" s="13"/>
      <c r="GM746" s="13"/>
      <c r="GN746" s="13"/>
      <c r="GO746" s="13"/>
      <c r="GP746" s="13"/>
      <c r="GQ746" s="13"/>
      <c r="GR746" s="13"/>
      <c r="GS746" s="13"/>
      <c r="GT746" s="13"/>
      <c r="GU746" s="13"/>
      <c r="GV746" s="13"/>
      <c r="GW746" s="13"/>
      <c r="GX746" s="13"/>
      <c r="GY746" s="13"/>
      <c r="GZ746" s="13"/>
      <c r="HA746" s="13"/>
      <c r="HB746" s="13"/>
      <c r="HC746" s="13"/>
      <c r="HD746" s="13"/>
      <c r="HE746" s="13"/>
      <c r="HF746" s="13"/>
      <c r="HG746" s="13"/>
      <c r="HH746" s="13"/>
      <c r="HI746" s="13"/>
      <c r="HJ746" s="13"/>
      <c r="HK746" s="13"/>
      <c r="HL746" s="13"/>
      <c r="HM746" s="13"/>
      <c r="HN746" s="13"/>
      <c r="HO746" s="13"/>
      <c r="HP746" s="13"/>
      <c r="HQ746" s="13"/>
      <c r="HR746" s="13"/>
      <c r="HS746" s="13"/>
      <c r="HT746" s="13"/>
      <c r="HU746" s="13"/>
      <c r="HV746" s="13"/>
      <c r="HW746" s="13"/>
      <c r="HX746" s="13"/>
      <c r="HY746" s="13"/>
      <c r="HZ746" s="13"/>
      <c r="IA746" s="13"/>
      <c r="IB746" s="13"/>
      <c r="IC746" s="13"/>
      <c r="ID746" s="13"/>
      <c r="IE746" s="13"/>
      <c r="IF746" s="13"/>
      <c r="IG746" s="13"/>
      <c r="IH746" s="13"/>
      <c r="II746" s="13"/>
      <c r="IJ746" s="13"/>
      <c r="IK746" s="13"/>
      <c r="IL746" s="13"/>
      <c r="IM746" s="13"/>
      <c r="IN746" s="13"/>
      <c r="IO746" s="13"/>
      <c r="IP746" s="13"/>
      <c r="IQ746" s="13"/>
      <c r="IR746" s="13"/>
      <c r="IS746" s="13"/>
      <c r="IT746" s="13"/>
      <c r="IU746" s="13"/>
      <c r="IV746" s="13"/>
      <c r="IW746" s="13"/>
      <c r="IX746" s="13"/>
      <c r="IY746" s="13"/>
      <c r="IZ746" s="13"/>
      <c r="JA746" s="13"/>
      <c r="JB746" s="13"/>
      <c r="JC746" s="13"/>
      <c r="JD746" s="13"/>
      <c r="JE746" s="13"/>
      <c r="JF746" s="13"/>
      <c r="JG746" s="13"/>
      <c r="JH746" s="13"/>
      <c r="JI746" s="13"/>
      <c r="JJ746" s="13"/>
      <c r="JK746" s="13"/>
      <c r="JL746" s="13"/>
      <c r="JM746" s="13"/>
      <c r="JN746" s="13"/>
      <c r="JO746" s="13"/>
      <c r="JP746" s="13"/>
      <c r="JQ746" s="13"/>
      <c r="JR746" s="13"/>
      <c r="JS746" s="13"/>
      <c r="JT746" s="13"/>
      <c r="JU746" s="13"/>
      <c r="JV746" s="13"/>
      <c r="JW746" s="13"/>
      <c r="JX746" s="13"/>
      <c r="JY746" s="13"/>
      <c r="JZ746" s="13"/>
      <c r="KA746" s="13"/>
      <c r="KB746" s="13"/>
      <c r="KC746" s="13"/>
      <c r="KD746" s="13"/>
      <c r="KE746" s="13"/>
      <c r="KF746" s="13"/>
      <c r="KG746" s="13"/>
      <c r="KH746" s="13"/>
      <c r="KI746" s="13"/>
      <c r="KJ746" s="13"/>
      <c r="KK746" s="13"/>
      <c r="KL746" s="13"/>
      <c r="KM746" s="13"/>
      <c r="KN746" s="13"/>
      <c r="KO746" s="13"/>
      <c r="KP746" s="13"/>
      <c r="KQ746" s="13"/>
      <c r="KR746" s="13"/>
      <c r="KS746" s="13"/>
      <c r="KT746" s="13"/>
      <c r="KU746" s="13"/>
      <c r="KV746" s="13"/>
      <c r="KW746" s="13"/>
      <c r="KX746" s="13"/>
      <c r="KY746" s="13"/>
      <c r="KZ746" s="13"/>
      <c r="LA746" s="13"/>
      <c r="LB746" s="13"/>
      <c r="LC746" s="13"/>
      <c r="LD746" s="13"/>
      <c r="LE746" s="13"/>
      <c r="LF746" s="13"/>
      <c r="LG746" s="13"/>
      <c r="LH746" s="13"/>
      <c r="LI746" s="13"/>
      <c r="LJ746" s="13"/>
      <c r="LK746" s="13"/>
      <c r="LL746" s="13"/>
      <c r="LM746" s="13"/>
      <c r="LN746" s="13"/>
      <c r="LO746" s="13"/>
      <c r="LP746" s="13"/>
      <c r="LQ746" s="13"/>
      <c r="LR746" s="13"/>
      <c r="LS746" s="13"/>
      <c r="LT746" s="13"/>
      <c r="LU746" s="13"/>
      <c r="LV746" s="13"/>
      <c r="LW746" s="13"/>
      <c r="LX746" s="13"/>
      <c r="LY746" s="13"/>
      <c r="LZ746" s="13"/>
      <c r="MA746" s="13"/>
      <c r="MB746" s="13"/>
      <c r="MC746" s="13"/>
      <c r="MD746" s="13"/>
      <c r="ME746" s="13"/>
      <c r="MF746" s="13"/>
      <c r="MG746" s="13"/>
      <c r="MH746" s="13"/>
      <c r="MI746" s="13"/>
      <c r="MJ746" s="13"/>
      <c r="MK746" s="13"/>
      <c r="ML746" s="13"/>
      <c r="MM746" s="13"/>
      <c r="MN746" s="13"/>
      <c r="MO746" s="13"/>
      <c r="MP746" s="13"/>
      <c r="MQ746" s="13"/>
      <c r="MR746" s="13"/>
      <c r="MS746" s="13"/>
      <c r="MT746" s="13"/>
      <c r="MU746" s="13"/>
      <c r="MV746" s="13"/>
      <c r="MW746" s="13"/>
      <c r="MX746" s="13"/>
      <c r="MY746" s="13"/>
      <c r="MZ746" s="13"/>
      <c r="NA746" s="13"/>
      <c r="NB746" s="13"/>
      <c r="NC746" s="13"/>
      <c r="ND746" s="13"/>
      <c r="NE746" s="13"/>
      <c r="NF746" s="13"/>
      <c r="NG746" s="13"/>
      <c r="NH746" s="13"/>
      <c r="NI746" s="13"/>
      <c r="NJ746" s="13"/>
      <c r="NK746" s="13"/>
      <c r="NL746" s="13"/>
      <c r="NM746" s="13"/>
      <c r="NN746" s="13"/>
      <c r="NO746" s="13"/>
      <c r="NP746" s="13"/>
      <c r="NQ746" s="13"/>
      <c r="NR746" s="13"/>
      <c r="NS746" s="13"/>
      <c r="NT746" s="13"/>
      <c r="NU746" s="13"/>
      <c r="NV746" s="13"/>
      <c r="NW746" s="13"/>
      <c r="NX746" s="13"/>
      <c r="NY746" s="13"/>
      <c r="NZ746" s="13"/>
      <c r="OA746" s="13"/>
      <c r="OB746" s="13"/>
      <c r="OC746" s="13"/>
      <c r="OD746" s="13"/>
      <c r="OE746" s="13"/>
      <c r="OF746" s="13"/>
      <c r="OG746" s="13"/>
      <c r="OH746" s="13"/>
      <c r="OI746" s="13"/>
      <c r="OJ746" s="13"/>
      <c r="OK746" s="13"/>
      <c r="OL746" s="13"/>
      <c r="OM746" s="13"/>
      <c r="ON746" s="13"/>
      <c r="OO746" s="13"/>
      <c r="OP746" s="13"/>
      <c r="OQ746" s="13"/>
      <c r="OR746" s="13"/>
      <c r="OS746" s="13"/>
      <c r="OT746" s="13"/>
      <c r="OU746" s="13"/>
      <c r="OV746" s="13"/>
      <c r="OW746" s="13"/>
      <c r="OX746" s="13"/>
      <c r="OY746" s="13"/>
      <c r="OZ746" s="13"/>
      <c r="PA746" s="13"/>
      <c r="PB746" s="13"/>
      <c r="PC746" s="13"/>
      <c r="PD746" s="13"/>
      <c r="PE746" s="13"/>
      <c r="PF746" s="13"/>
      <c r="PG746" s="13"/>
      <c r="PH746" s="13"/>
      <c r="PI746" s="13"/>
      <c r="PJ746" s="13"/>
      <c r="PK746" s="13"/>
      <c r="PL746" s="13"/>
      <c r="PM746" s="13"/>
      <c r="PN746" s="13"/>
      <c r="PO746" s="13"/>
      <c r="PP746" s="13"/>
      <c r="PQ746" s="13"/>
      <c r="PR746" s="13"/>
      <c r="PS746" s="13"/>
      <c r="PT746" s="13"/>
      <c r="PU746" s="13"/>
      <c r="PV746" s="13"/>
      <c r="PW746" s="13"/>
      <c r="PX746" s="13"/>
      <c r="PY746" s="13"/>
      <c r="PZ746" s="13"/>
      <c r="QA746" s="13"/>
      <c r="QB746" s="13"/>
      <c r="QC746" s="13"/>
      <c r="QD746" s="13"/>
      <c r="QE746" s="13"/>
      <c r="QF746" s="13"/>
      <c r="QG746" s="13"/>
      <c r="QH746" s="13"/>
      <c r="QI746" s="13"/>
      <c r="QJ746" s="13"/>
      <c r="QK746" s="13"/>
      <c r="QL746" s="13"/>
      <c r="QM746" s="13"/>
      <c r="QN746" s="13"/>
      <c r="QO746" s="13"/>
      <c r="QP746" s="13"/>
      <c r="QQ746" s="13"/>
      <c r="QR746" s="13"/>
      <c r="QS746" s="13"/>
      <c r="QT746" s="13"/>
      <c r="QU746" s="13"/>
      <c r="QV746" s="13"/>
      <c r="QW746" s="13"/>
      <c r="QX746" s="13"/>
      <c r="QY746" s="13"/>
      <c r="QZ746" s="13"/>
      <c r="RA746" s="13"/>
      <c r="RB746" s="13"/>
      <c r="RC746" s="13"/>
      <c r="RD746" s="13"/>
      <c r="RE746" s="13"/>
      <c r="RF746" s="13"/>
      <c r="RG746" s="13"/>
      <c r="RH746" s="13"/>
      <c r="RI746" s="13"/>
      <c r="RJ746" s="13"/>
      <c r="RK746" s="13"/>
      <c r="RL746" s="13"/>
      <c r="RM746" s="13"/>
      <c r="RN746" s="13"/>
      <c r="RO746" s="13"/>
      <c r="RP746" s="13"/>
      <c r="RQ746" s="13"/>
      <c r="RR746" s="13"/>
      <c r="RS746" s="13"/>
      <c r="RT746" s="13"/>
      <c r="RU746" s="13"/>
      <c r="RV746" s="13"/>
      <c r="RW746" s="13"/>
      <c r="RX746" s="13"/>
      <c r="RY746" s="13"/>
      <c r="RZ746" s="13"/>
      <c r="SA746" s="13"/>
      <c r="SB746" s="13"/>
      <c r="SC746" s="13"/>
      <c r="SD746" s="13"/>
      <c r="SE746" s="13"/>
      <c r="SF746" s="13"/>
      <c r="SG746" s="13"/>
      <c r="SH746" s="13"/>
      <c r="SI746" s="13"/>
      <c r="SJ746" s="13"/>
      <c r="SK746" s="13"/>
      <c r="SL746" s="13"/>
      <c r="SM746" s="13"/>
      <c r="SN746" s="13"/>
      <c r="SO746" s="13"/>
      <c r="SP746" s="13"/>
      <c r="SQ746" s="13"/>
      <c r="SR746" s="13"/>
      <c r="SS746" s="13"/>
      <c r="ST746" s="13"/>
      <c r="SU746" s="13"/>
      <c r="SV746" s="13"/>
      <c r="SW746" s="13"/>
      <c r="SX746" s="13"/>
      <c r="SY746" s="13"/>
      <c r="SZ746" s="13"/>
      <c r="TA746" s="13"/>
      <c r="TB746" s="13"/>
      <c r="TC746" s="13"/>
      <c r="TD746" s="13"/>
      <c r="TE746" s="13"/>
      <c r="TF746" s="13"/>
      <c r="TG746" s="13"/>
      <c r="TH746" s="13"/>
      <c r="TI746" s="13"/>
      <c r="TJ746" s="13"/>
      <c r="TK746" s="13"/>
      <c r="TL746" s="13"/>
      <c r="TM746" s="13"/>
      <c r="TN746" s="13"/>
      <c r="TO746" s="13"/>
      <c r="TP746" s="13"/>
      <c r="TQ746" s="13"/>
      <c r="TR746" s="13"/>
      <c r="TS746" s="13"/>
      <c r="TT746" s="13"/>
      <c r="TU746" s="13"/>
      <c r="TV746" s="13"/>
      <c r="TW746" s="13"/>
      <c r="TX746" s="13"/>
      <c r="TY746" s="13"/>
      <c r="TZ746" s="13"/>
      <c r="UA746" s="13"/>
      <c r="UB746" s="13"/>
      <c r="UC746" s="13"/>
      <c r="UD746" s="13"/>
      <c r="UE746" s="13"/>
      <c r="UF746" s="13"/>
      <c r="UG746" s="13"/>
      <c r="UH746" s="13"/>
      <c r="UI746" s="13"/>
      <c r="UJ746" s="13"/>
      <c r="UK746" s="13"/>
      <c r="UL746" s="13"/>
      <c r="UM746" s="13"/>
      <c r="UN746" s="13"/>
      <c r="UO746" s="13"/>
      <c r="UP746" s="13"/>
      <c r="UQ746" s="13"/>
      <c r="UR746" s="13"/>
      <c r="US746" s="13"/>
      <c r="UT746" s="13"/>
      <c r="UU746" s="13"/>
      <c r="UV746" s="13"/>
      <c r="UW746" s="13"/>
      <c r="UX746" s="13"/>
      <c r="UY746" s="13"/>
      <c r="UZ746" s="13"/>
      <c r="VA746" s="13"/>
      <c r="VB746" s="13"/>
      <c r="VC746" s="13"/>
      <c r="VD746" s="13"/>
      <c r="VE746" s="13"/>
      <c r="VF746" s="13"/>
      <c r="VG746" s="13"/>
      <c r="VH746" s="13"/>
      <c r="VI746" s="13"/>
      <c r="VJ746" s="13"/>
      <c r="VK746" s="13"/>
      <c r="VL746" s="13"/>
      <c r="VM746" s="13"/>
      <c r="VN746" s="13"/>
      <c r="VO746" s="13"/>
      <c r="VP746" s="13"/>
      <c r="VQ746" s="13"/>
      <c r="VR746" s="13"/>
      <c r="VS746" s="13"/>
      <c r="VT746" s="13"/>
      <c r="VU746" s="13"/>
      <c r="VV746" s="13"/>
      <c r="VW746" s="13"/>
      <c r="VX746" s="13"/>
      <c r="VY746" s="13"/>
      <c r="VZ746" s="13"/>
      <c r="WA746" s="13"/>
      <c r="WB746" s="13"/>
      <c r="WC746" s="13"/>
      <c r="WD746" s="13"/>
      <c r="WE746" s="13"/>
      <c r="WF746" s="13"/>
      <c r="WG746" s="13"/>
      <c r="WH746" s="13"/>
      <c r="WI746" s="13"/>
      <c r="WJ746" s="13"/>
      <c r="WK746" s="13"/>
      <c r="WL746" s="13"/>
      <c r="WM746" s="13"/>
      <c r="WN746" s="13"/>
      <c r="WO746" s="13"/>
      <c r="WP746" s="13"/>
      <c r="WQ746" s="13"/>
      <c r="WR746" s="13"/>
      <c r="WS746" s="13"/>
      <c r="WT746" s="13"/>
      <c r="WU746" s="13"/>
      <c r="WV746" s="13"/>
      <c r="WW746" s="13"/>
      <c r="WX746" s="13"/>
      <c r="WY746" s="13"/>
      <c r="WZ746" s="13"/>
      <c r="XA746" s="13"/>
      <c r="XB746" s="13"/>
      <c r="XC746" s="13"/>
      <c r="XD746" s="13"/>
      <c r="XE746" s="13"/>
      <c r="XF746" s="13"/>
      <c r="XG746" s="13"/>
      <c r="XH746" s="13"/>
      <c r="XI746" s="13"/>
      <c r="XJ746" s="13"/>
      <c r="XK746" s="13"/>
      <c r="XL746" s="13"/>
      <c r="XM746" s="13"/>
      <c r="XN746" s="13"/>
      <c r="XO746" s="13"/>
      <c r="XP746" s="13"/>
      <c r="XQ746" s="13"/>
      <c r="XR746" s="13"/>
      <c r="XS746" s="13"/>
      <c r="XT746" s="13"/>
      <c r="XU746" s="13"/>
      <c r="XV746" s="13"/>
      <c r="XW746" s="13"/>
      <c r="XX746" s="13"/>
      <c r="XY746" s="13"/>
      <c r="XZ746" s="13"/>
      <c r="YA746" s="13"/>
      <c r="YB746" s="13"/>
      <c r="YC746" s="13"/>
      <c r="YD746" s="13"/>
      <c r="YE746" s="13"/>
      <c r="YF746" s="13"/>
      <c r="YG746" s="13"/>
      <c r="YH746" s="13"/>
      <c r="YI746" s="13"/>
      <c r="YJ746" s="13"/>
      <c r="YK746" s="13"/>
      <c r="YL746" s="13"/>
      <c r="YM746" s="13"/>
      <c r="YN746" s="13"/>
      <c r="YO746" s="13"/>
      <c r="YP746" s="13"/>
      <c r="YQ746" s="13"/>
      <c r="YR746" s="13"/>
      <c r="YS746" s="13"/>
      <c r="YT746" s="13"/>
      <c r="YU746" s="13"/>
      <c r="YV746" s="13"/>
      <c r="YW746" s="13"/>
      <c r="YX746" s="13"/>
      <c r="YY746" s="13"/>
      <c r="YZ746" s="13"/>
      <c r="ZA746" s="13"/>
      <c r="ZB746" s="13"/>
      <c r="ZC746" s="13"/>
      <c r="ZD746" s="13"/>
      <c r="ZE746" s="13"/>
      <c r="ZF746" s="13"/>
      <c r="ZG746" s="13"/>
      <c r="ZH746" s="13"/>
      <c r="ZI746" s="13"/>
      <c r="ZJ746" s="13"/>
      <c r="ZK746" s="13"/>
      <c r="ZL746" s="13"/>
      <c r="ZM746" s="13"/>
      <c r="ZN746" s="13"/>
      <c r="ZO746" s="13"/>
      <c r="ZP746" s="13"/>
      <c r="ZQ746" s="13"/>
      <c r="ZR746" s="13"/>
      <c r="ZS746" s="13"/>
      <c r="ZT746" s="13"/>
      <c r="ZU746" s="13"/>
      <c r="ZV746" s="13"/>
      <c r="ZW746" s="13"/>
      <c r="ZX746" s="13"/>
      <c r="ZY746" s="13"/>
      <c r="ZZ746" s="13"/>
      <c r="AAA746" s="13"/>
      <c r="AAB746" s="13"/>
      <c r="AAC746" s="13"/>
      <c r="AAD746" s="13"/>
      <c r="AAE746" s="13"/>
      <c r="AAF746" s="13"/>
      <c r="AAG746" s="13"/>
      <c r="AAH746" s="13"/>
      <c r="AAI746" s="13"/>
      <c r="AAJ746" s="13"/>
      <c r="AAK746" s="13"/>
      <c r="AAL746" s="13"/>
      <c r="AAM746" s="13"/>
      <c r="AAN746" s="13"/>
      <c r="AAO746" s="13"/>
      <c r="AAP746" s="13"/>
      <c r="AAQ746" s="13"/>
      <c r="AAR746" s="13"/>
      <c r="AAS746" s="13"/>
      <c r="AAT746" s="13"/>
      <c r="AAU746" s="13"/>
      <c r="AAV746" s="13"/>
      <c r="AAW746" s="13"/>
      <c r="AAX746" s="13"/>
      <c r="AAY746" s="13"/>
      <c r="AAZ746" s="13"/>
      <c r="ABA746" s="13"/>
      <c r="ABB746" s="13"/>
      <c r="ABC746" s="13"/>
      <c r="ABD746" s="13"/>
      <c r="ABE746" s="13"/>
      <c r="ABF746" s="13"/>
      <c r="ABG746" s="13"/>
      <c r="ABH746" s="13"/>
      <c r="ABI746" s="13"/>
      <c r="ABJ746" s="13"/>
      <c r="ABK746" s="13"/>
      <c r="ABL746" s="13"/>
      <c r="ABM746" s="13"/>
      <c r="ABN746" s="13"/>
      <c r="ABO746" s="13"/>
      <c r="ABP746" s="13"/>
      <c r="ABQ746" s="13"/>
      <c r="ABR746" s="13"/>
      <c r="ABS746" s="13"/>
      <c r="ABT746" s="13"/>
      <c r="ABU746" s="13"/>
      <c r="ABV746" s="13"/>
      <c r="ABW746" s="13"/>
      <c r="ABX746" s="13"/>
      <c r="ABY746" s="13"/>
      <c r="ABZ746" s="13"/>
      <c r="ACA746" s="13"/>
      <c r="ACB746" s="13"/>
      <c r="ACC746" s="13"/>
      <c r="ACD746" s="13"/>
      <c r="ACE746" s="13"/>
      <c r="ACF746" s="13"/>
      <c r="ACG746" s="13"/>
      <c r="ACH746" s="13"/>
      <c r="ACI746" s="13"/>
      <c r="ACJ746" s="13"/>
      <c r="ACK746" s="13"/>
      <c r="ACL746" s="13"/>
      <c r="ACM746" s="13"/>
      <c r="ACN746" s="13"/>
      <c r="ACO746" s="13"/>
      <c r="ACP746" s="13"/>
      <c r="ACQ746" s="13"/>
      <c r="ACR746" s="13"/>
      <c r="ACS746" s="13"/>
      <c r="ACT746" s="13"/>
      <c r="ACU746" s="13"/>
      <c r="ACV746" s="13"/>
      <c r="ACW746" s="13"/>
      <c r="ACX746" s="13"/>
      <c r="ACY746" s="13"/>
      <c r="ACZ746" s="13"/>
      <c r="ADA746" s="13"/>
      <c r="ADB746" s="13"/>
      <c r="ADC746" s="13"/>
      <c r="ADD746" s="13"/>
      <c r="ADE746" s="13"/>
      <c r="ADF746" s="13"/>
      <c r="ADG746" s="13"/>
      <c r="ADH746" s="13"/>
      <c r="ADI746" s="13"/>
      <c r="ADJ746" s="13"/>
      <c r="ADK746" s="13"/>
      <c r="ADL746" s="13"/>
      <c r="ADM746" s="13"/>
      <c r="ADN746" s="13"/>
      <c r="ADO746" s="13"/>
      <c r="ADP746" s="13"/>
      <c r="ADQ746" s="13"/>
      <c r="ADR746" s="13"/>
      <c r="ADS746" s="13"/>
      <c r="ADT746" s="13"/>
      <c r="ADU746" s="13"/>
      <c r="ADV746" s="13"/>
      <c r="ADW746" s="13"/>
      <c r="ADX746" s="13"/>
      <c r="ADY746" s="13"/>
      <c r="ADZ746" s="13"/>
      <c r="AEA746" s="13"/>
      <c r="AEB746" s="13"/>
      <c r="AEC746" s="13"/>
      <c r="AED746" s="13"/>
      <c r="AEE746" s="13"/>
      <c r="AEF746" s="13"/>
      <c r="AEG746" s="13"/>
      <c r="AEH746" s="13"/>
      <c r="AEI746" s="13"/>
      <c r="AEJ746" s="13"/>
      <c r="AEK746" s="13"/>
      <c r="AEL746" s="13"/>
      <c r="AEM746" s="13"/>
      <c r="AEN746" s="13"/>
      <c r="AEO746" s="13"/>
      <c r="AEP746" s="13"/>
      <c r="AEQ746" s="13"/>
      <c r="AER746" s="13"/>
      <c r="AES746" s="13"/>
      <c r="AET746" s="13"/>
      <c r="AEU746" s="13"/>
      <c r="AEV746" s="13"/>
      <c r="AEW746" s="13"/>
      <c r="AEX746" s="13"/>
      <c r="AEY746" s="13"/>
      <c r="AEZ746" s="13"/>
      <c r="AFA746" s="13"/>
      <c r="AFB746" s="13"/>
      <c r="AFC746" s="13"/>
      <c r="AFD746" s="13"/>
      <c r="AFE746" s="13"/>
      <c r="AFF746" s="13"/>
      <c r="AFG746" s="13"/>
      <c r="AFH746" s="13"/>
      <c r="AFI746" s="13"/>
      <c r="AFJ746" s="13"/>
      <c r="AFK746" s="13"/>
      <c r="AFL746" s="13"/>
      <c r="AFM746" s="13"/>
      <c r="AFN746" s="13"/>
      <c r="AFO746" s="13"/>
      <c r="AFP746" s="13"/>
      <c r="AFQ746" s="13"/>
      <c r="AFR746" s="13"/>
      <c r="AFS746" s="13"/>
      <c r="AFT746" s="13"/>
      <c r="AFU746" s="13"/>
      <c r="AFV746" s="13"/>
      <c r="AFW746" s="13"/>
      <c r="AFX746" s="13"/>
      <c r="AFY746" s="13"/>
      <c r="AFZ746" s="13"/>
      <c r="AGA746" s="13"/>
      <c r="AGB746" s="13"/>
      <c r="AGC746" s="13"/>
      <c r="AGD746" s="13"/>
      <c r="AGE746" s="13"/>
      <c r="AGF746" s="13"/>
      <c r="AGG746" s="13"/>
      <c r="AGH746" s="13"/>
      <c r="AGI746" s="13"/>
      <c r="AGJ746" s="13"/>
      <c r="AGK746" s="13"/>
      <c r="AGL746" s="13"/>
      <c r="AGM746" s="13"/>
      <c r="AGN746" s="13"/>
      <c r="AGO746" s="13"/>
      <c r="AGP746" s="13"/>
      <c r="AGQ746" s="13"/>
      <c r="AGR746" s="13"/>
      <c r="AGS746" s="13"/>
      <c r="AGT746" s="13"/>
      <c r="AGU746" s="13"/>
      <c r="AGV746" s="13"/>
      <c r="AGW746" s="13"/>
      <c r="AGX746" s="13"/>
      <c r="AGY746" s="13"/>
      <c r="AGZ746" s="13"/>
      <c r="AHA746" s="13"/>
      <c r="AHB746" s="13"/>
      <c r="AHC746" s="13"/>
      <c r="AHD746" s="13"/>
      <c r="AHE746" s="13"/>
      <c r="AHF746" s="13"/>
      <c r="AHG746" s="13"/>
      <c r="AHH746" s="13"/>
      <c r="AHI746" s="13"/>
      <c r="AHJ746" s="13"/>
      <c r="AHK746" s="13"/>
      <c r="AHL746" s="13"/>
      <c r="AHM746" s="13"/>
      <c r="AHN746" s="13"/>
      <c r="AHO746" s="13"/>
      <c r="AHP746" s="13"/>
      <c r="AHQ746" s="13"/>
      <c r="AHR746" s="13"/>
      <c r="AHS746" s="13"/>
      <c r="AHT746" s="13"/>
      <c r="AHU746" s="13"/>
      <c r="AHV746" s="13"/>
      <c r="AHW746" s="13"/>
      <c r="AHX746" s="13"/>
      <c r="AHY746" s="13"/>
      <c r="AHZ746" s="13"/>
      <c r="AIA746" s="13"/>
      <c r="AIB746" s="13"/>
      <c r="AIC746" s="13"/>
      <c r="AID746" s="13"/>
      <c r="AIE746" s="13"/>
      <c r="AIF746" s="13"/>
      <c r="AIG746" s="13"/>
      <c r="AIH746" s="13"/>
      <c r="AII746" s="13"/>
      <c r="AIJ746" s="13"/>
      <c r="AIK746" s="13"/>
      <c r="AIL746" s="13"/>
      <c r="AIM746" s="13"/>
      <c r="AIN746" s="13"/>
      <c r="AIO746" s="13"/>
      <c r="AIP746" s="13"/>
      <c r="AIQ746" s="13"/>
      <c r="AIR746" s="13"/>
      <c r="AIS746" s="13"/>
      <c r="AIT746" s="13"/>
      <c r="AIU746" s="13"/>
      <c r="AIV746" s="13"/>
      <c r="AIW746" s="13"/>
      <c r="AIX746" s="13"/>
      <c r="AIY746" s="13"/>
      <c r="AIZ746" s="13"/>
      <c r="AJA746" s="13"/>
      <c r="AJB746" s="13"/>
      <c r="AJC746" s="13"/>
      <c r="AJD746" s="13"/>
      <c r="AJE746" s="13"/>
      <c r="AJF746" s="13"/>
      <c r="AJG746" s="13"/>
      <c r="AJH746" s="13"/>
      <c r="AJI746" s="13"/>
      <c r="AJJ746" s="13"/>
      <c r="AJK746" s="13"/>
      <c r="AJL746" s="13"/>
      <c r="AJM746" s="13"/>
      <c r="AJN746" s="13"/>
      <c r="AJO746" s="13"/>
      <c r="AJP746" s="13"/>
      <c r="AJQ746" s="13"/>
      <c r="AJR746" s="13"/>
      <c r="AJS746" s="13"/>
      <c r="AJT746" s="13"/>
      <c r="AJU746" s="13"/>
      <c r="AJV746" s="13"/>
      <c r="AJW746" s="13"/>
      <c r="AJX746" s="13"/>
      <c r="AJY746" s="13"/>
      <c r="AJZ746" s="13"/>
      <c r="AKA746" s="13"/>
      <c r="AKB746" s="13"/>
      <c r="AKC746" s="13"/>
      <c r="AKD746" s="13"/>
      <c r="AKE746" s="13"/>
      <c r="AKF746" s="13"/>
      <c r="AKG746" s="13"/>
      <c r="AKH746" s="13"/>
      <c r="AKI746" s="13"/>
      <c r="AKJ746" s="13"/>
      <c r="AKK746" s="13"/>
      <c r="AKL746" s="13"/>
      <c r="AKM746" s="13"/>
      <c r="AKN746" s="13"/>
      <c r="AKO746" s="13"/>
      <c r="AKP746" s="13"/>
      <c r="AKQ746" s="13"/>
      <c r="AKR746" s="13"/>
      <c r="AKS746" s="13"/>
      <c r="AKT746" s="13"/>
      <c r="AKU746" s="13"/>
      <c r="AKV746" s="13"/>
      <c r="AKW746" s="13"/>
      <c r="AKX746" s="13"/>
      <c r="AKY746" s="13"/>
      <c r="AKZ746" s="13"/>
      <c r="ALA746" s="13"/>
      <c r="ALB746" s="13"/>
      <c r="ALC746" s="13"/>
      <c r="ALD746" s="13"/>
      <c r="ALE746" s="13"/>
      <c r="ALF746" s="13"/>
      <c r="ALG746" s="13"/>
      <c r="ALH746" s="13"/>
      <c r="ALI746" s="13"/>
      <c r="ALJ746" s="13"/>
      <c r="ALK746" s="13"/>
      <c r="ALL746" s="13"/>
      <c r="ALM746" s="13"/>
      <c r="ALN746" s="13"/>
      <c r="ALO746" s="13"/>
      <c r="ALP746" s="13"/>
      <c r="ALQ746" s="13"/>
      <c r="ALR746" s="13"/>
      <c r="ALS746" s="13"/>
      <c r="ALT746" s="13"/>
      <c r="ALU746" s="13"/>
      <c r="ALV746" s="13"/>
      <c r="ALW746" s="13"/>
      <c r="ALX746" s="13"/>
      <c r="ALY746" s="13"/>
      <c r="ALZ746" s="13"/>
      <c r="AMA746" s="13"/>
      <c r="AMB746" s="13"/>
      <c r="AMC746" s="13"/>
      <c r="AMD746" s="13"/>
      <c r="AME746" s="13"/>
      <c r="AMF746" s="13"/>
      <c r="AMG746" s="13"/>
      <c r="AMH746" s="13"/>
      <c r="AMI746" s="13"/>
      <c r="AMJ746" s="13"/>
      <c r="AMK746" s="13"/>
      <c r="AML746" s="13"/>
      <c r="AMM746" s="13"/>
      <c r="AMN746" s="13"/>
      <c r="AMO746" s="13"/>
      <c r="AMP746" s="13"/>
      <c r="AMQ746" s="13"/>
      <c r="AMR746" s="13"/>
      <c r="AMS746" s="13"/>
      <c r="AMT746" s="13"/>
      <c r="AMU746" s="13"/>
      <c r="AMV746" s="13"/>
      <c r="AMW746" s="13"/>
      <c r="AMX746" s="13"/>
      <c r="AMY746" s="13"/>
      <c r="AMZ746" s="13"/>
      <c r="ANA746" s="13"/>
      <c r="ANB746" s="13"/>
      <c r="ANC746" s="13"/>
      <c r="AND746" s="13"/>
      <c r="ANE746" s="13"/>
      <c r="ANF746" s="13"/>
      <c r="ANG746" s="13"/>
      <c r="ANH746" s="13"/>
      <c r="ANI746" s="13"/>
      <c r="ANJ746" s="13"/>
      <c r="ANK746" s="13"/>
      <c r="ANL746" s="13"/>
      <c r="ANM746" s="13"/>
      <c r="ANN746" s="13"/>
      <c r="ANO746" s="13"/>
      <c r="ANP746" s="13"/>
      <c r="ANQ746" s="13"/>
      <c r="ANR746" s="13"/>
      <c r="ANS746" s="13"/>
      <c r="ANT746" s="13"/>
      <c r="ANU746" s="13"/>
      <c r="ANV746" s="13"/>
      <c r="ANW746" s="13"/>
      <c r="ANX746" s="13"/>
      <c r="ANY746" s="13"/>
      <c r="ANZ746" s="13"/>
      <c r="AOA746" s="13"/>
      <c r="AOB746" s="13"/>
      <c r="AOC746" s="13"/>
      <c r="AOD746" s="13"/>
      <c r="AOE746" s="13"/>
      <c r="AOF746" s="13"/>
      <c r="AOG746" s="13"/>
      <c r="AOH746" s="13"/>
      <c r="AOI746" s="13"/>
      <c r="AOJ746" s="13"/>
      <c r="AOK746" s="13"/>
      <c r="AOL746" s="13"/>
      <c r="AOM746" s="13"/>
      <c r="AON746" s="13"/>
      <c r="AOO746" s="13"/>
      <c r="AOP746" s="13"/>
      <c r="AOQ746" s="13"/>
      <c r="AOR746" s="13"/>
      <c r="AOS746" s="13"/>
      <c r="AOT746" s="13"/>
      <c r="AOU746" s="13"/>
      <c r="AOV746" s="13"/>
      <c r="AOW746" s="13"/>
      <c r="AOX746" s="13"/>
      <c r="AOY746" s="13"/>
      <c r="AOZ746" s="13"/>
      <c r="APA746" s="13"/>
      <c r="APB746" s="13"/>
      <c r="APC746" s="13"/>
      <c r="APD746" s="13"/>
      <c r="APE746" s="13"/>
      <c r="APF746" s="13"/>
      <c r="APG746" s="13"/>
      <c r="APH746" s="13"/>
      <c r="API746" s="13"/>
      <c r="APJ746" s="13"/>
      <c r="APK746" s="13"/>
      <c r="APL746" s="13"/>
      <c r="APM746" s="13"/>
      <c r="APN746" s="13"/>
      <c r="APO746" s="13"/>
      <c r="APP746" s="13"/>
      <c r="APQ746" s="13"/>
      <c r="APR746" s="13"/>
      <c r="APS746" s="13"/>
      <c r="APT746" s="13"/>
      <c r="APU746" s="13"/>
      <c r="APV746" s="13"/>
      <c r="APW746" s="13"/>
      <c r="APX746" s="13"/>
      <c r="APY746" s="13"/>
      <c r="APZ746" s="13"/>
      <c r="AQA746" s="13"/>
      <c r="AQB746" s="13"/>
      <c r="AQC746" s="13"/>
      <c r="AQD746" s="13"/>
      <c r="AQE746" s="13"/>
      <c r="AQF746" s="13"/>
      <c r="AQG746" s="13"/>
      <c r="AQH746" s="13"/>
      <c r="AQI746" s="13"/>
      <c r="AQJ746" s="13"/>
      <c r="AQK746" s="13"/>
      <c r="AQL746" s="13"/>
      <c r="AQM746" s="13"/>
      <c r="AQN746" s="13"/>
      <c r="AQO746" s="13"/>
      <c r="AQP746" s="13"/>
      <c r="AQQ746" s="13"/>
      <c r="AQR746" s="13"/>
      <c r="AQS746" s="13"/>
      <c r="AQT746" s="13"/>
      <c r="AQU746" s="13"/>
      <c r="AQV746" s="13"/>
      <c r="AQW746" s="13"/>
      <c r="AQX746" s="13"/>
      <c r="AQY746" s="13"/>
      <c r="AQZ746" s="13"/>
      <c r="ARA746" s="13"/>
      <c r="ARB746" s="13"/>
      <c r="ARC746" s="13"/>
      <c r="ARD746" s="13"/>
      <c r="ARE746" s="13"/>
      <c r="ARF746" s="13"/>
      <c r="ARG746" s="13"/>
      <c r="ARH746" s="13"/>
      <c r="ARI746" s="13"/>
      <c r="ARJ746" s="13"/>
      <c r="ARK746" s="13"/>
      <c r="ARL746" s="13"/>
      <c r="ARM746" s="13"/>
      <c r="ARN746" s="13"/>
      <c r="ARO746" s="13"/>
      <c r="ARP746" s="13"/>
      <c r="ARQ746" s="13"/>
      <c r="ARR746" s="13"/>
      <c r="ARS746" s="13"/>
      <c r="ART746" s="13"/>
      <c r="ARU746" s="13"/>
      <c r="ARV746" s="13"/>
      <c r="ARW746" s="13"/>
      <c r="ARX746" s="13"/>
      <c r="ARY746" s="13"/>
      <c r="ARZ746" s="13"/>
      <c r="ASA746" s="13"/>
      <c r="ASB746" s="13"/>
      <c r="ASC746" s="13"/>
      <c r="ASD746" s="13"/>
      <c r="ASE746" s="13"/>
      <c r="ASF746" s="13"/>
      <c r="ASG746" s="13"/>
      <c r="ASH746" s="13"/>
      <c r="ASI746" s="13"/>
      <c r="ASJ746" s="13"/>
      <c r="ASK746" s="13"/>
      <c r="ASL746" s="13"/>
      <c r="ASM746" s="13"/>
      <c r="ASN746" s="13"/>
      <c r="ASO746" s="13"/>
      <c r="ASP746" s="13"/>
      <c r="ASQ746" s="13"/>
      <c r="ASR746" s="13"/>
      <c r="ASS746" s="13"/>
      <c r="AST746" s="13"/>
      <c r="ASU746" s="13"/>
      <c r="ASV746" s="13"/>
      <c r="ASW746" s="13"/>
      <c r="ASX746" s="13"/>
      <c r="ASY746" s="13"/>
      <c r="ASZ746" s="13"/>
      <c r="ATA746" s="13"/>
      <c r="ATB746" s="13"/>
      <c r="ATC746" s="13"/>
      <c r="ATD746" s="13"/>
      <c r="ATE746" s="13"/>
      <c r="ATF746" s="13"/>
      <c r="ATG746" s="13"/>
      <c r="ATH746" s="13"/>
      <c r="ATI746" s="13"/>
      <c r="ATJ746" s="13"/>
      <c r="ATK746" s="13"/>
      <c r="ATL746" s="13"/>
      <c r="ATM746" s="13"/>
      <c r="ATN746" s="13"/>
      <c r="ATO746" s="13"/>
      <c r="ATP746" s="13"/>
      <c r="ATQ746" s="13"/>
      <c r="ATR746" s="13"/>
      <c r="ATS746" s="13"/>
      <c r="ATT746" s="13"/>
      <c r="ATU746" s="13"/>
      <c r="ATV746" s="13"/>
      <c r="ATW746" s="13"/>
      <c r="ATX746" s="13"/>
      <c r="ATY746" s="13"/>
      <c r="ATZ746" s="13"/>
      <c r="AUA746" s="13"/>
      <c r="AUB746" s="13"/>
      <c r="AUC746" s="13"/>
      <c r="AUD746" s="13"/>
      <c r="AUE746" s="13"/>
      <c r="AUF746" s="13"/>
      <c r="AUG746" s="13"/>
      <c r="AUH746" s="13"/>
      <c r="AUI746" s="13"/>
      <c r="AUJ746" s="13"/>
      <c r="AUK746" s="13"/>
      <c r="AUL746" s="13"/>
      <c r="AUM746" s="13"/>
      <c r="AUN746" s="13"/>
      <c r="AUO746" s="13"/>
      <c r="AUP746" s="13"/>
      <c r="AUQ746" s="13"/>
      <c r="AUR746" s="13"/>
      <c r="AUS746" s="13"/>
      <c r="AUT746" s="13"/>
      <c r="AUU746" s="13"/>
      <c r="AUV746" s="13"/>
      <c r="AUW746" s="13"/>
      <c r="AUX746" s="13"/>
      <c r="AUY746" s="13"/>
      <c r="AUZ746" s="13"/>
      <c r="AVA746" s="13"/>
      <c r="AVB746" s="13"/>
      <c r="AVC746" s="13"/>
      <c r="AVD746" s="13"/>
      <c r="AVE746" s="13"/>
      <c r="AVF746" s="13"/>
      <c r="AVG746" s="13"/>
      <c r="AVH746" s="13"/>
      <c r="AVI746" s="13"/>
      <c r="AVJ746" s="13"/>
      <c r="AVK746" s="13"/>
      <c r="AVL746" s="13"/>
      <c r="AVM746" s="13"/>
      <c r="AVN746" s="13"/>
      <c r="AVO746" s="13"/>
      <c r="AVP746" s="13"/>
      <c r="AVQ746" s="13"/>
      <c r="AVR746" s="13"/>
      <c r="AVS746" s="13"/>
      <c r="AVT746" s="13"/>
      <c r="AVU746" s="13"/>
      <c r="AVV746" s="13"/>
      <c r="AVW746" s="13"/>
      <c r="AVX746" s="13"/>
      <c r="AVY746" s="13"/>
      <c r="AVZ746" s="13"/>
      <c r="AWA746" s="13"/>
      <c r="AWB746" s="13"/>
      <c r="AWC746" s="13"/>
      <c r="AWD746" s="13"/>
      <c r="AWE746" s="13"/>
      <c r="AWF746" s="13"/>
      <c r="AWG746" s="13"/>
      <c r="AWH746" s="13"/>
      <c r="AWI746" s="13"/>
      <c r="AWJ746" s="13"/>
      <c r="AWK746" s="13"/>
      <c r="AWL746" s="13"/>
      <c r="AWM746" s="13"/>
      <c r="AWN746" s="13"/>
      <c r="AWO746" s="13"/>
      <c r="AWP746" s="13"/>
      <c r="AWQ746" s="13"/>
      <c r="AWR746" s="13"/>
      <c r="AWS746" s="13"/>
      <c r="AWT746" s="13"/>
      <c r="AWU746" s="13"/>
      <c r="AWV746" s="13"/>
      <c r="AWW746" s="13"/>
      <c r="AWX746" s="13"/>
      <c r="AWY746" s="13"/>
      <c r="AWZ746" s="13"/>
      <c r="AXA746" s="13"/>
      <c r="AXB746" s="13"/>
      <c r="AXC746" s="13"/>
      <c r="AXD746" s="13"/>
      <c r="AXE746" s="13"/>
      <c r="AXF746" s="13"/>
      <c r="AXG746" s="13"/>
      <c r="AXH746" s="13"/>
      <c r="AXI746" s="13"/>
      <c r="AXJ746" s="13"/>
      <c r="AXK746" s="13"/>
      <c r="AXL746" s="13"/>
      <c r="AXM746" s="13"/>
      <c r="AXN746" s="13"/>
      <c r="AXO746" s="13"/>
      <c r="AXP746" s="13"/>
      <c r="AXQ746" s="13"/>
      <c r="AXR746" s="13"/>
      <c r="AXS746" s="13"/>
      <c r="AXT746" s="13"/>
      <c r="AXU746" s="13"/>
      <c r="AXV746" s="13"/>
      <c r="AXW746" s="13"/>
      <c r="AXX746" s="13"/>
      <c r="AXY746" s="13"/>
      <c r="AXZ746" s="13"/>
      <c r="AYA746" s="13"/>
      <c r="AYB746" s="13"/>
      <c r="AYC746" s="13"/>
      <c r="AYD746" s="13"/>
      <c r="AYE746" s="13"/>
      <c r="AYF746" s="13"/>
      <c r="AYG746" s="13"/>
      <c r="AYH746" s="13"/>
      <c r="AYI746" s="13"/>
      <c r="AYJ746" s="13"/>
      <c r="AYK746" s="13"/>
      <c r="AYL746" s="13"/>
      <c r="AYM746" s="13"/>
      <c r="AYN746" s="13"/>
      <c r="AYO746" s="13"/>
      <c r="AYP746" s="13"/>
      <c r="AYQ746" s="13"/>
      <c r="AYR746" s="13"/>
      <c r="AYS746" s="13"/>
      <c r="AYT746" s="13"/>
      <c r="AYU746" s="13"/>
      <c r="AYV746" s="13"/>
      <c r="AYW746" s="13"/>
      <c r="AYX746" s="13"/>
      <c r="AYY746" s="13"/>
      <c r="AYZ746" s="13"/>
      <c r="AZA746" s="13"/>
      <c r="AZB746" s="13"/>
      <c r="AZC746" s="13"/>
      <c r="AZD746" s="13"/>
      <c r="AZE746" s="13"/>
      <c r="AZF746" s="13"/>
      <c r="AZG746" s="13"/>
      <c r="AZH746" s="13"/>
      <c r="AZI746" s="13"/>
      <c r="AZJ746" s="13"/>
      <c r="AZK746" s="13"/>
      <c r="AZL746" s="13"/>
      <c r="AZM746" s="13"/>
      <c r="AZN746" s="13"/>
      <c r="AZO746" s="13"/>
      <c r="AZP746" s="13"/>
      <c r="AZQ746" s="13"/>
      <c r="AZR746" s="13"/>
      <c r="AZS746" s="13"/>
      <c r="AZT746" s="13"/>
      <c r="AZU746" s="13"/>
      <c r="AZV746" s="13"/>
      <c r="AZW746" s="13"/>
      <c r="AZX746" s="13"/>
      <c r="AZY746" s="13"/>
      <c r="AZZ746" s="13"/>
      <c r="BAA746" s="13"/>
      <c r="BAB746" s="13"/>
      <c r="BAC746" s="13"/>
      <c r="BAD746" s="13"/>
      <c r="BAE746" s="13"/>
      <c r="BAF746" s="13"/>
      <c r="BAG746" s="13"/>
      <c r="BAH746" s="13"/>
      <c r="BAI746" s="13"/>
      <c r="BAJ746" s="13"/>
      <c r="BAK746" s="13"/>
      <c r="BAL746" s="13"/>
      <c r="BAM746" s="13"/>
      <c r="BAN746" s="13"/>
      <c r="BAO746" s="13"/>
      <c r="BAP746" s="13"/>
      <c r="BAQ746" s="13"/>
      <c r="BAR746" s="13"/>
      <c r="BAS746" s="13"/>
      <c r="BAT746" s="13"/>
      <c r="BAU746" s="13"/>
      <c r="BAV746" s="13"/>
      <c r="BAW746" s="13"/>
      <c r="BAX746" s="13"/>
      <c r="BAY746" s="13"/>
      <c r="BAZ746" s="13"/>
      <c r="BBA746" s="13"/>
      <c r="BBB746" s="13"/>
      <c r="BBC746" s="13"/>
      <c r="BBD746" s="13"/>
      <c r="BBE746" s="13"/>
      <c r="BBF746" s="13"/>
      <c r="BBG746" s="13"/>
      <c r="BBH746" s="13"/>
      <c r="BBI746" s="13"/>
      <c r="BBJ746" s="13"/>
      <c r="BBK746" s="13"/>
      <c r="BBL746" s="13"/>
      <c r="BBM746" s="13"/>
      <c r="BBN746" s="13"/>
      <c r="BBO746" s="13"/>
      <c r="BBP746" s="13"/>
      <c r="BBQ746" s="13"/>
      <c r="BBR746" s="13"/>
      <c r="BBS746" s="13"/>
      <c r="BBT746" s="13"/>
      <c r="BBU746" s="13"/>
      <c r="BBV746" s="13"/>
      <c r="BBW746" s="13"/>
      <c r="BBX746" s="13"/>
      <c r="BBY746" s="13"/>
      <c r="BBZ746" s="13"/>
      <c r="BCA746" s="13"/>
      <c r="BCB746" s="13"/>
      <c r="BCC746" s="13"/>
      <c r="BCD746" s="13"/>
      <c r="BCE746" s="13"/>
      <c r="BCF746" s="13"/>
      <c r="BCG746" s="13"/>
      <c r="BCH746" s="13"/>
      <c r="BCI746" s="13"/>
      <c r="BCJ746" s="13"/>
      <c r="BCK746" s="13"/>
      <c r="BCL746" s="13"/>
      <c r="BCM746" s="13"/>
      <c r="BCN746" s="13"/>
      <c r="BCO746" s="13"/>
      <c r="BCP746" s="13"/>
      <c r="BCQ746" s="13"/>
      <c r="BCR746" s="13"/>
      <c r="BCS746" s="13"/>
      <c r="BCT746" s="13"/>
      <c r="BCU746" s="13"/>
      <c r="BCV746" s="13"/>
      <c r="BCW746" s="13"/>
      <c r="BCX746" s="13"/>
      <c r="BCY746" s="13"/>
      <c r="BCZ746" s="13"/>
      <c r="BDA746" s="13"/>
      <c r="BDB746" s="13"/>
      <c r="BDC746" s="13"/>
      <c r="BDD746" s="13"/>
      <c r="BDE746" s="13"/>
      <c r="BDF746" s="13"/>
      <c r="BDG746" s="13"/>
      <c r="BDH746" s="13"/>
      <c r="BDI746" s="13"/>
      <c r="BDJ746" s="13"/>
      <c r="BDK746" s="13"/>
      <c r="BDL746" s="13"/>
      <c r="BDM746" s="13"/>
      <c r="BDN746" s="13"/>
      <c r="BDO746" s="13"/>
      <c r="BDP746" s="13"/>
      <c r="BDQ746" s="13"/>
      <c r="BDR746" s="13"/>
      <c r="BDS746" s="13"/>
      <c r="BDT746" s="13"/>
      <c r="BDU746" s="13"/>
      <c r="BDV746" s="13"/>
      <c r="BDW746" s="13"/>
      <c r="BDX746" s="13"/>
      <c r="BDY746" s="13"/>
      <c r="BDZ746" s="13"/>
      <c r="BEA746" s="13"/>
      <c r="BEB746" s="13"/>
      <c r="BEC746" s="13"/>
      <c r="BED746" s="13"/>
      <c r="BEE746" s="13"/>
      <c r="BEF746" s="13"/>
      <c r="BEG746" s="13"/>
      <c r="BEH746" s="13"/>
      <c r="BEI746" s="13"/>
      <c r="BEJ746" s="13"/>
      <c r="BEK746" s="13"/>
      <c r="BEL746" s="13"/>
      <c r="BEM746" s="13"/>
      <c r="BEN746" s="13"/>
      <c r="BEO746" s="13"/>
      <c r="BEP746" s="13"/>
      <c r="BEQ746" s="13"/>
      <c r="BER746" s="13"/>
      <c r="BES746" s="13"/>
      <c r="BET746" s="13"/>
      <c r="BEU746" s="13"/>
      <c r="BEV746" s="13"/>
      <c r="BEW746" s="13"/>
      <c r="BEX746" s="13"/>
      <c r="BEY746" s="13"/>
      <c r="BEZ746" s="13"/>
      <c r="BFA746" s="13"/>
      <c r="BFB746" s="13"/>
      <c r="BFC746" s="13"/>
      <c r="BFD746" s="13"/>
      <c r="BFE746" s="13"/>
      <c r="BFF746" s="13"/>
      <c r="BFG746" s="13"/>
      <c r="BFH746" s="13"/>
      <c r="BFI746" s="13"/>
      <c r="BFJ746" s="13"/>
      <c r="BFK746" s="13"/>
      <c r="BFL746" s="13"/>
      <c r="BFM746" s="13"/>
      <c r="BFN746" s="13"/>
      <c r="BFO746" s="13"/>
      <c r="BFP746" s="13"/>
      <c r="BFQ746" s="13"/>
      <c r="BFR746" s="13"/>
      <c r="BFS746" s="13"/>
      <c r="BFT746" s="13"/>
      <c r="BFU746" s="13"/>
      <c r="BFV746" s="13"/>
      <c r="BFW746" s="13"/>
      <c r="BFX746" s="13"/>
      <c r="BFY746" s="13"/>
      <c r="BFZ746" s="13"/>
      <c r="BGA746" s="13"/>
      <c r="BGB746" s="13"/>
      <c r="BGC746" s="13"/>
      <c r="BGD746" s="13"/>
      <c r="BGE746" s="13"/>
      <c r="BGF746" s="13"/>
      <c r="BGG746" s="13"/>
      <c r="BGH746" s="13"/>
      <c r="BGI746" s="13"/>
      <c r="BGJ746" s="13"/>
      <c r="BGK746" s="13"/>
      <c r="BGL746" s="13"/>
      <c r="BGM746" s="13"/>
      <c r="BGN746" s="13"/>
      <c r="BGO746" s="13"/>
      <c r="BGP746" s="13"/>
      <c r="BGQ746" s="13"/>
      <c r="BGR746" s="13"/>
      <c r="BGS746" s="13"/>
      <c r="BGT746" s="13"/>
      <c r="BGU746" s="13"/>
      <c r="BGV746" s="13"/>
      <c r="BGW746" s="13"/>
      <c r="BGX746" s="13"/>
      <c r="BGY746" s="13"/>
      <c r="BGZ746" s="13"/>
      <c r="BHA746" s="13"/>
      <c r="BHB746" s="13"/>
      <c r="BHC746" s="13"/>
      <c r="BHD746" s="13"/>
      <c r="BHE746" s="13"/>
      <c r="BHF746" s="13"/>
      <c r="BHG746" s="13"/>
      <c r="BHH746" s="13"/>
      <c r="BHI746" s="13"/>
      <c r="BHJ746" s="13"/>
      <c r="BHK746" s="13"/>
      <c r="BHL746" s="13"/>
      <c r="BHM746" s="13"/>
      <c r="BHN746" s="13"/>
      <c r="BHO746" s="13"/>
      <c r="BHP746" s="13"/>
      <c r="BHQ746" s="13"/>
      <c r="BHR746" s="13"/>
      <c r="BHS746" s="13"/>
      <c r="BHT746" s="13"/>
      <c r="BHU746" s="13"/>
      <c r="BHV746" s="13"/>
      <c r="BHW746" s="13"/>
      <c r="BHX746" s="13"/>
      <c r="BHY746" s="13"/>
      <c r="BHZ746" s="13"/>
      <c r="BIA746" s="13"/>
      <c r="BIB746" s="13"/>
      <c r="BIC746" s="13"/>
      <c r="BID746" s="13"/>
      <c r="BIE746" s="13"/>
      <c r="BIF746" s="13"/>
      <c r="BIG746" s="13"/>
      <c r="BIH746" s="13"/>
      <c r="BII746" s="13"/>
      <c r="BIJ746" s="13"/>
      <c r="BIK746" s="13"/>
      <c r="BIL746" s="13"/>
      <c r="BIM746" s="13"/>
      <c r="BIN746" s="13"/>
      <c r="BIO746" s="13"/>
      <c r="BIP746" s="13"/>
      <c r="BIQ746" s="13"/>
      <c r="BIR746" s="13"/>
      <c r="BIS746" s="13"/>
      <c r="BIT746" s="13"/>
      <c r="BIU746" s="13"/>
      <c r="BIV746" s="13"/>
      <c r="BIW746" s="13"/>
      <c r="BIX746" s="13"/>
      <c r="BIY746" s="13"/>
      <c r="BIZ746" s="13"/>
      <c r="BJA746" s="13"/>
      <c r="BJB746" s="13"/>
      <c r="BJC746" s="13"/>
      <c r="BJD746" s="13"/>
      <c r="BJE746" s="13"/>
      <c r="BJF746" s="13"/>
      <c r="BJG746" s="13"/>
      <c r="BJH746" s="13"/>
      <c r="BJI746" s="13"/>
      <c r="BJJ746" s="13"/>
      <c r="BJK746" s="13"/>
      <c r="BJL746" s="13"/>
      <c r="BJM746" s="13"/>
      <c r="BJN746" s="13"/>
      <c r="BJO746" s="13"/>
      <c r="BJP746" s="13"/>
      <c r="BJQ746" s="13"/>
      <c r="BJR746" s="13"/>
      <c r="BJS746" s="13"/>
      <c r="BJT746" s="13"/>
      <c r="BJU746" s="13"/>
      <c r="BJV746" s="13"/>
      <c r="BJW746" s="13"/>
      <c r="BJX746" s="13"/>
      <c r="BJY746" s="13"/>
      <c r="BJZ746" s="13"/>
      <c r="BKA746" s="13"/>
      <c r="BKB746" s="13"/>
      <c r="BKC746" s="13"/>
      <c r="BKD746" s="13"/>
      <c r="BKE746" s="13"/>
      <c r="BKF746" s="13"/>
      <c r="BKG746" s="13"/>
      <c r="BKH746" s="13"/>
      <c r="BKI746" s="13"/>
      <c r="BKJ746" s="13"/>
      <c r="BKK746" s="13"/>
      <c r="BKL746" s="13"/>
      <c r="BKM746" s="13"/>
      <c r="BKN746" s="13"/>
      <c r="BKO746" s="13"/>
      <c r="BKP746" s="13"/>
      <c r="BKQ746" s="13"/>
      <c r="BKR746" s="13"/>
      <c r="BKS746" s="13"/>
      <c r="BKT746" s="13"/>
      <c r="BKU746" s="13"/>
      <c r="BKV746" s="13"/>
      <c r="BKW746" s="13"/>
      <c r="BKX746" s="13"/>
      <c r="BKY746" s="13"/>
      <c r="BKZ746" s="13"/>
      <c r="BLA746" s="13"/>
      <c r="BLB746" s="13"/>
      <c r="BLC746" s="13"/>
      <c r="BLD746" s="13"/>
      <c r="BLE746" s="13"/>
      <c r="BLF746" s="13"/>
      <c r="BLG746" s="13"/>
      <c r="BLH746" s="13"/>
      <c r="BLI746" s="13"/>
      <c r="BLJ746" s="13"/>
      <c r="BLK746" s="13"/>
      <c r="BLL746" s="13"/>
      <c r="BLM746" s="13"/>
      <c r="BLN746" s="13"/>
      <c r="BLO746" s="13"/>
      <c r="BLP746" s="13"/>
      <c r="BLQ746" s="13"/>
      <c r="BLR746" s="13"/>
      <c r="BLS746" s="13"/>
      <c r="BLT746" s="13"/>
      <c r="BLU746" s="13"/>
      <c r="BLV746" s="13"/>
      <c r="BLW746" s="13"/>
      <c r="BLX746" s="13"/>
      <c r="BLY746" s="13"/>
      <c r="BLZ746" s="13"/>
      <c r="BMA746" s="13"/>
      <c r="BMB746" s="13"/>
      <c r="BMC746" s="13"/>
      <c r="BMD746" s="13"/>
      <c r="BME746" s="13"/>
      <c r="BMF746" s="13"/>
      <c r="BMG746" s="13"/>
      <c r="BMH746" s="13"/>
      <c r="BMI746" s="13"/>
      <c r="BMJ746" s="13"/>
      <c r="BMK746" s="13"/>
      <c r="BML746" s="13"/>
      <c r="BMM746" s="13"/>
      <c r="BMN746" s="13"/>
      <c r="BMO746" s="13"/>
      <c r="BMP746" s="13"/>
      <c r="BMQ746" s="13"/>
      <c r="BMR746" s="13"/>
      <c r="BMS746" s="13"/>
      <c r="BMT746" s="13"/>
      <c r="BMU746" s="13"/>
      <c r="BMV746" s="13"/>
      <c r="BMW746" s="13"/>
      <c r="BMX746" s="13"/>
      <c r="BMY746" s="13"/>
      <c r="BMZ746" s="13"/>
      <c r="BNA746" s="13"/>
      <c r="BNB746" s="13"/>
      <c r="BNC746" s="13"/>
      <c r="BND746" s="13"/>
      <c r="BNE746" s="13"/>
      <c r="BNF746" s="13"/>
      <c r="BNG746" s="13"/>
      <c r="BNH746" s="13"/>
      <c r="BNI746" s="13"/>
      <c r="BNJ746" s="13"/>
      <c r="BNK746" s="13"/>
      <c r="BNL746" s="13"/>
      <c r="BNM746" s="13"/>
      <c r="BNN746" s="13"/>
      <c r="BNO746" s="13"/>
      <c r="BNP746" s="13"/>
      <c r="BNQ746" s="13"/>
      <c r="BNR746" s="13"/>
      <c r="BNS746" s="13"/>
      <c r="BNT746" s="13"/>
      <c r="BNU746" s="13"/>
      <c r="BNV746" s="13"/>
      <c r="BNW746" s="13"/>
      <c r="BNX746" s="13"/>
      <c r="BNY746" s="13"/>
      <c r="BNZ746" s="13"/>
      <c r="BOA746" s="13"/>
      <c r="BOB746" s="13"/>
      <c r="BOC746" s="13"/>
      <c r="BOD746" s="13"/>
      <c r="BOE746" s="13"/>
      <c r="BOF746" s="13"/>
      <c r="BOG746" s="13"/>
      <c r="BOH746" s="13"/>
      <c r="BOI746" s="13"/>
      <c r="BOJ746" s="13"/>
      <c r="BOK746" s="13"/>
      <c r="BOL746" s="13"/>
      <c r="BOM746" s="13"/>
      <c r="BON746" s="13"/>
      <c r="BOO746" s="13"/>
      <c r="BOP746" s="13"/>
      <c r="BOQ746" s="13"/>
      <c r="BOR746" s="13"/>
      <c r="BOS746" s="13"/>
      <c r="BOT746" s="13"/>
      <c r="BOU746" s="13"/>
      <c r="BOV746" s="13"/>
      <c r="BOW746" s="13"/>
      <c r="BOX746" s="13"/>
      <c r="BOY746" s="13"/>
      <c r="BOZ746" s="13"/>
      <c r="BPA746" s="13"/>
      <c r="BPB746" s="13"/>
      <c r="BPC746" s="13"/>
      <c r="BPD746" s="13"/>
      <c r="BPE746" s="13"/>
      <c r="BPF746" s="13"/>
      <c r="BPG746" s="13"/>
      <c r="BPH746" s="13"/>
      <c r="BPI746" s="13"/>
      <c r="BPJ746" s="13"/>
      <c r="BPK746" s="13"/>
      <c r="BPL746" s="13"/>
      <c r="BPM746" s="13"/>
      <c r="BPN746" s="13"/>
      <c r="BPO746" s="13"/>
      <c r="BPP746" s="13"/>
      <c r="BPQ746" s="13"/>
      <c r="BPR746" s="13"/>
      <c r="BPS746" s="13"/>
      <c r="BPT746" s="13"/>
      <c r="BPU746" s="13"/>
      <c r="BPV746" s="13"/>
      <c r="BPW746" s="13"/>
      <c r="BPX746" s="13"/>
      <c r="BPY746" s="13"/>
      <c r="BPZ746" s="13"/>
      <c r="BQA746" s="13"/>
      <c r="BQB746" s="13"/>
      <c r="BQC746" s="13"/>
      <c r="BQD746" s="13"/>
      <c r="BQE746" s="13"/>
      <c r="BQF746" s="13"/>
      <c r="BQG746" s="13"/>
      <c r="BQH746" s="13"/>
      <c r="BQI746" s="13"/>
      <c r="BQJ746" s="13"/>
      <c r="BQK746" s="13"/>
      <c r="BQL746" s="13"/>
      <c r="BQM746" s="13"/>
      <c r="BQN746" s="13"/>
      <c r="BQO746" s="13"/>
      <c r="BQP746" s="13"/>
      <c r="BQQ746" s="13"/>
      <c r="BQR746" s="13"/>
      <c r="BQS746" s="13"/>
      <c r="BQT746" s="13"/>
      <c r="BQU746" s="13"/>
      <c r="BQV746" s="13"/>
      <c r="BQW746" s="13"/>
      <c r="BQX746" s="13"/>
      <c r="BQY746" s="13"/>
      <c r="BQZ746" s="13"/>
      <c r="BRA746" s="13"/>
      <c r="BRB746" s="13"/>
      <c r="BRC746" s="13"/>
      <c r="BRD746" s="13"/>
      <c r="BRE746" s="13"/>
      <c r="BRF746" s="13"/>
      <c r="BRG746" s="13"/>
      <c r="BRH746" s="13"/>
      <c r="BRI746" s="13"/>
      <c r="BRJ746" s="13"/>
      <c r="BRK746" s="13"/>
      <c r="BRL746" s="13"/>
      <c r="BRM746" s="13"/>
      <c r="BRN746" s="13"/>
      <c r="BRO746" s="13"/>
      <c r="BRP746" s="13"/>
      <c r="BRQ746" s="13"/>
      <c r="BRR746" s="13"/>
      <c r="BRS746" s="13"/>
      <c r="BRT746" s="13"/>
      <c r="BRU746" s="13"/>
      <c r="BRV746" s="13"/>
      <c r="BRW746" s="13"/>
      <c r="BRX746" s="13"/>
      <c r="BRY746" s="13"/>
      <c r="BRZ746" s="13"/>
      <c r="BSA746" s="13"/>
      <c r="BSB746" s="13"/>
      <c r="BSC746" s="13"/>
      <c r="BSD746" s="13"/>
      <c r="BSE746" s="13"/>
      <c r="BSF746" s="13"/>
      <c r="BSG746" s="13"/>
      <c r="BSH746" s="13"/>
      <c r="BSI746" s="13"/>
      <c r="BSJ746" s="13"/>
      <c r="BSK746" s="13"/>
      <c r="BSL746" s="13"/>
      <c r="BSM746" s="13"/>
      <c r="BSN746" s="13"/>
      <c r="BSO746" s="13"/>
      <c r="BSP746" s="13"/>
      <c r="BSQ746" s="13"/>
      <c r="BSR746" s="13"/>
      <c r="BSS746" s="13"/>
      <c r="BST746" s="13"/>
      <c r="BSU746" s="13"/>
      <c r="BSV746" s="13"/>
      <c r="BSW746" s="13"/>
      <c r="BSX746" s="13"/>
      <c r="BSY746" s="13"/>
      <c r="BSZ746" s="13"/>
      <c r="BTA746" s="13"/>
    </row>
    <row r="747" spans="1:1873" s="202" customFormat="1" x14ac:dyDescent="0.2">
      <c r="A747" s="403" t="s">
        <v>1389</v>
      </c>
      <c r="B747" s="223" t="s">
        <v>810</v>
      </c>
      <c r="C747" s="404" t="s">
        <v>1732</v>
      </c>
      <c r="D747" s="240" t="s">
        <v>619</v>
      </c>
      <c r="E747" s="403" t="s">
        <v>1728</v>
      </c>
      <c r="F747" s="240">
        <v>1</v>
      </c>
      <c r="G747" s="240">
        <v>8</v>
      </c>
      <c r="H747" s="242">
        <v>9</v>
      </c>
      <c r="I747" s="223" t="s">
        <v>807</v>
      </c>
      <c r="J747" s="223">
        <v>1995</v>
      </c>
      <c r="K747" s="223" t="s">
        <v>1211</v>
      </c>
      <c r="L747" s="223">
        <v>2002</v>
      </c>
      <c r="M747" s="243">
        <v>-9999</v>
      </c>
      <c r="N747" s="223">
        <v>-9999</v>
      </c>
      <c r="O747" s="29"/>
      <c r="P747" s="244">
        <f>+T747*G747</f>
        <v>72.08</v>
      </c>
      <c r="Q747" s="223">
        <v>-9999</v>
      </c>
      <c r="R747" s="243"/>
      <c r="S747" s="223"/>
      <c r="T747" s="421">
        <v>9.01</v>
      </c>
      <c r="U747" s="223">
        <v>-9999</v>
      </c>
      <c r="V747" s="223"/>
      <c r="W747" s="243">
        <v>-9999</v>
      </c>
      <c r="X747" s="223">
        <v>-9999</v>
      </c>
      <c r="Y747" s="223"/>
      <c r="Z747" s="223" t="s">
        <v>808</v>
      </c>
      <c r="AA747" s="242">
        <v>1075</v>
      </c>
      <c r="AB747" s="243">
        <v>1</v>
      </c>
      <c r="AC747" s="223">
        <v>-9999</v>
      </c>
      <c r="AD747" s="223">
        <v>18.600000000000001</v>
      </c>
      <c r="AE747" s="404" t="s">
        <v>1738</v>
      </c>
      <c r="AF747" s="223">
        <v>10</v>
      </c>
      <c r="AG747" s="404" t="s">
        <v>1741</v>
      </c>
      <c r="AH747" s="223" t="s">
        <v>1034</v>
      </c>
      <c r="AI747" s="404" t="s">
        <v>1739</v>
      </c>
      <c r="AJ747" s="223">
        <v>-9999</v>
      </c>
      <c r="AK747" s="223" t="s">
        <v>626</v>
      </c>
      <c r="AL747" s="223" t="s">
        <v>828</v>
      </c>
      <c r="AM747" s="223">
        <v>-9999</v>
      </c>
      <c r="AN747" s="223" t="s">
        <v>631</v>
      </c>
      <c r="AO747" s="223">
        <v>-9999</v>
      </c>
      <c r="AP747" s="223">
        <v>-9999</v>
      </c>
      <c r="AQ747" s="223" t="s">
        <v>631</v>
      </c>
      <c r="AR747" s="223">
        <v>0</v>
      </c>
      <c r="AS747" s="223">
        <v>-9999</v>
      </c>
      <c r="AT747" s="223">
        <v>-9999</v>
      </c>
      <c r="AU747" s="223">
        <v>0</v>
      </c>
      <c r="AV747" s="223">
        <v>-9999</v>
      </c>
      <c r="AW747" s="223">
        <v>-9999</v>
      </c>
      <c r="AX747" s="223">
        <v>0</v>
      </c>
      <c r="AY747" s="223">
        <v>-9999</v>
      </c>
      <c r="AZ747" s="223">
        <v>-9999</v>
      </c>
      <c r="BA747" s="223">
        <v>-9988</v>
      </c>
      <c r="BB747" s="223" t="s">
        <v>626</v>
      </c>
      <c r="BC747" s="223">
        <v>-9999</v>
      </c>
      <c r="BD747" s="223">
        <v>-9999</v>
      </c>
      <c r="BE747" s="223">
        <v>-9999</v>
      </c>
      <c r="BF747" s="223">
        <v>-9999</v>
      </c>
      <c r="BG747" s="223">
        <v>-9999</v>
      </c>
      <c r="BH747" s="223">
        <v>-9999</v>
      </c>
      <c r="BI747" s="223" t="s">
        <v>1035</v>
      </c>
      <c r="BJ747" s="223">
        <v>-9999</v>
      </c>
      <c r="BK747" s="223">
        <v>-9999</v>
      </c>
      <c r="BL747" s="223">
        <v>-9999</v>
      </c>
      <c r="BM747" s="223">
        <v>-9999</v>
      </c>
      <c r="BN747" s="223">
        <v>-9999</v>
      </c>
      <c r="BO747" s="223">
        <v>-9999</v>
      </c>
      <c r="BP747" s="223">
        <v>-9999</v>
      </c>
      <c r="BQ747" s="223">
        <v>-9999</v>
      </c>
      <c r="BR747" s="223">
        <v>-9999</v>
      </c>
      <c r="BS747" s="242">
        <v>-9999</v>
      </c>
      <c r="BT747" s="223">
        <v>-9999</v>
      </c>
      <c r="BU747" s="223">
        <v>-9999</v>
      </c>
      <c r="BV747" s="223">
        <v>-9999</v>
      </c>
      <c r="BW747" s="223"/>
      <c r="BX747" s="223">
        <v>-9999</v>
      </c>
      <c r="BY747" s="223">
        <v>-9999</v>
      </c>
      <c r="BZ747" s="223">
        <v>-9999</v>
      </c>
      <c r="CA747" s="334" t="s">
        <v>797</v>
      </c>
      <c r="CB747" s="247"/>
      <c r="CC747" s="194">
        <v>1</v>
      </c>
      <c r="CD747" s="240">
        <v>8</v>
      </c>
      <c r="CE747" s="292">
        <v>9.01</v>
      </c>
      <c r="CF747" s="292">
        <v>-9999</v>
      </c>
      <c r="CG747" s="242">
        <v>9</v>
      </c>
      <c r="CH747" s="23"/>
      <c r="CI747" s="23"/>
      <c r="CJ747" s="23"/>
      <c r="CK747" s="23"/>
      <c r="CL747" s="23"/>
      <c r="CM747" s="23"/>
      <c r="CN747" s="23"/>
      <c r="CO747" s="23"/>
      <c r="CP747" s="23"/>
      <c r="CQ747" s="23"/>
      <c r="CR747" s="23"/>
      <c r="CS747" s="23"/>
      <c r="CT747" s="23"/>
      <c r="CU747" s="23"/>
      <c r="CV747" s="23"/>
      <c r="CW747" s="23"/>
      <c r="CX747" s="23"/>
      <c r="CY747" s="23"/>
      <c r="CZ747" s="23"/>
      <c r="DA747" s="23"/>
      <c r="DB747" s="23"/>
      <c r="DC747" s="23"/>
      <c r="DD747" s="23"/>
      <c r="DE747" s="23"/>
      <c r="DF747" s="23"/>
      <c r="DG747" s="23"/>
      <c r="DH747" s="23"/>
      <c r="DI747" s="23"/>
      <c r="DJ747" s="23"/>
      <c r="DK747" s="23"/>
      <c r="DL747" s="23"/>
      <c r="DM747" s="23"/>
      <c r="DN747" s="23"/>
      <c r="DO747" s="23"/>
      <c r="DP747" s="23"/>
      <c r="DQ747" s="23"/>
      <c r="DR747" s="23"/>
      <c r="DS747" s="23"/>
      <c r="DT747" s="23"/>
      <c r="DU747" s="23"/>
      <c r="DV747" s="23"/>
      <c r="DW747" s="23"/>
      <c r="DX747" s="23"/>
      <c r="DY747" s="23"/>
      <c r="DZ747" s="23"/>
      <c r="EA747" s="23"/>
      <c r="EB747" s="23"/>
      <c r="EC747" s="23"/>
      <c r="ED747" s="23"/>
      <c r="EE747" s="23"/>
      <c r="EF747" s="23"/>
      <c r="EG747" s="23"/>
      <c r="EH747" s="23"/>
      <c r="EI747" s="23"/>
      <c r="EJ747" s="23"/>
      <c r="EK747" s="23"/>
      <c r="EL747" s="23"/>
      <c r="EM747" s="23"/>
      <c r="EN747" s="23"/>
      <c r="EO747" s="23"/>
      <c r="EP747" s="23"/>
      <c r="EQ747" s="23"/>
      <c r="ER747" s="23"/>
      <c r="ES747" s="23"/>
      <c r="ET747" s="23"/>
      <c r="EU747" s="23"/>
      <c r="EV747" s="23"/>
      <c r="EW747" s="23"/>
      <c r="EX747" s="23"/>
      <c r="EY747" s="23"/>
      <c r="EZ747" s="23"/>
      <c r="FA747" s="23"/>
      <c r="FB747" s="23"/>
      <c r="FC747" s="23"/>
      <c r="FD747" s="23"/>
      <c r="FE747" s="23"/>
      <c r="FF747" s="23"/>
      <c r="FG747" s="23"/>
      <c r="FH747" s="23"/>
      <c r="FI747" s="23"/>
      <c r="FJ747" s="23"/>
      <c r="FK747" s="23"/>
      <c r="FL747" s="23"/>
      <c r="FM747" s="23"/>
      <c r="FN747" s="23"/>
      <c r="FO747" s="23"/>
      <c r="FP747" s="23"/>
      <c r="FQ747" s="23"/>
      <c r="FR747" s="23"/>
      <c r="FS747" s="23"/>
      <c r="FT747" s="23"/>
      <c r="FU747" s="23"/>
      <c r="FV747" s="23"/>
      <c r="FW747" s="23"/>
      <c r="FX747" s="23"/>
      <c r="FY747" s="23"/>
      <c r="FZ747" s="23"/>
      <c r="GA747" s="23"/>
      <c r="GB747" s="23"/>
      <c r="GC747" s="23"/>
      <c r="GD747" s="23"/>
      <c r="GE747" s="23"/>
      <c r="GF747" s="23"/>
      <c r="GG747" s="23"/>
      <c r="GH747" s="23"/>
      <c r="GI747" s="23"/>
      <c r="GJ747" s="23"/>
      <c r="GK747" s="23"/>
      <c r="GL747" s="23"/>
      <c r="GM747" s="23"/>
      <c r="GN747" s="23"/>
      <c r="GO747" s="23"/>
      <c r="GP747" s="23"/>
      <c r="GQ747" s="23"/>
      <c r="GR747" s="23"/>
      <c r="GS747" s="23"/>
      <c r="GT747" s="23"/>
      <c r="GU747" s="23"/>
      <c r="GV747" s="23"/>
      <c r="GW747" s="23"/>
      <c r="GX747" s="23"/>
      <c r="GY747" s="23"/>
      <c r="GZ747" s="23"/>
      <c r="HA747" s="23"/>
      <c r="HB747" s="23"/>
      <c r="HC747" s="23"/>
      <c r="HD747" s="23"/>
      <c r="HE747" s="23"/>
      <c r="HF747" s="23"/>
      <c r="HG747" s="23"/>
      <c r="HH747" s="23"/>
      <c r="HI747" s="23"/>
      <c r="HJ747" s="23"/>
      <c r="HK747" s="23"/>
      <c r="HL747" s="23"/>
      <c r="HM747" s="23"/>
      <c r="HN747" s="23"/>
      <c r="HO747" s="23"/>
      <c r="HP747" s="23"/>
      <c r="HQ747" s="23"/>
      <c r="HR747" s="23"/>
      <c r="HS747" s="23"/>
      <c r="HT747" s="23"/>
      <c r="HU747" s="23"/>
      <c r="HV747" s="23"/>
      <c r="HW747" s="23"/>
      <c r="HX747" s="23"/>
      <c r="HY747" s="23"/>
      <c r="HZ747" s="23"/>
      <c r="IA747" s="23"/>
      <c r="IB747" s="23"/>
      <c r="IC747" s="23"/>
      <c r="ID747" s="23"/>
      <c r="IE747" s="23"/>
      <c r="IF747" s="23"/>
      <c r="IG747" s="23"/>
      <c r="IH747" s="23"/>
      <c r="II747" s="23"/>
      <c r="IJ747" s="23"/>
      <c r="IK747" s="23"/>
      <c r="IL747" s="23"/>
      <c r="IM747" s="23"/>
      <c r="IN747" s="23"/>
      <c r="IO747" s="23"/>
      <c r="IP747" s="23"/>
      <c r="IQ747" s="23"/>
      <c r="IR747" s="23"/>
      <c r="IS747" s="23"/>
      <c r="IT747" s="23"/>
      <c r="IU747" s="23"/>
      <c r="IV747" s="23"/>
      <c r="IW747" s="23"/>
      <c r="IX747" s="23"/>
      <c r="IY747" s="23"/>
      <c r="IZ747" s="23"/>
      <c r="JA747" s="23"/>
      <c r="JB747" s="23"/>
      <c r="JC747" s="23"/>
      <c r="JD747" s="23"/>
      <c r="JE747" s="23"/>
      <c r="JF747" s="23"/>
      <c r="JG747" s="23"/>
      <c r="JH747" s="23"/>
      <c r="JI747" s="23"/>
      <c r="JJ747" s="23"/>
      <c r="JK747" s="23"/>
      <c r="JL747" s="23"/>
      <c r="JM747" s="23"/>
      <c r="JN747" s="23"/>
      <c r="JO747" s="23"/>
      <c r="JP747" s="23"/>
      <c r="JQ747" s="23"/>
      <c r="JR747" s="23"/>
      <c r="JS747" s="23"/>
      <c r="JT747" s="23"/>
      <c r="JU747" s="23"/>
      <c r="JV747" s="23"/>
      <c r="JW747" s="23"/>
      <c r="JX747" s="23"/>
      <c r="JY747" s="23"/>
      <c r="JZ747" s="23"/>
      <c r="KA747" s="23"/>
      <c r="KB747" s="23"/>
      <c r="KC747" s="23"/>
      <c r="KD747" s="23"/>
      <c r="KE747" s="23"/>
      <c r="KF747" s="23"/>
      <c r="KG747" s="23"/>
      <c r="KH747" s="23"/>
      <c r="KI747" s="23"/>
      <c r="KJ747" s="23"/>
      <c r="KK747" s="23"/>
      <c r="KL747" s="23"/>
      <c r="KM747" s="23"/>
      <c r="KN747" s="23"/>
      <c r="KO747" s="23"/>
      <c r="KP747" s="23"/>
      <c r="KQ747" s="23"/>
      <c r="KR747" s="23"/>
      <c r="KS747" s="23"/>
      <c r="KT747" s="23"/>
      <c r="KU747" s="23"/>
      <c r="KV747" s="23"/>
      <c r="KW747" s="23"/>
      <c r="KX747" s="23"/>
      <c r="KY747" s="23"/>
      <c r="KZ747" s="23"/>
      <c r="LA747" s="23"/>
      <c r="LB747" s="23"/>
      <c r="LC747" s="23"/>
      <c r="LD747" s="23"/>
      <c r="LE747" s="23"/>
      <c r="LF747" s="23"/>
      <c r="LG747" s="23"/>
      <c r="LH747" s="23"/>
      <c r="LI747" s="23"/>
      <c r="LJ747" s="23"/>
      <c r="LK747" s="23"/>
      <c r="LL747" s="23"/>
      <c r="LM747" s="23"/>
      <c r="LN747" s="23"/>
      <c r="LO747" s="23"/>
      <c r="LP747" s="23"/>
      <c r="LQ747" s="23"/>
      <c r="LR747" s="23"/>
      <c r="LS747" s="23"/>
      <c r="LT747" s="23"/>
      <c r="LU747" s="23"/>
      <c r="LV747" s="23"/>
      <c r="LW747" s="23"/>
      <c r="LX747" s="23"/>
      <c r="LY747" s="23"/>
      <c r="LZ747" s="23"/>
      <c r="MA747" s="23"/>
      <c r="MB747" s="23"/>
      <c r="MC747" s="23"/>
      <c r="MD747" s="23"/>
      <c r="ME747" s="23"/>
      <c r="MF747" s="23"/>
      <c r="MG747" s="23"/>
      <c r="MH747" s="23"/>
      <c r="MI747" s="23"/>
      <c r="MJ747" s="23"/>
      <c r="MK747" s="23"/>
      <c r="ML747" s="23"/>
      <c r="MM747" s="23"/>
      <c r="MN747" s="23"/>
      <c r="MO747" s="23"/>
      <c r="MP747" s="23"/>
      <c r="MQ747" s="23"/>
      <c r="MR747" s="23"/>
      <c r="MS747" s="23"/>
      <c r="MT747" s="23"/>
      <c r="MU747" s="23"/>
      <c r="MV747" s="23"/>
      <c r="MW747" s="23"/>
      <c r="MX747" s="23"/>
      <c r="MY747" s="23"/>
      <c r="MZ747" s="23"/>
      <c r="NA747" s="23"/>
      <c r="NB747" s="23"/>
      <c r="NC747" s="23"/>
      <c r="ND747" s="23"/>
      <c r="NE747" s="23"/>
      <c r="NF747" s="23"/>
      <c r="NG747" s="23"/>
      <c r="NH747" s="23"/>
      <c r="NI747" s="23"/>
      <c r="NJ747" s="23"/>
      <c r="NK747" s="23"/>
      <c r="NL747" s="23"/>
      <c r="NM747" s="23"/>
      <c r="NN747" s="23"/>
      <c r="NO747" s="23"/>
      <c r="NP747" s="23"/>
      <c r="NQ747" s="23"/>
      <c r="NR747" s="23"/>
      <c r="NS747" s="23"/>
      <c r="NT747" s="23"/>
      <c r="NU747" s="23"/>
      <c r="NV747" s="23"/>
      <c r="NW747" s="23"/>
      <c r="NX747" s="23"/>
      <c r="NY747" s="23"/>
      <c r="NZ747" s="23"/>
      <c r="OA747" s="23"/>
      <c r="OB747" s="23"/>
      <c r="OC747" s="23"/>
      <c r="OD747" s="23"/>
      <c r="OE747" s="23"/>
      <c r="OF747" s="23"/>
      <c r="OG747" s="23"/>
      <c r="OH747" s="23"/>
      <c r="OI747" s="23"/>
      <c r="OJ747" s="23"/>
      <c r="OK747" s="23"/>
      <c r="OL747" s="23"/>
      <c r="OM747" s="23"/>
      <c r="ON747" s="23"/>
      <c r="OO747" s="23"/>
      <c r="OP747" s="23"/>
      <c r="OQ747" s="23"/>
      <c r="OR747" s="23"/>
      <c r="OS747" s="23"/>
      <c r="OT747" s="23"/>
      <c r="OU747" s="23"/>
      <c r="OV747" s="23"/>
      <c r="OW747" s="23"/>
      <c r="OX747" s="23"/>
      <c r="OY747" s="23"/>
      <c r="OZ747" s="23"/>
      <c r="PA747" s="23"/>
      <c r="PB747" s="23"/>
      <c r="PC747" s="23"/>
      <c r="PD747" s="23"/>
      <c r="PE747" s="23"/>
      <c r="PF747" s="23"/>
      <c r="PG747" s="23"/>
      <c r="PH747" s="23"/>
      <c r="PI747" s="23"/>
      <c r="PJ747" s="23"/>
      <c r="PK747" s="23"/>
      <c r="PL747" s="23"/>
      <c r="PM747" s="23"/>
      <c r="PN747" s="23"/>
      <c r="PO747" s="23"/>
      <c r="PP747" s="23"/>
      <c r="PQ747" s="23"/>
      <c r="PR747" s="23"/>
      <c r="PS747" s="23"/>
      <c r="PT747" s="23"/>
      <c r="PU747" s="23"/>
      <c r="PV747" s="23"/>
      <c r="PW747" s="23"/>
      <c r="PX747" s="23"/>
      <c r="PY747" s="23"/>
      <c r="PZ747" s="23"/>
      <c r="QA747" s="23"/>
      <c r="QB747" s="23"/>
      <c r="QC747" s="23"/>
      <c r="QD747" s="23"/>
      <c r="QE747" s="23"/>
      <c r="QF747" s="23"/>
      <c r="QG747" s="23"/>
      <c r="QH747" s="23"/>
      <c r="QI747" s="23"/>
      <c r="QJ747" s="23"/>
      <c r="QK747" s="23"/>
      <c r="QL747" s="23"/>
      <c r="QM747" s="23"/>
      <c r="QN747" s="23"/>
      <c r="QO747" s="23"/>
      <c r="QP747" s="23"/>
      <c r="QQ747" s="23"/>
      <c r="QR747" s="23"/>
      <c r="QS747" s="23"/>
      <c r="QT747" s="23"/>
      <c r="QU747" s="23"/>
      <c r="QV747" s="23"/>
      <c r="QW747" s="23"/>
      <c r="QX747" s="23"/>
      <c r="QY747" s="23"/>
      <c r="QZ747" s="23"/>
      <c r="RA747" s="23"/>
      <c r="RB747" s="23"/>
      <c r="RC747" s="23"/>
      <c r="RD747" s="23"/>
      <c r="RE747" s="23"/>
      <c r="RF747" s="23"/>
      <c r="RG747" s="23"/>
      <c r="RH747" s="23"/>
      <c r="RI747" s="23"/>
      <c r="RJ747" s="23"/>
      <c r="RK747" s="23"/>
      <c r="RL747" s="23"/>
      <c r="RM747" s="23"/>
      <c r="RN747" s="23"/>
      <c r="RO747" s="23"/>
      <c r="RP747" s="23"/>
      <c r="RQ747" s="23"/>
      <c r="RR747" s="23"/>
      <c r="RS747" s="23"/>
      <c r="RT747" s="23"/>
      <c r="RU747" s="23"/>
      <c r="RV747" s="23"/>
      <c r="RW747" s="23"/>
      <c r="RX747" s="23"/>
      <c r="RY747" s="23"/>
      <c r="RZ747" s="23"/>
      <c r="SA747" s="23"/>
      <c r="SB747" s="23"/>
      <c r="SC747" s="23"/>
      <c r="SD747" s="23"/>
      <c r="SE747" s="23"/>
      <c r="SF747" s="23"/>
      <c r="SG747" s="23"/>
      <c r="SH747" s="23"/>
      <c r="SI747" s="23"/>
      <c r="SJ747" s="23"/>
      <c r="SK747" s="23"/>
      <c r="SL747" s="23"/>
      <c r="SM747" s="23"/>
      <c r="SN747" s="23"/>
      <c r="SO747" s="23"/>
      <c r="SP747" s="23"/>
      <c r="SQ747" s="23"/>
      <c r="SR747" s="23"/>
      <c r="SS747" s="23"/>
      <c r="ST747" s="23"/>
      <c r="SU747" s="23"/>
      <c r="SV747" s="23"/>
      <c r="SW747" s="23"/>
      <c r="SX747" s="23"/>
      <c r="SY747" s="23"/>
      <c r="SZ747" s="23"/>
      <c r="TA747" s="23"/>
      <c r="TB747" s="23"/>
      <c r="TC747" s="23"/>
      <c r="TD747" s="23"/>
      <c r="TE747" s="23"/>
      <c r="TF747" s="23"/>
      <c r="TG747" s="23"/>
      <c r="TH747" s="23"/>
      <c r="TI747" s="23"/>
      <c r="TJ747" s="23"/>
      <c r="TK747" s="23"/>
      <c r="TL747" s="23"/>
      <c r="TM747" s="23"/>
      <c r="TN747" s="23"/>
      <c r="TO747" s="23"/>
      <c r="TP747" s="23"/>
      <c r="TQ747" s="23"/>
      <c r="TR747" s="23"/>
      <c r="TS747" s="23"/>
      <c r="TT747" s="23"/>
      <c r="TU747" s="23"/>
      <c r="TV747" s="23"/>
      <c r="TW747" s="23"/>
      <c r="TX747" s="23"/>
      <c r="TY747" s="23"/>
      <c r="TZ747" s="23"/>
      <c r="UA747" s="23"/>
      <c r="UB747" s="23"/>
      <c r="UC747" s="23"/>
      <c r="UD747" s="23"/>
      <c r="UE747" s="23"/>
      <c r="UF747" s="23"/>
      <c r="UG747" s="23"/>
      <c r="UH747" s="23"/>
      <c r="UI747" s="23"/>
      <c r="UJ747" s="23"/>
      <c r="UK747" s="23"/>
      <c r="UL747" s="23"/>
      <c r="UM747" s="23"/>
      <c r="UN747" s="23"/>
      <c r="UO747" s="23"/>
      <c r="UP747" s="23"/>
      <c r="UQ747" s="23"/>
      <c r="UR747" s="23"/>
      <c r="US747" s="23"/>
      <c r="UT747" s="23"/>
      <c r="UU747" s="23"/>
      <c r="UV747" s="23"/>
      <c r="UW747" s="23"/>
      <c r="UX747" s="23"/>
      <c r="UY747" s="23"/>
      <c r="UZ747" s="23"/>
      <c r="VA747" s="23"/>
      <c r="VB747" s="23"/>
      <c r="VC747" s="23"/>
      <c r="VD747" s="23"/>
      <c r="VE747" s="23"/>
      <c r="VF747" s="23"/>
      <c r="VG747" s="23"/>
      <c r="VH747" s="23"/>
      <c r="VI747" s="23"/>
      <c r="VJ747" s="23"/>
      <c r="VK747" s="23"/>
      <c r="VL747" s="23"/>
      <c r="VM747" s="23"/>
      <c r="VN747" s="23"/>
      <c r="VO747" s="23"/>
      <c r="VP747" s="23"/>
      <c r="VQ747" s="23"/>
      <c r="VR747" s="23"/>
      <c r="VS747" s="23"/>
      <c r="VT747" s="23"/>
      <c r="VU747" s="23"/>
      <c r="VV747" s="23"/>
      <c r="VW747" s="23"/>
      <c r="VX747" s="23"/>
      <c r="VY747" s="23"/>
      <c r="VZ747" s="23"/>
      <c r="WA747" s="23"/>
      <c r="WB747" s="23"/>
      <c r="WC747" s="23"/>
      <c r="WD747" s="23"/>
      <c r="WE747" s="23"/>
      <c r="WF747" s="23"/>
      <c r="WG747" s="23"/>
      <c r="WH747" s="23"/>
      <c r="WI747" s="23"/>
      <c r="WJ747" s="23"/>
      <c r="WK747" s="23"/>
      <c r="WL747" s="23"/>
      <c r="WM747" s="23"/>
      <c r="WN747" s="23"/>
      <c r="WO747" s="23"/>
      <c r="WP747" s="23"/>
      <c r="WQ747" s="23"/>
      <c r="WR747" s="23"/>
      <c r="WS747" s="23"/>
      <c r="WT747" s="23"/>
      <c r="WU747" s="23"/>
      <c r="WV747" s="23"/>
      <c r="WW747" s="23"/>
      <c r="WX747" s="23"/>
      <c r="WY747" s="23"/>
      <c r="WZ747" s="23"/>
      <c r="XA747" s="23"/>
      <c r="XB747" s="23"/>
      <c r="XC747" s="23"/>
      <c r="XD747" s="23"/>
      <c r="XE747" s="23"/>
      <c r="XF747" s="23"/>
      <c r="XG747" s="23"/>
      <c r="XH747" s="23"/>
      <c r="XI747" s="23"/>
      <c r="XJ747" s="23"/>
      <c r="XK747" s="23"/>
      <c r="XL747" s="23"/>
      <c r="XM747" s="23"/>
      <c r="XN747" s="23"/>
      <c r="XO747" s="23"/>
      <c r="XP747" s="23"/>
      <c r="XQ747" s="23"/>
      <c r="XR747" s="23"/>
      <c r="XS747" s="23"/>
      <c r="XT747" s="23"/>
      <c r="XU747" s="23"/>
      <c r="XV747" s="23"/>
      <c r="XW747" s="23"/>
      <c r="XX747" s="23"/>
      <c r="XY747" s="23"/>
      <c r="XZ747" s="23"/>
      <c r="YA747" s="23"/>
      <c r="YB747" s="23"/>
      <c r="YC747" s="23"/>
      <c r="YD747" s="23"/>
      <c r="YE747" s="23"/>
      <c r="YF747" s="23"/>
      <c r="YG747" s="23"/>
      <c r="YH747" s="23"/>
      <c r="YI747" s="23"/>
      <c r="YJ747" s="23"/>
      <c r="YK747" s="23"/>
      <c r="YL747" s="23"/>
      <c r="YM747" s="23"/>
      <c r="YN747" s="23"/>
      <c r="YO747" s="23"/>
      <c r="YP747" s="23"/>
      <c r="YQ747" s="23"/>
      <c r="YR747" s="23"/>
      <c r="YS747" s="23"/>
      <c r="YT747" s="23"/>
      <c r="YU747" s="23"/>
      <c r="YV747" s="23"/>
      <c r="YW747" s="23"/>
      <c r="YX747" s="23"/>
      <c r="YY747" s="23"/>
      <c r="YZ747" s="23"/>
      <c r="ZA747" s="23"/>
      <c r="ZB747" s="23"/>
      <c r="ZC747" s="23"/>
      <c r="ZD747" s="23"/>
      <c r="ZE747" s="23"/>
      <c r="ZF747" s="23"/>
      <c r="ZG747" s="23"/>
      <c r="ZH747" s="23"/>
      <c r="ZI747" s="23"/>
      <c r="ZJ747" s="23"/>
      <c r="ZK747" s="23"/>
      <c r="ZL747" s="23"/>
      <c r="ZM747" s="23"/>
      <c r="ZN747" s="23"/>
      <c r="ZO747" s="23"/>
      <c r="ZP747" s="23"/>
      <c r="ZQ747" s="23"/>
      <c r="ZR747" s="23"/>
      <c r="ZS747" s="23"/>
      <c r="ZT747" s="23"/>
      <c r="ZU747" s="23"/>
      <c r="ZV747" s="23"/>
      <c r="ZW747" s="23"/>
      <c r="ZX747" s="23"/>
      <c r="ZY747" s="23"/>
      <c r="ZZ747" s="23"/>
      <c r="AAA747" s="23"/>
      <c r="AAB747" s="23"/>
      <c r="AAC747" s="23"/>
      <c r="AAD747" s="23"/>
      <c r="AAE747" s="23"/>
      <c r="AAF747" s="23"/>
      <c r="AAG747" s="23"/>
      <c r="AAH747" s="23"/>
      <c r="AAI747" s="23"/>
      <c r="AAJ747" s="23"/>
      <c r="AAK747" s="23"/>
      <c r="AAL747" s="23"/>
      <c r="AAM747" s="23"/>
      <c r="AAN747" s="23"/>
      <c r="AAO747" s="23"/>
      <c r="AAP747" s="23"/>
      <c r="AAQ747" s="23"/>
      <c r="AAR747" s="23"/>
      <c r="AAS747" s="23"/>
      <c r="AAT747" s="23"/>
      <c r="AAU747" s="23"/>
      <c r="AAV747" s="23"/>
      <c r="AAW747" s="23"/>
      <c r="AAX747" s="23"/>
      <c r="AAY747" s="23"/>
      <c r="AAZ747" s="23"/>
      <c r="ABA747" s="23"/>
      <c r="ABB747" s="23"/>
      <c r="ABC747" s="23"/>
      <c r="ABD747" s="23"/>
      <c r="ABE747" s="23"/>
      <c r="ABF747" s="23"/>
      <c r="ABG747" s="23"/>
      <c r="ABH747" s="23"/>
      <c r="ABI747" s="23"/>
      <c r="ABJ747" s="23"/>
      <c r="ABK747" s="23"/>
      <c r="ABL747" s="23"/>
      <c r="ABM747" s="23"/>
      <c r="ABN747" s="23"/>
      <c r="ABO747" s="23"/>
      <c r="ABP747" s="23"/>
      <c r="ABQ747" s="23"/>
      <c r="ABR747" s="23"/>
      <c r="ABS747" s="23"/>
      <c r="ABT747" s="23"/>
      <c r="ABU747" s="23"/>
      <c r="ABV747" s="23"/>
      <c r="ABW747" s="23"/>
      <c r="ABX747" s="23"/>
      <c r="ABY747" s="23"/>
      <c r="ABZ747" s="23"/>
      <c r="ACA747" s="23"/>
      <c r="ACB747" s="23"/>
      <c r="ACC747" s="23"/>
      <c r="ACD747" s="23"/>
      <c r="ACE747" s="23"/>
      <c r="ACF747" s="23"/>
      <c r="ACG747" s="23"/>
      <c r="ACH747" s="23"/>
      <c r="ACI747" s="23"/>
      <c r="ACJ747" s="23"/>
      <c r="ACK747" s="23"/>
      <c r="ACL747" s="23"/>
      <c r="ACM747" s="23"/>
      <c r="ACN747" s="23"/>
      <c r="ACO747" s="23"/>
      <c r="ACP747" s="23"/>
      <c r="ACQ747" s="23"/>
      <c r="ACR747" s="23"/>
      <c r="ACS747" s="23"/>
      <c r="ACT747" s="23"/>
      <c r="ACU747" s="23"/>
      <c r="ACV747" s="23"/>
      <c r="ACW747" s="23"/>
      <c r="ACX747" s="23"/>
      <c r="ACY747" s="23"/>
      <c r="ACZ747" s="23"/>
      <c r="ADA747" s="23"/>
      <c r="ADB747" s="23"/>
      <c r="ADC747" s="23"/>
      <c r="ADD747" s="23"/>
      <c r="ADE747" s="23"/>
      <c r="ADF747" s="23"/>
      <c r="ADG747" s="23"/>
      <c r="ADH747" s="23"/>
      <c r="ADI747" s="23"/>
      <c r="ADJ747" s="23"/>
      <c r="ADK747" s="23"/>
      <c r="ADL747" s="23"/>
      <c r="ADM747" s="23"/>
      <c r="ADN747" s="23"/>
      <c r="ADO747" s="23"/>
      <c r="ADP747" s="23"/>
      <c r="ADQ747" s="23"/>
      <c r="ADR747" s="23"/>
      <c r="ADS747" s="23"/>
      <c r="ADT747" s="23"/>
      <c r="ADU747" s="23"/>
      <c r="ADV747" s="23"/>
      <c r="ADW747" s="23"/>
      <c r="ADX747" s="23"/>
      <c r="ADY747" s="23"/>
      <c r="ADZ747" s="23"/>
      <c r="AEA747" s="23"/>
      <c r="AEB747" s="23"/>
      <c r="AEC747" s="23"/>
      <c r="AED747" s="23"/>
      <c r="AEE747" s="23"/>
      <c r="AEF747" s="23"/>
      <c r="AEG747" s="23"/>
      <c r="AEH747" s="23"/>
      <c r="AEI747" s="23"/>
      <c r="AEJ747" s="23"/>
      <c r="AEK747" s="23"/>
      <c r="AEL747" s="23"/>
      <c r="AEM747" s="23"/>
      <c r="AEN747" s="23"/>
      <c r="AEO747" s="23"/>
      <c r="AEP747" s="23"/>
      <c r="AEQ747" s="23"/>
      <c r="AER747" s="23"/>
      <c r="AES747" s="23"/>
      <c r="AET747" s="23"/>
      <c r="AEU747" s="23"/>
      <c r="AEV747" s="23"/>
      <c r="AEW747" s="23"/>
      <c r="AEX747" s="23"/>
      <c r="AEY747" s="23"/>
      <c r="AEZ747" s="23"/>
      <c r="AFA747" s="23"/>
      <c r="AFB747" s="23"/>
      <c r="AFC747" s="23"/>
      <c r="AFD747" s="23"/>
      <c r="AFE747" s="23"/>
      <c r="AFF747" s="23"/>
      <c r="AFG747" s="23"/>
      <c r="AFH747" s="23"/>
      <c r="AFI747" s="23"/>
      <c r="AFJ747" s="23"/>
      <c r="AFK747" s="23"/>
      <c r="AFL747" s="23"/>
      <c r="AFM747" s="23"/>
      <c r="AFN747" s="23"/>
      <c r="AFO747" s="23"/>
      <c r="AFP747" s="23"/>
      <c r="AFQ747" s="23"/>
      <c r="AFR747" s="23"/>
      <c r="AFS747" s="23"/>
      <c r="AFT747" s="23"/>
      <c r="AFU747" s="23"/>
      <c r="AFV747" s="23"/>
      <c r="AFW747" s="23"/>
      <c r="AFX747" s="23"/>
      <c r="AFY747" s="23"/>
      <c r="AFZ747" s="23"/>
      <c r="AGA747" s="23"/>
      <c r="AGB747" s="23"/>
      <c r="AGC747" s="23"/>
      <c r="AGD747" s="23"/>
      <c r="AGE747" s="23"/>
      <c r="AGF747" s="23"/>
      <c r="AGG747" s="23"/>
      <c r="AGH747" s="23"/>
      <c r="AGI747" s="23"/>
      <c r="AGJ747" s="23"/>
      <c r="AGK747" s="23"/>
      <c r="AGL747" s="23"/>
      <c r="AGM747" s="23"/>
      <c r="AGN747" s="23"/>
      <c r="AGO747" s="23"/>
      <c r="AGP747" s="23"/>
      <c r="AGQ747" s="23"/>
      <c r="AGR747" s="23"/>
      <c r="AGS747" s="23"/>
      <c r="AGT747" s="23"/>
      <c r="AGU747" s="23"/>
      <c r="AGV747" s="23"/>
      <c r="AGW747" s="23"/>
      <c r="AGX747" s="23"/>
      <c r="AGY747" s="23"/>
      <c r="AGZ747" s="23"/>
      <c r="AHA747" s="23"/>
      <c r="AHB747" s="23"/>
      <c r="AHC747" s="23"/>
      <c r="AHD747" s="23"/>
      <c r="AHE747" s="23"/>
      <c r="AHF747" s="23"/>
      <c r="AHG747" s="23"/>
      <c r="AHH747" s="23"/>
      <c r="AHI747" s="23"/>
      <c r="AHJ747" s="23"/>
      <c r="AHK747" s="23"/>
      <c r="AHL747" s="23"/>
      <c r="AHM747" s="23"/>
      <c r="AHN747" s="23"/>
      <c r="AHO747" s="23"/>
      <c r="AHP747" s="23"/>
      <c r="AHQ747" s="23"/>
      <c r="AHR747" s="23"/>
      <c r="AHS747" s="23"/>
      <c r="AHT747" s="23"/>
      <c r="AHU747" s="23"/>
      <c r="AHV747" s="23"/>
      <c r="AHW747" s="23"/>
      <c r="AHX747" s="23"/>
      <c r="AHY747" s="23"/>
      <c r="AHZ747" s="23"/>
      <c r="AIA747" s="23"/>
      <c r="AIB747" s="23"/>
      <c r="AIC747" s="23"/>
      <c r="AID747" s="23"/>
      <c r="AIE747" s="23"/>
      <c r="AIF747" s="23"/>
      <c r="AIG747" s="23"/>
      <c r="AIH747" s="23"/>
      <c r="AII747" s="23"/>
      <c r="AIJ747" s="23"/>
      <c r="AIK747" s="23"/>
      <c r="AIL747" s="23"/>
      <c r="AIM747" s="23"/>
      <c r="AIN747" s="23"/>
      <c r="AIO747" s="23"/>
      <c r="AIP747" s="23"/>
      <c r="AIQ747" s="23"/>
      <c r="AIR747" s="23"/>
      <c r="AIS747" s="23"/>
      <c r="AIT747" s="23"/>
      <c r="AIU747" s="23"/>
      <c r="AIV747" s="23"/>
      <c r="AIW747" s="23"/>
      <c r="AIX747" s="23"/>
      <c r="AIY747" s="23"/>
      <c r="AIZ747" s="23"/>
      <c r="AJA747" s="23"/>
      <c r="AJB747" s="23"/>
      <c r="AJC747" s="23"/>
      <c r="AJD747" s="23"/>
      <c r="AJE747" s="23"/>
      <c r="AJF747" s="23"/>
      <c r="AJG747" s="23"/>
      <c r="AJH747" s="23"/>
      <c r="AJI747" s="23"/>
      <c r="AJJ747" s="23"/>
      <c r="AJK747" s="23"/>
      <c r="AJL747" s="23"/>
      <c r="AJM747" s="23"/>
      <c r="AJN747" s="23"/>
      <c r="AJO747" s="23"/>
      <c r="AJP747" s="23"/>
      <c r="AJQ747" s="23"/>
      <c r="AJR747" s="23"/>
      <c r="AJS747" s="23"/>
      <c r="AJT747" s="23"/>
      <c r="AJU747" s="23"/>
      <c r="AJV747" s="23"/>
      <c r="AJW747" s="23"/>
      <c r="AJX747" s="23"/>
      <c r="AJY747" s="23"/>
      <c r="AJZ747" s="23"/>
      <c r="AKA747" s="23"/>
      <c r="AKB747" s="23"/>
      <c r="AKC747" s="23"/>
      <c r="AKD747" s="23"/>
      <c r="AKE747" s="23"/>
      <c r="AKF747" s="23"/>
      <c r="AKG747" s="23"/>
      <c r="AKH747" s="23"/>
      <c r="AKI747" s="23"/>
      <c r="AKJ747" s="23"/>
      <c r="AKK747" s="23"/>
      <c r="AKL747" s="23"/>
      <c r="AKM747" s="23"/>
      <c r="AKN747" s="23"/>
      <c r="AKO747" s="23"/>
      <c r="AKP747" s="23"/>
      <c r="AKQ747" s="23"/>
      <c r="AKR747" s="23"/>
      <c r="AKS747" s="23"/>
      <c r="AKT747" s="23"/>
      <c r="AKU747" s="23"/>
      <c r="AKV747" s="23"/>
      <c r="AKW747" s="23"/>
      <c r="AKX747" s="23"/>
      <c r="AKY747" s="23"/>
      <c r="AKZ747" s="23"/>
      <c r="ALA747" s="23"/>
      <c r="ALB747" s="23"/>
      <c r="ALC747" s="23"/>
      <c r="ALD747" s="23"/>
      <c r="ALE747" s="23"/>
      <c r="ALF747" s="23"/>
      <c r="ALG747" s="23"/>
      <c r="ALH747" s="23"/>
      <c r="ALI747" s="23"/>
      <c r="ALJ747" s="23"/>
      <c r="ALK747" s="23"/>
      <c r="ALL747" s="23"/>
      <c r="ALM747" s="23"/>
      <c r="ALN747" s="23"/>
      <c r="ALO747" s="23"/>
      <c r="ALP747" s="23"/>
      <c r="ALQ747" s="23"/>
      <c r="ALR747" s="23"/>
      <c r="ALS747" s="23"/>
      <c r="ALT747" s="23"/>
      <c r="ALU747" s="23"/>
      <c r="ALV747" s="23"/>
      <c r="ALW747" s="23"/>
      <c r="ALX747" s="23"/>
      <c r="ALY747" s="23"/>
      <c r="ALZ747" s="23"/>
      <c r="AMA747" s="23"/>
      <c r="AMB747" s="23"/>
      <c r="AMC747" s="23"/>
      <c r="AMD747" s="23"/>
      <c r="AME747" s="23"/>
      <c r="AMF747" s="23"/>
      <c r="AMG747" s="23"/>
      <c r="AMH747" s="23"/>
      <c r="AMI747" s="23"/>
      <c r="AMJ747" s="23"/>
      <c r="AMK747" s="23"/>
      <c r="AML747" s="23"/>
      <c r="AMM747" s="23"/>
      <c r="AMN747" s="23"/>
      <c r="AMO747" s="23"/>
      <c r="AMP747" s="23"/>
      <c r="AMQ747" s="23"/>
      <c r="AMR747" s="23"/>
      <c r="AMS747" s="23"/>
      <c r="AMT747" s="23"/>
      <c r="AMU747" s="23"/>
      <c r="AMV747" s="23"/>
      <c r="AMW747" s="23"/>
      <c r="AMX747" s="23"/>
      <c r="AMY747" s="23"/>
      <c r="AMZ747" s="23"/>
      <c r="ANA747" s="23"/>
      <c r="ANB747" s="23"/>
      <c r="ANC747" s="23"/>
      <c r="AND747" s="23"/>
      <c r="ANE747" s="23"/>
      <c r="ANF747" s="23"/>
      <c r="ANG747" s="23"/>
      <c r="ANH747" s="23"/>
      <c r="ANI747" s="23"/>
      <c r="ANJ747" s="23"/>
      <c r="ANK747" s="23"/>
      <c r="ANL747" s="23"/>
      <c r="ANM747" s="23"/>
      <c r="ANN747" s="23"/>
      <c r="ANO747" s="23"/>
      <c r="ANP747" s="23"/>
      <c r="ANQ747" s="23"/>
      <c r="ANR747" s="23"/>
      <c r="ANS747" s="23"/>
      <c r="ANT747" s="23"/>
      <c r="ANU747" s="23"/>
      <c r="ANV747" s="23"/>
      <c r="ANW747" s="23"/>
      <c r="ANX747" s="23"/>
      <c r="ANY747" s="23"/>
      <c r="ANZ747" s="23"/>
      <c r="AOA747" s="23"/>
      <c r="AOB747" s="23"/>
      <c r="AOC747" s="23"/>
      <c r="AOD747" s="23"/>
      <c r="AOE747" s="23"/>
      <c r="AOF747" s="23"/>
      <c r="AOG747" s="23"/>
      <c r="AOH747" s="23"/>
      <c r="AOI747" s="23"/>
      <c r="AOJ747" s="23"/>
      <c r="AOK747" s="23"/>
      <c r="AOL747" s="23"/>
      <c r="AOM747" s="23"/>
      <c r="AON747" s="23"/>
      <c r="AOO747" s="23"/>
      <c r="AOP747" s="23"/>
      <c r="AOQ747" s="23"/>
      <c r="AOR747" s="23"/>
      <c r="AOS747" s="23"/>
      <c r="AOT747" s="23"/>
      <c r="AOU747" s="23"/>
      <c r="AOV747" s="23"/>
      <c r="AOW747" s="23"/>
      <c r="AOX747" s="23"/>
      <c r="AOY747" s="23"/>
      <c r="AOZ747" s="23"/>
      <c r="APA747" s="23"/>
      <c r="APB747" s="23"/>
      <c r="APC747" s="23"/>
      <c r="APD747" s="23"/>
      <c r="APE747" s="23"/>
      <c r="APF747" s="23"/>
      <c r="APG747" s="23"/>
      <c r="APH747" s="23"/>
      <c r="API747" s="23"/>
      <c r="APJ747" s="23"/>
      <c r="APK747" s="23"/>
      <c r="APL747" s="23"/>
      <c r="APM747" s="23"/>
      <c r="APN747" s="23"/>
      <c r="APO747" s="23"/>
      <c r="APP747" s="23"/>
      <c r="APQ747" s="23"/>
      <c r="APR747" s="23"/>
      <c r="APS747" s="23"/>
      <c r="APT747" s="23"/>
      <c r="APU747" s="23"/>
      <c r="APV747" s="23"/>
      <c r="APW747" s="23"/>
      <c r="APX747" s="23"/>
      <c r="APY747" s="23"/>
      <c r="APZ747" s="23"/>
      <c r="AQA747" s="23"/>
      <c r="AQB747" s="23"/>
      <c r="AQC747" s="23"/>
      <c r="AQD747" s="23"/>
      <c r="AQE747" s="23"/>
      <c r="AQF747" s="23"/>
      <c r="AQG747" s="23"/>
      <c r="AQH747" s="23"/>
      <c r="AQI747" s="23"/>
      <c r="AQJ747" s="23"/>
      <c r="AQK747" s="23"/>
      <c r="AQL747" s="23"/>
      <c r="AQM747" s="23"/>
      <c r="AQN747" s="23"/>
      <c r="AQO747" s="23"/>
      <c r="AQP747" s="23"/>
      <c r="AQQ747" s="23"/>
      <c r="AQR747" s="23"/>
      <c r="AQS747" s="23"/>
      <c r="AQT747" s="23"/>
      <c r="AQU747" s="23"/>
      <c r="AQV747" s="23"/>
      <c r="AQW747" s="23"/>
      <c r="AQX747" s="23"/>
      <c r="AQY747" s="23"/>
      <c r="AQZ747" s="23"/>
      <c r="ARA747" s="23"/>
      <c r="ARB747" s="23"/>
      <c r="ARC747" s="23"/>
      <c r="ARD747" s="23"/>
      <c r="ARE747" s="23"/>
      <c r="ARF747" s="23"/>
      <c r="ARG747" s="23"/>
      <c r="ARH747" s="23"/>
      <c r="ARI747" s="23"/>
      <c r="ARJ747" s="23"/>
      <c r="ARK747" s="23"/>
      <c r="ARL747" s="23"/>
      <c r="ARM747" s="23"/>
      <c r="ARN747" s="23"/>
      <c r="ARO747" s="23"/>
      <c r="ARP747" s="23"/>
      <c r="ARQ747" s="23"/>
      <c r="ARR747" s="23"/>
      <c r="ARS747" s="23"/>
      <c r="ART747" s="23"/>
      <c r="ARU747" s="23"/>
      <c r="ARV747" s="23"/>
      <c r="ARW747" s="23"/>
      <c r="ARX747" s="23"/>
      <c r="ARY747" s="23"/>
      <c r="ARZ747" s="23"/>
      <c r="ASA747" s="23"/>
      <c r="ASB747" s="23"/>
      <c r="ASC747" s="23"/>
      <c r="ASD747" s="23"/>
      <c r="ASE747" s="23"/>
      <c r="ASF747" s="23"/>
      <c r="ASG747" s="23"/>
      <c r="ASH747" s="23"/>
      <c r="ASI747" s="23"/>
      <c r="ASJ747" s="23"/>
      <c r="ASK747" s="23"/>
      <c r="ASL747" s="23"/>
      <c r="ASM747" s="23"/>
      <c r="ASN747" s="23"/>
      <c r="ASO747" s="23"/>
      <c r="ASP747" s="23"/>
      <c r="ASQ747" s="23"/>
      <c r="ASR747" s="23"/>
      <c r="ASS747" s="23"/>
      <c r="AST747" s="23"/>
      <c r="ASU747" s="23"/>
      <c r="ASV747" s="23"/>
      <c r="ASW747" s="23"/>
      <c r="ASX747" s="23"/>
      <c r="ASY747" s="23"/>
      <c r="ASZ747" s="23"/>
      <c r="ATA747" s="23"/>
      <c r="ATB747" s="23"/>
      <c r="ATC747" s="23"/>
      <c r="ATD747" s="23"/>
      <c r="ATE747" s="23"/>
      <c r="ATF747" s="23"/>
      <c r="ATG747" s="23"/>
      <c r="ATH747" s="23"/>
      <c r="ATI747" s="23"/>
      <c r="ATJ747" s="23"/>
      <c r="ATK747" s="23"/>
      <c r="ATL747" s="23"/>
      <c r="ATM747" s="23"/>
      <c r="ATN747" s="23"/>
      <c r="ATO747" s="23"/>
      <c r="ATP747" s="23"/>
      <c r="ATQ747" s="23"/>
      <c r="ATR747" s="23"/>
      <c r="ATS747" s="23"/>
      <c r="ATT747" s="23"/>
      <c r="ATU747" s="23"/>
      <c r="ATV747" s="23"/>
      <c r="ATW747" s="23"/>
      <c r="ATX747" s="23"/>
      <c r="ATY747" s="23"/>
      <c r="ATZ747" s="23"/>
      <c r="AUA747" s="23"/>
      <c r="AUB747" s="23"/>
      <c r="AUC747" s="23"/>
      <c r="AUD747" s="23"/>
      <c r="AUE747" s="23"/>
      <c r="AUF747" s="23"/>
      <c r="AUG747" s="23"/>
      <c r="AUH747" s="23"/>
      <c r="AUI747" s="23"/>
      <c r="AUJ747" s="23"/>
      <c r="AUK747" s="23"/>
      <c r="AUL747" s="23"/>
      <c r="AUM747" s="23"/>
      <c r="AUN747" s="23"/>
      <c r="AUO747" s="23"/>
      <c r="AUP747" s="23"/>
      <c r="AUQ747" s="23"/>
      <c r="AUR747" s="23"/>
      <c r="AUS747" s="23"/>
      <c r="AUT747" s="23"/>
      <c r="AUU747" s="23"/>
      <c r="AUV747" s="23"/>
      <c r="AUW747" s="23"/>
      <c r="AUX747" s="23"/>
      <c r="AUY747" s="23"/>
      <c r="AUZ747" s="23"/>
      <c r="AVA747" s="23"/>
      <c r="AVB747" s="23"/>
      <c r="AVC747" s="23"/>
      <c r="AVD747" s="23"/>
      <c r="AVE747" s="23"/>
      <c r="AVF747" s="23"/>
      <c r="AVG747" s="23"/>
      <c r="AVH747" s="23"/>
      <c r="AVI747" s="23"/>
      <c r="AVJ747" s="23"/>
      <c r="AVK747" s="23"/>
      <c r="AVL747" s="23"/>
      <c r="AVM747" s="23"/>
      <c r="AVN747" s="23"/>
      <c r="AVO747" s="23"/>
      <c r="AVP747" s="23"/>
      <c r="AVQ747" s="23"/>
      <c r="AVR747" s="23"/>
      <c r="AVS747" s="23"/>
      <c r="AVT747" s="23"/>
      <c r="AVU747" s="23"/>
      <c r="AVV747" s="23"/>
      <c r="AVW747" s="23"/>
      <c r="AVX747" s="23"/>
      <c r="AVY747" s="23"/>
      <c r="AVZ747" s="23"/>
      <c r="AWA747" s="23"/>
      <c r="AWB747" s="23"/>
      <c r="AWC747" s="23"/>
      <c r="AWD747" s="23"/>
      <c r="AWE747" s="23"/>
      <c r="AWF747" s="23"/>
      <c r="AWG747" s="23"/>
      <c r="AWH747" s="23"/>
      <c r="AWI747" s="23"/>
      <c r="AWJ747" s="23"/>
      <c r="AWK747" s="23"/>
      <c r="AWL747" s="23"/>
      <c r="AWM747" s="23"/>
      <c r="AWN747" s="23"/>
      <c r="AWO747" s="23"/>
      <c r="AWP747" s="23"/>
      <c r="AWQ747" s="23"/>
      <c r="AWR747" s="23"/>
      <c r="AWS747" s="23"/>
      <c r="AWT747" s="23"/>
      <c r="AWU747" s="23"/>
      <c r="AWV747" s="23"/>
      <c r="AWW747" s="23"/>
      <c r="AWX747" s="23"/>
      <c r="AWY747" s="23"/>
      <c r="AWZ747" s="23"/>
      <c r="AXA747" s="23"/>
      <c r="AXB747" s="23"/>
      <c r="AXC747" s="23"/>
      <c r="AXD747" s="23"/>
      <c r="AXE747" s="23"/>
      <c r="AXF747" s="23"/>
      <c r="AXG747" s="23"/>
      <c r="AXH747" s="23"/>
      <c r="AXI747" s="23"/>
      <c r="AXJ747" s="23"/>
      <c r="AXK747" s="23"/>
      <c r="AXL747" s="23"/>
      <c r="AXM747" s="23"/>
      <c r="AXN747" s="23"/>
      <c r="AXO747" s="23"/>
      <c r="AXP747" s="23"/>
      <c r="AXQ747" s="23"/>
      <c r="AXR747" s="23"/>
      <c r="AXS747" s="23"/>
      <c r="AXT747" s="23"/>
      <c r="AXU747" s="23"/>
      <c r="AXV747" s="23"/>
      <c r="AXW747" s="23"/>
      <c r="AXX747" s="23"/>
      <c r="AXY747" s="23"/>
      <c r="AXZ747" s="23"/>
      <c r="AYA747" s="23"/>
      <c r="AYB747" s="23"/>
      <c r="AYC747" s="23"/>
      <c r="AYD747" s="23"/>
      <c r="AYE747" s="23"/>
      <c r="AYF747" s="23"/>
      <c r="AYG747" s="23"/>
      <c r="AYH747" s="23"/>
      <c r="AYI747" s="23"/>
      <c r="AYJ747" s="23"/>
      <c r="AYK747" s="23"/>
      <c r="AYL747" s="23"/>
      <c r="AYM747" s="23"/>
      <c r="AYN747" s="23"/>
      <c r="AYO747" s="23"/>
      <c r="AYP747" s="23"/>
      <c r="AYQ747" s="23"/>
      <c r="AYR747" s="23"/>
      <c r="AYS747" s="23"/>
      <c r="AYT747" s="23"/>
      <c r="AYU747" s="23"/>
      <c r="AYV747" s="23"/>
      <c r="AYW747" s="23"/>
      <c r="AYX747" s="23"/>
      <c r="AYY747" s="23"/>
      <c r="AYZ747" s="23"/>
      <c r="AZA747" s="23"/>
      <c r="AZB747" s="23"/>
      <c r="AZC747" s="23"/>
      <c r="AZD747" s="23"/>
      <c r="AZE747" s="23"/>
      <c r="AZF747" s="23"/>
      <c r="AZG747" s="23"/>
      <c r="AZH747" s="23"/>
      <c r="AZI747" s="23"/>
      <c r="AZJ747" s="23"/>
      <c r="AZK747" s="23"/>
      <c r="AZL747" s="23"/>
      <c r="AZM747" s="23"/>
      <c r="AZN747" s="23"/>
      <c r="AZO747" s="23"/>
      <c r="AZP747" s="23"/>
      <c r="AZQ747" s="23"/>
      <c r="AZR747" s="23"/>
      <c r="AZS747" s="23"/>
      <c r="AZT747" s="23"/>
      <c r="AZU747" s="23"/>
      <c r="AZV747" s="23"/>
      <c r="AZW747" s="23"/>
      <c r="AZX747" s="23"/>
      <c r="AZY747" s="23"/>
      <c r="AZZ747" s="23"/>
      <c r="BAA747" s="23"/>
      <c r="BAB747" s="23"/>
      <c r="BAC747" s="23"/>
      <c r="BAD747" s="23"/>
      <c r="BAE747" s="23"/>
      <c r="BAF747" s="23"/>
      <c r="BAG747" s="23"/>
      <c r="BAH747" s="23"/>
      <c r="BAI747" s="23"/>
      <c r="BAJ747" s="23"/>
      <c r="BAK747" s="23"/>
      <c r="BAL747" s="23"/>
      <c r="BAM747" s="23"/>
      <c r="BAN747" s="23"/>
      <c r="BAO747" s="23"/>
      <c r="BAP747" s="23"/>
      <c r="BAQ747" s="23"/>
      <c r="BAR747" s="23"/>
      <c r="BAS747" s="23"/>
      <c r="BAT747" s="23"/>
      <c r="BAU747" s="23"/>
      <c r="BAV747" s="23"/>
      <c r="BAW747" s="23"/>
      <c r="BAX747" s="23"/>
      <c r="BAY747" s="23"/>
      <c r="BAZ747" s="23"/>
      <c r="BBA747" s="23"/>
      <c r="BBB747" s="23"/>
      <c r="BBC747" s="23"/>
      <c r="BBD747" s="23"/>
      <c r="BBE747" s="23"/>
      <c r="BBF747" s="23"/>
      <c r="BBG747" s="23"/>
      <c r="BBH747" s="23"/>
      <c r="BBI747" s="23"/>
      <c r="BBJ747" s="23"/>
      <c r="BBK747" s="23"/>
      <c r="BBL747" s="23"/>
      <c r="BBM747" s="23"/>
      <c r="BBN747" s="23"/>
      <c r="BBO747" s="23"/>
      <c r="BBP747" s="23"/>
      <c r="BBQ747" s="23"/>
      <c r="BBR747" s="23"/>
      <c r="BBS747" s="23"/>
      <c r="BBT747" s="23"/>
      <c r="BBU747" s="23"/>
      <c r="BBV747" s="23"/>
      <c r="BBW747" s="23"/>
      <c r="BBX747" s="23"/>
      <c r="BBY747" s="23"/>
      <c r="BBZ747" s="23"/>
      <c r="BCA747" s="23"/>
      <c r="BCB747" s="23"/>
      <c r="BCC747" s="23"/>
      <c r="BCD747" s="23"/>
      <c r="BCE747" s="23"/>
      <c r="BCF747" s="23"/>
      <c r="BCG747" s="23"/>
      <c r="BCH747" s="23"/>
      <c r="BCI747" s="23"/>
      <c r="BCJ747" s="23"/>
      <c r="BCK747" s="23"/>
      <c r="BCL747" s="23"/>
      <c r="BCM747" s="23"/>
      <c r="BCN747" s="23"/>
      <c r="BCO747" s="23"/>
      <c r="BCP747" s="23"/>
      <c r="BCQ747" s="23"/>
      <c r="BCR747" s="23"/>
      <c r="BCS747" s="23"/>
      <c r="BCT747" s="23"/>
      <c r="BCU747" s="23"/>
      <c r="BCV747" s="23"/>
      <c r="BCW747" s="23"/>
      <c r="BCX747" s="23"/>
      <c r="BCY747" s="23"/>
      <c r="BCZ747" s="23"/>
      <c r="BDA747" s="23"/>
      <c r="BDB747" s="23"/>
      <c r="BDC747" s="23"/>
      <c r="BDD747" s="23"/>
      <c r="BDE747" s="23"/>
      <c r="BDF747" s="23"/>
      <c r="BDG747" s="23"/>
      <c r="BDH747" s="23"/>
      <c r="BDI747" s="23"/>
      <c r="BDJ747" s="23"/>
      <c r="BDK747" s="23"/>
      <c r="BDL747" s="23"/>
      <c r="BDM747" s="23"/>
      <c r="BDN747" s="23"/>
      <c r="BDO747" s="23"/>
      <c r="BDP747" s="23"/>
      <c r="BDQ747" s="23"/>
      <c r="BDR747" s="23"/>
      <c r="BDS747" s="23"/>
      <c r="BDT747" s="23"/>
      <c r="BDU747" s="23"/>
      <c r="BDV747" s="23"/>
      <c r="BDW747" s="23"/>
      <c r="BDX747" s="23"/>
      <c r="BDY747" s="23"/>
      <c r="BDZ747" s="23"/>
      <c r="BEA747" s="23"/>
      <c r="BEB747" s="23"/>
      <c r="BEC747" s="23"/>
      <c r="BED747" s="23"/>
      <c r="BEE747" s="23"/>
      <c r="BEF747" s="23"/>
      <c r="BEG747" s="23"/>
      <c r="BEH747" s="23"/>
      <c r="BEI747" s="23"/>
      <c r="BEJ747" s="23"/>
      <c r="BEK747" s="23"/>
      <c r="BEL747" s="23"/>
      <c r="BEM747" s="23"/>
      <c r="BEN747" s="23"/>
      <c r="BEO747" s="23"/>
      <c r="BEP747" s="23"/>
      <c r="BEQ747" s="23"/>
      <c r="BER747" s="23"/>
      <c r="BES747" s="23"/>
      <c r="BET747" s="23"/>
      <c r="BEU747" s="23"/>
      <c r="BEV747" s="23"/>
      <c r="BEW747" s="23"/>
      <c r="BEX747" s="23"/>
      <c r="BEY747" s="23"/>
      <c r="BEZ747" s="23"/>
      <c r="BFA747" s="23"/>
      <c r="BFB747" s="23"/>
      <c r="BFC747" s="23"/>
      <c r="BFD747" s="23"/>
      <c r="BFE747" s="23"/>
      <c r="BFF747" s="23"/>
      <c r="BFG747" s="23"/>
      <c r="BFH747" s="23"/>
      <c r="BFI747" s="23"/>
      <c r="BFJ747" s="23"/>
      <c r="BFK747" s="23"/>
      <c r="BFL747" s="23"/>
      <c r="BFM747" s="23"/>
      <c r="BFN747" s="23"/>
      <c r="BFO747" s="23"/>
      <c r="BFP747" s="23"/>
      <c r="BFQ747" s="23"/>
      <c r="BFR747" s="23"/>
      <c r="BFS747" s="23"/>
      <c r="BFT747" s="23"/>
      <c r="BFU747" s="23"/>
      <c r="BFV747" s="23"/>
      <c r="BFW747" s="23"/>
      <c r="BFX747" s="23"/>
      <c r="BFY747" s="23"/>
      <c r="BFZ747" s="23"/>
      <c r="BGA747" s="23"/>
      <c r="BGB747" s="23"/>
      <c r="BGC747" s="23"/>
      <c r="BGD747" s="23"/>
      <c r="BGE747" s="23"/>
      <c r="BGF747" s="23"/>
      <c r="BGG747" s="23"/>
      <c r="BGH747" s="23"/>
      <c r="BGI747" s="23"/>
      <c r="BGJ747" s="23"/>
      <c r="BGK747" s="23"/>
      <c r="BGL747" s="23"/>
      <c r="BGM747" s="23"/>
      <c r="BGN747" s="23"/>
      <c r="BGO747" s="23"/>
      <c r="BGP747" s="23"/>
      <c r="BGQ747" s="23"/>
      <c r="BGR747" s="23"/>
      <c r="BGS747" s="23"/>
      <c r="BGT747" s="23"/>
      <c r="BGU747" s="23"/>
      <c r="BGV747" s="23"/>
      <c r="BGW747" s="23"/>
      <c r="BGX747" s="23"/>
      <c r="BGY747" s="23"/>
      <c r="BGZ747" s="23"/>
      <c r="BHA747" s="23"/>
      <c r="BHB747" s="23"/>
      <c r="BHC747" s="23"/>
      <c r="BHD747" s="23"/>
      <c r="BHE747" s="23"/>
      <c r="BHF747" s="23"/>
      <c r="BHG747" s="23"/>
      <c r="BHH747" s="23"/>
      <c r="BHI747" s="23"/>
      <c r="BHJ747" s="23"/>
      <c r="BHK747" s="23"/>
      <c r="BHL747" s="23"/>
      <c r="BHM747" s="23"/>
      <c r="BHN747" s="23"/>
      <c r="BHO747" s="23"/>
      <c r="BHP747" s="23"/>
      <c r="BHQ747" s="23"/>
      <c r="BHR747" s="23"/>
      <c r="BHS747" s="23"/>
      <c r="BHT747" s="23"/>
      <c r="BHU747" s="23"/>
      <c r="BHV747" s="23"/>
      <c r="BHW747" s="23"/>
      <c r="BHX747" s="23"/>
      <c r="BHY747" s="23"/>
      <c r="BHZ747" s="23"/>
      <c r="BIA747" s="23"/>
      <c r="BIB747" s="23"/>
      <c r="BIC747" s="23"/>
      <c r="BID747" s="23"/>
      <c r="BIE747" s="23"/>
      <c r="BIF747" s="23"/>
      <c r="BIG747" s="23"/>
      <c r="BIH747" s="23"/>
      <c r="BII747" s="23"/>
      <c r="BIJ747" s="23"/>
      <c r="BIK747" s="23"/>
      <c r="BIL747" s="23"/>
      <c r="BIM747" s="23"/>
      <c r="BIN747" s="23"/>
      <c r="BIO747" s="23"/>
      <c r="BIP747" s="23"/>
      <c r="BIQ747" s="23"/>
      <c r="BIR747" s="23"/>
      <c r="BIS747" s="23"/>
      <c r="BIT747" s="23"/>
      <c r="BIU747" s="23"/>
      <c r="BIV747" s="23"/>
      <c r="BIW747" s="23"/>
      <c r="BIX747" s="23"/>
      <c r="BIY747" s="23"/>
      <c r="BIZ747" s="23"/>
      <c r="BJA747" s="23"/>
      <c r="BJB747" s="23"/>
      <c r="BJC747" s="23"/>
      <c r="BJD747" s="23"/>
      <c r="BJE747" s="23"/>
      <c r="BJF747" s="23"/>
      <c r="BJG747" s="23"/>
      <c r="BJH747" s="23"/>
      <c r="BJI747" s="23"/>
      <c r="BJJ747" s="23"/>
      <c r="BJK747" s="23"/>
      <c r="BJL747" s="23"/>
      <c r="BJM747" s="23"/>
      <c r="BJN747" s="23"/>
      <c r="BJO747" s="23"/>
      <c r="BJP747" s="23"/>
      <c r="BJQ747" s="23"/>
      <c r="BJR747" s="23"/>
      <c r="BJS747" s="23"/>
      <c r="BJT747" s="23"/>
      <c r="BJU747" s="23"/>
      <c r="BJV747" s="23"/>
      <c r="BJW747" s="23"/>
      <c r="BJX747" s="23"/>
      <c r="BJY747" s="23"/>
      <c r="BJZ747" s="23"/>
      <c r="BKA747" s="23"/>
      <c r="BKB747" s="23"/>
      <c r="BKC747" s="23"/>
      <c r="BKD747" s="23"/>
      <c r="BKE747" s="23"/>
      <c r="BKF747" s="23"/>
      <c r="BKG747" s="23"/>
      <c r="BKH747" s="23"/>
      <c r="BKI747" s="23"/>
      <c r="BKJ747" s="23"/>
      <c r="BKK747" s="23"/>
      <c r="BKL747" s="23"/>
      <c r="BKM747" s="23"/>
      <c r="BKN747" s="23"/>
      <c r="BKO747" s="23"/>
      <c r="BKP747" s="23"/>
      <c r="BKQ747" s="23"/>
      <c r="BKR747" s="23"/>
      <c r="BKS747" s="23"/>
      <c r="BKT747" s="23"/>
      <c r="BKU747" s="23"/>
      <c r="BKV747" s="23"/>
      <c r="BKW747" s="23"/>
      <c r="BKX747" s="23"/>
      <c r="BKY747" s="23"/>
      <c r="BKZ747" s="23"/>
      <c r="BLA747" s="23"/>
      <c r="BLB747" s="23"/>
      <c r="BLC747" s="23"/>
      <c r="BLD747" s="23"/>
      <c r="BLE747" s="23"/>
      <c r="BLF747" s="23"/>
      <c r="BLG747" s="23"/>
      <c r="BLH747" s="23"/>
      <c r="BLI747" s="23"/>
      <c r="BLJ747" s="23"/>
      <c r="BLK747" s="23"/>
      <c r="BLL747" s="23"/>
      <c r="BLM747" s="23"/>
      <c r="BLN747" s="23"/>
      <c r="BLO747" s="23"/>
      <c r="BLP747" s="23"/>
      <c r="BLQ747" s="23"/>
      <c r="BLR747" s="23"/>
      <c r="BLS747" s="23"/>
      <c r="BLT747" s="23"/>
      <c r="BLU747" s="23"/>
      <c r="BLV747" s="23"/>
      <c r="BLW747" s="23"/>
      <c r="BLX747" s="23"/>
      <c r="BLY747" s="23"/>
      <c r="BLZ747" s="23"/>
      <c r="BMA747" s="23"/>
      <c r="BMB747" s="23"/>
      <c r="BMC747" s="23"/>
      <c r="BMD747" s="23"/>
      <c r="BME747" s="23"/>
      <c r="BMF747" s="23"/>
      <c r="BMG747" s="23"/>
      <c r="BMH747" s="23"/>
      <c r="BMI747" s="23"/>
      <c r="BMJ747" s="23"/>
      <c r="BMK747" s="23"/>
      <c r="BML747" s="23"/>
      <c r="BMM747" s="23"/>
      <c r="BMN747" s="23"/>
      <c r="BMO747" s="23"/>
      <c r="BMP747" s="23"/>
      <c r="BMQ747" s="23"/>
      <c r="BMR747" s="23"/>
      <c r="BMS747" s="23"/>
      <c r="BMT747" s="23"/>
      <c r="BMU747" s="23"/>
      <c r="BMV747" s="23"/>
      <c r="BMW747" s="23"/>
      <c r="BMX747" s="23"/>
      <c r="BMY747" s="23"/>
      <c r="BMZ747" s="23"/>
      <c r="BNA747" s="23"/>
      <c r="BNB747" s="23"/>
      <c r="BNC747" s="23"/>
      <c r="BND747" s="23"/>
      <c r="BNE747" s="23"/>
      <c r="BNF747" s="23"/>
      <c r="BNG747" s="23"/>
      <c r="BNH747" s="23"/>
      <c r="BNI747" s="23"/>
      <c r="BNJ747" s="23"/>
      <c r="BNK747" s="23"/>
      <c r="BNL747" s="23"/>
      <c r="BNM747" s="23"/>
      <c r="BNN747" s="23"/>
      <c r="BNO747" s="23"/>
      <c r="BNP747" s="23"/>
      <c r="BNQ747" s="23"/>
      <c r="BNR747" s="23"/>
      <c r="BNS747" s="23"/>
      <c r="BNT747" s="23"/>
      <c r="BNU747" s="23"/>
      <c r="BNV747" s="23"/>
      <c r="BNW747" s="23"/>
      <c r="BNX747" s="23"/>
      <c r="BNY747" s="23"/>
      <c r="BNZ747" s="23"/>
      <c r="BOA747" s="23"/>
      <c r="BOB747" s="23"/>
      <c r="BOC747" s="23"/>
      <c r="BOD747" s="23"/>
      <c r="BOE747" s="23"/>
      <c r="BOF747" s="23"/>
      <c r="BOG747" s="23"/>
      <c r="BOH747" s="23"/>
      <c r="BOI747" s="23"/>
      <c r="BOJ747" s="23"/>
      <c r="BOK747" s="23"/>
      <c r="BOL747" s="23"/>
      <c r="BOM747" s="23"/>
      <c r="BON747" s="23"/>
      <c r="BOO747" s="23"/>
      <c r="BOP747" s="23"/>
      <c r="BOQ747" s="23"/>
      <c r="BOR747" s="23"/>
      <c r="BOS747" s="23"/>
      <c r="BOT747" s="23"/>
      <c r="BOU747" s="23"/>
      <c r="BOV747" s="23"/>
      <c r="BOW747" s="23"/>
      <c r="BOX747" s="23"/>
      <c r="BOY747" s="23"/>
      <c r="BOZ747" s="23"/>
      <c r="BPA747" s="23"/>
      <c r="BPB747" s="23"/>
      <c r="BPC747" s="23"/>
      <c r="BPD747" s="23"/>
      <c r="BPE747" s="23"/>
      <c r="BPF747" s="23"/>
      <c r="BPG747" s="23"/>
      <c r="BPH747" s="23"/>
      <c r="BPI747" s="23"/>
      <c r="BPJ747" s="23"/>
      <c r="BPK747" s="23"/>
      <c r="BPL747" s="23"/>
      <c r="BPM747" s="23"/>
      <c r="BPN747" s="23"/>
      <c r="BPO747" s="23"/>
      <c r="BPP747" s="23"/>
      <c r="BPQ747" s="23"/>
      <c r="BPR747" s="23"/>
      <c r="BPS747" s="23"/>
      <c r="BPT747" s="23"/>
      <c r="BPU747" s="23"/>
      <c r="BPV747" s="23"/>
      <c r="BPW747" s="23"/>
      <c r="BPX747" s="23"/>
      <c r="BPY747" s="23"/>
      <c r="BPZ747" s="23"/>
      <c r="BQA747" s="23"/>
      <c r="BQB747" s="23"/>
      <c r="BQC747" s="23"/>
      <c r="BQD747" s="23"/>
      <c r="BQE747" s="23"/>
      <c r="BQF747" s="23"/>
      <c r="BQG747" s="23"/>
      <c r="BQH747" s="23"/>
      <c r="BQI747" s="23"/>
      <c r="BQJ747" s="23"/>
      <c r="BQK747" s="23"/>
      <c r="BQL747" s="23"/>
      <c r="BQM747" s="23"/>
      <c r="BQN747" s="23"/>
      <c r="BQO747" s="23"/>
      <c r="BQP747" s="23"/>
      <c r="BQQ747" s="23"/>
      <c r="BQR747" s="23"/>
      <c r="BQS747" s="23"/>
      <c r="BQT747" s="23"/>
      <c r="BQU747" s="23"/>
      <c r="BQV747" s="23"/>
      <c r="BQW747" s="23"/>
      <c r="BQX747" s="23"/>
      <c r="BQY747" s="23"/>
      <c r="BQZ747" s="23"/>
      <c r="BRA747" s="23"/>
      <c r="BRB747" s="23"/>
      <c r="BRC747" s="23"/>
      <c r="BRD747" s="23"/>
      <c r="BRE747" s="23"/>
      <c r="BRF747" s="23"/>
      <c r="BRG747" s="23"/>
      <c r="BRH747" s="23"/>
      <c r="BRI747" s="23"/>
      <c r="BRJ747" s="23"/>
      <c r="BRK747" s="23"/>
      <c r="BRL747" s="23"/>
      <c r="BRM747" s="23"/>
      <c r="BRN747" s="23"/>
      <c r="BRO747" s="23"/>
      <c r="BRP747" s="23"/>
      <c r="BRQ747" s="23"/>
      <c r="BRR747" s="23"/>
      <c r="BRS747" s="23"/>
      <c r="BRT747" s="23"/>
      <c r="BRU747" s="23"/>
      <c r="BRV747" s="23"/>
      <c r="BRW747" s="23"/>
      <c r="BRX747" s="23"/>
      <c r="BRY747" s="23"/>
      <c r="BRZ747" s="23"/>
      <c r="BSA747" s="23"/>
      <c r="BSB747" s="23"/>
      <c r="BSC747" s="23"/>
      <c r="BSD747" s="23"/>
      <c r="BSE747" s="23"/>
      <c r="BSF747" s="23"/>
      <c r="BSG747" s="23"/>
      <c r="BSH747" s="23"/>
      <c r="BSI747" s="23"/>
      <c r="BSJ747" s="23"/>
      <c r="BSK747" s="23"/>
      <c r="BSL747" s="23"/>
      <c r="BSM747" s="23"/>
      <c r="BSN747" s="23"/>
      <c r="BSO747" s="23"/>
      <c r="BSP747" s="23"/>
      <c r="BSQ747" s="23"/>
      <c r="BSR747" s="23"/>
      <c r="BSS747" s="23"/>
      <c r="BST747" s="23"/>
      <c r="BSU747" s="23"/>
      <c r="BSV747" s="23"/>
      <c r="BSW747" s="23"/>
      <c r="BSX747" s="23"/>
      <c r="BSY747" s="23"/>
      <c r="BSZ747" s="23"/>
      <c r="BTA747" s="23"/>
    </row>
    <row r="748" spans="1:1873" s="23" customFormat="1" x14ac:dyDescent="0.2">
      <c r="A748" s="1"/>
      <c r="B748" s="29"/>
      <c r="C748" s="29"/>
      <c r="D748" s="1"/>
      <c r="E748" s="220"/>
      <c r="F748" s="1"/>
      <c r="G748" s="30"/>
      <c r="H748" s="30"/>
      <c r="I748" s="29"/>
      <c r="J748" s="29"/>
      <c r="K748" s="29"/>
      <c r="L748" s="29"/>
      <c r="M748" s="31"/>
      <c r="N748" s="29"/>
      <c r="O748" s="29"/>
      <c r="P748" s="70"/>
      <c r="Q748" s="29"/>
      <c r="R748" s="31"/>
      <c r="S748" s="29"/>
      <c r="T748" s="734"/>
      <c r="U748" s="29"/>
      <c r="V748" s="29"/>
      <c r="W748" s="31"/>
      <c r="X748" s="29"/>
      <c r="Y748" s="29"/>
      <c r="Z748" s="29"/>
      <c r="AA748" s="30"/>
      <c r="AB748" s="31"/>
      <c r="AC748" s="29"/>
      <c r="AD748" s="29"/>
      <c r="AE748" s="29"/>
      <c r="AF748" s="29"/>
      <c r="AG748" s="29"/>
      <c r="AH748" s="29"/>
      <c r="AI748" s="323"/>
      <c r="AJ748" s="29"/>
      <c r="AK748" s="29"/>
      <c r="AL748" s="29"/>
      <c r="AM748" s="29"/>
      <c r="AN748" s="29"/>
      <c r="AO748" s="29"/>
      <c r="AP748" s="29"/>
      <c r="AQ748" s="29"/>
      <c r="AR748" s="29"/>
      <c r="AS748" s="29"/>
      <c r="AT748" s="29"/>
      <c r="AU748" s="29"/>
      <c r="AV748" s="29"/>
      <c r="AW748" s="29"/>
      <c r="AX748" s="29"/>
      <c r="AY748" s="29"/>
      <c r="AZ748" s="29"/>
      <c r="BA748" s="29"/>
      <c r="BB748" s="29"/>
      <c r="BC748" s="29"/>
      <c r="BD748" s="29"/>
      <c r="BE748" s="29"/>
      <c r="BF748" s="29"/>
      <c r="BG748" s="29"/>
      <c r="BH748" s="29"/>
      <c r="BI748" s="29"/>
      <c r="BJ748" s="29"/>
      <c r="BK748" s="29"/>
      <c r="BL748" s="29"/>
      <c r="BM748" s="29"/>
      <c r="BN748" s="31"/>
      <c r="BO748" s="29"/>
      <c r="BP748" s="29"/>
      <c r="BQ748" s="29"/>
      <c r="BR748" s="29"/>
      <c r="BS748" s="30"/>
      <c r="BT748" s="29"/>
      <c r="BU748" s="29"/>
      <c r="BV748" s="29"/>
      <c r="BW748" s="29"/>
      <c r="BX748" s="29"/>
      <c r="BY748" s="29"/>
      <c r="BZ748" s="29"/>
      <c r="CA748" s="333"/>
      <c r="CC748" s="1"/>
      <c r="CD748" s="30"/>
      <c r="CE748" s="342" t="s">
        <v>1576</v>
      </c>
      <c r="CF748" s="342" t="s">
        <v>1575</v>
      </c>
      <c r="CG748" s="30"/>
    </row>
    <row r="749" spans="1:1873" s="23" customFormat="1" x14ac:dyDescent="0.2">
      <c r="A749" s="25" t="s">
        <v>805</v>
      </c>
      <c r="B749" s="223" t="s">
        <v>811</v>
      </c>
      <c r="C749" s="404" t="s">
        <v>1454</v>
      </c>
      <c r="D749" s="240" t="s">
        <v>619</v>
      </c>
      <c r="E749" s="305" t="s">
        <v>1392</v>
      </c>
      <c r="F749" s="240">
        <v>1</v>
      </c>
      <c r="G749" s="242">
        <v>2</v>
      </c>
      <c r="H749" s="242">
        <v>3</v>
      </c>
      <c r="I749" s="223" t="s">
        <v>807</v>
      </c>
      <c r="J749" s="223">
        <v>1995</v>
      </c>
      <c r="K749" s="223" t="s">
        <v>1211</v>
      </c>
      <c r="L749" s="223">
        <v>1996</v>
      </c>
      <c r="M749" s="243">
        <v>-9999</v>
      </c>
      <c r="N749" s="223">
        <v>-9999</v>
      </c>
      <c r="O749" s="29"/>
      <c r="P749" s="244">
        <f>+T749*G749</f>
        <v>3.5</v>
      </c>
      <c r="Q749" s="223">
        <v>-9999</v>
      </c>
      <c r="R749" s="243"/>
      <c r="S749" s="223"/>
      <c r="T749" s="421">
        <v>1.75</v>
      </c>
      <c r="U749" s="223">
        <v>-9999</v>
      </c>
      <c r="V749" s="223"/>
      <c r="W749" s="243">
        <v>-9999</v>
      </c>
      <c r="X749" s="223">
        <v>-9999</v>
      </c>
      <c r="Y749" s="223"/>
      <c r="Z749" s="404" t="s">
        <v>1703</v>
      </c>
      <c r="AA749" s="564">
        <v>1075</v>
      </c>
      <c r="AB749" s="243">
        <v>1</v>
      </c>
      <c r="AC749" s="223">
        <v>-9999</v>
      </c>
      <c r="AD749" s="223">
        <v>18.600000000000001</v>
      </c>
      <c r="AE749" s="404" t="s">
        <v>1738</v>
      </c>
      <c r="AF749" s="223">
        <v>10</v>
      </c>
      <c r="AG749" s="404" t="s">
        <v>1741</v>
      </c>
      <c r="AH749" s="223" t="s">
        <v>1034</v>
      </c>
      <c r="AI749" s="404" t="s">
        <v>1739</v>
      </c>
      <c r="AJ749" s="223">
        <v>-9999</v>
      </c>
      <c r="AK749" s="223" t="s">
        <v>626</v>
      </c>
      <c r="AL749" s="223" t="s">
        <v>828</v>
      </c>
      <c r="AM749" s="223">
        <v>-9999</v>
      </c>
      <c r="AN749" s="223" t="s">
        <v>631</v>
      </c>
      <c r="AO749" s="223">
        <v>-9999</v>
      </c>
      <c r="AP749" s="223">
        <v>-9999</v>
      </c>
      <c r="AQ749" s="223" t="s">
        <v>631</v>
      </c>
      <c r="AR749" s="223">
        <v>0</v>
      </c>
      <c r="AS749" s="223">
        <v>-9999</v>
      </c>
      <c r="AT749" s="223">
        <v>-9999</v>
      </c>
      <c r="AU749" s="223">
        <v>0</v>
      </c>
      <c r="AV749" s="223">
        <v>-9999</v>
      </c>
      <c r="AW749" s="223">
        <v>-9999</v>
      </c>
      <c r="AX749" s="223">
        <v>0</v>
      </c>
      <c r="AY749" s="223">
        <v>-9999</v>
      </c>
      <c r="AZ749" s="223">
        <v>-9999</v>
      </c>
      <c r="BA749" s="223">
        <v>-9988</v>
      </c>
      <c r="BB749" s="223" t="s">
        <v>626</v>
      </c>
      <c r="BC749" s="223">
        <v>-9999</v>
      </c>
      <c r="BD749" s="223">
        <v>-9999</v>
      </c>
      <c r="BE749" s="223">
        <v>-9999</v>
      </c>
      <c r="BF749" s="223">
        <v>-9999</v>
      </c>
      <c r="BG749" s="223">
        <v>-9999</v>
      </c>
      <c r="BH749" s="223">
        <v>-9999</v>
      </c>
      <c r="BI749" s="223" t="s">
        <v>1035</v>
      </c>
      <c r="BJ749" s="223">
        <v>-9999</v>
      </c>
      <c r="BK749" s="223">
        <v>-9999</v>
      </c>
      <c r="BL749" s="223">
        <v>-9999</v>
      </c>
      <c r="BM749" s="223">
        <v>-9999</v>
      </c>
      <c r="BN749" s="223">
        <v>-9999</v>
      </c>
      <c r="BO749" s="223">
        <v>-9999</v>
      </c>
      <c r="BP749" s="223">
        <v>-9999</v>
      </c>
      <c r="BQ749" s="223">
        <v>-9999</v>
      </c>
      <c r="BR749" s="223">
        <v>-9999</v>
      </c>
      <c r="BS749" s="242">
        <v>-9999</v>
      </c>
      <c r="BT749" s="223">
        <v>-9999</v>
      </c>
      <c r="BU749" s="223">
        <v>-9999</v>
      </c>
      <c r="BV749" s="223">
        <v>-9999</v>
      </c>
      <c r="BW749" s="223"/>
      <c r="BX749" s="223">
        <v>-9999</v>
      </c>
      <c r="BY749" s="223">
        <v>-9999</v>
      </c>
      <c r="BZ749" s="223">
        <v>-9999</v>
      </c>
      <c r="CA749" s="334" t="s">
        <v>797</v>
      </c>
      <c r="CB749" s="247"/>
      <c r="CC749" s="25">
        <v>1</v>
      </c>
      <c r="CD749" s="84">
        <v>2</v>
      </c>
      <c r="CE749" s="292">
        <v>1.75</v>
      </c>
      <c r="CF749" s="292"/>
      <c r="CG749" s="84">
        <v>3</v>
      </c>
    </row>
    <row r="750" spans="1:1873" s="23" customFormat="1" x14ac:dyDescent="0.2">
      <c r="A750" s="25" t="s">
        <v>805</v>
      </c>
      <c r="B750" s="223" t="s">
        <v>811</v>
      </c>
      <c r="C750" s="404" t="s">
        <v>1454</v>
      </c>
      <c r="D750" s="240" t="s">
        <v>619</v>
      </c>
      <c r="E750" s="305" t="s">
        <v>1392</v>
      </c>
      <c r="F750" s="240">
        <v>1</v>
      </c>
      <c r="G750" s="242">
        <v>3</v>
      </c>
      <c r="H750" s="242">
        <v>4</v>
      </c>
      <c r="I750" s="223" t="s">
        <v>807</v>
      </c>
      <c r="J750" s="223">
        <v>1995</v>
      </c>
      <c r="K750" s="223" t="s">
        <v>1211</v>
      </c>
      <c r="L750" s="223">
        <v>1997</v>
      </c>
      <c r="M750" s="243">
        <v>-9999</v>
      </c>
      <c r="N750" s="223">
        <v>-9999</v>
      </c>
      <c r="O750" s="29"/>
      <c r="P750" s="244">
        <f>+T750*G750</f>
        <v>10.5</v>
      </c>
      <c r="Q750" s="223">
        <v>-9999</v>
      </c>
      <c r="R750" s="243"/>
      <c r="S750" s="223"/>
      <c r="T750" s="421">
        <v>3.5</v>
      </c>
      <c r="U750" s="223">
        <v>-9999</v>
      </c>
      <c r="V750" s="223"/>
      <c r="W750" s="285">
        <f>+P750-P749</f>
        <v>7</v>
      </c>
      <c r="X750" s="223">
        <v>-9999</v>
      </c>
      <c r="Y750" s="223"/>
      <c r="Z750" s="404" t="s">
        <v>1703</v>
      </c>
      <c r="AA750" s="564">
        <v>1075</v>
      </c>
      <c r="AB750" s="243">
        <v>1</v>
      </c>
      <c r="AC750" s="223">
        <v>-9999</v>
      </c>
      <c r="AD750" s="223">
        <v>18.600000000000001</v>
      </c>
      <c r="AE750" s="404" t="s">
        <v>1738</v>
      </c>
      <c r="AF750" s="223">
        <v>10</v>
      </c>
      <c r="AG750" s="404" t="s">
        <v>1741</v>
      </c>
      <c r="AH750" s="223" t="s">
        <v>1034</v>
      </c>
      <c r="AI750" s="404" t="s">
        <v>1739</v>
      </c>
      <c r="AJ750" s="223">
        <v>-9999</v>
      </c>
      <c r="AK750" s="223" t="s">
        <v>626</v>
      </c>
      <c r="AL750" s="223" t="s">
        <v>828</v>
      </c>
      <c r="AM750" s="223">
        <v>-9999</v>
      </c>
      <c r="AN750" s="223" t="s">
        <v>631</v>
      </c>
      <c r="AO750" s="223">
        <v>-9999</v>
      </c>
      <c r="AP750" s="223">
        <v>-9999</v>
      </c>
      <c r="AQ750" s="223" t="s">
        <v>631</v>
      </c>
      <c r="AR750" s="223">
        <v>0</v>
      </c>
      <c r="AS750" s="223">
        <v>-9999</v>
      </c>
      <c r="AT750" s="223">
        <v>-9999</v>
      </c>
      <c r="AU750" s="223">
        <v>0</v>
      </c>
      <c r="AV750" s="223">
        <v>-9999</v>
      </c>
      <c r="AW750" s="223">
        <v>-9999</v>
      </c>
      <c r="AX750" s="223">
        <v>0</v>
      </c>
      <c r="AY750" s="223">
        <v>-9999</v>
      </c>
      <c r="AZ750" s="223">
        <v>-9999</v>
      </c>
      <c r="BA750" s="223">
        <v>-9988</v>
      </c>
      <c r="BB750" s="223" t="s">
        <v>626</v>
      </c>
      <c r="BC750" s="223">
        <v>-9999</v>
      </c>
      <c r="BD750" s="223">
        <v>-9999</v>
      </c>
      <c r="BE750" s="223">
        <v>-9999</v>
      </c>
      <c r="BF750" s="223">
        <v>-9999</v>
      </c>
      <c r="BG750" s="223">
        <v>-9999</v>
      </c>
      <c r="BH750" s="223">
        <v>-9999</v>
      </c>
      <c r="BI750" s="223" t="s">
        <v>1035</v>
      </c>
      <c r="BJ750" s="223">
        <v>-9999</v>
      </c>
      <c r="BK750" s="223">
        <v>-9999</v>
      </c>
      <c r="BL750" s="223">
        <v>-9999</v>
      </c>
      <c r="BM750" s="223">
        <v>-9999</v>
      </c>
      <c r="BN750" s="223">
        <v>-9999</v>
      </c>
      <c r="BO750" s="223">
        <v>-9999</v>
      </c>
      <c r="BP750" s="223">
        <v>-9999</v>
      </c>
      <c r="BQ750" s="223">
        <v>-9999</v>
      </c>
      <c r="BR750" s="223">
        <v>-9999</v>
      </c>
      <c r="BS750" s="242">
        <v>-9999</v>
      </c>
      <c r="BT750" s="223">
        <v>-9999</v>
      </c>
      <c r="BU750" s="223">
        <v>-9999</v>
      </c>
      <c r="BV750" s="223">
        <v>-9999</v>
      </c>
      <c r="BW750" s="223"/>
      <c r="BX750" s="223">
        <v>-9999</v>
      </c>
      <c r="BY750" s="223">
        <v>-9999</v>
      </c>
      <c r="BZ750" s="223">
        <v>-9999</v>
      </c>
      <c r="CA750" s="334" t="s">
        <v>797</v>
      </c>
      <c r="CB750" s="247"/>
      <c r="CC750" s="25">
        <v>1</v>
      </c>
      <c r="CD750" s="84">
        <v>3</v>
      </c>
      <c r="CE750" s="292">
        <v>3.5</v>
      </c>
      <c r="CF750" s="292">
        <v>7</v>
      </c>
      <c r="CG750" s="84">
        <v>4</v>
      </c>
    </row>
    <row r="751" spans="1:1873" s="23" customFormat="1" x14ac:dyDescent="0.2">
      <c r="A751" s="25" t="s">
        <v>805</v>
      </c>
      <c r="B751" s="223" t="s">
        <v>811</v>
      </c>
      <c r="C751" s="404" t="s">
        <v>1454</v>
      </c>
      <c r="D751" s="240" t="s">
        <v>619</v>
      </c>
      <c r="E751" s="305" t="s">
        <v>1392</v>
      </c>
      <c r="F751" s="240">
        <v>1</v>
      </c>
      <c r="G751" s="242">
        <v>4</v>
      </c>
      <c r="H751" s="242">
        <v>5</v>
      </c>
      <c r="I751" s="223" t="s">
        <v>807</v>
      </c>
      <c r="J751" s="223">
        <v>1995</v>
      </c>
      <c r="K751" s="223" t="s">
        <v>1211</v>
      </c>
      <c r="L751" s="223">
        <v>1998</v>
      </c>
      <c r="M751" s="243">
        <v>-9999</v>
      </c>
      <c r="N751" s="223">
        <v>-9999</v>
      </c>
      <c r="O751" s="29"/>
      <c r="P751" s="244">
        <f>+T751*G751</f>
        <v>37.6</v>
      </c>
      <c r="Q751" s="223">
        <v>-9999</v>
      </c>
      <c r="R751" s="243"/>
      <c r="S751" s="223"/>
      <c r="T751" s="421">
        <v>9.4</v>
      </c>
      <c r="U751" s="223">
        <v>-9999</v>
      </c>
      <c r="V751" s="223"/>
      <c r="W751" s="285">
        <f>+P751-P750</f>
        <v>27.1</v>
      </c>
      <c r="X751" s="223">
        <v>-9999</v>
      </c>
      <c r="Y751" s="223"/>
      <c r="Z751" s="404" t="s">
        <v>1703</v>
      </c>
      <c r="AA751" s="564">
        <v>1075</v>
      </c>
      <c r="AB751" s="243">
        <v>1</v>
      </c>
      <c r="AC751" s="223">
        <v>-9999</v>
      </c>
      <c r="AD751" s="223">
        <v>18.600000000000001</v>
      </c>
      <c r="AE751" s="404" t="s">
        <v>1738</v>
      </c>
      <c r="AF751" s="223">
        <v>10</v>
      </c>
      <c r="AG751" s="404" t="s">
        <v>1741</v>
      </c>
      <c r="AH751" s="223" t="s">
        <v>1034</v>
      </c>
      <c r="AI751" s="404" t="s">
        <v>1739</v>
      </c>
      <c r="AJ751" s="223">
        <v>-9999</v>
      </c>
      <c r="AK751" s="223" t="s">
        <v>626</v>
      </c>
      <c r="AL751" s="223" t="s">
        <v>828</v>
      </c>
      <c r="AM751" s="223">
        <v>-9999</v>
      </c>
      <c r="AN751" s="223" t="s">
        <v>631</v>
      </c>
      <c r="AO751" s="223">
        <v>-9999</v>
      </c>
      <c r="AP751" s="223">
        <v>-9999</v>
      </c>
      <c r="AQ751" s="223" t="s">
        <v>631</v>
      </c>
      <c r="AR751" s="223">
        <v>0</v>
      </c>
      <c r="AS751" s="223">
        <v>-9999</v>
      </c>
      <c r="AT751" s="223">
        <v>-9999</v>
      </c>
      <c r="AU751" s="223">
        <v>0</v>
      </c>
      <c r="AV751" s="223">
        <v>-9999</v>
      </c>
      <c r="AW751" s="223">
        <v>-9999</v>
      </c>
      <c r="AX751" s="223">
        <v>0</v>
      </c>
      <c r="AY751" s="223">
        <v>-9999</v>
      </c>
      <c r="AZ751" s="223">
        <v>-9999</v>
      </c>
      <c r="BA751" s="223">
        <v>-9988</v>
      </c>
      <c r="BB751" s="223" t="s">
        <v>626</v>
      </c>
      <c r="BC751" s="223">
        <v>-9999</v>
      </c>
      <c r="BD751" s="223">
        <v>-9999</v>
      </c>
      <c r="BE751" s="223">
        <v>-9999</v>
      </c>
      <c r="BF751" s="223">
        <v>-9999</v>
      </c>
      <c r="BG751" s="223">
        <v>-9999</v>
      </c>
      <c r="BH751" s="223">
        <v>-9999</v>
      </c>
      <c r="BI751" s="223" t="s">
        <v>1035</v>
      </c>
      <c r="BJ751" s="223">
        <v>-9999</v>
      </c>
      <c r="BK751" s="223">
        <v>-9999</v>
      </c>
      <c r="BL751" s="223">
        <v>-9999</v>
      </c>
      <c r="BM751" s="223">
        <v>-9999</v>
      </c>
      <c r="BN751" s="223">
        <v>-9999</v>
      </c>
      <c r="BO751" s="223">
        <v>-9999</v>
      </c>
      <c r="BP751" s="223">
        <v>-9999</v>
      </c>
      <c r="BQ751" s="223">
        <v>-9999</v>
      </c>
      <c r="BR751" s="223">
        <v>-9999</v>
      </c>
      <c r="BS751" s="242">
        <v>-9999</v>
      </c>
      <c r="BT751" s="223">
        <v>-9999</v>
      </c>
      <c r="BU751" s="223">
        <v>-9999</v>
      </c>
      <c r="BV751" s="223">
        <v>-9999</v>
      </c>
      <c r="BW751" s="223"/>
      <c r="BX751" s="223">
        <v>-9999</v>
      </c>
      <c r="BY751" s="223">
        <v>-9999</v>
      </c>
      <c r="BZ751" s="223">
        <v>-9999</v>
      </c>
      <c r="CA751" s="334" t="s">
        <v>797</v>
      </c>
      <c r="CB751" s="247"/>
      <c r="CC751" s="25">
        <v>1</v>
      </c>
      <c r="CD751" s="84">
        <v>4</v>
      </c>
      <c r="CE751" s="292">
        <v>9.4</v>
      </c>
      <c r="CF751" s="292">
        <v>27.1</v>
      </c>
      <c r="CG751" s="84">
        <v>5</v>
      </c>
    </row>
    <row r="752" spans="1:1873" s="23" customFormat="1" x14ac:dyDescent="0.2">
      <c r="A752" s="25" t="s">
        <v>805</v>
      </c>
      <c r="B752" s="223" t="s">
        <v>811</v>
      </c>
      <c r="C752" s="404" t="s">
        <v>1454</v>
      </c>
      <c r="D752" s="240" t="s">
        <v>619</v>
      </c>
      <c r="E752" s="305" t="s">
        <v>1392</v>
      </c>
      <c r="F752" s="240">
        <v>1</v>
      </c>
      <c r="G752" s="242">
        <v>5</v>
      </c>
      <c r="H752" s="242">
        <v>6</v>
      </c>
      <c r="I752" s="223" t="s">
        <v>807</v>
      </c>
      <c r="J752" s="223">
        <v>1995</v>
      </c>
      <c r="K752" s="223" t="s">
        <v>1211</v>
      </c>
      <c r="L752" s="223">
        <v>1999</v>
      </c>
      <c r="M752" s="243">
        <v>-9999</v>
      </c>
      <c r="N752" s="223">
        <v>-9999</v>
      </c>
      <c r="O752" s="29"/>
      <c r="P752" s="244">
        <f>+T752*G752</f>
        <v>69</v>
      </c>
      <c r="Q752" s="223">
        <v>-9999</v>
      </c>
      <c r="R752" s="243"/>
      <c r="S752" s="223"/>
      <c r="T752" s="421">
        <v>13.8</v>
      </c>
      <c r="U752" s="223">
        <v>-9999</v>
      </c>
      <c r="V752" s="223"/>
      <c r="W752" s="285">
        <f>+P752-P751</f>
        <v>31.4</v>
      </c>
      <c r="X752" s="223">
        <v>-9999</v>
      </c>
      <c r="Y752" s="223"/>
      <c r="Z752" s="404" t="s">
        <v>1703</v>
      </c>
      <c r="AA752" s="564">
        <v>1075</v>
      </c>
      <c r="AB752" s="243">
        <v>1</v>
      </c>
      <c r="AC752" s="223">
        <v>-9999</v>
      </c>
      <c r="AD752" s="223">
        <v>18.600000000000001</v>
      </c>
      <c r="AE752" s="404" t="s">
        <v>1738</v>
      </c>
      <c r="AF752" s="223">
        <v>10</v>
      </c>
      <c r="AG752" s="404" t="s">
        <v>1741</v>
      </c>
      <c r="AH752" s="223" t="s">
        <v>1034</v>
      </c>
      <c r="AI752" s="404" t="s">
        <v>1739</v>
      </c>
      <c r="AJ752" s="223">
        <v>-9999</v>
      </c>
      <c r="AK752" s="223" t="s">
        <v>626</v>
      </c>
      <c r="AL752" s="223" t="s">
        <v>828</v>
      </c>
      <c r="AM752" s="223">
        <v>-9999</v>
      </c>
      <c r="AN752" s="223" t="s">
        <v>631</v>
      </c>
      <c r="AO752" s="223">
        <v>-9999</v>
      </c>
      <c r="AP752" s="223">
        <v>-9999</v>
      </c>
      <c r="AQ752" s="223" t="s">
        <v>631</v>
      </c>
      <c r="AR752" s="223">
        <v>0</v>
      </c>
      <c r="AS752" s="223">
        <v>-9999</v>
      </c>
      <c r="AT752" s="223">
        <v>-9999</v>
      </c>
      <c r="AU752" s="223">
        <v>0</v>
      </c>
      <c r="AV752" s="223">
        <v>-9999</v>
      </c>
      <c r="AW752" s="223">
        <v>-9999</v>
      </c>
      <c r="AX752" s="223">
        <v>0</v>
      </c>
      <c r="AY752" s="223">
        <v>-9999</v>
      </c>
      <c r="AZ752" s="223">
        <v>-9999</v>
      </c>
      <c r="BA752" s="223">
        <v>-9988</v>
      </c>
      <c r="BB752" s="223" t="s">
        <v>626</v>
      </c>
      <c r="BC752" s="223">
        <v>-9999</v>
      </c>
      <c r="BD752" s="223">
        <v>-9999</v>
      </c>
      <c r="BE752" s="223">
        <v>-9999</v>
      </c>
      <c r="BF752" s="223">
        <v>-9999</v>
      </c>
      <c r="BG752" s="223">
        <v>-9999</v>
      </c>
      <c r="BH752" s="223">
        <v>-9999</v>
      </c>
      <c r="BI752" s="223" t="s">
        <v>1035</v>
      </c>
      <c r="BJ752" s="223">
        <v>-9999</v>
      </c>
      <c r="BK752" s="223">
        <v>-9999</v>
      </c>
      <c r="BL752" s="223">
        <v>-9999</v>
      </c>
      <c r="BM752" s="223">
        <v>-9999</v>
      </c>
      <c r="BN752" s="223">
        <v>-9999</v>
      </c>
      <c r="BO752" s="223">
        <v>-9999</v>
      </c>
      <c r="BP752" s="223">
        <v>-9999</v>
      </c>
      <c r="BQ752" s="223">
        <v>-9999</v>
      </c>
      <c r="BR752" s="223">
        <v>-9999</v>
      </c>
      <c r="BS752" s="242">
        <v>-9999</v>
      </c>
      <c r="BT752" s="223">
        <v>-9999</v>
      </c>
      <c r="BU752" s="223">
        <v>-9999</v>
      </c>
      <c r="BV752" s="223">
        <v>-9999</v>
      </c>
      <c r="BW752" s="223"/>
      <c r="BX752" s="223">
        <v>-9999</v>
      </c>
      <c r="BY752" s="223">
        <v>-9999</v>
      </c>
      <c r="BZ752" s="223">
        <v>-9999</v>
      </c>
      <c r="CA752" s="334" t="s">
        <v>797</v>
      </c>
      <c r="CB752" s="247"/>
      <c r="CC752" s="25">
        <v>1</v>
      </c>
      <c r="CD752" s="84">
        <v>5</v>
      </c>
      <c r="CE752" s="292">
        <v>13.8</v>
      </c>
      <c r="CF752" s="292">
        <v>31.4</v>
      </c>
      <c r="CG752" s="84">
        <v>6</v>
      </c>
    </row>
    <row r="753" spans="1:1873" s="247" customFormat="1" x14ac:dyDescent="0.2">
      <c r="A753" s="240" t="s">
        <v>805</v>
      </c>
      <c r="B753" s="223" t="s">
        <v>811</v>
      </c>
      <c r="C753" s="404" t="s">
        <v>1454</v>
      </c>
      <c r="D753" s="240" t="s">
        <v>619</v>
      </c>
      <c r="E753" s="305" t="s">
        <v>1392</v>
      </c>
      <c r="F753" s="240">
        <v>1</v>
      </c>
      <c r="G753" s="242">
        <v>6</v>
      </c>
      <c r="H753" s="242">
        <v>7</v>
      </c>
      <c r="I753" s="223" t="s">
        <v>807</v>
      </c>
      <c r="J753" s="223">
        <v>1995</v>
      </c>
      <c r="K753" s="223" t="s">
        <v>1211</v>
      </c>
      <c r="L753" s="223">
        <v>2000</v>
      </c>
      <c r="M753" s="243">
        <v>-9999</v>
      </c>
      <c r="N753" s="223">
        <v>-9999</v>
      </c>
      <c r="O753" s="29"/>
      <c r="P753" s="244">
        <f>+T753*G753</f>
        <v>101.03999999999999</v>
      </c>
      <c r="Q753" s="223">
        <v>-9999</v>
      </c>
      <c r="R753" s="243"/>
      <c r="S753" s="223"/>
      <c r="T753" s="421">
        <v>16.84</v>
      </c>
      <c r="U753" s="223">
        <v>-9999</v>
      </c>
      <c r="V753" s="223"/>
      <c r="W753" s="285">
        <f>+P753-P752</f>
        <v>32.039999999999992</v>
      </c>
      <c r="X753" s="223">
        <v>-9999</v>
      </c>
      <c r="Y753" s="223"/>
      <c r="Z753" s="404" t="s">
        <v>1703</v>
      </c>
      <c r="AA753" s="564">
        <v>1075</v>
      </c>
      <c r="AB753" s="243">
        <v>1</v>
      </c>
      <c r="AC753" s="223">
        <v>-9999</v>
      </c>
      <c r="AD753" s="223">
        <v>18.600000000000001</v>
      </c>
      <c r="AE753" s="404" t="s">
        <v>1738</v>
      </c>
      <c r="AF753" s="223">
        <v>10</v>
      </c>
      <c r="AG753" s="404" t="s">
        <v>1741</v>
      </c>
      <c r="AH753" s="223" t="s">
        <v>1034</v>
      </c>
      <c r="AI753" s="404" t="s">
        <v>1739</v>
      </c>
      <c r="AJ753" s="223">
        <v>-9999</v>
      </c>
      <c r="AK753" s="223" t="s">
        <v>626</v>
      </c>
      <c r="AL753" s="223" t="s">
        <v>828</v>
      </c>
      <c r="AM753" s="223">
        <v>-9999</v>
      </c>
      <c r="AN753" s="223" t="s">
        <v>631</v>
      </c>
      <c r="AO753" s="223">
        <v>-9999</v>
      </c>
      <c r="AP753" s="223">
        <v>-9999</v>
      </c>
      <c r="AQ753" s="223" t="s">
        <v>631</v>
      </c>
      <c r="AR753" s="223">
        <v>0</v>
      </c>
      <c r="AS753" s="223">
        <v>-9999</v>
      </c>
      <c r="AT753" s="223">
        <v>-9999</v>
      </c>
      <c r="AU753" s="223">
        <v>0</v>
      </c>
      <c r="AV753" s="223">
        <v>-9999</v>
      </c>
      <c r="AW753" s="223">
        <v>-9999</v>
      </c>
      <c r="AX753" s="223">
        <v>0</v>
      </c>
      <c r="AY753" s="223">
        <v>-9999</v>
      </c>
      <c r="AZ753" s="223">
        <v>-9999</v>
      </c>
      <c r="BA753" s="223">
        <v>-9988</v>
      </c>
      <c r="BB753" s="223" t="s">
        <v>626</v>
      </c>
      <c r="BC753" s="223">
        <v>-9999</v>
      </c>
      <c r="BD753" s="223">
        <v>-9999</v>
      </c>
      <c r="BE753" s="223">
        <v>-9999</v>
      </c>
      <c r="BF753" s="223">
        <v>-9999</v>
      </c>
      <c r="BG753" s="223">
        <v>-9999</v>
      </c>
      <c r="BH753" s="223">
        <v>-9999</v>
      </c>
      <c r="BI753" s="223" t="s">
        <v>1035</v>
      </c>
      <c r="BJ753" s="223">
        <v>-9999</v>
      </c>
      <c r="BK753" s="223">
        <v>-9999</v>
      </c>
      <c r="BL753" s="223">
        <v>-9999</v>
      </c>
      <c r="BM753" s="223">
        <v>-9999</v>
      </c>
      <c r="BN753" s="243">
        <v>18.690000000000001</v>
      </c>
      <c r="BO753" s="223">
        <v>-9999</v>
      </c>
      <c r="BP753" s="223">
        <v>-9999</v>
      </c>
      <c r="BQ753" s="223">
        <v>-9999</v>
      </c>
      <c r="BR753" s="223">
        <v>-9999</v>
      </c>
      <c r="BS753" s="242">
        <v>-9999</v>
      </c>
      <c r="BT753" s="223">
        <v>-9999</v>
      </c>
      <c r="BU753" s="223">
        <v>-9999</v>
      </c>
      <c r="BV753" s="223">
        <v>-9999</v>
      </c>
      <c r="BW753" s="223"/>
      <c r="BX753" s="223">
        <v>-9999</v>
      </c>
      <c r="BY753" s="223">
        <v>-9999</v>
      </c>
      <c r="BZ753" s="223">
        <v>-9999</v>
      </c>
      <c r="CA753" s="334" t="s">
        <v>797</v>
      </c>
      <c r="CC753" s="240">
        <v>1</v>
      </c>
      <c r="CD753" s="242">
        <v>6</v>
      </c>
      <c r="CE753" s="292">
        <v>16.84</v>
      </c>
      <c r="CF753" s="292">
        <v>32.039999999999992</v>
      </c>
      <c r="CG753" s="242">
        <v>7</v>
      </c>
      <c r="CH753" s="23"/>
      <c r="CI753" s="23"/>
      <c r="CJ753" s="23"/>
      <c r="CK753" s="23"/>
      <c r="CL753" s="23"/>
      <c r="CM753" s="23"/>
      <c r="CN753" s="23"/>
      <c r="CO753" s="23"/>
      <c r="CP753" s="23"/>
      <c r="CQ753" s="23"/>
      <c r="CR753" s="23"/>
      <c r="CS753" s="23"/>
      <c r="CT753" s="23"/>
      <c r="CU753" s="23"/>
      <c r="CV753" s="23"/>
      <c r="CW753" s="23"/>
      <c r="CX753" s="23"/>
      <c r="CY753" s="23"/>
      <c r="CZ753" s="23"/>
      <c r="DA753" s="23"/>
      <c r="DB753" s="23"/>
      <c r="DC753" s="23"/>
      <c r="DD753" s="23"/>
      <c r="DE753" s="23"/>
      <c r="DF753" s="23"/>
      <c r="DG753" s="23"/>
      <c r="DH753" s="23"/>
      <c r="DI753" s="23"/>
      <c r="DJ753" s="23"/>
      <c r="DK753" s="23"/>
      <c r="DL753" s="23"/>
      <c r="DM753" s="23"/>
      <c r="DN753" s="23"/>
      <c r="DO753" s="23"/>
      <c r="DP753" s="23"/>
      <c r="DQ753" s="23"/>
      <c r="DR753" s="23"/>
      <c r="DS753" s="23"/>
      <c r="DT753" s="23"/>
      <c r="DU753" s="23"/>
      <c r="DV753" s="23"/>
      <c r="DW753" s="23"/>
      <c r="DX753" s="23"/>
      <c r="DY753" s="23"/>
      <c r="DZ753" s="23"/>
      <c r="EA753" s="23"/>
      <c r="EB753" s="23"/>
      <c r="EC753" s="23"/>
      <c r="ED753" s="23"/>
      <c r="EE753" s="23"/>
      <c r="EF753" s="23"/>
      <c r="EG753" s="23"/>
      <c r="EH753" s="23"/>
      <c r="EI753" s="23"/>
      <c r="EJ753" s="23"/>
      <c r="EK753" s="23"/>
      <c r="EL753" s="23"/>
      <c r="EM753" s="23"/>
      <c r="EN753" s="23"/>
      <c r="EO753" s="23"/>
      <c r="EP753" s="23"/>
      <c r="EQ753" s="23"/>
      <c r="ER753" s="23"/>
      <c r="ES753" s="23"/>
      <c r="ET753" s="23"/>
      <c r="EU753" s="23"/>
      <c r="EV753" s="23"/>
      <c r="EW753" s="23"/>
      <c r="EX753" s="23"/>
      <c r="EY753" s="23"/>
      <c r="EZ753" s="23"/>
      <c r="FA753" s="23"/>
      <c r="FB753" s="23"/>
      <c r="FC753" s="23"/>
      <c r="FD753" s="23"/>
      <c r="FE753" s="23"/>
      <c r="FF753" s="23"/>
      <c r="FG753" s="23"/>
      <c r="FH753" s="23"/>
      <c r="FI753" s="23"/>
      <c r="FJ753" s="23"/>
      <c r="FK753" s="23"/>
      <c r="FL753" s="23"/>
      <c r="FM753" s="23"/>
      <c r="FN753" s="23"/>
      <c r="FO753" s="23"/>
      <c r="FP753" s="23"/>
      <c r="FQ753" s="23"/>
      <c r="FR753" s="23"/>
      <c r="FS753" s="23"/>
      <c r="FT753" s="23"/>
      <c r="FU753" s="23"/>
      <c r="FV753" s="23"/>
      <c r="FW753" s="23"/>
      <c r="FX753" s="23"/>
      <c r="FY753" s="23"/>
      <c r="FZ753" s="23"/>
      <c r="GA753" s="23"/>
      <c r="GB753" s="23"/>
      <c r="GC753" s="23"/>
      <c r="GD753" s="23"/>
      <c r="GE753" s="23"/>
      <c r="GF753" s="23"/>
      <c r="GG753" s="23"/>
      <c r="GH753" s="23"/>
      <c r="GI753" s="23"/>
      <c r="GJ753" s="23"/>
      <c r="GK753" s="23"/>
      <c r="GL753" s="23"/>
      <c r="GM753" s="23"/>
      <c r="GN753" s="23"/>
      <c r="GO753" s="23"/>
      <c r="GP753" s="23"/>
      <c r="GQ753" s="23"/>
      <c r="GR753" s="23"/>
      <c r="GS753" s="23"/>
      <c r="GT753" s="23"/>
      <c r="GU753" s="23"/>
      <c r="GV753" s="23"/>
      <c r="GW753" s="23"/>
      <c r="GX753" s="23"/>
      <c r="GY753" s="23"/>
      <c r="GZ753" s="23"/>
      <c r="HA753" s="23"/>
      <c r="HB753" s="23"/>
      <c r="HC753" s="23"/>
      <c r="HD753" s="23"/>
      <c r="HE753" s="23"/>
      <c r="HF753" s="23"/>
      <c r="HG753" s="23"/>
      <c r="HH753" s="23"/>
      <c r="HI753" s="23"/>
      <c r="HJ753" s="23"/>
      <c r="HK753" s="23"/>
      <c r="HL753" s="23"/>
      <c r="HM753" s="23"/>
      <c r="HN753" s="23"/>
      <c r="HO753" s="23"/>
      <c r="HP753" s="23"/>
      <c r="HQ753" s="23"/>
      <c r="HR753" s="23"/>
      <c r="HS753" s="23"/>
      <c r="HT753" s="23"/>
      <c r="HU753" s="23"/>
      <c r="HV753" s="23"/>
      <c r="HW753" s="23"/>
      <c r="HX753" s="23"/>
      <c r="HY753" s="23"/>
      <c r="HZ753" s="23"/>
      <c r="IA753" s="23"/>
      <c r="IB753" s="23"/>
      <c r="IC753" s="23"/>
      <c r="ID753" s="23"/>
      <c r="IE753" s="23"/>
      <c r="IF753" s="23"/>
      <c r="IG753" s="23"/>
      <c r="IH753" s="23"/>
      <c r="II753" s="23"/>
      <c r="IJ753" s="23"/>
      <c r="IK753" s="23"/>
      <c r="IL753" s="23"/>
      <c r="IM753" s="23"/>
      <c r="IN753" s="23"/>
      <c r="IO753" s="23"/>
      <c r="IP753" s="23"/>
      <c r="IQ753" s="23"/>
      <c r="IR753" s="23"/>
      <c r="IS753" s="23"/>
      <c r="IT753" s="23"/>
      <c r="IU753" s="23"/>
      <c r="IV753" s="23"/>
      <c r="IW753" s="23"/>
      <c r="IX753" s="23"/>
      <c r="IY753" s="23"/>
      <c r="IZ753" s="23"/>
      <c r="JA753" s="23"/>
      <c r="JB753" s="23"/>
      <c r="JC753" s="23"/>
      <c r="JD753" s="23"/>
      <c r="JE753" s="23"/>
      <c r="JF753" s="23"/>
      <c r="JG753" s="23"/>
      <c r="JH753" s="23"/>
      <c r="JI753" s="23"/>
      <c r="JJ753" s="23"/>
      <c r="JK753" s="23"/>
      <c r="JL753" s="23"/>
      <c r="JM753" s="23"/>
      <c r="JN753" s="23"/>
      <c r="JO753" s="23"/>
      <c r="JP753" s="23"/>
      <c r="JQ753" s="23"/>
      <c r="JR753" s="23"/>
      <c r="JS753" s="23"/>
      <c r="JT753" s="23"/>
      <c r="JU753" s="23"/>
      <c r="JV753" s="23"/>
      <c r="JW753" s="23"/>
      <c r="JX753" s="23"/>
      <c r="JY753" s="23"/>
      <c r="JZ753" s="23"/>
      <c r="KA753" s="23"/>
      <c r="KB753" s="23"/>
      <c r="KC753" s="23"/>
      <c r="KD753" s="23"/>
      <c r="KE753" s="23"/>
      <c r="KF753" s="23"/>
      <c r="KG753" s="23"/>
      <c r="KH753" s="23"/>
      <c r="KI753" s="23"/>
      <c r="KJ753" s="23"/>
      <c r="KK753" s="23"/>
      <c r="KL753" s="23"/>
      <c r="KM753" s="23"/>
      <c r="KN753" s="23"/>
      <c r="KO753" s="23"/>
      <c r="KP753" s="23"/>
      <c r="KQ753" s="23"/>
      <c r="KR753" s="23"/>
      <c r="KS753" s="23"/>
      <c r="KT753" s="23"/>
      <c r="KU753" s="23"/>
      <c r="KV753" s="23"/>
      <c r="KW753" s="23"/>
      <c r="KX753" s="23"/>
      <c r="KY753" s="23"/>
      <c r="KZ753" s="23"/>
      <c r="LA753" s="23"/>
      <c r="LB753" s="23"/>
      <c r="LC753" s="23"/>
      <c r="LD753" s="23"/>
      <c r="LE753" s="23"/>
      <c r="LF753" s="23"/>
      <c r="LG753" s="23"/>
      <c r="LH753" s="23"/>
      <c r="LI753" s="23"/>
      <c r="LJ753" s="23"/>
      <c r="LK753" s="23"/>
      <c r="LL753" s="23"/>
      <c r="LM753" s="23"/>
      <c r="LN753" s="23"/>
      <c r="LO753" s="23"/>
      <c r="LP753" s="23"/>
      <c r="LQ753" s="23"/>
      <c r="LR753" s="23"/>
      <c r="LS753" s="23"/>
      <c r="LT753" s="23"/>
      <c r="LU753" s="23"/>
      <c r="LV753" s="23"/>
      <c r="LW753" s="23"/>
      <c r="LX753" s="23"/>
      <c r="LY753" s="23"/>
      <c r="LZ753" s="23"/>
      <c r="MA753" s="23"/>
      <c r="MB753" s="23"/>
      <c r="MC753" s="23"/>
      <c r="MD753" s="23"/>
      <c r="ME753" s="23"/>
      <c r="MF753" s="23"/>
      <c r="MG753" s="23"/>
      <c r="MH753" s="23"/>
      <c r="MI753" s="23"/>
      <c r="MJ753" s="23"/>
      <c r="MK753" s="23"/>
      <c r="ML753" s="23"/>
      <c r="MM753" s="23"/>
      <c r="MN753" s="23"/>
      <c r="MO753" s="23"/>
      <c r="MP753" s="23"/>
      <c r="MQ753" s="23"/>
      <c r="MR753" s="23"/>
      <c r="MS753" s="23"/>
      <c r="MT753" s="23"/>
      <c r="MU753" s="23"/>
      <c r="MV753" s="23"/>
      <c r="MW753" s="23"/>
      <c r="MX753" s="23"/>
      <c r="MY753" s="23"/>
      <c r="MZ753" s="23"/>
      <c r="NA753" s="23"/>
      <c r="NB753" s="23"/>
      <c r="NC753" s="23"/>
      <c r="ND753" s="23"/>
      <c r="NE753" s="23"/>
      <c r="NF753" s="23"/>
      <c r="NG753" s="23"/>
      <c r="NH753" s="23"/>
      <c r="NI753" s="23"/>
      <c r="NJ753" s="23"/>
      <c r="NK753" s="23"/>
      <c r="NL753" s="23"/>
      <c r="NM753" s="23"/>
      <c r="NN753" s="23"/>
      <c r="NO753" s="23"/>
      <c r="NP753" s="23"/>
      <c r="NQ753" s="23"/>
      <c r="NR753" s="23"/>
      <c r="NS753" s="23"/>
      <c r="NT753" s="23"/>
      <c r="NU753" s="23"/>
      <c r="NV753" s="23"/>
      <c r="NW753" s="23"/>
      <c r="NX753" s="23"/>
      <c r="NY753" s="23"/>
      <c r="NZ753" s="23"/>
      <c r="OA753" s="23"/>
      <c r="OB753" s="23"/>
      <c r="OC753" s="23"/>
      <c r="OD753" s="23"/>
      <c r="OE753" s="23"/>
      <c r="OF753" s="23"/>
      <c r="OG753" s="23"/>
      <c r="OH753" s="23"/>
      <c r="OI753" s="23"/>
      <c r="OJ753" s="23"/>
      <c r="OK753" s="23"/>
      <c r="OL753" s="23"/>
      <c r="OM753" s="23"/>
      <c r="ON753" s="23"/>
      <c r="OO753" s="23"/>
      <c r="OP753" s="23"/>
      <c r="OQ753" s="23"/>
      <c r="OR753" s="23"/>
      <c r="OS753" s="23"/>
      <c r="OT753" s="23"/>
      <c r="OU753" s="23"/>
      <c r="OV753" s="23"/>
      <c r="OW753" s="23"/>
      <c r="OX753" s="23"/>
      <c r="OY753" s="23"/>
      <c r="OZ753" s="23"/>
      <c r="PA753" s="23"/>
      <c r="PB753" s="23"/>
      <c r="PC753" s="23"/>
      <c r="PD753" s="23"/>
      <c r="PE753" s="23"/>
      <c r="PF753" s="23"/>
      <c r="PG753" s="23"/>
      <c r="PH753" s="23"/>
      <c r="PI753" s="23"/>
      <c r="PJ753" s="23"/>
      <c r="PK753" s="23"/>
      <c r="PL753" s="23"/>
      <c r="PM753" s="23"/>
      <c r="PN753" s="23"/>
      <c r="PO753" s="23"/>
      <c r="PP753" s="23"/>
      <c r="PQ753" s="23"/>
      <c r="PR753" s="23"/>
      <c r="PS753" s="23"/>
      <c r="PT753" s="23"/>
      <c r="PU753" s="23"/>
      <c r="PV753" s="23"/>
      <c r="PW753" s="23"/>
      <c r="PX753" s="23"/>
      <c r="PY753" s="23"/>
      <c r="PZ753" s="23"/>
      <c r="QA753" s="23"/>
      <c r="QB753" s="23"/>
      <c r="QC753" s="23"/>
      <c r="QD753" s="23"/>
      <c r="QE753" s="23"/>
      <c r="QF753" s="23"/>
      <c r="QG753" s="23"/>
      <c r="QH753" s="23"/>
      <c r="QI753" s="23"/>
      <c r="QJ753" s="23"/>
      <c r="QK753" s="23"/>
      <c r="QL753" s="23"/>
      <c r="QM753" s="23"/>
      <c r="QN753" s="23"/>
      <c r="QO753" s="23"/>
      <c r="QP753" s="23"/>
      <c r="QQ753" s="23"/>
      <c r="QR753" s="23"/>
      <c r="QS753" s="23"/>
      <c r="QT753" s="23"/>
      <c r="QU753" s="23"/>
      <c r="QV753" s="23"/>
      <c r="QW753" s="23"/>
      <c r="QX753" s="23"/>
      <c r="QY753" s="23"/>
      <c r="QZ753" s="23"/>
      <c r="RA753" s="23"/>
      <c r="RB753" s="23"/>
      <c r="RC753" s="23"/>
      <c r="RD753" s="23"/>
      <c r="RE753" s="23"/>
      <c r="RF753" s="23"/>
      <c r="RG753" s="23"/>
      <c r="RH753" s="23"/>
      <c r="RI753" s="23"/>
      <c r="RJ753" s="23"/>
      <c r="RK753" s="23"/>
      <c r="RL753" s="23"/>
      <c r="RM753" s="23"/>
      <c r="RN753" s="23"/>
      <c r="RO753" s="23"/>
      <c r="RP753" s="23"/>
      <c r="RQ753" s="23"/>
      <c r="RR753" s="23"/>
      <c r="RS753" s="23"/>
      <c r="RT753" s="23"/>
      <c r="RU753" s="23"/>
      <c r="RV753" s="23"/>
      <c r="RW753" s="23"/>
      <c r="RX753" s="23"/>
      <c r="RY753" s="23"/>
      <c r="RZ753" s="23"/>
      <c r="SA753" s="23"/>
      <c r="SB753" s="23"/>
      <c r="SC753" s="23"/>
      <c r="SD753" s="23"/>
      <c r="SE753" s="23"/>
      <c r="SF753" s="23"/>
      <c r="SG753" s="23"/>
      <c r="SH753" s="23"/>
      <c r="SI753" s="23"/>
      <c r="SJ753" s="23"/>
      <c r="SK753" s="23"/>
      <c r="SL753" s="23"/>
      <c r="SM753" s="23"/>
      <c r="SN753" s="23"/>
      <c r="SO753" s="23"/>
      <c r="SP753" s="23"/>
      <c r="SQ753" s="23"/>
      <c r="SR753" s="23"/>
      <c r="SS753" s="23"/>
      <c r="ST753" s="23"/>
      <c r="SU753" s="23"/>
      <c r="SV753" s="23"/>
      <c r="SW753" s="23"/>
      <c r="SX753" s="23"/>
      <c r="SY753" s="23"/>
      <c r="SZ753" s="23"/>
      <c r="TA753" s="23"/>
      <c r="TB753" s="23"/>
      <c r="TC753" s="23"/>
      <c r="TD753" s="23"/>
      <c r="TE753" s="23"/>
      <c r="TF753" s="23"/>
      <c r="TG753" s="23"/>
      <c r="TH753" s="23"/>
      <c r="TI753" s="23"/>
      <c r="TJ753" s="23"/>
      <c r="TK753" s="23"/>
      <c r="TL753" s="23"/>
      <c r="TM753" s="23"/>
      <c r="TN753" s="23"/>
      <c r="TO753" s="23"/>
      <c r="TP753" s="23"/>
      <c r="TQ753" s="23"/>
      <c r="TR753" s="23"/>
      <c r="TS753" s="23"/>
      <c r="TT753" s="23"/>
      <c r="TU753" s="23"/>
      <c r="TV753" s="23"/>
      <c r="TW753" s="23"/>
      <c r="TX753" s="23"/>
      <c r="TY753" s="23"/>
      <c r="TZ753" s="23"/>
      <c r="UA753" s="23"/>
      <c r="UB753" s="23"/>
      <c r="UC753" s="23"/>
      <c r="UD753" s="23"/>
      <c r="UE753" s="23"/>
      <c r="UF753" s="23"/>
      <c r="UG753" s="23"/>
      <c r="UH753" s="23"/>
      <c r="UI753" s="23"/>
      <c r="UJ753" s="23"/>
      <c r="UK753" s="23"/>
      <c r="UL753" s="23"/>
      <c r="UM753" s="23"/>
      <c r="UN753" s="23"/>
      <c r="UO753" s="23"/>
      <c r="UP753" s="23"/>
      <c r="UQ753" s="23"/>
      <c r="UR753" s="23"/>
      <c r="US753" s="23"/>
      <c r="UT753" s="23"/>
      <c r="UU753" s="23"/>
      <c r="UV753" s="23"/>
      <c r="UW753" s="23"/>
      <c r="UX753" s="23"/>
      <c r="UY753" s="23"/>
      <c r="UZ753" s="23"/>
      <c r="VA753" s="23"/>
      <c r="VB753" s="23"/>
      <c r="VC753" s="23"/>
      <c r="VD753" s="23"/>
      <c r="VE753" s="23"/>
      <c r="VF753" s="23"/>
      <c r="VG753" s="23"/>
      <c r="VH753" s="23"/>
      <c r="VI753" s="23"/>
      <c r="VJ753" s="23"/>
      <c r="VK753" s="23"/>
      <c r="VL753" s="23"/>
      <c r="VM753" s="23"/>
      <c r="VN753" s="23"/>
      <c r="VO753" s="23"/>
      <c r="VP753" s="23"/>
      <c r="VQ753" s="23"/>
      <c r="VR753" s="23"/>
      <c r="VS753" s="23"/>
      <c r="VT753" s="23"/>
      <c r="VU753" s="23"/>
      <c r="VV753" s="23"/>
      <c r="VW753" s="23"/>
      <c r="VX753" s="23"/>
      <c r="VY753" s="23"/>
      <c r="VZ753" s="23"/>
      <c r="WA753" s="23"/>
      <c r="WB753" s="23"/>
      <c r="WC753" s="23"/>
      <c r="WD753" s="23"/>
      <c r="WE753" s="23"/>
      <c r="WF753" s="23"/>
      <c r="WG753" s="23"/>
      <c r="WH753" s="23"/>
      <c r="WI753" s="23"/>
      <c r="WJ753" s="23"/>
      <c r="WK753" s="23"/>
      <c r="WL753" s="23"/>
      <c r="WM753" s="23"/>
      <c r="WN753" s="23"/>
      <c r="WO753" s="23"/>
      <c r="WP753" s="23"/>
      <c r="WQ753" s="23"/>
      <c r="WR753" s="23"/>
      <c r="WS753" s="23"/>
      <c r="WT753" s="23"/>
      <c r="WU753" s="23"/>
      <c r="WV753" s="23"/>
      <c r="WW753" s="23"/>
      <c r="WX753" s="23"/>
      <c r="WY753" s="23"/>
      <c r="WZ753" s="23"/>
      <c r="XA753" s="23"/>
      <c r="XB753" s="23"/>
      <c r="XC753" s="23"/>
      <c r="XD753" s="23"/>
      <c r="XE753" s="23"/>
      <c r="XF753" s="23"/>
      <c r="XG753" s="23"/>
      <c r="XH753" s="23"/>
      <c r="XI753" s="23"/>
      <c r="XJ753" s="23"/>
      <c r="XK753" s="23"/>
      <c r="XL753" s="23"/>
      <c r="XM753" s="23"/>
      <c r="XN753" s="23"/>
      <c r="XO753" s="23"/>
      <c r="XP753" s="23"/>
      <c r="XQ753" s="23"/>
      <c r="XR753" s="23"/>
      <c r="XS753" s="23"/>
      <c r="XT753" s="23"/>
      <c r="XU753" s="23"/>
      <c r="XV753" s="23"/>
      <c r="XW753" s="23"/>
      <c r="XX753" s="23"/>
      <c r="XY753" s="23"/>
      <c r="XZ753" s="23"/>
      <c r="YA753" s="23"/>
      <c r="YB753" s="23"/>
      <c r="YC753" s="23"/>
      <c r="YD753" s="23"/>
      <c r="YE753" s="23"/>
      <c r="YF753" s="23"/>
      <c r="YG753" s="23"/>
      <c r="YH753" s="23"/>
      <c r="YI753" s="23"/>
      <c r="YJ753" s="23"/>
      <c r="YK753" s="23"/>
      <c r="YL753" s="23"/>
      <c r="YM753" s="23"/>
      <c r="YN753" s="23"/>
      <c r="YO753" s="23"/>
      <c r="YP753" s="23"/>
      <c r="YQ753" s="23"/>
      <c r="YR753" s="23"/>
      <c r="YS753" s="23"/>
      <c r="YT753" s="23"/>
      <c r="YU753" s="23"/>
      <c r="YV753" s="23"/>
      <c r="YW753" s="23"/>
      <c r="YX753" s="23"/>
      <c r="YY753" s="23"/>
      <c r="YZ753" s="23"/>
      <c r="ZA753" s="23"/>
      <c r="ZB753" s="23"/>
      <c r="ZC753" s="23"/>
      <c r="ZD753" s="23"/>
      <c r="ZE753" s="23"/>
      <c r="ZF753" s="23"/>
      <c r="ZG753" s="23"/>
      <c r="ZH753" s="23"/>
      <c r="ZI753" s="23"/>
      <c r="ZJ753" s="23"/>
      <c r="ZK753" s="23"/>
      <c r="ZL753" s="23"/>
      <c r="ZM753" s="23"/>
      <c r="ZN753" s="23"/>
      <c r="ZO753" s="23"/>
      <c r="ZP753" s="23"/>
      <c r="ZQ753" s="23"/>
      <c r="ZR753" s="23"/>
      <c r="ZS753" s="23"/>
      <c r="ZT753" s="23"/>
      <c r="ZU753" s="23"/>
      <c r="ZV753" s="23"/>
      <c r="ZW753" s="23"/>
      <c r="ZX753" s="23"/>
      <c r="ZY753" s="23"/>
      <c r="ZZ753" s="23"/>
      <c r="AAA753" s="23"/>
      <c r="AAB753" s="23"/>
      <c r="AAC753" s="23"/>
      <c r="AAD753" s="23"/>
      <c r="AAE753" s="23"/>
      <c r="AAF753" s="23"/>
      <c r="AAG753" s="23"/>
      <c r="AAH753" s="23"/>
      <c r="AAI753" s="23"/>
      <c r="AAJ753" s="23"/>
      <c r="AAK753" s="23"/>
      <c r="AAL753" s="23"/>
      <c r="AAM753" s="23"/>
      <c r="AAN753" s="23"/>
      <c r="AAO753" s="23"/>
      <c r="AAP753" s="23"/>
      <c r="AAQ753" s="23"/>
      <c r="AAR753" s="23"/>
      <c r="AAS753" s="23"/>
      <c r="AAT753" s="23"/>
      <c r="AAU753" s="23"/>
      <c r="AAV753" s="23"/>
      <c r="AAW753" s="23"/>
      <c r="AAX753" s="23"/>
      <c r="AAY753" s="23"/>
      <c r="AAZ753" s="23"/>
      <c r="ABA753" s="23"/>
      <c r="ABB753" s="23"/>
      <c r="ABC753" s="23"/>
      <c r="ABD753" s="23"/>
      <c r="ABE753" s="23"/>
      <c r="ABF753" s="23"/>
      <c r="ABG753" s="23"/>
      <c r="ABH753" s="23"/>
      <c r="ABI753" s="23"/>
      <c r="ABJ753" s="23"/>
      <c r="ABK753" s="23"/>
      <c r="ABL753" s="23"/>
      <c r="ABM753" s="23"/>
      <c r="ABN753" s="23"/>
      <c r="ABO753" s="23"/>
      <c r="ABP753" s="23"/>
      <c r="ABQ753" s="23"/>
      <c r="ABR753" s="23"/>
      <c r="ABS753" s="23"/>
      <c r="ABT753" s="23"/>
      <c r="ABU753" s="23"/>
      <c r="ABV753" s="23"/>
      <c r="ABW753" s="23"/>
      <c r="ABX753" s="23"/>
      <c r="ABY753" s="23"/>
      <c r="ABZ753" s="23"/>
      <c r="ACA753" s="23"/>
      <c r="ACB753" s="23"/>
      <c r="ACC753" s="23"/>
      <c r="ACD753" s="23"/>
      <c r="ACE753" s="23"/>
      <c r="ACF753" s="23"/>
      <c r="ACG753" s="23"/>
      <c r="ACH753" s="23"/>
      <c r="ACI753" s="23"/>
      <c r="ACJ753" s="23"/>
      <c r="ACK753" s="23"/>
      <c r="ACL753" s="23"/>
      <c r="ACM753" s="23"/>
      <c r="ACN753" s="23"/>
      <c r="ACO753" s="23"/>
      <c r="ACP753" s="23"/>
      <c r="ACQ753" s="23"/>
      <c r="ACR753" s="23"/>
      <c r="ACS753" s="23"/>
      <c r="ACT753" s="23"/>
      <c r="ACU753" s="23"/>
      <c r="ACV753" s="23"/>
      <c r="ACW753" s="23"/>
      <c r="ACX753" s="23"/>
      <c r="ACY753" s="23"/>
      <c r="ACZ753" s="23"/>
      <c r="ADA753" s="23"/>
      <c r="ADB753" s="23"/>
      <c r="ADC753" s="23"/>
      <c r="ADD753" s="23"/>
      <c r="ADE753" s="23"/>
      <c r="ADF753" s="23"/>
      <c r="ADG753" s="23"/>
      <c r="ADH753" s="23"/>
      <c r="ADI753" s="23"/>
      <c r="ADJ753" s="23"/>
      <c r="ADK753" s="23"/>
      <c r="ADL753" s="23"/>
      <c r="ADM753" s="23"/>
      <c r="ADN753" s="23"/>
      <c r="ADO753" s="23"/>
      <c r="ADP753" s="23"/>
      <c r="ADQ753" s="23"/>
      <c r="ADR753" s="23"/>
      <c r="ADS753" s="23"/>
      <c r="ADT753" s="23"/>
      <c r="ADU753" s="23"/>
      <c r="ADV753" s="23"/>
      <c r="ADW753" s="23"/>
      <c r="ADX753" s="23"/>
      <c r="ADY753" s="23"/>
      <c r="ADZ753" s="23"/>
      <c r="AEA753" s="23"/>
      <c r="AEB753" s="23"/>
      <c r="AEC753" s="23"/>
      <c r="AED753" s="23"/>
      <c r="AEE753" s="23"/>
      <c r="AEF753" s="23"/>
      <c r="AEG753" s="23"/>
      <c r="AEH753" s="23"/>
      <c r="AEI753" s="23"/>
      <c r="AEJ753" s="23"/>
      <c r="AEK753" s="23"/>
      <c r="AEL753" s="23"/>
      <c r="AEM753" s="23"/>
      <c r="AEN753" s="23"/>
      <c r="AEO753" s="23"/>
      <c r="AEP753" s="23"/>
      <c r="AEQ753" s="23"/>
      <c r="AER753" s="23"/>
      <c r="AES753" s="23"/>
      <c r="AET753" s="23"/>
      <c r="AEU753" s="23"/>
      <c r="AEV753" s="23"/>
      <c r="AEW753" s="23"/>
      <c r="AEX753" s="23"/>
      <c r="AEY753" s="23"/>
      <c r="AEZ753" s="23"/>
      <c r="AFA753" s="23"/>
      <c r="AFB753" s="23"/>
      <c r="AFC753" s="23"/>
      <c r="AFD753" s="23"/>
      <c r="AFE753" s="23"/>
      <c r="AFF753" s="23"/>
      <c r="AFG753" s="23"/>
      <c r="AFH753" s="23"/>
      <c r="AFI753" s="23"/>
      <c r="AFJ753" s="23"/>
      <c r="AFK753" s="23"/>
      <c r="AFL753" s="23"/>
      <c r="AFM753" s="23"/>
      <c r="AFN753" s="23"/>
      <c r="AFO753" s="23"/>
      <c r="AFP753" s="23"/>
      <c r="AFQ753" s="23"/>
      <c r="AFR753" s="23"/>
      <c r="AFS753" s="23"/>
      <c r="AFT753" s="23"/>
      <c r="AFU753" s="23"/>
      <c r="AFV753" s="23"/>
      <c r="AFW753" s="23"/>
      <c r="AFX753" s="23"/>
      <c r="AFY753" s="23"/>
      <c r="AFZ753" s="23"/>
      <c r="AGA753" s="23"/>
      <c r="AGB753" s="23"/>
      <c r="AGC753" s="23"/>
      <c r="AGD753" s="23"/>
      <c r="AGE753" s="23"/>
      <c r="AGF753" s="23"/>
      <c r="AGG753" s="23"/>
      <c r="AGH753" s="23"/>
      <c r="AGI753" s="23"/>
      <c r="AGJ753" s="23"/>
      <c r="AGK753" s="23"/>
      <c r="AGL753" s="23"/>
      <c r="AGM753" s="23"/>
      <c r="AGN753" s="23"/>
      <c r="AGO753" s="23"/>
      <c r="AGP753" s="23"/>
      <c r="AGQ753" s="23"/>
      <c r="AGR753" s="23"/>
      <c r="AGS753" s="23"/>
      <c r="AGT753" s="23"/>
      <c r="AGU753" s="23"/>
      <c r="AGV753" s="23"/>
      <c r="AGW753" s="23"/>
      <c r="AGX753" s="23"/>
      <c r="AGY753" s="23"/>
      <c r="AGZ753" s="23"/>
      <c r="AHA753" s="23"/>
      <c r="AHB753" s="23"/>
      <c r="AHC753" s="23"/>
      <c r="AHD753" s="23"/>
      <c r="AHE753" s="23"/>
      <c r="AHF753" s="23"/>
      <c r="AHG753" s="23"/>
      <c r="AHH753" s="23"/>
      <c r="AHI753" s="23"/>
      <c r="AHJ753" s="23"/>
      <c r="AHK753" s="23"/>
      <c r="AHL753" s="23"/>
      <c r="AHM753" s="23"/>
      <c r="AHN753" s="23"/>
      <c r="AHO753" s="23"/>
      <c r="AHP753" s="23"/>
      <c r="AHQ753" s="23"/>
      <c r="AHR753" s="23"/>
      <c r="AHS753" s="23"/>
      <c r="AHT753" s="23"/>
      <c r="AHU753" s="23"/>
      <c r="AHV753" s="23"/>
      <c r="AHW753" s="23"/>
      <c r="AHX753" s="23"/>
      <c r="AHY753" s="23"/>
      <c r="AHZ753" s="23"/>
      <c r="AIA753" s="23"/>
      <c r="AIB753" s="23"/>
      <c r="AIC753" s="23"/>
      <c r="AID753" s="23"/>
      <c r="AIE753" s="23"/>
      <c r="AIF753" s="23"/>
      <c r="AIG753" s="23"/>
      <c r="AIH753" s="23"/>
      <c r="AII753" s="23"/>
      <c r="AIJ753" s="23"/>
      <c r="AIK753" s="23"/>
      <c r="AIL753" s="23"/>
      <c r="AIM753" s="23"/>
      <c r="AIN753" s="23"/>
      <c r="AIO753" s="23"/>
      <c r="AIP753" s="23"/>
      <c r="AIQ753" s="23"/>
      <c r="AIR753" s="23"/>
      <c r="AIS753" s="23"/>
      <c r="AIT753" s="23"/>
      <c r="AIU753" s="23"/>
      <c r="AIV753" s="23"/>
      <c r="AIW753" s="23"/>
      <c r="AIX753" s="23"/>
      <c r="AIY753" s="23"/>
      <c r="AIZ753" s="23"/>
      <c r="AJA753" s="23"/>
      <c r="AJB753" s="23"/>
      <c r="AJC753" s="23"/>
      <c r="AJD753" s="23"/>
      <c r="AJE753" s="23"/>
      <c r="AJF753" s="23"/>
      <c r="AJG753" s="23"/>
      <c r="AJH753" s="23"/>
      <c r="AJI753" s="23"/>
      <c r="AJJ753" s="23"/>
      <c r="AJK753" s="23"/>
      <c r="AJL753" s="23"/>
      <c r="AJM753" s="23"/>
      <c r="AJN753" s="23"/>
      <c r="AJO753" s="23"/>
      <c r="AJP753" s="23"/>
      <c r="AJQ753" s="23"/>
      <c r="AJR753" s="23"/>
      <c r="AJS753" s="23"/>
      <c r="AJT753" s="23"/>
      <c r="AJU753" s="23"/>
      <c r="AJV753" s="23"/>
      <c r="AJW753" s="23"/>
      <c r="AJX753" s="23"/>
      <c r="AJY753" s="23"/>
      <c r="AJZ753" s="23"/>
      <c r="AKA753" s="23"/>
      <c r="AKB753" s="23"/>
      <c r="AKC753" s="23"/>
      <c r="AKD753" s="23"/>
      <c r="AKE753" s="23"/>
      <c r="AKF753" s="23"/>
      <c r="AKG753" s="23"/>
      <c r="AKH753" s="23"/>
      <c r="AKI753" s="23"/>
      <c r="AKJ753" s="23"/>
      <c r="AKK753" s="23"/>
      <c r="AKL753" s="23"/>
      <c r="AKM753" s="23"/>
      <c r="AKN753" s="23"/>
      <c r="AKO753" s="23"/>
      <c r="AKP753" s="23"/>
      <c r="AKQ753" s="23"/>
      <c r="AKR753" s="23"/>
      <c r="AKS753" s="23"/>
      <c r="AKT753" s="23"/>
      <c r="AKU753" s="23"/>
      <c r="AKV753" s="23"/>
      <c r="AKW753" s="23"/>
      <c r="AKX753" s="23"/>
      <c r="AKY753" s="23"/>
      <c r="AKZ753" s="23"/>
      <c r="ALA753" s="23"/>
      <c r="ALB753" s="23"/>
      <c r="ALC753" s="23"/>
      <c r="ALD753" s="23"/>
      <c r="ALE753" s="23"/>
      <c r="ALF753" s="23"/>
      <c r="ALG753" s="23"/>
      <c r="ALH753" s="23"/>
      <c r="ALI753" s="23"/>
      <c r="ALJ753" s="23"/>
      <c r="ALK753" s="23"/>
      <c r="ALL753" s="23"/>
      <c r="ALM753" s="23"/>
      <c r="ALN753" s="23"/>
      <c r="ALO753" s="23"/>
      <c r="ALP753" s="23"/>
      <c r="ALQ753" s="23"/>
      <c r="ALR753" s="23"/>
      <c r="ALS753" s="23"/>
      <c r="ALT753" s="23"/>
      <c r="ALU753" s="23"/>
      <c r="ALV753" s="23"/>
      <c r="ALW753" s="23"/>
      <c r="ALX753" s="23"/>
      <c r="ALY753" s="23"/>
      <c r="ALZ753" s="23"/>
      <c r="AMA753" s="23"/>
      <c r="AMB753" s="23"/>
      <c r="AMC753" s="23"/>
      <c r="AMD753" s="23"/>
      <c r="AME753" s="23"/>
      <c r="AMF753" s="23"/>
      <c r="AMG753" s="23"/>
      <c r="AMH753" s="23"/>
      <c r="AMI753" s="23"/>
      <c r="AMJ753" s="23"/>
      <c r="AMK753" s="23"/>
      <c r="AML753" s="23"/>
      <c r="AMM753" s="23"/>
      <c r="AMN753" s="23"/>
      <c r="AMO753" s="23"/>
      <c r="AMP753" s="23"/>
      <c r="AMQ753" s="23"/>
      <c r="AMR753" s="23"/>
      <c r="AMS753" s="23"/>
      <c r="AMT753" s="23"/>
      <c r="AMU753" s="23"/>
      <c r="AMV753" s="23"/>
      <c r="AMW753" s="23"/>
      <c r="AMX753" s="23"/>
      <c r="AMY753" s="23"/>
      <c r="AMZ753" s="23"/>
      <c r="ANA753" s="23"/>
      <c r="ANB753" s="23"/>
      <c r="ANC753" s="23"/>
      <c r="AND753" s="23"/>
      <c r="ANE753" s="23"/>
      <c r="ANF753" s="23"/>
      <c r="ANG753" s="23"/>
      <c r="ANH753" s="23"/>
      <c r="ANI753" s="23"/>
      <c r="ANJ753" s="23"/>
      <c r="ANK753" s="23"/>
      <c r="ANL753" s="23"/>
      <c r="ANM753" s="23"/>
      <c r="ANN753" s="23"/>
      <c r="ANO753" s="23"/>
      <c r="ANP753" s="23"/>
      <c r="ANQ753" s="23"/>
      <c r="ANR753" s="23"/>
      <c r="ANS753" s="23"/>
      <c r="ANT753" s="23"/>
      <c r="ANU753" s="23"/>
      <c r="ANV753" s="23"/>
      <c r="ANW753" s="23"/>
      <c r="ANX753" s="23"/>
      <c r="ANY753" s="23"/>
      <c r="ANZ753" s="23"/>
      <c r="AOA753" s="23"/>
      <c r="AOB753" s="23"/>
      <c r="AOC753" s="23"/>
      <c r="AOD753" s="23"/>
      <c r="AOE753" s="23"/>
      <c r="AOF753" s="23"/>
      <c r="AOG753" s="23"/>
      <c r="AOH753" s="23"/>
      <c r="AOI753" s="23"/>
      <c r="AOJ753" s="23"/>
      <c r="AOK753" s="23"/>
      <c r="AOL753" s="23"/>
      <c r="AOM753" s="23"/>
      <c r="AON753" s="23"/>
      <c r="AOO753" s="23"/>
      <c r="AOP753" s="23"/>
      <c r="AOQ753" s="23"/>
      <c r="AOR753" s="23"/>
      <c r="AOS753" s="23"/>
      <c r="AOT753" s="23"/>
      <c r="AOU753" s="23"/>
      <c r="AOV753" s="23"/>
      <c r="AOW753" s="23"/>
      <c r="AOX753" s="23"/>
      <c r="AOY753" s="23"/>
      <c r="AOZ753" s="23"/>
      <c r="APA753" s="23"/>
      <c r="APB753" s="23"/>
      <c r="APC753" s="23"/>
      <c r="APD753" s="23"/>
      <c r="APE753" s="23"/>
      <c r="APF753" s="23"/>
      <c r="APG753" s="23"/>
      <c r="APH753" s="23"/>
      <c r="API753" s="23"/>
      <c r="APJ753" s="23"/>
      <c r="APK753" s="23"/>
      <c r="APL753" s="23"/>
      <c r="APM753" s="23"/>
      <c r="APN753" s="23"/>
      <c r="APO753" s="23"/>
      <c r="APP753" s="23"/>
      <c r="APQ753" s="23"/>
      <c r="APR753" s="23"/>
      <c r="APS753" s="23"/>
      <c r="APT753" s="23"/>
      <c r="APU753" s="23"/>
      <c r="APV753" s="23"/>
      <c r="APW753" s="23"/>
      <c r="APX753" s="23"/>
      <c r="APY753" s="23"/>
      <c r="APZ753" s="23"/>
      <c r="AQA753" s="23"/>
      <c r="AQB753" s="23"/>
      <c r="AQC753" s="23"/>
      <c r="AQD753" s="23"/>
      <c r="AQE753" s="23"/>
      <c r="AQF753" s="23"/>
      <c r="AQG753" s="23"/>
      <c r="AQH753" s="23"/>
      <c r="AQI753" s="23"/>
      <c r="AQJ753" s="23"/>
      <c r="AQK753" s="23"/>
      <c r="AQL753" s="23"/>
      <c r="AQM753" s="23"/>
      <c r="AQN753" s="23"/>
      <c r="AQO753" s="23"/>
      <c r="AQP753" s="23"/>
      <c r="AQQ753" s="23"/>
      <c r="AQR753" s="23"/>
      <c r="AQS753" s="23"/>
      <c r="AQT753" s="23"/>
      <c r="AQU753" s="23"/>
      <c r="AQV753" s="23"/>
      <c r="AQW753" s="23"/>
      <c r="AQX753" s="23"/>
      <c r="AQY753" s="23"/>
      <c r="AQZ753" s="23"/>
      <c r="ARA753" s="23"/>
      <c r="ARB753" s="23"/>
      <c r="ARC753" s="23"/>
      <c r="ARD753" s="23"/>
      <c r="ARE753" s="23"/>
      <c r="ARF753" s="23"/>
      <c r="ARG753" s="23"/>
      <c r="ARH753" s="23"/>
      <c r="ARI753" s="23"/>
      <c r="ARJ753" s="23"/>
      <c r="ARK753" s="23"/>
      <c r="ARL753" s="23"/>
      <c r="ARM753" s="23"/>
      <c r="ARN753" s="23"/>
      <c r="ARO753" s="23"/>
      <c r="ARP753" s="23"/>
      <c r="ARQ753" s="23"/>
      <c r="ARR753" s="23"/>
      <c r="ARS753" s="23"/>
      <c r="ART753" s="23"/>
      <c r="ARU753" s="23"/>
      <c r="ARV753" s="23"/>
      <c r="ARW753" s="23"/>
      <c r="ARX753" s="23"/>
      <c r="ARY753" s="23"/>
      <c r="ARZ753" s="23"/>
      <c r="ASA753" s="23"/>
      <c r="ASB753" s="23"/>
      <c r="ASC753" s="23"/>
      <c r="ASD753" s="23"/>
      <c r="ASE753" s="23"/>
      <c r="ASF753" s="23"/>
      <c r="ASG753" s="23"/>
      <c r="ASH753" s="23"/>
      <c r="ASI753" s="23"/>
      <c r="ASJ753" s="23"/>
      <c r="ASK753" s="23"/>
      <c r="ASL753" s="23"/>
      <c r="ASM753" s="23"/>
      <c r="ASN753" s="23"/>
      <c r="ASO753" s="23"/>
      <c r="ASP753" s="23"/>
      <c r="ASQ753" s="23"/>
      <c r="ASR753" s="23"/>
      <c r="ASS753" s="23"/>
      <c r="AST753" s="23"/>
      <c r="ASU753" s="23"/>
      <c r="ASV753" s="23"/>
      <c r="ASW753" s="23"/>
      <c r="ASX753" s="23"/>
      <c r="ASY753" s="23"/>
      <c r="ASZ753" s="23"/>
      <c r="ATA753" s="23"/>
      <c r="ATB753" s="23"/>
      <c r="ATC753" s="23"/>
      <c r="ATD753" s="23"/>
      <c r="ATE753" s="23"/>
      <c r="ATF753" s="23"/>
      <c r="ATG753" s="23"/>
      <c r="ATH753" s="23"/>
      <c r="ATI753" s="23"/>
      <c r="ATJ753" s="23"/>
      <c r="ATK753" s="23"/>
      <c r="ATL753" s="23"/>
      <c r="ATM753" s="23"/>
      <c r="ATN753" s="23"/>
      <c r="ATO753" s="23"/>
      <c r="ATP753" s="23"/>
      <c r="ATQ753" s="23"/>
      <c r="ATR753" s="23"/>
      <c r="ATS753" s="23"/>
      <c r="ATT753" s="23"/>
      <c r="ATU753" s="23"/>
      <c r="ATV753" s="23"/>
      <c r="ATW753" s="23"/>
      <c r="ATX753" s="23"/>
      <c r="ATY753" s="23"/>
      <c r="ATZ753" s="23"/>
      <c r="AUA753" s="23"/>
      <c r="AUB753" s="23"/>
      <c r="AUC753" s="23"/>
      <c r="AUD753" s="23"/>
      <c r="AUE753" s="23"/>
      <c r="AUF753" s="23"/>
      <c r="AUG753" s="23"/>
      <c r="AUH753" s="23"/>
      <c r="AUI753" s="23"/>
      <c r="AUJ753" s="23"/>
      <c r="AUK753" s="23"/>
      <c r="AUL753" s="23"/>
      <c r="AUM753" s="23"/>
      <c r="AUN753" s="23"/>
      <c r="AUO753" s="23"/>
      <c r="AUP753" s="23"/>
      <c r="AUQ753" s="23"/>
      <c r="AUR753" s="23"/>
      <c r="AUS753" s="23"/>
      <c r="AUT753" s="23"/>
      <c r="AUU753" s="23"/>
      <c r="AUV753" s="23"/>
      <c r="AUW753" s="23"/>
      <c r="AUX753" s="23"/>
      <c r="AUY753" s="23"/>
      <c r="AUZ753" s="23"/>
      <c r="AVA753" s="23"/>
      <c r="AVB753" s="23"/>
      <c r="AVC753" s="23"/>
      <c r="AVD753" s="23"/>
      <c r="AVE753" s="23"/>
      <c r="AVF753" s="23"/>
      <c r="AVG753" s="23"/>
      <c r="AVH753" s="23"/>
      <c r="AVI753" s="23"/>
      <c r="AVJ753" s="23"/>
      <c r="AVK753" s="23"/>
      <c r="AVL753" s="23"/>
      <c r="AVM753" s="23"/>
      <c r="AVN753" s="23"/>
      <c r="AVO753" s="23"/>
      <c r="AVP753" s="23"/>
      <c r="AVQ753" s="23"/>
      <c r="AVR753" s="23"/>
      <c r="AVS753" s="23"/>
      <c r="AVT753" s="23"/>
      <c r="AVU753" s="23"/>
      <c r="AVV753" s="23"/>
      <c r="AVW753" s="23"/>
      <c r="AVX753" s="23"/>
      <c r="AVY753" s="23"/>
      <c r="AVZ753" s="23"/>
      <c r="AWA753" s="23"/>
      <c r="AWB753" s="23"/>
      <c r="AWC753" s="23"/>
      <c r="AWD753" s="23"/>
      <c r="AWE753" s="23"/>
      <c r="AWF753" s="23"/>
      <c r="AWG753" s="23"/>
      <c r="AWH753" s="23"/>
      <c r="AWI753" s="23"/>
      <c r="AWJ753" s="23"/>
      <c r="AWK753" s="23"/>
      <c r="AWL753" s="23"/>
      <c r="AWM753" s="23"/>
      <c r="AWN753" s="23"/>
      <c r="AWO753" s="23"/>
      <c r="AWP753" s="23"/>
      <c r="AWQ753" s="23"/>
      <c r="AWR753" s="23"/>
      <c r="AWS753" s="23"/>
      <c r="AWT753" s="23"/>
      <c r="AWU753" s="23"/>
      <c r="AWV753" s="23"/>
      <c r="AWW753" s="23"/>
      <c r="AWX753" s="23"/>
      <c r="AWY753" s="23"/>
      <c r="AWZ753" s="23"/>
      <c r="AXA753" s="23"/>
      <c r="AXB753" s="23"/>
      <c r="AXC753" s="23"/>
      <c r="AXD753" s="23"/>
      <c r="AXE753" s="23"/>
      <c r="AXF753" s="23"/>
      <c r="AXG753" s="23"/>
      <c r="AXH753" s="23"/>
      <c r="AXI753" s="23"/>
      <c r="AXJ753" s="23"/>
      <c r="AXK753" s="23"/>
      <c r="AXL753" s="23"/>
      <c r="AXM753" s="23"/>
      <c r="AXN753" s="23"/>
      <c r="AXO753" s="23"/>
      <c r="AXP753" s="23"/>
      <c r="AXQ753" s="23"/>
      <c r="AXR753" s="23"/>
      <c r="AXS753" s="23"/>
      <c r="AXT753" s="23"/>
      <c r="AXU753" s="23"/>
      <c r="AXV753" s="23"/>
      <c r="AXW753" s="23"/>
      <c r="AXX753" s="23"/>
      <c r="AXY753" s="23"/>
      <c r="AXZ753" s="23"/>
      <c r="AYA753" s="23"/>
      <c r="AYB753" s="23"/>
      <c r="AYC753" s="23"/>
      <c r="AYD753" s="23"/>
      <c r="AYE753" s="23"/>
      <c r="AYF753" s="23"/>
      <c r="AYG753" s="23"/>
      <c r="AYH753" s="23"/>
      <c r="AYI753" s="23"/>
      <c r="AYJ753" s="23"/>
      <c r="AYK753" s="23"/>
      <c r="AYL753" s="23"/>
      <c r="AYM753" s="23"/>
      <c r="AYN753" s="23"/>
      <c r="AYO753" s="23"/>
      <c r="AYP753" s="23"/>
      <c r="AYQ753" s="23"/>
      <c r="AYR753" s="23"/>
      <c r="AYS753" s="23"/>
      <c r="AYT753" s="23"/>
      <c r="AYU753" s="23"/>
      <c r="AYV753" s="23"/>
      <c r="AYW753" s="23"/>
      <c r="AYX753" s="23"/>
      <c r="AYY753" s="23"/>
      <c r="AYZ753" s="23"/>
      <c r="AZA753" s="23"/>
      <c r="AZB753" s="23"/>
      <c r="AZC753" s="23"/>
      <c r="AZD753" s="23"/>
      <c r="AZE753" s="23"/>
      <c r="AZF753" s="23"/>
      <c r="AZG753" s="23"/>
      <c r="AZH753" s="23"/>
      <c r="AZI753" s="23"/>
      <c r="AZJ753" s="23"/>
      <c r="AZK753" s="23"/>
      <c r="AZL753" s="23"/>
      <c r="AZM753" s="23"/>
      <c r="AZN753" s="23"/>
      <c r="AZO753" s="23"/>
      <c r="AZP753" s="23"/>
      <c r="AZQ753" s="23"/>
      <c r="AZR753" s="23"/>
      <c r="AZS753" s="23"/>
      <c r="AZT753" s="23"/>
      <c r="AZU753" s="23"/>
      <c r="AZV753" s="23"/>
      <c r="AZW753" s="23"/>
      <c r="AZX753" s="23"/>
      <c r="AZY753" s="23"/>
      <c r="AZZ753" s="23"/>
      <c r="BAA753" s="23"/>
      <c r="BAB753" s="23"/>
      <c r="BAC753" s="23"/>
      <c r="BAD753" s="23"/>
      <c r="BAE753" s="23"/>
      <c r="BAF753" s="23"/>
      <c r="BAG753" s="23"/>
      <c r="BAH753" s="23"/>
      <c r="BAI753" s="23"/>
      <c r="BAJ753" s="23"/>
      <c r="BAK753" s="23"/>
      <c r="BAL753" s="23"/>
      <c r="BAM753" s="23"/>
      <c r="BAN753" s="23"/>
      <c r="BAO753" s="23"/>
      <c r="BAP753" s="23"/>
      <c r="BAQ753" s="23"/>
      <c r="BAR753" s="23"/>
      <c r="BAS753" s="23"/>
      <c r="BAT753" s="23"/>
      <c r="BAU753" s="23"/>
      <c r="BAV753" s="23"/>
      <c r="BAW753" s="23"/>
      <c r="BAX753" s="23"/>
      <c r="BAY753" s="23"/>
      <c r="BAZ753" s="23"/>
      <c r="BBA753" s="23"/>
      <c r="BBB753" s="23"/>
      <c r="BBC753" s="23"/>
      <c r="BBD753" s="23"/>
      <c r="BBE753" s="23"/>
      <c r="BBF753" s="23"/>
      <c r="BBG753" s="23"/>
      <c r="BBH753" s="23"/>
      <c r="BBI753" s="23"/>
      <c r="BBJ753" s="23"/>
      <c r="BBK753" s="23"/>
      <c r="BBL753" s="23"/>
      <c r="BBM753" s="23"/>
      <c r="BBN753" s="23"/>
      <c r="BBO753" s="23"/>
      <c r="BBP753" s="23"/>
      <c r="BBQ753" s="23"/>
      <c r="BBR753" s="23"/>
      <c r="BBS753" s="23"/>
      <c r="BBT753" s="23"/>
      <c r="BBU753" s="23"/>
      <c r="BBV753" s="23"/>
      <c r="BBW753" s="23"/>
      <c r="BBX753" s="23"/>
      <c r="BBY753" s="23"/>
      <c r="BBZ753" s="23"/>
      <c r="BCA753" s="23"/>
      <c r="BCB753" s="23"/>
      <c r="BCC753" s="23"/>
      <c r="BCD753" s="23"/>
      <c r="BCE753" s="23"/>
      <c r="BCF753" s="23"/>
      <c r="BCG753" s="23"/>
      <c r="BCH753" s="23"/>
      <c r="BCI753" s="23"/>
      <c r="BCJ753" s="23"/>
      <c r="BCK753" s="23"/>
      <c r="BCL753" s="23"/>
      <c r="BCM753" s="23"/>
      <c r="BCN753" s="23"/>
      <c r="BCO753" s="23"/>
      <c r="BCP753" s="23"/>
      <c r="BCQ753" s="23"/>
      <c r="BCR753" s="23"/>
      <c r="BCS753" s="23"/>
      <c r="BCT753" s="23"/>
      <c r="BCU753" s="23"/>
      <c r="BCV753" s="23"/>
      <c r="BCW753" s="23"/>
      <c r="BCX753" s="23"/>
      <c r="BCY753" s="23"/>
      <c r="BCZ753" s="23"/>
      <c r="BDA753" s="23"/>
      <c r="BDB753" s="23"/>
      <c r="BDC753" s="23"/>
      <c r="BDD753" s="23"/>
      <c r="BDE753" s="23"/>
      <c r="BDF753" s="23"/>
      <c r="BDG753" s="23"/>
      <c r="BDH753" s="23"/>
      <c r="BDI753" s="23"/>
      <c r="BDJ753" s="23"/>
      <c r="BDK753" s="23"/>
      <c r="BDL753" s="23"/>
      <c r="BDM753" s="23"/>
      <c r="BDN753" s="23"/>
      <c r="BDO753" s="23"/>
      <c r="BDP753" s="23"/>
      <c r="BDQ753" s="23"/>
      <c r="BDR753" s="23"/>
      <c r="BDS753" s="23"/>
      <c r="BDT753" s="23"/>
      <c r="BDU753" s="23"/>
      <c r="BDV753" s="23"/>
      <c r="BDW753" s="23"/>
      <c r="BDX753" s="23"/>
      <c r="BDY753" s="23"/>
      <c r="BDZ753" s="23"/>
      <c r="BEA753" s="23"/>
      <c r="BEB753" s="23"/>
      <c r="BEC753" s="23"/>
      <c r="BED753" s="23"/>
      <c r="BEE753" s="23"/>
      <c r="BEF753" s="23"/>
      <c r="BEG753" s="23"/>
      <c r="BEH753" s="23"/>
      <c r="BEI753" s="23"/>
      <c r="BEJ753" s="23"/>
      <c r="BEK753" s="23"/>
      <c r="BEL753" s="23"/>
      <c r="BEM753" s="23"/>
      <c r="BEN753" s="23"/>
      <c r="BEO753" s="23"/>
      <c r="BEP753" s="23"/>
      <c r="BEQ753" s="23"/>
      <c r="BER753" s="23"/>
      <c r="BES753" s="23"/>
      <c r="BET753" s="23"/>
      <c r="BEU753" s="23"/>
      <c r="BEV753" s="23"/>
      <c r="BEW753" s="23"/>
      <c r="BEX753" s="23"/>
      <c r="BEY753" s="23"/>
      <c r="BEZ753" s="23"/>
      <c r="BFA753" s="23"/>
      <c r="BFB753" s="23"/>
      <c r="BFC753" s="23"/>
      <c r="BFD753" s="23"/>
      <c r="BFE753" s="23"/>
      <c r="BFF753" s="23"/>
      <c r="BFG753" s="23"/>
      <c r="BFH753" s="23"/>
      <c r="BFI753" s="23"/>
      <c r="BFJ753" s="23"/>
      <c r="BFK753" s="23"/>
      <c r="BFL753" s="23"/>
      <c r="BFM753" s="23"/>
      <c r="BFN753" s="23"/>
      <c r="BFO753" s="23"/>
      <c r="BFP753" s="23"/>
      <c r="BFQ753" s="23"/>
      <c r="BFR753" s="23"/>
      <c r="BFS753" s="23"/>
      <c r="BFT753" s="23"/>
      <c r="BFU753" s="23"/>
      <c r="BFV753" s="23"/>
      <c r="BFW753" s="23"/>
      <c r="BFX753" s="23"/>
      <c r="BFY753" s="23"/>
      <c r="BFZ753" s="23"/>
      <c r="BGA753" s="23"/>
      <c r="BGB753" s="23"/>
      <c r="BGC753" s="23"/>
      <c r="BGD753" s="23"/>
      <c r="BGE753" s="23"/>
      <c r="BGF753" s="23"/>
      <c r="BGG753" s="23"/>
      <c r="BGH753" s="23"/>
      <c r="BGI753" s="23"/>
      <c r="BGJ753" s="23"/>
      <c r="BGK753" s="23"/>
      <c r="BGL753" s="23"/>
      <c r="BGM753" s="23"/>
      <c r="BGN753" s="23"/>
      <c r="BGO753" s="23"/>
      <c r="BGP753" s="23"/>
      <c r="BGQ753" s="23"/>
      <c r="BGR753" s="23"/>
      <c r="BGS753" s="23"/>
      <c r="BGT753" s="23"/>
      <c r="BGU753" s="23"/>
      <c r="BGV753" s="23"/>
      <c r="BGW753" s="23"/>
      <c r="BGX753" s="23"/>
      <c r="BGY753" s="23"/>
      <c r="BGZ753" s="23"/>
      <c r="BHA753" s="23"/>
      <c r="BHB753" s="23"/>
      <c r="BHC753" s="23"/>
      <c r="BHD753" s="23"/>
      <c r="BHE753" s="23"/>
      <c r="BHF753" s="23"/>
      <c r="BHG753" s="23"/>
      <c r="BHH753" s="23"/>
      <c r="BHI753" s="23"/>
      <c r="BHJ753" s="23"/>
      <c r="BHK753" s="23"/>
      <c r="BHL753" s="23"/>
      <c r="BHM753" s="23"/>
      <c r="BHN753" s="23"/>
      <c r="BHO753" s="23"/>
      <c r="BHP753" s="23"/>
      <c r="BHQ753" s="23"/>
      <c r="BHR753" s="23"/>
      <c r="BHS753" s="23"/>
      <c r="BHT753" s="23"/>
      <c r="BHU753" s="23"/>
      <c r="BHV753" s="23"/>
      <c r="BHW753" s="23"/>
      <c r="BHX753" s="23"/>
      <c r="BHY753" s="23"/>
      <c r="BHZ753" s="23"/>
      <c r="BIA753" s="23"/>
      <c r="BIB753" s="23"/>
      <c r="BIC753" s="23"/>
      <c r="BID753" s="23"/>
      <c r="BIE753" s="23"/>
      <c r="BIF753" s="23"/>
      <c r="BIG753" s="23"/>
      <c r="BIH753" s="23"/>
      <c r="BII753" s="23"/>
      <c r="BIJ753" s="23"/>
      <c r="BIK753" s="23"/>
      <c r="BIL753" s="23"/>
      <c r="BIM753" s="23"/>
      <c r="BIN753" s="23"/>
      <c r="BIO753" s="23"/>
      <c r="BIP753" s="23"/>
      <c r="BIQ753" s="23"/>
      <c r="BIR753" s="23"/>
      <c r="BIS753" s="23"/>
      <c r="BIT753" s="23"/>
      <c r="BIU753" s="23"/>
      <c r="BIV753" s="23"/>
      <c r="BIW753" s="23"/>
      <c r="BIX753" s="23"/>
      <c r="BIY753" s="23"/>
      <c r="BIZ753" s="23"/>
      <c r="BJA753" s="23"/>
      <c r="BJB753" s="23"/>
      <c r="BJC753" s="23"/>
      <c r="BJD753" s="23"/>
      <c r="BJE753" s="23"/>
      <c r="BJF753" s="23"/>
      <c r="BJG753" s="23"/>
      <c r="BJH753" s="23"/>
      <c r="BJI753" s="23"/>
      <c r="BJJ753" s="23"/>
      <c r="BJK753" s="23"/>
      <c r="BJL753" s="23"/>
      <c r="BJM753" s="23"/>
      <c r="BJN753" s="23"/>
      <c r="BJO753" s="23"/>
      <c r="BJP753" s="23"/>
      <c r="BJQ753" s="23"/>
      <c r="BJR753" s="23"/>
      <c r="BJS753" s="23"/>
      <c r="BJT753" s="23"/>
      <c r="BJU753" s="23"/>
      <c r="BJV753" s="23"/>
      <c r="BJW753" s="23"/>
      <c r="BJX753" s="23"/>
      <c r="BJY753" s="23"/>
      <c r="BJZ753" s="23"/>
      <c r="BKA753" s="23"/>
      <c r="BKB753" s="23"/>
      <c r="BKC753" s="23"/>
      <c r="BKD753" s="23"/>
      <c r="BKE753" s="23"/>
      <c r="BKF753" s="23"/>
      <c r="BKG753" s="23"/>
      <c r="BKH753" s="23"/>
      <c r="BKI753" s="23"/>
      <c r="BKJ753" s="23"/>
      <c r="BKK753" s="23"/>
      <c r="BKL753" s="23"/>
      <c r="BKM753" s="23"/>
      <c r="BKN753" s="23"/>
      <c r="BKO753" s="23"/>
      <c r="BKP753" s="23"/>
      <c r="BKQ753" s="23"/>
      <c r="BKR753" s="23"/>
      <c r="BKS753" s="23"/>
      <c r="BKT753" s="23"/>
      <c r="BKU753" s="23"/>
      <c r="BKV753" s="23"/>
      <c r="BKW753" s="23"/>
      <c r="BKX753" s="23"/>
      <c r="BKY753" s="23"/>
      <c r="BKZ753" s="23"/>
      <c r="BLA753" s="23"/>
      <c r="BLB753" s="23"/>
      <c r="BLC753" s="23"/>
      <c r="BLD753" s="23"/>
      <c r="BLE753" s="23"/>
      <c r="BLF753" s="23"/>
      <c r="BLG753" s="23"/>
      <c r="BLH753" s="23"/>
      <c r="BLI753" s="23"/>
      <c r="BLJ753" s="23"/>
      <c r="BLK753" s="23"/>
      <c r="BLL753" s="23"/>
      <c r="BLM753" s="23"/>
      <c r="BLN753" s="23"/>
      <c r="BLO753" s="23"/>
      <c r="BLP753" s="23"/>
      <c r="BLQ753" s="23"/>
      <c r="BLR753" s="23"/>
      <c r="BLS753" s="23"/>
      <c r="BLT753" s="23"/>
      <c r="BLU753" s="23"/>
      <c r="BLV753" s="23"/>
      <c r="BLW753" s="23"/>
      <c r="BLX753" s="23"/>
      <c r="BLY753" s="23"/>
      <c r="BLZ753" s="23"/>
      <c r="BMA753" s="23"/>
      <c r="BMB753" s="23"/>
      <c r="BMC753" s="23"/>
      <c r="BMD753" s="23"/>
      <c r="BME753" s="23"/>
      <c r="BMF753" s="23"/>
      <c r="BMG753" s="23"/>
      <c r="BMH753" s="23"/>
      <c r="BMI753" s="23"/>
      <c r="BMJ753" s="23"/>
      <c r="BMK753" s="23"/>
      <c r="BML753" s="23"/>
      <c r="BMM753" s="23"/>
      <c r="BMN753" s="23"/>
      <c r="BMO753" s="23"/>
      <c r="BMP753" s="23"/>
      <c r="BMQ753" s="23"/>
      <c r="BMR753" s="23"/>
      <c r="BMS753" s="23"/>
      <c r="BMT753" s="23"/>
      <c r="BMU753" s="23"/>
      <c r="BMV753" s="23"/>
      <c r="BMW753" s="23"/>
      <c r="BMX753" s="23"/>
      <c r="BMY753" s="23"/>
      <c r="BMZ753" s="23"/>
      <c r="BNA753" s="23"/>
      <c r="BNB753" s="23"/>
      <c r="BNC753" s="23"/>
      <c r="BND753" s="23"/>
      <c r="BNE753" s="23"/>
      <c r="BNF753" s="23"/>
      <c r="BNG753" s="23"/>
      <c r="BNH753" s="23"/>
      <c r="BNI753" s="23"/>
      <c r="BNJ753" s="23"/>
      <c r="BNK753" s="23"/>
      <c r="BNL753" s="23"/>
      <c r="BNM753" s="23"/>
      <c r="BNN753" s="23"/>
      <c r="BNO753" s="23"/>
      <c r="BNP753" s="23"/>
      <c r="BNQ753" s="23"/>
      <c r="BNR753" s="23"/>
      <c r="BNS753" s="23"/>
      <c r="BNT753" s="23"/>
      <c r="BNU753" s="23"/>
      <c r="BNV753" s="23"/>
      <c r="BNW753" s="23"/>
      <c r="BNX753" s="23"/>
      <c r="BNY753" s="23"/>
      <c r="BNZ753" s="23"/>
      <c r="BOA753" s="23"/>
      <c r="BOB753" s="23"/>
      <c r="BOC753" s="23"/>
      <c r="BOD753" s="23"/>
      <c r="BOE753" s="23"/>
      <c r="BOF753" s="23"/>
      <c r="BOG753" s="23"/>
      <c r="BOH753" s="23"/>
      <c r="BOI753" s="23"/>
      <c r="BOJ753" s="23"/>
      <c r="BOK753" s="23"/>
      <c r="BOL753" s="23"/>
      <c r="BOM753" s="23"/>
      <c r="BON753" s="23"/>
      <c r="BOO753" s="23"/>
      <c r="BOP753" s="23"/>
      <c r="BOQ753" s="23"/>
      <c r="BOR753" s="23"/>
      <c r="BOS753" s="23"/>
      <c r="BOT753" s="23"/>
      <c r="BOU753" s="23"/>
      <c r="BOV753" s="23"/>
      <c r="BOW753" s="23"/>
      <c r="BOX753" s="23"/>
      <c r="BOY753" s="23"/>
      <c r="BOZ753" s="23"/>
      <c r="BPA753" s="23"/>
      <c r="BPB753" s="23"/>
      <c r="BPC753" s="23"/>
      <c r="BPD753" s="23"/>
      <c r="BPE753" s="23"/>
      <c r="BPF753" s="23"/>
      <c r="BPG753" s="23"/>
      <c r="BPH753" s="23"/>
      <c r="BPI753" s="23"/>
      <c r="BPJ753" s="23"/>
      <c r="BPK753" s="23"/>
      <c r="BPL753" s="23"/>
      <c r="BPM753" s="23"/>
      <c r="BPN753" s="23"/>
      <c r="BPO753" s="23"/>
      <c r="BPP753" s="23"/>
      <c r="BPQ753" s="23"/>
      <c r="BPR753" s="23"/>
      <c r="BPS753" s="23"/>
      <c r="BPT753" s="23"/>
      <c r="BPU753" s="23"/>
      <c r="BPV753" s="23"/>
      <c r="BPW753" s="23"/>
      <c r="BPX753" s="23"/>
      <c r="BPY753" s="23"/>
      <c r="BPZ753" s="23"/>
      <c r="BQA753" s="23"/>
      <c r="BQB753" s="23"/>
      <c r="BQC753" s="23"/>
      <c r="BQD753" s="23"/>
      <c r="BQE753" s="23"/>
      <c r="BQF753" s="23"/>
      <c r="BQG753" s="23"/>
      <c r="BQH753" s="23"/>
      <c r="BQI753" s="23"/>
      <c r="BQJ753" s="23"/>
      <c r="BQK753" s="23"/>
      <c r="BQL753" s="23"/>
      <c r="BQM753" s="23"/>
      <c r="BQN753" s="23"/>
      <c r="BQO753" s="23"/>
      <c r="BQP753" s="23"/>
      <c r="BQQ753" s="23"/>
      <c r="BQR753" s="23"/>
      <c r="BQS753" s="23"/>
      <c r="BQT753" s="23"/>
      <c r="BQU753" s="23"/>
      <c r="BQV753" s="23"/>
      <c r="BQW753" s="23"/>
      <c r="BQX753" s="23"/>
      <c r="BQY753" s="23"/>
      <c r="BQZ753" s="23"/>
      <c r="BRA753" s="23"/>
      <c r="BRB753" s="23"/>
      <c r="BRC753" s="23"/>
      <c r="BRD753" s="23"/>
      <c r="BRE753" s="23"/>
      <c r="BRF753" s="23"/>
      <c r="BRG753" s="23"/>
      <c r="BRH753" s="23"/>
      <c r="BRI753" s="23"/>
      <c r="BRJ753" s="23"/>
      <c r="BRK753" s="23"/>
      <c r="BRL753" s="23"/>
      <c r="BRM753" s="23"/>
      <c r="BRN753" s="23"/>
      <c r="BRO753" s="23"/>
      <c r="BRP753" s="23"/>
      <c r="BRQ753" s="23"/>
      <c r="BRR753" s="23"/>
      <c r="BRS753" s="23"/>
      <c r="BRT753" s="23"/>
      <c r="BRU753" s="23"/>
      <c r="BRV753" s="23"/>
      <c r="BRW753" s="23"/>
      <c r="BRX753" s="23"/>
      <c r="BRY753" s="23"/>
      <c r="BRZ753" s="23"/>
      <c r="BSA753" s="23"/>
      <c r="BSB753" s="23"/>
      <c r="BSC753" s="23"/>
      <c r="BSD753" s="23"/>
      <c r="BSE753" s="23"/>
      <c r="BSF753" s="23"/>
      <c r="BSG753" s="23"/>
      <c r="BSH753" s="23"/>
      <c r="BSI753" s="23"/>
      <c r="BSJ753" s="23"/>
      <c r="BSK753" s="23"/>
      <c r="BSL753" s="23"/>
      <c r="BSM753" s="23"/>
      <c r="BSN753" s="23"/>
      <c r="BSO753" s="23"/>
      <c r="BSP753" s="23"/>
      <c r="BSQ753" s="23"/>
      <c r="BSR753" s="23"/>
      <c r="BSS753" s="23"/>
      <c r="BST753" s="23"/>
      <c r="BSU753" s="23"/>
      <c r="BSV753" s="23"/>
      <c r="BSW753" s="23"/>
      <c r="BSX753" s="23"/>
      <c r="BSY753" s="23"/>
      <c r="BSZ753" s="23"/>
      <c r="BTA753" s="23"/>
    </row>
    <row r="754" spans="1:1873" s="247" customFormat="1" x14ac:dyDescent="0.2">
      <c r="A754" s="240"/>
      <c r="B754" s="223" t="s">
        <v>811</v>
      </c>
      <c r="C754" s="404" t="s">
        <v>1454</v>
      </c>
      <c r="D754" s="240" t="s">
        <v>619</v>
      </c>
      <c r="E754" s="305" t="s">
        <v>1392</v>
      </c>
      <c r="F754" s="240">
        <v>1</v>
      </c>
      <c r="G754" s="242">
        <v>7</v>
      </c>
      <c r="H754" s="242">
        <v>8</v>
      </c>
      <c r="I754" s="223" t="s">
        <v>807</v>
      </c>
      <c r="J754" s="223">
        <v>1995</v>
      </c>
      <c r="K754" s="223" t="s">
        <v>1211</v>
      </c>
      <c r="L754" s="223">
        <v>2000</v>
      </c>
      <c r="M754" s="243">
        <v>-9999</v>
      </c>
      <c r="N754" s="223">
        <v>-9999</v>
      </c>
      <c r="O754" s="29"/>
      <c r="P754" s="243">
        <v>-9999</v>
      </c>
      <c r="Q754" s="223">
        <v>-9999</v>
      </c>
      <c r="R754" s="243"/>
      <c r="S754" s="223"/>
      <c r="T754" s="243">
        <v>-9999</v>
      </c>
      <c r="U754" s="223">
        <v>-9999</v>
      </c>
      <c r="V754" s="223"/>
      <c r="W754" s="285"/>
      <c r="X754" s="223">
        <v>-9999</v>
      </c>
      <c r="Y754" s="223"/>
      <c r="Z754" s="404" t="s">
        <v>1703</v>
      </c>
      <c r="AA754" s="564">
        <v>1075</v>
      </c>
      <c r="AB754" s="243">
        <v>1</v>
      </c>
      <c r="AC754" s="223">
        <v>-9999</v>
      </c>
      <c r="AD754" s="223">
        <v>18.600000000000001</v>
      </c>
      <c r="AE754" s="404" t="s">
        <v>1738</v>
      </c>
      <c r="AF754" s="223">
        <v>10</v>
      </c>
      <c r="AG754" s="404" t="s">
        <v>1741</v>
      </c>
      <c r="AH754" s="223" t="s">
        <v>1034</v>
      </c>
      <c r="AI754" s="404" t="s">
        <v>1739</v>
      </c>
      <c r="AJ754" s="223">
        <v>-9999</v>
      </c>
      <c r="AK754" s="223" t="s">
        <v>626</v>
      </c>
      <c r="AL754" s="223" t="s">
        <v>828</v>
      </c>
      <c r="AM754" s="223">
        <v>-9999</v>
      </c>
      <c r="AN754" s="223" t="s">
        <v>631</v>
      </c>
      <c r="AO754" s="223">
        <v>-9999</v>
      </c>
      <c r="AP754" s="223">
        <v>-9999</v>
      </c>
      <c r="AQ754" s="223" t="s">
        <v>631</v>
      </c>
      <c r="AR754" s="223">
        <v>0</v>
      </c>
      <c r="AS754" s="223">
        <v>-9999</v>
      </c>
      <c r="AT754" s="223">
        <v>-9999</v>
      </c>
      <c r="AU754" s="223">
        <v>0</v>
      </c>
      <c r="AV754" s="223">
        <v>-9999</v>
      </c>
      <c r="AW754" s="223">
        <v>-9999</v>
      </c>
      <c r="AX754" s="223">
        <v>0</v>
      </c>
      <c r="AY754" s="223">
        <v>-9999</v>
      </c>
      <c r="AZ754" s="223">
        <v>-9999</v>
      </c>
      <c r="BA754" s="223">
        <v>-9988</v>
      </c>
      <c r="BB754" s="223" t="s">
        <v>626</v>
      </c>
      <c r="BC754" s="223">
        <v>-9999</v>
      </c>
      <c r="BD754" s="223">
        <v>-9999</v>
      </c>
      <c r="BE754" s="223">
        <v>-9999</v>
      </c>
      <c r="BF754" s="223">
        <v>-9999</v>
      </c>
      <c r="BG754" s="223">
        <v>-9999</v>
      </c>
      <c r="BH754" s="223">
        <v>-9999</v>
      </c>
      <c r="BI754" s="223" t="s">
        <v>1035</v>
      </c>
      <c r="BJ754" s="223">
        <v>-9999</v>
      </c>
      <c r="BK754" s="223">
        <v>-9999</v>
      </c>
      <c r="BL754" s="223">
        <v>-9999</v>
      </c>
      <c r="BM754" s="223">
        <v>-9999</v>
      </c>
      <c r="BN754" s="223">
        <v>-9999</v>
      </c>
      <c r="BO754" s="223">
        <v>-9999</v>
      </c>
      <c r="BP754" s="223">
        <v>-9999</v>
      </c>
      <c r="BQ754" s="223">
        <v>-9999</v>
      </c>
      <c r="BR754" s="223">
        <v>-9999</v>
      </c>
      <c r="BS754" s="242">
        <v>-9999</v>
      </c>
      <c r="BT754" s="223">
        <v>-9999</v>
      </c>
      <c r="BU754" s="223">
        <v>-9999</v>
      </c>
      <c r="BV754" s="223">
        <v>-9999</v>
      </c>
      <c r="BW754" s="223"/>
      <c r="BX754" s="223">
        <v>-9999</v>
      </c>
      <c r="BY754" s="223">
        <v>-9999</v>
      </c>
      <c r="BZ754" s="223">
        <v>-9999</v>
      </c>
      <c r="CA754" s="334" t="s">
        <v>797</v>
      </c>
      <c r="CC754" s="240">
        <v>1</v>
      </c>
      <c r="CD754" s="242">
        <v>7</v>
      </c>
      <c r="CE754" s="292"/>
      <c r="CF754" s="292"/>
      <c r="CG754" s="242">
        <v>8</v>
      </c>
      <c r="CH754" s="23"/>
      <c r="CI754" s="23"/>
      <c r="CJ754" s="23"/>
      <c r="CK754" s="23"/>
      <c r="CL754" s="23"/>
      <c r="CM754" s="23"/>
      <c r="CN754" s="23"/>
      <c r="CO754" s="23"/>
      <c r="CP754" s="23"/>
      <c r="CQ754" s="23"/>
      <c r="CR754" s="23"/>
      <c r="CS754" s="23"/>
      <c r="CT754" s="23"/>
      <c r="CU754" s="23"/>
      <c r="CV754" s="23"/>
      <c r="CW754" s="23"/>
      <c r="CX754" s="23"/>
      <c r="CY754" s="23"/>
      <c r="CZ754" s="23"/>
      <c r="DA754" s="23"/>
      <c r="DB754" s="23"/>
      <c r="DC754" s="23"/>
      <c r="DD754" s="23"/>
      <c r="DE754" s="23"/>
      <c r="DF754" s="23"/>
      <c r="DG754" s="23"/>
      <c r="DH754" s="23"/>
      <c r="DI754" s="23"/>
      <c r="DJ754" s="23"/>
      <c r="DK754" s="23"/>
      <c r="DL754" s="23"/>
      <c r="DM754" s="23"/>
      <c r="DN754" s="23"/>
      <c r="DO754" s="23"/>
      <c r="DP754" s="23"/>
      <c r="DQ754" s="23"/>
      <c r="DR754" s="23"/>
      <c r="DS754" s="23"/>
      <c r="DT754" s="23"/>
      <c r="DU754" s="23"/>
      <c r="DV754" s="23"/>
      <c r="DW754" s="23"/>
      <c r="DX754" s="23"/>
      <c r="DY754" s="23"/>
      <c r="DZ754" s="23"/>
      <c r="EA754" s="23"/>
      <c r="EB754" s="23"/>
      <c r="EC754" s="23"/>
      <c r="ED754" s="23"/>
      <c r="EE754" s="23"/>
      <c r="EF754" s="23"/>
      <c r="EG754" s="23"/>
      <c r="EH754" s="23"/>
      <c r="EI754" s="23"/>
      <c r="EJ754" s="23"/>
      <c r="EK754" s="23"/>
      <c r="EL754" s="23"/>
      <c r="EM754" s="23"/>
      <c r="EN754" s="23"/>
      <c r="EO754" s="23"/>
      <c r="EP754" s="23"/>
      <c r="EQ754" s="23"/>
      <c r="ER754" s="23"/>
      <c r="ES754" s="23"/>
      <c r="ET754" s="23"/>
      <c r="EU754" s="23"/>
      <c r="EV754" s="23"/>
      <c r="EW754" s="23"/>
      <c r="EX754" s="23"/>
      <c r="EY754" s="23"/>
      <c r="EZ754" s="23"/>
      <c r="FA754" s="23"/>
      <c r="FB754" s="23"/>
      <c r="FC754" s="23"/>
      <c r="FD754" s="23"/>
      <c r="FE754" s="23"/>
      <c r="FF754" s="23"/>
      <c r="FG754" s="23"/>
      <c r="FH754" s="23"/>
      <c r="FI754" s="23"/>
      <c r="FJ754" s="23"/>
      <c r="FK754" s="23"/>
      <c r="FL754" s="23"/>
      <c r="FM754" s="23"/>
      <c r="FN754" s="23"/>
      <c r="FO754" s="23"/>
      <c r="FP754" s="23"/>
      <c r="FQ754" s="23"/>
      <c r="FR754" s="23"/>
      <c r="FS754" s="23"/>
      <c r="FT754" s="23"/>
      <c r="FU754" s="23"/>
      <c r="FV754" s="23"/>
      <c r="FW754" s="23"/>
      <c r="FX754" s="23"/>
      <c r="FY754" s="23"/>
      <c r="FZ754" s="23"/>
      <c r="GA754" s="23"/>
      <c r="GB754" s="23"/>
      <c r="GC754" s="23"/>
      <c r="GD754" s="23"/>
      <c r="GE754" s="23"/>
      <c r="GF754" s="23"/>
      <c r="GG754" s="23"/>
      <c r="GH754" s="23"/>
      <c r="GI754" s="23"/>
      <c r="GJ754" s="23"/>
      <c r="GK754" s="23"/>
      <c r="GL754" s="23"/>
      <c r="GM754" s="23"/>
      <c r="GN754" s="23"/>
      <c r="GO754" s="23"/>
      <c r="GP754" s="23"/>
      <c r="GQ754" s="23"/>
      <c r="GR754" s="23"/>
      <c r="GS754" s="23"/>
      <c r="GT754" s="23"/>
      <c r="GU754" s="23"/>
      <c r="GV754" s="23"/>
      <c r="GW754" s="23"/>
      <c r="GX754" s="23"/>
      <c r="GY754" s="23"/>
      <c r="GZ754" s="23"/>
      <c r="HA754" s="23"/>
      <c r="HB754" s="23"/>
      <c r="HC754" s="23"/>
      <c r="HD754" s="23"/>
      <c r="HE754" s="23"/>
      <c r="HF754" s="23"/>
      <c r="HG754" s="23"/>
      <c r="HH754" s="23"/>
      <c r="HI754" s="23"/>
      <c r="HJ754" s="23"/>
      <c r="HK754" s="23"/>
      <c r="HL754" s="23"/>
      <c r="HM754" s="23"/>
      <c r="HN754" s="23"/>
      <c r="HO754" s="23"/>
      <c r="HP754" s="23"/>
      <c r="HQ754" s="23"/>
      <c r="HR754" s="23"/>
      <c r="HS754" s="23"/>
      <c r="HT754" s="23"/>
      <c r="HU754" s="23"/>
      <c r="HV754" s="23"/>
      <c r="HW754" s="23"/>
      <c r="HX754" s="23"/>
      <c r="HY754" s="23"/>
      <c r="HZ754" s="23"/>
      <c r="IA754" s="23"/>
      <c r="IB754" s="23"/>
      <c r="IC754" s="23"/>
      <c r="ID754" s="23"/>
      <c r="IE754" s="23"/>
      <c r="IF754" s="23"/>
      <c r="IG754" s="23"/>
      <c r="IH754" s="23"/>
      <c r="II754" s="23"/>
      <c r="IJ754" s="23"/>
      <c r="IK754" s="23"/>
      <c r="IL754" s="23"/>
      <c r="IM754" s="23"/>
      <c r="IN754" s="23"/>
      <c r="IO754" s="23"/>
      <c r="IP754" s="23"/>
      <c r="IQ754" s="23"/>
      <c r="IR754" s="23"/>
      <c r="IS754" s="23"/>
      <c r="IT754" s="23"/>
      <c r="IU754" s="23"/>
      <c r="IV754" s="23"/>
      <c r="IW754" s="23"/>
      <c r="IX754" s="23"/>
      <c r="IY754" s="23"/>
      <c r="IZ754" s="23"/>
      <c r="JA754" s="23"/>
      <c r="JB754" s="23"/>
      <c r="JC754" s="23"/>
      <c r="JD754" s="23"/>
      <c r="JE754" s="23"/>
      <c r="JF754" s="23"/>
      <c r="JG754" s="23"/>
      <c r="JH754" s="23"/>
      <c r="JI754" s="23"/>
      <c r="JJ754" s="23"/>
      <c r="JK754" s="23"/>
      <c r="JL754" s="23"/>
      <c r="JM754" s="23"/>
      <c r="JN754" s="23"/>
      <c r="JO754" s="23"/>
      <c r="JP754" s="23"/>
      <c r="JQ754" s="23"/>
      <c r="JR754" s="23"/>
      <c r="JS754" s="23"/>
      <c r="JT754" s="23"/>
      <c r="JU754" s="23"/>
      <c r="JV754" s="23"/>
      <c r="JW754" s="23"/>
      <c r="JX754" s="23"/>
      <c r="JY754" s="23"/>
      <c r="JZ754" s="23"/>
      <c r="KA754" s="23"/>
      <c r="KB754" s="23"/>
      <c r="KC754" s="23"/>
      <c r="KD754" s="23"/>
      <c r="KE754" s="23"/>
      <c r="KF754" s="23"/>
      <c r="KG754" s="23"/>
      <c r="KH754" s="23"/>
      <c r="KI754" s="23"/>
      <c r="KJ754" s="23"/>
      <c r="KK754" s="23"/>
      <c r="KL754" s="23"/>
      <c r="KM754" s="23"/>
      <c r="KN754" s="23"/>
      <c r="KO754" s="23"/>
      <c r="KP754" s="23"/>
      <c r="KQ754" s="23"/>
      <c r="KR754" s="23"/>
      <c r="KS754" s="23"/>
      <c r="KT754" s="23"/>
      <c r="KU754" s="23"/>
      <c r="KV754" s="23"/>
      <c r="KW754" s="23"/>
      <c r="KX754" s="23"/>
      <c r="KY754" s="23"/>
      <c r="KZ754" s="23"/>
      <c r="LA754" s="23"/>
      <c r="LB754" s="23"/>
      <c r="LC754" s="23"/>
      <c r="LD754" s="23"/>
      <c r="LE754" s="23"/>
      <c r="LF754" s="23"/>
      <c r="LG754" s="23"/>
      <c r="LH754" s="23"/>
      <c r="LI754" s="23"/>
      <c r="LJ754" s="23"/>
      <c r="LK754" s="23"/>
      <c r="LL754" s="23"/>
      <c r="LM754" s="23"/>
      <c r="LN754" s="23"/>
      <c r="LO754" s="23"/>
      <c r="LP754" s="23"/>
      <c r="LQ754" s="23"/>
      <c r="LR754" s="23"/>
      <c r="LS754" s="23"/>
      <c r="LT754" s="23"/>
      <c r="LU754" s="23"/>
      <c r="LV754" s="23"/>
      <c r="LW754" s="23"/>
      <c r="LX754" s="23"/>
      <c r="LY754" s="23"/>
      <c r="LZ754" s="23"/>
      <c r="MA754" s="23"/>
      <c r="MB754" s="23"/>
      <c r="MC754" s="23"/>
      <c r="MD754" s="23"/>
      <c r="ME754" s="23"/>
      <c r="MF754" s="23"/>
      <c r="MG754" s="23"/>
      <c r="MH754" s="23"/>
      <c r="MI754" s="23"/>
      <c r="MJ754" s="23"/>
      <c r="MK754" s="23"/>
      <c r="ML754" s="23"/>
      <c r="MM754" s="23"/>
      <c r="MN754" s="23"/>
      <c r="MO754" s="23"/>
      <c r="MP754" s="23"/>
      <c r="MQ754" s="23"/>
      <c r="MR754" s="23"/>
      <c r="MS754" s="23"/>
      <c r="MT754" s="23"/>
      <c r="MU754" s="23"/>
      <c r="MV754" s="23"/>
      <c r="MW754" s="23"/>
      <c r="MX754" s="23"/>
      <c r="MY754" s="23"/>
      <c r="MZ754" s="23"/>
      <c r="NA754" s="23"/>
      <c r="NB754" s="23"/>
      <c r="NC754" s="23"/>
      <c r="ND754" s="23"/>
      <c r="NE754" s="23"/>
      <c r="NF754" s="23"/>
      <c r="NG754" s="23"/>
      <c r="NH754" s="23"/>
      <c r="NI754" s="23"/>
      <c r="NJ754" s="23"/>
      <c r="NK754" s="23"/>
      <c r="NL754" s="23"/>
      <c r="NM754" s="23"/>
      <c r="NN754" s="23"/>
      <c r="NO754" s="23"/>
      <c r="NP754" s="23"/>
      <c r="NQ754" s="23"/>
      <c r="NR754" s="23"/>
      <c r="NS754" s="23"/>
      <c r="NT754" s="23"/>
      <c r="NU754" s="23"/>
      <c r="NV754" s="23"/>
      <c r="NW754" s="23"/>
      <c r="NX754" s="23"/>
      <c r="NY754" s="23"/>
      <c r="NZ754" s="23"/>
      <c r="OA754" s="23"/>
      <c r="OB754" s="23"/>
      <c r="OC754" s="23"/>
      <c r="OD754" s="23"/>
      <c r="OE754" s="23"/>
      <c r="OF754" s="23"/>
      <c r="OG754" s="23"/>
      <c r="OH754" s="23"/>
      <c r="OI754" s="23"/>
      <c r="OJ754" s="23"/>
      <c r="OK754" s="23"/>
      <c r="OL754" s="23"/>
      <c r="OM754" s="23"/>
      <c r="ON754" s="23"/>
      <c r="OO754" s="23"/>
      <c r="OP754" s="23"/>
      <c r="OQ754" s="23"/>
      <c r="OR754" s="23"/>
      <c r="OS754" s="23"/>
      <c r="OT754" s="23"/>
      <c r="OU754" s="23"/>
      <c r="OV754" s="23"/>
      <c r="OW754" s="23"/>
      <c r="OX754" s="23"/>
      <c r="OY754" s="23"/>
      <c r="OZ754" s="23"/>
      <c r="PA754" s="23"/>
      <c r="PB754" s="23"/>
      <c r="PC754" s="23"/>
      <c r="PD754" s="23"/>
      <c r="PE754" s="23"/>
      <c r="PF754" s="23"/>
      <c r="PG754" s="23"/>
      <c r="PH754" s="23"/>
      <c r="PI754" s="23"/>
      <c r="PJ754" s="23"/>
      <c r="PK754" s="23"/>
      <c r="PL754" s="23"/>
      <c r="PM754" s="23"/>
      <c r="PN754" s="23"/>
      <c r="PO754" s="23"/>
      <c r="PP754" s="23"/>
      <c r="PQ754" s="23"/>
      <c r="PR754" s="23"/>
      <c r="PS754" s="23"/>
      <c r="PT754" s="23"/>
      <c r="PU754" s="23"/>
      <c r="PV754" s="23"/>
      <c r="PW754" s="23"/>
      <c r="PX754" s="23"/>
      <c r="PY754" s="23"/>
      <c r="PZ754" s="23"/>
      <c r="QA754" s="23"/>
      <c r="QB754" s="23"/>
      <c r="QC754" s="23"/>
      <c r="QD754" s="23"/>
      <c r="QE754" s="23"/>
      <c r="QF754" s="23"/>
      <c r="QG754" s="23"/>
      <c r="QH754" s="23"/>
      <c r="QI754" s="23"/>
      <c r="QJ754" s="23"/>
      <c r="QK754" s="23"/>
      <c r="QL754" s="23"/>
      <c r="QM754" s="23"/>
      <c r="QN754" s="23"/>
      <c r="QO754" s="23"/>
      <c r="QP754" s="23"/>
      <c r="QQ754" s="23"/>
      <c r="QR754" s="23"/>
      <c r="QS754" s="23"/>
      <c r="QT754" s="23"/>
      <c r="QU754" s="23"/>
      <c r="QV754" s="23"/>
      <c r="QW754" s="23"/>
      <c r="QX754" s="23"/>
      <c r="QY754" s="23"/>
      <c r="QZ754" s="23"/>
      <c r="RA754" s="23"/>
      <c r="RB754" s="23"/>
      <c r="RC754" s="23"/>
      <c r="RD754" s="23"/>
      <c r="RE754" s="23"/>
      <c r="RF754" s="23"/>
      <c r="RG754" s="23"/>
      <c r="RH754" s="23"/>
      <c r="RI754" s="23"/>
      <c r="RJ754" s="23"/>
      <c r="RK754" s="23"/>
      <c r="RL754" s="23"/>
      <c r="RM754" s="23"/>
      <c r="RN754" s="23"/>
      <c r="RO754" s="23"/>
      <c r="RP754" s="23"/>
      <c r="RQ754" s="23"/>
      <c r="RR754" s="23"/>
      <c r="RS754" s="23"/>
      <c r="RT754" s="23"/>
      <c r="RU754" s="23"/>
      <c r="RV754" s="23"/>
      <c r="RW754" s="23"/>
      <c r="RX754" s="23"/>
      <c r="RY754" s="23"/>
      <c r="RZ754" s="23"/>
      <c r="SA754" s="23"/>
      <c r="SB754" s="23"/>
      <c r="SC754" s="23"/>
      <c r="SD754" s="23"/>
      <c r="SE754" s="23"/>
      <c r="SF754" s="23"/>
      <c r="SG754" s="23"/>
      <c r="SH754" s="23"/>
      <c r="SI754" s="23"/>
      <c r="SJ754" s="23"/>
      <c r="SK754" s="23"/>
      <c r="SL754" s="23"/>
      <c r="SM754" s="23"/>
      <c r="SN754" s="23"/>
      <c r="SO754" s="23"/>
      <c r="SP754" s="23"/>
      <c r="SQ754" s="23"/>
      <c r="SR754" s="23"/>
      <c r="SS754" s="23"/>
      <c r="ST754" s="23"/>
      <c r="SU754" s="23"/>
      <c r="SV754" s="23"/>
      <c r="SW754" s="23"/>
      <c r="SX754" s="23"/>
      <c r="SY754" s="23"/>
      <c r="SZ754" s="23"/>
      <c r="TA754" s="23"/>
      <c r="TB754" s="23"/>
      <c r="TC754" s="23"/>
      <c r="TD754" s="23"/>
      <c r="TE754" s="23"/>
      <c r="TF754" s="23"/>
      <c r="TG754" s="23"/>
      <c r="TH754" s="23"/>
      <c r="TI754" s="23"/>
      <c r="TJ754" s="23"/>
      <c r="TK754" s="23"/>
      <c r="TL754" s="23"/>
      <c r="TM754" s="23"/>
      <c r="TN754" s="23"/>
      <c r="TO754" s="23"/>
      <c r="TP754" s="23"/>
      <c r="TQ754" s="23"/>
      <c r="TR754" s="23"/>
      <c r="TS754" s="23"/>
      <c r="TT754" s="23"/>
      <c r="TU754" s="23"/>
      <c r="TV754" s="23"/>
      <c r="TW754" s="23"/>
      <c r="TX754" s="23"/>
      <c r="TY754" s="23"/>
      <c r="TZ754" s="23"/>
      <c r="UA754" s="23"/>
      <c r="UB754" s="23"/>
      <c r="UC754" s="23"/>
      <c r="UD754" s="23"/>
      <c r="UE754" s="23"/>
      <c r="UF754" s="23"/>
      <c r="UG754" s="23"/>
      <c r="UH754" s="23"/>
      <c r="UI754" s="23"/>
      <c r="UJ754" s="23"/>
      <c r="UK754" s="23"/>
      <c r="UL754" s="23"/>
      <c r="UM754" s="23"/>
      <c r="UN754" s="23"/>
      <c r="UO754" s="23"/>
      <c r="UP754" s="23"/>
      <c r="UQ754" s="23"/>
      <c r="UR754" s="23"/>
      <c r="US754" s="23"/>
      <c r="UT754" s="23"/>
      <c r="UU754" s="23"/>
      <c r="UV754" s="23"/>
      <c r="UW754" s="23"/>
      <c r="UX754" s="23"/>
      <c r="UY754" s="23"/>
      <c r="UZ754" s="23"/>
      <c r="VA754" s="23"/>
      <c r="VB754" s="23"/>
      <c r="VC754" s="23"/>
      <c r="VD754" s="23"/>
      <c r="VE754" s="23"/>
      <c r="VF754" s="23"/>
      <c r="VG754" s="23"/>
      <c r="VH754" s="23"/>
      <c r="VI754" s="23"/>
      <c r="VJ754" s="23"/>
      <c r="VK754" s="23"/>
      <c r="VL754" s="23"/>
      <c r="VM754" s="23"/>
      <c r="VN754" s="23"/>
      <c r="VO754" s="23"/>
      <c r="VP754" s="23"/>
      <c r="VQ754" s="23"/>
      <c r="VR754" s="23"/>
      <c r="VS754" s="23"/>
      <c r="VT754" s="23"/>
      <c r="VU754" s="23"/>
      <c r="VV754" s="23"/>
      <c r="VW754" s="23"/>
      <c r="VX754" s="23"/>
      <c r="VY754" s="23"/>
      <c r="VZ754" s="23"/>
      <c r="WA754" s="23"/>
      <c r="WB754" s="23"/>
      <c r="WC754" s="23"/>
      <c r="WD754" s="23"/>
      <c r="WE754" s="23"/>
      <c r="WF754" s="23"/>
      <c r="WG754" s="23"/>
      <c r="WH754" s="23"/>
      <c r="WI754" s="23"/>
      <c r="WJ754" s="23"/>
      <c r="WK754" s="23"/>
      <c r="WL754" s="23"/>
      <c r="WM754" s="23"/>
      <c r="WN754" s="23"/>
      <c r="WO754" s="23"/>
      <c r="WP754" s="23"/>
      <c r="WQ754" s="23"/>
      <c r="WR754" s="23"/>
      <c r="WS754" s="23"/>
      <c r="WT754" s="23"/>
      <c r="WU754" s="23"/>
      <c r="WV754" s="23"/>
      <c r="WW754" s="23"/>
      <c r="WX754" s="23"/>
      <c r="WY754" s="23"/>
      <c r="WZ754" s="23"/>
      <c r="XA754" s="23"/>
      <c r="XB754" s="23"/>
      <c r="XC754" s="23"/>
      <c r="XD754" s="23"/>
      <c r="XE754" s="23"/>
      <c r="XF754" s="23"/>
      <c r="XG754" s="23"/>
      <c r="XH754" s="23"/>
      <c r="XI754" s="23"/>
      <c r="XJ754" s="23"/>
      <c r="XK754" s="23"/>
      <c r="XL754" s="23"/>
      <c r="XM754" s="23"/>
      <c r="XN754" s="23"/>
      <c r="XO754" s="23"/>
      <c r="XP754" s="23"/>
      <c r="XQ754" s="23"/>
      <c r="XR754" s="23"/>
      <c r="XS754" s="23"/>
      <c r="XT754" s="23"/>
      <c r="XU754" s="23"/>
      <c r="XV754" s="23"/>
      <c r="XW754" s="23"/>
      <c r="XX754" s="23"/>
      <c r="XY754" s="23"/>
      <c r="XZ754" s="23"/>
      <c r="YA754" s="23"/>
      <c r="YB754" s="23"/>
      <c r="YC754" s="23"/>
      <c r="YD754" s="23"/>
      <c r="YE754" s="23"/>
      <c r="YF754" s="23"/>
      <c r="YG754" s="23"/>
      <c r="YH754" s="23"/>
      <c r="YI754" s="23"/>
      <c r="YJ754" s="23"/>
      <c r="YK754" s="23"/>
      <c r="YL754" s="23"/>
      <c r="YM754" s="23"/>
      <c r="YN754" s="23"/>
      <c r="YO754" s="23"/>
      <c r="YP754" s="23"/>
      <c r="YQ754" s="23"/>
      <c r="YR754" s="23"/>
      <c r="YS754" s="23"/>
      <c r="YT754" s="23"/>
      <c r="YU754" s="23"/>
      <c r="YV754" s="23"/>
      <c r="YW754" s="23"/>
      <c r="YX754" s="23"/>
      <c r="YY754" s="23"/>
      <c r="YZ754" s="23"/>
      <c r="ZA754" s="23"/>
      <c r="ZB754" s="23"/>
      <c r="ZC754" s="23"/>
      <c r="ZD754" s="23"/>
      <c r="ZE754" s="23"/>
      <c r="ZF754" s="23"/>
      <c r="ZG754" s="23"/>
      <c r="ZH754" s="23"/>
      <c r="ZI754" s="23"/>
      <c r="ZJ754" s="23"/>
      <c r="ZK754" s="23"/>
      <c r="ZL754" s="23"/>
      <c r="ZM754" s="23"/>
      <c r="ZN754" s="23"/>
      <c r="ZO754" s="23"/>
      <c r="ZP754" s="23"/>
      <c r="ZQ754" s="23"/>
      <c r="ZR754" s="23"/>
      <c r="ZS754" s="23"/>
      <c r="ZT754" s="23"/>
      <c r="ZU754" s="23"/>
      <c r="ZV754" s="23"/>
      <c r="ZW754" s="23"/>
      <c r="ZX754" s="23"/>
      <c r="ZY754" s="23"/>
      <c r="ZZ754" s="23"/>
      <c r="AAA754" s="23"/>
      <c r="AAB754" s="23"/>
      <c r="AAC754" s="23"/>
      <c r="AAD754" s="23"/>
      <c r="AAE754" s="23"/>
      <c r="AAF754" s="23"/>
      <c r="AAG754" s="23"/>
      <c r="AAH754" s="23"/>
      <c r="AAI754" s="23"/>
      <c r="AAJ754" s="23"/>
      <c r="AAK754" s="23"/>
      <c r="AAL754" s="23"/>
      <c r="AAM754" s="23"/>
      <c r="AAN754" s="23"/>
      <c r="AAO754" s="23"/>
      <c r="AAP754" s="23"/>
      <c r="AAQ754" s="23"/>
      <c r="AAR754" s="23"/>
      <c r="AAS754" s="23"/>
      <c r="AAT754" s="23"/>
      <c r="AAU754" s="23"/>
      <c r="AAV754" s="23"/>
      <c r="AAW754" s="23"/>
      <c r="AAX754" s="23"/>
      <c r="AAY754" s="23"/>
      <c r="AAZ754" s="23"/>
      <c r="ABA754" s="23"/>
      <c r="ABB754" s="23"/>
      <c r="ABC754" s="23"/>
      <c r="ABD754" s="23"/>
      <c r="ABE754" s="23"/>
      <c r="ABF754" s="23"/>
      <c r="ABG754" s="23"/>
      <c r="ABH754" s="23"/>
      <c r="ABI754" s="23"/>
      <c r="ABJ754" s="23"/>
      <c r="ABK754" s="23"/>
      <c r="ABL754" s="23"/>
      <c r="ABM754" s="23"/>
      <c r="ABN754" s="23"/>
      <c r="ABO754" s="23"/>
      <c r="ABP754" s="23"/>
      <c r="ABQ754" s="23"/>
      <c r="ABR754" s="23"/>
      <c r="ABS754" s="23"/>
      <c r="ABT754" s="23"/>
      <c r="ABU754" s="23"/>
      <c r="ABV754" s="23"/>
      <c r="ABW754" s="23"/>
      <c r="ABX754" s="23"/>
      <c r="ABY754" s="23"/>
      <c r="ABZ754" s="23"/>
      <c r="ACA754" s="23"/>
      <c r="ACB754" s="23"/>
      <c r="ACC754" s="23"/>
      <c r="ACD754" s="23"/>
      <c r="ACE754" s="23"/>
      <c r="ACF754" s="23"/>
      <c r="ACG754" s="23"/>
      <c r="ACH754" s="23"/>
      <c r="ACI754" s="23"/>
      <c r="ACJ754" s="23"/>
      <c r="ACK754" s="23"/>
      <c r="ACL754" s="23"/>
      <c r="ACM754" s="23"/>
      <c r="ACN754" s="23"/>
      <c r="ACO754" s="23"/>
      <c r="ACP754" s="23"/>
      <c r="ACQ754" s="23"/>
      <c r="ACR754" s="23"/>
      <c r="ACS754" s="23"/>
      <c r="ACT754" s="23"/>
      <c r="ACU754" s="23"/>
      <c r="ACV754" s="23"/>
      <c r="ACW754" s="23"/>
      <c r="ACX754" s="23"/>
      <c r="ACY754" s="23"/>
      <c r="ACZ754" s="23"/>
      <c r="ADA754" s="23"/>
      <c r="ADB754" s="23"/>
      <c r="ADC754" s="23"/>
      <c r="ADD754" s="23"/>
      <c r="ADE754" s="23"/>
      <c r="ADF754" s="23"/>
      <c r="ADG754" s="23"/>
      <c r="ADH754" s="23"/>
      <c r="ADI754" s="23"/>
      <c r="ADJ754" s="23"/>
      <c r="ADK754" s="23"/>
      <c r="ADL754" s="23"/>
      <c r="ADM754" s="23"/>
      <c r="ADN754" s="23"/>
      <c r="ADO754" s="23"/>
      <c r="ADP754" s="23"/>
      <c r="ADQ754" s="23"/>
      <c r="ADR754" s="23"/>
      <c r="ADS754" s="23"/>
      <c r="ADT754" s="23"/>
      <c r="ADU754" s="23"/>
      <c r="ADV754" s="23"/>
      <c r="ADW754" s="23"/>
      <c r="ADX754" s="23"/>
      <c r="ADY754" s="23"/>
      <c r="ADZ754" s="23"/>
      <c r="AEA754" s="23"/>
      <c r="AEB754" s="23"/>
      <c r="AEC754" s="23"/>
      <c r="AED754" s="23"/>
      <c r="AEE754" s="23"/>
      <c r="AEF754" s="23"/>
      <c r="AEG754" s="23"/>
      <c r="AEH754" s="23"/>
      <c r="AEI754" s="23"/>
      <c r="AEJ754" s="23"/>
      <c r="AEK754" s="23"/>
      <c r="AEL754" s="23"/>
      <c r="AEM754" s="23"/>
      <c r="AEN754" s="23"/>
      <c r="AEO754" s="23"/>
      <c r="AEP754" s="23"/>
      <c r="AEQ754" s="23"/>
      <c r="AER754" s="23"/>
      <c r="AES754" s="23"/>
      <c r="AET754" s="23"/>
      <c r="AEU754" s="23"/>
      <c r="AEV754" s="23"/>
      <c r="AEW754" s="23"/>
      <c r="AEX754" s="23"/>
      <c r="AEY754" s="23"/>
      <c r="AEZ754" s="23"/>
      <c r="AFA754" s="23"/>
      <c r="AFB754" s="23"/>
      <c r="AFC754" s="23"/>
      <c r="AFD754" s="23"/>
      <c r="AFE754" s="23"/>
      <c r="AFF754" s="23"/>
      <c r="AFG754" s="23"/>
      <c r="AFH754" s="23"/>
      <c r="AFI754" s="23"/>
      <c r="AFJ754" s="23"/>
      <c r="AFK754" s="23"/>
      <c r="AFL754" s="23"/>
      <c r="AFM754" s="23"/>
      <c r="AFN754" s="23"/>
      <c r="AFO754" s="23"/>
      <c r="AFP754" s="23"/>
      <c r="AFQ754" s="23"/>
      <c r="AFR754" s="23"/>
      <c r="AFS754" s="23"/>
      <c r="AFT754" s="23"/>
      <c r="AFU754" s="23"/>
      <c r="AFV754" s="23"/>
      <c r="AFW754" s="23"/>
      <c r="AFX754" s="23"/>
      <c r="AFY754" s="23"/>
      <c r="AFZ754" s="23"/>
      <c r="AGA754" s="23"/>
      <c r="AGB754" s="23"/>
      <c r="AGC754" s="23"/>
      <c r="AGD754" s="23"/>
      <c r="AGE754" s="23"/>
      <c r="AGF754" s="23"/>
      <c r="AGG754" s="23"/>
      <c r="AGH754" s="23"/>
      <c r="AGI754" s="23"/>
      <c r="AGJ754" s="23"/>
      <c r="AGK754" s="23"/>
      <c r="AGL754" s="23"/>
      <c r="AGM754" s="23"/>
      <c r="AGN754" s="23"/>
      <c r="AGO754" s="23"/>
      <c r="AGP754" s="23"/>
      <c r="AGQ754" s="23"/>
      <c r="AGR754" s="23"/>
      <c r="AGS754" s="23"/>
      <c r="AGT754" s="23"/>
      <c r="AGU754" s="23"/>
      <c r="AGV754" s="23"/>
      <c r="AGW754" s="23"/>
      <c r="AGX754" s="23"/>
      <c r="AGY754" s="23"/>
      <c r="AGZ754" s="23"/>
      <c r="AHA754" s="23"/>
      <c r="AHB754" s="23"/>
      <c r="AHC754" s="23"/>
      <c r="AHD754" s="23"/>
      <c r="AHE754" s="23"/>
      <c r="AHF754" s="23"/>
      <c r="AHG754" s="23"/>
      <c r="AHH754" s="23"/>
      <c r="AHI754" s="23"/>
      <c r="AHJ754" s="23"/>
      <c r="AHK754" s="23"/>
      <c r="AHL754" s="23"/>
      <c r="AHM754" s="23"/>
      <c r="AHN754" s="23"/>
      <c r="AHO754" s="23"/>
      <c r="AHP754" s="23"/>
      <c r="AHQ754" s="23"/>
      <c r="AHR754" s="23"/>
      <c r="AHS754" s="23"/>
      <c r="AHT754" s="23"/>
      <c r="AHU754" s="23"/>
      <c r="AHV754" s="23"/>
      <c r="AHW754" s="23"/>
      <c r="AHX754" s="23"/>
      <c r="AHY754" s="23"/>
      <c r="AHZ754" s="23"/>
      <c r="AIA754" s="23"/>
      <c r="AIB754" s="23"/>
      <c r="AIC754" s="23"/>
      <c r="AID754" s="23"/>
      <c r="AIE754" s="23"/>
      <c r="AIF754" s="23"/>
      <c r="AIG754" s="23"/>
      <c r="AIH754" s="23"/>
      <c r="AII754" s="23"/>
      <c r="AIJ754" s="23"/>
      <c r="AIK754" s="23"/>
      <c r="AIL754" s="23"/>
      <c r="AIM754" s="23"/>
      <c r="AIN754" s="23"/>
      <c r="AIO754" s="23"/>
      <c r="AIP754" s="23"/>
      <c r="AIQ754" s="23"/>
      <c r="AIR754" s="23"/>
      <c r="AIS754" s="23"/>
      <c r="AIT754" s="23"/>
      <c r="AIU754" s="23"/>
      <c r="AIV754" s="23"/>
      <c r="AIW754" s="23"/>
      <c r="AIX754" s="23"/>
      <c r="AIY754" s="23"/>
      <c r="AIZ754" s="23"/>
      <c r="AJA754" s="23"/>
      <c r="AJB754" s="23"/>
      <c r="AJC754" s="23"/>
      <c r="AJD754" s="23"/>
      <c r="AJE754" s="23"/>
      <c r="AJF754" s="23"/>
      <c r="AJG754" s="23"/>
      <c r="AJH754" s="23"/>
      <c r="AJI754" s="23"/>
      <c r="AJJ754" s="23"/>
      <c r="AJK754" s="23"/>
      <c r="AJL754" s="23"/>
      <c r="AJM754" s="23"/>
      <c r="AJN754" s="23"/>
      <c r="AJO754" s="23"/>
      <c r="AJP754" s="23"/>
      <c r="AJQ754" s="23"/>
      <c r="AJR754" s="23"/>
      <c r="AJS754" s="23"/>
      <c r="AJT754" s="23"/>
      <c r="AJU754" s="23"/>
      <c r="AJV754" s="23"/>
      <c r="AJW754" s="23"/>
      <c r="AJX754" s="23"/>
      <c r="AJY754" s="23"/>
      <c r="AJZ754" s="23"/>
      <c r="AKA754" s="23"/>
      <c r="AKB754" s="23"/>
      <c r="AKC754" s="23"/>
      <c r="AKD754" s="23"/>
      <c r="AKE754" s="23"/>
      <c r="AKF754" s="23"/>
      <c r="AKG754" s="23"/>
      <c r="AKH754" s="23"/>
      <c r="AKI754" s="23"/>
      <c r="AKJ754" s="23"/>
      <c r="AKK754" s="23"/>
      <c r="AKL754" s="23"/>
      <c r="AKM754" s="23"/>
      <c r="AKN754" s="23"/>
      <c r="AKO754" s="23"/>
      <c r="AKP754" s="23"/>
      <c r="AKQ754" s="23"/>
      <c r="AKR754" s="23"/>
      <c r="AKS754" s="23"/>
      <c r="AKT754" s="23"/>
      <c r="AKU754" s="23"/>
      <c r="AKV754" s="23"/>
      <c r="AKW754" s="23"/>
      <c r="AKX754" s="23"/>
      <c r="AKY754" s="23"/>
      <c r="AKZ754" s="23"/>
      <c r="ALA754" s="23"/>
      <c r="ALB754" s="23"/>
      <c r="ALC754" s="23"/>
      <c r="ALD754" s="23"/>
      <c r="ALE754" s="23"/>
      <c r="ALF754" s="23"/>
      <c r="ALG754" s="23"/>
      <c r="ALH754" s="23"/>
      <c r="ALI754" s="23"/>
      <c r="ALJ754" s="23"/>
      <c r="ALK754" s="23"/>
      <c r="ALL754" s="23"/>
      <c r="ALM754" s="23"/>
      <c r="ALN754" s="23"/>
      <c r="ALO754" s="23"/>
      <c r="ALP754" s="23"/>
      <c r="ALQ754" s="23"/>
      <c r="ALR754" s="23"/>
      <c r="ALS754" s="23"/>
      <c r="ALT754" s="23"/>
      <c r="ALU754" s="23"/>
      <c r="ALV754" s="23"/>
      <c r="ALW754" s="23"/>
      <c r="ALX754" s="23"/>
      <c r="ALY754" s="23"/>
      <c r="ALZ754" s="23"/>
      <c r="AMA754" s="23"/>
      <c r="AMB754" s="23"/>
      <c r="AMC754" s="23"/>
      <c r="AMD754" s="23"/>
      <c r="AME754" s="23"/>
      <c r="AMF754" s="23"/>
      <c r="AMG754" s="23"/>
      <c r="AMH754" s="23"/>
      <c r="AMI754" s="23"/>
      <c r="AMJ754" s="23"/>
      <c r="AMK754" s="23"/>
      <c r="AML754" s="23"/>
      <c r="AMM754" s="23"/>
      <c r="AMN754" s="23"/>
      <c r="AMO754" s="23"/>
      <c r="AMP754" s="23"/>
      <c r="AMQ754" s="23"/>
      <c r="AMR754" s="23"/>
      <c r="AMS754" s="23"/>
      <c r="AMT754" s="23"/>
      <c r="AMU754" s="23"/>
      <c r="AMV754" s="23"/>
      <c r="AMW754" s="23"/>
      <c r="AMX754" s="23"/>
      <c r="AMY754" s="23"/>
      <c r="AMZ754" s="23"/>
      <c r="ANA754" s="23"/>
      <c r="ANB754" s="23"/>
      <c r="ANC754" s="23"/>
      <c r="AND754" s="23"/>
      <c r="ANE754" s="23"/>
      <c r="ANF754" s="23"/>
      <c r="ANG754" s="23"/>
      <c r="ANH754" s="23"/>
      <c r="ANI754" s="23"/>
      <c r="ANJ754" s="23"/>
      <c r="ANK754" s="23"/>
      <c r="ANL754" s="23"/>
      <c r="ANM754" s="23"/>
      <c r="ANN754" s="23"/>
      <c r="ANO754" s="23"/>
      <c r="ANP754" s="23"/>
      <c r="ANQ754" s="23"/>
      <c r="ANR754" s="23"/>
      <c r="ANS754" s="23"/>
      <c r="ANT754" s="23"/>
      <c r="ANU754" s="23"/>
      <c r="ANV754" s="23"/>
      <c r="ANW754" s="23"/>
      <c r="ANX754" s="23"/>
      <c r="ANY754" s="23"/>
      <c r="ANZ754" s="23"/>
      <c r="AOA754" s="23"/>
      <c r="AOB754" s="23"/>
      <c r="AOC754" s="23"/>
      <c r="AOD754" s="23"/>
      <c r="AOE754" s="23"/>
      <c r="AOF754" s="23"/>
      <c r="AOG754" s="23"/>
      <c r="AOH754" s="23"/>
      <c r="AOI754" s="23"/>
      <c r="AOJ754" s="23"/>
      <c r="AOK754" s="23"/>
      <c r="AOL754" s="23"/>
      <c r="AOM754" s="23"/>
      <c r="AON754" s="23"/>
      <c r="AOO754" s="23"/>
      <c r="AOP754" s="23"/>
      <c r="AOQ754" s="23"/>
      <c r="AOR754" s="23"/>
      <c r="AOS754" s="23"/>
      <c r="AOT754" s="23"/>
      <c r="AOU754" s="23"/>
      <c r="AOV754" s="23"/>
      <c r="AOW754" s="23"/>
      <c r="AOX754" s="23"/>
      <c r="AOY754" s="23"/>
      <c r="AOZ754" s="23"/>
      <c r="APA754" s="23"/>
      <c r="APB754" s="23"/>
      <c r="APC754" s="23"/>
      <c r="APD754" s="23"/>
      <c r="APE754" s="23"/>
      <c r="APF754" s="23"/>
      <c r="APG754" s="23"/>
      <c r="APH754" s="23"/>
      <c r="API754" s="23"/>
      <c r="APJ754" s="23"/>
      <c r="APK754" s="23"/>
      <c r="APL754" s="23"/>
      <c r="APM754" s="23"/>
      <c r="APN754" s="23"/>
      <c r="APO754" s="23"/>
      <c r="APP754" s="23"/>
      <c r="APQ754" s="23"/>
      <c r="APR754" s="23"/>
      <c r="APS754" s="23"/>
      <c r="APT754" s="23"/>
      <c r="APU754" s="23"/>
      <c r="APV754" s="23"/>
      <c r="APW754" s="23"/>
      <c r="APX754" s="23"/>
      <c r="APY754" s="23"/>
      <c r="APZ754" s="23"/>
      <c r="AQA754" s="23"/>
      <c r="AQB754" s="23"/>
      <c r="AQC754" s="23"/>
      <c r="AQD754" s="23"/>
      <c r="AQE754" s="23"/>
      <c r="AQF754" s="23"/>
      <c r="AQG754" s="23"/>
      <c r="AQH754" s="23"/>
      <c r="AQI754" s="23"/>
      <c r="AQJ754" s="23"/>
      <c r="AQK754" s="23"/>
      <c r="AQL754" s="23"/>
      <c r="AQM754" s="23"/>
      <c r="AQN754" s="23"/>
      <c r="AQO754" s="23"/>
      <c r="AQP754" s="23"/>
      <c r="AQQ754" s="23"/>
      <c r="AQR754" s="23"/>
      <c r="AQS754" s="23"/>
      <c r="AQT754" s="23"/>
      <c r="AQU754" s="23"/>
      <c r="AQV754" s="23"/>
      <c r="AQW754" s="23"/>
      <c r="AQX754" s="23"/>
      <c r="AQY754" s="23"/>
      <c r="AQZ754" s="23"/>
      <c r="ARA754" s="23"/>
      <c r="ARB754" s="23"/>
      <c r="ARC754" s="23"/>
      <c r="ARD754" s="23"/>
      <c r="ARE754" s="23"/>
      <c r="ARF754" s="23"/>
      <c r="ARG754" s="23"/>
      <c r="ARH754" s="23"/>
      <c r="ARI754" s="23"/>
      <c r="ARJ754" s="23"/>
      <c r="ARK754" s="23"/>
      <c r="ARL754" s="23"/>
      <c r="ARM754" s="23"/>
      <c r="ARN754" s="23"/>
      <c r="ARO754" s="23"/>
      <c r="ARP754" s="23"/>
      <c r="ARQ754" s="23"/>
      <c r="ARR754" s="23"/>
      <c r="ARS754" s="23"/>
      <c r="ART754" s="23"/>
      <c r="ARU754" s="23"/>
      <c r="ARV754" s="23"/>
      <c r="ARW754" s="23"/>
      <c r="ARX754" s="23"/>
      <c r="ARY754" s="23"/>
      <c r="ARZ754" s="23"/>
      <c r="ASA754" s="23"/>
      <c r="ASB754" s="23"/>
      <c r="ASC754" s="23"/>
      <c r="ASD754" s="23"/>
      <c r="ASE754" s="23"/>
      <c r="ASF754" s="23"/>
      <c r="ASG754" s="23"/>
      <c r="ASH754" s="23"/>
      <c r="ASI754" s="23"/>
      <c r="ASJ754" s="23"/>
      <c r="ASK754" s="23"/>
      <c r="ASL754" s="23"/>
      <c r="ASM754" s="23"/>
      <c r="ASN754" s="23"/>
      <c r="ASO754" s="23"/>
      <c r="ASP754" s="23"/>
      <c r="ASQ754" s="23"/>
      <c r="ASR754" s="23"/>
      <c r="ASS754" s="23"/>
      <c r="AST754" s="23"/>
      <c r="ASU754" s="23"/>
      <c r="ASV754" s="23"/>
      <c r="ASW754" s="23"/>
      <c r="ASX754" s="23"/>
      <c r="ASY754" s="23"/>
      <c r="ASZ754" s="23"/>
      <c r="ATA754" s="23"/>
      <c r="ATB754" s="23"/>
      <c r="ATC754" s="23"/>
      <c r="ATD754" s="23"/>
      <c r="ATE754" s="23"/>
      <c r="ATF754" s="23"/>
      <c r="ATG754" s="23"/>
      <c r="ATH754" s="23"/>
      <c r="ATI754" s="23"/>
      <c r="ATJ754" s="23"/>
      <c r="ATK754" s="23"/>
      <c r="ATL754" s="23"/>
      <c r="ATM754" s="23"/>
      <c r="ATN754" s="23"/>
      <c r="ATO754" s="23"/>
      <c r="ATP754" s="23"/>
      <c r="ATQ754" s="23"/>
      <c r="ATR754" s="23"/>
      <c r="ATS754" s="23"/>
      <c r="ATT754" s="23"/>
      <c r="ATU754" s="23"/>
      <c r="ATV754" s="23"/>
      <c r="ATW754" s="23"/>
      <c r="ATX754" s="23"/>
      <c r="ATY754" s="23"/>
      <c r="ATZ754" s="23"/>
      <c r="AUA754" s="23"/>
      <c r="AUB754" s="23"/>
      <c r="AUC754" s="23"/>
      <c r="AUD754" s="23"/>
      <c r="AUE754" s="23"/>
      <c r="AUF754" s="23"/>
      <c r="AUG754" s="23"/>
      <c r="AUH754" s="23"/>
      <c r="AUI754" s="23"/>
      <c r="AUJ754" s="23"/>
      <c r="AUK754" s="23"/>
      <c r="AUL754" s="23"/>
      <c r="AUM754" s="23"/>
      <c r="AUN754" s="23"/>
      <c r="AUO754" s="23"/>
      <c r="AUP754" s="23"/>
      <c r="AUQ754" s="23"/>
      <c r="AUR754" s="23"/>
      <c r="AUS754" s="23"/>
      <c r="AUT754" s="23"/>
      <c r="AUU754" s="23"/>
      <c r="AUV754" s="23"/>
      <c r="AUW754" s="23"/>
      <c r="AUX754" s="23"/>
      <c r="AUY754" s="23"/>
      <c r="AUZ754" s="23"/>
      <c r="AVA754" s="23"/>
      <c r="AVB754" s="23"/>
      <c r="AVC754" s="23"/>
      <c r="AVD754" s="23"/>
      <c r="AVE754" s="23"/>
      <c r="AVF754" s="23"/>
      <c r="AVG754" s="23"/>
      <c r="AVH754" s="23"/>
      <c r="AVI754" s="23"/>
      <c r="AVJ754" s="23"/>
      <c r="AVK754" s="23"/>
      <c r="AVL754" s="23"/>
      <c r="AVM754" s="23"/>
      <c r="AVN754" s="23"/>
      <c r="AVO754" s="23"/>
      <c r="AVP754" s="23"/>
      <c r="AVQ754" s="23"/>
      <c r="AVR754" s="23"/>
      <c r="AVS754" s="23"/>
      <c r="AVT754" s="23"/>
      <c r="AVU754" s="23"/>
      <c r="AVV754" s="23"/>
      <c r="AVW754" s="23"/>
      <c r="AVX754" s="23"/>
      <c r="AVY754" s="23"/>
      <c r="AVZ754" s="23"/>
      <c r="AWA754" s="23"/>
      <c r="AWB754" s="23"/>
      <c r="AWC754" s="23"/>
      <c r="AWD754" s="23"/>
      <c r="AWE754" s="23"/>
      <c r="AWF754" s="23"/>
      <c r="AWG754" s="23"/>
      <c r="AWH754" s="23"/>
      <c r="AWI754" s="23"/>
      <c r="AWJ754" s="23"/>
      <c r="AWK754" s="23"/>
      <c r="AWL754" s="23"/>
      <c r="AWM754" s="23"/>
      <c r="AWN754" s="23"/>
      <c r="AWO754" s="23"/>
      <c r="AWP754" s="23"/>
      <c r="AWQ754" s="23"/>
      <c r="AWR754" s="23"/>
      <c r="AWS754" s="23"/>
      <c r="AWT754" s="23"/>
      <c r="AWU754" s="23"/>
      <c r="AWV754" s="23"/>
      <c r="AWW754" s="23"/>
      <c r="AWX754" s="23"/>
      <c r="AWY754" s="23"/>
      <c r="AWZ754" s="23"/>
      <c r="AXA754" s="23"/>
      <c r="AXB754" s="23"/>
      <c r="AXC754" s="23"/>
      <c r="AXD754" s="23"/>
      <c r="AXE754" s="23"/>
      <c r="AXF754" s="23"/>
      <c r="AXG754" s="23"/>
      <c r="AXH754" s="23"/>
      <c r="AXI754" s="23"/>
      <c r="AXJ754" s="23"/>
      <c r="AXK754" s="23"/>
      <c r="AXL754" s="23"/>
      <c r="AXM754" s="23"/>
      <c r="AXN754" s="23"/>
      <c r="AXO754" s="23"/>
      <c r="AXP754" s="23"/>
      <c r="AXQ754" s="23"/>
      <c r="AXR754" s="23"/>
      <c r="AXS754" s="23"/>
      <c r="AXT754" s="23"/>
      <c r="AXU754" s="23"/>
      <c r="AXV754" s="23"/>
      <c r="AXW754" s="23"/>
      <c r="AXX754" s="23"/>
      <c r="AXY754" s="23"/>
      <c r="AXZ754" s="23"/>
      <c r="AYA754" s="23"/>
      <c r="AYB754" s="23"/>
      <c r="AYC754" s="23"/>
      <c r="AYD754" s="23"/>
      <c r="AYE754" s="23"/>
      <c r="AYF754" s="23"/>
      <c r="AYG754" s="23"/>
      <c r="AYH754" s="23"/>
      <c r="AYI754" s="23"/>
      <c r="AYJ754" s="23"/>
      <c r="AYK754" s="23"/>
      <c r="AYL754" s="23"/>
      <c r="AYM754" s="23"/>
      <c r="AYN754" s="23"/>
      <c r="AYO754" s="23"/>
      <c r="AYP754" s="23"/>
      <c r="AYQ754" s="23"/>
      <c r="AYR754" s="23"/>
      <c r="AYS754" s="23"/>
      <c r="AYT754" s="23"/>
      <c r="AYU754" s="23"/>
      <c r="AYV754" s="23"/>
      <c r="AYW754" s="23"/>
      <c r="AYX754" s="23"/>
      <c r="AYY754" s="23"/>
      <c r="AYZ754" s="23"/>
      <c r="AZA754" s="23"/>
      <c r="AZB754" s="23"/>
      <c r="AZC754" s="23"/>
      <c r="AZD754" s="23"/>
      <c r="AZE754" s="23"/>
      <c r="AZF754" s="23"/>
      <c r="AZG754" s="23"/>
      <c r="AZH754" s="23"/>
      <c r="AZI754" s="23"/>
      <c r="AZJ754" s="23"/>
      <c r="AZK754" s="23"/>
      <c r="AZL754" s="23"/>
      <c r="AZM754" s="23"/>
      <c r="AZN754" s="23"/>
      <c r="AZO754" s="23"/>
      <c r="AZP754" s="23"/>
      <c r="AZQ754" s="23"/>
      <c r="AZR754" s="23"/>
      <c r="AZS754" s="23"/>
      <c r="AZT754" s="23"/>
      <c r="AZU754" s="23"/>
      <c r="AZV754" s="23"/>
      <c r="AZW754" s="23"/>
      <c r="AZX754" s="23"/>
      <c r="AZY754" s="23"/>
      <c r="AZZ754" s="23"/>
      <c r="BAA754" s="23"/>
      <c r="BAB754" s="23"/>
      <c r="BAC754" s="23"/>
      <c r="BAD754" s="23"/>
      <c r="BAE754" s="23"/>
      <c r="BAF754" s="23"/>
      <c r="BAG754" s="23"/>
      <c r="BAH754" s="23"/>
      <c r="BAI754" s="23"/>
      <c r="BAJ754" s="23"/>
      <c r="BAK754" s="23"/>
      <c r="BAL754" s="23"/>
      <c r="BAM754" s="23"/>
      <c r="BAN754" s="23"/>
      <c r="BAO754" s="23"/>
      <c r="BAP754" s="23"/>
      <c r="BAQ754" s="23"/>
      <c r="BAR754" s="23"/>
      <c r="BAS754" s="23"/>
      <c r="BAT754" s="23"/>
      <c r="BAU754" s="23"/>
      <c r="BAV754" s="23"/>
      <c r="BAW754" s="23"/>
      <c r="BAX754" s="23"/>
      <c r="BAY754" s="23"/>
      <c r="BAZ754" s="23"/>
      <c r="BBA754" s="23"/>
      <c r="BBB754" s="23"/>
      <c r="BBC754" s="23"/>
      <c r="BBD754" s="23"/>
      <c r="BBE754" s="23"/>
      <c r="BBF754" s="23"/>
      <c r="BBG754" s="23"/>
      <c r="BBH754" s="23"/>
      <c r="BBI754" s="23"/>
      <c r="BBJ754" s="23"/>
      <c r="BBK754" s="23"/>
      <c r="BBL754" s="23"/>
      <c r="BBM754" s="23"/>
      <c r="BBN754" s="23"/>
      <c r="BBO754" s="23"/>
      <c r="BBP754" s="23"/>
      <c r="BBQ754" s="23"/>
      <c r="BBR754" s="23"/>
      <c r="BBS754" s="23"/>
      <c r="BBT754" s="23"/>
      <c r="BBU754" s="23"/>
      <c r="BBV754" s="23"/>
      <c r="BBW754" s="23"/>
      <c r="BBX754" s="23"/>
      <c r="BBY754" s="23"/>
      <c r="BBZ754" s="23"/>
      <c r="BCA754" s="23"/>
      <c r="BCB754" s="23"/>
      <c r="BCC754" s="23"/>
      <c r="BCD754" s="23"/>
      <c r="BCE754" s="23"/>
      <c r="BCF754" s="23"/>
      <c r="BCG754" s="23"/>
      <c r="BCH754" s="23"/>
      <c r="BCI754" s="23"/>
      <c r="BCJ754" s="23"/>
      <c r="BCK754" s="23"/>
      <c r="BCL754" s="23"/>
      <c r="BCM754" s="23"/>
      <c r="BCN754" s="23"/>
      <c r="BCO754" s="23"/>
      <c r="BCP754" s="23"/>
      <c r="BCQ754" s="23"/>
      <c r="BCR754" s="23"/>
      <c r="BCS754" s="23"/>
      <c r="BCT754" s="23"/>
      <c r="BCU754" s="23"/>
      <c r="BCV754" s="23"/>
      <c r="BCW754" s="23"/>
      <c r="BCX754" s="23"/>
      <c r="BCY754" s="23"/>
      <c r="BCZ754" s="23"/>
      <c r="BDA754" s="23"/>
      <c r="BDB754" s="23"/>
      <c r="BDC754" s="23"/>
      <c r="BDD754" s="23"/>
      <c r="BDE754" s="23"/>
      <c r="BDF754" s="23"/>
      <c r="BDG754" s="23"/>
      <c r="BDH754" s="23"/>
      <c r="BDI754" s="23"/>
      <c r="BDJ754" s="23"/>
      <c r="BDK754" s="23"/>
      <c r="BDL754" s="23"/>
      <c r="BDM754" s="23"/>
      <c r="BDN754" s="23"/>
      <c r="BDO754" s="23"/>
      <c r="BDP754" s="23"/>
      <c r="BDQ754" s="23"/>
      <c r="BDR754" s="23"/>
      <c r="BDS754" s="23"/>
      <c r="BDT754" s="23"/>
      <c r="BDU754" s="23"/>
      <c r="BDV754" s="23"/>
      <c r="BDW754" s="23"/>
      <c r="BDX754" s="23"/>
      <c r="BDY754" s="23"/>
      <c r="BDZ754" s="23"/>
      <c r="BEA754" s="23"/>
      <c r="BEB754" s="23"/>
      <c r="BEC754" s="23"/>
      <c r="BED754" s="23"/>
      <c r="BEE754" s="23"/>
      <c r="BEF754" s="23"/>
      <c r="BEG754" s="23"/>
      <c r="BEH754" s="23"/>
      <c r="BEI754" s="23"/>
      <c r="BEJ754" s="23"/>
      <c r="BEK754" s="23"/>
      <c r="BEL754" s="23"/>
      <c r="BEM754" s="23"/>
      <c r="BEN754" s="23"/>
      <c r="BEO754" s="23"/>
      <c r="BEP754" s="23"/>
      <c r="BEQ754" s="23"/>
      <c r="BER754" s="23"/>
      <c r="BES754" s="23"/>
      <c r="BET754" s="23"/>
      <c r="BEU754" s="23"/>
      <c r="BEV754" s="23"/>
      <c r="BEW754" s="23"/>
      <c r="BEX754" s="23"/>
      <c r="BEY754" s="23"/>
      <c r="BEZ754" s="23"/>
      <c r="BFA754" s="23"/>
      <c r="BFB754" s="23"/>
      <c r="BFC754" s="23"/>
      <c r="BFD754" s="23"/>
      <c r="BFE754" s="23"/>
      <c r="BFF754" s="23"/>
      <c r="BFG754" s="23"/>
      <c r="BFH754" s="23"/>
      <c r="BFI754" s="23"/>
      <c r="BFJ754" s="23"/>
      <c r="BFK754" s="23"/>
      <c r="BFL754" s="23"/>
      <c r="BFM754" s="23"/>
      <c r="BFN754" s="23"/>
      <c r="BFO754" s="23"/>
      <c r="BFP754" s="23"/>
      <c r="BFQ754" s="23"/>
      <c r="BFR754" s="23"/>
      <c r="BFS754" s="23"/>
      <c r="BFT754" s="23"/>
      <c r="BFU754" s="23"/>
      <c r="BFV754" s="23"/>
      <c r="BFW754" s="23"/>
      <c r="BFX754" s="23"/>
      <c r="BFY754" s="23"/>
      <c r="BFZ754" s="23"/>
      <c r="BGA754" s="23"/>
      <c r="BGB754" s="23"/>
      <c r="BGC754" s="23"/>
      <c r="BGD754" s="23"/>
      <c r="BGE754" s="23"/>
      <c r="BGF754" s="23"/>
      <c r="BGG754" s="23"/>
      <c r="BGH754" s="23"/>
      <c r="BGI754" s="23"/>
      <c r="BGJ754" s="23"/>
      <c r="BGK754" s="23"/>
      <c r="BGL754" s="23"/>
      <c r="BGM754" s="23"/>
      <c r="BGN754" s="23"/>
      <c r="BGO754" s="23"/>
      <c r="BGP754" s="23"/>
      <c r="BGQ754" s="23"/>
      <c r="BGR754" s="23"/>
      <c r="BGS754" s="23"/>
      <c r="BGT754" s="23"/>
      <c r="BGU754" s="23"/>
      <c r="BGV754" s="23"/>
      <c r="BGW754" s="23"/>
      <c r="BGX754" s="23"/>
      <c r="BGY754" s="23"/>
      <c r="BGZ754" s="23"/>
      <c r="BHA754" s="23"/>
      <c r="BHB754" s="23"/>
      <c r="BHC754" s="23"/>
      <c r="BHD754" s="23"/>
      <c r="BHE754" s="23"/>
      <c r="BHF754" s="23"/>
      <c r="BHG754" s="23"/>
      <c r="BHH754" s="23"/>
      <c r="BHI754" s="23"/>
      <c r="BHJ754" s="23"/>
      <c r="BHK754" s="23"/>
      <c r="BHL754" s="23"/>
      <c r="BHM754" s="23"/>
      <c r="BHN754" s="23"/>
      <c r="BHO754" s="23"/>
      <c r="BHP754" s="23"/>
      <c r="BHQ754" s="23"/>
      <c r="BHR754" s="23"/>
      <c r="BHS754" s="23"/>
      <c r="BHT754" s="23"/>
      <c r="BHU754" s="23"/>
      <c r="BHV754" s="23"/>
      <c r="BHW754" s="23"/>
      <c r="BHX754" s="23"/>
      <c r="BHY754" s="23"/>
      <c r="BHZ754" s="23"/>
      <c r="BIA754" s="23"/>
      <c r="BIB754" s="23"/>
      <c r="BIC754" s="23"/>
      <c r="BID754" s="23"/>
      <c r="BIE754" s="23"/>
      <c r="BIF754" s="23"/>
      <c r="BIG754" s="23"/>
      <c r="BIH754" s="23"/>
      <c r="BII754" s="23"/>
      <c r="BIJ754" s="23"/>
      <c r="BIK754" s="23"/>
      <c r="BIL754" s="23"/>
      <c r="BIM754" s="23"/>
      <c r="BIN754" s="23"/>
      <c r="BIO754" s="23"/>
      <c r="BIP754" s="23"/>
      <c r="BIQ754" s="23"/>
      <c r="BIR754" s="23"/>
      <c r="BIS754" s="23"/>
      <c r="BIT754" s="23"/>
      <c r="BIU754" s="23"/>
      <c r="BIV754" s="23"/>
      <c r="BIW754" s="23"/>
      <c r="BIX754" s="23"/>
      <c r="BIY754" s="23"/>
      <c r="BIZ754" s="23"/>
      <c r="BJA754" s="23"/>
      <c r="BJB754" s="23"/>
      <c r="BJC754" s="23"/>
      <c r="BJD754" s="23"/>
      <c r="BJE754" s="23"/>
      <c r="BJF754" s="23"/>
      <c r="BJG754" s="23"/>
      <c r="BJH754" s="23"/>
      <c r="BJI754" s="23"/>
      <c r="BJJ754" s="23"/>
      <c r="BJK754" s="23"/>
      <c r="BJL754" s="23"/>
      <c r="BJM754" s="23"/>
      <c r="BJN754" s="23"/>
      <c r="BJO754" s="23"/>
      <c r="BJP754" s="23"/>
      <c r="BJQ754" s="23"/>
      <c r="BJR754" s="23"/>
      <c r="BJS754" s="23"/>
      <c r="BJT754" s="23"/>
      <c r="BJU754" s="23"/>
      <c r="BJV754" s="23"/>
      <c r="BJW754" s="23"/>
      <c r="BJX754" s="23"/>
      <c r="BJY754" s="23"/>
      <c r="BJZ754" s="23"/>
      <c r="BKA754" s="23"/>
      <c r="BKB754" s="23"/>
      <c r="BKC754" s="23"/>
      <c r="BKD754" s="23"/>
      <c r="BKE754" s="23"/>
      <c r="BKF754" s="23"/>
      <c r="BKG754" s="23"/>
      <c r="BKH754" s="23"/>
      <c r="BKI754" s="23"/>
      <c r="BKJ754" s="23"/>
      <c r="BKK754" s="23"/>
      <c r="BKL754" s="23"/>
      <c r="BKM754" s="23"/>
      <c r="BKN754" s="23"/>
      <c r="BKO754" s="23"/>
      <c r="BKP754" s="23"/>
      <c r="BKQ754" s="23"/>
      <c r="BKR754" s="23"/>
      <c r="BKS754" s="23"/>
      <c r="BKT754" s="23"/>
      <c r="BKU754" s="23"/>
      <c r="BKV754" s="23"/>
      <c r="BKW754" s="23"/>
      <c r="BKX754" s="23"/>
      <c r="BKY754" s="23"/>
      <c r="BKZ754" s="23"/>
      <c r="BLA754" s="23"/>
      <c r="BLB754" s="23"/>
      <c r="BLC754" s="23"/>
      <c r="BLD754" s="23"/>
      <c r="BLE754" s="23"/>
      <c r="BLF754" s="23"/>
      <c r="BLG754" s="23"/>
      <c r="BLH754" s="23"/>
      <c r="BLI754" s="23"/>
      <c r="BLJ754" s="23"/>
      <c r="BLK754" s="23"/>
      <c r="BLL754" s="23"/>
      <c r="BLM754" s="23"/>
      <c r="BLN754" s="23"/>
      <c r="BLO754" s="23"/>
      <c r="BLP754" s="23"/>
      <c r="BLQ754" s="23"/>
      <c r="BLR754" s="23"/>
      <c r="BLS754" s="23"/>
      <c r="BLT754" s="23"/>
      <c r="BLU754" s="23"/>
      <c r="BLV754" s="23"/>
      <c r="BLW754" s="23"/>
      <c r="BLX754" s="23"/>
      <c r="BLY754" s="23"/>
      <c r="BLZ754" s="23"/>
      <c r="BMA754" s="23"/>
      <c r="BMB754" s="23"/>
      <c r="BMC754" s="23"/>
      <c r="BMD754" s="23"/>
      <c r="BME754" s="23"/>
      <c r="BMF754" s="23"/>
      <c r="BMG754" s="23"/>
      <c r="BMH754" s="23"/>
      <c r="BMI754" s="23"/>
      <c r="BMJ754" s="23"/>
      <c r="BMK754" s="23"/>
      <c r="BML754" s="23"/>
      <c r="BMM754" s="23"/>
      <c r="BMN754" s="23"/>
      <c r="BMO754" s="23"/>
      <c r="BMP754" s="23"/>
      <c r="BMQ754" s="23"/>
      <c r="BMR754" s="23"/>
      <c r="BMS754" s="23"/>
      <c r="BMT754" s="23"/>
      <c r="BMU754" s="23"/>
      <c r="BMV754" s="23"/>
      <c r="BMW754" s="23"/>
      <c r="BMX754" s="23"/>
      <c r="BMY754" s="23"/>
      <c r="BMZ754" s="23"/>
      <c r="BNA754" s="23"/>
      <c r="BNB754" s="23"/>
      <c r="BNC754" s="23"/>
      <c r="BND754" s="23"/>
      <c r="BNE754" s="23"/>
      <c r="BNF754" s="23"/>
      <c r="BNG754" s="23"/>
      <c r="BNH754" s="23"/>
      <c r="BNI754" s="23"/>
      <c r="BNJ754" s="23"/>
      <c r="BNK754" s="23"/>
      <c r="BNL754" s="23"/>
      <c r="BNM754" s="23"/>
      <c r="BNN754" s="23"/>
      <c r="BNO754" s="23"/>
      <c r="BNP754" s="23"/>
      <c r="BNQ754" s="23"/>
      <c r="BNR754" s="23"/>
      <c r="BNS754" s="23"/>
      <c r="BNT754" s="23"/>
      <c r="BNU754" s="23"/>
      <c r="BNV754" s="23"/>
      <c r="BNW754" s="23"/>
      <c r="BNX754" s="23"/>
      <c r="BNY754" s="23"/>
      <c r="BNZ754" s="23"/>
      <c r="BOA754" s="23"/>
      <c r="BOB754" s="23"/>
      <c r="BOC754" s="23"/>
      <c r="BOD754" s="23"/>
      <c r="BOE754" s="23"/>
      <c r="BOF754" s="23"/>
      <c r="BOG754" s="23"/>
      <c r="BOH754" s="23"/>
      <c r="BOI754" s="23"/>
      <c r="BOJ754" s="23"/>
      <c r="BOK754" s="23"/>
      <c r="BOL754" s="23"/>
      <c r="BOM754" s="23"/>
      <c r="BON754" s="23"/>
      <c r="BOO754" s="23"/>
      <c r="BOP754" s="23"/>
      <c r="BOQ754" s="23"/>
      <c r="BOR754" s="23"/>
      <c r="BOS754" s="23"/>
      <c r="BOT754" s="23"/>
      <c r="BOU754" s="23"/>
      <c r="BOV754" s="23"/>
      <c r="BOW754" s="23"/>
      <c r="BOX754" s="23"/>
      <c r="BOY754" s="23"/>
      <c r="BOZ754" s="23"/>
      <c r="BPA754" s="23"/>
      <c r="BPB754" s="23"/>
      <c r="BPC754" s="23"/>
      <c r="BPD754" s="23"/>
      <c r="BPE754" s="23"/>
      <c r="BPF754" s="23"/>
      <c r="BPG754" s="23"/>
      <c r="BPH754" s="23"/>
      <c r="BPI754" s="23"/>
      <c r="BPJ754" s="23"/>
      <c r="BPK754" s="23"/>
      <c r="BPL754" s="23"/>
      <c r="BPM754" s="23"/>
      <c r="BPN754" s="23"/>
      <c r="BPO754" s="23"/>
      <c r="BPP754" s="23"/>
      <c r="BPQ754" s="23"/>
      <c r="BPR754" s="23"/>
      <c r="BPS754" s="23"/>
      <c r="BPT754" s="23"/>
      <c r="BPU754" s="23"/>
      <c r="BPV754" s="23"/>
      <c r="BPW754" s="23"/>
      <c r="BPX754" s="23"/>
      <c r="BPY754" s="23"/>
      <c r="BPZ754" s="23"/>
      <c r="BQA754" s="23"/>
      <c r="BQB754" s="23"/>
      <c r="BQC754" s="23"/>
      <c r="BQD754" s="23"/>
      <c r="BQE754" s="23"/>
      <c r="BQF754" s="23"/>
      <c r="BQG754" s="23"/>
      <c r="BQH754" s="23"/>
      <c r="BQI754" s="23"/>
      <c r="BQJ754" s="23"/>
      <c r="BQK754" s="23"/>
      <c r="BQL754" s="23"/>
      <c r="BQM754" s="23"/>
      <c r="BQN754" s="23"/>
      <c r="BQO754" s="23"/>
      <c r="BQP754" s="23"/>
      <c r="BQQ754" s="23"/>
      <c r="BQR754" s="23"/>
      <c r="BQS754" s="23"/>
      <c r="BQT754" s="23"/>
      <c r="BQU754" s="23"/>
      <c r="BQV754" s="23"/>
      <c r="BQW754" s="23"/>
      <c r="BQX754" s="23"/>
      <c r="BQY754" s="23"/>
      <c r="BQZ754" s="23"/>
      <c r="BRA754" s="23"/>
      <c r="BRB754" s="23"/>
      <c r="BRC754" s="23"/>
      <c r="BRD754" s="23"/>
      <c r="BRE754" s="23"/>
      <c r="BRF754" s="23"/>
      <c r="BRG754" s="23"/>
      <c r="BRH754" s="23"/>
      <c r="BRI754" s="23"/>
      <c r="BRJ754" s="23"/>
      <c r="BRK754" s="23"/>
      <c r="BRL754" s="23"/>
      <c r="BRM754" s="23"/>
      <c r="BRN754" s="23"/>
      <c r="BRO754" s="23"/>
      <c r="BRP754" s="23"/>
      <c r="BRQ754" s="23"/>
      <c r="BRR754" s="23"/>
      <c r="BRS754" s="23"/>
      <c r="BRT754" s="23"/>
      <c r="BRU754" s="23"/>
      <c r="BRV754" s="23"/>
      <c r="BRW754" s="23"/>
      <c r="BRX754" s="23"/>
      <c r="BRY754" s="23"/>
      <c r="BRZ754" s="23"/>
      <c r="BSA754" s="23"/>
      <c r="BSB754" s="23"/>
      <c r="BSC754" s="23"/>
      <c r="BSD754" s="23"/>
      <c r="BSE754" s="23"/>
      <c r="BSF754" s="23"/>
      <c r="BSG754" s="23"/>
      <c r="BSH754" s="23"/>
      <c r="BSI754" s="23"/>
      <c r="BSJ754" s="23"/>
      <c r="BSK754" s="23"/>
      <c r="BSL754" s="23"/>
      <c r="BSM754" s="23"/>
      <c r="BSN754" s="23"/>
      <c r="BSO754" s="23"/>
      <c r="BSP754" s="23"/>
      <c r="BSQ754" s="23"/>
      <c r="BSR754" s="23"/>
      <c r="BSS754" s="23"/>
      <c r="BST754" s="23"/>
      <c r="BSU754" s="23"/>
      <c r="BSV754" s="23"/>
      <c r="BSW754" s="23"/>
      <c r="BSX754" s="23"/>
      <c r="BSY754" s="23"/>
      <c r="BSZ754" s="23"/>
      <c r="BTA754" s="23"/>
    </row>
    <row r="755" spans="1:1873" s="247" customFormat="1" x14ac:dyDescent="0.2">
      <c r="A755" s="240"/>
      <c r="B755" s="223" t="s">
        <v>811</v>
      </c>
      <c r="C755" s="404" t="s">
        <v>1454</v>
      </c>
      <c r="D755" s="240" t="s">
        <v>619</v>
      </c>
      <c r="E755" s="305" t="s">
        <v>1392</v>
      </c>
      <c r="F755" s="240">
        <v>1</v>
      </c>
      <c r="G755" s="242">
        <v>8</v>
      </c>
      <c r="H755" s="242">
        <v>9</v>
      </c>
      <c r="I755" s="223" t="s">
        <v>807</v>
      </c>
      <c r="J755" s="223">
        <v>1995</v>
      </c>
      <c r="K755" s="223" t="s">
        <v>1211</v>
      </c>
      <c r="L755" s="223">
        <v>2000</v>
      </c>
      <c r="M755" s="243">
        <v>-9999</v>
      </c>
      <c r="N755" s="223">
        <v>-9999</v>
      </c>
      <c r="O755" s="29"/>
      <c r="P755" s="243">
        <v>-9999</v>
      </c>
      <c r="Q755" s="223">
        <v>-9999</v>
      </c>
      <c r="R755" s="243"/>
      <c r="S755" s="223"/>
      <c r="T755" s="243">
        <v>-9999</v>
      </c>
      <c r="U755" s="223">
        <v>-9999</v>
      </c>
      <c r="V755" s="223"/>
      <c r="W755" s="285"/>
      <c r="X755" s="223">
        <v>-9999</v>
      </c>
      <c r="Y755" s="223"/>
      <c r="Z755" s="404" t="s">
        <v>1703</v>
      </c>
      <c r="AA755" s="564">
        <v>1075</v>
      </c>
      <c r="AB755" s="243">
        <v>1</v>
      </c>
      <c r="AC755" s="223">
        <v>-9999</v>
      </c>
      <c r="AD755" s="223">
        <v>18.600000000000001</v>
      </c>
      <c r="AE755" s="404" t="s">
        <v>1738</v>
      </c>
      <c r="AF755" s="223">
        <v>10</v>
      </c>
      <c r="AG755" s="404" t="s">
        <v>1741</v>
      </c>
      <c r="AH755" s="223" t="s">
        <v>1034</v>
      </c>
      <c r="AI755" s="404" t="s">
        <v>1739</v>
      </c>
      <c r="AJ755" s="223">
        <v>-9999</v>
      </c>
      <c r="AK755" s="223" t="s">
        <v>626</v>
      </c>
      <c r="AL755" s="223" t="s">
        <v>828</v>
      </c>
      <c r="AM755" s="223">
        <v>-9999</v>
      </c>
      <c r="AN755" s="223" t="s">
        <v>631</v>
      </c>
      <c r="AO755" s="223">
        <v>-9999</v>
      </c>
      <c r="AP755" s="223">
        <v>-9999</v>
      </c>
      <c r="AQ755" s="223" t="s">
        <v>631</v>
      </c>
      <c r="AR755" s="223">
        <v>0</v>
      </c>
      <c r="AS755" s="223">
        <v>-9999</v>
      </c>
      <c r="AT755" s="223">
        <v>-9999</v>
      </c>
      <c r="AU755" s="223">
        <v>0</v>
      </c>
      <c r="AV755" s="223">
        <v>-9999</v>
      </c>
      <c r="AW755" s="223">
        <v>-9999</v>
      </c>
      <c r="AX755" s="223">
        <v>0</v>
      </c>
      <c r="AY755" s="223">
        <v>-9999</v>
      </c>
      <c r="AZ755" s="223">
        <v>-9999</v>
      </c>
      <c r="BA755" s="223">
        <v>-9988</v>
      </c>
      <c r="BB755" s="223" t="s">
        <v>626</v>
      </c>
      <c r="BC755" s="223">
        <v>-9999</v>
      </c>
      <c r="BD755" s="223">
        <v>-9999</v>
      </c>
      <c r="BE755" s="223">
        <v>-9999</v>
      </c>
      <c r="BF755" s="223">
        <v>-9999</v>
      </c>
      <c r="BG755" s="223">
        <v>-9999</v>
      </c>
      <c r="BH755" s="223">
        <v>-9999</v>
      </c>
      <c r="BI755" s="223" t="s">
        <v>1035</v>
      </c>
      <c r="BJ755" s="223">
        <v>-9999</v>
      </c>
      <c r="BK755" s="223">
        <v>-9999</v>
      </c>
      <c r="BL755" s="223">
        <v>-9999</v>
      </c>
      <c r="BM755" s="223">
        <v>-9999</v>
      </c>
      <c r="BN755" s="223">
        <v>-9999</v>
      </c>
      <c r="BO755" s="223">
        <v>-9999</v>
      </c>
      <c r="BP755" s="223">
        <v>-9999</v>
      </c>
      <c r="BQ755" s="223">
        <v>-9999</v>
      </c>
      <c r="BR755" s="223">
        <v>-9999</v>
      </c>
      <c r="BS755" s="242">
        <v>-9999</v>
      </c>
      <c r="BT755" s="223">
        <v>-9999</v>
      </c>
      <c r="BU755" s="223">
        <v>-9999</v>
      </c>
      <c r="BV755" s="223">
        <v>-9999</v>
      </c>
      <c r="BW755" s="223"/>
      <c r="BX755" s="223">
        <v>-9999</v>
      </c>
      <c r="BY755" s="223">
        <v>-9999</v>
      </c>
      <c r="BZ755" s="223">
        <v>-9999</v>
      </c>
      <c r="CA755" s="334" t="s">
        <v>797</v>
      </c>
      <c r="CC755" s="240">
        <v>1</v>
      </c>
      <c r="CD755" s="242">
        <v>8</v>
      </c>
      <c r="CE755" s="292"/>
      <c r="CF755" s="292"/>
      <c r="CG755" s="242">
        <v>9</v>
      </c>
      <c r="CH755" s="23"/>
      <c r="CI755" s="23"/>
      <c r="CJ755" s="23"/>
      <c r="CK755" s="23"/>
      <c r="CL755" s="23"/>
      <c r="CM755" s="23"/>
      <c r="CN755" s="23"/>
      <c r="CO755" s="23"/>
      <c r="CP755" s="23"/>
      <c r="CQ755" s="23"/>
      <c r="CR755" s="23"/>
      <c r="CS755" s="23"/>
      <c r="CT755" s="23"/>
      <c r="CU755" s="23"/>
      <c r="CV755" s="23"/>
      <c r="CW755" s="23"/>
      <c r="CX755" s="23"/>
      <c r="CY755" s="23"/>
      <c r="CZ755" s="23"/>
      <c r="DA755" s="23"/>
      <c r="DB755" s="23"/>
      <c r="DC755" s="23"/>
      <c r="DD755" s="23"/>
      <c r="DE755" s="23"/>
      <c r="DF755" s="23"/>
      <c r="DG755" s="23"/>
      <c r="DH755" s="23"/>
      <c r="DI755" s="23"/>
      <c r="DJ755" s="23"/>
      <c r="DK755" s="23"/>
      <c r="DL755" s="23"/>
      <c r="DM755" s="23"/>
      <c r="DN755" s="23"/>
      <c r="DO755" s="23"/>
      <c r="DP755" s="23"/>
      <c r="DQ755" s="23"/>
      <c r="DR755" s="23"/>
      <c r="DS755" s="23"/>
      <c r="DT755" s="23"/>
      <c r="DU755" s="23"/>
      <c r="DV755" s="23"/>
      <c r="DW755" s="23"/>
      <c r="DX755" s="23"/>
      <c r="DY755" s="23"/>
      <c r="DZ755" s="23"/>
      <c r="EA755" s="23"/>
      <c r="EB755" s="23"/>
      <c r="EC755" s="23"/>
      <c r="ED755" s="23"/>
      <c r="EE755" s="23"/>
      <c r="EF755" s="23"/>
      <c r="EG755" s="23"/>
      <c r="EH755" s="23"/>
      <c r="EI755" s="23"/>
      <c r="EJ755" s="23"/>
      <c r="EK755" s="23"/>
      <c r="EL755" s="23"/>
      <c r="EM755" s="23"/>
      <c r="EN755" s="23"/>
      <c r="EO755" s="23"/>
      <c r="EP755" s="23"/>
      <c r="EQ755" s="23"/>
      <c r="ER755" s="23"/>
      <c r="ES755" s="23"/>
      <c r="ET755" s="23"/>
      <c r="EU755" s="23"/>
      <c r="EV755" s="23"/>
      <c r="EW755" s="23"/>
      <c r="EX755" s="23"/>
      <c r="EY755" s="23"/>
      <c r="EZ755" s="23"/>
      <c r="FA755" s="23"/>
      <c r="FB755" s="23"/>
      <c r="FC755" s="23"/>
      <c r="FD755" s="23"/>
      <c r="FE755" s="23"/>
      <c r="FF755" s="23"/>
      <c r="FG755" s="23"/>
      <c r="FH755" s="23"/>
      <c r="FI755" s="23"/>
      <c r="FJ755" s="23"/>
      <c r="FK755" s="23"/>
      <c r="FL755" s="23"/>
      <c r="FM755" s="23"/>
      <c r="FN755" s="23"/>
      <c r="FO755" s="23"/>
      <c r="FP755" s="23"/>
      <c r="FQ755" s="23"/>
      <c r="FR755" s="23"/>
      <c r="FS755" s="23"/>
      <c r="FT755" s="23"/>
      <c r="FU755" s="23"/>
      <c r="FV755" s="23"/>
      <c r="FW755" s="23"/>
      <c r="FX755" s="23"/>
      <c r="FY755" s="23"/>
      <c r="FZ755" s="23"/>
      <c r="GA755" s="23"/>
      <c r="GB755" s="23"/>
      <c r="GC755" s="23"/>
      <c r="GD755" s="23"/>
      <c r="GE755" s="23"/>
      <c r="GF755" s="23"/>
      <c r="GG755" s="23"/>
      <c r="GH755" s="23"/>
      <c r="GI755" s="23"/>
      <c r="GJ755" s="23"/>
      <c r="GK755" s="23"/>
      <c r="GL755" s="23"/>
      <c r="GM755" s="23"/>
      <c r="GN755" s="23"/>
      <c r="GO755" s="23"/>
      <c r="GP755" s="23"/>
      <c r="GQ755" s="23"/>
      <c r="GR755" s="23"/>
      <c r="GS755" s="23"/>
      <c r="GT755" s="23"/>
      <c r="GU755" s="23"/>
      <c r="GV755" s="23"/>
      <c r="GW755" s="23"/>
      <c r="GX755" s="23"/>
      <c r="GY755" s="23"/>
      <c r="GZ755" s="23"/>
      <c r="HA755" s="23"/>
      <c r="HB755" s="23"/>
      <c r="HC755" s="23"/>
      <c r="HD755" s="23"/>
      <c r="HE755" s="23"/>
      <c r="HF755" s="23"/>
      <c r="HG755" s="23"/>
      <c r="HH755" s="23"/>
      <c r="HI755" s="23"/>
      <c r="HJ755" s="23"/>
      <c r="HK755" s="23"/>
      <c r="HL755" s="23"/>
      <c r="HM755" s="23"/>
      <c r="HN755" s="23"/>
      <c r="HO755" s="23"/>
      <c r="HP755" s="23"/>
      <c r="HQ755" s="23"/>
      <c r="HR755" s="23"/>
      <c r="HS755" s="23"/>
      <c r="HT755" s="23"/>
      <c r="HU755" s="23"/>
      <c r="HV755" s="23"/>
      <c r="HW755" s="23"/>
      <c r="HX755" s="23"/>
      <c r="HY755" s="23"/>
      <c r="HZ755" s="23"/>
      <c r="IA755" s="23"/>
      <c r="IB755" s="23"/>
      <c r="IC755" s="23"/>
      <c r="ID755" s="23"/>
      <c r="IE755" s="23"/>
      <c r="IF755" s="23"/>
      <c r="IG755" s="23"/>
      <c r="IH755" s="23"/>
      <c r="II755" s="23"/>
      <c r="IJ755" s="23"/>
      <c r="IK755" s="23"/>
      <c r="IL755" s="23"/>
      <c r="IM755" s="23"/>
      <c r="IN755" s="23"/>
      <c r="IO755" s="23"/>
      <c r="IP755" s="23"/>
      <c r="IQ755" s="23"/>
      <c r="IR755" s="23"/>
      <c r="IS755" s="23"/>
      <c r="IT755" s="23"/>
      <c r="IU755" s="23"/>
      <c r="IV755" s="23"/>
      <c r="IW755" s="23"/>
      <c r="IX755" s="23"/>
      <c r="IY755" s="23"/>
      <c r="IZ755" s="23"/>
      <c r="JA755" s="23"/>
      <c r="JB755" s="23"/>
      <c r="JC755" s="23"/>
      <c r="JD755" s="23"/>
      <c r="JE755" s="23"/>
      <c r="JF755" s="23"/>
      <c r="JG755" s="23"/>
      <c r="JH755" s="23"/>
      <c r="JI755" s="23"/>
      <c r="JJ755" s="23"/>
      <c r="JK755" s="23"/>
      <c r="JL755" s="23"/>
      <c r="JM755" s="23"/>
      <c r="JN755" s="23"/>
      <c r="JO755" s="23"/>
      <c r="JP755" s="23"/>
      <c r="JQ755" s="23"/>
      <c r="JR755" s="23"/>
      <c r="JS755" s="23"/>
      <c r="JT755" s="23"/>
      <c r="JU755" s="23"/>
      <c r="JV755" s="23"/>
      <c r="JW755" s="23"/>
      <c r="JX755" s="23"/>
      <c r="JY755" s="23"/>
      <c r="JZ755" s="23"/>
      <c r="KA755" s="23"/>
      <c r="KB755" s="23"/>
      <c r="KC755" s="23"/>
      <c r="KD755" s="23"/>
      <c r="KE755" s="23"/>
      <c r="KF755" s="23"/>
      <c r="KG755" s="23"/>
      <c r="KH755" s="23"/>
      <c r="KI755" s="23"/>
      <c r="KJ755" s="23"/>
      <c r="KK755" s="23"/>
      <c r="KL755" s="23"/>
      <c r="KM755" s="23"/>
      <c r="KN755" s="23"/>
      <c r="KO755" s="23"/>
      <c r="KP755" s="23"/>
      <c r="KQ755" s="23"/>
      <c r="KR755" s="23"/>
      <c r="KS755" s="23"/>
      <c r="KT755" s="23"/>
      <c r="KU755" s="23"/>
      <c r="KV755" s="23"/>
      <c r="KW755" s="23"/>
      <c r="KX755" s="23"/>
      <c r="KY755" s="23"/>
      <c r="KZ755" s="23"/>
      <c r="LA755" s="23"/>
      <c r="LB755" s="23"/>
      <c r="LC755" s="23"/>
      <c r="LD755" s="23"/>
      <c r="LE755" s="23"/>
      <c r="LF755" s="23"/>
      <c r="LG755" s="23"/>
      <c r="LH755" s="23"/>
      <c r="LI755" s="23"/>
      <c r="LJ755" s="23"/>
      <c r="LK755" s="23"/>
      <c r="LL755" s="23"/>
      <c r="LM755" s="23"/>
      <c r="LN755" s="23"/>
      <c r="LO755" s="23"/>
      <c r="LP755" s="23"/>
      <c r="LQ755" s="23"/>
      <c r="LR755" s="23"/>
      <c r="LS755" s="23"/>
      <c r="LT755" s="23"/>
      <c r="LU755" s="23"/>
      <c r="LV755" s="23"/>
      <c r="LW755" s="23"/>
      <c r="LX755" s="23"/>
      <c r="LY755" s="23"/>
      <c r="LZ755" s="23"/>
      <c r="MA755" s="23"/>
      <c r="MB755" s="23"/>
      <c r="MC755" s="23"/>
      <c r="MD755" s="23"/>
      <c r="ME755" s="23"/>
      <c r="MF755" s="23"/>
      <c r="MG755" s="23"/>
      <c r="MH755" s="23"/>
      <c r="MI755" s="23"/>
      <c r="MJ755" s="23"/>
      <c r="MK755" s="23"/>
      <c r="ML755" s="23"/>
      <c r="MM755" s="23"/>
      <c r="MN755" s="23"/>
      <c r="MO755" s="23"/>
      <c r="MP755" s="23"/>
      <c r="MQ755" s="23"/>
      <c r="MR755" s="23"/>
      <c r="MS755" s="23"/>
      <c r="MT755" s="23"/>
      <c r="MU755" s="23"/>
      <c r="MV755" s="23"/>
      <c r="MW755" s="23"/>
      <c r="MX755" s="23"/>
      <c r="MY755" s="23"/>
      <c r="MZ755" s="23"/>
      <c r="NA755" s="23"/>
      <c r="NB755" s="23"/>
      <c r="NC755" s="23"/>
      <c r="ND755" s="23"/>
      <c r="NE755" s="23"/>
      <c r="NF755" s="23"/>
      <c r="NG755" s="23"/>
      <c r="NH755" s="23"/>
      <c r="NI755" s="23"/>
      <c r="NJ755" s="23"/>
      <c r="NK755" s="23"/>
      <c r="NL755" s="23"/>
      <c r="NM755" s="23"/>
      <c r="NN755" s="23"/>
      <c r="NO755" s="23"/>
      <c r="NP755" s="23"/>
      <c r="NQ755" s="23"/>
      <c r="NR755" s="23"/>
      <c r="NS755" s="23"/>
      <c r="NT755" s="23"/>
      <c r="NU755" s="23"/>
      <c r="NV755" s="23"/>
      <c r="NW755" s="23"/>
      <c r="NX755" s="23"/>
      <c r="NY755" s="23"/>
      <c r="NZ755" s="23"/>
      <c r="OA755" s="23"/>
      <c r="OB755" s="23"/>
      <c r="OC755" s="23"/>
      <c r="OD755" s="23"/>
      <c r="OE755" s="23"/>
      <c r="OF755" s="23"/>
      <c r="OG755" s="23"/>
      <c r="OH755" s="23"/>
      <c r="OI755" s="23"/>
      <c r="OJ755" s="23"/>
      <c r="OK755" s="23"/>
      <c r="OL755" s="23"/>
      <c r="OM755" s="23"/>
      <c r="ON755" s="23"/>
      <c r="OO755" s="23"/>
      <c r="OP755" s="23"/>
      <c r="OQ755" s="23"/>
      <c r="OR755" s="23"/>
      <c r="OS755" s="23"/>
      <c r="OT755" s="23"/>
      <c r="OU755" s="23"/>
      <c r="OV755" s="23"/>
      <c r="OW755" s="23"/>
      <c r="OX755" s="23"/>
      <c r="OY755" s="23"/>
      <c r="OZ755" s="23"/>
      <c r="PA755" s="23"/>
      <c r="PB755" s="23"/>
      <c r="PC755" s="23"/>
      <c r="PD755" s="23"/>
      <c r="PE755" s="23"/>
      <c r="PF755" s="23"/>
      <c r="PG755" s="23"/>
      <c r="PH755" s="23"/>
      <c r="PI755" s="23"/>
      <c r="PJ755" s="23"/>
      <c r="PK755" s="23"/>
      <c r="PL755" s="23"/>
      <c r="PM755" s="23"/>
      <c r="PN755" s="23"/>
      <c r="PO755" s="23"/>
      <c r="PP755" s="23"/>
      <c r="PQ755" s="23"/>
      <c r="PR755" s="23"/>
      <c r="PS755" s="23"/>
      <c r="PT755" s="23"/>
      <c r="PU755" s="23"/>
      <c r="PV755" s="23"/>
      <c r="PW755" s="23"/>
      <c r="PX755" s="23"/>
      <c r="PY755" s="23"/>
      <c r="PZ755" s="23"/>
      <c r="QA755" s="23"/>
      <c r="QB755" s="23"/>
      <c r="QC755" s="23"/>
      <c r="QD755" s="23"/>
      <c r="QE755" s="23"/>
      <c r="QF755" s="23"/>
      <c r="QG755" s="23"/>
      <c r="QH755" s="23"/>
      <c r="QI755" s="23"/>
      <c r="QJ755" s="23"/>
      <c r="QK755" s="23"/>
      <c r="QL755" s="23"/>
      <c r="QM755" s="23"/>
      <c r="QN755" s="23"/>
      <c r="QO755" s="23"/>
      <c r="QP755" s="23"/>
      <c r="QQ755" s="23"/>
      <c r="QR755" s="23"/>
      <c r="QS755" s="23"/>
      <c r="QT755" s="23"/>
      <c r="QU755" s="23"/>
      <c r="QV755" s="23"/>
      <c r="QW755" s="23"/>
      <c r="QX755" s="23"/>
      <c r="QY755" s="23"/>
      <c r="QZ755" s="23"/>
      <c r="RA755" s="23"/>
      <c r="RB755" s="23"/>
      <c r="RC755" s="23"/>
      <c r="RD755" s="23"/>
      <c r="RE755" s="23"/>
      <c r="RF755" s="23"/>
      <c r="RG755" s="23"/>
      <c r="RH755" s="23"/>
      <c r="RI755" s="23"/>
      <c r="RJ755" s="23"/>
      <c r="RK755" s="23"/>
      <c r="RL755" s="23"/>
      <c r="RM755" s="23"/>
      <c r="RN755" s="23"/>
      <c r="RO755" s="23"/>
      <c r="RP755" s="23"/>
      <c r="RQ755" s="23"/>
      <c r="RR755" s="23"/>
      <c r="RS755" s="23"/>
      <c r="RT755" s="23"/>
      <c r="RU755" s="23"/>
      <c r="RV755" s="23"/>
      <c r="RW755" s="23"/>
      <c r="RX755" s="23"/>
      <c r="RY755" s="23"/>
      <c r="RZ755" s="23"/>
      <c r="SA755" s="23"/>
      <c r="SB755" s="23"/>
      <c r="SC755" s="23"/>
      <c r="SD755" s="23"/>
      <c r="SE755" s="23"/>
      <c r="SF755" s="23"/>
      <c r="SG755" s="23"/>
      <c r="SH755" s="23"/>
      <c r="SI755" s="23"/>
      <c r="SJ755" s="23"/>
      <c r="SK755" s="23"/>
      <c r="SL755" s="23"/>
      <c r="SM755" s="23"/>
      <c r="SN755" s="23"/>
      <c r="SO755" s="23"/>
      <c r="SP755" s="23"/>
      <c r="SQ755" s="23"/>
      <c r="SR755" s="23"/>
      <c r="SS755" s="23"/>
      <c r="ST755" s="23"/>
      <c r="SU755" s="23"/>
      <c r="SV755" s="23"/>
      <c r="SW755" s="23"/>
      <c r="SX755" s="23"/>
      <c r="SY755" s="23"/>
      <c r="SZ755" s="23"/>
      <c r="TA755" s="23"/>
      <c r="TB755" s="23"/>
      <c r="TC755" s="23"/>
      <c r="TD755" s="23"/>
      <c r="TE755" s="23"/>
      <c r="TF755" s="23"/>
      <c r="TG755" s="23"/>
      <c r="TH755" s="23"/>
      <c r="TI755" s="23"/>
      <c r="TJ755" s="23"/>
      <c r="TK755" s="23"/>
      <c r="TL755" s="23"/>
      <c r="TM755" s="23"/>
      <c r="TN755" s="23"/>
      <c r="TO755" s="23"/>
      <c r="TP755" s="23"/>
      <c r="TQ755" s="23"/>
      <c r="TR755" s="23"/>
      <c r="TS755" s="23"/>
      <c r="TT755" s="23"/>
      <c r="TU755" s="23"/>
      <c r="TV755" s="23"/>
      <c r="TW755" s="23"/>
      <c r="TX755" s="23"/>
      <c r="TY755" s="23"/>
      <c r="TZ755" s="23"/>
      <c r="UA755" s="23"/>
      <c r="UB755" s="23"/>
      <c r="UC755" s="23"/>
      <c r="UD755" s="23"/>
      <c r="UE755" s="23"/>
      <c r="UF755" s="23"/>
      <c r="UG755" s="23"/>
      <c r="UH755" s="23"/>
      <c r="UI755" s="23"/>
      <c r="UJ755" s="23"/>
      <c r="UK755" s="23"/>
      <c r="UL755" s="23"/>
      <c r="UM755" s="23"/>
      <c r="UN755" s="23"/>
      <c r="UO755" s="23"/>
      <c r="UP755" s="23"/>
      <c r="UQ755" s="23"/>
      <c r="UR755" s="23"/>
      <c r="US755" s="23"/>
      <c r="UT755" s="23"/>
      <c r="UU755" s="23"/>
      <c r="UV755" s="23"/>
      <c r="UW755" s="23"/>
      <c r="UX755" s="23"/>
      <c r="UY755" s="23"/>
      <c r="UZ755" s="23"/>
      <c r="VA755" s="23"/>
      <c r="VB755" s="23"/>
      <c r="VC755" s="23"/>
      <c r="VD755" s="23"/>
      <c r="VE755" s="23"/>
      <c r="VF755" s="23"/>
      <c r="VG755" s="23"/>
      <c r="VH755" s="23"/>
      <c r="VI755" s="23"/>
      <c r="VJ755" s="23"/>
      <c r="VK755" s="23"/>
      <c r="VL755" s="23"/>
      <c r="VM755" s="23"/>
      <c r="VN755" s="23"/>
      <c r="VO755" s="23"/>
      <c r="VP755" s="23"/>
      <c r="VQ755" s="23"/>
      <c r="VR755" s="23"/>
      <c r="VS755" s="23"/>
      <c r="VT755" s="23"/>
      <c r="VU755" s="23"/>
      <c r="VV755" s="23"/>
      <c r="VW755" s="23"/>
      <c r="VX755" s="23"/>
      <c r="VY755" s="23"/>
      <c r="VZ755" s="23"/>
      <c r="WA755" s="23"/>
      <c r="WB755" s="23"/>
      <c r="WC755" s="23"/>
      <c r="WD755" s="23"/>
      <c r="WE755" s="23"/>
      <c r="WF755" s="23"/>
      <c r="WG755" s="23"/>
      <c r="WH755" s="23"/>
      <c r="WI755" s="23"/>
      <c r="WJ755" s="23"/>
      <c r="WK755" s="23"/>
      <c r="WL755" s="23"/>
      <c r="WM755" s="23"/>
      <c r="WN755" s="23"/>
      <c r="WO755" s="23"/>
      <c r="WP755" s="23"/>
      <c r="WQ755" s="23"/>
      <c r="WR755" s="23"/>
      <c r="WS755" s="23"/>
      <c r="WT755" s="23"/>
      <c r="WU755" s="23"/>
      <c r="WV755" s="23"/>
      <c r="WW755" s="23"/>
      <c r="WX755" s="23"/>
      <c r="WY755" s="23"/>
      <c r="WZ755" s="23"/>
      <c r="XA755" s="23"/>
      <c r="XB755" s="23"/>
      <c r="XC755" s="23"/>
      <c r="XD755" s="23"/>
      <c r="XE755" s="23"/>
      <c r="XF755" s="23"/>
      <c r="XG755" s="23"/>
      <c r="XH755" s="23"/>
      <c r="XI755" s="23"/>
      <c r="XJ755" s="23"/>
      <c r="XK755" s="23"/>
      <c r="XL755" s="23"/>
      <c r="XM755" s="23"/>
      <c r="XN755" s="23"/>
      <c r="XO755" s="23"/>
      <c r="XP755" s="23"/>
      <c r="XQ755" s="23"/>
      <c r="XR755" s="23"/>
      <c r="XS755" s="23"/>
      <c r="XT755" s="23"/>
      <c r="XU755" s="23"/>
      <c r="XV755" s="23"/>
      <c r="XW755" s="23"/>
      <c r="XX755" s="23"/>
      <c r="XY755" s="23"/>
      <c r="XZ755" s="23"/>
      <c r="YA755" s="23"/>
      <c r="YB755" s="23"/>
      <c r="YC755" s="23"/>
      <c r="YD755" s="23"/>
      <c r="YE755" s="23"/>
      <c r="YF755" s="23"/>
      <c r="YG755" s="23"/>
      <c r="YH755" s="23"/>
      <c r="YI755" s="23"/>
      <c r="YJ755" s="23"/>
      <c r="YK755" s="23"/>
      <c r="YL755" s="23"/>
      <c r="YM755" s="23"/>
      <c r="YN755" s="23"/>
      <c r="YO755" s="23"/>
      <c r="YP755" s="23"/>
      <c r="YQ755" s="23"/>
      <c r="YR755" s="23"/>
      <c r="YS755" s="23"/>
      <c r="YT755" s="23"/>
      <c r="YU755" s="23"/>
      <c r="YV755" s="23"/>
      <c r="YW755" s="23"/>
      <c r="YX755" s="23"/>
      <c r="YY755" s="23"/>
      <c r="YZ755" s="23"/>
      <c r="ZA755" s="23"/>
      <c r="ZB755" s="23"/>
      <c r="ZC755" s="23"/>
      <c r="ZD755" s="23"/>
      <c r="ZE755" s="23"/>
      <c r="ZF755" s="23"/>
      <c r="ZG755" s="23"/>
      <c r="ZH755" s="23"/>
      <c r="ZI755" s="23"/>
      <c r="ZJ755" s="23"/>
      <c r="ZK755" s="23"/>
      <c r="ZL755" s="23"/>
      <c r="ZM755" s="23"/>
      <c r="ZN755" s="23"/>
      <c r="ZO755" s="23"/>
      <c r="ZP755" s="23"/>
      <c r="ZQ755" s="23"/>
      <c r="ZR755" s="23"/>
      <c r="ZS755" s="23"/>
      <c r="ZT755" s="23"/>
      <c r="ZU755" s="23"/>
      <c r="ZV755" s="23"/>
      <c r="ZW755" s="23"/>
      <c r="ZX755" s="23"/>
      <c r="ZY755" s="23"/>
      <c r="ZZ755" s="23"/>
      <c r="AAA755" s="23"/>
      <c r="AAB755" s="23"/>
      <c r="AAC755" s="23"/>
      <c r="AAD755" s="23"/>
      <c r="AAE755" s="23"/>
      <c r="AAF755" s="23"/>
      <c r="AAG755" s="23"/>
      <c r="AAH755" s="23"/>
      <c r="AAI755" s="23"/>
      <c r="AAJ755" s="23"/>
      <c r="AAK755" s="23"/>
      <c r="AAL755" s="23"/>
      <c r="AAM755" s="23"/>
      <c r="AAN755" s="23"/>
      <c r="AAO755" s="23"/>
      <c r="AAP755" s="23"/>
      <c r="AAQ755" s="23"/>
      <c r="AAR755" s="23"/>
      <c r="AAS755" s="23"/>
      <c r="AAT755" s="23"/>
      <c r="AAU755" s="23"/>
      <c r="AAV755" s="23"/>
      <c r="AAW755" s="23"/>
      <c r="AAX755" s="23"/>
      <c r="AAY755" s="23"/>
      <c r="AAZ755" s="23"/>
      <c r="ABA755" s="23"/>
      <c r="ABB755" s="23"/>
      <c r="ABC755" s="23"/>
      <c r="ABD755" s="23"/>
      <c r="ABE755" s="23"/>
      <c r="ABF755" s="23"/>
      <c r="ABG755" s="23"/>
      <c r="ABH755" s="23"/>
      <c r="ABI755" s="23"/>
      <c r="ABJ755" s="23"/>
      <c r="ABK755" s="23"/>
      <c r="ABL755" s="23"/>
      <c r="ABM755" s="23"/>
      <c r="ABN755" s="23"/>
      <c r="ABO755" s="23"/>
      <c r="ABP755" s="23"/>
      <c r="ABQ755" s="23"/>
      <c r="ABR755" s="23"/>
      <c r="ABS755" s="23"/>
      <c r="ABT755" s="23"/>
      <c r="ABU755" s="23"/>
      <c r="ABV755" s="23"/>
      <c r="ABW755" s="23"/>
      <c r="ABX755" s="23"/>
      <c r="ABY755" s="23"/>
      <c r="ABZ755" s="23"/>
      <c r="ACA755" s="23"/>
      <c r="ACB755" s="23"/>
      <c r="ACC755" s="23"/>
      <c r="ACD755" s="23"/>
      <c r="ACE755" s="23"/>
      <c r="ACF755" s="23"/>
      <c r="ACG755" s="23"/>
      <c r="ACH755" s="23"/>
      <c r="ACI755" s="23"/>
      <c r="ACJ755" s="23"/>
      <c r="ACK755" s="23"/>
      <c r="ACL755" s="23"/>
      <c r="ACM755" s="23"/>
      <c r="ACN755" s="23"/>
      <c r="ACO755" s="23"/>
      <c r="ACP755" s="23"/>
      <c r="ACQ755" s="23"/>
      <c r="ACR755" s="23"/>
      <c r="ACS755" s="23"/>
      <c r="ACT755" s="23"/>
      <c r="ACU755" s="23"/>
      <c r="ACV755" s="23"/>
      <c r="ACW755" s="23"/>
      <c r="ACX755" s="23"/>
      <c r="ACY755" s="23"/>
      <c r="ACZ755" s="23"/>
      <c r="ADA755" s="23"/>
      <c r="ADB755" s="23"/>
      <c r="ADC755" s="23"/>
      <c r="ADD755" s="23"/>
      <c r="ADE755" s="23"/>
      <c r="ADF755" s="23"/>
      <c r="ADG755" s="23"/>
      <c r="ADH755" s="23"/>
      <c r="ADI755" s="23"/>
      <c r="ADJ755" s="23"/>
      <c r="ADK755" s="23"/>
      <c r="ADL755" s="23"/>
      <c r="ADM755" s="23"/>
      <c r="ADN755" s="23"/>
      <c r="ADO755" s="23"/>
      <c r="ADP755" s="23"/>
      <c r="ADQ755" s="23"/>
      <c r="ADR755" s="23"/>
      <c r="ADS755" s="23"/>
      <c r="ADT755" s="23"/>
      <c r="ADU755" s="23"/>
      <c r="ADV755" s="23"/>
      <c r="ADW755" s="23"/>
      <c r="ADX755" s="23"/>
      <c r="ADY755" s="23"/>
      <c r="ADZ755" s="23"/>
      <c r="AEA755" s="23"/>
      <c r="AEB755" s="23"/>
      <c r="AEC755" s="23"/>
      <c r="AED755" s="23"/>
      <c r="AEE755" s="23"/>
      <c r="AEF755" s="23"/>
      <c r="AEG755" s="23"/>
      <c r="AEH755" s="23"/>
      <c r="AEI755" s="23"/>
      <c r="AEJ755" s="23"/>
      <c r="AEK755" s="23"/>
      <c r="AEL755" s="23"/>
      <c r="AEM755" s="23"/>
      <c r="AEN755" s="23"/>
      <c r="AEO755" s="23"/>
      <c r="AEP755" s="23"/>
      <c r="AEQ755" s="23"/>
      <c r="AER755" s="23"/>
      <c r="AES755" s="23"/>
      <c r="AET755" s="23"/>
      <c r="AEU755" s="23"/>
      <c r="AEV755" s="23"/>
      <c r="AEW755" s="23"/>
      <c r="AEX755" s="23"/>
      <c r="AEY755" s="23"/>
      <c r="AEZ755" s="23"/>
      <c r="AFA755" s="23"/>
      <c r="AFB755" s="23"/>
      <c r="AFC755" s="23"/>
      <c r="AFD755" s="23"/>
      <c r="AFE755" s="23"/>
      <c r="AFF755" s="23"/>
      <c r="AFG755" s="23"/>
      <c r="AFH755" s="23"/>
      <c r="AFI755" s="23"/>
      <c r="AFJ755" s="23"/>
      <c r="AFK755" s="23"/>
      <c r="AFL755" s="23"/>
      <c r="AFM755" s="23"/>
      <c r="AFN755" s="23"/>
      <c r="AFO755" s="23"/>
      <c r="AFP755" s="23"/>
      <c r="AFQ755" s="23"/>
      <c r="AFR755" s="23"/>
      <c r="AFS755" s="23"/>
      <c r="AFT755" s="23"/>
      <c r="AFU755" s="23"/>
      <c r="AFV755" s="23"/>
      <c r="AFW755" s="23"/>
      <c r="AFX755" s="23"/>
      <c r="AFY755" s="23"/>
      <c r="AFZ755" s="23"/>
      <c r="AGA755" s="23"/>
      <c r="AGB755" s="23"/>
      <c r="AGC755" s="23"/>
      <c r="AGD755" s="23"/>
      <c r="AGE755" s="23"/>
      <c r="AGF755" s="23"/>
      <c r="AGG755" s="23"/>
      <c r="AGH755" s="23"/>
      <c r="AGI755" s="23"/>
      <c r="AGJ755" s="23"/>
      <c r="AGK755" s="23"/>
      <c r="AGL755" s="23"/>
      <c r="AGM755" s="23"/>
      <c r="AGN755" s="23"/>
      <c r="AGO755" s="23"/>
      <c r="AGP755" s="23"/>
      <c r="AGQ755" s="23"/>
      <c r="AGR755" s="23"/>
      <c r="AGS755" s="23"/>
      <c r="AGT755" s="23"/>
      <c r="AGU755" s="23"/>
      <c r="AGV755" s="23"/>
      <c r="AGW755" s="23"/>
      <c r="AGX755" s="23"/>
      <c r="AGY755" s="23"/>
      <c r="AGZ755" s="23"/>
      <c r="AHA755" s="23"/>
      <c r="AHB755" s="23"/>
      <c r="AHC755" s="23"/>
      <c r="AHD755" s="23"/>
      <c r="AHE755" s="23"/>
      <c r="AHF755" s="23"/>
      <c r="AHG755" s="23"/>
      <c r="AHH755" s="23"/>
      <c r="AHI755" s="23"/>
      <c r="AHJ755" s="23"/>
      <c r="AHK755" s="23"/>
      <c r="AHL755" s="23"/>
      <c r="AHM755" s="23"/>
      <c r="AHN755" s="23"/>
      <c r="AHO755" s="23"/>
      <c r="AHP755" s="23"/>
      <c r="AHQ755" s="23"/>
      <c r="AHR755" s="23"/>
      <c r="AHS755" s="23"/>
      <c r="AHT755" s="23"/>
      <c r="AHU755" s="23"/>
      <c r="AHV755" s="23"/>
      <c r="AHW755" s="23"/>
      <c r="AHX755" s="23"/>
      <c r="AHY755" s="23"/>
      <c r="AHZ755" s="23"/>
      <c r="AIA755" s="23"/>
      <c r="AIB755" s="23"/>
      <c r="AIC755" s="23"/>
      <c r="AID755" s="23"/>
      <c r="AIE755" s="23"/>
      <c r="AIF755" s="23"/>
      <c r="AIG755" s="23"/>
      <c r="AIH755" s="23"/>
      <c r="AII755" s="23"/>
      <c r="AIJ755" s="23"/>
      <c r="AIK755" s="23"/>
      <c r="AIL755" s="23"/>
      <c r="AIM755" s="23"/>
      <c r="AIN755" s="23"/>
      <c r="AIO755" s="23"/>
      <c r="AIP755" s="23"/>
      <c r="AIQ755" s="23"/>
      <c r="AIR755" s="23"/>
      <c r="AIS755" s="23"/>
      <c r="AIT755" s="23"/>
      <c r="AIU755" s="23"/>
      <c r="AIV755" s="23"/>
      <c r="AIW755" s="23"/>
      <c r="AIX755" s="23"/>
      <c r="AIY755" s="23"/>
      <c r="AIZ755" s="23"/>
      <c r="AJA755" s="23"/>
      <c r="AJB755" s="23"/>
      <c r="AJC755" s="23"/>
      <c r="AJD755" s="23"/>
      <c r="AJE755" s="23"/>
      <c r="AJF755" s="23"/>
      <c r="AJG755" s="23"/>
      <c r="AJH755" s="23"/>
      <c r="AJI755" s="23"/>
      <c r="AJJ755" s="23"/>
      <c r="AJK755" s="23"/>
      <c r="AJL755" s="23"/>
      <c r="AJM755" s="23"/>
      <c r="AJN755" s="23"/>
      <c r="AJO755" s="23"/>
      <c r="AJP755" s="23"/>
      <c r="AJQ755" s="23"/>
      <c r="AJR755" s="23"/>
      <c r="AJS755" s="23"/>
      <c r="AJT755" s="23"/>
      <c r="AJU755" s="23"/>
      <c r="AJV755" s="23"/>
      <c r="AJW755" s="23"/>
      <c r="AJX755" s="23"/>
      <c r="AJY755" s="23"/>
      <c r="AJZ755" s="23"/>
      <c r="AKA755" s="23"/>
      <c r="AKB755" s="23"/>
      <c r="AKC755" s="23"/>
      <c r="AKD755" s="23"/>
      <c r="AKE755" s="23"/>
      <c r="AKF755" s="23"/>
      <c r="AKG755" s="23"/>
      <c r="AKH755" s="23"/>
      <c r="AKI755" s="23"/>
      <c r="AKJ755" s="23"/>
      <c r="AKK755" s="23"/>
      <c r="AKL755" s="23"/>
      <c r="AKM755" s="23"/>
      <c r="AKN755" s="23"/>
      <c r="AKO755" s="23"/>
      <c r="AKP755" s="23"/>
      <c r="AKQ755" s="23"/>
      <c r="AKR755" s="23"/>
      <c r="AKS755" s="23"/>
      <c r="AKT755" s="23"/>
      <c r="AKU755" s="23"/>
      <c r="AKV755" s="23"/>
      <c r="AKW755" s="23"/>
      <c r="AKX755" s="23"/>
      <c r="AKY755" s="23"/>
      <c r="AKZ755" s="23"/>
      <c r="ALA755" s="23"/>
      <c r="ALB755" s="23"/>
      <c r="ALC755" s="23"/>
      <c r="ALD755" s="23"/>
      <c r="ALE755" s="23"/>
      <c r="ALF755" s="23"/>
      <c r="ALG755" s="23"/>
      <c r="ALH755" s="23"/>
      <c r="ALI755" s="23"/>
      <c r="ALJ755" s="23"/>
      <c r="ALK755" s="23"/>
      <c r="ALL755" s="23"/>
      <c r="ALM755" s="23"/>
      <c r="ALN755" s="23"/>
      <c r="ALO755" s="23"/>
      <c r="ALP755" s="23"/>
      <c r="ALQ755" s="23"/>
      <c r="ALR755" s="23"/>
      <c r="ALS755" s="23"/>
      <c r="ALT755" s="23"/>
      <c r="ALU755" s="23"/>
      <c r="ALV755" s="23"/>
      <c r="ALW755" s="23"/>
      <c r="ALX755" s="23"/>
      <c r="ALY755" s="23"/>
      <c r="ALZ755" s="23"/>
      <c r="AMA755" s="23"/>
      <c r="AMB755" s="23"/>
      <c r="AMC755" s="23"/>
      <c r="AMD755" s="23"/>
      <c r="AME755" s="23"/>
      <c r="AMF755" s="23"/>
      <c r="AMG755" s="23"/>
      <c r="AMH755" s="23"/>
      <c r="AMI755" s="23"/>
      <c r="AMJ755" s="23"/>
      <c r="AMK755" s="23"/>
      <c r="AML755" s="23"/>
      <c r="AMM755" s="23"/>
      <c r="AMN755" s="23"/>
      <c r="AMO755" s="23"/>
      <c r="AMP755" s="23"/>
      <c r="AMQ755" s="23"/>
      <c r="AMR755" s="23"/>
      <c r="AMS755" s="23"/>
      <c r="AMT755" s="23"/>
      <c r="AMU755" s="23"/>
      <c r="AMV755" s="23"/>
      <c r="AMW755" s="23"/>
      <c r="AMX755" s="23"/>
      <c r="AMY755" s="23"/>
      <c r="AMZ755" s="23"/>
      <c r="ANA755" s="23"/>
      <c r="ANB755" s="23"/>
      <c r="ANC755" s="23"/>
      <c r="AND755" s="23"/>
      <c r="ANE755" s="23"/>
      <c r="ANF755" s="23"/>
      <c r="ANG755" s="23"/>
      <c r="ANH755" s="23"/>
      <c r="ANI755" s="23"/>
      <c r="ANJ755" s="23"/>
      <c r="ANK755" s="23"/>
      <c r="ANL755" s="23"/>
      <c r="ANM755" s="23"/>
      <c r="ANN755" s="23"/>
      <c r="ANO755" s="23"/>
      <c r="ANP755" s="23"/>
      <c r="ANQ755" s="23"/>
      <c r="ANR755" s="23"/>
      <c r="ANS755" s="23"/>
      <c r="ANT755" s="23"/>
      <c r="ANU755" s="23"/>
      <c r="ANV755" s="23"/>
      <c r="ANW755" s="23"/>
      <c r="ANX755" s="23"/>
      <c r="ANY755" s="23"/>
      <c r="ANZ755" s="23"/>
      <c r="AOA755" s="23"/>
      <c r="AOB755" s="23"/>
      <c r="AOC755" s="23"/>
      <c r="AOD755" s="23"/>
      <c r="AOE755" s="23"/>
      <c r="AOF755" s="23"/>
      <c r="AOG755" s="23"/>
      <c r="AOH755" s="23"/>
      <c r="AOI755" s="23"/>
      <c r="AOJ755" s="23"/>
      <c r="AOK755" s="23"/>
      <c r="AOL755" s="23"/>
      <c r="AOM755" s="23"/>
      <c r="AON755" s="23"/>
      <c r="AOO755" s="23"/>
      <c r="AOP755" s="23"/>
      <c r="AOQ755" s="23"/>
      <c r="AOR755" s="23"/>
      <c r="AOS755" s="23"/>
      <c r="AOT755" s="23"/>
      <c r="AOU755" s="23"/>
      <c r="AOV755" s="23"/>
      <c r="AOW755" s="23"/>
      <c r="AOX755" s="23"/>
      <c r="AOY755" s="23"/>
      <c r="AOZ755" s="23"/>
      <c r="APA755" s="23"/>
      <c r="APB755" s="23"/>
      <c r="APC755" s="23"/>
      <c r="APD755" s="23"/>
      <c r="APE755" s="23"/>
      <c r="APF755" s="23"/>
      <c r="APG755" s="23"/>
      <c r="APH755" s="23"/>
      <c r="API755" s="23"/>
      <c r="APJ755" s="23"/>
      <c r="APK755" s="23"/>
      <c r="APL755" s="23"/>
      <c r="APM755" s="23"/>
      <c r="APN755" s="23"/>
      <c r="APO755" s="23"/>
      <c r="APP755" s="23"/>
      <c r="APQ755" s="23"/>
      <c r="APR755" s="23"/>
      <c r="APS755" s="23"/>
      <c r="APT755" s="23"/>
      <c r="APU755" s="23"/>
      <c r="APV755" s="23"/>
      <c r="APW755" s="23"/>
      <c r="APX755" s="23"/>
      <c r="APY755" s="23"/>
      <c r="APZ755" s="23"/>
      <c r="AQA755" s="23"/>
      <c r="AQB755" s="23"/>
      <c r="AQC755" s="23"/>
      <c r="AQD755" s="23"/>
      <c r="AQE755" s="23"/>
      <c r="AQF755" s="23"/>
      <c r="AQG755" s="23"/>
      <c r="AQH755" s="23"/>
      <c r="AQI755" s="23"/>
      <c r="AQJ755" s="23"/>
      <c r="AQK755" s="23"/>
      <c r="AQL755" s="23"/>
      <c r="AQM755" s="23"/>
      <c r="AQN755" s="23"/>
      <c r="AQO755" s="23"/>
      <c r="AQP755" s="23"/>
      <c r="AQQ755" s="23"/>
      <c r="AQR755" s="23"/>
      <c r="AQS755" s="23"/>
      <c r="AQT755" s="23"/>
      <c r="AQU755" s="23"/>
      <c r="AQV755" s="23"/>
      <c r="AQW755" s="23"/>
      <c r="AQX755" s="23"/>
      <c r="AQY755" s="23"/>
      <c r="AQZ755" s="23"/>
      <c r="ARA755" s="23"/>
      <c r="ARB755" s="23"/>
      <c r="ARC755" s="23"/>
      <c r="ARD755" s="23"/>
      <c r="ARE755" s="23"/>
      <c r="ARF755" s="23"/>
      <c r="ARG755" s="23"/>
      <c r="ARH755" s="23"/>
      <c r="ARI755" s="23"/>
      <c r="ARJ755" s="23"/>
      <c r="ARK755" s="23"/>
      <c r="ARL755" s="23"/>
      <c r="ARM755" s="23"/>
      <c r="ARN755" s="23"/>
      <c r="ARO755" s="23"/>
      <c r="ARP755" s="23"/>
      <c r="ARQ755" s="23"/>
      <c r="ARR755" s="23"/>
      <c r="ARS755" s="23"/>
      <c r="ART755" s="23"/>
      <c r="ARU755" s="23"/>
      <c r="ARV755" s="23"/>
      <c r="ARW755" s="23"/>
      <c r="ARX755" s="23"/>
      <c r="ARY755" s="23"/>
      <c r="ARZ755" s="23"/>
      <c r="ASA755" s="23"/>
      <c r="ASB755" s="23"/>
      <c r="ASC755" s="23"/>
      <c r="ASD755" s="23"/>
      <c r="ASE755" s="23"/>
      <c r="ASF755" s="23"/>
      <c r="ASG755" s="23"/>
      <c r="ASH755" s="23"/>
      <c r="ASI755" s="23"/>
      <c r="ASJ755" s="23"/>
      <c r="ASK755" s="23"/>
      <c r="ASL755" s="23"/>
      <c r="ASM755" s="23"/>
      <c r="ASN755" s="23"/>
      <c r="ASO755" s="23"/>
      <c r="ASP755" s="23"/>
      <c r="ASQ755" s="23"/>
      <c r="ASR755" s="23"/>
      <c r="ASS755" s="23"/>
      <c r="AST755" s="23"/>
      <c r="ASU755" s="23"/>
      <c r="ASV755" s="23"/>
      <c r="ASW755" s="23"/>
      <c r="ASX755" s="23"/>
      <c r="ASY755" s="23"/>
      <c r="ASZ755" s="23"/>
      <c r="ATA755" s="23"/>
      <c r="ATB755" s="23"/>
      <c r="ATC755" s="23"/>
      <c r="ATD755" s="23"/>
      <c r="ATE755" s="23"/>
      <c r="ATF755" s="23"/>
      <c r="ATG755" s="23"/>
      <c r="ATH755" s="23"/>
      <c r="ATI755" s="23"/>
      <c r="ATJ755" s="23"/>
      <c r="ATK755" s="23"/>
      <c r="ATL755" s="23"/>
      <c r="ATM755" s="23"/>
      <c r="ATN755" s="23"/>
      <c r="ATO755" s="23"/>
      <c r="ATP755" s="23"/>
      <c r="ATQ755" s="23"/>
      <c r="ATR755" s="23"/>
      <c r="ATS755" s="23"/>
      <c r="ATT755" s="23"/>
      <c r="ATU755" s="23"/>
      <c r="ATV755" s="23"/>
      <c r="ATW755" s="23"/>
      <c r="ATX755" s="23"/>
      <c r="ATY755" s="23"/>
      <c r="ATZ755" s="23"/>
      <c r="AUA755" s="23"/>
      <c r="AUB755" s="23"/>
      <c r="AUC755" s="23"/>
      <c r="AUD755" s="23"/>
      <c r="AUE755" s="23"/>
      <c r="AUF755" s="23"/>
      <c r="AUG755" s="23"/>
      <c r="AUH755" s="23"/>
      <c r="AUI755" s="23"/>
      <c r="AUJ755" s="23"/>
      <c r="AUK755" s="23"/>
      <c r="AUL755" s="23"/>
      <c r="AUM755" s="23"/>
      <c r="AUN755" s="23"/>
      <c r="AUO755" s="23"/>
      <c r="AUP755" s="23"/>
      <c r="AUQ755" s="23"/>
      <c r="AUR755" s="23"/>
      <c r="AUS755" s="23"/>
      <c r="AUT755" s="23"/>
      <c r="AUU755" s="23"/>
      <c r="AUV755" s="23"/>
      <c r="AUW755" s="23"/>
      <c r="AUX755" s="23"/>
      <c r="AUY755" s="23"/>
      <c r="AUZ755" s="23"/>
      <c r="AVA755" s="23"/>
      <c r="AVB755" s="23"/>
      <c r="AVC755" s="23"/>
      <c r="AVD755" s="23"/>
      <c r="AVE755" s="23"/>
      <c r="AVF755" s="23"/>
      <c r="AVG755" s="23"/>
      <c r="AVH755" s="23"/>
      <c r="AVI755" s="23"/>
      <c r="AVJ755" s="23"/>
      <c r="AVK755" s="23"/>
      <c r="AVL755" s="23"/>
      <c r="AVM755" s="23"/>
      <c r="AVN755" s="23"/>
      <c r="AVO755" s="23"/>
      <c r="AVP755" s="23"/>
      <c r="AVQ755" s="23"/>
      <c r="AVR755" s="23"/>
      <c r="AVS755" s="23"/>
      <c r="AVT755" s="23"/>
      <c r="AVU755" s="23"/>
      <c r="AVV755" s="23"/>
      <c r="AVW755" s="23"/>
      <c r="AVX755" s="23"/>
      <c r="AVY755" s="23"/>
      <c r="AVZ755" s="23"/>
      <c r="AWA755" s="23"/>
      <c r="AWB755" s="23"/>
      <c r="AWC755" s="23"/>
      <c r="AWD755" s="23"/>
      <c r="AWE755" s="23"/>
      <c r="AWF755" s="23"/>
      <c r="AWG755" s="23"/>
      <c r="AWH755" s="23"/>
      <c r="AWI755" s="23"/>
      <c r="AWJ755" s="23"/>
      <c r="AWK755" s="23"/>
      <c r="AWL755" s="23"/>
      <c r="AWM755" s="23"/>
      <c r="AWN755" s="23"/>
      <c r="AWO755" s="23"/>
      <c r="AWP755" s="23"/>
      <c r="AWQ755" s="23"/>
      <c r="AWR755" s="23"/>
      <c r="AWS755" s="23"/>
      <c r="AWT755" s="23"/>
      <c r="AWU755" s="23"/>
      <c r="AWV755" s="23"/>
      <c r="AWW755" s="23"/>
      <c r="AWX755" s="23"/>
      <c r="AWY755" s="23"/>
      <c r="AWZ755" s="23"/>
      <c r="AXA755" s="23"/>
      <c r="AXB755" s="23"/>
      <c r="AXC755" s="23"/>
      <c r="AXD755" s="23"/>
      <c r="AXE755" s="23"/>
      <c r="AXF755" s="23"/>
      <c r="AXG755" s="23"/>
      <c r="AXH755" s="23"/>
      <c r="AXI755" s="23"/>
      <c r="AXJ755" s="23"/>
      <c r="AXK755" s="23"/>
      <c r="AXL755" s="23"/>
      <c r="AXM755" s="23"/>
      <c r="AXN755" s="23"/>
      <c r="AXO755" s="23"/>
      <c r="AXP755" s="23"/>
      <c r="AXQ755" s="23"/>
      <c r="AXR755" s="23"/>
      <c r="AXS755" s="23"/>
      <c r="AXT755" s="23"/>
      <c r="AXU755" s="23"/>
      <c r="AXV755" s="23"/>
      <c r="AXW755" s="23"/>
      <c r="AXX755" s="23"/>
      <c r="AXY755" s="23"/>
      <c r="AXZ755" s="23"/>
      <c r="AYA755" s="23"/>
      <c r="AYB755" s="23"/>
      <c r="AYC755" s="23"/>
      <c r="AYD755" s="23"/>
      <c r="AYE755" s="23"/>
      <c r="AYF755" s="23"/>
      <c r="AYG755" s="23"/>
      <c r="AYH755" s="23"/>
      <c r="AYI755" s="23"/>
      <c r="AYJ755" s="23"/>
      <c r="AYK755" s="23"/>
      <c r="AYL755" s="23"/>
      <c r="AYM755" s="23"/>
      <c r="AYN755" s="23"/>
      <c r="AYO755" s="23"/>
      <c r="AYP755" s="23"/>
      <c r="AYQ755" s="23"/>
      <c r="AYR755" s="23"/>
      <c r="AYS755" s="23"/>
      <c r="AYT755" s="23"/>
      <c r="AYU755" s="23"/>
      <c r="AYV755" s="23"/>
      <c r="AYW755" s="23"/>
      <c r="AYX755" s="23"/>
      <c r="AYY755" s="23"/>
      <c r="AYZ755" s="23"/>
      <c r="AZA755" s="23"/>
      <c r="AZB755" s="23"/>
      <c r="AZC755" s="23"/>
      <c r="AZD755" s="23"/>
      <c r="AZE755" s="23"/>
      <c r="AZF755" s="23"/>
      <c r="AZG755" s="23"/>
      <c r="AZH755" s="23"/>
      <c r="AZI755" s="23"/>
      <c r="AZJ755" s="23"/>
      <c r="AZK755" s="23"/>
      <c r="AZL755" s="23"/>
      <c r="AZM755" s="23"/>
      <c r="AZN755" s="23"/>
      <c r="AZO755" s="23"/>
      <c r="AZP755" s="23"/>
      <c r="AZQ755" s="23"/>
      <c r="AZR755" s="23"/>
      <c r="AZS755" s="23"/>
      <c r="AZT755" s="23"/>
      <c r="AZU755" s="23"/>
      <c r="AZV755" s="23"/>
      <c r="AZW755" s="23"/>
      <c r="AZX755" s="23"/>
      <c r="AZY755" s="23"/>
      <c r="AZZ755" s="23"/>
      <c r="BAA755" s="23"/>
      <c r="BAB755" s="23"/>
      <c r="BAC755" s="23"/>
      <c r="BAD755" s="23"/>
      <c r="BAE755" s="23"/>
      <c r="BAF755" s="23"/>
      <c r="BAG755" s="23"/>
      <c r="BAH755" s="23"/>
      <c r="BAI755" s="23"/>
      <c r="BAJ755" s="23"/>
      <c r="BAK755" s="23"/>
      <c r="BAL755" s="23"/>
      <c r="BAM755" s="23"/>
      <c r="BAN755" s="23"/>
      <c r="BAO755" s="23"/>
      <c r="BAP755" s="23"/>
      <c r="BAQ755" s="23"/>
      <c r="BAR755" s="23"/>
      <c r="BAS755" s="23"/>
      <c r="BAT755" s="23"/>
      <c r="BAU755" s="23"/>
      <c r="BAV755" s="23"/>
      <c r="BAW755" s="23"/>
      <c r="BAX755" s="23"/>
      <c r="BAY755" s="23"/>
      <c r="BAZ755" s="23"/>
      <c r="BBA755" s="23"/>
      <c r="BBB755" s="23"/>
      <c r="BBC755" s="23"/>
      <c r="BBD755" s="23"/>
      <c r="BBE755" s="23"/>
      <c r="BBF755" s="23"/>
      <c r="BBG755" s="23"/>
      <c r="BBH755" s="23"/>
      <c r="BBI755" s="23"/>
      <c r="BBJ755" s="23"/>
      <c r="BBK755" s="23"/>
      <c r="BBL755" s="23"/>
      <c r="BBM755" s="23"/>
      <c r="BBN755" s="23"/>
      <c r="BBO755" s="23"/>
      <c r="BBP755" s="23"/>
      <c r="BBQ755" s="23"/>
      <c r="BBR755" s="23"/>
      <c r="BBS755" s="23"/>
      <c r="BBT755" s="23"/>
      <c r="BBU755" s="23"/>
      <c r="BBV755" s="23"/>
      <c r="BBW755" s="23"/>
      <c r="BBX755" s="23"/>
      <c r="BBY755" s="23"/>
      <c r="BBZ755" s="23"/>
      <c r="BCA755" s="23"/>
      <c r="BCB755" s="23"/>
      <c r="BCC755" s="23"/>
      <c r="BCD755" s="23"/>
      <c r="BCE755" s="23"/>
      <c r="BCF755" s="23"/>
      <c r="BCG755" s="23"/>
      <c r="BCH755" s="23"/>
      <c r="BCI755" s="23"/>
      <c r="BCJ755" s="23"/>
      <c r="BCK755" s="23"/>
      <c r="BCL755" s="23"/>
      <c r="BCM755" s="23"/>
      <c r="BCN755" s="23"/>
      <c r="BCO755" s="23"/>
      <c r="BCP755" s="23"/>
      <c r="BCQ755" s="23"/>
      <c r="BCR755" s="23"/>
      <c r="BCS755" s="23"/>
      <c r="BCT755" s="23"/>
      <c r="BCU755" s="23"/>
      <c r="BCV755" s="23"/>
      <c r="BCW755" s="23"/>
      <c r="BCX755" s="23"/>
      <c r="BCY755" s="23"/>
      <c r="BCZ755" s="23"/>
      <c r="BDA755" s="23"/>
      <c r="BDB755" s="23"/>
      <c r="BDC755" s="23"/>
      <c r="BDD755" s="23"/>
      <c r="BDE755" s="23"/>
      <c r="BDF755" s="23"/>
      <c r="BDG755" s="23"/>
      <c r="BDH755" s="23"/>
      <c r="BDI755" s="23"/>
      <c r="BDJ755" s="23"/>
      <c r="BDK755" s="23"/>
      <c r="BDL755" s="23"/>
      <c r="BDM755" s="23"/>
      <c r="BDN755" s="23"/>
      <c r="BDO755" s="23"/>
      <c r="BDP755" s="23"/>
      <c r="BDQ755" s="23"/>
      <c r="BDR755" s="23"/>
      <c r="BDS755" s="23"/>
      <c r="BDT755" s="23"/>
      <c r="BDU755" s="23"/>
      <c r="BDV755" s="23"/>
      <c r="BDW755" s="23"/>
      <c r="BDX755" s="23"/>
      <c r="BDY755" s="23"/>
      <c r="BDZ755" s="23"/>
      <c r="BEA755" s="23"/>
      <c r="BEB755" s="23"/>
      <c r="BEC755" s="23"/>
      <c r="BED755" s="23"/>
      <c r="BEE755" s="23"/>
      <c r="BEF755" s="23"/>
      <c r="BEG755" s="23"/>
      <c r="BEH755" s="23"/>
      <c r="BEI755" s="23"/>
      <c r="BEJ755" s="23"/>
      <c r="BEK755" s="23"/>
      <c r="BEL755" s="23"/>
      <c r="BEM755" s="23"/>
      <c r="BEN755" s="23"/>
      <c r="BEO755" s="23"/>
      <c r="BEP755" s="23"/>
      <c r="BEQ755" s="23"/>
      <c r="BER755" s="23"/>
      <c r="BES755" s="23"/>
      <c r="BET755" s="23"/>
      <c r="BEU755" s="23"/>
      <c r="BEV755" s="23"/>
      <c r="BEW755" s="23"/>
      <c r="BEX755" s="23"/>
      <c r="BEY755" s="23"/>
      <c r="BEZ755" s="23"/>
      <c r="BFA755" s="23"/>
      <c r="BFB755" s="23"/>
      <c r="BFC755" s="23"/>
      <c r="BFD755" s="23"/>
      <c r="BFE755" s="23"/>
      <c r="BFF755" s="23"/>
      <c r="BFG755" s="23"/>
      <c r="BFH755" s="23"/>
      <c r="BFI755" s="23"/>
      <c r="BFJ755" s="23"/>
      <c r="BFK755" s="23"/>
      <c r="BFL755" s="23"/>
      <c r="BFM755" s="23"/>
      <c r="BFN755" s="23"/>
      <c r="BFO755" s="23"/>
      <c r="BFP755" s="23"/>
      <c r="BFQ755" s="23"/>
      <c r="BFR755" s="23"/>
      <c r="BFS755" s="23"/>
      <c r="BFT755" s="23"/>
      <c r="BFU755" s="23"/>
      <c r="BFV755" s="23"/>
      <c r="BFW755" s="23"/>
      <c r="BFX755" s="23"/>
      <c r="BFY755" s="23"/>
      <c r="BFZ755" s="23"/>
      <c r="BGA755" s="23"/>
      <c r="BGB755" s="23"/>
      <c r="BGC755" s="23"/>
      <c r="BGD755" s="23"/>
      <c r="BGE755" s="23"/>
      <c r="BGF755" s="23"/>
      <c r="BGG755" s="23"/>
      <c r="BGH755" s="23"/>
      <c r="BGI755" s="23"/>
      <c r="BGJ755" s="23"/>
      <c r="BGK755" s="23"/>
      <c r="BGL755" s="23"/>
      <c r="BGM755" s="23"/>
      <c r="BGN755" s="23"/>
      <c r="BGO755" s="23"/>
      <c r="BGP755" s="23"/>
      <c r="BGQ755" s="23"/>
      <c r="BGR755" s="23"/>
      <c r="BGS755" s="23"/>
      <c r="BGT755" s="23"/>
      <c r="BGU755" s="23"/>
      <c r="BGV755" s="23"/>
      <c r="BGW755" s="23"/>
      <c r="BGX755" s="23"/>
      <c r="BGY755" s="23"/>
      <c r="BGZ755" s="23"/>
      <c r="BHA755" s="23"/>
      <c r="BHB755" s="23"/>
      <c r="BHC755" s="23"/>
      <c r="BHD755" s="23"/>
      <c r="BHE755" s="23"/>
      <c r="BHF755" s="23"/>
      <c r="BHG755" s="23"/>
      <c r="BHH755" s="23"/>
      <c r="BHI755" s="23"/>
      <c r="BHJ755" s="23"/>
      <c r="BHK755" s="23"/>
      <c r="BHL755" s="23"/>
      <c r="BHM755" s="23"/>
      <c r="BHN755" s="23"/>
      <c r="BHO755" s="23"/>
      <c r="BHP755" s="23"/>
      <c r="BHQ755" s="23"/>
      <c r="BHR755" s="23"/>
      <c r="BHS755" s="23"/>
      <c r="BHT755" s="23"/>
      <c r="BHU755" s="23"/>
      <c r="BHV755" s="23"/>
      <c r="BHW755" s="23"/>
      <c r="BHX755" s="23"/>
      <c r="BHY755" s="23"/>
      <c r="BHZ755" s="23"/>
      <c r="BIA755" s="23"/>
      <c r="BIB755" s="23"/>
      <c r="BIC755" s="23"/>
      <c r="BID755" s="23"/>
      <c r="BIE755" s="23"/>
      <c r="BIF755" s="23"/>
      <c r="BIG755" s="23"/>
      <c r="BIH755" s="23"/>
      <c r="BII755" s="23"/>
      <c r="BIJ755" s="23"/>
      <c r="BIK755" s="23"/>
      <c r="BIL755" s="23"/>
      <c r="BIM755" s="23"/>
      <c r="BIN755" s="23"/>
      <c r="BIO755" s="23"/>
      <c r="BIP755" s="23"/>
      <c r="BIQ755" s="23"/>
      <c r="BIR755" s="23"/>
      <c r="BIS755" s="23"/>
      <c r="BIT755" s="23"/>
      <c r="BIU755" s="23"/>
      <c r="BIV755" s="23"/>
      <c r="BIW755" s="23"/>
      <c r="BIX755" s="23"/>
      <c r="BIY755" s="23"/>
      <c r="BIZ755" s="23"/>
      <c r="BJA755" s="23"/>
      <c r="BJB755" s="23"/>
      <c r="BJC755" s="23"/>
      <c r="BJD755" s="23"/>
      <c r="BJE755" s="23"/>
      <c r="BJF755" s="23"/>
      <c r="BJG755" s="23"/>
      <c r="BJH755" s="23"/>
      <c r="BJI755" s="23"/>
      <c r="BJJ755" s="23"/>
      <c r="BJK755" s="23"/>
      <c r="BJL755" s="23"/>
      <c r="BJM755" s="23"/>
      <c r="BJN755" s="23"/>
      <c r="BJO755" s="23"/>
      <c r="BJP755" s="23"/>
      <c r="BJQ755" s="23"/>
      <c r="BJR755" s="23"/>
      <c r="BJS755" s="23"/>
      <c r="BJT755" s="23"/>
      <c r="BJU755" s="23"/>
      <c r="BJV755" s="23"/>
      <c r="BJW755" s="23"/>
      <c r="BJX755" s="23"/>
      <c r="BJY755" s="23"/>
      <c r="BJZ755" s="23"/>
      <c r="BKA755" s="23"/>
      <c r="BKB755" s="23"/>
      <c r="BKC755" s="23"/>
      <c r="BKD755" s="23"/>
      <c r="BKE755" s="23"/>
      <c r="BKF755" s="23"/>
      <c r="BKG755" s="23"/>
      <c r="BKH755" s="23"/>
      <c r="BKI755" s="23"/>
      <c r="BKJ755" s="23"/>
      <c r="BKK755" s="23"/>
      <c r="BKL755" s="23"/>
      <c r="BKM755" s="23"/>
      <c r="BKN755" s="23"/>
      <c r="BKO755" s="23"/>
      <c r="BKP755" s="23"/>
      <c r="BKQ755" s="23"/>
      <c r="BKR755" s="23"/>
      <c r="BKS755" s="23"/>
      <c r="BKT755" s="23"/>
      <c r="BKU755" s="23"/>
      <c r="BKV755" s="23"/>
      <c r="BKW755" s="23"/>
      <c r="BKX755" s="23"/>
      <c r="BKY755" s="23"/>
      <c r="BKZ755" s="23"/>
      <c r="BLA755" s="23"/>
      <c r="BLB755" s="23"/>
      <c r="BLC755" s="23"/>
      <c r="BLD755" s="23"/>
      <c r="BLE755" s="23"/>
      <c r="BLF755" s="23"/>
      <c r="BLG755" s="23"/>
      <c r="BLH755" s="23"/>
      <c r="BLI755" s="23"/>
      <c r="BLJ755" s="23"/>
      <c r="BLK755" s="23"/>
      <c r="BLL755" s="23"/>
      <c r="BLM755" s="23"/>
      <c r="BLN755" s="23"/>
      <c r="BLO755" s="23"/>
      <c r="BLP755" s="23"/>
      <c r="BLQ755" s="23"/>
      <c r="BLR755" s="23"/>
      <c r="BLS755" s="23"/>
      <c r="BLT755" s="23"/>
      <c r="BLU755" s="23"/>
      <c r="BLV755" s="23"/>
      <c r="BLW755" s="23"/>
      <c r="BLX755" s="23"/>
      <c r="BLY755" s="23"/>
      <c r="BLZ755" s="23"/>
      <c r="BMA755" s="23"/>
      <c r="BMB755" s="23"/>
      <c r="BMC755" s="23"/>
      <c r="BMD755" s="23"/>
      <c r="BME755" s="23"/>
      <c r="BMF755" s="23"/>
      <c r="BMG755" s="23"/>
      <c r="BMH755" s="23"/>
      <c r="BMI755" s="23"/>
      <c r="BMJ755" s="23"/>
      <c r="BMK755" s="23"/>
      <c r="BML755" s="23"/>
      <c r="BMM755" s="23"/>
      <c r="BMN755" s="23"/>
      <c r="BMO755" s="23"/>
      <c r="BMP755" s="23"/>
      <c r="BMQ755" s="23"/>
      <c r="BMR755" s="23"/>
      <c r="BMS755" s="23"/>
      <c r="BMT755" s="23"/>
      <c r="BMU755" s="23"/>
      <c r="BMV755" s="23"/>
      <c r="BMW755" s="23"/>
      <c r="BMX755" s="23"/>
      <c r="BMY755" s="23"/>
      <c r="BMZ755" s="23"/>
      <c r="BNA755" s="23"/>
      <c r="BNB755" s="23"/>
      <c r="BNC755" s="23"/>
      <c r="BND755" s="23"/>
      <c r="BNE755" s="23"/>
      <c r="BNF755" s="23"/>
      <c r="BNG755" s="23"/>
      <c r="BNH755" s="23"/>
      <c r="BNI755" s="23"/>
      <c r="BNJ755" s="23"/>
      <c r="BNK755" s="23"/>
      <c r="BNL755" s="23"/>
      <c r="BNM755" s="23"/>
      <c r="BNN755" s="23"/>
      <c r="BNO755" s="23"/>
      <c r="BNP755" s="23"/>
      <c r="BNQ755" s="23"/>
      <c r="BNR755" s="23"/>
      <c r="BNS755" s="23"/>
      <c r="BNT755" s="23"/>
      <c r="BNU755" s="23"/>
      <c r="BNV755" s="23"/>
      <c r="BNW755" s="23"/>
      <c r="BNX755" s="23"/>
      <c r="BNY755" s="23"/>
      <c r="BNZ755" s="23"/>
      <c r="BOA755" s="23"/>
      <c r="BOB755" s="23"/>
      <c r="BOC755" s="23"/>
      <c r="BOD755" s="23"/>
      <c r="BOE755" s="23"/>
      <c r="BOF755" s="23"/>
      <c r="BOG755" s="23"/>
      <c r="BOH755" s="23"/>
      <c r="BOI755" s="23"/>
      <c r="BOJ755" s="23"/>
      <c r="BOK755" s="23"/>
      <c r="BOL755" s="23"/>
      <c r="BOM755" s="23"/>
      <c r="BON755" s="23"/>
      <c r="BOO755" s="23"/>
      <c r="BOP755" s="23"/>
      <c r="BOQ755" s="23"/>
      <c r="BOR755" s="23"/>
      <c r="BOS755" s="23"/>
      <c r="BOT755" s="23"/>
      <c r="BOU755" s="23"/>
      <c r="BOV755" s="23"/>
      <c r="BOW755" s="23"/>
      <c r="BOX755" s="23"/>
      <c r="BOY755" s="23"/>
      <c r="BOZ755" s="23"/>
      <c r="BPA755" s="23"/>
      <c r="BPB755" s="23"/>
      <c r="BPC755" s="23"/>
      <c r="BPD755" s="23"/>
      <c r="BPE755" s="23"/>
      <c r="BPF755" s="23"/>
      <c r="BPG755" s="23"/>
      <c r="BPH755" s="23"/>
      <c r="BPI755" s="23"/>
      <c r="BPJ755" s="23"/>
      <c r="BPK755" s="23"/>
      <c r="BPL755" s="23"/>
      <c r="BPM755" s="23"/>
      <c r="BPN755" s="23"/>
      <c r="BPO755" s="23"/>
      <c r="BPP755" s="23"/>
      <c r="BPQ755" s="23"/>
      <c r="BPR755" s="23"/>
      <c r="BPS755" s="23"/>
      <c r="BPT755" s="23"/>
      <c r="BPU755" s="23"/>
      <c r="BPV755" s="23"/>
      <c r="BPW755" s="23"/>
      <c r="BPX755" s="23"/>
      <c r="BPY755" s="23"/>
      <c r="BPZ755" s="23"/>
      <c r="BQA755" s="23"/>
      <c r="BQB755" s="23"/>
      <c r="BQC755" s="23"/>
      <c r="BQD755" s="23"/>
      <c r="BQE755" s="23"/>
      <c r="BQF755" s="23"/>
      <c r="BQG755" s="23"/>
      <c r="BQH755" s="23"/>
      <c r="BQI755" s="23"/>
      <c r="BQJ755" s="23"/>
      <c r="BQK755" s="23"/>
      <c r="BQL755" s="23"/>
      <c r="BQM755" s="23"/>
      <c r="BQN755" s="23"/>
      <c r="BQO755" s="23"/>
      <c r="BQP755" s="23"/>
      <c r="BQQ755" s="23"/>
      <c r="BQR755" s="23"/>
      <c r="BQS755" s="23"/>
      <c r="BQT755" s="23"/>
      <c r="BQU755" s="23"/>
      <c r="BQV755" s="23"/>
      <c r="BQW755" s="23"/>
      <c r="BQX755" s="23"/>
      <c r="BQY755" s="23"/>
      <c r="BQZ755" s="23"/>
      <c r="BRA755" s="23"/>
      <c r="BRB755" s="23"/>
      <c r="BRC755" s="23"/>
      <c r="BRD755" s="23"/>
      <c r="BRE755" s="23"/>
      <c r="BRF755" s="23"/>
      <c r="BRG755" s="23"/>
      <c r="BRH755" s="23"/>
      <c r="BRI755" s="23"/>
      <c r="BRJ755" s="23"/>
      <c r="BRK755" s="23"/>
      <c r="BRL755" s="23"/>
      <c r="BRM755" s="23"/>
      <c r="BRN755" s="23"/>
      <c r="BRO755" s="23"/>
      <c r="BRP755" s="23"/>
      <c r="BRQ755" s="23"/>
      <c r="BRR755" s="23"/>
      <c r="BRS755" s="23"/>
      <c r="BRT755" s="23"/>
      <c r="BRU755" s="23"/>
      <c r="BRV755" s="23"/>
      <c r="BRW755" s="23"/>
      <c r="BRX755" s="23"/>
      <c r="BRY755" s="23"/>
      <c r="BRZ755" s="23"/>
      <c r="BSA755" s="23"/>
      <c r="BSB755" s="23"/>
      <c r="BSC755" s="23"/>
      <c r="BSD755" s="23"/>
      <c r="BSE755" s="23"/>
      <c r="BSF755" s="23"/>
      <c r="BSG755" s="23"/>
      <c r="BSH755" s="23"/>
      <c r="BSI755" s="23"/>
      <c r="BSJ755" s="23"/>
      <c r="BSK755" s="23"/>
      <c r="BSL755" s="23"/>
      <c r="BSM755" s="23"/>
      <c r="BSN755" s="23"/>
      <c r="BSO755" s="23"/>
      <c r="BSP755" s="23"/>
      <c r="BSQ755" s="23"/>
      <c r="BSR755" s="23"/>
      <c r="BSS755" s="23"/>
      <c r="BST755" s="23"/>
      <c r="BSU755" s="23"/>
      <c r="BSV755" s="23"/>
      <c r="BSW755" s="23"/>
      <c r="BSX755" s="23"/>
      <c r="BSY755" s="23"/>
      <c r="BSZ755" s="23"/>
      <c r="BTA755" s="23"/>
    </row>
    <row r="756" spans="1:1873" s="199" customFormat="1" x14ac:dyDescent="0.2">
      <c r="A756" s="283" t="s">
        <v>1389</v>
      </c>
      <c r="B756" s="249" t="s">
        <v>811</v>
      </c>
      <c r="C756" s="249" t="s">
        <v>1454</v>
      </c>
      <c r="D756" s="283" t="s">
        <v>619</v>
      </c>
      <c r="E756" s="306" t="s">
        <v>1392</v>
      </c>
      <c r="F756" s="283">
        <v>1</v>
      </c>
      <c r="G756" s="251">
        <v>9</v>
      </c>
      <c r="H756" s="251">
        <v>10</v>
      </c>
      <c r="I756" s="249" t="s">
        <v>807</v>
      </c>
      <c r="J756" s="249">
        <v>1995</v>
      </c>
      <c r="K756" s="249" t="s">
        <v>1211</v>
      </c>
      <c r="L756" s="249">
        <v>2003</v>
      </c>
      <c r="M756" s="253">
        <v>-9999</v>
      </c>
      <c r="N756" s="249">
        <v>-9999</v>
      </c>
      <c r="O756" s="18"/>
      <c r="P756" s="284">
        <f>+T756*G756</f>
        <v>220.68</v>
      </c>
      <c r="Q756" s="249">
        <v>-9999</v>
      </c>
      <c r="R756" s="253"/>
      <c r="S756" s="249"/>
      <c r="T756" s="426">
        <v>24.52</v>
      </c>
      <c r="U756" s="249">
        <v>-9999</v>
      </c>
      <c r="V756" s="249"/>
      <c r="W756" s="253">
        <v>-9999</v>
      </c>
      <c r="X756" s="249">
        <v>-9999</v>
      </c>
      <c r="Y756" s="249"/>
      <c r="Z756" s="249" t="s">
        <v>808</v>
      </c>
      <c r="AA756" s="384">
        <v>1075</v>
      </c>
      <c r="AB756" s="253">
        <v>1</v>
      </c>
      <c r="AC756" s="249">
        <v>-9999</v>
      </c>
      <c r="AD756" s="249">
        <v>18.600000000000001</v>
      </c>
      <c r="AE756" s="249" t="s">
        <v>1738</v>
      </c>
      <c r="AF756" s="249">
        <v>10</v>
      </c>
      <c r="AG756" s="249" t="s">
        <v>1741</v>
      </c>
      <c r="AH756" s="249" t="s">
        <v>1034</v>
      </c>
      <c r="AI756" s="249" t="s">
        <v>1739</v>
      </c>
      <c r="AJ756" s="249">
        <v>-9999</v>
      </c>
      <c r="AK756" s="249" t="s">
        <v>626</v>
      </c>
      <c r="AL756" s="249" t="s">
        <v>828</v>
      </c>
      <c r="AM756" s="249">
        <v>-9999</v>
      </c>
      <c r="AN756" s="249" t="s">
        <v>631</v>
      </c>
      <c r="AO756" s="249">
        <v>-9999</v>
      </c>
      <c r="AP756" s="249">
        <v>-9999</v>
      </c>
      <c r="AQ756" s="249" t="s">
        <v>631</v>
      </c>
      <c r="AR756" s="249">
        <v>0</v>
      </c>
      <c r="AS756" s="249">
        <v>-9999</v>
      </c>
      <c r="AT756" s="249">
        <v>-9999</v>
      </c>
      <c r="AU756" s="249">
        <v>0</v>
      </c>
      <c r="AV756" s="249">
        <v>-9999</v>
      </c>
      <c r="AW756" s="249">
        <v>-9999</v>
      </c>
      <c r="AX756" s="249">
        <v>0</v>
      </c>
      <c r="AY756" s="249">
        <v>-9999</v>
      </c>
      <c r="AZ756" s="249">
        <v>-9999</v>
      </c>
      <c r="BA756" s="249">
        <v>-9988</v>
      </c>
      <c r="BB756" s="249" t="s">
        <v>626</v>
      </c>
      <c r="BC756" s="249">
        <v>-9999</v>
      </c>
      <c r="BD756" s="249">
        <v>-9999</v>
      </c>
      <c r="BE756" s="249">
        <v>-9999</v>
      </c>
      <c r="BF756" s="249">
        <v>-9999</v>
      </c>
      <c r="BG756" s="249">
        <v>-9999</v>
      </c>
      <c r="BH756" s="249">
        <v>-9999</v>
      </c>
      <c r="BI756" s="249" t="s">
        <v>1035</v>
      </c>
      <c r="BJ756" s="249">
        <v>-9999</v>
      </c>
      <c r="BK756" s="249">
        <v>-9999</v>
      </c>
      <c r="BL756" s="249">
        <v>-9999</v>
      </c>
      <c r="BM756" s="249">
        <v>-9999</v>
      </c>
      <c r="BN756" s="249">
        <v>-9999</v>
      </c>
      <c r="BO756" s="249">
        <v>-9999</v>
      </c>
      <c r="BP756" s="249">
        <v>-9999</v>
      </c>
      <c r="BQ756" s="249">
        <v>-9999</v>
      </c>
      <c r="BR756" s="249">
        <v>-9999</v>
      </c>
      <c r="BS756" s="251">
        <v>-9999</v>
      </c>
      <c r="BT756" s="249">
        <v>-9999</v>
      </c>
      <c r="BU756" s="249">
        <v>-9999</v>
      </c>
      <c r="BV756" s="249">
        <v>-9999</v>
      </c>
      <c r="BW756" s="249"/>
      <c r="BX756" s="249">
        <v>-9999</v>
      </c>
      <c r="BY756" s="249">
        <v>-9999</v>
      </c>
      <c r="BZ756" s="249">
        <v>-9999</v>
      </c>
      <c r="CA756" s="335" t="s">
        <v>797</v>
      </c>
      <c r="CB756" s="254"/>
      <c r="CC756" s="191">
        <v>1</v>
      </c>
      <c r="CD756" s="195">
        <v>9</v>
      </c>
      <c r="CE756" s="393">
        <v>24.52</v>
      </c>
      <c r="CF756" s="99"/>
      <c r="CG756" s="195">
        <v>10</v>
      </c>
      <c r="CH756" s="436" t="s">
        <v>1757</v>
      </c>
      <c r="CI756" s="13"/>
      <c r="CJ756" s="13"/>
      <c r="CK756" s="13"/>
      <c r="CL756" s="13"/>
      <c r="CM756" s="13"/>
      <c r="CN756" s="13"/>
      <c r="CO756" s="13"/>
      <c r="CP756" s="13"/>
      <c r="CQ756" s="13"/>
      <c r="CR756" s="13"/>
      <c r="CS756" s="13"/>
      <c r="CT756" s="13"/>
      <c r="CU756" s="13"/>
      <c r="CV756" s="13"/>
      <c r="CW756" s="13"/>
      <c r="CX756" s="13"/>
      <c r="CY756" s="13"/>
      <c r="CZ756" s="13"/>
      <c r="DA756" s="13"/>
      <c r="DB756" s="13"/>
      <c r="DC756" s="13"/>
      <c r="DD756" s="13"/>
      <c r="DE756" s="13"/>
      <c r="DF756" s="13"/>
      <c r="DG756" s="13"/>
      <c r="DH756" s="13"/>
      <c r="DI756" s="13"/>
      <c r="DJ756" s="13"/>
      <c r="DK756" s="13"/>
      <c r="DL756" s="13"/>
      <c r="DM756" s="13"/>
      <c r="DN756" s="13"/>
      <c r="DO756" s="13"/>
      <c r="DP756" s="13"/>
      <c r="DQ756" s="13"/>
      <c r="DR756" s="13"/>
      <c r="DS756" s="13"/>
      <c r="DT756" s="13"/>
      <c r="DU756" s="13"/>
      <c r="DV756" s="13"/>
      <c r="DW756" s="13"/>
      <c r="DX756" s="13"/>
      <c r="DY756" s="13"/>
      <c r="DZ756" s="13"/>
      <c r="EA756" s="13"/>
      <c r="EB756" s="13"/>
      <c r="EC756" s="13"/>
      <c r="ED756" s="13"/>
      <c r="EE756" s="13"/>
      <c r="EF756" s="13"/>
      <c r="EG756" s="13"/>
      <c r="EH756" s="13"/>
      <c r="EI756" s="13"/>
      <c r="EJ756" s="13"/>
      <c r="EK756" s="13"/>
      <c r="EL756" s="13"/>
      <c r="EM756" s="13"/>
      <c r="EN756" s="13"/>
      <c r="EO756" s="13"/>
      <c r="EP756" s="13"/>
      <c r="EQ756" s="13"/>
      <c r="ER756" s="13"/>
      <c r="ES756" s="13"/>
      <c r="ET756" s="13"/>
      <c r="EU756" s="13"/>
      <c r="EV756" s="13"/>
      <c r="EW756" s="13"/>
      <c r="EX756" s="13"/>
      <c r="EY756" s="13"/>
      <c r="EZ756" s="13"/>
      <c r="FA756" s="13"/>
      <c r="FB756" s="13"/>
      <c r="FC756" s="13"/>
      <c r="FD756" s="13"/>
      <c r="FE756" s="13"/>
      <c r="FF756" s="13"/>
      <c r="FG756" s="13"/>
      <c r="FH756" s="13"/>
      <c r="FI756" s="13"/>
      <c r="FJ756" s="13"/>
      <c r="FK756" s="13"/>
      <c r="FL756" s="13"/>
      <c r="FM756" s="13"/>
      <c r="FN756" s="13"/>
      <c r="FO756" s="13"/>
      <c r="FP756" s="13"/>
      <c r="FQ756" s="13"/>
      <c r="FR756" s="13"/>
      <c r="FS756" s="13"/>
      <c r="FT756" s="13"/>
      <c r="FU756" s="13"/>
      <c r="FV756" s="13"/>
      <c r="FW756" s="13"/>
      <c r="FX756" s="13"/>
      <c r="FY756" s="13"/>
      <c r="FZ756" s="13"/>
      <c r="GA756" s="13"/>
      <c r="GB756" s="13"/>
      <c r="GC756" s="13"/>
      <c r="GD756" s="13"/>
      <c r="GE756" s="13"/>
      <c r="GF756" s="13"/>
      <c r="GG756" s="13"/>
      <c r="GH756" s="13"/>
      <c r="GI756" s="13"/>
      <c r="GJ756" s="13"/>
      <c r="GK756" s="13"/>
      <c r="GL756" s="13"/>
      <c r="GM756" s="13"/>
      <c r="GN756" s="13"/>
      <c r="GO756" s="13"/>
      <c r="GP756" s="13"/>
      <c r="GQ756" s="13"/>
      <c r="GR756" s="13"/>
      <c r="GS756" s="13"/>
      <c r="GT756" s="13"/>
      <c r="GU756" s="13"/>
      <c r="GV756" s="13"/>
      <c r="GW756" s="13"/>
      <c r="GX756" s="13"/>
      <c r="GY756" s="13"/>
      <c r="GZ756" s="13"/>
      <c r="HA756" s="13"/>
      <c r="HB756" s="13"/>
      <c r="HC756" s="13"/>
      <c r="HD756" s="13"/>
      <c r="HE756" s="13"/>
      <c r="HF756" s="13"/>
      <c r="HG756" s="13"/>
      <c r="HH756" s="13"/>
      <c r="HI756" s="13"/>
      <c r="HJ756" s="13"/>
      <c r="HK756" s="13"/>
      <c r="HL756" s="13"/>
      <c r="HM756" s="13"/>
      <c r="HN756" s="13"/>
      <c r="HO756" s="13"/>
      <c r="HP756" s="13"/>
      <c r="HQ756" s="13"/>
      <c r="HR756" s="13"/>
      <c r="HS756" s="13"/>
      <c r="HT756" s="13"/>
      <c r="HU756" s="13"/>
      <c r="HV756" s="13"/>
      <c r="HW756" s="13"/>
      <c r="HX756" s="13"/>
      <c r="HY756" s="13"/>
      <c r="HZ756" s="13"/>
      <c r="IA756" s="13"/>
      <c r="IB756" s="13"/>
      <c r="IC756" s="13"/>
      <c r="ID756" s="13"/>
      <c r="IE756" s="13"/>
      <c r="IF756" s="13"/>
      <c r="IG756" s="13"/>
      <c r="IH756" s="13"/>
      <c r="II756" s="13"/>
      <c r="IJ756" s="13"/>
      <c r="IK756" s="13"/>
      <c r="IL756" s="13"/>
      <c r="IM756" s="13"/>
      <c r="IN756" s="13"/>
      <c r="IO756" s="13"/>
      <c r="IP756" s="13"/>
      <c r="IQ756" s="13"/>
      <c r="IR756" s="13"/>
      <c r="IS756" s="13"/>
      <c r="IT756" s="13"/>
      <c r="IU756" s="13"/>
      <c r="IV756" s="13"/>
      <c r="IW756" s="13"/>
      <c r="IX756" s="13"/>
      <c r="IY756" s="13"/>
      <c r="IZ756" s="13"/>
      <c r="JA756" s="13"/>
      <c r="JB756" s="13"/>
      <c r="JC756" s="13"/>
      <c r="JD756" s="13"/>
      <c r="JE756" s="13"/>
      <c r="JF756" s="13"/>
      <c r="JG756" s="13"/>
      <c r="JH756" s="13"/>
      <c r="JI756" s="13"/>
      <c r="JJ756" s="13"/>
      <c r="JK756" s="13"/>
      <c r="JL756" s="13"/>
      <c r="JM756" s="13"/>
      <c r="JN756" s="13"/>
      <c r="JO756" s="13"/>
      <c r="JP756" s="13"/>
      <c r="JQ756" s="13"/>
      <c r="JR756" s="13"/>
      <c r="JS756" s="13"/>
      <c r="JT756" s="13"/>
      <c r="JU756" s="13"/>
      <c r="JV756" s="13"/>
      <c r="JW756" s="13"/>
      <c r="JX756" s="13"/>
      <c r="JY756" s="13"/>
      <c r="JZ756" s="13"/>
      <c r="KA756" s="13"/>
      <c r="KB756" s="13"/>
      <c r="KC756" s="13"/>
      <c r="KD756" s="13"/>
      <c r="KE756" s="13"/>
      <c r="KF756" s="13"/>
      <c r="KG756" s="13"/>
      <c r="KH756" s="13"/>
      <c r="KI756" s="13"/>
      <c r="KJ756" s="13"/>
      <c r="KK756" s="13"/>
      <c r="KL756" s="13"/>
      <c r="KM756" s="13"/>
      <c r="KN756" s="13"/>
      <c r="KO756" s="13"/>
      <c r="KP756" s="13"/>
      <c r="KQ756" s="13"/>
      <c r="KR756" s="13"/>
      <c r="KS756" s="13"/>
      <c r="KT756" s="13"/>
      <c r="KU756" s="13"/>
      <c r="KV756" s="13"/>
      <c r="KW756" s="13"/>
      <c r="KX756" s="13"/>
      <c r="KY756" s="13"/>
      <c r="KZ756" s="13"/>
      <c r="LA756" s="13"/>
      <c r="LB756" s="13"/>
      <c r="LC756" s="13"/>
      <c r="LD756" s="13"/>
      <c r="LE756" s="13"/>
      <c r="LF756" s="13"/>
      <c r="LG756" s="13"/>
      <c r="LH756" s="13"/>
      <c r="LI756" s="13"/>
      <c r="LJ756" s="13"/>
      <c r="LK756" s="13"/>
      <c r="LL756" s="13"/>
      <c r="LM756" s="13"/>
      <c r="LN756" s="13"/>
      <c r="LO756" s="13"/>
      <c r="LP756" s="13"/>
      <c r="LQ756" s="13"/>
      <c r="LR756" s="13"/>
      <c r="LS756" s="13"/>
      <c r="LT756" s="13"/>
      <c r="LU756" s="13"/>
      <c r="LV756" s="13"/>
      <c r="LW756" s="13"/>
      <c r="LX756" s="13"/>
      <c r="LY756" s="13"/>
      <c r="LZ756" s="13"/>
      <c r="MA756" s="13"/>
      <c r="MB756" s="13"/>
      <c r="MC756" s="13"/>
      <c r="MD756" s="13"/>
      <c r="ME756" s="13"/>
      <c r="MF756" s="13"/>
      <c r="MG756" s="13"/>
      <c r="MH756" s="13"/>
      <c r="MI756" s="13"/>
      <c r="MJ756" s="13"/>
      <c r="MK756" s="13"/>
      <c r="ML756" s="13"/>
      <c r="MM756" s="13"/>
      <c r="MN756" s="13"/>
      <c r="MO756" s="13"/>
      <c r="MP756" s="13"/>
      <c r="MQ756" s="13"/>
      <c r="MR756" s="13"/>
      <c r="MS756" s="13"/>
      <c r="MT756" s="13"/>
      <c r="MU756" s="13"/>
      <c r="MV756" s="13"/>
      <c r="MW756" s="13"/>
      <c r="MX756" s="13"/>
      <c r="MY756" s="13"/>
      <c r="MZ756" s="13"/>
      <c r="NA756" s="13"/>
      <c r="NB756" s="13"/>
      <c r="NC756" s="13"/>
      <c r="ND756" s="13"/>
      <c r="NE756" s="13"/>
      <c r="NF756" s="13"/>
      <c r="NG756" s="13"/>
      <c r="NH756" s="13"/>
      <c r="NI756" s="13"/>
      <c r="NJ756" s="13"/>
      <c r="NK756" s="13"/>
      <c r="NL756" s="13"/>
      <c r="NM756" s="13"/>
      <c r="NN756" s="13"/>
      <c r="NO756" s="13"/>
      <c r="NP756" s="13"/>
      <c r="NQ756" s="13"/>
      <c r="NR756" s="13"/>
      <c r="NS756" s="13"/>
      <c r="NT756" s="13"/>
      <c r="NU756" s="13"/>
      <c r="NV756" s="13"/>
      <c r="NW756" s="13"/>
      <c r="NX756" s="13"/>
      <c r="NY756" s="13"/>
      <c r="NZ756" s="13"/>
      <c r="OA756" s="13"/>
      <c r="OB756" s="13"/>
      <c r="OC756" s="13"/>
      <c r="OD756" s="13"/>
      <c r="OE756" s="13"/>
      <c r="OF756" s="13"/>
      <c r="OG756" s="13"/>
      <c r="OH756" s="13"/>
      <c r="OI756" s="13"/>
      <c r="OJ756" s="13"/>
      <c r="OK756" s="13"/>
      <c r="OL756" s="13"/>
      <c r="OM756" s="13"/>
      <c r="ON756" s="13"/>
      <c r="OO756" s="13"/>
      <c r="OP756" s="13"/>
      <c r="OQ756" s="13"/>
      <c r="OR756" s="13"/>
      <c r="OS756" s="13"/>
      <c r="OT756" s="13"/>
      <c r="OU756" s="13"/>
      <c r="OV756" s="13"/>
      <c r="OW756" s="13"/>
      <c r="OX756" s="13"/>
      <c r="OY756" s="13"/>
      <c r="OZ756" s="13"/>
      <c r="PA756" s="13"/>
      <c r="PB756" s="13"/>
      <c r="PC756" s="13"/>
      <c r="PD756" s="13"/>
      <c r="PE756" s="13"/>
      <c r="PF756" s="13"/>
      <c r="PG756" s="13"/>
      <c r="PH756" s="13"/>
      <c r="PI756" s="13"/>
      <c r="PJ756" s="13"/>
      <c r="PK756" s="13"/>
      <c r="PL756" s="13"/>
      <c r="PM756" s="13"/>
      <c r="PN756" s="13"/>
      <c r="PO756" s="13"/>
      <c r="PP756" s="13"/>
      <c r="PQ756" s="13"/>
      <c r="PR756" s="13"/>
      <c r="PS756" s="13"/>
      <c r="PT756" s="13"/>
      <c r="PU756" s="13"/>
      <c r="PV756" s="13"/>
      <c r="PW756" s="13"/>
      <c r="PX756" s="13"/>
      <c r="PY756" s="13"/>
      <c r="PZ756" s="13"/>
      <c r="QA756" s="13"/>
      <c r="QB756" s="13"/>
      <c r="QC756" s="13"/>
      <c r="QD756" s="13"/>
      <c r="QE756" s="13"/>
      <c r="QF756" s="13"/>
      <c r="QG756" s="13"/>
      <c r="QH756" s="13"/>
      <c r="QI756" s="13"/>
      <c r="QJ756" s="13"/>
      <c r="QK756" s="13"/>
      <c r="QL756" s="13"/>
      <c r="QM756" s="13"/>
      <c r="QN756" s="13"/>
      <c r="QO756" s="13"/>
      <c r="QP756" s="13"/>
      <c r="QQ756" s="13"/>
      <c r="QR756" s="13"/>
      <c r="QS756" s="13"/>
      <c r="QT756" s="13"/>
      <c r="QU756" s="13"/>
      <c r="QV756" s="13"/>
      <c r="QW756" s="13"/>
      <c r="QX756" s="13"/>
      <c r="QY756" s="13"/>
      <c r="QZ756" s="13"/>
      <c r="RA756" s="13"/>
      <c r="RB756" s="13"/>
      <c r="RC756" s="13"/>
      <c r="RD756" s="13"/>
      <c r="RE756" s="13"/>
      <c r="RF756" s="13"/>
      <c r="RG756" s="13"/>
      <c r="RH756" s="13"/>
      <c r="RI756" s="13"/>
      <c r="RJ756" s="13"/>
      <c r="RK756" s="13"/>
      <c r="RL756" s="13"/>
      <c r="RM756" s="13"/>
      <c r="RN756" s="13"/>
      <c r="RO756" s="13"/>
      <c r="RP756" s="13"/>
      <c r="RQ756" s="13"/>
      <c r="RR756" s="13"/>
      <c r="RS756" s="13"/>
      <c r="RT756" s="13"/>
      <c r="RU756" s="13"/>
      <c r="RV756" s="13"/>
      <c r="RW756" s="13"/>
      <c r="RX756" s="13"/>
      <c r="RY756" s="13"/>
      <c r="RZ756" s="13"/>
      <c r="SA756" s="13"/>
      <c r="SB756" s="13"/>
      <c r="SC756" s="13"/>
      <c r="SD756" s="13"/>
      <c r="SE756" s="13"/>
      <c r="SF756" s="13"/>
      <c r="SG756" s="13"/>
      <c r="SH756" s="13"/>
      <c r="SI756" s="13"/>
      <c r="SJ756" s="13"/>
      <c r="SK756" s="13"/>
      <c r="SL756" s="13"/>
      <c r="SM756" s="13"/>
      <c r="SN756" s="13"/>
      <c r="SO756" s="13"/>
      <c r="SP756" s="13"/>
      <c r="SQ756" s="13"/>
      <c r="SR756" s="13"/>
      <c r="SS756" s="13"/>
      <c r="ST756" s="13"/>
      <c r="SU756" s="13"/>
      <c r="SV756" s="13"/>
      <c r="SW756" s="13"/>
      <c r="SX756" s="13"/>
      <c r="SY756" s="13"/>
      <c r="SZ756" s="13"/>
      <c r="TA756" s="13"/>
      <c r="TB756" s="13"/>
      <c r="TC756" s="13"/>
      <c r="TD756" s="13"/>
      <c r="TE756" s="13"/>
      <c r="TF756" s="13"/>
      <c r="TG756" s="13"/>
      <c r="TH756" s="13"/>
      <c r="TI756" s="13"/>
      <c r="TJ756" s="13"/>
      <c r="TK756" s="13"/>
      <c r="TL756" s="13"/>
      <c r="TM756" s="13"/>
      <c r="TN756" s="13"/>
      <c r="TO756" s="13"/>
      <c r="TP756" s="13"/>
      <c r="TQ756" s="13"/>
      <c r="TR756" s="13"/>
      <c r="TS756" s="13"/>
      <c r="TT756" s="13"/>
      <c r="TU756" s="13"/>
      <c r="TV756" s="13"/>
      <c r="TW756" s="13"/>
      <c r="TX756" s="13"/>
      <c r="TY756" s="13"/>
      <c r="TZ756" s="13"/>
      <c r="UA756" s="13"/>
      <c r="UB756" s="13"/>
      <c r="UC756" s="13"/>
      <c r="UD756" s="13"/>
      <c r="UE756" s="13"/>
      <c r="UF756" s="13"/>
      <c r="UG756" s="13"/>
      <c r="UH756" s="13"/>
      <c r="UI756" s="13"/>
      <c r="UJ756" s="13"/>
      <c r="UK756" s="13"/>
      <c r="UL756" s="13"/>
      <c r="UM756" s="13"/>
      <c r="UN756" s="13"/>
      <c r="UO756" s="13"/>
      <c r="UP756" s="13"/>
      <c r="UQ756" s="13"/>
      <c r="UR756" s="13"/>
      <c r="US756" s="13"/>
      <c r="UT756" s="13"/>
      <c r="UU756" s="13"/>
      <c r="UV756" s="13"/>
      <c r="UW756" s="13"/>
      <c r="UX756" s="13"/>
      <c r="UY756" s="13"/>
      <c r="UZ756" s="13"/>
      <c r="VA756" s="13"/>
      <c r="VB756" s="13"/>
      <c r="VC756" s="13"/>
      <c r="VD756" s="13"/>
      <c r="VE756" s="13"/>
      <c r="VF756" s="13"/>
      <c r="VG756" s="13"/>
      <c r="VH756" s="13"/>
      <c r="VI756" s="13"/>
      <c r="VJ756" s="13"/>
      <c r="VK756" s="13"/>
      <c r="VL756" s="13"/>
      <c r="VM756" s="13"/>
      <c r="VN756" s="13"/>
      <c r="VO756" s="13"/>
      <c r="VP756" s="13"/>
      <c r="VQ756" s="13"/>
      <c r="VR756" s="13"/>
      <c r="VS756" s="13"/>
      <c r="VT756" s="13"/>
      <c r="VU756" s="13"/>
      <c r="VV756" s="13"/>
      <c r="VW756" s="13"/>
      <c r="VX756" s="13"/>
      <c r="VY756" s="13"/>
      <c r="VZ756" s="13"/>
      <c r="WA756" s="13"/>
      <c r="WB756" s="13"/>
      <c r="WC756" s="13"/>
      <c r="WD756" s="13"/>
      <c r="WE756" s="13"/>
      <c r="WF756" s="13"/>
      <c r="WG756" s="13"/>
      <c r="WH756" s="13"/>
      <c r="WI756" s="13"/>
      <c r="WJ756" s="13"/>
      <c r="WK756" s="13"/>
      <c r="WL756" s="13"/>
      <c r="WM756" s="13"/>
      <c r="WN756" s="13"/>
      <c r="WO756" s="13"/>
      <c r="WP756" s="13"/>
      <c r="WQ756" s="13"/>
      <c r="WR756" s="13"/>
      <c r="WS756" s="13"/>
      <c r="WT756" s="13"/>
      <c r="WU756" s="13"/>
      <c r="WV756" s="13"/>
      <c r="WW756" s="13"/>
      <c r="WX756" s="13"/>
      <c r="WY756" s="13"/>
      <c r="WZ756" s="13"/>
      <c r="XA756" s="13"/>
      <c r="XB756" s="13"/>
      <c r="XC756" s="13"/>
      <c r="XD756" s="13"/>
      <c r="XE756" s="13"/>
      <c r="XF756" s="13"/>
      <c r="XG756" s="13"/>
      <c r="XH756" s="13"/>
      <c r="XI756" s="13"/>
      <c r="XJ756" s="13"/>
      <c r="XK756" s="13"/>
      <c r="XL756" s="13"/>
      <c r="XM756" s="13"/>
      <c r="XN756" s="13"/>
      <c r="XO756" s="13"/>
      <c r="XP756" s="13"/>
      <c r="XQ756" s="13"/>
      <c r="XR756" s="13"/>
      <c r="XS756" s="13"/>
      <c r="XT756" s="13"/>
      <c r="XU756" s="13"/>
      <c r="XV756" s="13"/>
      <c r="XW756" s="13"/>
      <c r="XX756" s="13"/>
      <c r="XY756" s="13"/>
      <c r="XZ756" s="13"/>
      <c r="YA756" s="13"/>
      <c r="YB756" s="13"/>
      <c r="YC756" s="13"/>
      <c r="YD756" s="13"/>
      <c r="YE756" s="13"/>
      <c r="YF756" s="13"/>
      <c r="YG756" s="13"/>
      <c r="YH756" s="13"/>
      <c r="YI756" s="13"/>
      <c r="YJ756" s="13"/>
      <c r="YK756" s="13"/>
      <c r="YL756" s="13"/>
      <c r="YM756" s="13"/>
      <c r="YN756" s="13"/>
      <c r="YO756" s="13"/>
      <c r="YP756" s="13"/>
      <c r="YQ756" s="13"/>
      <c r="YR756" s="13"/>
      <c r="YS756" s="13"/>
      <c r="YT756" s="13"/>
      <c r="YU756" s="13"/>
      <c r="YV756" s="13"/>
      <c r="YW756" s="13"/>
      <c r="YX756" s="13"/>
      <c r="YY756" s="13"/>
      <c r="YZ756" s="13"/>
      <c r="ZA756" s="13"/>
      <c r="ZB756" s="13"/>
      <c r="ZC756" s="13"/>
      <c r="ZD756" s="13"/>
      <c r="ZE756" s="13"/>
      <c r="ZF756" s="13"/>
      <c r="ZG756" s="13"/>
      <c r="ZH756" s="13"/>
      <c r="ZI756" s="13"/>
      <c r="ZJ756" s="13"/>
      <c r="ZK756" s="13"/>
      <c r="ZL756" s="13"/>
      <c r="ZM756" s="13"/>
      <c r="ZN756" s="13"/>
      <c r="ZO756" s="13"/>
      <c r="ZP756" s="13"/>
      <c r="ZQ756" s="13"/>
      <c r="ZR756" s="13"/>
      <c r="ZS756" s="13"/>
      <c r="ZT756" s="13"/>
      <c r="ZU756" s="13"/>
      <c r="ZV756" s="13"/>
      <c r="ZW756" s="13"/>
      <c r="ZX756" s="13"/>
      <c r="ZY756" s="13"/>
      <c r="ZZ756" s="13"/>
      <c r="AAA756" s="13"/>
      <c r="AAB756" s="13"/>
      <c r="AAC756" s="13"/>
      <c r="AAD756" s="13"/>
      <c r="AAE756" s="13"/>
      <c r="AAF756" s="13"/>
      <c r="AAG756" s="13"/>
      <c r="AAH756" s="13"/>
      <c r="AAI756" s="13"/>
      <c r="AAJ756" s="13"/>
      <c r="AAK756" s="13"/>
      <c r="AAL756" s="13"/>
      <c r="AAM756" s="13"/>
      <c r="AAN756" s="13"/>
      <c r="AAO756" s="13"/>
      <c r="AAP756" s="13"/>
      <c r="AAQ756" s="13"/>
      <c r="AAR756" s="13"/>
      <c r="AAS756" s="13"/>
      <c r="AAT756" s="13"/>
      <c r="AAU756" s="13"/>
      <c r="AAV756" s="13"/>
      <c r="AAW756" s="13"/>
      <c r="AAX756" s="13"/>
      <c r="AAY756" s="13"/>
      <c r="AAZ756" s="13"/>
      <c r="ABA756" s="13"/>
      <c r="ABB756" s="13"/>
      <c r="ABC756" s="13"/>
      <c r="ABD756" s="13"/>
      <c r="ABE756" s="13"/>
      <c r="ABF756" s="13"/>
      <c r="ABG756" s="13"/>
      <c r="ABH756" s="13"/>
      <c r="ABI756" s="13"/>
      <c r="ABJ756" s="13"/>
      <c r="ABK756" s="13"/>
      <c r="ABL756" s="13"/>
      <c r="ABM756" s="13"/>
      <c r="ABN756" s="13"/>
      <c r="ABO756" s="13"/>
      <c r="ABP756" s="13"/>
      <c r="ABQ756" s="13"/>
      <c r="ABR756" s="13"/>
      <c r="ABS756" s="13"/>
      <c r="ABT756" s="13"/>
      <c r="ABU756" s="13"/>
      <c r="ABV756" s="13"/>
      <c r="ABW756" s="13"/>
      <c r="ABX756" s="13"/>
      <c r="ABY756" s="13"/>
      <c r="ABZ756" s="13"/>
      <c r="ACA756" s="13"/>
      <c r="ACB756" s="13"/>
      <c r="ACC756" s="13"/>
      <c r="ACD756" s="13"/>
      <c r="ACE756" s="13"/>
      <c r="ACF756" s="13"/>
      <c r="ACG756" s="13"/>
      <c r="ACH756" s="13"/>
      <c r="ACI756" s="13"/>
      <c r="ACJ756" s="13"/>
      <c r="ACK756" s="13"/>
      <c r="ACL756" s="13"/>
      <c r="ACM756" s="13"/>
      <c r="ACN756" s="13"/>
      <c r="ACO756" s="13"/>
      <c r="ACP756" s="13"/>
      <c r="ACQ756" s="13"/>
      <c r="ACR756" s="13"/>
      <c r="ACS756" s="13"/>
      <c r="ACT756" s="13"/>
      <c r="ACU756" s="13"/>
      <c r="ACV756" s="13"/>
      <c r="ACW756" s="13"/>
      <c r="ACX756" s="13"/>
      <c r="ACY756" s="13"/>
      <c r="ACZ756" s="13"/>
      <c r="ADA756" s="13"/>
      <c r="ADB756" s="13"/>
      <c r="ADC756" s="13"/>
      <c r="ADD756" s="13"/>
      <c r="ADE756" s="13"/>
      <c r="ADF756" s="13"/>
      <c r="ADG756" s="13"/>
      <c r="ADH756" s="13"/>
      <c r="ADI756" s="13"/>
      <c r="ADJ756" s="13"/>
      <c r="ADK756" s="13"/>
      <c r="ADL756" s="13"/>
      <c r="ADM756" s="13"/>
      <c r="ADN756" s="13"/>
      <c r="ADO756" s="13"/>
      <c r="ADP756" s="13"/>
      <c r="ADQ756" s="13"/>
      <c r="ADR756" s="13"/>
      <c r="ADS756" s="13"/>
      <c r="ADT756" s="13"/>
      <c r="ADU756" s="13"/>
      <c r="ADV756" s="13"/>
      <c r="ADW756" s="13"/>
      <c r="ADX756" s="13"/>
      <c r="ADY756" s="13"/>
      <c r="ADZ756" s="13"/>
      <c r="AEA756" s="13"/>
      <c r="AEB756" s="13"/>
      <c r="AEC756" s="13"/>
      <c r="AED756" s="13"/>
      <c r="AEE756" s="13"/>
      <c r="AEF756" s="13"/>
      <c r="AEG756" s="13"/>
      <c r="AEH756" s="13"/>
      <c r="AEI756" s="13"/>
      <c r="AEJ756" s="13"/>
      <c r="AEK756" s="13"/>
      <c r="AEL756" s="13"/>
      <c r="AEM756" s="13"/>
      <c r="AEN756" s="13"/>
      <c r="AEO756" s="13"/>
      <c r="AEP756" s="13"/>
      <c r="AEQ756" s="13"/>
      <c r="AER756" s="13"/>
      <c r="AES756" s="13"/>
      <c r="AET756" s="13"/>
      <c r="AEU756" s="13"/>
      <c r="AEV756" s="13"/>
      <c r="AEW756" s="13"/>
      <c r="AEX756" s="13"/>
      <c r="AEY756" s="13"/>
      <c r="AEZ756" s="13"/>
      <c r="AFA756" s="13"/>
      <c r="AFB756" s="13"/>
      <c r="AFC756" s="13"/>
      <c r="AFD756" s="13"/>
      <c r="AFE756" s="13"/>
      <c r="AFF756" s="13"/>
      <c r="AFG756" s="13"/>
      <c r="AFH756" s="13"/>
      <c r="AFI756" s="13"/>
      <c r="AFJ756" s="13"/>
      <c r="AFK756" s="13"/>
      <c r="AFL756" s="13"/>
      <c r="AFM756" s="13"/>
      <c r="AFN756" s="13"/>
      <c r="AFO756" s="13"/>
      <c r="AFP756" s="13"/>
      <c r="AFQ756" s="13"/>
      <c r="AFR756" s="13"/>
      <c r="AFS756" s="13"/>
      <c r="AFT756" s="13"/>
      <c r="AFU756" s="13"/>
      <c r="AFV756" s="13"/>
      <c r="AFW756" s="13"/>
      <c r="AFX756" s="13"/>
      <c r="AFY756" s="13"/>
      <c r="AFZ756" s="13"/>
      <c r="AGA756" s="13"/>
      <c r="AGB756" s="13"/>
      <c r="AGC756" s="13"/>
      <c r="AGD756" s="13"/>
      <c r="AGE756" s="13"/>
      <c r="AGF756" s="13"/>
      <c r="AGG756" s="13"/>
      <c r="AGH756" s="13"/>
      <c r="AGI756" s="13"/>
      <c r="AGJ756" s="13"/>
      <c r="AGK756" s="13"/>
      <c r="AGL756" s="13"/>
      <c r="AGM756" s="13"/>
      <c r="AGN756" s="13"/>
      <c r="AGO756" s="13"/>
      <c r="AGP756" s="13"/>
      <c r="AGQ756" s="13"/>
      <c r="AGR756" s="13"/>
      <c r="AGS756" s="13"/>
      <c r="AGT756" s="13"/>
      <c r="AGU756" s="13"/>
      <c r="AGV756" s="13"/>
      <c r="AGW756" s="13"/>
      <c r="AGX756" s="13"/>
      <c r="AGY756" s="13"/>
      <c r="AGZ756" s="13"/>
      <c r="AHA756" s="13"/>
      <c r="AHB756" s="13"/>
      <c r="AHC756" s="13"/>
      <c r="AHD756" s="13"/>
      <c r="AHE756" s="13"/>
      <c r="AHF756" s="13"/>
      <c r="AHG756" s="13"/>
      <c r="AHH756" s="13"/>
      <c r="AHI756" s="13"/>
      <c r="AHJ756" s="13"/>
      <c r="AHK756" s="13"/>
      <c r="AHL756" s="13"/>
      <c r="AHM756" s="13"/>
      <c r="AHN756" s="13"/>
      <c r="AHO756" s="13"/>
      <c r="AHP756" s="13"/>
      <c r="AHQ756" s="13"/>
      <c r="AHR756" s="13"/>
      <c r="AHS756" s="13"/>
      <c r="AHT756" s="13"/>
      <c r="AHU756" s="13"/>
      <c r="AHV756" s="13"/>
      <c r="AHW756" s="13"/>
      <c r="AHX756" s="13"/>
      <c r="AHY756" s="13"/>
      <c r="AHZ756" s="13"/>
      <c r="AIA756" s="13"/>
      <c r="AIB756" s="13"/>
      <c r="AIC756" s="13"/>
      <c r="AID756" s="13"/>
      <c r="AIE756" s="13"/>
      <c r="AIF756" s="13"/>
      <c r="AIG756" s="13"/>
      <c r="AIH756" s="13"/>
      <c r="AII756" s="13"/>
      <c r="AIJ756" s="13"/>
      <c r="AIK756" s="13"/>
      <c r="AIL756" s="13"/>
      <c r="AIM756" s="13"/>
      <c r="AIN756" s="13"/>
      <c r="AIO756" s="13"/>
      <c r="AIP756" s="13"/>
      <c r="AIQ756" s="13"/>
      <c r="AIR756" s="13"/>
      <c r="AIS756" s="13"/>
      <c r="AIT756" s="13"/>
      <c r="AIU756" s="13"/>
      <c r="AIV756" s="13"/>
      <c r="AIW756" s="13"/>
      <c r="AIX756" s="13"/>
      <c r="AIY756" s="13"/>
      <c r="AIZ756" s="13"/>
      <c r="AJA756" s="13"/>
      <c r="AJB756" s="13"/>
      <c r="AJC756" s="13"/>
      <c r="AJD756" s="13"/>
      <c r="AJE756" s="13"/>
      <c r="AJF756" s="13"/>
      <c r="AJG756" s="13"/>
      <c r="AJH756" s="13"/>
      <c r="AJI756" s="13"/>
      <c r="AJJ756" s="13"/>
      <c r="AJK756" s="13"/>
      <c r="AJL756" s="13"/>
      <c r="AJM756" s="13"/>
      <c r="AJN756" s="13"/>
      <c r="AJO756" s="13"/>
      <c r="AJP756" s="13"/>
      <c r="AJQ756" s="13"/>
      <c r="AJR756" s="13"/>
      <c r="AJS756" s="13"/>
      <c r="AJT756" s="13"/>
      <c r="AJU756" s="13"/>
      <c r="AJV756" s="13"/>
      <c r="AJW756" s="13"/>
      <c r="AJX756" s="13"/>
      <c r="AJY756" s="13"/>
      <c r="AJZ756" s="13"/>
      <c r="AKA756" s="13"/>
      <c r="AKB756" s="13"/>
      <c r="AKC756" s="13"/>
      <c r="AKD756" s="13"/>
      <c r="AKE756" s="13"/>
      <c r="AKF756" s="13"/>
      <c r="AKG756" s="13"/>
      <c r="AKH756" s="13"/>
      <c r="AKI756" s="13"/>
      <c r="AKJ756" s="13"/>
      <c r="AKK756" s="13"/>
      <c r="AKL756" s="13"/>
      <c r="AKM756" s="13"/>
      <c r="AKN756" s="13"/>
      <c r="AKO756" s="13"/>
      <c r="AKP756" s="13"/>
      <c r="AKQ756" s="13"/>
      <c r="AKR756" s="13"/>
      <c r="AKS756" s="13"/>
      <c r="AKT756" s="13"/>
      <c r="AKU756" s="13"/>
      <c r="AKV756" s="13"/>
      <c r="AKW756" s="13"/>
      <c r="AKX756" s="13"/>
      <c r="AKY756" s="13"/>
      <c r="AKZ756" s="13"/>
      <c r="ALA756" s="13"/>
      <c r="ALB756" s="13"/>
      <c r="ALC756" s="13"/>
      <c r="ALD756" s="13"/>
      <c r="ALE756" s="13"/>
      <c r="ALF756" s="13"/>
      <c r="ALG756" s="13"/>
      <c r="ALH756" s="13"/>
      <c r="ALI756" s="13"/>
      <c r="ALJ756" s="13"/>
      <c r="ALK756" s="13"/>
      <c r="ALL756" s="13"/>
      <c r="ALM756" s="13"/>
      <c r="ALN756" s="13"/>
      <c r="ALO756" s="13"/>
      <c r="ALP756" s="13"/>
      <c r="ALQ756" s="13"/>
      <c r="ALR756" s="13"/>
      <c r="ALS756" s="13"/>
      <c r="ALT756" s="13"/>
      <c r="ALU756" s="13"/>
      <c r="ALV756" s="13"/>
      <c r="ALW756" s="13"/>
      <c r="ALX756" s="13"/>
      <c r="ALY756" s="13"/>
      <c r="ALZ756" s="13"/>
      <c r="AMA756" s="13"/>
      <c r="AMB756" s="13"/>
      <c r="AMC756" s="13"/>
      <c r="AMD756" s="13"/>
      <c r="AME756" s="13"/>
      <c r="AMF756" s="13"/>
      <c r="AMG756" s="13"/>
      <c r="AMH756" s="13"/>
      <c r="AMI756" s="13"/>
      <c r="AMJ756" s="13"/>
      <c r="AMK756" s="13"/>
      <c r="AML756" s="13"/>
      <c r="AMM756" s="13"/>
      <c r="AMN756" s="13"/>
      <c r="AMO756" s="13"/>
      <c r="AMP756" s="13"/>
      <c r="AMQ756" s="13"/>
      <c r="AMR756" s="13"/>
      <c r="AMS756" s="13"/>
      <c r="AMT756" s="13"/>
      <c r="AMU756" s="13"/>
      <c r="AMV756" s="13"/>
      <c r="AMW756" s="13"/>
      <c r="AMX756" s="13"/>
      <c r="AMY756" s="13"/>
      <c r="AMZ756" s="13"/>
      <c r="ANA756" s="13"/>
      <c r="ANB756" s="13"/>
      <c r="ANC756" s="13"/>
      <c r="AND756" s="13"/>
      <c r="ANE756" s="13"/>
      <c r="ANF756" s="13"/>
      <c r="ANG756" s="13"/>
      <c r="ANH756" s="13"/>
      <c r="ANI756" s="13"/>
      <c r="ANJ756" s="13"/>
      <c r="ANK756" s="13"/>
      <c r="ANL756" s="13"/>
      <c r="ANM756" s="13"/>
      <c r="ANN756" s="13"/>
      <c r="ANO756" s="13"/>
      <c r="ANP756" s="13"/>
      <c r="ANQ756" s="13"/>
      <c r="ANR756" s="13"/>
      <c r="ANS756" s="13"/>
      <c r="ANT756" s="13"/>
      <c r="ANU756" s="13"/>
      <c r="ANV756" s="13"/>
      <c r="ANW756" s="13"/>
      <c r="ANX756" s="13"/>
      <c r="ANY756" s="13"/>
      <c r="ANZ756" s="13"/>
      <c r="AOA756" s="13"/>
      <c r="AOB756" s="13"/>
      <c r="AOC756" s="13"/>
      <c r="AOD756" s="13"/>
      <c r="AOE756" s="13"/>
      <c r="AOF756" s="13"/>
      <c r="AOG756" s="13"/>
      <c r="AOH756" s="13"/>
      <c r="AOI756" s="13"/>
      <c r="AOJ756" s="13"/>
      <c r="AOK756" s="13"/>
      <c r="AOL756" s="13"/>
      <c r="AOM756" s="13"/>
      <c r="AON756" s="13"/>
      <c r="AOO756" s="13"/>
      <c r="AOP756" s="13"/>
      <c r="AOQ756" s="13"/>
      <c r="AOR756" s="13"/>
      <c r="AOS756" s="13"/>
      <c r="AOT756" s="13"/>
      <c r="AOU756" s="13"/>
      <c r="AOV756" s="13"/>
      <c r="AOW756" s="13"/>
      <c r="AOX756" s="13"/>
      <c r="AOY756" s="13"/>
      <c r="AOZ756" s="13"/>
      <c r="APA756" s="13"/>
      <c r="APB756" s="13"/>
      <c r="APC756" s="13"/>
      <c r="APD756" s="13"/>
      <c r="APE756" s="13"/>
      <c r="APF756" s="13"/>
      <c r="APG756" s="13"/>
      <c r="APH756" s="13"/>
      <c r="API756" s="13"/>
      <c r="APJ756" s="13"/>
      <c r="APK756" s="13"/>
      <c r="APL756" s="13"/>
      <c r="APM756" s="13"/>
      <c r="APN756" s="13"/>
      <c r="APO756" s="13"/>
      <c r="APP756" s="13"/>
      <c r="APQ756" s="13"/>
      <c r="APR756" s="13"/>
      <c r="APS756" s="13"/>
      <c r="APT756" s="13"/>
      <c r="APU756" s="13"/>
      <c r="APV756" s="13"/>
      <c r="APW756" s="13"/>
      <c r="APX756" s="13"/>
      <c r="APY756" s="13"/>
      <c r="APZ756" s="13"/>
      <c r="AQA756" s="13"/>
      <c r="AQB756" s="13"/>
      <c r="AQC756" s="13"/>
      <c r="AQD756" s="13"/>
      <c r="AQE756" s="13"/>
      <c r="AQF756" s="13"/>
      <c r="AQG756" s="13"/>
      <c r="AQH756" s="13"/>
      <c r="AQI756" s="13"/>
      <c r="AQJ756" s="13"/>
      <c r="AQK756" s="13"/>
      <c r="AQL756" s="13"/>
      <c r="AQM756" s="13"/>
      <c r="AQN756" s="13"/>
      <c r="AQO756" s="13"/>
      <c r="AQP756" s="13"/>
      <c r="AQQ756" s="13"/>
      <c r="AQR756" s="13"/>
      <c r="AQS756" s="13"/>
      <c r="AQT756" s="13"/>
      <c r="AQU756" s="13"/>
      <c r="AQV756" s="13"/>
      <c r="AQW756" s="13"/>
      <c r="AQX756" s="13"/>
      <c r="AQY756" s="13"/>
      <c r="AQZ756" s="13"/>
      <c r="ARA756" s="13"/>
      <c r="ARB756" s="13"/>
      <c r="ARC756" s="13"/>
      <c r="ARD756" s="13"/>
      <c r="ARE756" s="13"/>
      <c r="ARF756" s="13"/>
      <c r="ARG756" s="13"/>
      <c r="ARH756" s="13"/>
      <c r="ARI756" s="13"/>
      <c r="ARJ756" s="13"/>
      <c r="ARK756" s="13"/>
      <c r="ARL756" s="13"/>
      <c r="ARM756" s="13"/>
      <c r="ARN756" s="13"/>
      <c r="ARO756" s="13"/>
      <c r="ARP756" s="13"/>
      <c r="ARQ756" s="13"/>
      <c r="ARR756" s="13"/>
      <c r="ARS756" s="13"/>
      <c r="ART756" s="13"/>
      <c r="ARU756" s="13"/>
      <c r="ARV756" s="13"/>
      <c r="ARW756" s="13"/>
      <c r="ARX756" s="13"/>
      <c r="ARY756" s="13"/>
      <c r="ARZ756" s="13"/>
      <c r="ASA756" s="13"/>
      <c r="ASB756" s="13"/>
      <c r="ASC756" s="13"/>
      <c r="ASD756" s="13"/>
      <c r="ASE756" s="13"/>
      <c r="ASF756" s="13"/>
      <c r="ASG756" s="13"/>
      <c r="ASH756" s="13"/>
      <c r="ASI756" s="13"/>
      <c r="ASJ756" s="13"/>
      <c r="ASK756" s="13"/>
      <c r="ASL756" s="13"/>
      <c r="ASM756" s="13"/>
      <c r="ASN756" s="13"/>
      <c r="ASO756" s="13"/>
      <c r="ASP756" s="13"/>
      <c r="ASQ756" s="13"/>
      <c r="ASR756" s="13"/>
      <c r="ASS756" s="13"/>
      <c r="AST756" s="13"/>
      <c r="ASU756" s="13"/>
      <c r="ASV756" s="13"/>
      <c r="ASW756" s="13"/>
      <c r="ASX756" s="13"/>
      <c r="ASY756" s="13"/>
      <c r="ASZ756" s="13"/>
      <c r="ATA756" s="13"/>
      <c r="ATB756" s="13"/>
      <c r="ATC756" s="13"/>
      <c r="ATD756" s="13"/>
      <c r="ATE756" s="13"/>
      <c r="ATF756" s="13"/>
      <c r="ATG756" s="13"/>
      <c r="ATH756" s="13"/>
      <c r="ATI756" s="13"/>
      <c r="ATJ756" s="13"/>
      <c r="ATK756" s="13"/>
      <c r="ATL756" s="13"/>
      <c r="ATM756" s="13"/>
      <c r="ATN756" s="13"/>
      <c r="ATO756" s="13"/>
      <c r="ATP756" s="13"/>
      <c r="ATQ756" s="13"/>
      <c r="ATR756" s="13"/>
      <c r="ATS756" s="13"/>
      <c r="ATT756" s="13"/>
      <c r="ATU756" s="13"/>
      <c r="ATV756" s="13"/>
      <c r="ATW756" s="13"/>
      <c r="ATX756" s="13"/>
      <c r="ATY756" s="13"/>
      <c r="ATZ756" s="13"/>
      <c r="AUA756" s="13"/>
      <c r="AUB756" s="13"/>
      <c r="AUC756" s="13"/>
      <c r="AUD756" s="13"/>
      <c r="AUE756" s="13"/>
      <c r="AUF756" s="13"/>
      <c r="AUG756" s="13"/>
      <c r="AUH756" s="13"/>
      <c r="AUI756" s="13"/>
      <c r="AUJ756" s="13"/>
      <c r="AUK756" s="13"/>
      <c r="AUL756" s="13"/>
      <c r="AUM756" s="13"/>
      <c r="AUN756" s="13"/>
      <c r="AUO756" s="13"/>
      <c r="AUP756" s="13"/>
      <c r="AUQ756" s="13"/>
      <c r="AUR756" s="13"/>
      <c r="AUS756" s="13"/>
      <c r="AUT756" s="13"/>
      <c r="AUU756" s="13"/>
      <c r="AUV756" s="13"/>
      <c r="AUW756" s="13"/>
      <c r="AUX756" s="13"/>
      <c r="AUY756" s="13"/>
      <c r="AUZ756" s="13"/>
      <c r="AVA756" s="13"/>
      <c r="AVB756" s="13"/>
      <c r="AVC756" s="13"/>
      <c r="AVD756" s="13"/>
      <c r="AVE756" s="13"/>
      <c r="AVF756" s="13"/>
      <c r="AVG756" s="13"/>
      <c r="AVH756" s="13"/>
      <c r="AVI756" s="13"/>
      <c r="AVJ756" s="13"/>
      <c r="AVK756" s="13"/>
      <c r="AVL756" s="13"/>
      <c r="AVM756" s="13"/>
      <c r="AVN756" s="13"/>
      <c r="AVO756" s="13"/>
      <c r="AVP756" s="13"/>
      <c r="AVQ756" s="13"/>
      <c r="AVR756" s="13"/>
      <c r="AVS756" s="13"/>
      <c r="AVT756" s="13"/>
      <c r="AVU756" s="13"/>
      <c r="AVV756" s="13"/>
      <c r="AVW756" s="13"/>
      <c r="AVX756" s="13"/>
      <c r="AVY756" s="13"/>
      <c r="AVZ756" s="13"/>
      <c r="AWA756" s="13"/>
      <c r="AWB756" s="13"/>
      <c r="AWC756" s="13"/>
      <c r="AWD756" s="13"/>
      <c r="AWE756" s="13"/>
      <c r="AWF756" s="13"/>
      <c r="AWG756" s="13"/>
      <c r="AWH756" s="13"/>
      <c r="AWI756" s="13"/>
      <c r="AWJ756" s="13"/>
      <c r="AWK756" s="13"/>
      <c r="AWL756" s="13"/>
      <c r="AWM756" s="13"/>
      <c r="AWN756" s="13"/>
      <c r="AWO756" s="13"/>
      <c r="AWP756" s="13"/>
      <c r="AWQ756" s="13"/>
      <c r="AWR756" s="13"/>
      <c r="AWS756" s="13"/>
      <c r="AWT756" s="13"/>
      <c r="AWU756" s="13"/>
      <c r="AWV756" s="13"/>
      <c r="AWW756" s="13"/>
      <c r="AWX756" s="13"/>
      <c r="AWY756" s="13"/>
      <c r="AWZ756" s="13"/>
      <c r="AXA756" s="13"/>
      <c r="AXB756" s="13"/>
      <c r="AXC756" s="13"/>
      <c r="AXD756" s="13"/>
      <c r="AXE756" s="13"/>
      <c r="AXF756" s="13"/>
      <c r="AXG756" s="13"/>
      <c r="AXH756" s="13"/>
      <c r="AXI756" s="13"/>
      <c r="AXJ756" s="13"/>
      <c r="AXK756" s="13"/>
      <c r="AXL756" s="13"/>
      <c r="AXM756" s="13"/>
      <c r="AXN756" s="13"/>
      <c r="AXO756" s="13"/>
      <c r="AXP756" s="13"/>
      <c r="AXQ756" s="13"/>
      <c r="AXR756" s="13"/>
      <c r="AXS756" s="13"/>
      <c r="AXT756" s="13"/>
      <c r="AXU756" s="13"/>
      <c r="AXV756" s="13"/>
      <c r="AXW756" s="13"/>
      <c r="AXX756" s="13"/>
      <c r="AXY756" s="13"/>
      <c r="AXZ756" s="13"/>
      <c r="AYA756" s="13"/>
      <c r="AYB756" s="13"/>
      <c r="AYC756" s="13"/>
      <c r="AYD756" s="13"/>
      <c r="AYE756" s="13"/>
      <c r="AYF756" s="13"/>
      <c r="AYG756" s="13"/>
      <c r="AYH756" s="13"/>
      <c r="AYI756" s="13"/>
      <c r="AYJ756" s="13"/>
      <c r="AYK756" s="13"/>
      <c r="AYL756" s="13"/>
      <c r="AYM756" s="13"/>
      <c r="AYN756" s="13"/>
      <c r="AYO756" s="13"/>
      <c r="AYP756" s="13"/>
      <c r="AYQ756" s="13"/>
      <c r="AYR756" s="13"/>
      <c r="AYS756" s="13"/>
      <c r="AYT756" s="13"/>
      <c r="AYU756" s="13"/>
      <c r="AYV756" s="13"/>
      <c r="AYW756" s="13"/>
      <c r="AYX756" s="13"/>
      <c r="AYY756" s="13"/>
      <c r="AYZ756" s="13"/>
      <c r="AZA756" s="13"/>
      <c r="AZB756" s="13"/>
      <c r="AZC756" s="13"/>
      <c r="AZD756" s="13"/>
      <c r="AZE756" s="13"/>
      <c r="AZF756" s="13"/>
      <c r="AZG756" s="13"/>
      <c r="AZH756" s="13"/>
      <c r="AZI756" s="13"/>
      <c r="AZJ756" s="13"/>
      <c r="AZK756" s="13"/>
      <c r="AZL756" s="13"/>
      <c r="AZM756" s="13"/>
      <c r="AZN756" s="13"/>
      <c r="AZO756" s="13"/>
      <c r="AZP756" s="13"/>
      <c r="AZQ756" s="13"/>
      <c r="AZR756" s="13"/>
      <c r="AZS756" s="13"/>
      <c r="AZT756" s="13"/>
      <c r="AZU756" s="13"/>
      <c r="AZV756" s="13"/>
      <c r="AZW756" s="13"/>
      <c r="AZX756" s="13"/>
      <c r="AZY756" s="13"/>
      <c r="AZZ756" s="13"/>
      <c r="BAA756" s="13"/>
      <c r="BAB756" s="13"/>
      <c r="BAC756" s="13"/>
      <c r="BAD756" s="13"/>
      <c r="BAE756" s="13"/>
      <c r="BAF756" s="13"/>
      <c r="BAG756" s="13"/>
      <c r="BAH756" s="13"/>
      <c r="BAI756" s="13"/>
      <c r="BAJ756" s="13"/>
      <c r="BAK756" s="13"/>
      <c r="BAL756" s="13"/>
      <c r="BAM756" s="13"/>
      <c r="BAN756" s="13"/>
      <c r="BAO756" s="13"/>
      <c r="BAP756" s="13"/>
      <c r="BAQ756" s="13"/>
      <c r="BAR756" s="13"/>
      <c r="BAS756" s="13"/>
      <c r="BAT756" s="13"/>
      <c r="BAU756" s="13"/>
      <c r="BAV756" s="13"/>
      <c r="BAW756" s="13"/>
      <c r="BAX756" s="13"/>
      <c r="BAY756" s="13"/>
      <c r="BAZ756" s="13"/>
      <c r="BBA756" s="13"/>
      <c r="BBB756" s="13"/>
      <c r="BBC756" s="13"/>
      <c r="BBD756" s="13"/>
      <c r="BBE756" s="13"/>
      <c r="BBF756" s="13"/>
      <c r="BBG756" s="13"/>
      <c r="BBH756" s="13"/>
      <c r="BBI756" s="13"/>
      <c r="BBJ756" s="13"/>
      <c r="BBK756" s="13"/>
      <c r="BBL756" s="13"/>
      <c r="BBM756" s="13"/>
      <c r="BBN756" s="13"/>
      <c r="BBO756" s="13"/>
      <c r="BBP756" s="13"/>
      <c r="BBQ756" s="13"/>
      <c r="BBR756" s="13"/>
      <c r="BBS756" s="13"/>
      <c r="BBT756" s="13"/>
      <c r="BBU756" s="13"/>
      <c r="BBV756" s="13"/>
      <c r="BBW756" s="13"/>
      <c r="BBX756" s="13"/>
      <c r="BBY756" s="13"/>
      <c r="BBZ756" s="13"/>
      <c r="BCA756" s="13"/>
      <c r="BCB756" s="13"/>
      <c r="BCC756" s="13"/>
      <c r="BCD756" s="13"/>
      <c r="BCE756" s="13"/>
      <c r="BCF756" s="13"/>
      <c r="BCG756" s="13"/>
      <c r="BCH756" s="13"/>
      <c r="BCI756" s="13"/>
      <c r="BCJ756" s="13"/>
      <c r="BCK756" s="13"/>
      <c r="BCL756" s="13"/>
      <c r="BCM756" s="13"/>
      <c r="BCN756" s="13"/>
      <c r="BCO756" s="13"/>
      <c r="BCP756" s="13"/>
      <c r="BCQ756" s="13"/>
      <c r="BCR756" s="13"/>
      <c r="BCS756" s="13"/>
      <c r="BCT756" s="13"/>
      <c r="BCU756" s="13"/>
      <c r="BCV756" s="13"/>
      <c r="BCW756" s="13"/>
      <c r="BCX756" s="13"/>
      <c r="BCY756" s="13"/>
      <c r="BCZ756" s="13"/>
      <c r="BDA756" s="13"/>
      <c r="BDB756" s="13"/>
      <c r="BDC756" s="13"/>
      <c r="BDD756" s="13"/>
      <c r="BDE756" s="13"/>
      <c r="BDF756" s="13"/>
      <c r="BDG756" s="13"/>
      <c r="BDH756" s="13"/>
      <c r="BDI756" s="13"/>
      <c r="BDJ756" s="13"/>
      <c r="BDK756" s="13"/>
      <c r="BDL756" s="13"/>
      <c r="BDM756" s="13"/>
      <c r="BDN756" s="13"/>
      <c r="BDO756" s="13"/>
      <c r="BDP756" s="13"/>
      <c r="BDQ756" s="13"/>
      <c r="BDR756" s="13"/>
      <c r="BDS756" s="13"/>
      <c r="BDT756" s="13"/>
      <c r="BDU756" s="13"/>
      <c r="BDV756" s="13"/>
      <c r="BDW756" s="13"/>
      <c r="BDX756" s="13"/>
      <c r="BDY756" s="13"/>
      <c r="BDZ756" s="13"/>
      <c r="BEA756" s="13"/>
      <c r="BEB756" s="13"/>
      <c r="BEC756" s="13"/>
      <c r="BED756" s="13"/>
      <c r="BEE756" s="13"/>
      <c r="BEF756" s="13"/>
      <c r="BEG756" s="13"/>
      <c r="BEH756" s="13"/>
      <c r="BEI756" s="13"/>
      <c r="BEJ756" s="13"/>
      <c r="BEK756" s="13"/>
      <c r="BEL756" s="13"/>
      <c r="BEM756" s="13"/>
      <c r="BEN756" s="13"/>
      <c r="BEO756" s="13"/>
      <c r="BEP756" s="13"/>
      <c r="BEQ756" s="13"/>
      <c r="BER756" s="13"/>
      <c r="BES756" s="13"/>
      <c r="BET756" s="13"/>
      <c r="BEU756" s="13"/>
      <c r="BEV756" s="13"/>
      <c r="BEW756" s="13"/>
      <c r="BEX756" s="13"/>
      <c r="BEY756" s="13"/>
      <c r="BEZ756" s="13"/>
      <c r="BFA756" s="13"/>
      <c r="BFB756" s="13"/>
      <c r="BFC756" s="13"/>
      <c r="BFD756" s="13"/>
      <c r="BFE756" s="13"/>
      <c r="BFF756" s="13"/>
      <c r="BFG756" s="13"/>
      <c r="BFH756" s="13"/>
      <c r="BFI756" s="13"/>
      <c r="BFJ756" s="13"/>
      <c r="BFK756" s="13"/>
      <c r="BFL756" s="13"/>
      <c r="BFM756" s="13"/>
      <c r="BFN756" s="13"/>
      <c r="BFO756" s="13"/>
      <c r="BFP756" s="13"/>
      <c r="BFQ756" s="13"/>
      <c r="BFR756" s="13"/>
      <c r="BFS756" s="13"/>
      <c r="BFT756" s="13"/>
      <c r="BFU756" s="13"/>
      <c r="BFV756" s="13"/>
      <c r="BFW756" s="13"/>
      <c r="BFX756" s="13"/>
      <c r="BFY756" s="13"/>
      <c r="BFZ756" s="13"/>
      <c r="BGA756" s="13"/>
      <c r="BGB756" s="13"/>
      <c r="BGC756" s="13"/>
      <c r="BGD756" s="13"/>
      <c r="BGE756" s="13"/>
      <c r="BGF756" s="13"/>
      <c r="BGG756" s="13"/>
      <c r="BGH756" s="13"/>
      <c r="BGI756" s="13"/>
      <c r="BGJ756" s="13"/>
      <c r="BGK756" s="13"/>
      <c r="BGL756" s="13"/>
      <c r="BGM756" s="13"/>
      <c r="BGN756" s="13"/>
      <c r="BGO756" s="13"/>
      <c r="BGP756" s="13"/>
      <c r="BGQ756" s="13"/>
      <c r="BGR756" s="13"/>
      <c r="BGS756" s="13"/>
      <c r="BGT756" s="13"/>
      <c r="BGU756" s="13"/>
      <c r="BGV756" s="13"/>
      <c r="BGW756" s="13"/>
      <c r="BGX756" s="13"/>
      <c r="BGY756" s="13"/>
      <c r="BGZ756" s="13"/>
      <c r="BHA756" s="13"/>
      <c r="BHB756" s="13"/>
      <c r="BHC756" s="13"/>
      <c r="BHD756" s="13"/>
      <c r="BHE756" s="13"/>
      <c r="BHF756" s="13"/>
      <c r="BHG756" s="13"/>
      <c r="BHH756" s="13"/>
      <c r="BHI756" s="13"/>
      <c r="BHJ756" s="13"/>
      <c r="BHK756" s="13"/>
      <c r="BHL756" s="13"/>
      <c r="BHM756" s="13"/>
      <c r="BHN756" s="13"/>
      <c r="BHO756" s="13"/>
      <c r="BHP756" s="13"/>
      <c r="BHQ756" s="13"/>
      <c r="BHR756" s="13"/>
      <c r="BHS756" s="13"/>
      <c r="BHT756" s="13"/>
      <c r="BHU756" s="13"/>
      <c r="BHV756" s="13"/>
      <c r="BHW756" s="13"/>
      <c r="BHX756" s="13"/>
      <c r="BHY756" s="13"/>
      <c r="BHZ756" s="13"/>
      <c r="BIA756" s="13"/>
      <c r="BIB756" s="13"/>
      <c r="BIC756" s="13"/>
      <c r="BID756" s="13"/>
      <c r="BIE756" s="13"/>
      <c r="BIF756" s="13"/>
      <c r="BIG756" s="13"/>
      <c r="BIH756" s="13"/>
      <c r="BII756" s="13"/>
      <c r="BIJ756" s="13"/>
      <c r="BIK756" s="13"/>
      <c r="BIL756" s="13"/>
      <c r="BIM756" s="13"/>
      <c r="BIN756" s="13"/>
      <c r="BIO756" s="13"/>
      <c r="BIP756" s="13"/>
      <c r="BIQ756" s="13"/>
      <c r="BIR756" s="13"/>
      <c r="BIS756" s="13"/>
      <c r="BIT756" s="13"/>
      <c r="BIU756" s="13"/>
      <c r="BIV756" s="13"/>
      <c r="BIW756" s="13"/>
      <c r="BIX756" s="13"/>
      <c r="BIY756" s="13"/>
      <c r="BIZ756" s="13"/>
      <c r="BJA756" s="13"/>
      <c r="BJB756" s="13"/>
      <c r="BJC756" s="13"/>
      <c r="BJD756" s="13"/>
      <c r="BJE756" s="13"/>
      <c r="BJF756" s="13"/>
      <c r="BJG756" s="13"/>
      <c r="BJH756" s="13"/>
      <c r="BJI756" s="13"/>
      <c r="BJJ756" s="13"/>
      <c r="BJK756" s="13"/>
      <c r="BJL756" s="13"/>
      <c r="BJM756" s="13"/>
      <c r="BJN756" s="13"/>
      <c r="BJO756" s="13"/>
      <c r="BJP756" s="13"/>
      <c r="BJQ756" s="13"/>
      <c r="BJR756" s="13"/>
      <c r="BJS756" s="13"/>
      <c r="BJT756" s="13"/>
      <c r="BJU756" s="13"/>
      <c r="BJV756" s="13"/>
      <c r="BJW756" s="13"/>
      <c r="BJX756" s="13"/>
      <c r="BJY756" s="13"/>
      <c r="BJZ756" s="13"/>
      <c r="BKA756" s="13"/>
      <c r="BKB756" s="13"/>
      <c r="BKC756" s="13"/>
      <c r="BKD756" s="13"/>
      <c r="BKE756" s="13"/>
      <c r="BKF756" s="13"/>
      <c r="BKG756" s="13"/>
      <c r="BKH756" s="13"/>
      <c r="BKI756" s="13"/>
      <c r="BKJ756" s="13"/>
      <c r="BKK756" s="13"/>
      <c r="BKL756" s="13"/>
      <c r="BKM756" s="13"/>
      <c r="BKN756" s="13"/>
      <c r="BKO756" s="13"/>
      <c r="BKP756" s="13"/>
      <c r="BKQ756" s="13"/>
      <c r="BKR756" s="13"/>
      <c r="BKS756" s="13"/>
      <c r="BKT756" s="13"/>
      <c r="BKU756" s="13"/>
      <c r="BKV756" s="13"/>
      <c r="BKW756" s="13"/>
      <c r="BKX756" s="13"/>
      <c r="BKY756" s="13"/>
      <c r="BKZ756" s="13"/>
      <c r="BLA756" s="13"/>
      <c r="BLB756" s="13"/>
      <c r="BLC756" s="13"/>
      <c r="BLD756" s="13"/>
      <c r="BLE756" s="13"/>
      <c r="BLF756" s="13"/>
      <c r="BLG756" s="13"/>
      <c r="BLH756" s="13"/>
      <c r="BLI756" s="13"/>
      <c r="BLJ756" s="13"/>
      <c r="BLK756" s="13"/>
      <c r="BLL756" s="13"/>
      <c r="BLM756" s="13"/>
      <c r="BLN756" s="13"/>
      <c r="BLO756" s="13"/>
      <c r="BLP756" s="13"/>
      <c r="BLQ756" s="13"/>
      <c r="BLR756" s="13"/>
      <c r="BLS756" s="13"/>
      <c r="BLT756" s="13"/>
      <c r="BLU756" s="13"/>
      <c r="BLV756" s="13"/>
      <c r="BLW756" s="13"/>
      <c r="BLX756" s="13"/>
      <c r="BLY756" s="13"/>
      <c r="BLZ756" s="13"/>
      <c r="BMA756" s="13"/>
      <c r="BMB756" s="13"/>
      <c r="BMC756" s="13"/>
      <c r="BMD756" s="13"/>
      <c r="BME756" s="13"/>
      <c r="BMF756" s="13"/>
      <c r="BMG756" s="13"/>
      <c r="BMH756" s="13"/>
      <c r="BMI756" s="13"/>
      <c r="BMJ756" s="13"/>
      <c r="BMK756" s="13"/>
      <c r="BML756" s="13"/>
      <c r="BMM756" s="13"/>
      <c r="BMN756" s="13"/>
      <c r="BMO756" s="13"/>
      <c r="BMP756" s="13"/>
      <c r="BMQ756" s="13"/>
      <c r="BMR756" s="13"/>
      <c r="BMS756" s="13"/>
      <c r="BMT756" s="13"/>
      <c r="BMU756" s="13"/>
      <c r="BMV756" s="13"/>
      <c r="BMW756" s="13"/>
      <c r="BMX756" s="13"/>
      <c r="BMY756" s="13"/>
      <c r="BMZ756" s="13"/>
      <c r="BNA756" s="13"/>
      <c r="BNB756" s="13"/>
      <c r="BNC756" s="13"/>
      <c r="BND756" s="13"/>
      <c r="BNE756" s="13"/>
      <c r="BNF756" s="13"/>
      <c r="BNG756" s="13"/>
      <c r="BNH756" s="13"/>
      <c r="BNI756" s="13"/>
      <c r="BNJ756" s="13"/>
      <c r="BNK756" s="13"/>
      <c r="BNL756" s="13"/>
      <c r="BNM756" s="13"/>
      <c r="BNN756" s="13"/>
      <c r="BNO756" s="13"/>
      <c r="BNP756" s="13"/>
      <c r="BNQ756" s="13"/>
      <c r="BNR756" s="13"/>
      <c r="BNS756" s="13"/>
      <c r="BNT756" s="13"/>
      <c r="BNU756" s="13"/>
      <c r="BNV756" s="13"/>
      <c r="BNW756" s="13"/>
      <c r="BNX756" s="13"/>
      <c r="BNY756" s="13"/>
      <c r="BNZ756" s="13"/>
      <c r="BOA756" s="13"/>
      <c r="BOB756" s="13"/>
      <c r="BOC756" s="13"/>
      <c r="BOD756" s="13"/>
      <c r="BOE756" s="13"/>
      <c r="BOF756" s="13"/>
      <c r="BOG756" s="13"/>
      <c r="BOH756" s="13"/>
      <c r="BOI756" s="13"/>
      <c r="BOJ756" s="13"/>
      <c r="BOK756" s="13"/>
      <c r="BOL756" s="13"/>
      <c r="BOM756" s="13"/>
      <c r="BON756" s="13"/>
      <c r="BOO756" s="13"/>
      <c r="BOP756" s="13"/>
      <c r="BOQ756" s="13"/>
      <c r="BOR756" s="13"/>
      <c r="BOS756" s="13"/>
      <c r="BOT756" s="13"/>
      <c r="BOU756" s="13"/>
      <c r="BOV756" s="13"/>
      <c r="BOW756" s="13"/>
      <c r="BOX756" s="13"/>
      <c r="BOY756" s="13"/>
      <c r="BOZ756" s="13"/>
      <c r="BPA756" s="13"/>
      <c r="BPB756" s="13"/>
      <c r="BPC756" s="13"/>
      <c r="BPD756" s="13"/>
      <c r="BPE756" s="13"/>
      <c r="BPF756" s="13"/>
      <c r="BPG756" s="13"/>
      <c r="BPH756" s="13"/>
      <c r="BPI756" s="13"/>
      <c r="BPJ756" s="13"/>
      <c r="BPK756" s="13"/>
      <c r="BPL756" s="13"/>
      <c r="BPM756" s="13"/>
      <c r="BPN756" s="13"/>
      <c r="BPO756" s="13"/>
      <c r="BPP756" s="13"/>
      <c r="BPQ756" s="13"/>
      <c r="BPR756" s="13"/>
      <c r="BPS756" s="13"/>
      <c r="BPT756" s="13"/>
      <c r="BPU756" s="13"/>
      <c r="BPV756" s="13"/>
      <c r="BPW756" s="13"/>
      <c r="BPX756" s="13"/>
      <c r="BPY756" s="13"/>
      <c r="BPZ756" s="13"/>
      <c r="BQA756" s="13"/>
      <c r="BQB756" s="13"/>
      <c r="BQC756" s="13"/>
      <c r="BQD756" s="13"/>
      <c r="BQE756" s="13"/>
      <c r="BQF756" s="13"/>
      <c r="BQG756" s="13"/>
      <c r="BQH756" s="13"/>
      <c r="BQI756" s="13"/>
      <c r="BQJ756" s="13"/>
      <c r="BQK756" s="13"/>
      <c r="BQL756" s="13"/>
      <c r="BQM756" s="13"/>
      <c r="BQN756" s="13"/>
      <c r="BQO756" s="13"/>
      <c r="BQP756" s="13"/>
      <c r="BQQ756" s="13"/>
      <c r="BQR756" s="13"/>
      <c r="BQS756" s="13"/>
      <c r="BQT756" s="13"/>
      <c r="BQU756" s="13"/>
      <c r="BQV756" s="13"/>
      <c r="BQW756" s="13"/>
      <c r="BQX756" s="13"/>
      <c r="BQY756" s="13"/>
      <c r="BQZ756" s="13"/>
      <c r="BRA756" s="13"/>
      <c r="BRB756" s="13"/>
      <c r="BRC756" s="13"/>
      <c r="BRD756" s="13"/>
      <c r="BRE756" s="13"/>
      <c r="BRF756" s="13"/>
      <c r="BRG756" s="13"/>
      <c r="BRH756" s="13"/>
      <c r="BRI756" s="13"/>
      <c r="BRJ756" s="13"/>
      <c r="BRK756" s="13"/>
      <c r="BRL756" s="13"/>
      <c r="BRM756" s="13"/>
      <c r="BRN756" s="13"/>
      <c r="BRO756" s="13"/>
      <c r="BRP756" s="13"/>
      <c r="BRQ756" s="13"/>
      <c r="BRR756" s="13"/>
      <c r="BRS756" s="13"/>
      <c r="BRT756" s="13"/>
      <c r="BRU756" s="13"/>
      <c r="BRV756" s="13"/>
      <c r="BRW756" s="13"/>
      <c r="BRX756" s="13"/>
      <c r="BRY756" s="13"/>
      <c r="BRZ756" s="13"/>
      <c r="BSA756" s="13"/>
      <c r="BSB756" s="13"/>
      <c r="BSC756" s="13"/>
      <c r="BSD756" s="13"/>
      <c r="BSE756" s="13"/>
      <c r="BSF756" s="13"/>
      <c r="BSG756" s="13"/>
      <c r="BSH756" s="13"/>
      <c r="BSI756" s="13"/>
      <c r="BSJ756" s="13"/>
      <c r="BSK756" s="13"/>
      <c r="BSL756" s="13"/>
      <c r="BSM756" s="13"/>
      <c r="BSN756" s="13"/>
      <c r="BSO756" s="13"/>
      <c r="BSP756" s="13"/>
      <c r="BSQ756" s="13"/>
      <c r="BSR756" s="13"/>
      <c r="BSS756" s="13"/>
      <c r="BST756" s="13"/>
      <c r="BSU756" s="13"/>
      <c r="BSV756" s="13"/>
      <c r="BSW756" s="13"/>
      <c r="BSX756" s="13"/>
      <c r="BSY756" s="13"/>
      <c r="BSZ756" s="13"/>
      <c r="BTA756" s="13"/>
    </row>
    <row r="757" spans="1:1873" s="254" customFormat="1" x14ac:dyDescent="0.2">
      <c r="A757" s="283"/>
      <c r="B757" s="249"/>
      <c r="C757" s="249"/>
      <c r="D757" s="283"/>
      <c r="E757" s="305"/>
      <c r="F757" s="283"/>
      <c r="G757" s="251"/>
      <c r="H757" s="242"/>
      <c r="I757" s="249"/>
      <c r="J757" s="249"/>
      <c r="K757" s="249"/>
      <c r="L757" s="249"/>
      <c r="M757" s="253"/>
      <c r="N757" s="249"/>
      <c r="O757" s="18"/>
      <c r="P757" s="284"/>
      <c r="Q757" s="249"/>
      <c r="R757" s="253"/>
      <c r="S757" s="249"/>
      <c r="T757" s="426"/>
      <c r="U757" s="249"/>
      <c r="V757" s="249"/>
      <c r="W757" s="253"/>
      <c r="X757" s="249"/>
      <c r="Y757" s="249"/>
      <c r="Z757" s="249"/>
      <c r="AA757" s="384"/>
      <c r="AB757" s="253"/>
      <c r="AC757" s="249"/>
      <c r="AD757" s="249"/>
      <c r="AE757" s="249"/>
      <c r="AF757" s="249"/>
      <c r="AG757" s="404"/>
      <c r="AH757" s="249"/>
      <c r="AI757" s="404"/>
      <c r="AJ757" s="249"/>
      <c r="AK757" s="249"/>
      <c r="AL757" s="249"/>
      <c r="AM757" s="249"/>
      <c r="AN757" s="249"/>
      <c r="AO757" s="249"/>
      <c r="AP757" s="249"/>
      <c r="AQ757" s="249"/>
      <c r="AR757" s="249"/>
      <c r="AS757" s="249"/>
      <c r="AT757" s="249"/>
      <c r="AU757" s="249"/>
      <c r="AV757" s="249"/>
      <c r="AW757" s="223"/>
      <c r="AX757" s="249"/>
      <c r="AY757" s="249"/>
      <c r="AZ757" s="249"/>
      <c r="BA757" s="249"/>
      <c r="BB757" s="249"/>
      <c r="BC757" s="249"/>
      <c r="BD757" s="249"/>
      <c r="BE757" s="249"/>
      <c r="BF757" s="249"/>
      <c r="BG757" s="249"/>
      <c r="BH757" s="249"/>
      <c r="BI757" s="249"/>
      <c r="BJ757" s="249"/>
      <c r="BK757" s="249"/>
      <c r="BL757" s="249"/>
      <c r="BM757" s="249"/>
      <c r="BN757" s="253"/>
      <c r="BO757" s="249"/>
      <c r="BP757" s="249"/>
      <c r="BQ757" s="249"/>
      <c r="BR757" s="249"/>
      <c r="BS757" s="242"/>
      <c r="BT757" s="249"/>
      <c r="BU757" s="249"/>
      <c r="BV757" s="249"/>
      <c r="BW757" s="249"/>
      <c r="BX757" s="249"/>
      <c r="BY757" s="249"/>
      <c r="BZ757" s="249"/>
      <c r="CA757" s="335"/>
      <c r="CC757" s="283"/>
      <c r="CD757" s="251"/>
      <c r="CE757" s="342"/>
      <c r="CF757" s="342"/>
      <c r="CG757" s="242"/>
      <c r="CH757" s="13"/>
      <c r="CI757" s="13"/>
      <c r="CJ757" s="13"/>
      <c r="CK757" s="13"/>
      <c r="CL757" s="13"/>
      <c r="CM757" s="13"/>
      <c r="CN757" s="13"/>
      <c r="CO757" s="13"/>
      <c r="CP757" s="13"/>
      <c r="CQ757" s="13"/>
      <c r="CR757" s="13"/>
      <c r="CS757" s="13"/>
      <c r="CT757" s="13"/>
      <c r="CU757" s="13"/>
      <c r="CV757" s="13"/>
      <c r="CW757" s="13"/>
      <c r="CX757" s="13"/>
      <c r="CY757" s="13"/>
      <c r="CZ757" s="13"/>
      <c r="DA757" s="13"/>
      <c r="DB757" s="13"/>
      <c r="DC757" s="13"/>
      <c r="DD757" s="13"/>
      <c r="DE757" s="13"/>
      <c r="DF757" s="13"/>
      <c r="DG757" s="13"/>
      <c r="DH757" s="13"/>
      <c r="DI757" s="13"/>
      <c r="DJ757" s="13"/>
      <c r="DK757" s="13"/>
      <c r="DL757" s="13"/>
      <c r="DM757" s="13"/>
      <c r="DN757" s="13"/>
      <c r="DO757" s="13"/>
      <c r="DP757" s="13"/>
      <c r="DQ757" s="13"/>
      <c r="DR757" s="13"/>
      <c r="DS757" s="13"/>
      <c r="DT757" s="13"/>
      <c r="DU757" s="13"/>
      <c r="DV757" s="13"/>
      <c r="DW757" s="13"/>
      <c r="DX757" s="13"/>
      <c r="DY757" s="13"/>
      <c r="DZ757" s="13"/>
      <c r="EA757" s="13"/>
      <c r="EB757" s="13"/>
      <c r="EC757" s="13"/>
      <c r="ED757" s="13"/>
      <c r="EE757" s="13"/>
      <c r="EF757" s="13"/>
      <c r="EG757" s="13"/>
      <c r="EH757" s="13"/>
      <c r="EI757" s="13"/>
      <c r="EJ757" s="13"/>
      <c r="EK757" s="13"/>
      <c r="EL757" s="13"/>
      <c r="EM757" s="13"/>
      <c r="EN757" s="13"/>
      <c r="EO757" s="13"/>
      <c r="EP757" s="13"/>
      <c r="EQ757" s="13"/>
      <c r="ER757" s="13"/>
      <c r="ES757" s="13"/>
      <c r="ET757" s="13"/>
      <c r="EU757" s="13"/>
      <c r="EV757" s="13"/>
      <c r="EW757" s="13"/>
      <c r="EX757" s="13"/>
      <c r="EY757" s="13"/>
      <c r="EZ757" s="13"/>
      <c r="FA757" s="13"/>
      <c r="FB757" s="13"/>
      <c r="FC757" s="13"/>
      <c r="FD757" s="13"/>
      <c r="FE757" s="13"/>
      <c r="FF757" s="13"/>
      <c r="FG757" s="13"/>
      <c r="FH757" s="13"/>
      <c r="FI757" s="13"/>
      <c r="FJ757" s="13"/>
      <c r="FK757" s="13"/>
      <c r="FL757" s="13"/>
      <c r="FM757" s="13"/>
      <c r="FN757" s="13"/>
      <c r="FO757" s="13"/>
      <c r="FP757" s="13"/>
      <c r="FQ757" s="13"/>
      <c r="FR757" s="13"/>
      <c r="FS757" s="13"/>
      <c r="FT757" s="13"/>
      <c r="FU757" s="13"/>
      <c r="FV757" s="13"/>
      <c r="FW757" s="13"/>
      <c r="FX757" s="13"/>
      <c r="FY757" s="13"/>
      <c r="FZ757" s="13"/>
      <c r="GA757" s="13"/>
      <c r="GB757" s="13"/>
      <c r="GC757" s="13"/>
      <c r="GD757" s="13"/>
      <c r="GE757" s="13"/>
      <c r="GF757" s="13"/>
      <c r="GG757" s="13"/>
      <c r="GH757" s="13"/>
      <c r="GI757" s="13"/>
      <c r="GJ757" s="13"/>
      <c r="GK757" s="13"/>
      <c r="GL757" s="13"/>
      <c r="GM757" s="13"/>
      <c r="GN757" s="13"/>
      <c r="GO757" s="13"/>
      <c r="GP757" s="13"/>
      <c r="GQ757" s="13"/>
      <c r="GR757" s="13"/>
      <c r="GS757" s="13"/>
      <c r="GT757" s="13"/>
      <c r="GU757" s="13"/>
      <c r="GV757" s="13"/>
      <c r="GW757" s="13"/>
      <c r="GX757" s="13"/>
      <c r="GY757" s="13"/>
      <c r="GZ757" s="13"/>
      <c r="HA757" s="13"/>
      <c r="HB757" s="13"/>
      <c r="HC757" s="13"/>
      <c r="HD757" s="13"/>
      <c r="HE757" s="13"/>
      <c r="HF757" s="13"/>
      <c r="HG757" s="13"/>
      <c r="HH757" s="13"/>
      <c r="HI757" s="13"/>
      <c r="HJ757" s="13"/>
      <c r="HK757" s="13"/>
      <c r="HL757" s="13"/>
      <c r="HM757" s="13"/>
      <c r="HN757" s="13"/>
      <c r="HO757" s="13"/>
      <c r="HP757" s="13"/>
      <c r="HQ757" s="13"/>
      <c r="HR757" s="13"/>
      <c r="HS757" s="13"/>
      <c r="HT757" s="13"/>
      <c r="HU757" s="13"/>
      <c r="HV757" s="13"/>
      <c r="HW757" s="13"/>
      <c r="HX757" s="13"/>
      <c r="HY757" s="13"/>
      <c r="HZ757" s="13"/>
      <c r="IA757" s="13"/>
      <c r="IB757" s="13"/>
      <c r="IC757" s="13"/>
      <c r="ID757" s="13"/>
      <c r="IE757" s="13"/>
      <c r="IF757" s="13"/>
      <c r="IG757" s="13"/>
      <c r="IH757" s="13"/>
      <c r="II757" s="13"/>
      <c r="IJ757" s="13"/>
      <c r="IK757" s="13"/>
      <c r="IL757" s="13"/>
      <c r="IM757" s="13"/>
      <c r="IN757" s="13"/>
      <c r="IO757" s="13"/>
      <c r="IP757" s="13"/>
      <c r="IQ757" s="13"/>
      <c r="IR757" s="13"/>
      <c r="IS757" s="13"/>
      <c r="IT757" s="13"/>
      <c r="IU757" s="13"/>
      <c r="IV757" s="13"/>
      <c r="IW757" s="13"/>
      <c r="IX757" s="13"/>
      <c r="IY757" s="13"/>
      <c r="IZ757" s="13"/>
      <c r="JA757" s="13"/>
      <c r="JB757" s="13"/>
      <c r="JC757" s="13"/>
      <c r="JD757" s="13"/>
      <c r="JE757" s="13"/>
      <c r="JF757" s="13"/>
      <c r="JG757" s="13"/>
      <c r="JH757" s="13"/>
      <c r="JI757" s="13"/>
      <c r="JJ757" s="13"/>
      <c r="JK757" s="13"/>
      <c r="JL757" s="13"/>
      <c r="JM757" s="13"/>
      <c r="JN757" s="13"/>
      <c r="JO757" s="13"/>
      <c r="JP757" s="13"/>
      <c r="JQ757" s="13"/>
      <c r="JR757" s="13"/>
      <c r="JS757" s="13"/>
      <c r="JT757" s="13"/>
      <c r="JU757" s="13"/>
      <c r="JV757" s="13"/>
      <c r="JW757" s="13"/>
      <c r="JX757" s="13"/>
      <c r="JY757" s="13"/>
      <c r="JZ757" s="13"/>
      <c r="KA757" s="13"/>
      <c r="KB757" s="13"/>
      <c r="KC757" s="13"/>
      <c r="KD757" s="13"/>
      <c r="KE757" s="13"/>
      <c r="KF757" s="13"/>
      <c r="KG757" s="13"/>
      <c r="KH757" s="13"/>
      <c r="KI757" s="13"/>
      <c r="KJ757" s="13"/>
      <c r="KK757" s="13"/>
      <c r="KL757" s="13"/>
      <c r="KM757" s="13"/>
      <c r="KN757" s="13"/>
      <c r="KO757" s="13"/>
      <c r="KP757" s="13"/>
      <c r="KQ757" s="13"/>
      <c r="KR757" s="13"/>
      <c r="KS757" s="13"/>
      <c r="KT757" s="13"/>
      <c r="KU757" s="13"/>
      <c r="KV757" s="13"/>
      <c r="KW757" s="13"/>
      <c r="KX757" s="13"/>
      <c r="KY757" s="13"/>
      <c r="KZ757" s="13"/>
      <c r="LA757" s="13"/>
      <c r="LB757" s="13"/>
      <c r="LC757" s="13"/>
      <c r="LD757" s="13"/>
      <c r="LE757" s="13"/>
      <c r="LF757" s="13"/>
      <c r="LG757" s="13"/>
      <c r="LH757" s="13"/>
      <c r="LI757" s="13"/>
      <c r="LJ757" s="13"/>
      <c r="LK757" s="13"/>
      <c r="LL757" s="13"/>
      <c r="LM757" s="13"/>
      <c r="LN757" s="13"/>
      <c r="LO757" s="13"/>
      <c r="LP757" s="13"/>
      <c r="LQ757" s="13"/>
      <c r="LR757" s="13"/>
      <c r="LS757" s="13"/>
      <c r="LT757" s="13"/>
      <c r="LU757" s="13"/>
      <c r="LV757" s="13"/>
      <c r="LW757" s="13"/>
      <c r="LX757" s="13"/>
      <c r="LY757" s="13"/>
      <c r="LZ757" s="13"/>
      <c r="MA757" s="13"/>
      <c r="MB757" s="13"/>
      <c r="MC757" s="13"/>
      <c r="MD757" s="13"/>
      <c r="ME757" s="13"/>
      <c r="MF757" s="13"/>
      <c r="MG757" s="13"/>
      <c r="MH757" s="13"/>
      <c r="MI757" s="13"/>
      <c r="MJ757" s="13"/>
      <c r="MK757" s="13"/>
      <c r="ML757" s="13"/>
      <c r="MM757" s="13"/>
      <c r="MN757" s="13"/>
      <c r="MO757" s="13"/>
      <c r="MP757" s="13"/>
      <c r="MQ757" s="13"/>
      <c r="MR757" s="13"/>
      <c r="MS757" s="13"/>
      <c r="MT757" s="13"/>
      <c r="MU757" s="13"/>
      <c r="MV757" s="13"/>
      <c r="MW757" s="13"/>
      <c r="MX757" s="13"/>
      <c r="MY757" s="13"/>
      <c r="MZ757" s="13"/>
      <c r="NA757" s="13"/>
      <c r="NB757" s="13"/>
      <c r="NC757" s="13"/>
      <c r="ND757" s="13"/>
      <c r="NE757" s="13"/>
      <c r="NF757" s="13"/>
      <c r="NG757" s="13"/>
      <c r="NH757" s="13"/>
      <c r="NI757" s="13"/>
      <c r="NJ757" s="13"/>
      <c r="NK757" s="13"/>
      <c r="NL757" s="13"/>
      <c r="NM757" s="13"/>
      <c r="NN757" s="13"/>
      <c r="NO757" s="13"/>
      <c r="NP757" s="13"/>
      <c r="NQ757" s="13"/>
      <c r="NR757" s="13"/>
      <c r="NS757" s="13"/>
      <c r="NT757" s="13"/>
      <c r="NU757" s="13"/>
      <c r="NV757" s="13"/>
      <c r="NW757" s="13"/>
      <c r="NX757" s="13"/>
      <c r="NY757" s="13"/>
      <c r="NZ757" s="13"/>
      <c r="OA757" s="13"/>
      <c r="OB757" s="13"/>
      <c r="OC757" s="13"/>
      <c r="OD757" s="13"/>
      <c r="OE757" s="13"/>
      <c r="OF757" s="13"/>
      <c r="OG757" s="13"/>
      <c r="OH757" s="13"/>
      <c r="OI757" s="13"/>
      <c r="OJ757" s="13"/>
      <c r="OK757" s="13"/>
      <c r="OL757" s="13"/>
      <c r="OM757" s="13"/>
      <c r="ON757" s="13"/>
      <c r="OO757" s="13"/>
      <c r="OP757" s="13"/>
      <c r="OQ757" s="13"/>
      <c r="OR757" s="13"/>
      <c r="OS757" s="13"/>
      <c r="OT757" s="13"/>
      <c r="OU757" s="13"/>
      <c r="OV757" s="13"/>
      <c r="OW757" s="13"/>
      <c r="OX757" s="13"/>
      <c r="OY757" s="13"/>
      <c r="OZ757" s="13"/>
      <c r="PA757" s="13"/>
      <c r="PB757" s="13"/>
      <c r="PC757" s="13"/>
      <c r="PD757" s="13"/>
      <c r="PE757" s="13"/>
      <c r="PF757" s="13"/>
      <c r="PG757" s="13"/>
      <c r="PH757" s="13"/>
      <c r="PI757" s="13"/>
      <c r="PJ757" s="13"/>
      <c r="PK757" s="13"/>
      <c r="PL757" s="13"/>
      <c r="PM757" s="13"/>
      <c r="PN757" s="13"/>
      <c r="PO757" s="13"/>
      <c r="PP757" s="13"/>
      <c r="PQ757" s="13"/>
      <c r="PR757" s="13"/>
      <c r="PS757" s="13"/>
      <c r="PT757" s="13"/>
      <c r="PU757" s="13"/>
      <c r="PV757" s="13"/>
      <c r="PW757" s="13"/>
      <c r="PX757" s="13"/>
      <c r="PY757" s="13"/>
      <c r="PZ757" s="13"/>
      <c r="QA757" s="13"/>
      <c r="QB757" s="13"/>
      <c r="QC757" s="13"/>
      <c r="QD757" s="13"/>
      <c r="QE757" s="13"/>
      <c r="QF757" s="13"/>
      <c r="QG757" s="13"/>
      <c r="QH757" s="13"/>
      <c r="QI757" s="13"/>
      <c r="QJ757" s="13"/>
      <c r="QK757" s="13"/>
      <c r="QL757" s="13"/>
      <c r="QM757" s="13"/>
      <c r="QN757" s="13"/>
      <c r="QO757" s="13"/>
      <c r="QP757" s="13"/>
      <c r="QQ757" s="13"/>
      <c r="QR757" s="13"/>
      <c r="QS757" s="13"/>
      <c r="QT757" s="13"/>
      <c r="QU757" s="13"/>
      <c r="QV757" s="13"/>
      <c r="QW757" s="13"/>
      <c r="QX757" s="13"/>
      <c r="QY757" s="13"/>
      <c r="QZ757" s="13"/>
      <c r="RA757" s="13"/>
      <c r="RB757" s="13"/>
      <c r="RC757" s="13"/>
      <c r="RD757" s="13"/>
      <c r="RE757" s="13"/>
      <c r="RF757" s="13"/>
      <c r="RG757" s="13"/>
      <c r="RH757" s="13"/>
      <c r="RI757" s="13"/>
      <c r="RJ757" s="13"/>
      <c r="RK757" s="13"/>
      <c r="RL757" s="13"/>
      <c r="RM757" s="13"/>
      <c r="RN757" s="13"/>
      <c r="RO757" s="13"/>
      <c r="RP757" s="13"/>
      <c r="RQ757" s="13"/>
      <c r="RR757" s="13"/>
      <c r="RS757" s="13"/>
      <c r="RT757" s="13"/>
      <c r="RU757" s="13"/>
      <c r="RV757" s="13"/>
      <c r="RW757" s="13"/>
      <c r="RX757" s="13"/>
      <c r="RY757" s="13"/>
      <c r="RZ757" s="13"/>
      <c r="SA757" s="13"/>
      <c r="SB757" s="13"/>
      <c r="SC757" s="13"/>
      <c r="SD757" s="13"/>
      <c r="SE757" s="13"/>
      <c r="SF757" s="13"/>
      <c r="SG757" s="13"/>
      <c r="SH757" s="13"/>
      <c r="SI757" s="13"/>
      <c r="SJ757" s="13"/>
      <c r="SK757" s="13"/>
      <c r="SL757" s="13"/>
      <c r="SM757" s="13"/>
      <c r="SN757" s="13"/>
      <c r="SO757" s="13"/>
      <c r="SP757" s="13"/>
      <c r="SQ757" s="13"/>
      <c r="SR757" s="13"/>
      <c r="SS757" s="13"/>
      <c r="ST757" s="13"/>
      <c r="SU757" s="13"/>
      <c r="SV757" s="13"/>
      <c r="SW757" s="13"/>
      <c r="SX757" s="13"/>
      <c r="SY757" s="13"/>
      <c r="SZ757" s="13"/>
      <c r="TA757" s="13"/>
      <c r="TB757" s="13"/>
      <c r="TC757" s="13"/>
      <c r="TD757" s="13"/>
      <c r="TE757" s="13"/>
      <c r="TF757" s="13"/>
      <c r="TG757" s="13"/>
      <c r="TH757" s="13"/>
      <c r="TI757" s="13"/>
      <c r="TJ757" s="13"/>
      <c r="TK757" s="13"/>
      <c r="TL757" s="13"/>
      <c r="TM757" s="13"/>
      <c r="TN757" s="13"/>
      <c r="TO757" s="13"/>
      <c r="TP757" s="13"/>
      <c r="TQ757" s="13"/>
      <c r="TR757" s="13"/>
      <c r="TS757" s="13"/>
      <c r="TT757" s="13"/>
      <c r="TU757" s="13"/>
      <c r="TV757" s="13"/>
      <c r="TW757" s="13"/>
      <c r="TX757" s="13"/>
      <c r="TY757" s="13"/>
      <c r="TZ757" s="13"/>
      <c r="UA757" s="13"/>
      <c r="UB757" s="13"/>
      <c r="UC757" s="13"/>
      <c r="UD757" s="13"/>
      <c r="UE757" s="13"/>
      <c r="UF757" s="13"/>
      <c r="UG757" s="13"/>
      <c r="UH757" s="13"/>
      <c r="UI757" s="13"/>
      <c r="UJ757" s="13"/>
      <c r="UK757" s="13"/>
      <c r="UL757" s="13"/>
      <c r="UM757" s="13"/>
      <c r="UN757" s="13"/>
      <c r="UO757" s="13"/>
      <c r="UP757" s="13"/>
      <c r="UQ757" s="13"/>
      <c r="UR757" s="13"/>
      <c r="US757" s="13"/>
      <c r="UT757" s="13"/>
      <c r="UU757" s="13"/>
      <c r="UV757" s="13"/>
      <c r="UW757" s="13"/>
      <c r="UX757" s="13"/>
      <c r="UY757" s="13"/>
      <c r="UZ757" s="13"/>
      <c r="VA757" s="13"/>
      <c r="VB757" s="13"/>
      <c r="VC757" s="13"/>
      <c r="VD757" s="13"/>
      <c r="VE757" s="13"/>
      <c r="VF757" s="13"/>
      <c r="VG757" s="13"/>
      <c r="VH757" s="13"/>
      <c r="VI757" s="13"/>
      <c r="VJ757" s="13"/>
      <c r="VK757" s="13"/>
      <c r="VL757" s="13"/>
      <c r="VM757" s="13"/>
      <c r="VN757" s="13"/>
      <c r="VO757" s="13"/>
      <c r="VP757" s="13"/>
      <c r="VQ757" s="13"/>
      <c r="VR757" s="13"/>
      <c r="VS757" s="13"/>
      <c r="VT757" s="13"/>
      <c r="VU757" s="13"/>
      <c r="VV757" s="13"/>
      <c r="VW757" s="13"/>
      <c r="VX757" s="13"/>
      <c r="VY757" s="13"/>
      <c r="VZ757" s="13"/>
      <c r="WA757" s="13"/>
      <c r="WB757" s="13"/>
      <c r="WC757" s="13"/>
      <c r="WD757" s="13"/>
      <c r="WE757" s="13"/>
      <c r="WF757" s="13"/>
      <c r="WG757" s="13"/>
      <c r="WH757" s="13"/>
      <c r="WI757" s="13"/>
      <c r="WJ757" s="13"/>
      <c r="WK757" s="13"/>
      <c r="WL757" s="13"/>
      <c r="WM757" s="13"/>
      <c r="WN757" s="13"/>
      <c r="WO757" s="13"/>
      <c r="WP757" s="13"/>
      <c r="WQ757" s="13"/>
      <c r="WR757" s="13"/>
      <c r="WS757" s="13"/>
      <c r="WT757" s="13"/>
      <c r="WU757" s="13"/>
      <c r="WV757" s="13"/>
      <c r="WW757" s="13"/>
      <c r="WX757" s="13"/>
      <c r="WY757" s="13"/>
      <c r="WZ757" s="13"/>
      <c r="XA757" s="13"/>
      <c r="XB757" s="13"/>
      <c r="XC757" s="13"/>
      <c r="XD757" s="13"/>
      <c r="XE757" s="13"/>
      <c r="XF757" s="13"/>
      <c r="XG757" s="13"/>
      <c r="XH757" s="13"/>
      <c r="XI757" s="13"/>
      <c r="XJ757" s="13"/>
      <c r="XK757" s="13"/>
      <c r="XL757" s="13"/>
      <c r="XM757" s="13"/>
      <c r="XN757" s="13"/>
      <c r="XO757" s="13"/>
      <c r="XP757" s="13"/>
      <c r="XQ757" s="13"/>
      <c r="XR757" s="13"/>
      <c r="XS757" s="13"/>
      <c r="XT757" s="13"/>
      <c r="XU757" s="13"/>
      <c r="XV757" s="13"/>
      <c r="XW757" s="13"/>
      <c r="XX757" s="13"/>
      <c r="XY757" s="13"/>
      <c r="XZ757" s="13"/>
      <c r="YA757" s="13"/>
      <c r="YB757" s="13"/>
      <c r="YC757" s="13"/>
      <c r="YD757" s="13"/>
      <c r="YE757" s="13"/>
      <c r="YF757" s="13"/>
      <c r="YG757" s="13"/>
      <c r="YH757" s="13"/>
      <c r="YI757" s="13"/>
      <c r="YJ757" s="13"/>
      <c r="YK757" s="13"/>
      <c r="YL757" s="13"/>
      <c r="YM757" s="13"/>
      <c r="YN757" s="13"/>
      <c r="YO757" s="13"/>
      <c r="YP757" s="13"/>
      <c r="YQ757" s="13"/>
      <c r="YR757" s="13"/>
      <c r="YS757" s="13"/>
      <c r="YT757" s="13"/>
      <c r="YU757" s="13"/>
      <c r="YV757" s="13"/>
      <c r="YW757" s="13"/>
      <c r="YX757" s="13"/>
      <c r="YY757" s="13"/>
      <c r="YZ757" s="13"/>
      <c r="ZA757" s="13"/>
      <c r="ZB757" s="13"/>
      <c r="ZC757" s="13"/>
      <c r="ZD757" s="13"/>
      <c r="ZE757" s="13"/>
      <c r="ZF757" s="13"/>
      <c r="ZG757" s="13"/>
      <c r="ZH757" s="13"/>
      <c r="ZI757" s="13"/>
      <c r="ZJ757" s="13"/>
      <c r="ZK757" s="13"/>
      <c r="ZL757" s="13"/>
      <c r="ZM757" s="13"/>
      <c r="ZN757" s="13"/>
      <c r="ZO757" s="13"/>
      <c r="ZP757" s="13"/>
      <c r="ZQ757" s="13"/>
      <c r="ZR757" s="13"/>
      <c r="ZS757" s="13"/>
      <c r="ZT757" s="13"/>
      <c r="ZU757" s="13"/>
      <c r="ZV757" s="13"/>
      <c r="ZW757" s="13"/>
      <c r="ZX757" s="13"/>
      <c r="ZY757" s="13"/>
      <c r="ZZ757" s="13"/>
      <c r="AAA757" s="13"/>
      <c r="AAB757" s="13"/>
      <c r="AAC757" s="13"/>
      <c r="AAD757" s="13"/>
      <c r="AAE757" s="13"/>
      <c r="AAF757" s="13"/>
      <c r="AAG757" s="13"/>
      <c r="AAH757" s="13"/>
      <c r="AAI757" s="13"/>
      <c r="AAJ757" s="13"/>
      <c r="AAK757" s="13"/>
      <c r="AAL757" s="13"/>
      <c r="AAM757" s="13"/>
      <c r="AAN757" s="13"/>
      <c r="AAO757" s="13"/>
      <c r="AAP757" s="13"/>
      <c r="AAQ757" s="13"/>
      <c r="AAR757" s="13"/>
      <c r="AAS757" s="13"/>
      <c r="AAT757" s="13"/>
      <c r="AAU757" s="13"/>
      <c r="AAV757" s="13"/>
      <c r="AAW757" s="13"/>
      <c r="AAX757" s="13"/>
      <c r="AAY757" s="13"/>
      <c r="AAZ757" s="13"/>
      <c r="ABA757" s="13"/>
      <c r="ABB757" s="13"/>
      <c r="ABC757" s="13"/>
      <c r="ABD757" s="13"/>
      <c r="ABE757" s="13"/>
      <c r="ABF757" s="13"/>
      <c r="ABG757" s="13"/>
      <c r="ABH757" s="13"/>
      <c r="ABI757" s="13"/>
      <c r="ABJ757" s="13"/>
      <c r="ABK757" s="13"/>
      <c r="ABL757" s="13"/>
      <c r="ABM757" s="13"/>
      <c r="ABN757" s="13"/>
      <c r="ABO757" s="13"/>
      <c r="ABP757" s="13"/>
      <c r="ABQ757" s="13"/>
      <c r="ABR757" s="13"/>
      <c r="ABS757" s="13"/>
      <c r="ABT757" s="13"/>
      <c r="ABU757" s="13"/>
      <c r="ABV757" s="13"/>
      <c r="ABW757" s="13"/>
      <c r="ABX757" s="13"/>
      <c r="ABY757" s="13"/>
      <c r="ABZ757" s="13"/>
      <c r="ACA757" s="13"/>
      <c r="ACB757" s="13"/>
      <c r="ACC757" s="13"/>
      <c r="ACD757" s="13"/>
      <c r="ACE757" s="13"/>
      <c r="ACF757" s="13"/>
      <c r="ACG757" s="13"/>
      <c r="ACH757" s="13"/>
      <c r="ACI757" s="13"/>
      <c r="ACJ757" s="13"/>
      <c r="ACK757" s="13"/>
      <c r="ACL757" s="13"/>
      <c r="ACM757" s="13"/>
      <c r="ACN757" s="13"/>
      <c r="ACO757" s="13"/>
      <c r="ACP757" s="13"/>
      <c r="ACQ757" s="13"/>
      <c r="ACR757" s="13"/>
      <c r="ACS757" s="13"/>
      <c r="ACT757" s="13"/>
      <c r="ACU757" s="13"/>
      <c r="ACV757" s="13"/>
      <c r="ACW757" s="13"/>
      <c r="ACX757" s="13"/>
      <c r="ACY757" s="13"/>
      <c r="ACZ757" s="13"/>
      <c r="ADA757" s="13"/>
      <c r="ADB757" s="13"/>
      <c r="ADC757" s="13"/>
      <c r="ADD757" s="13"/>
      <c r="ADE757" s="13"/>
      <c r="ADF757" s="13"/>
      <c r="ADG757" s="13"/>
      <c r="ADH757" s="13"/>
      <c r="ADI757" s="13"/>
      <c r="ADJ757" s="13"/>
      <c r="ADK757" s="13"/>
      <c r="ADL757" s="13"/>
      <c r="ADM757" s="13"/>
      <c r="ADN757" s="13"/>
      <c r="ADO757" s="13"/>
      <c r="ADP757" s="13"/>
      <c r="ADQ757" s="13"/>
      <c r="ADR757" s="13"/>
      <c r="ADS757" s="13"/>
      <c r="ADT757" s="13"/>
      <c r="ADU757" s="13"/>
      <c r="ADV757" s="13"/>
      <c r="ADW757" s="13"/>
      <c r="ADX757" s="13"/>
      <c r="ADY757" s="13"/>
      <c r="ADZ757" s="13"/>
      <c r="AEA757" s="13"/>
      <c r="AEB757" s="13"/>
      <c r="AEC757" s="13"/>
      <c r="AED757" s="13"/>
      <c r="AEE757" s="13"/>
      <c r="AEF757" s="13"/>
      <c r="AEG757" s="13"/>
      <c r="AEH757" s="13"/>
      <c r="AEI757" s="13"/>
      <c r="AEJ757" s="13"/>
      <c r="AEK757" s="13"/>
      <c r="AEL757" s="13"/>
      <c r="AEM757" s="13"/>
      <c r="AEN757" s="13"/>
      <c r="AEO757" s="13"/>
      <c r="AEP757" s="13"/>
      <c r="AEQ757" s="13"/>
      <c r="AER757" s="13"/>
      <c r="AES757" s="13"/>
      <c r="AET757" s="13"/>
      <c r="AEU757" s="13"/>
      <c r="AEV757" s="13"/>
      <c r="AEW757" s="13"/>
      <c r="AEX757" s="13"/>
      <c r="AEY757" s="13"/>
      <c r="AEZ757" s="13"/>
      <c r="AFA757" s="13"/>
      <c r="AFB757" s="13"/>
      <c r="AFC757" s="13"/>
      <c r="AFD757" s="13"/>
      <c r="AFE757" s="13"/>
      <c r="AFF757" s="13"/>
      <c r="AFG757" s="13"/>
      <c r="AFH757" s="13"/>
      <c r="AFI757" s="13"/>
      <c r="AFJ757" s="13"/>
      <c r="AFK757" s="13"/>
      <c r="AFL757" s="13"/>
      <c r="AFM757" s="13"/>
      <c r="AFN757" s="13"/>
      <c r="AFO757" s="13"/>
      <c r="AFP757" s="13"/>
      <c r="AFQ757" s="13"/>
      <c r="AFR757" s="13"/>
      <c r="AFS757" s="13"/>
      <c r="AFT757" s="13"/>
      <c r="AFU757" s="13"/>
      <c r="AFV757" s="13"/>
      <c r="AFW757" s="13"/>
      <c r="AFX757" s="13"/>
      <c r="AFY757" s="13"/>
      <c r="AFZ757" s="13"/>
      <c r="AGA757" s="13"/>
      <c r="AGB757" s="13"/>
      <c r="AGC757" s="13"/>
      <c r="AGD757" s="13"/>
      <c r="AGE757" s="13"/>
      <c r="AGF757" s="13"/>
      <c r="AGG757" s="13"/>
      <c r="AGH757" s="13"/>
      <c r="AGI757" s="13"/>
      <c r="AGJ757" s="13"/>
      <c r="AGK757" s="13"/>
      <c r="AGL757" s="13"/>
      <c r="AGM757" s="13"/>
      <c r="AGN757" s="13"/>
      <c r="AGO757" s="13"/>
      <c r="AGP757" s="13"/>
      <c r="AGQ757" s="13"/>
      <c r="AGR757" s="13"/>
      <c r="AGS757" s="13"/>
      <c r="AGT757" s="13"/>
      <c r="AGU757" s="13"/>
      <c r="AGV757" s="13"/>
      <c r="AGW757" s="13"/>
      <c r="AGX757" s="13"/>
      <c r="AGY757" s="13"/>
      <c r="AGZ757" s="13"/>
      <c r="AHA757" s="13"/>
      <c r="AHB757" s="13"/>
      <c r="AHC757" s="13"/>
      <c r="AHD757" s="13"/>
      <c r="AHE757" s="13"/>
      <c r="AHF757" s="13"/>
      <c r="AHG757" s="13"/>
      <c r="AHH757" s="13"/>
      <c r="AHI757" s="13"/>
      <c r="AHJ757" s="13"/>
      <c r="AHK757" s="13"/>
      <c r="AHL757" s="13"/>
      <c r="AHM757" s="13"/>
      <c r="AHN757" s="13"/>
      <c r="AHO757" s="13"/>
      <c r="AHP757" s="13"/>
      <c r="AHQ757" s="13"/>
      <c r="AHR757" s="13"/>
      <c r="AHS757" s="13"/>
      <c r="AHT757" s="13"/>
      <c r="AHU757" s="13"/>
      <c r="AHV757" s="13"/>
      <c r="AHW757" s="13"/>
      <c r="AHX757" s="13"/>
      <c r="AHY757" s="13"/>
      <c r="AHZ757" s="13"/>
      <c r="AIA757" s="13"/>
      <c r="AIB757" s="13"/>
      <c r="AIC757" s="13"/>
      <c r="AID757" s="13"/>
      <c r="AIE757" s="13"/>
      <c r="AIF757" s="13"/>
      <c r="AIG757" s="13"/>
      <c r="AIH757" s="13"/>
      <c r="AII757" s="13"/>
      <c r="AIJ757" s="13"/>
      <c r="AIK757" s="13"/>
      <c r="AIL757" s="13"/>
      <c r="AIM757" s="13"/>
      <c r="AIN757" s="13"/>
      <c r="AIO757" s="13"/>
      <c r="AIP757" s="13"/>
      <c r="AIQ757" s="13"/>
      <c r="AIR757" s="13"/>
      <c r="AIS757" s="13"/>
      <c r="AIT757" s="13"/>
      <c r="AIU757" s="13"/>
      <c r="AIV757" s="13"/>
      <c r="AIW757" s="13"/>
      <c r="AIX757" s="13"/>
      <c r="AIY757" s="13"/>
      <c r="AIZ757" s="13"/>
      <c r="AJA757" s="13"/>
      <c r="AJB757" s="13"/>
      <c r="AJC757" s="13"/>
      <c r="AJD757" s="13"/>
      <c r="AJE757" s="13"/>
      <c r="AJF757" s="13"/>
      <c r="AJG757" s="13"/>
      <c r="AJH757" s="13"/>
      <c r="AJI757" s="13"/>
      <c r="AJJ757" s="13"/>
      <c r="AJK757" s="13"/>
      <c r="AJL757" s="13"/>
      <c r="AJM757" s="13"/>
      <c r="AJN757" s="13"/>
      <c r="AJO757" s="13"/>
      <c r="AJP757" s="13"/>
      <c r="AJQ757" s="13"/>
      <c r="AJR757" s="13"/>
      <c r="AJS757" s="13"/>
      <c r="AJT757" s="13"/>
      <c r="AJU757" s="13"/>
      <c r="AJV757" s="13"/>
      <c r="AJW757" s="13"/>
      <c r="AJX757" s="13"/>
      <c r="AJY757" s="13"/>
      <c r="AJZ757" s="13"/>
      <c r="AKA757" s="13"/>
      <c r="AKB757" s="13"/>
      <c r="AKC757" s="13"/>
      <c r="AKD757" s="13"/>
      <c r="AKE757" s="13"/>
      <c r="AKF757" s="13"/>
      <c r="AKG757" s="13"/>
      <c r="AKH757" s="13"/>
      <c r="AKI757" s="13"/>
      <c r="AKJ757" s="13"/>
      <c r="AKK757" s="13"/>
      <c r="AKL757" s="13"/>
      <c r="AKM757" s="13"/>
      <c r="AKN757" s="13"/>
      <c r="AKO757" s="13"/>
      <c r="AKP757" s="13"/>
      <c r="AKQ757" s="13"/>
      <c r="AKR757" s="13"/>
      <c r="AKS757" s="13"/>
      <c r="AKT757" s="13"/>
      <c r="AKU757" s="13"/>
      <c r="AKV757" s="13"/>
      <c r="AKW757" s="13"/>
      <c r="AKX757" s="13"/>
      <c r="AKY757" s="13"/>
      <c r="AKZ757" s="13"/>
      <c r="ALA757" s="13"/>
      <c r="ALB757" s="13"/>
      <c r="ALC757" s="13"/>
      <c r="ALD757" s="13"/>
      <c r="ALE757" s="13"/>
      <c r="ALF757" s="13"/>
      <c r="ALG757" s="13"/>
      <c r="ALH757" s="13"/>
      <c r="ALI757" s="13"/>
      <c r="ALJ757" s="13"/>
      <c r="ALK757" s="13"/>
      <c r="ALL757" s="13"/>
      <c r="ALM757" s="13"/>
      <c r="ALN757" s="13"/>
      <c r="ALO757" s="13"/>
      <c r="ALP757" s="13"/>
      <c r="ALQ757" s="13"/>
      <c r="ALR757" s="13"/>
      <c r="ALS757" s="13"/>
      <c r="ALT757" s="13"/>
      <c r="ALU757" s="13"/>
      <c r="ALV757" s="13"/>
      <c r="ALW757" s="13"/>
      <c r="ALX757" s="13"/>
      <c r="ALY757" s="13"/>
      <c r="ALZ757" s="13"/>
      <c r="AMA757" s="13"/>
      <c r="AMB757" s="13"/>
      <c r="AMC757" s="13"/>
      <c r="AMD757" s="13"/>
      <c r="AME757" s="13"/>
      <c r="AMF757" s="13"/>
      <c r="AMG757" s="13"/>
      <c r="AMH757" s="13"/>
      <c r="AMI757" s="13"/>
      <c r="AMJ757" s="13"/>
      <c r="AMK757" s="13"/>
      <c r="AML757" s="13"/>
      <c r="AMM757" s="13"/>
      <c r="AMN757" s="13"/>
      <c r="AMO757" s="13"/>
      <c r="AMP757" s="13"/>
      <c r="AMQ757" s="13"/>
      <c r="AMR757" s="13"/>
      <c r="AMS757" s="13"/>
      <c r="AMT757" s="13"/>
      <c r="AMU757" s="13"/>
      <c r="AMV757" s="13"/>
      <c r="AMW757" s="13"/>
      <c r="AMX757" s="13"/>
      <c r="AMY757" s="13"/>
      <c r="AMZ757" s="13"/>
      <c r="ANA757" s="13"/>
      <c r="ANB757" s="13"/>
      <c r="ANC757" s="13"/>
      <c r="AND757" s="13"/>
      <c r="ANE757" s="13"/>
      <c r="ANF757" s="13"/>
      <c r="ANG757" s="13"/>
      <c r="ANH757" s="13"/>
      <c r="ANI757" s="13"/>
      <c r="ANJ757" s="13"/>
      <c r="ANK757" s="13"/>
      <c r="ANL757" s="13"/>
      <c r="ANM757" s="13"/>
      <c r="ANN757" s="13"/>
      <c r="ANO757" s="13"/>
      <c r="ANP757" s="13"/>
      <c r="ANQ757" s="13"/>
      <c r="ANR757" s="13"/>
      <c r="ANS757" s="13"/>
      <c r="ANT757" s="13"/>
      <c r="ANU757" s="13"/>
      <c r="ANV757" s="13"/>
      <c r="ANW757" s="13"/>
      <c r="ANX757" s="13"/>
      <c r="ANY757" s="13"/>
      <c r="ANZ757" s="13"/>
      <c r="AOA757" s="13"/>
      <c r="AOB757" s="13"/>
      <c r="AOC757" s="13"/>
      <c r="AOD757" s="13"/>
      <c r="AOE757" s="13"/>
      <c r="AOF757" s="13"/>
      <c r="AOG757" s="13"/>
      <c r="AOH757" s="13"/>
      <c r="AOI757" s="13"/>
      <c r="AOJ757" s="13"/>
      <c r="AOK757" s="13"/>
      <c r="AOL757" s="13"/>
      <c r="AOM757" s="13"/>
      <c r="AON757" s="13"/>
      <c r="AOO757" s="13"/>
      <c r="AOP757" s="13"/>
      <c r="AOQ757" s="13"/>
      <c r="AOR757" s="13"/>
      <c r="AOS757" s="13"/>
      <c r="AOT757" s="13"/>
      <c r="AOU757" s="13"/>
      <c r="AOV757" s="13"/>
      <c r="AOW757" s="13"/>
      <c r="AOX757" s="13"/>
      <c r="AOY757" s="13"/>
      <c r="AOZ757" s="13"/>
      <c r="APA757" s="13"/>
      <c r="APB757" s="13"/>
      <c r="APC757" s="13"/>
      <c r="APD757" s="13"/>
      <c r="APE757" s="13"/>
      <c r="APF757" s="13"/>
      <c r="APG757" s="13"/>
      <c r="APH757" s="13"/>
      <c r="API757" s="13"/>
      <c r="APJ757" s="13"/>
      <c r="APK757" s="13"/>
      <c r="APL757" s="13"/>
      <c r="APM757" s="13"/>
      <c r="APN757" s="13"/>
      <c r="APO757" s="13"/>
      <c r="APP757" s="13"/>
      <c r="APQ757" s="13"/>
      <c r="APR757" s="13"/>
      <c r="APS757" s="13"/>
      <c r="APT757" s="13"/>
      <c r="APU757" s="13"/>
      <c r="APV757" s="13"/>
      <c r="APW757" s="13"/>
      <c r="APX757" s="13"/>
      <c r="APY757" s="13"/>
      <c r="APZ757" s="13"/>
      <c r="AQA757" s="13"/>
      <c r="AQB757" s="13"/>
      <c r="AQC757" s="13"/>
      <c r="AQD757" s="13"/>
      <c r="AQE757" s="13"/>
      <c r="AQF757" s="13"/>
      <c r="AQG757" s="13"/>
      <c r="AQH757" s="13"/>
      <c r="AQI757" s="13"/>
      <c r="AQJ757" s="13"/>
      <c r="AQK757" s="13"/>
      <c r="AQL757" s="13"/>
      <c r="AQM757" s="13"/>
      <c r="AQN757" s="13"/>
      <c r="AQO757" s="13"/>
      <c r="AQP757" s="13"/>
      <c r="AQQ757" s="13"/>
      <c r="AQR757" s="13"/>
      <c r="AQS757" s="13"/>
      <c r="AQT757" s="13"/>
      <c r="AQU757" s="13"/>
      <c r="AQV757" s="13"/>
      <c r="AQW757" s="13"/>
      <c r="AQX757" s="13"/>
      <c r="AQY757" s="13"/>
      <c r="AQZ757" s="13"/>
      <c r="ARA757" s="13"/>
      <c r="ARB757" s="13"/>
      <c r="ARC757" s="13"/>
      <c r="ARD757" s="13"/>
      <c r="ARE757" s="13"/>
      <c r="ARF757" s="13"/>
      <c r="ARG757" s="13"/>
      <c r="ARH757" s="13"/>
      <c r="ARI757" s="13"/>
      <c r="ARJ757" s="13"/>
      <c r="ARK757" s="13"/>
      <c r="ARL757" s="13"/>
      <c r="ARM757" s="13"/>
      <c r="ARN757" s="13"/>
      <c r="ARO757" s="13"/>
      <c r="ARP757" s="13"/>
      <c r="ARQ757" s="13"/>
      <c r="ARR757" s="13"/>
      <c r="ARS757" s="13"/>
      <c r="ART757" s="13"/>
      <c r="ARU757" s="13"/>
      <c r="ARV757" s="13"/>
      <c r="ARW757" s="13"/>
      <c r="ARX757" s="13"/>
      <c r="ARY757" s="13"/>
      <c r="ARZ757" s="13"/>
      <c r="ASA757" s="13"/>
      <c r="ASB757" s="13"/>
      <c r="ASC757" s="13"/>
      <c r="ASD757" s="13"/>
      <c r="ASE757" s="13"/>
      <c r="ASF757" s="13"/>
      <c r="ASG757" s="13"/>
      <c r="ASH757" s="13"/>
      <c r="ASI757" s="13"/>
      <c r="ASJ757" s="13"/>
      <c r="ASK757" s="13"/>
      <c r="ASL757" s="13"/>
      <c r="ASM757" s="13"/>
      <c r="ASN757" s="13"/>
      <c r="ASO757" s="13"/>
      <c r="ASP757" s="13"/>
      <c r="ASQ757" s="13"/>
      <c r="ASR757" s="13"/>
      <c r="ASS757" s="13"/>
      <c r="AST757" s="13"/>
      <c r="ASU757" s="13"/>
      <c r="ASV757" s="13"/>
      <c r="ASW757" s="13"/>
      <c r="ASX757" s="13"/>
      <c r="ASY757" s="13"/>
      <c r="ASZ757" s="13"/>
      <c r="ATA757" s="13"/>
      <c r="ATB757" s="13"/>
      <c r="ATC757" s="13"/>
      <c r="ATD757" s="13"/>
      <c r="ATE757" s="13"/>
      <c r="ATF757" s="13"/>
      <c r="ATG757" s="13"/>
      <c r="ATH757" s="13"/>
      <c r="ATI757" s="13"/>
      <c r="ATJ757" s="13"/>
      <c r="ATK757" s="13"/>
      <c r="ATL757" s="13"/>
      <c r="ATM757" s="13"/>
      <c r="ATN757" s="13"/>
      <c r="ATO757" s="13"/>
      <c r="ATP757" s="13"/>
      <c r="ATQ757" s="13"/>
      <c r="ATR757" s="13"/>
      <c r="ATS757" s="13"/>
      <c r="ATT757" s="13"/>
      <c r="ATU757" s="13"/>
      <c r="ATV757" s="13"/>
      <c r="ATW757" s="13"/>
      <c r="ATX757" s="13"/>
      <c r="ATY757" s="13"/>
      <c r="ATZ757" s="13"/>
      <c r="AUA757" s="13"/>
      <c r="AUB757" s="13"/>
      <c r="AUC757" s="13"/>
      <c r="AUD757" s="13"/>
      <c r="AUE757" s="13"/>
      <c r="AUF757" s="13"/>
      <c r="AUG757" s="13"/>
      <c r="AUH757" s="13"/>
      <c r="AUI757" s="13"/>
      <c r="AUJ757" s="13"/>
      <c r="AUK757" s="13"/>
      <c r="AUL757" s="13"/>
      <c r="AUM757" s="13"/>
      <c r="AUN757" s="13"/>
      <c r="AUO757" s="13"/>
      <c r="AUP757" s="13"/>
      <c r="AUQ757" s="13"/>
      <c r="AUR757" s="13"/>
      <c r="AUS757" s="13"/>
      <c r="AUT757" s="13"/>
      <c r="AUU757" s="13"/>
      <c r="AUV757" s="13"/>
      <c r="AUW757" s="13"/>
      <c r="AUX757" s="13"/>
      <c r="AUY757" s="13"/>
      <c r="AUZ757" s="13"/>
      <c r="AVA757" s="13"/>
      <c r="AVB757" s="13"/>
      <c r="AVC757" s="13"/>
      <c r="AVD757" s="13"/>
      <c r="AVE757" s="13"/>
      <c r="AVF757" s="13"/>
      <c r="AVG757" s="13"/>
      <c r="AVH757" s="13"/>
      <c r="AVI757" s="13"/>
      <c r="AVJ757" s="13"/>
      <c r="AVK757" s="13"/>
      <c r="AVL757" s="13"/>
      <c r="AVM757" s="13"/>
      <c r="AVN757" s="13"/>
      <c r="AVO757" s="13"/>
      <c r="AVP757" s="13"/>
      <c r="AVQ757" s="13"/>
      <c r="AVR757" s="13"/>
      <c r="AVS757" s="13"/>
      <c r="AVT757" s="13"/>
      <c r="AVU757" s="13"/>
      <c r="AVV757" s="13"/>
      <c r="AVW757" s="13"/>
      <c r="AVX757" s="13"/>
      <c r="AVY757" s="13"/>
      <c r="AVZ757" s="13"/>
      <c r="AWA757" s="13"/>
      <c r="AWB757" s="13"/>
      <c r="AWC757" s="13"/>
      <c r="AWD757" s="13"/>
      <c r="AWE757" s="13"/>
      <c r="AWF757" s="13"/>
      <c r="AWG757" s="13"/>
      <c r="AWH757" s="13"/>
      <c r="AWI757" s="13"/>
      <c r="AWJ757" s="13"/>
      <c r="AWK757" s="13"/>
      <c r="AWL757" s="13"/>
      <c r="AWM757" s="13"/>
      <c r="AWN757" s="13"/>
      <c r="AWO757" s="13"/>
      <c r="AWP757" s="13"/>
      <c r="AWQ757" s="13"/>
      <c r="AWR757" s="13"/>
      <c r="AWS757" s="13"/>
      <c r="AWT757" s="13"/>
      <c r="AWU757" s="13"/>
      <c r="AWV757" s="13"/>
      <c r="AWW757" s="13"/>
      <c r="AWX757" s="13"/>
      <c r="AWY757" s="13"/>
      <c r="AWZ757" s="13"/>
      <c r="AXA757" s="13"/>
      <c r="AXB757" s="13"/>
      <c r="AXC757" s="13"/>
      <c r="AXD757" s="13"/>
      <c r="AXE757" s="13"/>
      <c r="AXF757" s="13"/>
      <c r="AXG757" s="13"/>
      <c r="AXH757" s="13"/>
      <c r="AXI757" s="13"/>
      <c r="AXJ757" s="13"/>
      <c r="AXK757" s="13"/>
      <c r="AXL757" s="13"/>
      <c r="AXM757" s="13"/>
      <c r="AXN757" s="13"/>
      <c r="AXO757" s="13"/>
      <c r="AXP757" s="13"/>
      <c r="AXQ757" s="13"/>
      <c r="AXR757" s="13"/>
      <c r="AXS757" s="13"/>
      <c r="AXT757" s="13"/>
      <c r="AXU757" s="13"/>
      <c r="AXV757" s="13"/>
      <c r="AXW757" s="13"/>
      <c r="AXX757" s="13"/>
      <c r="AXY757" s="13"/>
      <c r="AXZ757" s="13"/>
      <c r="AYA757" s="13"/>
      <c r="AYB757" s="13"/>
      <c r="AYC757" s="13"/>
      <c r="AYD757" s="13"/>
      <c r="AYE757" s="13"/>
      <c r="AYF757" s="13"/>
      <c r="AYG757" s="13"/>
      <c r="AYH757" s="13"/>
      <c r="AYI757" s="13"/>
      <c r="AYJ757" s="13"/>
      <c r="AYK757" s="13"/>
      <c r="AYL757" s="13"/>
      <c r="AYM757" s="13"/>
      <c r="AYN757" s="13"/>
      <c r="AYO757" s="13"/>
      <c r="AYP757" s="13"/>
      <c r="AYQ757" s="13"/>
      <c r="AYR757" s="13"/>
      <c r="AYS757" s="13"/>
      <c r="AYT757" s="13"/>
      <c r="AYU757" s="13"/>
      <c r="AYV757" s="13"/>
      <c r="AYW757" s="13"/>
      <c r="AYX757" s="13"/>
      <c r="AYY757" s="13"/>
      <c r="AYZ757" s="13"/>
      <c r="AZA757" s="13"/>
      <c r="AZB757" s="13"/>
      <c r="AZC757" s="13"/>
      <c r="AZD757" s="13"/>
      <c r="AZE757" s="13"/>
      <c r="AZF757" s="13"/>
      <c r="AZG757" s="13"/>
      <c r="AZH757" s="13"/>
      <c r="AZI757" s="13"/>
      <c r="AZJ757" s="13"/>
      <c r="AZK757" s="13"/>
      <c r="AZL757" s="13"/>
      <c r="AZM757" s="13"/>
      <c r="AZN757" s="13"/>
      <c r="AZO757" s="13"/>
      <c r="AZP757" s="13"/>
      <c r="AZQ757" s="13"/>
      <c r="AZR757" s="13"/>
      <c r="AZS757" s="13"/>
      <c r="AZT757" s="13"/>
      <c r="AZU757" s="13"/>
      <c r="AZV757" s="13"/>
      <c r="AZW757" s="13"/>
      <c r="AZX757" s="13"/>
      <c r="AZY757" s="13"/>
      <c r="AZZ757" s="13"/>
      <c r="BAA757" s="13"/>
      <c r="BAB757" s="13"/>
      <c r="BAC757" s="13"/>
      <c r="BAD757" s="13"/>
      <c r="BAE757" s="13"/>
      <c r="BAF757" s="13"/>
      <c r="BAG757" s="13"/>
      <c r="BAH757" s="13"/>
      <c r="BAI757" s="13"/>
      <c r="BAJ757" s="13"/>
      <c r="BAK757" s="13"/>
      <c r="BAL757" s="13"/>
      <c r="BAM757" s="13"/>
      <c r="BAN757" s="13"/>
      <c r="BAO757" s="13"/>
      <c r="BAP757" s="13"/>
      <c r="BAQ757" s="13"/>
      <c r="BAR757" s="13"/>
      <c r="BAS757" s="13"/>
      <c r="BAT757" s="13"/>
      <c r="BAU757" s="13"/>
      <c r="BAV757" s="13"/>
      <c r="BAW757" s="13"/>
      <c r="BAX757" s="13"/>
      <c r="BAY757" s="13"/>
      <c r="BAZ757" s="13"/>
      <c r="BBA757" s="13"/>
      <c r="BBB757" s="13"/>
      <c r="BBC757" s="13"/>
      <c r="BBD757" s="13"/>
      <c r="BBE757" s="13"/>
      <c r="BBF757" s="13"/>
      <c r="BBG757" s="13"/>
      <c r="BBH757" s="13"/>
      <c r="BBI757" s="13"/>
      <c r="BBJ757" s="13"/>
      <c r="BBK757" s="13"/>
      <c r="BBL757" s="13"/>
      <c r="BBM757" s="13"/>
      <c r="BBN757" s="13"/>
      <c r="BBO757" s="13"/>
      <c r="BBP757" s="13"/>
      <c r="BBQ757" s="13"/>
      <c r="BBR757" s="13"/>
      <c r="BBS757" s="13"/>
      <c r="BBT757" s="13"/>
      <c r="BBU757" s="13"/>
      <c r="BBV757" s="13"/>
      <c r="BBW757" s="13"/>
      <c r="BBX757" s="13"/>
      <c r="BBY757" s="13"/>
      <c r="BBZ757" s="13"/>
      <c r="BCA757" s="13"/>
      <c r="BCB757" s="13"/>
      <c r="BCC757" s="13"/>
      <c r="BCD757" s="13"/>
      <c r="BCE757" s="13"/>
      <c r="BCF757" s="13"/>
      <c r="BCG757" s="13"/>
      <c r="BCH757" s="13"/>
      <c r="BCI757" s="13"/>
      <c r="BCJ757" s="13"/>
      <c r="BCK757" s="13"/>
      <c r="BCL757" s="13"/>
      <c r="BCM757" s="13"/>
      <c r="BCN757" s="13"/>
      <c r="BCO757" s="13"/>
      <c r="BCP757" s="13"/>
      <c r="BCQ757" s="13"/>
      <c r="BCR757" s="13"/>
      <c r="BCS757" s="13"/>
      <c r="BCT757" s="13"/>
      <c r="BCU757" s="13"/>
      <c r="BCV757" s="13"/>
      <c r="BCW757" s="13"/>
      <c r="BCX757" s="13"/>
      <c r="BCY757" s="13"/>
      <c r="BCZ757" s="13"/>
      <c r="BDA757" s="13"/>
      <c r="BDB757" s="13"/>
      <c r="BDC757" s="13"/>
      <c r="BDD757" s="13"/>
      <c r="BDE757" s="13"/>
      <c r="BDF757" s="13"/>
      <c r="BDG757" s="13"/>
      <c r="BDH757" s="13"/>
      <c r="BDI757" s="13"/>
      <c r="BDJ757" s="13"/>
      <c r="BDK757" s="13"/>
      <c r="BDL757" s="13"/>
      <c r="BDM757" s="13"/>
      <c r="BDN757" s="13"/>
      <c r="BDO757" s="13"/>
      <c r="BDP757" s="13"/>
      <c r="BDQ757" s="13"/>
      <c r="BDR757" s="13"/>
      <c r="BDS757" s="13"/>
      <c r="BDT757" s="13"/>
      <c r="BDU757" s="13"/>
      <c r="BDV757" s="13"/>
      <c r="BDW757" s="13"/>
      <c r="BDX757" s="13"/>
      <c r="BDY757" s="13"/>
      <c r="BDZ757" s="13"/>
      <c r="BEA757" s="13"/>
      <c r="BEB757" s="13"/>
      <c r="BEC757" s="13"/>
      <c r="BED757" s="13"/>
      <c r="BEE757" s="13"/>
      <c r="BEF757" s="13"/>
      <c r="BEG757" s="13"/>
      <c r="BEH757" s="13"/>
      <c r="BEI757" s="13"/>
      <c r="BEJ757" s="13"/>
      <c r="BEK757" s="13"/>
      <c r="BEL757" s="13"/>
      <c r="BEM757" s="13"/>
      <c r="BEN757" s="13"/>
      <c r="BEO757" s="13"/>
      <c r="BEP757" s="13"/>
      <c r="BEQ757" s="13"/>
      <c r="BER757" s="13"/>
      <c r="BES757" s="13"/>
      <c r="BET757" s="13"/>
      <c r="BEU757" s="13"/>
      <c r="BEV757" s="13"/>
      <c r="BEW757" s="13"/>
      <c r="BEX757" s="13"/>
      <c r="BEY757" s="13"/>
      <c r="BEZ757" s="13"/>
      <c r="BFA757" s="13"/>
      <c r="BFB757" s="13"/>
      <c r="BFC757" s="13"/>
      <c r="BFD757" s="13"/>
      <c r="BFE757" s="13"/>
      <c r="BFF757" s="13"/>
      <c r="BFG757" s="13"/>
      <c r="BFH757" s="13"/>
      <c r="BFI757" s="13"/>
      <c r="BFJ757" s="13"/>
      <c r="BFK757" s="13"/>
      <c r="BFL757" s="13"/>
      <c r="BFM757" s="13"/>
      <c r="BFN757" s="13"/>
      <c r="BFO757" s="13"/>
      <c r="BFP757" s="13"/>
      <c r="BFQ757" s="13"/>
      <c r="BFR757" s="13"/>
      <c r="BFS757" s="13"/>
      <c r="BFT757" s="13"/>
      <c r="BFU757" s="13"/>
      <c r="BFV757" s="13"/>
      <c r="BFW757" s="13"/>
      <c r="BFX757" s="13"/>
      <c r="BFY757" s="13"/>
      <c r="BFZ757" s="13"/>
      <c r="BGA757" s="13"/>
      <c r="BGB757" s="13"/>
      <c r="BGC757" s="13"/>
      <c r="BGD757" s="13"/>
      <c r="BGE757" s="13"/>
      <c r="BGF757" s="13"/>
      <c r="BGG757" s="13"/>
      <c r="BGH757" s="13"/>
      <c r="BGI757" s="13"/>
      <c r="BGJ757" s="13"/>
      <c r="BGK757" s="13"/>
      <c r="BGL757" s="13"/>
      <c r="BGM757" s="13"/>
      <c r="BGN757" s="13"/>
      <c r="BGO757" s="13"/>
      <c r="BGP757" s="13"/>
      <c r="BGQ757" s="13"/>
      <c r="BGR757" s="13"/>
      <c r="BGS757" s="13"/>
      <c r="BGT757" s="13"/>
      <c r="BGU757" s="13"/>
      <c r="BGV757" s="13"/>
      <c r="BGW757" s="13"/>
      <c r="BGX757" s="13"/>
      <c r="BGY757" s="13"/>
      <c r="BGZ757" s="13"/>
      <c r="BHA757" s="13"/>
      <c r="BHB757" s="13"/>
      <c r="BHC757" s="13"/>
      <c r="BHD757" s="13"/>
      <c r="BHE757" s="13"/>
      <c r="BHF757" s="13"/>
      <c r="BHG757" s="13"/>
      <c r="BHH757" s="13"/>
      <c r="BHI757" s="13"/>
      <c r="BHJ757" s="13"/>
      <c r="BHK757" s="13"/>
      <c r="BHL757" s="13"/>
      <c r="BHM757" s="13"/>
      <c r="BHN757" s="13"/>
      <c r="BHO757" s="13"/>
      <c r="BHP757" s="13"/>
      <c r="BHQ757" s="13"/>
      <c r="BHR757" s="13"/>
      <c r="BHS757" s="13"/>
      <c r="BHT757" s="13"/>
      <c r="BHU757" s="13"/>
      <c r="BHV757" s="13"/>
      <c r="BHW757" s="13"/>
      <c r="BHX757" s="13"/>
      <c r="BHY757" s="13"/>
      <c r="BHZ757" s="13"/>
      <c r="BIA757" s="13"/>
      <c r="BIB757" s="13"/>
      <c r="BIC757" s="13"/>
      <c r="BID757" s="13"/>
      <c r="BIE757" s="13"/>
      <c r="BIF757" s="13"/>
      <c r="BIG757" s="13"/>
      <c r="BIH757" s="13"/>
      <c r="BII757" s="13"/>
      <c r="BIJ757" s="13"/>
      <c r="BIK757" s="13"/>
      <c r="BIL757" s="13"/>
      <c r="BIM757" s="13"/>
      <c r="BIN757" s="13"/>
      <c r="BIO757" s="13"/>
      <c r="BIP757" s="13"/>
      <c r="BIQ757" s="13"/>
      <c r="BIR757" s="13"/>
      <c r="BIS757" s="13"/>
      <c r="BIT757" s="13"/>
      <c r="BIU757" s="13"/>
      <c r="BIV757" s="13"/>
      <c r="BIW757" s="13"/>
      <c r="BIX757" s="13"/>
      <c r="BIY757" s="13"/>
      <c r="BIZ757" s="13"/>
      <c r="BJA757" s="13"/>
      <c r="BJB757" s="13"/>
      <c r="BJC757" s="13"/>
      <c r="BJD757" s="13"/>
      <c r="BJE757" s="13"/>
      <c r="BJF757" s="13"/>
      <c r="BJG757" s="13"/>
      <c r="BJH757" s="13"/>
      <c r="BJI757" s="13"/>
      <c r="BJJ757" s="13"/>
      <c r="BJK757" s="13"/>
      <c r="BJL757" s="13"/>
      <c r="BJM757" s="13"/>
      <c r="BJN757" s="13"/>
      <c r="BJO757" s="13"/>
      <c r="BJP757" s="13"/>
      <c r="BJQ757" s="13"/>
      <c r="BJR757" s="13"/>
      <c r="BJS757" s="13"/>
      <c r="BJT757" s="13"/>
      <c r="BJU757" s="13"/>
      <c r="BJV757" s="13"/>
      <c r="BJW757" s="13"/>
      <c r="BJX757" s="13"/>
      <c r="BJY757" s="13"/>
      <c r="BJZ757" s="13"/>
      <c r="BKA757" s="13"/>
      <c r="BKB757" s="13"/>
      <c r="BKC757" s="13"/>
      <c r="BKD757" s="13"/>
      <c r="BKE757" s="13"/>
      <c r="BKF757" s="13"/>
      <c r="BKG757" s="13"/>
      <c r="BKH757" s="13"/>
      <c r="BKI757" s="13"/>
      <c r="BKJ757" s="13"/>
      <c r="BKK757" s="13"/>
      <c r="BKL757" s="13"/>
      <c r="BKM757" s="13"/>
      <c r="BKN757" s="13"/>
      <c r="BKO757" s="13"/>
      <c r="BKP757" s="13"/>
      <c r="BKQ757" s="13"/>
      <c r="BKR757" s="13"/>
      <c r="BKS757" s="13"/>
      <c r="BKT757" s="13"/>
      <c r="BKU757" s="13"/>
      <c r="BKV757" s="13"/>
      <c r="BKW757" s="13"/>
      <c r="BKX757" s="13"/>
      <c r="BKY757" s="13"/>
      <c r="BKZ757" s="13"/>
      <c r="BLA757" s="13"/>
      <c r="BLB757" s="13"/>
      <c r="BLC757" s="13"/>
      <c r="BLD757" s="13"/>
      <c r="BLE757" s="13"/>
      <c r="BLF757" s="13"/>
      <c r="BLG757" s="13"/>
      <c r="BLH757" s="13"/>
      <c r="BLI757" s="13"/>
      <c r="BLJ757" s="13"/>
      <c r="BLK757" s="13"/>
      <c r="BLL757" s="13"/>
      <c r="BLM757" s="13"/>
      <c r="BLN757" s="13"/>
      <c r="BLO757" s="13"/>
      <c r="BLP757" s="13"/>
      <c r="BLQ757" s="13"/>
      <c r="BLR757" s="13"/>
      <c r="BLS757" s="13"/>
      <c r="BLT757" s="13"/>
      <c r="BLU757" s="13"/>
      <c r="BLV757" s="13"/>
      <c r="BLW757" s="13"/>
      <c r="BLX757" s="13"/>
      <c r="BLY757" s="13"/>
      <c r="BLZ757" s="13"/>
      <c r="BMA757" s="13"/>
      <c r="BMB757" s="13"/>
      <c r="BMC757" s="13"/>
      <c r="BMD757" s="13"/>
      <c r="BME757" s="13"/>
      <c r="BMF757" s="13"/>
      <c r="BMG757" s="13"/>
      <c r="BMH757" s="13"/>
      <c r="BMI757" s="13"/>
      <c r="BMJ757" s="13"/>
      <c r="BMK757" s="13"/>
      <c r="BML757" s="13"/>
      <c r="BMM757" s="13"/>
      <c r="BMN757" s="13"/>
      <c r="BMO757" s="13"/>
      <c r="BMP757" s="13"/>
      <c r="BMQ757" s="13"/>
      <c r="BMR757" s="13"/>
      <c r="BMS757" s="13"/>
      <c r="BMT757" s="13"/>
      <c r="BMU757" s="13"/>
      <c r="BMV757" s="13"/>
      <c r="BMW757" s="13"/>
      <c r="BMX757" s="13"/>
      <c r="BMY757" s="13"/>
      <c r="BMZ757" s="13"/>
      <c r="BNA757" s="13"/>
      <c r="BNB757" s="13"/>
      <c r="BNC757" s="13"/>
      <c r="BND757" s="13"/>
      <c r="BNE757" s="13"/>
      <c r="BNF757" s="13"/>
      <c r="BNG757" s="13"/>
      <c r="BNH757" s="13"/>
      <c r="BNI757" s="13"/>
      <c r="BNJ757" s="13"/>
      <c r="BNK757" s="13"/>
      <c r="BNL757" s="13"/>
      <c r="BNM757" s="13"/>
      <c r="BNN757" s="13"/>
      <c r="BNO757" s="13"/>
      <c r="BNP757" s="13"/>
      <c r="BNQ757" s="13"/>
      <c r="BNR757" s="13"/>
      <c r="BNS757" s="13"/>
      <c r="BNT757" s="13"/>
      <c r="BNU757" s="13"/>
      <c r="BNV757" s="13"/>
      <c r="BNW757" s="13"/>
      <c r="BNX757" s="13"/>
      <c r="BNY757" s="13"/>
      <c r="BNZ757" s="13"/>
      <c r="BOA757" s="13"/>
      <c r="BOB757" s="13"/>
      <c r="BOC757" s="13"/>
      <c r="BOD757" s="13"/>
      <c r="BOE757" s="13"/>
      <c r="BOF757" s="13"/>
      <c r="BOG757" s="13"/>
      <c r="BOH757" s="13"/>
      <c r="BOI757" s="13"/>
      <c r="BOJ757" s="13"/>
      <c r="BOK757" s="13"/>
      <c r="BOL757" s="13"/>
      <c r="BOM757" s="13"/>
      <c r="BON757" s="13"/>
      <c r="BOO757" s="13"/>
      <c r="BOP757" s="13"/>
      <c r="BOQ757" s="13"/>
      <c r="BOR757" s="13"/>
      <c r="BOS757" s="13"/>
      <c r="BOT757" s="13"/>
      <c r="BOU757" s="13"/>
      <c r="BOV757" s="13"/>
      <c r="BOW757" s="13"/>
      <c r="BOX757" s="13"/>
      <c r="BOY757" s="13"/>
      <c r="BOZ757" s="13"/>
      <c r="BPA757" s="13"/>
      <c r="BPB757" s="13"/>
      <c r="BPC757" s="13"/>
      <c r="BPD757" s="13"/>
      <c r="BPE757" s="13"/>
      <c r="BPF757" s="13"/>
      <c r="BPG757" s="13"/>
      <c r="BPH757" s="13"/>
      <c r="BPI757" s="13"/>
      <c r="BPJ757" s="13"/>
      <c r="BPK757" s="13"/>
      <c r="BPL757" s="13"/>
      <c r="BPM757" s="13"/>
      <c r="BPN757" s="13"/>
      <c r="BPO757" s="13"/>
      <c r="BPP757" s="13"/>
      <c r="BPQ757" s="13"/>
      <c r="BPR757" s="13"/>
      <c r="BPS757" s="13"/>
      <c r="BPT757" s="13"/>
      <c r="BPU757" s="13"/>
      <c r="BPV757" s="13"/>
      <c r="BPW757" s="13"/>
      <c r="BPX757" s="13"/>
      <c r="BPY757" s="13"/>
      <c r="BPZ757" s="13"/>
      <c r="BQA757" s="13"/>
      <c r="BQB757" s="13"/>
      <c r="BQC757" s="13"/>
      <c r="BQD757" s="13"/>
      <c r="BQE757" s="13"/>
      <c r="BQF757" s="13"/>
      <c r="BQG757" s="13"/>
      <c r="BQH757" s="13"/>
      <c r="BQI757" s="13"/>
      <c r="BQJ757" s="13"/>
      <c r="BQK757" s="13"/>
      <c r="BQL757" s="13"/>
      <c r="BQM757" s="13"/>
      <c r="BQN757" s="13"/>
      <c r="BQO757" s="13"/>
      <c r="BQP757" s="13"/>
      <c r="BQQ757" s="13"/>
      <c r="BQR757" s="13"/>
      <c r="BQS757" s="13"/>
      <c r="BQT757" s="13"/>
      <c r="BQU757" s="13"/>
      <c r="BQV757" s="13"/>
      <c r="BQW757" s="13"/>
      <c r="BQX757" s="13"/>
      <c r="BQY757" s="13"/>
      <c r="BQZ757" s="13"/>
      <c r="BRA757" s="13"/>
      <c r="BRB757" s="13"/>
      <c r="BRC757" s="13"/>
      <c r="BRD757" s="13"/>
      <c r="BRE757" s="13"/>
      <c r="BRF757" s="13"/>
      <c r="BRG757" s="13"/>
      <c r="BRH757" s="13"/>
      <c r="BRI757" s="13"/>
      <c r="BRJ757" s="13"/>
      <c r="BRK757" s="13"/>
      <c r="BRL757" s="13"/>
      <c r="BRM757" s="13"/>
      <c r="BRN757" s="13"/>
      <c r="BRO757" s="13"/>
      <c r="BRP757" s="13"/>
      <c r="BRQ757" s="13"/>
      <c r="BRR757" s="13"/>
      <c r="BRS757" s="13"/>
      <c r="BRT757" s="13"/>
      <c r="BRU757" s="13"/>
      <c r="BRV757" s="13"/>
      <c r="BRW757" s="13"/>
      <c r="BRX757" s="13"/>
      <c r="BRY757" s="13"/>
      <c r="BRZ757" s="13"/>
      <c r="BSA757" s="13"/>
      <c r="BSB757" s="13"/>
      <c r="BSC757" s="13"/>
      <c r="BSD757" s="13"/>
      <c r="BSE757" s="13"/>
      <c r="BSF757" s="13"/>
      <c r="BSG757" s="13"/>
      <c r="BSH757" s="13"/>
      <c r="BSI757" s="13"/>
      <c r="BSJ757" s="13"/>
      <c r="BSK757" s="13"/>
      <c r="BSL757" s="13"/>
      <c r="BSM757" s="13"/>
      <c r="BSN757" s="13"/>
      <c r="BSO757" s="13"/>
      <c r="BSP757" s="13"/>
      <c r="BSQ757" s="13"/>
      <c r="BSR757" s="13"/>
      <c r="BSS757" s="13"/>
      <c r="BST757" s="13"/>
      <c r="BSU757" s="13"/>
      <c r="BSV757" s="13"/>
      <c r="BSW757" s="13"/>
      <c r="BSX757" s="13"/>
      <c r="BSY757" s="13"/>
      <c r="BSZ757" s="13"/>
      <c r="BTA757" s="13"/>
    </row>
    <row r="758" spans="1:1873" s="199" customFormat="1" x14ac:dyDescent="0.2">
      <c r="A758" s="283" t="s">
        <v>1389</v>
      </c>
      <c r="B758" s="249" t="s">
        <v>811</v>
      </c>
      <c r="C758" s="249" t="s">
        <v>1751</v>
      </c>
      <c r="D758" s="283" t="s">
        <v>619</v>
      </c>
      <c r="E758" s="283" t="s">
        <v>1456</v>
      </c>
      <c r="F758" s="283">
        <v>1</v>
      </c>
      <c r="G758" s="283">
        <v>9</v>
      </c>
      <c r="H758" s="251">
        <v>10</v>
      </c>
      <c r="I758" s="249" t="s">
        <v>807</v>
      </c>
      <c r="J758" s="249">
        <v>1995</v>
      </c>
      <c r="K758" s="249" t="s">
        <v>1211</v>
      </c>
      <c r="L758" s="249">
        <v>2003</v>
      </c>
      <c r="M758" s="253">
        <v>-9999</v>
      </c>
      <c r="N758" s="249">
        <v>-9999</v>
      </c>
      <c r="O758" s="18"/>
      <c r="P758" s="284">
        <f>+T758*G735</f>
        <v>166.6</v>
      </c>
      <c r="Q758" s="249">
        <v>-9999</v>
      </c>
      <c r="R758" s="253"/>
      <c r="S758" s="249"/>
      <c r="T758" s="426">
        <f>(24.52+15.47+15.17+13.03+15.11)/5</f>
        <v>16.66</v>
      </c>
      <c r="U758" s="249">
        <v>-9999</v>
      </c>
      <c r="V758" s="249"/>
      <c r="W758" s="253">
        <v>-9999</v>
      </c>
      <c r="X758" s="249">
        <v>-9999</v>
      </c>
      <c r="Y758" s="249"/>
      <c r="Z758" s="249" t="s">
        <v>808</v>
      </c>
      <c r="AA758" s="384">
        <v>1075</v>
      </c>
      <c r="AB758" s="253">
        <v>1</v>
      </c>
      <c r="AC758" s="249">
        <v>-9999</v>
      </c>
      <c r="AD758" s="249">
        <v>18.600000000000001</v>
      </c>
      <c r="AE758" s="249" t="s">
        <v>1738</v>
      </c>
      <c r="AF758" s="249">
        <v>10</v>
      </c>
      <c r="AG758" s="249" t="s">
        <v>1741</v>
      </c>
      <c r="AH758" s="249" t="s">
        <v>1034</v>
      </c>
      <c r="AI758" s="249" t="s">
        <v>1739</v>
      </c>
      <c r="AJ758" s="249">
        <v>-9999</v>
      </c>
      <c r="AK758" s="249" t="s">
        <v>626</v>
      </c>
      <c r="AL758" s="249" t="s">
        <v>828</v>
      </c>
      <c r="AM758" s="249">
        <v>-9999</v>
      </c>
      <c r="AN758" s="249" t="s">
        <v>631</v>
      </c>
      <c r="AO758" s="249">
        <v>-9999</v>
      </c>
      <c r="AP758" s="249">
        <v>-9999</v>
      </c>
      <c r="AQ758" s="249" t="s">
        <v>631</v>
      </c>
      <c r="AR758" s="249">
        <v>0</v>
      </c>
      <c r="AS758" s="249">
        <v>-9999</v>
      </c>
      <c r="AT758" s="249">
        <v>-9999</v>
      </c>
      <c r="AU758" s="249">
        <v>0</v>
      </c>
      <c r="AV758" s="249">
        <v>-9999</v>
      </c>
      <c r="AW758" s="249">
        <v>-9999</v>
      </c>
      <c r="AX758" s="249">
        <v>0</v>
      </c>
      <c r="AY758" s="249">
        <v>-9999</v>
      </c>
      <c r="AZ758" s="249">
        <v>-9999</v>
      </c>
      <c r="BA758" s="249">
        <v>-9988</v>
      </c>
      <c r="BB758" s="249" t="s">
        <v>626</v>
      </c>
      <c r="BC758" s="249">
        <v>-9999</v>
      </c>
      <c r="BD758" s="249">
        <v>-9999</v>
      </c>
      <c r="BE758" s="249">
        <v>-9999</v>
      </c>
      <c r="BF758" s="249">
        <v>-9999</v>
      </c>
      <c r="BG758" s="249">
        <v>-9999</v>
      </c>
      <c r="BH758" s="249">
        <v>-9999</v>
      </c>
      <c r="BI758" s="249" t="s">
        <v>1035</v>
      </c>
      <c r="BJ758" s="249">
        <v>-9999</v>
      </c>
      <c r="BK758" s="249">
        <v>-9999</v>
      </c>
      <c r="BL758" s="249">
        <v>-9999</v>
      </c>
      <c r="BM758" s="249">
        <v>-9999</v>
      </c>
      <c r="BN758" s="249">
        <v>-9999</v>
      </c>
      <c r="BO758" s="249">
        <v>-9999</v>
      </c>
      <c r="BP758" s="249">
        <v>-9999</v>
      </c>
      <c r="BQ758" s="249">
        <v>-9999</v>
      </c>
      <c r="BR758" s="249">
        <v>-9999</v>
      </c>
      <c r="BS758" s="251">
        <v>-9999</v>
      </c>
      <c r="BT758" s="249">
        <v>-9999</v>
      </c>
      <c r="BU758" s="249">
        <v>-9999</v>
      </c>
      <c r="BV758" s="249">
        <v>-9999</v>
      </c>
      <c r="BW758" s="249"/>
      <c r="BX758" s="249">
        <v>-9999</v>
      </c>
      <c r="BY758" s="249">
        <v>-9999</v>
      </c>
      <c r="BZ758" s="249">
        <v>-9999</v>
      </c>
      <c r="CA758" s="335" t="s">
        <v>797</v>
      </c>
      <c r="CB758" s="254"/>
      <c r="CC758" s="191">
        <v>1</v>
      </c>
      <c r="CD758" s="191">
        <v>9</v>
      </c>
      <c r="CE758" s="393">
        <v>16.66</v>
      </c>
      <c r="CF758" s="99">
        <v>-9999</v>
      </c>
      <c r="CG758" s="195">
        <v>10</v>
      </c>
      <c r="CH758" s="436" t="s">
        <v>1757</v>
      </c>
      <c r="CI758" s="13"/>
      <c r="CJ758" s="13"/>
      <c r="CK758" s="13"/>
      <c r="CL758" s="13"/>
      <c r="CM758" s="13"/>
      <c r="CN758" s="13"/>
      <c r="CO758" s="13"/>
      <c r="CP758" s="13"/>
      <c r="CQ758" s="13"/>
      <c r="CR758" s="13"/>
      <c r="CS758" s="13"/>
      <c r="CT758" s="13"/>
      <c r="CU758" s="13"/>
      <c r="CV758" s="13"/>
      <c r="CW758" s="13"/>
      <c r="CX758" s="13"/>
      <c r="CY758" s="13"/>
      <c r="CZ758" s="13"/>
      <c r="DA758" s="13"/>
      <c r="DB758" s="13"/>
      <c r="DC758" s="13"/>
      <c r="DD758" s="13"/>
      <c r="DE758" s="13"/>
      <c r="DF758" s="13"/>
      <c r="DG758" s="13"/>
      <c r="DH758" s="13"/>
      <c r="DI758" s="13"/>
      <c r="DJ758" s="13"/>
      <c r="DK758" s="13"/>
      <c r="DL758" s="13"/>
      <c r="DM758" s="13"/>
      <c r="DN758" s="13"/>
      <c r="DO758" s="13"/>
      <c r="DP758" s="13"/>
      <c r="DQ758" s="13"/>
      <c r="DR758" s="13"/>
      <c r="DS758" s="13"/>
      <c r="DT758" s="13"/>
      <c r="DU758" s="13"/>
      <c r="DV758" s="13"/>
      <c r="DW758" s="13"/>
      <c r="DX758" s="13"/>
      <c r="DY758" s="13"/>
      <c r="DZ758" s="13"/>
      <c r="EA758" s="13"/>
      <c r="EB758" s="13"/>
      <c r="EC758" s="13"/>
      <c r="ED758" s="13"/>
      <c r="EE758" s="13"/>
      <c r="EF758" s="13"/>
      <c r="EG758" s="13"/>
      <c r="EH758" s="13"/>
      <c r="EI758" s="13"/>
      <c r="EJ758" s="13"/>
      <c r="EK758" s="13"/>
      <c r="EL758" s="13"/>
      <c r="EM758" s="13"/>
      <c r="EN758" s="13"/>
      <c r="EO758" s="13"/>
      <c r="EP758" s="13"/>
      <c r="EQ758" s="13"/>
      <c r="ER758" s="13"/>
      <c r="ES758" s="13"/>
      <c r="ET758" s="13"/>
      <c r="EU758" s="13"/>
      <c r="EV758" s="13"/>
      <c r="EW758" s="13"/>
      <c r="EX758" s="13"/>
      <c r="EY758" s="13"/>
      <c r="EZ758" s="13"/>
      <c r="FA758" s="13"/>
      <c r="FB758" s="13"/>
      <c r="FC758" s="13"/>
      <c r="FD758" s="13"/>
      <c r="FE758" s="13"/>
      <c r="FF758" s="13"/>
      <c r="FG758" s="13"/>
      <c r="FH758" s="13"/>
      <c r="FI758" s="13"/>
      <c r="FJ758" s="13"/>
      <c r="FK758" s="13"/>
      <c r="FL758" s="13"/>
      <c r="FM758" s="13"/>
      <c r="FN758" s="13"/>
      <c r="FO758" s="13"/>
      <c r="FP758" s="13"/>
      <c r="FQ758" s="13"/>
      <c r="FR758" s="13"/>
      <c r="FS758" s="13"/>
      <c r="FT758" s="13"/>
      <c r="FU758" s="13"/>
      <c r="FV758" s="13"/>
      <c r="FW758" s="13"/>
      <c r="FX758" s="13"/>
      <c r="FY758" s="13"/>
      <c r="FZ758" s="13"/>
      <c r="GA758" s="13"/>
      <c r="GB758" s="13"/>
      <c r="GC758" s="13"/>
      <c r="GD758" s="13"/>
      <c r="GE758" s="13"/>
      <c r="GF758" s="13"/>
      <c r="GG758" s="13"/>
      <c r="GH758" s="13"/>
      <c r="GI758" s="13"/>
      <c r="GJ758" s="13"/>
      <c r="GK758" s="13"/>
      <c r="GL758" s="13"/>
      <c r="GM758" s="13"/>
      <c r="GN758" s="13"/>
      <c r="GO758" s="13"/>
      <c r="GP758" s="13"/>
      <c r="GQ758" s="13"/>
      <c r="GR758" s="13"/>
      <c r="GS758" s="13"/>
      <c r="GT758" s="13"/>
      <c r="GU758" s="13"/>
      <c r="GV758" s="13"/>
      <c r="GW758" s="13"/>
      <c r="GX758" s="13"/>
      <c r="GY758" s="13"/>
      <c r="GZ758" s="13"/>
      <c r="HA758" s="13"/>
      <c r="HB758" s="13"/>
      <c r="HC758" s="13"/>
      <c r="HD758" s="13"/>
      <c r="HE758" s="13"/>
      <c r="HF758" s="13"/>
      <c r="HG758" s="13"/>
      <c r="HH758" s="13"/>
      <c r="HI758" s="13"/>
      <c r="HJ758" s="13"/>
      <c r="HK758" s="13"/>
      <c r="HL758" s="13"/>
      <c r="HM758" s="13"/>
      <c r="HN758" s="13"/>
      <c r="HO758" s="13"/>
      <c r="HP758" s="13"/>
      <c r="HQ758" s="13"/>
      <c r="HR758" s="13"/>
      <c r="HS758" s="13"/>
      <c r="HT758" s="13"/>
      <c r="HU758" s="13"/>
      <c r="HV758" s="13"/>
      <c r="HW758" s="13"/>
      <c r="HX758" s="13"/>
      <c r="HY758" s="13"/>
      <c r="HZ758" s="13"/>
      <c r="IA758" s="13"/>
      <c r="IB758" s="13"/>
      <c r="IC758" s="13"/>
      <c r="ID758" s="13"/>
      <c r="IE758" s="13"/>
      <c r="IF758" s="13"/>
      <c r="IG758" s="13"/>
      <c r="IH758" s="13"/>
      <c r="II758" s="13"/>
      <c r="IJ758" s="13"/>
      <c r="IK758" s="13"/>
      <c r="IL758" s="13"/>
      <c r="IM758" s="13"/>
      <c r="IN758" s="13"/>
      <c r="IO758" s="13"/>
      <c r="IP758" s="13"/>
      <c r="IQ758" s="13"/>
      <c r="IR758" s="13"/>
      <c r="IS758" s="13"/>
      <c r="IT758" s="13"/>
      <c r="IU758" s="13"/>
      <c r="IV758" s="13"/>
      <c r="IW758" s="13"/>
      <c r="IX758" s="13"/>
      <c r="IY758" s="13"/>
      <c r="IZ758" s="13"/>
      <c r="JA758" s="13"/>
      <c r="JB758" s="13"/>
      <c r="JC758" s="13"/>
      <c r="JD758" s="13"/>
      <c r="JE758" s="13"/>
      <c r="JF758" s="13"/>
      <c r="JG758" s="13"/>
      <c r="JH758" s="13"/>
      <c r="JI758" s="13"/>
      <c r="JJ758" s="13"/>
      <c r="JK758" s="13"/>
      <c r="JL758" s="13"/>
      <c r="JM758" s="13"/>
      <c r="JN758" s="13"/>
      <c r="JO758" s="13"/>
      <c r="JP758" s="13"/>
      <c r="JQ758" s="13"/>
      <c r="JR758" s="13"/>
      <c r="JS758" s="13"/>
      <c r="JT758" s="13"/>
      <c r="JU758" s="13"/>
      <c r="JV758" s="13"/>
      <c r="JW758" s="13"/>
      <c r="JX758" s="13"/>
      <c r="JY758" s="13"/>
      <c r="JZ758" s="13"/>
      <c r="KA758" s="13"/>
      <c r="KB758" s="13"/>
      <c r="KC758" s="13"/>
      <c r="KD758" s="13"/>
      <c r="KE758" s="13"/>
      <c r="KF758" s="13"/>
      <c r="KG758" s="13"/>
      <c r="KH758" s="13"/>
      <c r="KI758" s="13"/>
      <c r="KJ758" s="13"/>
      <c r="KK758" s="13"/>
      <c r="KL758" s="13"/>
      <c r="KM758" s="13"/>
      <c r="KN758" s="13"/>
      <c r="KO758" s="13"/>
      <c r="KP758" s="13"/>
      <c r="KQ758" s="13"/>
      <c r="KR758" s="13"/>
      <c r="KS758" s="13"/>
      <c r="KT758" s="13"/>
      <c r="KU758" s="13"/>
      <c r="KV758" s="13"/>
      <c r="KW758" s="13"/>
      <c r="KX758" s="13"/>
      <c r="KY758" s="13"/>
      <c r="KZ758" s="13"/>
      <c r="LA758" s="13"/>
      <c r="LB758" s="13"/>
      <c r="LC758" s="13"/>
      <c r="LD758" s="13"/>
      <c r="LE758" s="13"/>
      <c r="LF758" s="13"/>
      <c r="LG758" s="13"/>
      <c r="LH758" s="13"/>
      <c r="LI758" s="13"/>
      <c r="LJ758" s="13"/>
      <c r="LK758" s="13"/>
      <c r="LL758" s="13"/>
      <c r="LM758" s="13"/>
      <c r="LN758" s="13"/>
      <c r="LO758" s="13"/>
      <c r="LP758" s="13"/>
      <c r="LQ758" s="13"/>
      <c r="LR758" s="13"/>
      <c r="LS758" s="13"/>
      <c r="LT758" s="13"/>
      <c r="LU758" s="13"/>
      <c r="LV758" s="13"/>
      <c r="LW758" s="13"/>
      <c r="LX758" s="13"/>
      <c r="LY758" s="13"/>
      <c r="LZ758" s="13"/>
      <c r="MA758" s="13"/>
      <c r="MB758" s="13"/>
      <c r="MC758" s="13"/>
      <c r="MD758" s="13"/>
      <c r="ME758" s="13"/>
      <c r="MF758" s="13"/>
      <c r="MG758" s="13"/>
      <c r="MH758" s="13"/>
      <c r="MI758" s="13"/>
      <c r="MJ758" s="13"/>
      <c r="MK758" s="13"/>
      <c r="ML758" s="13"/>
      <c r="MM758" s="13"/>
      <c r="MN758" s="13"/>
      <c r="MO758" s="13"/>
      <c r="MP758" s="13"/>
      <c r="MQ758" s="13"/>
      <c r="MR758" s="13"/>
      <c r="MS758" s="13"/>
      <c r="MT758" s="13"/>
      <c r="MU758" s="13"/>
      <c r="MV758" s="13"/>
      <c r="MW758" s="13"/>
      <c r="MX758" s="13"/>
      <c r="MY758" s="13"/>
      <c r="MZ758" s="13"/>
      <c r="NA758" s="13"/>
      <c r="NB758" s="13"/>
      <c r="NC758" s="13"/>
      <c r="ND758" s="13"/>
      <c r="NE758" s="13"/>
      <c r="NF758" s="13"/>
      <c r="NG758" s="13"/>
      <c r="NH758" s="13"/>
      <c r="NI758" s="13"/>
      <c r="NJ758" s="13"/>
      <c r="NK758" s="13"/>
      <c r="NL758" s="13"/>
      <c r="NM758" s="13"/>
      <c r="NN758" s="13"/>
      <c r="NO758" s="13"/>
      <c r="NP758" s="13"/>
      <c r="NQ758" s="13"/>
      <c r="NR758" s="13"/>
      <c r="NS758" s="13"/>
      <c r="NT758" s="13"/>
      <c r="NU758" s="13"/>
      <c r="NV758" s="13"/>
      <c r="NW758" s="13"/>
      <c r="NX758" s="13"/>
      <c r="NY758" s="13"/>
      <c r="NZ758" s="13"/>
      <c r="OA758" s="13"/>
      <c r="OB758" s="13"/>
      <c r="OC758" s="13"/>
      <c r="OD758" s="13"/>
      <c r="OE758" s="13"/>
      <c r="OF758" s="13"/>
      <c r="OG758" s="13"/>
      <c r="OH758" s="13"/>
      <c r="OI758" s="13"/>
      <c r="OJ758" s="13"/>
      <c r="OK758" s="13"/>
      <c r="OL758" s="13"/>
      <c r="OM758" s="13"/>
      <c r="ON758" s="13"/>
      <c r="OO758" s="13"/>
      <c r="OP758" s="13"/>
      <c r="OQ758" s="13"/>
      <c r="OR758" s="13"/>
      <c r="OS758" s="13"/>
      <c r="OT758" s="13"/>
      <c r="OU758" s="13"/>
      <c r="OV758" s="13"/>
      <c r="OW758" s="13"/>
      <c r="OX758" s="13"/>
      <c r="OY758" s="13"/>
      <c r="OZ758" s="13"/>
      <c r="PA758" s="13"/>
      <c r="PB758" s="13"/>
      <c r="PC758" s="13"/>
      <c r="PD758" s="13"/>
      <c r="PE758" s="13"/>
      <c r="PF758" s="13"/>
      <c r="PG758" s="13"/>
      <c r="PH758" s="13"/>
      <c r="PI758" s="13"/>
      <c r="PJ758" s="13"/>
      <c r="PK758" s="13"/>
      <c r="PL758" s="13"/>
      <c r="PM758" s="13"/>
      <c r="PN758" s="13"/>
      <c r="PO758" s="13"/>
      <c r="PP758" s="13"/>
      <c r="PQ758" s="13"/>
      <c r="PR758" s="13"/>
      <c r="PS758" s="13"/>
      <c r="PT758" s="13"/>
      <c r="PU758" s="13"/>
      <c r="PV758" s="13"/>
      <c r="PW758" s="13"/>
      <c r="PX758" s="13"/>
      <c r="PY758" s="13"/>
      <c r="PZ758" s="13"/>
      <c r="QA758" s="13"/>
      <c r="QB758" s="13"/>
      <c r="QC758" s="13"/>
      <c r="QD758" s="13"/>
      <c r="QE758" s="13"/>
      <c r="QF758" s="13"/>
      <c r="QG758" s="13"/>
      <c r="QH758" s="13"/>
      <c r="QI758" s="13"/>
      <c r="QJ758" s="13"/>
      <c r="QK758" s="13"/>
      <c r="QL758" s="13"/>
      <c r="QM758" s="13"/>
      <c r="QN758" s="13"/>
      <c r="QO758" s="13"/>
      <c r="QP758" s="13"/>
      <c r="QQ758" s="13"/>
      <c r="QR758" s="13"/>
      <c r="QS758" s="13"/>
      <c r="QT758" s="13"/>
      <c r="QU758" s="13"/>
      <c r="QV758" s="13"/>
      <c r="QW758" s="13"/>
      <c r="QX758" s="13"/>
      <c r="QY758" s="13"/>
      <c r="QZ758" s="13"/>
      <c r="RA758" s="13"/>
      <c r="RB758" s="13"/>
      <c r="RC758" s="13"/>
      <c r="RD758" s="13"/>
      <c r="RE758" s="13"/>
      <c r="RF758" s="13"/>
      <c r="RG758" s="13"/>
      <c r="RH758" s="13"/>
      <c r="RI758" s="13"/>
      <c r="RJ758" s="13"/>
      <c r="RK758" s="13"/>
      <c r="RL758" s="13"/>
      <c r="RM758" s="13"/>
      <c r="RN758" s="13"/>
      <c r="RO758" s="13"/>
      <c r="RP758" s="13"/>
      <c r="RQ758" s="13"/>
      <c r="RR758" s="13"/>
      <c r="RS758" s="13"/>
      <c r="RT758" s="13"/>
      <c r="RU758" s="13"/>
      <c r="RV758" s="13"/>
      <c r="RW758" s="13"/>
      <c r="RX758" s="13"/>
      <c r="RY758" s="13"/>
      <c r="RZ758" s="13"/>
      <c r="SA758" s="13"/>
      <c r="SB758" s="13"/>
      <c r="SC758" s="13"/>
      <c r="SD758" s="13"/>
      <c r="SE758" s="13"/>
      <c r="SF758" s="13"/>
      <c r="SG758" s="13"/>
      <c r="SH758" s="13"/>
      <c r="SI758" s="13"/>
      <c r="SJ758" s="13"/>
      <c r="SK758" s="13"/>
      <c r="SL758" s="13"/>
      <c r="SM758" s="13"/>
      <c r="SN758" s="13"/>
      <c r="SO758" s="13"/>
      <c r="SP758" s="13"/>
      <c r="SQ758" s="13"/>
      <c r="SR758" s="13"/>
      <c r="SS758" s="13"/>
      <c r="ST758" s="13"/>
      <c r="SU758" s="13"/>
      <c r="SV758" s="13"/>
      <c r="SW758" s="13"/>
      <c r="SX758" s="13"/>
      <c r="SY758" s="13"/>
      <c r="SZ758" s="13"/>
      <c r="TA758" s="13"/>
      <c r="TB758" s="13"/>
      <c r="TC758" s="13"/>
      <c r="TD758" s="13"/>
      <c r="TE758" s="13"/>
      <c r="TF758" s="13"/>
      <c r="TG758" s="13"/>
      <c r="TH758" s="13"/>
      <c r="TI758" s="13"/>
      <c r="TJ758" s="13"/>
      <c r="TK758" s="13"/>
      <c r="TL758" s="13"/>
      <c r="TM758" s="13"/>
      <c r="TN758" s="13"/>
      <c r="TO758" s="13"/>
      <c r="TP758" s="13"/>
      <c r="TQ758" s="13"/>
      <c r="TR758" s="13"/>
      <c r="TS758" s="13"/>
      <c r="TT758" s="13"/>
      <c r="TU758" s="13"/>
      <c r="TV758" s="13"/>
      <c r="TW758" s="13"/>
      <c r="TX758" s="13"/>
      <c r="TY758" s="13"/>
      <c r="TZ758" s="13"/>
      <c r="UA758" s="13"/>
      <c r="UB758" s="13"/>
      <c r="UC758" s="13"/>
      <c r="UD758" s="13"/>
      <c r="UE758" s="13"/>
      <c r="UF758" s="13"/>
      <c r="UG758" s="13"/>
      <c r="UH758" s="13"/>
      <c r="UI758" s="13"/>
      <c r="UJ758" s="13"/>
      <c r="UK758" s="13"/>
      <c r="UL758" s="13"/>
      <c r="UM758" s="13"/>
      <c r="UN758" s="13"/>
      <c r="UO758" s="13"/>
      <c r="UP758" s="13"/>
      <c r="UQ758" s="13"/>
      <c r="UR758" s="13"/>
      <c r="US758" s="13"/>
      <c r="UT758" s="13"/>
      <c r="UU758" s="13"/>
      <c r="UV758" s="13"/>
      <c r="UW758" s="13"/>
      <c r="UX758" s="13"/>
      <c r="UY758" s="13"/>
      <c r="UZ758" s="13"/>
      <c r="VA758" s="13"/>
      <c r="VB758" s="13"/>
      <c r="VC758" s="13"/>
      <c r="VD758" s="13"/>
      <c r="VE758" s="13"/>
      <c r="VF758" s="13"/>
      <c r="VG758" s="13"/>
      <c r="VH758" s="13"/>
      <c r="VI758" s="13"/>
      <c r="VJ758" s="13"/>
      <c r="VK758" s="13"/>
      <c r="VL758" s="13"/>
      <c r="VM758" s="13"/>
      <c r="VN758" s="13"/>
      <c r="VO758" s="13"/>
      <c r="VP758" s="13"/>
      <c r="VQ758" s="13"/>
      <c r="VR758" s="13"/>
      <c r="VS758" s="13"/>
      <c r="VT758" s="13"/>
      <c r="VU758" s="13"/>
      <c r="VV758" s="13"/>
      <c r="VW758" s="13"/>
      <c r="VX758" s="13"/>
      <c r="VY758" s="13"/>
      <c r="VZ758" s="13"/>
      <c r="WA758" s="13"/>
      <c r="WB758" s="13"/>
      <c r="WC758" s="13"/>
      <c r="WD758" s="13"/>
      <c r="WE758" s="13"/>
      <c r="WF758" s="13"/>
      <c r="WG758" s="13"/>
      <c r="WH758" s="13"/>
      <c r="WI758" s="13"/>
      <c r="WJ758" s="13"/>
      <c r="WK758" s="13"/>
      <c r="WL758" s="13"/>
      <c r="WM758" s="13"/>
      <c r="WN758" s="13"/>
      <c r="WO758" s="13"/>
      <c r="WP758" s="13"/>
      <c r="WQ758" s="13"/>
      <c r="WR758" s="13"/>
      <c r="WS758" s="13"/>
      <c r="WT758" s="13"/>
      <c r="WU758" s="13"/>
      <c r="WV758" s="13"/>
      <c r="WW758" s="13"/>
      <c r="WX758" s="13"/>
      <c r="WY758" s="13"/>
      <c r="WZ758" s="13"/>
      <c r="XA758" s="13"/>
      <c r="XB758" s="13"/>
      <c r="XC758" s="13"/>
      <c r="XD758" s="13"/>
      <c r="XE758" s="13"/>
      <c r="XF758" s="13"/>
      <c r="XG758" s="13"/>
      <c r="XH758" s="13"/>
      <c r="XI758" s="13"/>
      <c r="XJ758" s="13"/>
      <c r="XK758" s="13"/>
      <c r="XL758" s="13"/>
      <c r="XM758" s="13"/>
      <c r="XN758" s="13"/>
      <c r="XO758" s="13"/>
      <c r="XP758" s="13"/>
      <c r="XQ758" s="13"/>
      <c r="XR758" s="13"/>
      <c r="XS758" s="13"/>
      <c r="XT758" s="13"/>
      <c r="XU758" s="13"/>
      <c r="XV758" s="13"/>
      <c r="XW758" s="13"/>
      <c r="XX758" s="13"/>
      <c r="XY758" s="13"/>
      <c r="XZ758" s="13"/>
      <c r="YA758" s="13"/>
      <c r="YB758" s="13"/>
      <c r="YC758" s="13"/>
      <c r="YD758" s="13"/>
      <c r="YE758" s="13"/>
      <c r="YF758" s="13"/>
      <c r="YG758" s="13"/>
      <c r="YH758" s="13"/>
      <c r="YI758" s="13"/>
      <c r="YJ758" s="13"/>
      <c r="YK758" s="13"/>
      <c r="YL758" s="13"/>
      <c r="YM758" s="13"/>
      <c r="YN758" s="13"/>
      <c r="YO758" s="13"/>
      <c r="YP758" s="13"/>
      <c r="YQ758" s="13"/>
      <c r="YR758" s="13"/>
      <c r="YS758" s="13"/>
      <c r="YT758" s="13"/>
      <c r="YU758" s="13"/>
      <c r="YV758" s="13"/>
      <c r="YW758" s="13"/>
      <c r="YX758" s="13"/>
      <c r="YY758" s="13"/>
      <c r="YZ758" s="13"/>
      <c r="ZA758" s="13"/>
      <c r="ZB758" s="13"/>
      <c r="ZC758" s="13"/>
      <c r="ZD758" s="13"/>
      <c r="ZE758" s="13"/>
      <c r="ZF758" s="13"/>
      <c r="ZG758" s="13"/>
      <c r="ZH758" s="13"/>
      <c r="ZI758" s="13"/>
      <c r="ZJ758" s="13"/>
      <c r="ZK758" s="13"/>
      <c r="ZL758" s="13"/>
      <c r="ZM758" s="13"/>
      <c r="ZN758" s="13"/>
      <c r="ZO758" s="13"/>
      <c r="ZP758" s="13"/>
      <c r="ZQ758" s="13"/>
      <c r="ZR758" s="13"/>
      <c r="ZS758" s="13"/>
      <c r="ZT758" s="13"/>
      <c r="ZU758" s="13"/>
      <c r="ZV758" s="13"/>
      <c r="ZW758" s="13"/>
      <c r="ZX758" s="13"/>
      <c r="ZY758" s="13"/>
      <c r="ZZ758" s="13"/>
      <c r="AAA758" s="13"/>
      <c r="AAB758" s="13"/>
      <c r="AAC758" s="13"/>
      <c r="AAD758" s="13"/>
      <c r="AAE758" s="13"/>
      <c r="AAF758" s="13"/>
      <c r="AAG758" s="13"/>
      <c r="AAH758" s="13"/>
      <c r="AAI758" s="13"/>
      <c r="AAJ758" s="13"/>
      <c r="AAK758" s="13"/>
      <c r="AAL758" s="13"/>
      <c r="AAM758" s="13"/>
      <c r="AAN758" s="13"/>
      <c r="AAO758" s="13"/>
      <c r="AAP758" s="13"/>
      <c r="AAQ758" s="13"/>
      <c r="AAR758" s="13"/>
      <c r="AAS758" s="13"/>
      <c r="AAT758" s="13"/>
      <c r="AAU758" s="13"/>
      <c r="AAV758" s="13"/>
      <c r="AAW758" s="13"/>
      <c r="AAX758" s="13"/>
      <c r="AAY758" s="13"/>
      <c r="AAZ758" s="13"/>
      <c r="ABA758" s="13"/>
      <c r="ABB758" s="13"/>
      <c r="ABC758" s="13"/>
      <c r="ABD758" s="13"/>
      <c r="ABE758" s="13"/>
      <c r="ABF758" s="13"/>
      <c r="ABG758" s="13"/>
      <c r="ABH758" s="13"/>
      <c r="ABI758" s="13"/>
      <c r="ABJ758" s="13"/>
      <c r="ABK758" s="13"/>
      <c r="ABL758" s="13"/>
      <c r="ABM758" s="13"/>
      <c r="ABN758" s="13"/>
      <c r="ABO758" s="13"/>
      <c r="ABP758" s="13"/>
      <c r="ABQ758" s="13"/>
      <c r="ABR758" s="13"/>
      <c r="ABS758" s="13"/>
      <c r="ABT758" s="13"/>
      <c r="ABU758" s="13"/>
      <c r="ABV758" s="13"/>
      <c r="ABW758" s="13"/>
      <c r="ABX758" s="13"/>
      <c r="ABY758" s="13"/>
      <c r="ABZ758" s="13"/>
      <c r="ACA758" s="13"/>
      <c r="ACB758" s="13"/>
      <c r="ACC758" s="13"/>
      <c r="ACD758" s="13"/>
      <c r="ACE758" s="13"/>
      <c r="ACF758" s="13"/>
      <c r="ACG758" s="13"/>
      <c r="ACH758" s="13"/>
      <c r="ACI758" s="13"/>
      <c r="ACJ758" s="13"/>
      <c r="ACK758" s="13"/>
      <c r="ACL758" s="13"/>
      <c r="ACM758" s="13"/>
      <c r="ACN758" s="13"/>
      <c r="ACO758" s="13"/>
      <c r="ACP758" s="13"/>
      <c r="ACQ758" s="13"/>
      <c r="ACR758" s="13"/>
      <c r="ACS758" s="13"/>
      <c r="ACT758" s="13"/>
      <c r="ACU758" s="13"/>
      <c r="ACV758" s="13"/>
      <c r="ACW758" s="13"/>
      <c r="ACX758" s="13"/>
      <c r="ACY758" s="13"/>
      <c r="ACZ758" s="13"/>
      <c r="ADA758" s="13"/>
      <c r="ADB758" s="13"/>
      <c r="ADC758" s="13"/>
      <c r="ADD758" s="13"/>
      <c r="ADE758" s="13"/>
      <c r="ADF758" s="13"/>
      <c r="ADG758" s="13"/>
      <c r="ADH758" s="13"/>
      <c r="ADI758" s="13"/>
      <c r="ADJ758" s="13"/>
      <c r="ADK758" s="13"/>
      <c r="ADL758" s="13"/>
      <c r="ADM758" s="13"/>
      <c r="ADN758" s="13"/>
      <c r="ADO758" s="13"/>
      <c r="ADP758" s="13"/>
      <c r="ADQ758" s="13"/>
      <c r="ADR758" s="13"/>
      <c r="ADS758" s="13"/>
      <c r="ADT758" s="13"/>
      <c r="ADU758" s="13"/>
      <c r="ADV758" s="13"/>
      <c r="ADW758" s="13"/>
      <c r="ADX758" s="13"/>
      <c r="ADY758" s="13"/>
      <c r="ADZ758" s="13"/>
      <c r="AEA758" s="13"/>
      <c r="AEB758" s="13"/>
      <c r="AEC758" s="13"/>
      <c r="AED758" s="13"/>
      <c r="AEE758" s="13"/>
      <c r="AEF758" s="13"/>
      <c r="AEG758" s="13"/>
      <c r="AEH758" s="13"/>
      <c r="AEI758" s="13"/>
      <c r="AEJ758" s="13"/>
      <c r="AEK758" s="13"/>
      <c r="AEL758" s="13"/>
      <c r="AEM758" s="13"/>
      <c r="AEN758" s="13"/>
      <c r="AEO758" s="13"/>
      <c r="AEP758" s="13"/>
      <c r="AEQ758" s="13"/>
      <c r="AER758" s="13"/>
      <c r="AES758" s="13"/>
      <c r="AET758" s="13"/>
      <c r="AEU758" s="13"/>
      <c r="AEV758" s="13"/>
      <c r="AEW758" s="13"/>
      <c r="AEX758" s="13"/>
      <c r="AEY758" s="13"/>
      <c r="AEZ758" s="13"/>
      <c r="AFA758" s="13"/>
      <c r="AFB758" s="13"/>
      <c r="AFC758" s="13"/>
      <c r="AFD758" s="13"/>
      <c r="AFE758" s="13"/>
      <c r="AFF758" s="13"/>
      <c r="AFG758" s="13"/>
      <c r="AFH758" s="13"/>
      <c r="AFI758" s="13"/>
      <c r="AFJ758" s="13"/>
      <c r="AFK758" s="13"/>
      <c r="AFL758" s="13"/>
      <c r="AFM758" s="13"/>
      <c r="AFN758" s="13"/>
      <c r="AFO758" s="13"/>
      <c r="AFP758" s="13"/>
      <c r="AFQ758" s="13"/>
      <c r="AFR758" s="13"/>
      <c r="AFS758" s="13"/>
      <c r="AFT758" s="13"/>
      <c r="AFU758" s="13"/>
      <c r="AFV758" s="13"/>
      <c r="AFW758" s="13"/>
      <c r="AFX758" s="13"/>
      <c r="AFY758" s="13"/>
      <c r="AFZ758" s="13"/>
      <c r="AGA758" s="13"/>
      <c r="AGB758" s="13"/>
      <c r="AGC758" s="13"/>
      <c r="AGD758" s="13"/>
      <c r="AGE758" s="13"/>
      <c r="AGF758" s="13"/>
      <c r="AGG758" s="13"/>
      <c r="AGH758" s="13"/>
      <c r="AGI758" s="13"/>
      <c r="AGJ758" s="13"/>
      <c r="AGK758" s="13"/>
      <c r="AGL758" s="13"/>
      <c r="AGM758" s="13"/>
      <c r="AGN758" s="13"/>
      <c r="AGO758" s="13"/>
      <c r="AGP758" s="13"/>
      <c r="AGQ758" s="13"/>
      <c r="AGR758" s="13"/>
      <c r="AGS758" s="13"/>
      <c r="AGT758" s="13"/>
      <c r="AGU758" s="13"/>
      <c r="AGV758" s="13"/>
      <c r="AGW758" s="13"/>
      <c r="AGX758" s="13"/>
      <c r="AGY758" s="13"/>
      <c r="AGZ758" s="13"/>
      <c r="AHA758" s="13"/>
      <c r="AHB758" s="13"/>
      <c r="AHC758" s="13"/>
      <c r="AHD758" s="13"/>
      <c r="AHE758" s="13"/>
      <c r="AHF758" s="13"/>
      <c r="AHG758" s="13"/>
      <c r="AHH758" s="13"/>
      <c r="AHI758" s="13"/>
      <c r="AHJ758" s="13"/>
      <c r="AHK758" s="13"/>
      <c r="AHL758" s="13"/>
      <c r="AHM758" s="13"/>
      <c r="AHN758" s="13"/>
      <c r="AHO758" s="13"/>
      <c r="AHP758" s="13"/>
      <c r="AHQ758" s="13"/>
      <c r="AHR758" s="13"/>
      <c r="AHS758" s="13"/>
      <c r="AHT758" s="13"/>
      <c r="AHU758" s="13"/>
      <c r="AHV758" s="13"/>
      <c r="AHW758" s="13"/>
      <c r="AHX758" s="13"/>
      <c r="AHY758" s="13"/>
      <c r="AHZ758" s="13"/>
      <c r="AIA758" s="13"/>
      <c r="AIB758" s="13"/>
      <c r="AIC758" s="13"/>
      <c r="AID758" s="13"/>
      <c r="AIE758" s="13"/>
      <c r="AIF758" s="13"/>
      <c r="AIG758" s="13"/>
      <c r="AIH758" s="13"/>
      <c r="AII758" s="13"/>
      <c r="AIJ758" s="13"/>
      <c r="AIK758" s="13"/>
      <c r="AIL758" s="13"/>
      <c r="AIM758" s="13"/>
      <c r="AIN758" s="13"/>
      <c r="AIO758" s="13"/>
      <c r="AIP758" s="13"/>
      <c r="AIQ758" s="13"/>
      <c r="AIR758" s="13"/>
      <c r="AIS758" s="13"/>
      <c r="AIT758" s="13"/>
      <c r="AIU758" s="13"/>
      <c r="AIV758" s="13"/>
      <c r="AIW758" s="13"/>
      <c r="AIX758" s="13"/>
      <c r="AIY758" s="13"/>
      <c r="AIZ758" s="13"/>
      <c r="AJA758" s="13"/>
      <c r="AJB758" s="13"/>
      <c r="AJC758" s="13"/>
      <c r="AJD758" s="13"/>
      <c r="AJE758" s="13"/>
      <c r="AJF758" s="13"/>
      <c r="AJG758" s="13"/>
      <c r="AJH758" s="13"/>
      <c r="AJI758" s="13"/>
      <c r="AJJ758" s="13"/>
      <c r="AJK758" s="13"/>
      <c r="AJL758" s="13"/>
      <c r="AJM758" s="13"/>
      <c r="AJN758" s="13"/>
      <c r="AJO758" s="13"/>
      <c r="AJP758" s="13"/>
      <c r="AJQ758" s="13"/>
      <c r="AJR758" s="13"/>
      <c r="AJS758" s="13"/>
      <c r="AJT758" s="13"/>
      <c r="AJU758" s="13"/>
      <c r="AJV758" s="13"/>
      <c r="AJW758" s="13"/>
      <c r="AJX758" s="13"/>
      <c r="AJY758" s="13"/>
      <c r="AJZ758" s="13"/>
      <c r="AKA758" s="13"/>
      <c r="AKB758" s="13"/>
      <c r="AKC758" s="13"/>
      <c r="AKD758" s="13"/>
      <c r="AKE758" s="13"/>
      <c r="AKF758" s="13"/>
      <c r="AKG758" s="13"/>
      <c r="AKH758" s="13"/>
      <c r="AKI758" s="13"/>
      <c r="AKJ758" s="13"/>
      <c r="AKK758" s="13"/>
      <c r="AKL758" s="13"/>
      <c r="AKM758" s="13"/>
      <c r="AKN758" s="13"/>
      <c r="AKO758" s="13"/>
      <c r="AKP758" s="13"/>
      <c r="AKQ758" s="13"/>
      <c r="AKR758" s="13"/>
      <c r="AKS758" s="13"/>
      <c r="AKT758" s="13"/>
      <c r="AKU758" s="13"/>
      <c r="AKV758" s="13"/>
      <c r="AKW758" s="13"/>
      <c r="AKX758" s="13"/>
      <c r="AKY758" s="13"/>
      <c r="AKZ758" s="13"/>
      <c r="ALA758" s="13"/>
      <c r="ALB758" s="13"/>
      <c r="ALC758" s="13"/>
      <c r="ALD758" s="13"/>
      <c r="ALE758" s="13"/>
      <c r="ALF758" s="13"/>
      <c r="ALG758" s="13"/>
      <c r="ALH758" s="13"/>
      <c r="ALI758" s="13"/>
      <c r="ALJ758" s="13"/>
      <c r="ALK758" s="13"/>
      <c r="ALL758" s="13"/>
      <c r="ALM758" s="13"/>
      <c r="ALN758" s="13"/>
      <c r="ALO758" s="13"/>
      <c r="ALP758" s="13"/>
      <c r="ALQ758" s="13"/>
      <c r="ALR758" s="13"/>
      <c r="ALS758" s="13"/>
      <c r="ALT758" s="13"/>
      <c r="ALU758" s="13"/>
      <c r="ALV758" s="13"/>
      <c r="ALW758" s="13"/>
      <c r="ALX758" s="13"/>
      <c r="ALY758" s="13"/>
      <c r="ALZ758" s="13"/>
      <c r="AMA758" s="13"/>
      <c r="AMB758" s="13"/>
      <c r="AMC758" s="13"/>
      <c r="AMD758" s="13"/>
      <c r="AME758" s="13"/>
      <c r="AMF758" s="13"/>
      <c r="AMG758" s="13"/>
      <c r="AMH758" s="13"/>
      <c r="AMI758" s="13"/>
      <c r="AMJ758" s="13"/>
      <c r="AMK758" s="13"/>
      <c r="AML758" s="13"/>
      <c r="AMM758" s="13"/>
      <c r="AMN758" s="13"/>
      <c r="AMO758" s="13"/>
      <c r="AMP758" s="13"/>
      <c r="AMQ758" s="13"/>
      <c r="AMR758" s="13"/>
      <c r="AMS758" s="13"/>
      <c r="AMT758" s="13"/>
      <c r="AMU758" s="13"/>
      <c r="AMV758" s="13"/>
      <c r="AMW758" s="13"/>
      <c r="AMX758" s="13"/>
      <c r="AMY758" s="13"/>
      <c r="AMZ758" s="13"/>
      <c r="ANA758" s="13"/>
      <c r="ANB758" s="13"/>
      <c r="ANC758" s="13"/>
      <c r="AND758" s="13"/>
      <c r="ANE758" s="13"/>
      <c r="ANF758" s="13"/>
      <c r="ANG758" s="13"/>
      <c r="ANH758" s="13"/>
      <c r="ANI758" s="13"/>
      <c r="ANJ758" s="13"/>
      <c r="ANK758" s="13"/>
      <c r="ANL758" s="13"/>
      <c r="ANM758" s="13"/>
      <c r="ANN758" s="13"/>
      <c r="ANO758" s="13"/>
      <c r="ANP758" s="13"/>
      <c r="ANQ758" s="13"/>
      <c r="ANR758" s="13"/>
      <c r="ANS758" s="13"/>
      <c r="ANT758" s="13"/>
      <c r="ANU758" s="13"/>
      <c r="ANV758" s="13"/>
      <c r="ANW758" s="13"/>
      <c r="ANX758" s="13"/>
      <c r="ANY758" s="13"/>
      <c r="ANZ758" s="13"/>
      <c r="AOA758" s="13"/>
      <c r="AOB758" s="13"/>
      <c r="AOC758" s="13"/>
      <c r="AOD758" s="13"/>
      <c r="AOE758" s="13"/>
      <c r="AOF758" s="13"/>
      <c r="AOG758" s="13"/>
      <c r="AOH758" s="13"/>
      <c r="AOI758" s="13"/>
      <c r="AOJ758" s="13"/>
      <c r="AOK758" s="13"/>
      <c r="AOL758" s="13"/>
      <c r="AOM758" s="13"/>
      <c r="AON758" s="13"/>
      <c r="AOO758" s="13"/>
      <c r="AOP758" s="13"/>
      <c r="AOQ758" s="13"/>
      <c r="AOR758" s="13"/>
      <c r="AOS758" s="13"/>
      <c r="AOT758" s="13"/>
      <c r="AOU758" s="13"/>
      <c r="AOV758" s="13"/>
      <c r="AOW758" s="13"/>
      <c r="AOX758" s="13"/>
      <c r="AOY758" s="13"/>
      <c r="AOZ758" s="13"/>
      <c r="APA758" s="13"/>
      <c r="APB758" s="13"/>
      <c r="APC758" s="13"/>
      <c r="APD758" s="13"/>
      <c r="APE758" s="13"/>
      <c r="APF758" s="13"/>
      <c r="APG758" s="13"/>
      <c r="APH758" s="13"/>
      <c r="API758" s="13"/>
      <c r="APJ758" s="13"/>
      <c r="APK758" s="13"/>
      <c r="APL758" s="13"/>
      <c r="APM758" s="13"/>
      <c r="APN758" s="13"/>
      <c r="APO758" s="13"/>
      <c r="APP758" s="13"/>
      <c r="APQ758" s="13"/>
      <c r="APR758" s="13"/>
      <c r="APS758" s="13"/>
      <c r="APT758" s="13"/>
      <c r="APU758" s="13"/>
      <c r="APV758" s="13"/>
      <c r="APW758" s="13"/>
      <c r="APX758" s="13"/>
      <c r="APY758" s="13"/>
      <c r="APZ758" s="13"/>
      <c r="AQA758" s="13"/>
      <c r="AQB758" s="13"/>
      <c r="AQC758" s="13"/>
      <c r="AQD758" s="13"/>
      <c r="AQE758" s="13"/>
      <c r="AQF758" s="13"/>
      <c r="AQG758" s="13"/>
      <c r="AQH758" s="13"/>
      <c r="AQI758" s="13"/>
      <c r="AQJ758" s="13"/>
      <c r="AQK758" s="13"/>
      <c r="AQL758" s="13"/>
      <c r="AQM758" s="13"/>
      <c r="AQN758" s="13"/>
      <c r="AQO758" s="13"/>
      <c r="AQP758" s="13"/>
      <c r="AQQ758" s="13"/>
      <c r="AQR758" s="13"/>
      <c r="AQS758" s="13"/>
      <c r="AQT758" s="13"/>
      <c r="AQU758" s="13"/>
      <c r="AQV758" s="13"/>
      <c r="AQW758" s="13"/>
      <c r="AQX758" s="13"/>
      <c r="AQY758" s="13"/>
      <c r="AQZ758" s="13"/>
      <c r="ARA758" s="13"/>
      <c r="ARB758" s="13"/>
      <c r="ARC758" s="13"/>
      <c r="ARD758" s="13"/>
      <c r="ARE758" s="13"/>
      <c r="ARF758" s="13"/>
      <c r="ARG758" s="13"/>
      <c r="ARH758" s="13"/>
      <c r="ARI758" s="13"/>
      <c r="ARJ758" s="13"/>
      <c r="ARK758" s="13"/>
      <c r="ARL758" s="13"/>
      <c r="ARM758" s="13"/>
      <c r="ARN758" s="13"/>
      <c r="ARO758" s="13"/>
      <c r="ARP758" s="13"/>
      <c r="ARQ758" s="13"/>
      <c r="ARR758" s="13"/>
      <c r="ARS758" s="13"/>
      <c r="ART758" s="13"/>
      <c r="ARU758" s="13"/>
      <c r="ARV758" s="13"/>
      <c r="ARW758" s="13"/>
      <c r="ARX758" s="13"/>
      <c r="ARY758" s="13"/>
      <c r="ARZ758" s="13"/>
      <c r="ASA758" s="13"/>
      <c r="ASB758" s="13"/>
      <c r="ASC758" s="13"/>
      <c r="ASD758" s="13"/>
      <c r="ASE758" s="13"/>
      <c r="ASF758" s="13"/>
      <c r="ASG758" s="13"/>
      <c r="ASH758" s="13"/>
      <c r="ASI758" s="13"/>
      <c r="ASJ758" s="13"/>
      <c r="ASK758" s="13"/>
      <c r="ASL758" s="13"/>
      <c r="ASM758" s="13"/>
      <c r="ASN758" s="13"/>
      <c r="ASO758" s="13"/>
      <c r="ASP758" s="13"/>
      <c r="ASQ758" s="13"/>
      <c r="ASR758" s="13"/>
      <c r="ASS758" s="13"/>
      <c r="AST758" s="13"/>
      <c r="ASU758" s="13"/>
      <c r="ASV758" s="13"/>
      <c r="ASW758" s="13"/>
      <c r="ASX758" s="13"/>
      <c r="ASY758" s="13"/>
      <c r="ASZ758" s="13"/>
      <c r="ATA758" s="13"/>
      <c r="ATB758" s="13"/>
      <c r="ATC758" s="13"/>
      <c r="ATD758" s="13"/>
      <c r="ATE758" s="13"/>
      <c r="ATF758" s="13"/>
      <c r="ATG758" s="13"/>
      <c r="ATH758" s="13"/>
      <c r="ATI758" s="13"/>
      <c r="ATJ758" s="13"/>
      <c r="ATK758" s="13"/>
      <c r="ATL758" s="13"/>
      <c r="ATM758" s="13"/>
      <c r="ATN758" s="13"/>
      <c r="ATO758" s="13"/>
      <c r="ATP758" s="13"/>
      <c r="ATQ758" s="13"/>
      <c r="ATR758" s="13"/>
      <c r="ATS758" s="13"/>
      <c r="ATT758" s="13"/>
      <c r="ATU758" s="13"/>
      <c r="ATV758" s="13"/>
      <c r="ATW758" s="13"/>
      <c r="ATX758" s="13"/>
      <c r="ATY758" s="13"/>
      <c r="ATZ758" s="13"/>
      <c r="AUA758" s="13"/>
      <c r="AUB758" s="13"/>
      <c r="AUC758" s="13"/>
      <c r="AUD758" s="13"/>
      <c r="AUE758" s="13"/>
      <c r="AUF758" s="13"/>
      <c r="AUG758" s="13"/>
      <c r="AUH758" s="13"/>
      <c r="AUI758" s="13"/>
      <c r="AUJ758" s="13"/>
      <c r="AUK758" s="13"/>
      <c r="AUL758" s="13"/>
      <c r="AUM758" s="13"/>
      <c r="AUN758" s="13"/>
      <c r="AUO758" s="13"/>
      <c r="AUP758" s="13"/>
      <c r="AUQ758" s="13"/>
      <c r="AUR758" s="13"/>
      <c r="AUS758" s="13"/>
      <c r="AUT758" s="13"/>
      <c r="AUU758" s="13"/>
      <c r="AUV758" s="13"/>
      <c r="AUW758" s="13"/>
      <c r="AUX758" s="13"/>
      <c r="AUY758" s="13"/>
      <c r="AUZ758" s="13"/>
      <c r="AVA758" s="13"/>
      <c r="AVB758" s="13"/>
      <c r="AVC758" s="13"/>
      <c r="AVD758" s="13"/>
      <c r="AVE758" s="13"/>
      <c r="AVF758" s="13"/>
      <c r="AVG758" s="13"/>
      <c r="AVH758" s="13"/>
      <c r="AVI758" s="13"/>
      <c r="AVJ758" s="13"/>
      <c r="AVK758" s="13"/>
      <c r="AVL758" s="13"/>
      <c r="AVM758" s="13"/>
      <c r="AVN758" s="13"/>
      <c r="AVO758" s="13"/>
      <c r="AVP758" s="13"/>
      <c r="AVQ758" s="13"/>
      <c r="AVR758" s="13"/>
      <c r="AVS758" s="13"/>
      <c r="AVT758" s="13"/>
      <c r="AVU758" s="13"/>
      <c r="AVV758" s="13"/>
      <c r="AVW758" s="13"/>
      <c r="AVX758" s="13"/>
      <c r="AVY758" s="13"/>
      <c r="AVZ758" s="13"/>
      <c r="AWA758" s="13"/>
      <c r="AWB758" s="13"/>
      <c r="AWC758" s="13"/>
      <c r="AWD758" s="13"/>
      <c r="AWE758" s="13"/>
      <c r="AWF758" s="13"/>
      <c r="AWG758" s="13"/>
      <c r="AWH758" s="13"/>
      <c r="AWI758" s="13"/>
      <c r="AWJ758" s="13"/>
      <c r="AWK758" s="13"/>
      <c r="AWL758" s="13"/>
      <c r="AWM758" s="13"/>
      <c r="AWN758" s="13"/>
      <c r="AWO758" s="13"/>
      <c r="AWP758" s="13"/>
      <c r="AWQ758" s="13"/>
      <c r="AWR758" s="13"/>
      <c r="AWS758" s="13"/>
      <c r="AWT758" s="13"/>
      <c r="AWU758" s="13"/>
      <c r="AWV758" s="13"/>
      <c r="AWW758" s="13"/>
      <c r="AWX758" s="13"/>
      <c r="AWY758" s="13"/>
      <c r="AWZ758" s="13"/>
      <c r="AXA758" s="13"/>
      <c r="AXB758" s="13"/>
      <c r="AXC758" s="13"/>
      <c r="AXD758" s="13"/>
      <c r="AXE758" s="13"/>
      <c r="AXF758" s="13"/>
      <c r="AXG758" s="13"/>
      <c r="AXH758" s="13"/>
      <c r="AXI758" s="13"/>
      <c r="AXJ758" s="13"/>
      <c r="AXK758" s="13"/>
      <c r="AXL758" s="13"/>
      <c r="AXM758" s="13"/>
      <c r="AXN758" s="13"/>
      <c r="AXO758" s="13"/>
      <c r="AXP758" s="13"/>
      <c r="AXQ758" s="13"/>
      <c r="AXR758" s="13"/>
      <c r="AXS758" s="13"/>
      <c r="AXT758" s="13"/>
      <c r="AXU758" s="13"/>
      <c r="AXV758" s="13"/>
      <c r="AXW758" s="13"/>
      <c r="AXX758" s="13"/>
      <c r="AXY758" s="13"/>
      <c r="AXZ758" s="13"/>
      <c r="AYA758" s="13"/>
      <c r="AYB758" s="13"/>
      <c r="AYC758" s="13"/>
      <c r="AYD758" s="13"/>
      <c r="AYE758" s="13"/>
      <c r="AYF758" s="13"/>
      <c r="AYG758" s="13"/>
      <c r="AYH758" s="13"/>
      <c r="AYI758" s="13"/>
      <c r="AYJ758" s="13"/>
      <c r="AYK758" s="13"/>
      <c r="AYL758" s="13"/>
      <c r="AYM758" s="13"/>
      <c r="AYN758" s="13"/>
      <c r="AYO758" s="13"/>
      <c r="AYP758" s="13"/>
      <c r="AYQ758" s="13"/>
      <c r="AYR758" s="13"/>
      <c r="AYS758" s="13"/>
      <c r="AYT758" s="13"/>
      <c r="AYU758" s="13"/>
      <c r="AYV758" s="13"/>
      <c r="AYW758" s="13"/>
      <c r="AYX758" s="13"/>
      <c r="AYY758" s="13"/>
      <c r="AYZ758" s="13"/>
      <c r="AZA758" s="13"/>
      <c r="AZB758" s="13"/>
      <c r="AZC758" s="13"/>
      <c r="AZD758" s="13"/>
      <c r="AZE758" s="13"/>
      <c r="AZF758" s="13"/>
      <c r="AZG758" s="13"/>
      <c r="AZH758" s="13"/>
      <c r="AZI758" s="13"/>
      <c r="AZJ758" s="13"/>
      <c r="AZK758" s="13"/>
      <c r="AZL758" s="13"/>
      <c r="AZM758" s="13"/>
      <c r="AZN758" s="13"/>
      <c r="AZO758" s="13"/>
      <c r="AZP758" s="13"/>
      <c r="AZQ758" s="13"/>
      <c r="AZR758" s="13"/>
      <c r="AZS758" s="13"/>
      <c r="AZT758" s="13"/>
      <c r="AZU758" s="13"/>
      <c r="AZV758" s="13"/>
      <c r="AZW758" s="13"/>
      <c r="AZX758" s="13"/>
      <c r="AZY758" s="13"/>
      <c r="AZZ758" s="13"/>
      <c r="BAA758" s="13"/>
      <c r="BAB758" s="13"/>
      <c r="BAC758" s="13"/>
      <c r="BAD758" s="13"/>
      <c r="BAE758" s="13"/>
      <c r="BAF758" s="13"/>
      <c r="BAG758" s="13"/>
      <c r="BAH758" s="13"/>
      <c r="BAI758" s="13"/>
      <c r="BAJ758" s="13"/>
      <c r="BAK758" s="13"/>
      <c r="BAL758" s="13"/>
      <c r="BAM758" s="13"/>
      <c r="BAN758" s="13"/>
      <c r="BAO758" s="13"/>
      <c r="BAP758" s="13"/>
      <c r="BAQ758" s="13"/>
      <c r="BAR758" s="13"/>
      <c r="BAS758" s="13"/>
      <c r="BAT758" s="13"/>
      <c r="BAU758" s="13"/>
      <c r="BAV758" s="13"/>
      <c r="BAW758" s="13"/>
      <c r="BAX758" s="13"/>
      <c r="BAY758" s="13"/>
      <c r="BAZ758" s="13"/>
      <c r="BBA758" s="13"/>
      <c r="BBB758" s="13"/>
      <c r="BBC758" s="13"/>
      <c r="BBD758" s="13"/>
      <c r="BBE758" s="13"/>
      <c r="BBF758" s="13"/>
      <c r="BBG758" s="13"/>
      <c r="BBH758" s="13"/>
      <c r="BBI758" s="13"/>
      <c r="BBJ758" s="13"/>
      <c r="BBK758" s="13"/>
      <c r="BBL758" s="13"/>
      <c r="BBM758" s="13"/>
      <c r="BBN758" s="13"/>
      <c r="BBO758" s="13"/>
      <c r="BBP758" s="13"/>
      <c r="BBQ758" s="13"/>
      <c r="BBR758" s="13"/>
      <c r="BBS758" s="13"/>
      <c r="BBT758" s="13"/>
      <c r="BBU758" s="13"/>
      <c r="BBV758" s="13"/>
      <c r="BBW758" s="13"/>
      <c r="BBX758" s="13"/>
      <c r="BBY758" s="13"/>
      <c r="BBZ758" s="13"/>
      <c r="BCA758" s="13"/>
      <c r="BCB758" s="13"/>
      <c r="BCC758" s="13"/>
      <c r="BCD758" s="13"/>
      <c r="BCE758" s="13"/>
      <c r="BCF758" s="13"/>
      <c r="BCG758" s="13"/>
      <c r="BCH758" s="13"/>
      <c r="BCI758" s="13"/>
      <c r="BCJ758" s="13"/>
      <c r="BCK758" s="13"/>
      <c r="BCL758" s="13"/>
      <c r="BCM758" s="13"/>
      <c r="BCN758" s="13"/>
      <c r="BCO758" s="13"/>
      <c r="BCP758" s="13"/>
      <c r="BCQ758" s="13"/>
      <c r="BCR758" s="13"/>
      <c r="BCS758" s="13"/>
      <c r="BCT758" s="13"/>
      <c r="BCU758" s="13"/>
      <c r="BCV758" s="13"/>
      <c r="BCW758" s="13"/>
      <c r="BCX758" s="13"/>
      <c r="BCY758" s="13"/>
      <c r="BCZ758" s="13"/>
      <c r="BDA758" s="13"/>
      <c r="BDB758" s="13"/>
      <c r="BDC758" s="13"/>
      <c r="BDD758" s="13"/>
      <c r="BDE758" s="13"/>
      <c r="BDF758" s="13"/>
      <c r="BDG758" s="13"/>
      <c r="BDH758" s="13"/>
      <c r="BDI758" s="13"/>
      <c r="BDJ758" s="13"/>
      <c r="BDK758" s="13"/>
      <c r="BDL758" s="13"/>
      <c r="BDM758" s="13"/>
      <c r="BDN758" s="13"/>
      <c r="BDO758" s="13"/>
      <c r="BDP758" s="13"/>
      <c r="BDQ758" s="13"/>
      <c r="BDR758" s="13"/>
      <c r="BDS758" s="13"/>
      <c r="BDT758" s="13"/>
      <c r="BDU758" s="13"/>
      <c r="BDV758" s="13"/>
      <c r="BDW758" s="13"/>
      <c r="BDX758" s="13"/>
      <c r="BDY758" s="13"/>
      <c r="BDZ758" s="13"/>
      <c r="BEA758" s="13"/>
      <c r="BEB758" s="13"/>
      <c r="BEC758" s="13"/>
      <c r="BED758" s="13"/>
      <c r="BEE758" s="13"/>
      <c r="BEF758" s="13"/>
      <c r="BEG758" s="13"/>
      <c r="BEH758" s="13"/>
      <c r="BEI758" s="13"/>
      <c r="BEJ758" s="13"/>
      <c r="BEK758" s="13"/>
      <c r="BEL758" s="13"/>
      <c r="BEM758" s="13"/>
      <c r="BEN758" s="13"/>
      <c r="BEO758" s="13"/>
      <c r="BEP758" s="13"/>
      <c r="BEQ758" s="13"/>
      <c r="BER758" s="13"/>
      <c r="BES758" s="13"/>
      <c r="BET758" s="13"/>
      <c r="BEU758" s="13"/>
      <c r="BEV758" s="13"/>
      <c r="BEW758" s="13"/>
      <c r="BEX758" s="13"/>
      <c r="BEY758" s="13"/>
      <c r="BEZ758" s="13"/>
      <c r="BFA758" s="13"/>
      <c r="BFB758" s="13"/>
      <c r="BFC758" s="13"/>
      <c r="BFD758" s="13"/>
      <c r="BFE758" s="13"/>
      <c r="BFF758" s="13"/>
      <c r="BFG758" s="13"/>
      <c r="BFH758" s="13"/>
      <c r="BFI758" s="13"/>
      <c r="BFJ758" s="13"/>
      <c r="BFK758" s="13"/>
      <c r="BFL758" s="13"/>
      <c r="BFM758" s="13"/>
      <c r="BFN758" s="13"/>
      <c r="BFO758" s="13"/>
      <c r="BFP758" s="13"/>
      <c r="BFQ758" s="13"/>
      <c r="BFR758" s="13"/>
      <c r="BFS758" s="13"/>
      <c r="BFT758" s="13"/>
      <c r="BFU758" s="13"/>
      <c r="BFV758" s="13"/>
      <c r="BFW758" s="13"/>
      <c r="BFX758" s="13"/>
      <c r="BFY758" s="13"/>
      <c r="BFZ758" s="13"/>
      <c r="BGA758" s="13"/>
      <c r="BGB758" s="13"/>
      <c r="BGC758" s="13"/>
      <c r="BGD758" s="13"/>
      <c r="BGE758" s="13"/>
      <c r="BGF758" s="13"/>
      <c r="BGG758" s="13"/>
      <c r="BGH758" s="13"/>
      <c r="BGI758" s="13"/>
      <c r="BGJ758" s="13"/>
      <c r="BGK758" s="13"/>
      <c r="BGL758" s="13"/>
      <c r="BGM758" s="13"/>
      <c r="BGN758" s="13"/>
      <c r="BGO758" s="13"/>
      <c r="BGP758" s="13"/>
      <c r="BGQ758" s="13"/>
      <c r="BGR758" s="13"/>
      <c r="BGS758" s="13"/>
      <c r="BGT758" s="13"/>
      <c r="BGU758" s="13"/>
      <c r="BGV758" s="13"/>
      <c r="BGW758" s="13"/>
      <c r="BGX758" s="13"/>
      <c r="BGY758" s="13"/>
      <c r="BGZ758" s="13"/>
      <c r="BHA758" s="13"/>
      <c r="BHB758" s="13"/>
      <c r="BHC758" s="13"/>
      <c r="BHD758" s="13"/>
      <c r="BHE758" s="13"/>
      <c r="BHF758" s="13"/>
      <c r="BHG758" s="13"/>
      <c r="BHH758" s="13"/>
      <c r="BHI758" s="13"/>
      <c r="BHJ758" s="13"/>
      <c r="BHK758" s="13"/>
      <c r="BHL758" s="13"/>
      <c r="BHM758" s="13"/>
      <c r="BHN758" s="13"/>
      <c r="BHO758" s="13"/>
      <c r="BHP758" s="13"/>
      <c r="BHQ758" s="13"/>
      <c r="BHR758" s="13"/>
      <c r="BHS758" s="13"/>
      <c r="BHT758" s="13"/>
      <c r="BHU758" s="13"/>
      <c r="BHV758" s="13"/>
      <c r="BHW758" s="13"/>
      <c r="BHX758" s="13"/>
      <c r="BHY758" s="13"/>
      <c r="BHZ758" s="13"/>
      <c r="BIA758" s="13"/>
      <c r="BIB758" s="13"/>
      <c r="BIC758" s="13"/>
      <c r="BID758" s="13"/>
      <c r="BIE758" s="13"/>
      <c r="BIF758" s="13"/>
      <c r="BIG758" s="13"/>
      <c r="BIH758" s="13"/>
      <c r="BII758" s="13"/>
      <c r="BIJ758" s="13"/>
      <c r="BIK758" s="13"/>
      <c r="BIL758" s="13"/>
      <c r="BIM758" s="13"/>
      <c r="BIN758" s="13"/>
      <c r="BIO758" s="13"/>
      <c r="BIP758" s="13"/>
      <c r="BIQ758" s="13"/>
      <c r="BIR758" s="13"/>
      <c r="BIS758" s="13"/>
      <c r="BIT758" s="13"/>
      <c r="BIU758" s="13"/>
      <c r="BIV758" s="13"/>
      <c r="BIW758" s="13"/>
      <c r="BIX758" s="13"/>
      <c r="BIY758" s="13"/>
      <c r="BIZ758" s="13"/>
      <c r="BJA758" s="13"/>
      <c r="BJB758" s="13"/>
      <c r="BJC758" s="13"/>
      <c r="BJD758" s="13"/>
      <c r="BJE758" s="13"/>
      <c r="BJF758" s="13"/>
      <c r="BJG758" s="13"/>
      <c r="BJH758" s="13"/>
      <c r="BJI758" s="13"/>
      <c r="BJJ758" s="13"/>
      <c r="BJK758" s="13"/>
      <c r="BJL758" s="13"/>
      <c r="BJM758" s="13"/>
      <c r="BJN758" s="13"/>
      <c r="BJO758" s="13"/>
      <c r="BJP758" s="13"/>
      <c r="BJQ758" s="13"/>
      <c r="BJR758" s="13"/>
      <c r="BJS758" s="13"/>
      <c r="BJT758" s="13"/>
      <c r="BJU758" s="13"/>
      <c r="BJV758" s="13"/>
      <c r="BJW758" s="13"/>
      <c r="BJX758" s="13"/>
      <c r="BJY758" s="13"/>
      <c r="BJZ758" s="13"/>
      <c r="BKA758" s="13"/>
      <c r="BKB758" s="13"/>
      <c r="BKC758" s="13"/>
      <c r="BKD758" s="13"/>
      <c r="BKE758" s="13"/>
      <c r="BKF758" s="13"/>
      <c r="BKG758" s="13"/>
      <c r="BKH758" s="13"/>
      <c r="BKI758" s="13"/>
      <c r="BKJ758" s="13"/>
      <c r="BKK758" s="13"/>
      <c r="BKL758" s="13"/>
      <c r="BKM758" s="13"/>
      <c r="BKN758" s="13"/>
      <c r="BKO758" s="13"/>
      <c r="BKP758" s="13"/>
      <c r="BKQ758" s="13"/>
      <c r="BKR758" s="13"/>
      <c r="BKS758" s="13"/>
      <c r="BKT758" s="13"/>
      <c r="BKU758" s="13"/>
      <c r="BKV758" s="13"/>
      <c r="BKW758" s="13"/>
      <c r="BKX758" s="13"/>
      <c r="BKY758" s="13"/>
      <c r="BKZ758" s="13"/>
      <c r="BLA758" s="13"/>
      <c r="BLB758" s="13"/>
      <c r="BLC758" s="13"/>
      <c r="BLD758" s="13"/>
      <c r="BLE758" s="13"/>
      <c r="BLF758" s="13"/>
      <c r="BLG758" s="13"/>
      <c r="BLH758" s="13"/>
      <c r="BLI758" s="13"/>
      <c r="BLJ758" s="13"/>
      <c r="BLK758" s="13"/>
      <c r="BLL758" s="13"/>
      <c r="BLM758" s="13"/>
      <c r="BLN758" s="13"/>
      <c r="BLO758" s="13"/>
      <c r="BLP758" s="13"/>
      <c r="BLQ758" s="13"/>
      <c r="BLR758" s="13"/>
      <c r="BLS758" s="13"/>
      <c r="BLT758" s="13"/>
      <c r="BLU758" s="13"/>
      <c r="BLV758" s="13"/>
      <c r="BLW758" s="13"/>
      <c r="BLX758" s="13"/>
      <c r="BLY758" s="13"/>
      <c r="BLZ758" s="13"/>
      <c r="BMA758" s="13"/>
      <c r="BMB758" s="13"/>
      <c r="BMC758" s="13"/>
      <c r="BMD758" s="13"/>
      <c r="BME758" s="13"/>
      <c r="BMF758" s="13"/>
      <c r="BMG758" s="13"/>
      <c r="BMH758" s="13"/>
      <c r="BMI758" s="13"/>
      <c r="BMJ758" s="13"/>
      <c r="BMK758" s="13"/>
      <c r="BML758" s="13"/>
      <c r="BMM758" s="13"/>
      <c r="BMN758" s="13"/>
      <c r="BMO758" s="13"/>
      <c r="BMP758" s="13"/>
      <c r="BMQ758" s="13"/>
      <c r="BMR758" s="13"/>
      <c r="BMS758" s="13"/>
      <c r="BMT758" s="13"/>
      <c r="BMU758" s="13"/>
      <c r="BMV758" s="13"/>
      <c r="BMW758" s="13"/>
      <c r="BMX758" s="13"/>
      <c r="BMY758" s="13"/>
      <c r="BMZ758" s="13"/>
      <c r="BNA758" s="13"/>
      <c r="BNB758" s="13"/>
      <c r="BNC758" s="13"/>
      <c r="BND758" s="13"/>
      <c r="BNE758" s="13"/>
      <c r="BNF758" s="13"/>
      <c r="BNG758" s="13"/>
      <c r="BNH758" s="13"/>
      <c r="BNI758" s="13"/>
      <c r="BNJ758" s="13"/>
      <c r="BNK758" s="13"/>
      <c r="BNL758" s="13"/>
      <c r="BNM758" s="13"/>
      <c r="BNN758" s="13"/>
      <c r="BNO758" s="13"/>
      <c r="BNP758" s="13"/>
      <c r="BNQ758" s="13"/>
      <c r="BNR758" s="13"/>
      <c r="BNS758" s="13"/>
      <c r="BNT758" s="13"/>
      <c r="BNU758" s="13"/>
      <c r="BNV758" s="13"/>
      <c r="BNW758" s="13"/>
      <c r="BNX758" s="13"/>
      <c r="BNY758" s="13"/>
      <c r="BNZ758" s="13"/>
      <c r="BOA758" s="13"/>
      <c r="BOB758" s="13"/>
      <c r="BOC758" s="13"/>
      <c r="BOD758" s="13"/>
      <c r="BOE758" s="13"/>
      <c r="BOF758" s="13"/>
      <c r="BOG758" s="13"/>
      <c r="BOH758" s="13"/>
      <c r="BOI758" s="13"/>
      <c r="BOJ758" s="13"/>
      <c r="BOK758" s="13"/>
      <c r="BOL758" s="13"/>
      <c r="BOM758" s="13"/>
      <c r="BON758" s="13"/>
      <c r="BOO758" s="13"/>
      <c r="BOP758" s="13"/>
      <c r="BOQ758" s="13"/>
      <c r="BOR758" s="13"/>
      <c r="BOS758" s="13"/>
      <c r="BOT758" s="13"/>
      <c r="BOU758" s="13"/>
      <c r="BOV758" s="13"/>
      <c r="BOW758" s="13"/>
      <c r="BOX758" s="13"/>
      <c r="BOY758" s="13"/>
      <c r="BOZ758" s="13"/>
      <c r="BPA758" s="13"/>
      <c r="BPB758" s="13"/>
      <c r="BPC758" s="13"/>
      <c r="BPD758" s="13"/>
      <c r="BPE758" s="13"/>
      <c r="BPF758" s="13"/>
      <c r="BPG758" s="13"/>
      <c r="BPH758" s="13"/>
      <c r="BPI758" s="13"/>
      <c r="BPJ758" s="13"/>
      <c r="BPK758" s="13"/>
      <c r="BPL758" s="13"/>
      <c r="BPM758" s="13"/>
      <c r="BPN758" s="13"/>
      <c r="BPO758" s="13"/>
      <c r="BPP758" s="13"/>
      <c r="BPQ758" s="13"/>
      <c r="BPR758" s="13"/>
      <c r="BPS758" s="13"/>
      <c r="BPT758" s="13"/>
      <c r="BPU758" s="13"/>
      <c r="BPV758" s="13"/>
      <c r="BPW758" s="13"/>
      <c r="BPX758" s="13"/>
      <c r="BPY758" s="13"/>
      <c r="BPZ758" s="13"/>
      <c r="BQA758" s="13"/>
      <c r="BQB758" s="13"/>
      <c r="BQC758" s="13"/>
      <c r="BQD758" s="13"/>
      <c r="BQE758" s="13"/>
      <c r="BQF758" s="13"/>
      <c r="BQG758" s="13"/>
      <c r="BQH758" s="13"/>
      <c r="BQI758" s="13"/>
      <c r="BQJ758" s="13"/>
      <c r="BQK758" s="13"/>
      <c r="BQL758" s="13"/>
      <c r="BQM758" s="13"/>
      <c r="BQN758" s="13"/>
      <c r="BQO758" s="13"/>
      <c r="BQP758" s="13"/>
      <c r="BQQ758" s="13"/>
      <c r="BQR758" s="13"/>
      <c r="BQS758" s="13"/>
      <c r="BQT758" s="13"/>
      <c r="BQU758" s="13"/>
      <c r="BQV758" s="13"/>
      <c r="BQW758" s="13"/>
      <c r="BQX758" s="13"/>
      <c r="BQY758" s="13"/>
      <c r="BQZ758" s="13"/>
      <c r="BRA758" s="13"/>
      <c r="BRB758" s="13"/>
      <c r="BRC758" s="13"/>
      <c r="BRD758" s="13"/>
      <c r="BRE758" s="13"/>
      <c r="BRF758" s="13"/>
      <c r="BRG758" s="13"/>
      <c r="BRH758" s="13"/>
      <c r="BRI758" s="13"/>
      <c r="BRJ758" s="13"/>
      <c r="BRK758" s="13"/>
      <c r="BRL758" s="13"/>
      <c r="BRM758" s="13"/>
      <c r="BRN758" s="13"/>
      <c r="BRO758" s="13"/>
      <c r="BRP758" s="13"/>
      <c r="BRQ758" s="13"/>
      <c r="BRR758" s="13"/>
      <c r="BRS758" s="13"/>
      <c r="BRT758" s="13"/>
      <c r="BRU758" s="13"/>
      <c r="BRV758" s="13"/>
      <c r="BRW758" s="13"/>
      <c r="BRX758" s="13"/>
      <c r="BRY758" s="13"/>
      <c r="BRZ758" s="13"/>
      <c r="BSA758" s="13"/>
      <c r="BSB758" s="13"/>
      <c r="BSC758" s="13"/>
      <c r="BSD758" s="13"/>
      <c r="BSE758" s="13"/>
      <c r="BSF758" s="13"/>
      <c r="BSG758" s="13"/>
      <c r="BSH758" s="13"/>
      <c r="BSI758" s="13"/>
      <c r="BSJ758" s="13"/>
      <c r="BSK758" s="13"/>
      <c r="BSL758" s="13"/>
      <c r="BSM758" s="13"/>
      <c r="BSN758" s="13"/>
      <c r="BSO758" s="13"/>
      <c r="BSP758" s="13"/>
      <c r="BSQ758" s="13"/>
      <c r="BSR758" s="13"/>
      <c r="BSS758" s="13"/>
      <c r="BST758" s="13"/>
      <c r="BSU758" s="13"/>
      <c r="BSV758" s="13"/>
      <c r="BSW758" s="13"/>
      <c r="BSX758" s="13"/>
      <c r="BSY758" s="13"/>
      <c r="BSZ758" s="13"/>
      <c r="BTA758" s="13"/>
    </row>
    <row r="759" spans="1:1873" s="301" customFormat="1" x14ac:dyDescent="0.2">
      <c r="A759" s="403" t="s">
        <v>1389</v>
      </c>
      <c r="B759" s="404" t="s">
        <v>811</v>
      </c>
      <c r="C759" s="404" t="s">
        <v>1733</v>
      </c>
      <c r="D759" s="403" t="s">
        <v>619</v>
      </c>
      <c r="E759" s="403" t="s">
        <v>1457</v>
      </c>
      <c r="F759" s="403">
        <v>1</v>
      </c>
      <c r="G759" s="403">
        <v>9</v>
      </c>
      <c r="H759" s="405">
        <v>10</v>
      </c>
      <c r="I759" s="404" t="s">
        <v>807</v>
      </c>
      <c r="J759" s="404">
        <v>1995</v>
      </c>
      <c r="K759" s="404" t="s">
        <v>1211</v>
      </c>
      <c r="L759" s="404">
        <v>2003</v>
      </c>
      <c r="M759" s="406">
        <v>-9999</v>
      </c>
      <c r="N759" s="404">
        <v>-9999</v>
      </c>
      <c r="O759" s="323"/>
      <c r="P759" s="244">
        <f>+T759*G759</f>
        <v>70.740000000000009</v>
      </c>
      <c r="Q759" s="404">
        <v>-9999</v>
      </c>
      <c r="R759" s="406"/>
      <c r="S759" s="404"/>
      <c r="T759" s="459">
        <v>7.86</v>
      </c>
      <c r="U759" s="404">
        <v>-9999</v>
      </c>
      <c r="V759" s="404"/>
      <c r="W759" s="406">
        <v>-9999</v>
      </c>
      <c r="X759" s="404">
        <v>-9999</v>
      </c>
      <c r="Y759" s="404"/>
      <c r="Z759" s="404" t="s">
        <v>808</v>
      </c>
      <c r="AA759" s="564">
        <v>1075</v>
      </c>
      <c r="AB759" s="406">
        <v>1</v>
      </c>
      <c r="AC759" s="404">
        <v>-9999</v>
      </c>
      <c r="AD759" s="404">
        <v>18.600000000000001</v>
      </c>
      <c r="AE759" s="404" t="s">
        <v>1738</v>
      </c>
      <c r="AF759" s="404">
        <v>10</v>
      </c>
      <c r="AG759" s="404" t="s">
        <v>1741</v>
      </c>
      <c r="AH759" s="404" t="s">
        <v>1034</v>
      </c>
      <c r="AI759" s="404" t="s">
        <v>1739</v>
      </c>
      <c r="AJ759" s="404">
        <v>-9999</v>
      </c>
      <c r="AK759" s="404" t="s">
        <v>626</v>
      </c>
      <c r="AL759" s="404" t="s">
        <v>828</v>
      </c>
      <c r="AM759" s="404">
        <v>-9999</v>
      </c>
      <c r="AN759" s="404" t="s">
        <v>631</v>
      </c>
      <c r="AO759" s="404">
        <v>-9999</v>
      </c>
      <c r="AP759" s="404">
        <v>-9999</v>
      </c>
      <c r="AQ759" s="404" t="s">
        <v>631</v>
      </c>
      <c r="AR759" s="404">
        <v>0</v>
      </c>
      <c r="AS759" s="404">
        <v>-9999</v>
      </c>
      <c r="AT759" s="404">
        <v>-9999</v>
      </c>
      <c r="AU759" s="404">
        <v>0</v>
      </c>
      <c r="AV759" s="404">
        <v>-9999</v>
      </c>
      <c r="AW759" s="404">
        <v>-9999</v>
      </c>
      <c r="AX759" s="404">
        <v>0</v>
      </c>
      <c r="AY759" s="404">
        <v>-9999</v>
      </c>
      <c r="AZ759" s="404">
        <v>-9999</v>
      </c>
      <c r="BA759" s="404">
        <v>-9988</v>
      </c>
      <c r="BB759" s="404" t="s">
        <v>626</v>
      </c>
      <c r="BC759" s="404">
        <v>-9999</v>
      </c>
      <c r="BD759" s="404">
        <v>-9999</v>
      </c>
      <c r="BE759" s="404">
        <v>-9999</v>
      </c>
      <c r="BF759" s="404">
        <v>-9999</v>
      </c>
      <c r="BG759" s="404">
        <v>-9999</v>
      </c>
      <c r="BH759" s="404">
        <v>-9999</v>
      </c>
      <c r="BI759" s="404" t="s">
        <v>1035</v>
      </c>
      <c r="BJ759" s="404">
        <v>-9999</v>
      </c>
      <c r="BK759" s="404">
        <v>-9999</v>
      </c>
      <c r="BL759" s="404">
        <v>-9999</v>
      </c>
      <c r="BM759" s="404">
        <v>-9999</v>
      </c>
      <c r="BN759" s="404">
        <v>-9999</v>
      </c>
      <c r="BO759" s="404">
        <v>-9999</v>
      </c>
      <c r="BP759" s="404">
        <v>-9999</v>
      </c>
      <c r="BQ759" s="404">
        <v>-9999</v>
      </c>
      <c r="BR759" s="404">
        <v>-9999</v>
      </c>
      <c r="BS759" s="405">
        <v>-9999</v>
      </c>
      <c r="BT759" s="404">
        <v>-9999</v>
      </c>
      <c r="BU759" s="404">
        <v>-9999</v>
      </c>
      <c r="BV759" s="404">
        <v>-9999</v>
      </c>
      <c r="BW759" s="404"/>
      <c r="BX759" s="404">
        <v>-9999</v>
      </c>
      <c r="BY759" s="404">
        <v>-9999</v>
      </c>
      <c r="BZ759" s="404">
        <v>-9999</v>
      </c>
      <c r="CA759" s="407" t="s">
        <v>797</v>
      </c>
      <c r="CB759" s="445"/>
      <c r="CC759" s="403">
        <v>1</v>
      </c>
      <c r="CD759" s="403">
        <v>9</v>
      </c>
      <c r="CE759" s="342">
        <v>7.86</v>
      </c>
      <c r="CF759" s="342"/>
      <c r="CG759" s="405"/>
    </row>
    <row r="760" spans="1:1873" s="301" customFormat="1" x14ac:dyDescent="0.2">
      <c r="A760" s="403" t="s">
        <v>1389</v>
      </c>
      <c r="B760" s="404" t="s">
        <v>811</v>
      </c>
      <c r="C760" s="416" t="s">
        <v>1734</v>
      </c>
      <c r="D760" s="416" t="s">
        <v>619</v>
      </c>
      <c r="E760" s="403" t="s">
        <v>1728</v>
      </c>
      <c r="F760" s="403">
        <v>1</v>
      </c>
      <c r="G760" s="403">
        <v>9</v>
      </c>
      <c r="H760" s="405">
        <v>10</v>
      </c>
      <c r="I760" s="404" t="s">
        <v>807</v>
      </c>
      <c r="J760" s="404">
        <v>1995</v>
      </c>
      <c r="K760" s="404" t="s">
        <v>1211</v>
      </c>
      <c r="L760" s="404">
        <v>2003</v>
      </c>
      <c r="M760" s="406">
        <v>-9999</v>
      </c>
      <c r="N760" s="404">
        <v>-9999</v>
      </c>
      <c r="O760" s="323"/>
      <c r="P760" s="244">
        <f>+T760*G760</f>
        <v>70.83</v>
      </c>
      <c r="Q760" s="404">
        <v>-9999</v>
      </c>
      <c r="R760" s="406"/>
      <c r="S760" s="404"/>
      <c r="T760" s="735">
        <v>7.87</v>
      </c>
      <c r="U760" s="404">
        <v>-9999</v>
      </c>
      <c r="V760" s="404"/>
      <c r="W760" s="406">
        <v>-9999</v>
      </c>
      <c r="X760" s="404">
        <v>-9999</v>
      </c>
      <c r="Y760" s="404"/>
      <c r="Z760" s="404" t="s">
        <v>808</v>
      </c>
      <c r="AA760" s="564">
        <v>1075</v>
      </c>
      <c r="AB760" s="406">
        <v>1</v>
      </c>
      <c r="AC760" s="404">
        <v>-9999</v>
      </c>
      <c r="AD760" s="404">
        <v>18.600000000000001</v>
      </c>
      <c r="AE760" s="404" t="s">
        <v>1738</v>
      </c>
      <c r="AF760" s="404">
        <v>10</v>
      </c>
      <c r="AG760" s="404" t="s">
        <v>1741</v>
      </c>
      <c r="AH760" s="404" t="s">
        <v>1034</v>
      </c>
      <c r="AI760" s="404" t="s">
        <v>1739</v>
      </c>
      <c r="AJ760" s="404">
        <v>-9999</v>
      </c>
      <c r="AK760" s="404" t="s">
        <v>626</v>
      </c>
      <c r="AL760" s="404" t="s">
        <v>828</v>
      </c>
      <c r="AM760" s="404">
        <v>-9999</v>
      </c>
      <c r="AN760" s="404" t="s">
        <v>631</v>
      </c>
      <c r="AO760" s="404">
        <v>-9999</v>
      </c>
      <c r="AP760" s="404">
        <v>-9999</v>
      </c>
      <c r="AQ760" s="404" t="s">
        <v>631</v>
      </c>
      <c r="AR760" s="404">
        <v>0</v>
      </c>
      <c r="AS760" s="404">
        <v>-9999</v>
      </c>
      <c r="AT760" s="404">
        <v>-9999</v>
      </c>
      <c r="AU760" s="404">
        <v>0</v>
      </c>
      <c r="AV760" s="404">
        <v>-9999</v>
      </c>
      <c r="AW760" s="404">
        <v>-9999</v>
      </c>
      <c r="AX760" s="404">
        <v>0</v>
      </c>
      <c r="AY760" s="404">
        <v>-9999</v>
      </c>
      <c r="AZ760" s="404">
        <v>-9999</v>
      </c>
      <c r="BA760" s="404">
        <v>-9988</v>
      </c>
      <c r="BB760" s="404" t="s">
        <v>626</v>
      </c>
      <c r="BC760" s="404">
        <v>-9999</v>
      </c>
      <c r="BD760" s="404">
        <v>-9999</v>
      </c>
      <c r="BE760" s="404">
        <v>-9999</v>
      </c>
      <c r="BF760" s="404">
        <v>-9999</v>
      </c>
      <c r="BG760" s="404">
        <v>-9999</v>
      </c>
      <c r="BH760" s="404">
        <v>-9999</v>
      </c>
      <c r="BI760" s="404" t="s">
        <v>1035</v>
      </c>
      <c r="BJ760" s="404">
        <v>-9999</v>
      </c>
      <c r="BK760" s="404">
        <v>-9999</v>
      </c>
      <c r="BL760" s="404">
        <v>-9999</v>
      </c>
      <c r="BM760" s="404">
        <v>-9999</v>
      </c>
      <c r="BN760" s="404">
        <v>-9999</v>
      </c>
      <c r="BO760" s="404">
        <v>-9999</v>
      </c>
      <c r="BP760" s="404">
        <v>-9999</v>
      </c>
      <c r="BQ760" s="404">
        <v>-9999</v>
      </c>
      <c r="BR760" s="404">
        <v>-9999</v>
      </c>
      <c r="BS760" s="405">
        <v>-9999</v>
      </c>
      <c r="BT760" s="404">
        <v>-9999</v>
      </c>
      <c r="BU760" s="404">
        <v>-9999</v>
      </c>
      <c r="BV760" s="404">
        <v>-9999</v>
      </c>
      <c r="BW760" s="404"/>
      <c r="BX760" s="404">
        <v>-9999</v>
      </c>
      <c r="BY760" s="404">
        <v>-9999</v>
      </c>
      <c r="BZ760" s="404">
        <v>-9999</v>
      </c>
      <c r="CA760" s="407" t="s">
        <v>797</v>
      </c>
      <c r="CB760" s="445"/>
      <c r="CC760" s="403">
        <v>1</v>
      </c>
      <c r="CD760" s="403">
        <v>9</v>
      </c>
      <c r="CE760" s="342">
        <v>7.87</v>
      </c>
      <c r="CF760" s="342"/>
      <c r="CG760" s="404"/>
    </row>
    <row r="761" spans="1:1873" s="23" customFormat="1" x14ac:dyDescent="0.2">
      <c r="A761" s="1"/>
      <c r="B761" s="29"/>
      <c r="C761" s="29"/>
      <c r="D761" s="1"/>
      <c r="E761" s="1"/>
      <c r="F761" s="1"/>
      <c r="G761" s="1"/>
      <c r="H761" s="30"/>
      <c r="I761" s="29"/>
      <c r="J761" s="29"/>
      <c r="K761" s="29"/>
      <c r="L761" s="29"/>
      <c r="M761" s="31"/>
      <c r="N761" s="29"/>
      <c r="O761" s="29"/>
      <c r="P761" s="70"/>
      <c r="Q761" s="29"/>
      <c r="R761" s="31"/>
      <c r="S761" s="29"/>
      <c r="T761" s="734"/>
      <c r="U761" s="29"/>
      <c r="V761" s="29"/>
      <c r="W761" s="31"/>
      <c r="X761" s="29"/>
      <c r="Y761" s="29"/>
      <c r="Z761" s="29"/>
      <c r="AA761" s="30"/>
      <c r="AB761" s="31"/>
      <c r="AC761" s="29"/>
      <c r="AD761" s="29"/>
      <c r="AE761" s="29"/>
      <c r="AF761" s="29"/>
      <c r="AG761" s="29"/>
      <c r="AH761" s="29"/>
      <c r="AI761" s="323"/>
      <c r="AJ761" s="29"/>
      <c r="AK761" s="29"/>
      <c r="AL761" s="29"/>
      <c r="AM761" s="29"/>
      <c r="AN761" s="29"/>
      <c r="AO761" s="29"/>
      <c r="AP761" s="29"/>
      <c r="AQ761" s="29"/>
      <c r="AR761" s="29"/>
      <c r="AS761" s="29"/>
      <c r="AT761" s="29"/>
      <c r="AU761" s="29"/>
      <c r="AV761" s="29"/>
      <c r="AW761" s="29"/>
      <c r="AX761" s="29"/>
      <c r="AY761" s="29"/>
      <c r="AZ761" s="29"/>
      <c r="BA761" s="29"/>
      <c r="BB761" s="29"/>
      <c r="BC761" s="29"/>
      <c r="BD761" s="29"/>
      <c r="BE761" s="29"/>
      <c r="BF761" s="29"/>
      <c r="BG761" s="29"/>
      <c r="BH761" s="29"/>
      <c r="BI761" s="29"/>
      <c r="BJ761" s="29"/>
      <c r="BK761" s="29"/>
      <c r="BL761" s="29"/>
      <c r="BM761" s="29"/>
      <c r="BN761" s="31"/>
      <c r="BO761" s="29"/>
      <c r="BP761" s="29"/>
      <c r="BQ761" s="29"/>
      <c r="BR761" s="29"/>
      <c r="BS761" s="30"/>
      <c r="BT761" s="29"/>
      <c r="BU761" s="29"/>
      <c r="BV761" s="29"/>
      <c r="BW761" s="29"/>
      <c r="BX761" s="29"/>
      <c r="BY761" s="29"/>
      <c r="BZ761" s="29"/>
      <c r="CA761" s="333"/>
      <c r="CC761" s="1"/>
      <c r="CD761" s="1"/>
      <c r="CE761" s="342" t="s">
        <v>1576</v>
      </c>
      <c r="CF761" s="342" t="s">
        <v>1575</v>
      </c>
      <c r="CG761" s="30"/>
    </row>
    <row r="762" spans="1:1873" s="254" customFormat="1" x14ac:dyDescent="0.2">
      <c r="A762" s="283" t="s">
        <v>1389</v>
      </c>
      <c r="B762" s="249" t="s">
        <v>806</v>
      </c>
      <c r="C762" s="249" t="s">
        <v>1727</v>
      </c>
      <c r="D762" s="283" t="s">
        <v>619</v>
      </c>
      <c r="E762" s="306" t="s">
        <v>1725</v>
      </c>
      <c r="F762" s="283">
        <v>1</v>
      </c>
      <c r="G762" s="251">
        <v>8</v>
      </c>
      <c r="H762" s="251">
        <v>9</v>
      </c>
      <c r="I762" s="249" t="s">
        <v>807</v>
      </c>
      <c r="J762" s="249">
        <v>1997</v>
      </c>
      <c r="K762" s="249" t="s">
        <v>1211</v>
      </c>
      <c r="L762" s="249">
        <v>2004</v>
      </c>
      <c r="M762" s="253">
        <v>-9999</v>
      </c>
      <c r="N762" s="249">
        <v>-9999</v>
      </c>
      <c r="O762" s="18"/>
      <c r="P762" s="284">
        <f>+T762*G762</f>
        <v>80.48</v>
      </c>
      <c r="Q762" s="249">
        <v>-9999</v>
      </c>
      <c r="R762" s="253"/>
      <c r="S762" s="249"/>
      <c r="T762" s="426">
        <v>10.06</v>
      </c>
      <c r="U762" s="249">
        <v>0.57999999999999996</v>
      </c>
      <c r="V762" s="249"/>
      <c r="W762" s="253">
        <v>-9999</v>
      </c>
      <c r="X762" s="249">
        <v>-9999</v>
      </c>
      <c r="Y762" s="249"/>
      <c r="Z762" s="249" t="s">
        <v>808</v>
      </c>
      <c r="AA762" s="384">
        <v>1075</v>
      </c>
      <c r="AB762" s="253">
        <v>1</v>
      </c>
      <c r="AC762" s="249">
        <v>-9999</v>
      </c>
      <c r="AD762" s="249">
        <v>18.600000000000001</v>
      </c>
      <c r="AE762" s="249" t="s">
        <v>1738</v>
      </c>
      <c r="AF762" s="249">
        <v>10</v>
      </c>
      <c r="AG762" s="249" t="s">
        <v>1033</v>
      </c>
      <c r="AH762" s="249" t="s">
        <v>1034</v>
      </c>
      <c r="AI762" s="249" t="s">
        <v>1739</v>
      </c>
      <c r="AJ762" s="249">
        <v>-9999</v>
      </c>
      <c r="AK762" s="249" t="s">
        <v>626</v>
      </c>
      <c r="AL762" s="249" t="s">
        <v>828</v>
      </c>
      <c r="AM762" s="249">
        <v>-9999</v>
      </c>
      <c r="AN762" s="249" t="s">
        <v>631</v>
      </c>
      <c r="AO762" s="249">
        <v>-9999</v>
      </c>
      <c r="AP762" s="249">
        <v>-9999</v>
      </c>
      <c r="AQ762" s="249" t="s">
        <v>631</v>
      </c>
      <c r="AR762" s="249">
        <v>0</v>
      </c>
      <c r="AS762" s="249">
        <v>-9999</v>
      </c>
      <c r="AT762" s="249">
        <v>-9999</v>
      </c>
      <c r="AU762" s="249">
        <v>0</v>
      </c>
      <c r="AV762" s="249">
        <v>-9999</v>
      </c>
      <c r="AW762" s="249">
        <v>-9999</v>
      </c>
      <c r="AX762" s="249">
        <v>0</v>
      </c>
      <c r="AY762" s="249">
        <v>-9999</v>
      </c>
      <c r="AZ762" s="249">
        <v>-9999</v>
      </c>
      <c r="BA762" s="249">
        <v>-9988</v>
      </c>
      <c r="BB762" s="249" t="s">
        <v>626</v>
      </c>
      <c r="BC762" s="249">
        <v>-9999</v>
      </c>
      <c r="BD762" s="249">
        <v>-9999</v>
      </c>
      <c r="BE762" s="249">
        <v>-9999</v>
      </c>
      <c r="BF762" s="249">
        <v>-9999</v>
      </c>
      <c r="BG762" s="249">
        <v>-9999</v>
      </c>
      <c r="BH762" s="249">
        <v>-9999</v>
      </c>
      <c r="BI762" s="249" t="s">
        <v>1035</v>
      </c>
      <c r="BJ762" s="249">
        <v>-9999</v>
      </c>
      <c r="BK762" s="249">
        <v>-9999</v>
      </c>
      <c r="BL762" s="249">
        <v>-9999</v>
      </c>
      <c r="BM762" s="249">
        <v>-9999</v>
      </c>
      <c r="BN762" s="249">
        <v>-9999</v>
      </c>
      <c r="BO762" s="249">
        <v>-9999</v>
      </c>
      <c r="BP762" s="249">
        <v>-9999</v>
      </c>
      <c r="BQ762" s="249">
        <v>-9999</v>
      </c>
      <c r="BR762" s="249">
        <v>-9999</v>
      </c>
      <c r="BS762" s="251">
        <v>-9999</v>
      </c>
      <c r="BT762" s="249">
        <v>-9999</v>
      </c>
      <c r="BU762" s="249">
        <v>-9999</v>
      </c>
      <c r="BV762" s="249">
        <v>-9999</v>
      </c>
      <c r="BW762" s="249"/>
      <c r="BX762" s="249">
        <v>-9999</v>
      </c>
      <c r="BY762" s="249">
        <v>-9999</v>
      </c>
      <c r="BZ762" s="249">
        <v>-9999</v>
      </c>
      <c r="CA762" s="335" t="s">
        <v>797</v>
      </c>
      <c r="CC762" s="283">
        <v>1</v>
      </c>
      <c r="CD762" s="251">
        <v>8</v>
      </c>
      <c r="CE762" s="99">
        <v>10.06</v>
      </c>
      <c r="CF762" s="99"/>
      <c r="CG762" s="251">
        <v>9</v>
      </c>
      <c r="CH762" s="13"/>
      <c r="CI762" s="13"/>
      <c r="CJ762" s="13"/>
      <c r="CK762" s="13"/>
      <c r="CL762" s="13"/>
      <c r="CM762" s="13"/>
      <c r="CN762" s="13"/>
      <c r="CO762" s="13"/>
      <c r="CP762" s="13"/>
      <c r="CQ762" s="13"/>
      <c r="CR762" s="13"/>
      <c r="CS762" s="13"/>
      <c r="CT762" s="13"/>
      <c r="CU762" s="13"/>
      <c r="CV762" s="13"/>
      <c r="CW762" s="13"/>
      <c r="CX762" s="13"/>
      <c r="CY762" s="13"/>
      <c r="CZ762" s="13"/>
      <c r="DA762" s="13"/>
      <c r="DB762" s="13"/>
      <c r="DC762" s="13"/>
      <c r="DD762" s="13"/>
      <c r="DE762" s="13"/>
      <c r="DF762" s="13"/>
      <c r="DG762" s="13"/>
      <c r="DH762" s="13"/>
      <c r="DI762" s="13"/>
      <c r="DJ762" s="13"/>
      <c r="DK762" s="13"/>
      <c r="DL762" s="13"/>
      <c r="DM762" s="13"/>
      <c r="DN762" s="13"/>
      <c r="DO762" s="13"/>
      <c r="DP762" s="13"/>
      <c r="DQ762" s="13"/>
      <c r="DR762" s="13"/>
      <c r="DS762" s="13"/>
      <c r="DT762" s="13"/>
      <c r="DU762" s="13"/>
      <c r="DV762" s="13"/>
      <c r="DW762" s="13"/>
      <c r="DX762" s="13"/>
      <c r="DY762" s="13"/>
      <c r="DZ762" s="13"/>
      <c r="EA762" s="13"/>
      <c r="EB762" s="13"/>
      <c r="EC762" s="13"/>
      <c r="ED762" s="13"/>
      <c r="EE762" s="13"/>
      <c r="EF762" s="13"/>
      <c r="EG762" s="13"/>
      <c r="EH762" s="13"/>
      <c r="EI762" s="13"/>
      <c r="EJ762" s="13"/>
      <c r="EK762" s="13"/>
      <c r="EL762" s="13"/>
      <c r="EM762" s="13"/>
      <c r="EN762" s="13"/>
      <c r="EO762" s="13"/>
      <c r="EP762" s="13"/>
      <c r="EQ762" s="13"/>
      <c r="ER762" s="13"/>
      <c r="ES762" s="13"/>
      <c r="ET762" s="13"/>
      <c r="EU762" s="13"/>
      <c r="EV762" s="13"/>
      <c r="EW762" s="13"/>
      <c r="EX762" s="13"/>
      <c r="EY762" s="13"/>
      <c r="EZ762" s="13"/>
      <c r="FA762" s="13"/>
      <c r="FB762" s="13"/>
      <c r="FC762" s="13"/>
      <c r="FD762" s="13"/>
      <c r="FE762" s="13"/>
      <c r="FF762" s="13"/>
      <c r="FG762" s="13"/>
      <c r="FH762" s="13"/>
      <c r="FI762" s="13"/>
      <c r="FJ762" s="13"/>
      <c r="FK762" s="13"/>
      <c r="FL762" s="13"/>
      <c r="FM762" s="13"/>
      <c r="FN762" s="13"/>
      <c r="FO762" s="13"/>
      <c r="FP762" s="13"/>
      <c r="FQ762" s="13"/>
      <c r="FR762" s="13"/>
      <c r="FS762" s="13"/>
      <c r="FT762" s="13"/>
      <c r="FU762" s="13"/>
      <c r="FV762" s="13"/>
      <c r="FW762" s="13"/>
      <c r="FX762" s="13"/>
      <c r="FY762" s="13"/>
      <c r="FZ762" s="13"/>
      <c r="GA762" s="13"/>
      <c r="GB762" s="13"/>
      <c r="GC762" s="13"/>
      <c r="GD762" s="13"/>
      <c r="GE762" s="13"/>
      <c r="GF762" s="13"/>
      <c r="GG762" s="13"/>
      <c r="GH762" s="13"/>
      <c r="GI762" s="13"/>
      <c r="GJ762" s="13"/>
      <c r="GK762" s="13"/>
      <c r="GL762" s="13"/>
      <c r="GM762" s="13"/>
      <c r="GN762" s="13"/>
      <c r="GO762" s="13"/>
      <c r="GP762" s="13"/>
      <c r="GQ762" s="13"/>
      <c r="GR762" s="13"/>
      <c r="GS762" s="13"/>
      <c r="GT762" s="13"/>
      <c r="GU762" s="13"/>
      <c r="GV762" s="13"/>
      <c r="GW762" s="13"/>
      <c r="GX762" s="13"/>
      <c r="GY762" s="13"/>
      <c r="GZ762" s="13"/>
      <c r="HA762" s="13"/>
      <c r="HB762" s="13"/>
      <c r="HC762" s="13"/>
      <c r="HD762" s="13"/>
      <c r="HE762" s="13"/>
      <c r="HF762" s="13"/>
      <c r="HG762" s="13"/>
      <c r="HH762" s="13"/>
      <c r="HI762" s="13"/>
      <c r="HJ762" s="13"/>
      <c r="HK762" s="13"/>
      <c r="HL762" s="13"/>
      <c r="HM762" s="13"/>
      <c r="HN762" s="13"/>
      <c r="HO762" s="13"/>
      <c r="HP762" s="13"/>
      <c r="HQ762" s="13"/>
      <c r="HR762" s="13"/>
      <c r="HS762" s="13"/>
      <c r="HT762" s="13"/>
      <c r="HU762" s="13"/>
      <c r="HV762" s="13"/>
      <c r="HW762" s="13"/>
      <c r="HX762" s="13"/>
      <c r="HY762" s="13"/>
      <c r="HZ762" s="13"/>
      <c r="IA762" s="13"/>
      <c r="IB762" s="13"/>
      <c r="IC762" s="13"/>
      <c r="ID762" s="13"/>
      <c r="IE762" s="13"/>
      <c r="IF762" s="13"/>
      <c r="IG762" s="13"/>
      <c r="IH762" s="13"/>
      <c r="II762" s="13"/>
      <c r="IJ762" s="13"/>
      <c r="IK762" s="13"/>
      <c r="IL762" s="13"/>
      <c r="IM762" s="13"/>
      <c r="IN762" s="13"/>
      <c r="IO762" s="13"/>
      <c r="IP762" s="13"/>
      <c r="IQ762" s="13"/>
      <c r="IR762" s="13"/>
      <c r="IS762" s="13"/>
      <c r="IT762" s="13"/>
      <c r="IU762" s="13"/>
      <c r="IV762" s="13"/>
      <c r="IW762" s="13"/>
      <c r="IX762" s="13"/>
      <c r="IY762" s="13"/>
      <c r="IZ762" s="13"/>
      <c r="JA762" s="13"/>
      <c r="JB762" s="13"/>
      <c r="JC762" s="13"/>
      <c r="JD762" s="13"/>
      <c r="JE762" s="13"/>
      <c r="JF762" s="13"/>
      <c r="JG762" s="13"/>
      <c r="JH762" s="13"/>
      <c r="JI762" s="13"/>
      <c r="JJ762" s="13"/>
      <c r="JK762" s="13"/>
      <c r="JL762" s="13"/>
      <c r="JM762" s="13"/>
      <c r="JN762" s="13"/>
      <c r="JO762" s="13"/>
      <c r="JP762" s="13"/>
      <c r="JQ762" s="13"/>
      <c r="JR762" s="13"/>
      <c r="JS762" s="13"/>
      <c r="JT762" s="13"/>
      <c r="JU762" s="13"/>
      <c r="JV762" s="13"/>
      <c r="JW762" s="13"/>
      <c r="JX762" s="13"/>
      <c r="JY762" s="13"/>
      <c r="JZ762" s="13"/>
      <c r="KA762" s="13"/>
      <c r="KB762" s="13"/>
      <c r="KC762" s="13"/>
      <c r="KD762" s="13"/>
      <c r="KE762" s="13"/>
      <c r="KF762" s="13"/>
      <c r="KG762" s="13"/>
      <c r="KH762" s="13"/>
      <c r="KI762" s="13"/>
      <c r="KJ762" s="13"/>
      <c r="KK762" s="13"/>
      <c r="KL762" s="13"/>
      <c r="KM762" s="13"/>
      <c r="KN762" s="13"/>
      <c r="KO762" s="13"/>
      <c r="KP762" s="13"/>
      <c r="KQ762" s="13"/>
      <c r="KR762" s="13"/>
      <c r="KS762" s="13"/>
      <c r="KT762" s="13"/>
      <c r="KU762" s="13"/>
      <c r="KV762" s="13"/>
      <c r="KW762" s="13"/>
      <c r="KX762" s="13"/>
      <c r="KY762" s="13"/>
      <c r="KZ762" s="13"/>
      <c r="LA762" s="13"/>
      <c r="LB762" s="13"/>
      <c r="LC762" s="13"/>
      <c r="LD762" s="13"/>
      <c r="LE762" s="13"/>
      <c r="LF762" s="13"/>
      <c r="LG762" s="13"/>
      <c r="LH762" s="13"/>
      <c r="LI762" s="13"/>
      <c r="LJ762" s="13"/>
      <c r="LK762" s="13"/>
      <c r="LL762" s="13"/>
      <c r="LM762" s="13"/>
      <c r="LN762" s="13"/>
      <c r="LO762" s="13"/>
      <c r="LP762" s="13"/>
      <c r="LQ762" s="13"/>
      <c r="LR762" s="13"/>
      <c r="LS762" s="13"/>
      <c r="LT762" s="13"/>
      <c r="LU762" s="13"/>
      <c r="LV762" s="13"/>
      <c r="LW762" s="13"/>
      <c r="LX762" s="13"/>
      <c r="LY762" s="13"/>
      <c r="LZ762" s="13"/>
      <c r="MA762" s="13"/>
      <c r="MB762" s="13"/>
      <c r="MC762" s="13"/>
      <c r="MD762" s="13"/>
      <c r="ME762" s="13"/>
      <c r="MF762" s="13"/>
      <c r="MG762" s="13"/>
      <c r="MH762" s="13"/>
      <c r="MI762" s="13"/>
      <c r="MJ762" s="13"/>
      <c r="MK762" s="13"/>
      <c r="ML762" s="13"/>
      <c r="MM762" s="13"/>
      <c r="MN762" s="13"/>
      <c r="MO762" s="13"/>
      <c r="MP762" s="13"/>
      <c r="MQ762" s="13"/>
      <c r="MR762" s="13"/>
      <c r="MS762" s="13"/>
      <c r="MT762" s="13"/>
      <c r="MU762" s="13"/>
      <c r="MV762" s="13"/>
      <c r="MW762" s="13"/>
      <c r="MX762" s="13"/>
      <c r="MY762" s="13"/>
      <c r="MZ762" s="13"/>
      <c r="NA762" s="13"/>
      <c r="NB762" s="13"/>
      <c r="NC762" s="13"/>
      <c r="ND762" s="13"/>
      <c r="NE762" s="13"/>
      <c r="NF762" s="13"/>
      <c r="NG762" s="13"/>
      <c r="NH762" s="13"/>
      <c r="NI762" s="13"/>
      <c r="NJ762" s="13"/>
      <c r="NK762" s="13"/>
      <c r="NL762" s="13"/>
      <c r="NM762" s="13"/>
      <c r="NN762" s="13"/>
      <c r="NO762" s="13"/>
      <c r="NP762" s="13"/>
      <c r="NQ762" s="13"/>
      <c r="NR762" s="13"/>
      <c r="NS762" s="13"/>
      <c r="NT762" s="13"/>
      <c r="NU762" s="13"/>
      <c r="NV762" s="13"/>
      <c r="NW762" s="13"/>
      <c r="NX762" s="13"/>
      <c r="NY762" s="13"/>
      <c r="NZ762" s="13"/>
      <c r="OA762" s="13"/>
      <c r="OB762" s="13"/>
      <c r="OC762" s="13"/>
      <c r="OD762" s="13"/>
      <c r="OE762" s="13"/>
      <c r="OF762" s="13"/>
      <c r="OG762" s="13"/>
      <c r="OH762" s="13"/>
      <c r="OI762" s="13"/>
      <c r="OJ762" s="13"/>
      <c r="OK762" s="13"/>
      <c r="OL762" s="13"/>
      <c r="OM762" s="13"/>
      <c r="ON762" s="13"/>
      <c r="OO762" s="13"/>
      <c r="OP762" s="13"/>
      <c r="OQ762" s="13"/>
      <c r="OR762" s="13"/>
      <c r="OS762" s="13"/>
      <c r="OT762" s="13"/>
      <c r="OU762" s="13"/>
      <c r="OV762" s="13"/>
      <c r="OW762" s="13"/>
      <c r="OX762" s="13"/>
      <c r="OY762" s="13"/>
      <c r="OZ762" s="13"/>
      <c r="PA762" s="13"/>
      <c r="PB762" s="13"/>
      <c r="PC762" s="13"/>
      <c r="PD762" s="13"/>
      <c r="PE762" s="13"/>
      <c r="PF762" s="13"/>
      <c r="PG762" s="13"/>
      <c r="PH762" s="13"/>
      <c r="PI762" s="13"/>
      <c r="PJ762" s="13"/>
      <c r="PK762" s="13"/>
      <c r="PL762" s="13"/>
      <c r="PM762" s="13"/>
      <c r="PN762" s="13"/>
      <c r="PO762" s="13"/>
      <c r="PP762" s="13"/>
      <c r="PQ762" s="13"/>
      <c r="PR762" s="13"/>
      <c r="PS762" s="13"/>
      <c r="PT762" s="13"/>
      <c r="PU762" s="13"/>
      <c r="PV762" s="13"/>
      <c r="PW762" s="13"/>
      <c r="PX762" s="13"/>
      <c r="PY762" s="13"/>
      <c r="PZ762" s="13"/>
      <c r="QA762" s="13"/>
      <c r="QB762" s="13"/>
      <c r="QC762" s="13"/>
      <c r="QD762" s="13"/>
      <c r="QE762" s="13"/>
      <c r="QF762" s="13"/>
      <c r="QG762" s="13"/>
      <c r="QH762" s="13"/>
      <c r="QI762" s="13"/>
      <c r="QJ762" s="13"/>
      <c r="QK762" s="13"/>
      <c r="QL762" s="13"/>
      <c r="QM762" s="13"/>
      <c r="QN762" s="13"/>
      <c r="QO762" s="13"/>
      <c r="QP762" s="13"/>
      <c r="QQ762" s="13"/>
      <c r="QR762" s="13"/>
      <c r="QS762" s="13"/>
      <c r="QT762" s="13"/>
      <c r="QU762" s="13"/>
      <c r="QV762" s="13"/>
      <c r="QW762" s="13"/>
      <c r="QX762" s="13"/>
      <c r="QY762" s="13"/>
      <c r="QZ762" s="13"/>
      <c r="RA762" s="13"/>
      <c r="RB762" s="13"/>
      <c r="RC762" s="13"/>
      <c r="RD762" s="13"/>
      <c r="RE762" s="13"/>
      <c r="RF762" s="13"/>
      <c r="RG762" s="13"/>
      <c r="RH762" s="13"/>
      <c r="RI762" s="13"/>
      <c r="RJ762" s="13"/>
      <c r="RK762" s="13"/>
      <c r="RL762" s="13"/>
      <c r="RM762" s="13"/>
      <c r="RN762" s="13"/>
      <c r="RO762" s="13"/>
      <c r="RP762" s="13"/>
      <c r="RQ762" s="13"/>
      <c r="RR762" s="13"/>
      <c r="RS762" s="13"/>
      <c r="RT762" s="13"/>
      <c r="RU762" s="13"/>
      <c r="RV762" s="13"/>
      <c r="RW762" s="13"/>
      <c r="RX762" s="13"/>
      <c r="RY762" s="13"/>
      <c r="RZ762" s="13"/>
      <c r="SA762" s="13"/>
      <c r="SB762" s="13"/>
      <c r="SC762" s="13"/>
      <c r="SD762" s="13"/>
      <c r="SE762" s="13"/>
      <c r="SF762" s="13"/>
      <c r="SG762" s="13"/>
      <c r="SH762" s="13"/>
      <c r="SI762" s="13"/>
      <c r="SJ762" s="13"/>
      <c r="SK762" s="13"/>
      <c r="SL762" s="13"/>
      <c r="SM762" s="13"/>
      <c r="SN762" s="13"/>
      <c r="SO762" s="13"/>
      <c r="SP762" s="13"/>
      <c r="SQ762" s="13"/>
      <c r="SR762" s="13"/>
      <c r="SS762" s="13"/>
      <c r="ST762" s="13"/>
      <c r="SU762" s="13"/>
      <c r="SV762" s="13"/>
      <c r="SW762" s="13"/>
      <c r="SX762" s="13"/>
      <c r="SY762" s="13"/>
      <c r="SZ762" s="13"/>
      <c r="TA762" s="13"/>
      <c r="TB762" s="13"/>
      <c r="TC762" s="13"/>
      <c r="TD762" s="13"/>
      <c r="TE762" s="13"/>
      <c r="TF762" s="13"/>
      <c r="TG762" s="13"/>
      <c r="TH762" s="13"/>
      <c r="TI762" s="13"/>
      <c r="TJ762" s="13"/>
      <c r="TK762" s="13"/>
      <c r="TL762" s="13"/>
      <c r="TM762" s="13"/>
      <c r="TN762" s="13"/>
      <c r="TO762" s="13"/>
      <c r="TP762" s="13"/>
      <c r="TQ762" s="13"/>
      <c r="TR762" s="13"/>
      <c r="TS762" s="13"/>
      <c r="TT762" s="13"/>
      <c r="TU762" s="13"/>
      <c r="TV762" s="13"/>
      <c r="TW762" s="13"/>
      <c r="TX762" s="13"/>
      <c r="TY762" s="13"/>
      <c r="TZ762" s="13"/>
      <c r="UA762" s="13"/>
      <c r="UB762" s="13"/>
      <c r="UC762" s="13"/>
      <c r="UD762" s="13"/>
      <c r="UE762" s="13"/>
      <c r="UF762" s="13"/>
      <c r="UG762" s="13"/>
      <c r="UH762" s="13"/>
      <c r="UI762" s="13"/>
      <c r="UJ762" s="13"/>
      <c r="UK762" s="13"/>
      <c r="UL762" s="13"/>
      <c r="UM762" s="13"/>
      <c r="UN762" s="13"/>
      <c r="UO762" s="13"/>
      <c r="UP762" s="13"/>
      <c r="UQ762" s="13"/>
      <c r="UR762" s="13"/>
      <c r="US762" s="13"/>
      <c r="UT762" s="13"/>
      <c r="UU762" s="13"/>
      <c r="UV762" s="13"/>
      <c r="UW762" s="13"/>
      <c r="UX762" s="13"/>
      <c r="UY762" s="13"/>
      <c r="UZ762" s="13"/>
      <c r="VA762" s="13"/>
      <c r="VB762" s="13"/>
      <c r="VC762" s="13"/>
      <c r="VD762" s="13"/>
      <c r="VE762" s="13"/>
      <c r="VF762" s="13"/>
      <c r="VG762" s="13"/>
      <c r="VH762" s="13"/>
      <c r="VI762" s="13"/>
      <c r="VJ762" s="13"/>
      <c r="VK762" s="13"/>
      <c r="VL762" s="13"/>
      <c r="VM762" s="13"/>
      <c r="VN762" s="13"/>
      <c r="VO762" s="13"/>
      <c r="VP762" s="13"/>
      <c r="VQ762" s="13"/>
      <c r="VR762" s="13"/>
      <c r="VS762" s="13"/>
      <c r="VT762" s="13"/>
      <c r="VU762" s="13"/>
      <c r="VV762" s="13"/>
      <c r="VW762" s="13"/>
      <c r="VX762" s="13"/>
      <c r="VY762" s="13"/>
      <c r="VZ762" s="13"/>
      <c r="WA762" s="13"/>
      <c r="WB762" s="13"/>
      <c r="WC762" s="13"/>
      <c r="WD762" s="13"/>
      <c r="WE762" s="13"/>
      <c r="WF762" s="13"/>
      <c r="WG762" s="13"/>
      <c r="WH762" s="13"/>
      <c r="WI762" s="13"/>
      <c r="WJ762" s="13"/>
      <c r="WK762" s="13"/>
      <c r="WL762" s="13"/>
      <c r="WM762" s="13"/>
      <c r="WN762" s="13"/>
      <c r="WO762" s="13"/>
      <c r="WP762" s="13"/>
      <c r="WQ762" s="13"/>
      <c r="WR762" s="13"/>
      <c r="WS762" s="13"/>
      <c r="WT762" s="13"/>
      <c r="WU762" s="13"/>
      <c r="WV762" s="13"/>
      <c r="WW762" s="13"/>
      <c r="WX762" s="13"/>
      <c r="WY762" s="13"/>
      <c r="WZ762" s="13"/>
      <c r="XA762" s="13"/>
      <c r="XB762" s="13"/>
      <c r="XC762" s="13"/>
      <c r="XD762" s="13"/>
      <c r="XE762" s="13"/>
      <c r="XF762" s="13"/>
      <c r="XG762" s="13"/>
      <c r="XH762" s="13"/>
      <c r="XI762" s="13"/>
      <c r="XJ762" s="13"/>
      <c r="XK762" s="13"/>
      <c r="XL762" s="13"/>
      <c r="XM762" s="13"/>
      <c r="XN762" s="13"/>
      <c r="XO762" s="13"/>
      <c r="XP762" s="13"/>
      <c r="XQ762" s="13"/>
      <c r="XR762" s="13"/>
      <c r="XS762" s="13"/>
      <c r="XT762" s="13"/>
      <c r="XU762" s="13"/>
      <c r="XV762" s="13"/>
      <c r="XW762" s="13"/>
      <c r="XX762" s="13"/>
      <c r="XY762" s="13"/>
      <c r="XZ762" s="13"/>
      <c r="YA762" s="13"/>
      <c r="YB762" s="13"/>
      <c r="YC762" s="13"/>
      <c r="YD762" s="13"/>
      <c r="YE762" s="13"/>
      <c r="YF762" s="13"/>
      <c r="YG762" s="13"/>
      <c r="YH762" s="13"/>
      <c r="YI762" s="13"/>
      <c r="YJ762" s="13"/>
      <c r="YK762" s="13"/>
      <c r="YL762" s="13"/>
      <c r="YM762" s="13"/>
      <c r="YN762" s="13"/>
      <c r="YO762" s="13"/>
      <c r="YP762" s="13"/>
      <c r="YQ762" s="13"/>
      <c r="YR762" s="13"/>
      <c r="YS762" s="13"/>
      <c r="YT762" s="13"/>
      <c r="YU762" s="13"/>
      <c r="YV762" s="13"/>
      <c r="YW762" s="13"/>
      <c r="YX762" s="13"/>
      <c r="YY762" s="13"/>
      <c r="YZ762" s="13"/>
      <c r="ZA762" s="13"/>
      <c r="ZB762" s="13"/>
      <c r="ZC762" s="13"/>
      <c r="ZD762" s="13"/>
      <c r="ZE762" s="13"/>
      <c r="ZF762" s="13"/>
      <c r="ZG762" s="13"/>
      <c r="ZH762" s="13"/>
      <c r="ZI762" s="13"/>
      <c r="ZJ762" s="13"/>
      <c r="ZK762" s="13"/>
      <c r="ZL762" s="13"/>
      <c r="ZM762" s="13"/>
      <c r="ZN762" s="13"/>
      <c r="ZO762" s="13"/>
      <c r="ZP762" s="13"/>
      <c r="ZQ762" s="13"/>
      <c r="ZR762" s="13"/>
      <c r="ZS762" s="13"/>
      <c r="ZT762" s="13"/>
      <c r="ZU762" s="13"/>
      <c r="ZV762" s="13"/>
      <c r="ZW762" s="13"/>
      <c r="ZX762" s="13"/>
      <c r="ZY762" s="13"/>
      <c r="ZZ762" s="13"/>
      <c r="AAA762" s="13"/>
      <c r="AAB762" s="13"/>
      <c r="AAC762" s="13"/>
      <c r="AAD762" s="13"/>
      <c r="AAE762" s="13"/>
      <c r="AAF762" s="13"/>
      <c r="AAG762" s="13"/>
      <c r="AAH762" s="13"/>
      <c r="AAI762" s="13"/>
      <c r="AAJ762" s="13"/>
      <c r="AAK762" s="13"/>
      <c r="AAL762" s="13"/>
      <c r="AAM762" s="13"/>
      <c r="AAN762" s="13"/>
      <c r="AAO762" s="13"/>
      <c r="AAP762" s="13"/>
      <c r="AAQ762" s="13"/>
      <c r="AAR762" s="13"/>
      <c r="AAS762" s="13"/>
      <c r="AAT762" s="13"/>
      <c r="AAU762" s="13"/>
      <c r="AAV762" s="13"/>
      <c r="AAW762" s="13"/>
      <c r="AAX762" s="13"/>
      <c r="AAY762" s="13"/>
      <c r="AAZ762" s="13"/>
      <c r="ABA762" s="13"/>
      <c r="ABB762" s="13"/>
      <c r="ABC762" s="13"/>
      <c r="ABD762" s="13"/>
      <c r="ABE762" s="13"/>
      <c r="ABF762" s="13"/>
      <c r="ABG762" s="13"/>
      <c r="ABH762" s="13"/>
      <c r="ABI762" s="13"/>
      <c r="ABJ762" s="13"/>
      <c r="ABK762" s="13"/>
      <c r="ABL762" s="13"/>
      <c r="ABM762" s="13"/>
      <c r="ABN762" s="13"/>
      <c r="ABO762" s="13"/>
      <c r="ABP762" s="13"/>
      <c r="ABQ762" s="13"/>
      <c r="ABR762" s="13"/>
      <c r="ABS762" s="13"/>
      <c r="ABT762" s="13"/>
      <c r="ABU762" s="13"/>
      <c r="ABV762" s="13"/>
      <c r="ABW762" s="13"/>
      <c r="ABX762" s="13"/>
      <c r="ABY762" s="13"/>
      <c r="ABZ762" s="13"/>
      <c r="ACA762" s="13"/>
      <c r="ACB762" s="13"/>
      <c r="ACC762" s="13"/>
      <c r="ACD762" s="13"/>
      <c r="ACE762" s="13"/>
      <c r="ACF762" s="13"/>
      <c r="ACG762" s="13"/>
      <c r="ACH762" s="13"/>
      <c r="ACI762" s="13"/>
      <c r="ACJ762" s="13"/>
      <c r="ACK762" s="13"/>
      <c r="ACL762" s="13"/>
      <c r="ACM762" s="13"/>
      <c r="ACN762" s="13"/>
      <c r="ACO762" s="13"/>
      <c r="ACP762" s="13"/>
      <c r="ACQ762" s="13"/>
      <c r="ACR762" s="13"/>
      <c r="ACS762" s="13"/>
      <c r="ACT762" s="13"/>
      <c r="ACU762" s="13"/>
      <c r="ACV762" s="13"/>
      <c r="ACW762" s="13"/>
      <c r="ACX762" s="13"/>
      <c r="ACY762" s="13"/>
      <c r="ACZ762" s="13"/>
      <c r="ADA762" s="13"/>
      <c r="ADB762" s="13"/>
      <c r="ADC762" s="13"/>
      <c r="ADD762" s="13"/>
      <c r="ADE762" s="13"/>
      <c r="ADF762" s="13"/>
      <c r="ADG762" s="13"/>
      <c r="ADH762" s="13"/>
      <c r="ADI762" s="13"/>
      <c r="ADJ762" s="13"/>
      <c r="ADK762" s="13"/>
      <c r="ADL762" s="13"/>
      <c r="ADM762" s="13"/>
      <c r="ADN762" s="13"/>
      <c r="ADO762" s="13"/>
      <c r="ADP762" s="13"/>
      <c r="ADQ762" s="13"/>
      <c r="ADR762" s="13"/>
      <c r="ADS762" s="13"/>
      <c r="ADT762" s="13"/>
      <c r="ADU762" s="13"/>
      <c r="ADV762" s="13"/>
      <c r="ADW762" s="13"/>
      <c r="ADX762" s="13"/>
      <c r="ADY762" s="13"/>
      <c r="ADZ762" s="13"/>
      <c r="AEA762" s="13"/>
      <c r="AEB762" s="13"/>
      <c r="AEC762" s="13"/>
      <c r="AED762" s="13"/>
      <c r="AEE762" s="13"/>
      <c r="AEF762" s="13"/>
      <c r="AEG762" s="13"/>
      <c r="AEH762" s="13"/>
      <c r="AEI762" s="13"/>
      <c r="AEJ762" s="13"/>
      <c r="AEK762" s="13"/>
      <c r="AEL762" s="13"/>
      <c r="AEM762" s="13"/>
      <c r="AEN762" s="13"/>
      <c r="AEO762" s="13"/>
      <c r="AEP762" s="13"/>
      <c r="AEQ762" s="13"/>
      <c r="AER762" s="13"/>
      <c r="AES762" s="13"/>
      <c r="AET762" s="13"/>
      <c r="AEU762" s="13"/>
      <c r="AEV762" s="13"/>
      <c r="AEW762" s="13"/>
      <c r="AEX762" s="13"/>
      <c r="AEY762" s="13"/>
      <c r="AEZ762" s="13"/>
      <c r="AFA762" s="13"/>
      <c r="AFB762" s="13"/>
      <c r="AFC762" s="13"/>
      <c r="AFD762" s="13"/>
      <c r="AFE762" s="13"/>
      <c r="AFF762" s="13"/>
      <c r="AFG762" s="13"/>
      <c r="AFH762" s="13"/>
      <c r="AFI762" s="13"/>
      <c r="AFJ762" s="13"/>
      <c r="AFK762" s="13"/>
      <c r="AFL762" s="13"/>
      <c r="AFM762" s="13"/>
      <c r="AFN762" s="13"/>
      <c r="AFO762" s="13"/>
      <c r="AFP762" s="13"/>
      <c r="AFQ762" s="13"/>
      <c r="AFR762" s="13"/>
      <c r="AFS762" s="13"/>
      <c r="AFT762" s="13"/>
      <c r="AFU762" s="13"/>
      <c r="AFV762" s="13"/>
      <c r="AFW762" s="13"/>
      <c r="AFX762" s="13"/>
      <c r="AFY762" s="13"/>
      <c r="AFZ762" s="13"/>
      <c r="AGA762" s="13"/>
      <c r="AGB762" s="13"/>
      <c r="AGC762" s="13"/>
      <c r="AGD762" s="13"/>
      <c r="AGE762" s="13"/>
      <c r="AGF762" s="13"/>
      <c r="AGG762" s="13"/>
      <c r="AGH762" s="13"/>
      <c r="AGI762" s="13"/>
      <c r="AGJ762" s="13"/>
      <c r="AGK762" s="13"/>
      <c r="AGL762" s="13"/>
      <c r="AGM762" s="13"/>
      <c r="AGN762" s="13"/>
      <c r="AGO762" s="13"/>
      <c r="AGP762" s="13"/>
      <c r="AGQ762" s="13"/>
      <c r="AGR762" s="13"/>
      <c r="AGS762" s="13"/>
      <c r="AGT762" s="13"/>
      <c r="AGU762" s="13"/>
      <c r="AGV762" s="13"/>
      <c r="AGW762" s="13"/>
      <c r="AGX762" s="13"/>
      <c r="AGY762" s="13"/>
      <c r="AGZ762" s="13"/>
      <c r="AHA762" s="13"/>
      <c r="AHB762" s="13"/>
      <c r="AHC762" s="13"/>
      <c r="AHD762" s="13"/>
      <c r="AHE762" s="13"/>
      <c r="AHF762" s="13"/>
      <c r="AHG762" s="13"/>
      <c r="AHH762" s="13"/>
      <c r="AHI762" s="13"/>
      <c r="AHJ762" s="13"/>
      <c r="AHK762" s="13"/>
      <c r="AHL762" s="13"/>
      <c r="AHM762" s="13"/>
      <c r="AHN762" s="13"/>
      <c r="AHO762" s="13"/>
      <c r="AHP762" s="13"/>
      <c r="AHQ762" s="13"/>
      <c r="AHR762" s="13"/>
      <c r="AHS762" s="13"/>
      <c r="AHT762" s="13"/>
      <c r="AHU762" s="13"/>
      <c r="AHV762" s="13"/>
      <c r="AHW762" s="13"/>
      <c r="AHX762" s="13"/>
      <c r="AHY762" s="13"/>
      <c r="AHZ762" s="13"/>
      <c r="AIA762" s="13"/>
      <c r="AIB762" s="13"/>
      <c r="AIC762" s="13"/>
      <c r="AID762" s="13"/>
      <c r="AIE762" s="13"/>
      <c r="AIF762" s="13"/>
      <c r="AIG762" s="13"/>
      <c r="AIH762" s="13"/>
      <c r="AII762" s="13"/>
      <c r="AIJ762" s="13"/>
      <c r="AIK762" s="13"/>
      <c r="AIL762" s="13"/>
      <c r="AIM762" s="13"/>
      <c r="AIN762" s="13"/>
      <c r="AIO762" s="13"/>
      <c r="AIP762" s="13"/>
      <c r="AIQ762" s="13"/>
      <c r="AIR762" s="13"/>
      <c r="AIS762" s="13"/>
      <c r="AIT762" s="13"/>
      <c r="AIU762" s="13"/>
      <c r="AIV762" s="13"/>
      <c r="AIW762" s="13"/>
      <c r="AIX762" s="13"/>
      <c r="AIY762" s="13"/>
      <c r="AIZ762" s="13"/>
      <c r="AJA762" s="13"/>
      <c r="AJB762" s="13"/>
      <c r="AJC762" s="13"/>
      <c r="AJD762" s="13"/>
      <c r="AJE762" s="13"/>
      <c r="AJF762" s="13"/>
      <c r="AJG762" s="13"/>
      <c r="AJH762" s="13"/>
      <c r="AJI762" s="13"/>
      <c r="AJJ762" s="13"/>
      <c r="AJK762" s="13"/>
      <c r="AJL762" s="13"/>
      <c r="AJM762" s="13"/>
      <c r="AJN762" s="13"/>
      <c r="AJO762" s="13"/>
      <c r="AJP762" s="13"/>
      <c r="AJQ762" s="13"/>
      <c r="AJR762" s="13"/>
      <c r="AJS762" s="13"/>
      <c r="AJT762" s="13"/>
      <c r="AJU762" s="13"/>
      <c r="AJV762" s="13"/>
      <c r="AJW762" s="13"/>
      <c r="AJX762" s="13"/>
      <c r="AJY762" s="13"/>
      <c r="AJZ762" s="13"/>
      <c r="AKA762" s="13"/>
      <c r="AKB762" s="13"/>
      <c r="AKC762" s="13"/>
      <c r="AKD762" s="13"/>
      <c r="AKE762" s="13"/>
      <c r="AKF762" s="13"/>
      <c r="AKG762" s="13"/>
      <c r="AKH762" s="13"/>
      <c r="AKI762" s="13"/>
      <c r="AKJ762" s="13"/>
      <c r="AKK762" s="13"/>
      <c r="AKL762" s="13"/>
      <c r="AKM762" s="13"/>
      <c r="AKN762" s="13"/>
      <c r="AKO762" s="13"/>
      <c r="AKP762" s="13"/>
      <c r="AKQ762" s="13"/>
      <c r="AKR762" s="13"/>
      <c r="AKS762" s="13"/>
      <c r="AKT762" s="13"/>
      <c r="AKU762" s="13"/>
      <c r="AKV762" s="13"/>
      <c r="AKW762" s="13"/>
      <c r="AKX762" s="13"/>
      <c r="AKY762" s="13"/>
      <c r="AKZ762" s="13"/>
      <c r="ALA762" s="13"/>
      <c r="ALB762" s="13"/>
      <c r="ALC762" s="13"/>
      <c r="ALD762" s="13"/>
      <c r="ALE762" s="13"/>
      <c r="ALF762" s="13"/>
      <c r="ALG762" s="13"/>
      <c r="ALH762" s="13"/>
      <c r="ALI762" s="13"/>
      <c r="ALJ762" s="13"/>
      <c r="ALK762" s="13"/>
      <c r="ALL762" s="13"/>
      <c r="ALM762" s="13"/>
      <c r="ALN762" s="13"/>
      <c r="ALO762" s="13"/>
      <c r="ALP762" s="13"/>
      <c r="ALQ762" s="13"/>
      <c r="ALR762" s="13"/>
      <c r="ALS762" s="13"/>
      <c r="ALT762" s="13"/>
      <c r="ALU762" s="13"/>
      <c r="ALV762" s="13"/>
      <c r="ALW762" s="13"/>
      <c r="ALX762" s="13"/>
      <c r="ALY762" s="13"/>
      <c r="ALZ762" s="13"/>
      <c r="AMA762" s="13"/>
      <c r="AMB762" s="13"/>
      <c r="AMC762" s="13"/>
      <c r="AMD762" s="13"/>
      <c r="AME762" s="13"/>
      <c r="AMF762" s="13"/>
      <c r="AMG762" s="13"/>
      <c r="AMH762" s="13"/>
      <c r="AMI762" s="13"/>
      <c r="AMJ762" s="13"/>
      <c r="AMK762" s="13"/>
      <c r="AML762" s="13"/>
      <c r="AMM762" s="13"/>
      <c r="AMN762" s="13"/>
      <c r="AMO762" s="13"/>
      <c r="AMP762" s="13"/>
      <c r="AMQ762" s="13"/>
      <c r="AMR762" s="13"/>
      <c r="AMS762" s="13"/>
      <c r="AMT762" s="13"/>
      <c r="AMU762" s="13"/>
      <c r="AMV762" s="13"/>
      <c r="AMW762" s="13"/>
      <c r="AMX762" s="13"/>
      <c r="AMY762" s="13"/>
      <c r="AMZ762" s="13"/>
      <c r="ANA762" s="13"/>
      <c r="ANB762" s="13"/>
      <c r="ANC762" s="13"/>
      <c r="AND762" s="13"/>
      <c r="ANE762" s="13"/>
      <c r="ANF762" s="13"/>
      <c r="ANG762" s="13"/>
      <c r="ANH762" s="13"/>
      <c r="ANI762" s="13"/>
      <c r="ANJ762" s="13"/>
      <c r="ANK762" s="13"/>
      <c r="ANL762" s="13"/>
      <c r="ANM762" s="13"/>
      <c r="ANN762" s="13"/>
      <c r="ANO762" s="13"/>
      <c r="ANP762" s="13"/>
      <c r="ANQ762" s="13"/>
      <c r="ANR762" s="13"/>
      <c r="ANS762" s="13"/>
      <c r="ANT762" s="13"/>
      <c r="ANU762" s="13"/>
      <c r="ANV762" s="13"/>
      <c r="ANW762" s="13"/>
      <c r="ANX762" s="13"/>
      <c r="ANY762" s="13"/>
      <c r="ANZ762" s="13"/>
      <c r="AOA762" s="13"/>
      <c r="AOB762" s="13"/>
      <c r="AOC762" s="13"/>
      <c r="AOD762" s="13"/>
      <c r="AOE762" s="13"/>
      <c r="AOF762" s="13"/>
      <c r="AOG762" s="13"/>
      <c r="AOH762" s="13"/>
      <c r="AOI762" s="13"/>
      <c r="AOJ762" s="13"/>
      <c r="AOK762" s="13"/>
      <c r="AOL762" s="13"/>
      <c r="AOM762" s="13"/>
      <c r="AON762" s="13"/>
      <c r="AOO762" s="13"/>
      <c r="AOP762" s="13"/>
      <c r="AOQ762" s="13"/>
      <c r="AOR762" s="13"/>
      <c r="AOS762" s="13"/>
      <c r="AOT762" s="13"/>
      <c r="AOU762" s="13"/>
      <c r="AOV762" s="13"/>
      <c r="AOW762" s="13"/>
      <c r="AOX762" s="13"/>
      <c r="AOY762" s="13"/>
      <c r="AOZ762" s="13"/>
      <c r="APA762" s="13"/>
      <c r="APB762" s="13"/>
      <c r="APC762" s="13"/>
      <c r="APD762" s="13"/>
      <c r="APE762" s="13"/>
      <c r="APF762" s="13"/>
      <c r="APG762" s="13"/>
      <c r="APH762" s="13"/>
      <c r="API762" s="13"/>
      <c r="APJ762" s="13"/>
      <c r="APK762" s="13"/>
      <c r="APL762" s="13"/>
      <c r="APM762" s="13"/>
      <c r="APN762" s="13"/>
      <c r="APO762" s="13"/>
      <c r="APP762" s="13"/>
      <c r="APQ762" s="13"/>
      <c r="APR762" s="13"/>
      <c r="APS762" s="13"/>
      <c r="APT762" s="13"/>
      <c r="APU762" s="13"/>
      <c r="APV762" s="13"/>
      <c r="APW762" s="13"/>
      <c r="APX762" s="13"/>
      <c r="APY762" s="13"/>
      <c r="APZ762" s="13"/>
      <c r="AQA762" s="13"/>
      <c r="AQB762" s="13"/>
      <c r="AQC762" s="13"/>
      <c r="AQD762" s="13"/>
      <c r="AQE762" s="13"/>
      <c r="AQF762" s="13"/>
      <c r="AQG762" s="13"/>
      <c r="AQH762" s="13"/>
      <c r="AQI762" s="13"/>
      <c r="AQJ762" s="13"/>
      <c r="AQK762" s="13"/>
      <c r="AQL762" s="13"/>
      <c r="AQM762" s="13"/>
      <c r="AQN762" s="13"/>
      <c r="AQO762" s="13"/>
      <c r="AQP762" s="13"/>
      <c r="AQQ762" s="13"/>
      <c r="AQR762" s="13"/>
      <c r="AQS762" s="13"/>
      <c r="AQT762" s="13"/>
      <c r="AQU762" s="13"/>
      <c r="AQV762" s="13"/>
      <c r="AQW762" s="13"/>
      <c r="AQX762" s="13"/>
      <c r="AQY762" s="13"/>
      <c r="AQZ762" s="13"/>
      <c r="ARA762" s="13"/>
      <c r="ARB762" s="13"/>
      <c r="ARC762" s="13"/>
      <c r="ARD762" s="13"/>
      <c r="ARE762" s="13"/>
      <c r="ARF762" s="13"/>
      <c r="ARG762" s="13"/>
      <c r="ARH762" s="13"/>
      <c r="ARI762" s="13"/>
      <c r="ARJ762" s="13"/>
      <c r="ARK762" s="13"/>
      <c r="ARL762" s="13"/>
      <c r="ARM762" s="13"/>
      <c r="ARN762" s="13"/>
      <c r="ARO762" s="13"/>
      <c r="ARP762" s="13"/>
      <c r="ARQ762" s="13"/>
      <c r="ARR762" s="13"/>
      <c r="ARS762" s="13"/>
      <c r="ART762" s="13"/>
      <c r="ARU762" s="13"/>
      <c r="ARV762" s="13"/>
      <c r="ARW762" s="13"/>
      <c r="ARX762" s="13"/>
      <c r="ARY762" s="13"/>
      <c r="ARZ762" s="13"/>
      <c r="ASA762" s="13"/>
      <c r="ASB762" s="13"/>
      <c r="ASC762" s="13"/>
      <c r="ASD762" s="13"/>
      <c r="ASE762" s="13"/>
      <c r="ASF762" s="13"/>
      <c r="ASG762" s="13"/>
      <c r="ASH762" s="13"/>
      <c r="ASI762" s="13"/>
      <c r="ASJ762" s="13"/>
      <c r="ASK762" s="13"/>
      <c r="ASL762" s="13"/>
      <c r="ASM762" s="13"/>
      <c r="ASN762" s="13"/>
      <c r="ASO762" s="13"/>
      <c r="ASP762" s="13"/>
      <c r="ASQ762" s="13"/>
      <c r="ASR762" s="13"/>
      <c r="ASS762" s="13"/>
      <c r="AST762" s="13"/>
      <c r="ASU762" s="13"/>
      <c r="ASV762" s="13"/>
      <c r="ASW762" s="13"/>
      <c r="ASX762" s="13"/>
      <c r="ASY762" s="13"/>
      <c r="ASZ762" s="13"/>
      <c r="ATA762" s="13"/>
      <c r="ATB762" s="13"/>
      <c r="ATC762" s="13"/>
      <c r="ATD762" s="13"/>
      <c r="ATE762" s="13"/>
      <c r="ATF762" s="13"/>
      <c r="ATG762" s="13"/>
      <c r="ATH762" s="13"/>
      <c r="ATI762" s="13"/>
      <c r="ATJ762" s="13"/>
      <c r="ATK762" s="13"/>
      <c r="ATL762" s="13"/>
      <c r="ATM762" s="13"/>
      <c r="ATN762" s="13"/>
      <c r="ATO762" s="13"/>
      <c r="ATP762" s="13"/>
      <c r="ATQ762" s="13"/>
      <c r="ATR762" s="13"/>
      <c r="ATS762" s="13"/>
      <c r="ATT762" s="13"/>
      <c r="ATU762" s="13"/>
      <c r="ATV762" s="13"/>
      <c r="ATW762" s="13"/>
      <c r="ATX762" s="13"/>
      <c r="ATY762" s="13"/>
      <c r="ATZ762" s="13"/>
      <c r="AUA762" s="13"/>
      <c r="AUB762" s="13"/>
      <c r="AUC762" s="13"/>
      <c r="AUD762" s="13"/>
      <c r="AUE762" s="13"/>
      <c r="AUF762" s="13"/>
      <c r="AUG762" s="13"/>
      <c r="AUH762" s="13"/>
      <c r="AUI762" s="13"/>
      <c r="AUJ762" s="13"/>
      <c r="AUK762" s="13"/>
      <c r="AUL762" s="13"/>
      <c r="AUM762" s="13"/>
      <c r="AUN762" s="13"/>
      <c r="AUO762" s="13"/>
      <c r="AUP762" s="13"/>
      <c r="AUQ762" s="13"/>
      <c r="AUR762" s="13"/>
      <c r="AUS762" s="13"/>
      <c r="AUT762" s="13"/>
      <c r="AUU762" s="13"/>
      <c r="AUV762" s="13"/>
      <c r="AUW762" s="13"/>
      <c r="AUX762" s="13"/>
      <c r="AUY762" s="13"/>
      <c r="AUZ762" s="13"/>
      <c r="AVA762" s="13"/>
      <c r="AVB762" s="13"/>
      <c r="AVC762" s="13"/>
      <c r="AVD762" s="13"/>
      <c r="AVE762" s="13"/>
      <c r="AVF762" s="13"/>
      <c r="AVG762" s="13"/>
      <c r="AVH762" s="13"/>
      <c r="AVI762" s="13"/>
      <c r="AVJ762" s="13"/>
      <c r="AVK762" s="13"/>
      <c r="AVL762" s="13"/>
      <c r="AVM762" s="13"/>
      <c r="AVN762" s="13"/>
      <c r="AVO762" s="13"/>
      <c r="AVP762" s="13"/>
      <c r="AVQ762" s="13"/>
      <c r="AVR762" s="13"/>
      <c r="AVS762" s="13"/>
      <c r="AVT762" s="13"/>
      <c r="AVU762" s="13"/>
      <c r="AVV762" s="13"/>
      <c r="AVW762" s="13"/>
      <c r="AVX762" s="13"/>
      <c r="AVY762" s="13"/>
      <c r="AVZ762" s="13"/>
      <c r="AWA762" s="13"/>
      <c r="AWB762" s="13"/>
      <c r="AWC762" s="13"/>
      <c r="AWD762" s="13"/>
      <c r="AWE762" s="13"/>
      <c r="AWF762" s="13"/>
      <c r="AWG762" s="13"/>
      <c r="AWH762" s="13"/>
      <c r="AWI762" s="13"/>
      <c r="AWJ762" s="13"/>
      <c r="AWK762" s="13"/>
      <c r="AWL762" s="13"/>
      <c r="AWM762" s="13"/>
      <c r="AWN762" s="13"/>
      <c r="AWO762" s="13"/>
      <c r="AWP762" s="13"/>
      <c r="AWQ762" s="13"/>
      <c r="AWR762" s="13"/>
      <c r="AWS762" s="13"/>
      <c r="AWT762" s="13"/>
      <c r="AWU762" s="13"/>
      <c r="AWV762" s="13"/>
      <c r="AWW762" s="13"/>
      <c r="AWX762" s="13"/>
      <c r="AWY762" s="13"/>
      <c r="AWZ762" s="13"/>
      <c r="AXA762" s="13"/>
      <c r="AXB762" s="13"/>
      <c r="AXC762" s="13"/>
      <c r="AXD762" s="13"/>
      <c r="AXE762" s="13"/>
      <c r="AXF762" s="13"/>
      <c r="AXG762" s="13"/>
      <c r="AXH762" s="13"/>
      <c r="AXI762" s="13"/>
      <c r="AXJ762" s="13"/>
      <c r="AXK762" s="13"/>
      <c r="AXL762" s="13"/>
      <c r="AXM762" s="13"/>
      <c r="AXN762" s="13"/>
      <c r="AXO762" s="13"/>
      <c r="AXP762" s="13"/>
      <c r="AXQ762" s="13"/>
      <c r="AXR762" s="13"/>
      <c r="AXS762" s="13"/>
      <c r="AXT762" s="13"/>
      <c r="AXU762" s="13"/>
      <c r="AXV762" s="13"/>
      <c r="AXW762" s="13"/>
      <c r="AXX762" s="13"/>
      <c r="AXY762" s="13"/>
      <c r="AXZ762" s="13"/>
      <c r="AYA762" s="13"/>
      <c r="AYB762" s="13"/>
      <c r="AYC762" s="13"/>
      <c r="AYD762" s="13"/>
      <c r="AYE762" s="13"/>
      <c r="AYF762" s="13"/>
      <c r="AYG762" s="13"/>
      <c r="AYH762" s="13"/>
      <c r="AYI762" s="13"/>
      <c r="AYJ762" s="13"/>
      <c r="AYK762" s="13"/>
      <c r="AYL762" s="13"/>
      <c r="AYM762" s="13"/>
      <c r="AYN762" s="13"/>
      <c r="AYO762" s="13"/>
      <c r="AYP762" s="13"/>
      <c r="AYQ762" s="13"/>
      <c r="AYR762" s="13"/>
      <c r="AYS762" s="13"/>
      <c r="AYT762" s="13"/>
      <c r="AYU762" s="13"/>
      <c r="AYV762" s="13"/>
      <c r="AYW762" s="13"/>
      <c r="AYX762" s="13"/>
      <c r="AYY762" s="13"/>
      <c r="AYZ762" s="13"/>
      <c r="AZA762" s="13"/>
      <c r="AZB762" s="13"/>
      <c r="AZC762" s="13"/>
      <c r="AZD762" s="13"/>
      <c r="AZE762" s="13"/>
      <c r="AZF762" s="13"/>
      <c r="AZG762" s="13"/>
      <c r="AZH762" s="13"/>
      <c r="AZI762" s="13"/>
      <c r="AZJ762" s="13"/>
      <c r="AZK762" s="13"/>
      <c r="AZL762" s="13"/>
      <c r="AZM762" s="13"/>
      <c r="AZN762" s="13"/>
      <c r="AZO762" s="13"/>
      <c r="AZP762" s="13"/>
      <c r="AZQ762" s="13"/>
      <c r="AZR762" s="13"/>
      <c r="AZS762" s="13"/>
      <c r="AZT762" s="13"/>
      <c r="AZU762" s="13"/>
      <c r="AZV762" s="13"/>
      <c r="AZW762" s="13"/>
      <c r="AZX762" s="13"/>
      <c r="AZY762" s="13"/>
      <c r="AZZ762" s="13"/>
      <c r="BAA762" s="13"/>
      <c r="BAB762" s="13"/>
      <c r="BAC762" s="13"/>
      <c r="BAD762" s="13"/>
      <c r="BAE762" s="13"/>
      <c r="BAF762" s="13"/>
      <c r="BAG762" s="13"/>
      <c r="BAH762" s="13"/>
      <c r="BAI762" s="13"/>
      <c r="BAJ762" s="13"/>
      <c r="BAK762" s="13"/>
      <c r="BAL762" s="13"/>
      <c r="BAM762" s="13"/>
      <c r="BAN762" s="13"/>
      <c r="BAO762" s="13"/>
      <c r="BAP762" s="13"/>
      <c r="BAQ762" s="13"/>
      <c r="BAR762" s="13"/>
      <c r="BAS762" s="13"/>
      <c r="BAT762" s="13"/>
      <c r="BAU762" s="13"/>
      <c r="BAV762" s="13"/>
      <c r="BAW762" s="13"/>
      <c r="BAX762" s="13"/>
      <c r="BAY762" s="13"/>
      <c r="BAZ762" s="13"/>
      <c r="BBA762" s="13"/>
      <c r="BBB762" s="13"/>
      <c r="BBC762" s="13"/>
      <c r="BBD762" s="13"/>
      <c r="BBE762" s="13"/>
      <c r="BBF762" s="13"/>
      <c r="BBG762" s="13"/>
      <c r="BBH762" s="13"/>
      <c r="BBI762" s="13"/>
      <c r="BBJ762" s="13"/>
      <c r="BBK762" s="13"/>
      <c r="BBL762" s="13"/>
      <c r="BBM762" s="13"/>
      <c r="BBN762" s="13"/>
      <c r="BBO762" s="13"/>
      <c r="BBP762" s="13"/>
      <c r="BBQ762" s="13"/>
      <c r="BBR762" s="13"/>
      <c r="BBS762" s="13"/>
      <c r="BBT762" s="13"/>
      <c r="BBU762" s="13"/>
      <c r="BBV762" s="13"/>
      <c r="BBW762" s="13"/>
      <c r="BBX762" s="13"/>
      <c r="BBY762" s="13"/>
      <c r="BBZ762" s="13"/>
      <c r="BCA762" s="13"/>
      <c r="BCB762" s="13"/>
      <c r="BCC762" s="13"/>
      <c r="BCD762" s="13"/>
      <c r="BCE762" s="13"/>
      <c r="BCF762" s="13"/>
      <c r="BCG762" s="13"/>
      <c r="BCH762" s="13"/>
      <c r="BCI762" s="13"/>
      <c r="BCJ762" s="13"/>
      <c r="BCK762" s="13"/>
      <c r="BCL762" s="13"/>
      <c r="BCM762" s="13"/>
      <c r="BCN762" s="13"/>
      <c r="BCO762" s="13"/>
      <c r="BCP762" s="13"/>
      <c r="BCQ762" s="13"/>
      <c r="BCR762" s="13"/>
      <c r="BCS762" s="13"/>
      <c r="BCT762" s="13"/>
      <c r="BCU762" s="13"/>
      <c r="BCV762" s="13"/>
      <c r="BCW762" s="13"/>
      <c r="BCX762" s="13"/>
      <c r="BCY762" s="13"/>
      <c r="BCZ762" s="13"/>
      <c r="BDA762" s="13"/>
      <c r="BDB762" s="13"/>
      <c r="BDC762" s="13"/>
      <c r="BDD762" s="13"/>
      <c r="BDE762" s="13"/>
      <c r="BDF762" s="13"/>
      <c r="BDG762" s="13"/>
      <c r="BDH762" s="13"/>
      <c r="BDI762" s="13"/>
      <c r="BDJ762" s="13"/>
      <c r="BDK762" s="13"/>
      <c r="BDL762" s="13"/>
      <c r="BDM762" s="13"/>
      <c r="BDN762" s="13"/>
      <c r="BDO762" s="13"/>
      <c r="BDP762" s="13"/>
      <c r="BDQ762" s="13"/>
      <c r="BDR762" s="13"/>
      <c r="BDS762" s="13"/>
      <c r="BDT762" s="13"/>
      <c r="BDU762" s="13"/>
      <c r="BDV762" s="13"/>
      <c r="BDW762" s="13"/>
      <c r="BDX762" s="13"/>
      <c r="BDY762" s="13"/>
      <c r="BDZ762" s="13"/>
      <c r="BEA762" s="13"/>
      <c r="BEB762" s="13"/>
      <c r="BEC762" s="13"/>
      <c r="BED762" s="13"/>
      <c r="BEE762" s="13"/>
      <c r="BEF762" s="13"/>
      <c r="BEG762" s="13"/>
      <c r="BEH762" s="13"/>
      <c r="BEI762" s="13"/>
      <c r="BEJ762" s="13"/>
      <c r="BEK762" s="13"/>
      <c r="BEL762" s="13"/>
      <c r="BEM762" s="13"/>
      <c r="BEN762" s="13"/>
      <c r="BEO762" s="13"/>
      <c r="BEP762" s="13"/>
      <c r="BEQ762" s="13"/>
      <c r="BER762" s="13"/>
      <c r="BES762" s="13"/>
      <c r="BET762" s="13"/>
      <c r="BEU762" s="13"/>
      <c r="BEV762" s="13"/>
      <c r="BEW762" s="13"/>
      <c r="BEX762" s="13"/>
      <c r="BEY762" s="13"/>
      <c r="BEZ762" s="13"/>
      <c r="BFA762" s="13"/>
      <c r="BFB762" s="13"/>
      <c r="BFC762" s="13"/>
      <c r="BFD762" s="13"/>
      <c r="BFE762" s="13"/>
      <c r="BFF762" s="13"/>
      <c r="BFG762" s="13"/>
      <c r="BFH762" s="13"/>
      <c r="BFI762" s="13"/>
      <c r="BFJ762" s="13"/>
      <c r="BFK762" s="13"/>
      <c r="BFL762" s="13"/>
      <c r="BFM762" s="13"/>
      <c r="BFN762" s="13"/>
      <c r="BFO762" s="13"/>
      <c r="BFP762" s="13"/>
      <c r="BFQ762" s="13"/>
      <c r="BFR762" s="13"/>
      <c r="BFS762" s="13"/>
      <c r="BFT762" s="13"/>
      <c r="BFU762" s="13"/>
      <c r="BFV762" s="13"/>
      <c r="BFW762" s="13"/>
      <c r="BFX762" s="13"/>
      <c r="BFY762" s="13"/>
      <c r="BFZ762" s="13"/>
      <c r="BGA762" s="13"/>
      <c r="BGB762" s="13"/>
      <c r="BGC762" s="13"/>
      <c r="BGD762" s="13"/>
      <c r="BGE762" s="13"/>
      <c r="BGF762" s="13"/>
      <c r="BGG762" s="13"/>
      <c r="BGH762" s="13"/>
      <c r="BGI762" s="13"/>
      <c r="BGJ762" s="13"/>
      <c r="BGK762" s="13"/>
      <c r="BGL762" s="13"/>
      <c r="BGM762" s="13"/>
      <c r="BGN762" s="13"/>
      <c r="BGO762" s="13"/>
      <c r="BGP762" s="13"/>
      <c r="BGQ762" s="13"/>
      <c r="BGR762" s="13"/>
      <c r="BGS762" s="13"/>
      <c r="BGT762" s="13"/>
      <c r="BGU762" s="13"/>
      <c r="BGV762" s="13"/>
      <c r="BGW762" s="13"/>
      <c r="BGX762" s="13"/>
      <c r="BGY762" s="13"/>
      <c r="BGZ762" s="13"/>
      <c r="BHA762" s="13"/>
      <c r="BHB762" s="13"/>
      <c r="BHC762" s="13"/>
      <c r="BHD762" s="13"/>
      <c r="BHE762" s="13"/>
      <c r="BHF762" s="13"/>
      <c r="BHG762" s="13"/>
      <c r="BHH762" s="13"/>
      <c r="BHI762" s="13"/>
      <c r="BHJ762" s="13"/>
      <c r="BHK762" s="13"/>
      <c r="BHL762" s="13"/>
      <c r="BHM762" s="13"/>
      <c r="BHN762" s="13"/>
      <c r="BHO762" s="13"/>
      <c r="BHP762" s="13"/>
      <c r="BHQ762" s="13"/>
      <c r="BHR762" s="13"/>
      <c r="BHS762" s="13"/>
      <c r="BHT762" s="13"/>
      <c r="BHU762" s="13"/>
      <c r="BHV762" s="13"/>
      <c r="BHW762" s="13"/>
      <c r="BHX762" s="13"/>
      <c r="BHY762" s="13"/>
      <c r="BHZ762" s="13"/>
      <c r="BIA762" s="13"/>
      <c r="BIB762" s="13"/>
      <c r="BIC762" s="13"/>
      <c r="BID762" s="13"/>
      <c r="BIE762" s="13"/>
      <c r="BIF762" s="13"/>
      <c r="BIG762" s="13"/>
      <c r="BIH762" s="13"/>
      <c r="BII762" s="13"/>
      <c r="BIJ762" s="13"/>
      <c r="BIK762" s="13"/>
      <c r="BIL762" s="13"/>
      <c r="BIM762" s="13"/>
      <c r="BIN762" s="13"/>
      <c r="BIO762" s="13"/>
      <c r="BIP762" s="13"/>
      <c r="BIQ762" s="13"/>
      <c r="BIR762" s="13"/>
      <c r="BIS762" s="13"/>
      <c r="BIT762" s="13"/>
      <c r="BIU762" s="13"/>
      <c r="BIV762" s="13"/>
      <c r="BIW762" s="13"/>
      <c r="BIX762" s="13"/>
      <c r="BIY762" s="13"/>
      <c r="BIZ762" s="13"/>
      <c r="BJA762" s="13"/>
      <c r="BJB762" s="13"/>
      <c r="BJC762" s="13"/>
      <c r="BJD762" s="13"/>
      <c r="BJE762" s="13"/>
      <c r="BJF762" s="13"/>
      <c r="BJG762" s="13"/>
      <c r="BJH762" s="13"/>
      <c r="BJI762" s="13"/>
      <c r="BJJ762" s="13"/>
      <c r="BJK762" s="13"/>
      <c r="BJL762" s="13"/>
      <c r="BJM762" s="13"/>
      <c r="BJN762" s="13"/>
      <c r="BJO762" s="13"/>
      <c r="BJP762" s="13"/>
      <c r="BJQ762" s="13"/>
      <c r="BJR762" s="13"/>
      <c r="BJS762" s="13"/>
      <c r="BJT762" s="13"/>
      <c r="BJU762" s="13"/>
      <c r="BJV762" s="13"/>
      <c r="BJW762" s="13"/>
      <c r="BJX762" s="13"/>
      <c r="BJY762" s="13"/>
      <c r="BJZ762" s="13"/>
      <c r="BKA762" s="13"/>
      <c r="BKB762" s="13"/>
      <c r="BKC762" s="13"/>
      <c r="BKD762" s="13"/>
      <c r="BKE762" s="13"/>
      <c r="BKF762" s="13"/>
      <c r="BKG762" s="13"/>
      <c r="BKH762" s="13"/>
      <c r="BKI762" s="13"/>
      <c r="BKJ762" s="13"/>
      <c r="BKK762" s="13"/>
      <c r="BKL762" s="13"/>
      <c r="BKM762" s="13"/>
      <c r="BKN762" s="13"/>
      <c r="BKO762" s="13"/>
      <c r="BKP762" s="13"/>
      <c r="BKQ762" s="13"/>
      <c r="BKR762" s="13"/>
      <c r="BKS762" s="13"/>
      <c r="BKT762" s="13"/>
      <c r="BKU762" s="13"/>
      <c r="BKV762" s="13"/>
      <c r="BKW762" s="13"/>
      <c r="BKX762" s="13"/>
      <c r="BKY762" s="13"/>
      <c r="BKZ762" s="13"/>
      <c r="BLA762" s="13"/>
      <c r="BLB762" s="13"/>
      <c r="BLC762" s="13"/>
      <c r="BLD762" s="13"/>
      <c r="BLE762" s="13"/>
      <c r="BLF762" s="13"/>
      <c r="BLG762" s="13"/>
      <c r="BLH762" s="13"/>
      <c r="BLI762" s="13"/>
      <c r="BLJ762" s="13"/>
      <c r="BLK762" s="13"/>
      <c r="BLL762" s="13"/>
      <c r="BLM762" s="13"/>
      <c r="BLN762" s="13"/>
      <c r="BLO762" s="13"/>
      <c r="BLP762" s="13"/>
      <c r="BLQ762" s="13"/>
      <c r="BLR762" s="13"/>
      <c r="BLS762" s="13"/>
      <c r="BLT762" s="13"/>
      <c r="BLU762" s="13"/>
      <c r="BLV762" s="13"/>
      <c r="BLW762" s="13"/>
      <c r="BLX762" s="13"/>
      <c r="BLY762" s="13"/>
      <c r="BLZ762" s="13"/>
      <c r="BMA762" s="13"/>
      <c r="BMB762" s="13"/>
      <c r="BMC762" s="13"/>
      <c r="BMD762" s="13"/>
      <c r="BME762" s="13"/>
      <c r="BMF762" s="13"/>
      <c r="BMG762" s="13"/>
      <c r="BMH762" s="13"/>
      <c r="BMI762" s="13"/>
      <c r="BMJ762" s="13"/>
      <c r="BMK762" s="13"/>
      <c r="BML762" s="13"/>
      <c r="BMM762" s="13"/>
      <c r="BMN762" s="13"/>
      <c r="BMO762" s="13"/>
      <c r="BMP762" s="13"/>
      <c r="BMQ762" s="13"/>
      <c r="BMR762" s="13"/>
      <c r="BMS762" s="13"/>
      <c r="BMT762" s="13"/>
      <c r="BMU762" s="13"/>
      <c r="BMV762" s="13"/>
      <c r="BMW762" s="13"/>
      <c r="BMX762" s="13"/>
      <c r="BMY762" s="13"/>
      <c r="BMZ762" s="13"/>
      <c r="BNA762" s="13"/>
      <c r="BNB762" s="13"/>
      <c r="BNC762" s="13"/>
      <c r="BND762" s="13"/>
      <c r="BNE762" s="13"/>
      <c r="BNF762" s="13"/>
      <c r="BNG762" s="13"/>
      <c r="BNH762" s="13"/>
      <c r="BNI762" s="13"/>
      <c r="BNJ762" s="13"/>
      <c r="BNK762" s="13"/>
      <c r="BNL762" s="13"/>
      <c r="BNM762" s="13"/>
      <c r="BNN762" s="13"/>
      <c r="BNO762" s="13"/>
      <c r="BNP762" s="13"/>
      <c r="BNQ762" s="13"/>
      <c r="BNR762" s="13"/>
      <c r="BNS762" s="13"/>
      <c r="BNT762" s="13"/>
      <c r="BNU762" s="13"/>
      <c r="BNV762" s="13"/>
      <c r="BNW762" s="13"/>
      <c r="BNX762" s="13"/>
      <c r="BNY762" s="13"/>
      <c r="BNZ762" s="13"/>
      <c r="BOA762" s="13"/>
      <c r="BOB762" s="13"/>
      <c r="BOC762" s="13"/>
      <c r="BOD762" s="13"/>
      <c r="BOE762" s="13"/>
      <c r="BOF762" s="13"/>
      <c r="BOG762" s="13"/>
      <c r="BOH762" s="13"/>
      <c r="BOI762" s="13"/>
      <c r="BOJ762" s="13"/>
      <c r="BOK762" s="13"/>
      <c r="BOL762" s="13"/>
      <c r="BOM762" s="13"/>
      <c r="BON762" s="13"/>
      <c r="BOO762" s="13"/>
      <c r="BOP762" s="13"/>
      <c r="BOQ762" s="13"/>
      <c r="BOR762" s="13"/>
      <c r="BOS762" s="13"/>
      <c r="BOT762" s="13"/>
      <c r="BOU762" s="13"/>
      <c r="BOV762" s="13"/>
      <c r="BOW762" s="13"/>
      <c r="BOX762" s="13"/>
      <c r="BOY762" s="13"/>
      <c r="BOZ762" s="13"/>
      <c r="BPA762" s="13"/>
      <c r="BPB762" s="13"/>
      <c r="BPC762" s="13"/>
      <c r="BPD762" s="13"/>
      <c r="BPE762" s="13"/>
      <c r="BPF762" s="13"/>
      <c r="BPG762" s="13"/>
      <c r="BPH762" s="13"/>
      <c r="BPI762" s="13"/>
      <c r="BPJ762" s="13"/>
      <c r="BPK762" s="13"/>
      <c r="BPL762" s="13"/>
      <c r="BPM762" s="13"/>
      <c r="BPN762" s="13"/>
      <c r="BPO762" s="13"/>
      <c r="BPP762" s="13"/>
      <c r="BPQ762" s="13"/>
      <c r="BPR762" s="13"/>
      <c r="BPS762" s="13"/>
      <c r="BPT762" s="13"/>
      <c r="BPU762" s="13"/>
      <c r="BPV762" s="13"/>
      <c r="BPW762" s="13"/>
      <c r="BPX762" s="13"/>
      <c r="BPY762" s="13"/>
      <c r="BPZ762" s="13"/>
      <c r="BQA762" s="13"/>
      <c r="BQB762" s="13"/>
      <c r="BQC762" s="13"/>
      <c r="BQD762" s="13"/>
      <c r="BQE762" s="13"/>
      <c r="BQF762" s="13"/>
      <c r="BQG762" s="13"/>
      <c r="BQH762" s="13"/>
      <c r="BQI762" s="13"/>
      <c r="BQJ762" s="13"/>
      <c r="BQK762" s="13"/>
      <c r="BQL762" s="13"/>
      <c r="BQM762" s="13"/>
      <c r="BQN762" s="13"/>
      <c r="BQO762" s="13"/>
      <c r="BQP762" s="13"/>
      <c r="BQQ762" s="13"/>
      <c r="BQR762" s="13"/>
      <c r="BQS762" s="13"/>
      <c r="BQT762" s="13"/>
      <c r="BQU762" s="13"/>
      <c r="BQV762" s="13"/>
      <c r="BQW762" s="13"/>
      <c r="BQX762" s="13"/>
      <c r="BQY762" s="13"/>
      <c r="BQZ762" s="13"/>
      <c r="BRA762" s="13"/>
      <c r="BRB762" s="13"/>
      <c r="BRC762" s="13"/>
      <c r="BRD762" s="13"/>
      <c r="BRE762" s="13"/>
      <c r="BRF762" s="13"/>
      <c r="BRG762" s="13"/>
      <c r="BRH762" s="13"/>
      <c r="BRI762" s="13"/>
      <c r="BRJ762" s="13"/>
      <c r="BRK762" s="13"/>
      <c r="BRL762" s="13"/>
      <c r="BRM762" s="13"/>
      <c r="BRN762" s="13"/>
      <c r="BRO762" s="13"/>
      <c r="BRP762" s="13"/>
      <c r="BRQ762" s="13"/>
      <c r="BRR762" s="13"/>
      <c r="BRS762" s="13"/>
      <c r="BRT762" s="13"/>
      <c r="BRU762" s="13"/>
      <c r="BRV762" s="13"/>
      <c r="BRW762" s="13"/>
      <c r="BRX762" s="13"/>
      <c r="BRY762" s="13"/>
      <c r="BRZ762" s="13"/>
      <c r="BSA762" s="13"/>
      <c r="BSB762" s="13"/>
      <c r="BSC762" s="13"/>
      <c r="BSD762" s="13"/>
      <c r="BSE762" s="13"/>
      <c r="BSF762" s="13"/>
      <c r="BSG762" s="13"/>
      <c r="BSH762" s="13"/>
      <c r="BSI762" s="13"/>
      <c r="BSJ762" s="13"/>
      <c r="BSK762" s="13"/>
      <c r="BSL762" s="13"/>
      <c r="BSM762" s="13"/>
      <c r="BSN762" s="13"/>
      <c r="BSO762" s="13"/>
      <c r="BSP762" s="13"/>
      <c r="BSQ762" s="13"/>
      <c r="BSR762" s="13"/>
      <c r="BSS762" s="13"/>
      <c r="BST762" s="13"/>
      <c r="BSU762" s="13"/>
      <c r="BSV762" s="13"/>
      <c r="BSW762" s="13"/>
      <c r="BSX762" s="13"/>
      <c r="BSY762" s="13"/>
      <c r="BSZ762" s="13"/>
      <c r="BTA762" s="13"/>
    </row>
    <row r="763" spans="1:1873" s="13" customFormat="1" ht="11.45" customHeight="1" x14ac:dyDescent="0.2">
      <c r="A763" s="283" t="s">
        <v>1389</v>
      </c>
      <c r="B763" s="249" t="s">
        <v>810</v>
      </c>
      <c r="C763" s="249" t="s">
        <v>1453</v>
      </c>
      <c r="D763" s="283" t="s">
        <v>619</v>
      </c>
      <c r="E763" s="306" t="s">
        <v>1393</v>
      </c>
      <c r="F763" s="283">
        <v>1</v>
      </c>
      <c r="G763" s="251">
        <v>6</v>
      </c>
      <c r="H763" s="251">
        <v>7</v>
      </c>
      <c r="I763" s="249" t="s">
        <v>807</v>
      </c>
      <c r="J763" s="249">
        <v>1997</v>
      </c>
      <c r="K763" s="249" t="s">
        <v>1211</v>
      </c>
      <c r="L763" s="249">
        <v>2002</v>
      </c>
      <c r="M763" s="253">
        <v>-9999</v>
      </c>
      <c r="N763" s="249">
        <v>-9999</v>
      </c>
      <c r="O763" s="18"/>
      <c r="P763" s="284">
        <f>+T763*G763</f>
        <v>125.39999999999999</v>
      </c>
      <c r="Q763" s="249">
        <v>-9999</v>
      </c>
      <c r="R763" s="253"/>
      <c r="S763" s="249"/>
      <c r="T763" s="426">
        <v>20.9</v>
      </c>
      <c r="U763" s="249">
        <v>1.29</v>
      </c>
      <c r="V763" s="249"/>
      <c r="W763" s="253">
        <v>-9999</v>
      </c>
      <c r="X763" s="249">
        <v>-9999</v>
      </c>
      <c r="Y763" s="249"/>
      <c r="Z763" s="249" t="s">
        <v>808</v>
      </c>
      <c r="AA763" s="384">
        <v>1075</v>
      </c>
      <c r="AB763" s="253">
        <v>1</v>
      </c>
      <c r="AC763" s="249">
        <v>-9999</v>
      </c>
      <c r="AD763" s="249">
        <v>18.600000000000001</v>
      </c>
      <c r="AE763" s="249" t="s">
        <v>1738</v>
      </c>
      <c r="AF763" s="249">
        <v>10</v>
      </c>
      <c r="AG763" s="249" t="s">
        <v>1033</v>
      </c>
      <c r="AH763" s="249" t="s">
        <v>1034</v>
      </c>
      <c r="AI763" s="249" t="s">
        <v>1739</v>
      </c>
      <c r="AJ763" s="249">
        <v>-9999</v>
      </c>
      <c r="AK763" s="249" t="s">
        <v>626</v>
      </c>
      <c r="AL763" s="249" t="s">
        <v>828</v>
      </c>
      <c r="AM763" s="249">
        <v>-9999</v>
      </c>
      <c r="AN763" s="249" t="s">
        <v>631</v>
      </c>
      <c r="AO763" s="249">
        <v>-9999</v>
      </c>
      <c r="AP763" s="249">
        <v>-9999</v>
      </c>
      <c r="AQ763" s="249" t="s">
        <v>631</v>
      </c>
      <c r="AR763" s="249">
        <v>0</v>
      </c>
      <c r="AS763" s="249">
        <v>-9999</v>
      </c>
      <c r="AT763" s="249">
        <v>-9999</v>
      </c>
      <c r="AU763" s="249">
        <v>0</v>
      </c>
      <c r="AV763" s="249">
        <v>-9999</v>
      </c>
      <c r="AW763" s="249">
        <v>-9999</v>
      </c>
      <c r="AX763" s="249">
        <v>0</v>
      </c>
      <c r="AY763" s="249">
        <v>-9999</v>
      </c>
      <c r="AZ763" s="249">
        <v>-9999</v>
      </c>
      <c r="BA763" s="249">
        <v>-9988</v>
      </c>
      <c r="BB763" s="249" t="s">
        <v>626</v>
      </c>
      <c r="BC763" s="249">
        <v>-9999</v>
      </c>
      <c r="BD763" s="249">
        <v>-9999</v>
      </c>
      <c r="BE763" s="249">
        <v>-9999</v>
      </c>
      <c r="BF763" s="249">
        <v>-9999</v>
      </c>
      <c r="BG763" s="249">
        <v>-9999</v>
      </c>
      <c r="BH763" s="249">
        <v>-9999</v>
      </c>
      <c r="BI763" s="249" t="s">
        <v>1035</v>
      </c>
      <c r="BJ763" s="249">
        <v>-9999</v>
      </c>
      <c r="BK763" s="249">
        <v>-9999</v>
      </c>
      <c r="BL763" s="249">
        <v>-9999</v>
      </c>
      <c r="BM763" s="249">
        <v>-9999</v>
      </c>
      <c r="BN763" s="249">
        <v>-9999</v>
      </c>
      <c r="BO763" s="249">
        <v>-9999</v>
      </c>
      <c r="BP763" s="249">
        <v>-9999</v>
      </c>
      <c r="BQ763" s="249">
        <v>-9999</v>
      </c>
      <c r="BR763" s="249">
        <v>-9999</v>
      </c>
      <c r="BS763" s="251">
        <v>-9999</v>
      </c>
      <c r="BT763" s="249">
        <v>-9999</v>
      </c>
      <c r="BU763" s="249">
        <v>-9999</v>
      </c>
      <c r="BV763" s="249">
        <v>-9999</v>
      </c>
      <c r="BW763" s="249"/>
      <c r="BX763" s="249">
        <v>-9999</v>
      </c>
      <c r="BY763" s="249">
        <v>-9999</v>
      </c>
      <c r="BZ763" s="249">
        <v>-9999</v>
      </c>
      <c r="CA763" s="335" t="s">
        <v>797</v>
      </c>
      <c r="CB763" s="254"/>
      <c r="CC763" s="283">
        <v>1</v>
      </c>
      <c r="CD763" s="251">
        <v>6</v>
      </c>
      <c r="CE763" s="99">
        <v>20.9</v>
      </c>
      <c r="CF763" s="99"/>
      <c r="CG763" s="251">
        <v>7</v>
      </c>
    </row>
    <row r="764" spans="1:1873" s="13" customFormat="1" x14ac:dyDescent="0.2">
      <c r="A764" s="283" t="s">
        <v>1389</v>
      </c>
      <c r="B764" s="249" t="s">
        <v>811</v>
      </c>
      <c r="C764" s="249" t="s">
        <v>1455</v>
      </c>
      <c r="D764" s="283" t="s">
        <v>619</v>
      </c>
      <c r="E764" s="306" t="s">
        <v>1394</v>
      </c>
      <c r="F764" s="283">
        <v>1</v>
      </c>
      <c r="G764" s="251">
        <v>7</v>
      </c>
      <c r="H764" s="251">
        <v>8</v>
      </c>
      <c r="I764" s="249" t="s">
        <v>807</v>
      </c>
      <c r="J764" s="249">
        <v>1997</v>
      </c>
      <c r="K764" s="249" t="s">
        <v>1211</v>
      </c>
      <c r="L764" s="249">
        <v>2003</v>
      </c>
      <c r="M764" s="253">
        <v>-9999</v>
      </c>
      <c r="N764" s="249">
        <v>-9999</v>
      </c>
      <c r="O764" s="18"/>
      <c r="P764" s="284">
        <f>+T764*G764</f>
        <v>146.01999999999998</v>
      </c>
      <c r="Q764" s="249">
        <v>-9999</v>
      </c>
      <c r="R764" s="253"/>
      <c r="S764" s="249"/>
      <c r="T764" s="426">
        <v>20.86</v>
      </c>
      <c r="U764" s="249">
        <v>-9999</v>
      </c>
      <c r="V764" s="249"/>
      <c r="W764" s="253">
        <v>-9999</v>
      </c>
      <c r="X764" s="249">
        <v>-9999</v>
      </c>
      <c r="Y764" s="249"/>
      <c r="Z764" s="249" t="s">
        <v>808</v>
      </c>
      <c r="AA764" s="384">
        <v>1075</v>
      </c>
      <c r="AB764" s="253">
        <v>1</v>
      </c>
      <c r="AC764" s="249">
        <v>-9999</v>
      </c>
      <c r="AD764" s="249">
        <v>18.600000000000001</v>
      </c>
      <c r="AE764" s="249" t="s">
        <v>1738</v>
      </c>
      <c r="AF764" s="249">
        <v>10</v>
      </c>
      <c r="AG764" s="249" t="s">
        <v>1033</v>
      </c>
      <c r="AH764" s="249" t="s">
        <v>1034</v>
      </c>
      <c r="AI764" s="249" t="s">
        <v>1739</v>
      </c>
      <c r="AJ764" s="249">
        <v>-9999</v>
      </c>
      <c r="AK764" s="249" t="s">
        <v>626</v>
      </c>
      <c r="AL764" s="249" t="s">
        <v>828</v>
      </c>
      <c r="AM764" s="249">
        <v>-9999</v>
      </c>
      <c r="AN764" s="249" t="s">
        <v>631</v>
      </c>
      <c r="AO764" s="249">
        <v>-9999</v>
      </c>
      <c r="AP764" s="249">
        <v>-9999</v>
      </c>
      <c r="AQ764" s="249" t="s">
        <v>631</v>
      </c>
      <c r="AR764" s="249">
        <v>0</v>
      </c>
      <c r="AS764" s="249">
        <v>-9999</v>
      </c>
      <c r="AT764" s="249">
        <v>-9999</v>
      </c>
      <c r="AU764" s="249">
        <v>0</v>
      </c>
      <c r="AV764" s="249">
        <v>-9999</v>
      </c>
      <c r="AW764" s="249">
        <v>-9999</v>
      </c>
      <c r="AX764" s="249">
        <v>0</v>
      </c>
      <c r="AY764" s="249">
        <v>-9999</v>
      </c>
      <c r="AZ764" s="249">
        <v>-9999</v>
      </c>
      <c r="BA764" s="249">
        <v>-9988</v>
      </c>
      <c r="BB764" s="249" t="s">
        <v>626</v>
      </c>
      <c r="BC764" s="249">
        <v>-9999</v>
      </c>
      <c r="BD764" s="249">
        <v>-9999</v>
      </c>
      <c r="BE764" s="249">
        <v>-9999</v>
      </c>
      <c r="BF764" s="249">
        <v>-9999</v>
      </c>
      <c r="BG764" s="249">
        <v>-9999</v>
      </c>
      <c r="BH764" s="249">
        <v>-9999</v>
      </c>
      <c r="BI764" s="249" t="s">
        <v>1035</v>
      </c>
      <c r="BJ764" s="249">
        <v>-9999</v>
      </c>
      <c r="BK764" s="249">
        <v>-9999</v>
      </c>
      <c r="BL764" s="249">
        <v>-9999</v>
      </c>
      <c r="BM764" s="249">
        <v>-9999</v>
      </c>
      <c r="BN764" s="249">
        <v>-9999</v>
      </c>
      <c r="BO764" s="249">
        <v>-9999</v>
      </c>
      <c r="BP764" s="249">
        <v>-9999</v>
      </c>
      <c r="BQ764" s="249">
        <v>-9999</v>
      </c>
      <c r="BR764" s="249">
        <v>-9999</v>
      </c>
      <c r="BS764" s="251">
        <v>-9999</v>
      </c>
      <c r="BT764" s="249">
        <v>-9999</v>
      </c>
      <c r="BU764" s="249">
        <v>-9999</v>
      </c>
      <c r="BV764" s="249">
        <v>-9999</v>
      </c>
      <c r="BW764" s="249"/>
      <c r="BX764" s="249">
        <v>-9999</v>
      </c>
      <c r="BY764" s="249">
        <v>-9999</v>
      </c>
      <c r="BZ764" s="249">
        <v>-9999</v>
      </c>
      <c r="CA764" s="335" t="s">
        <v>797</v>
      </c>
      <c r="CB764" s="254"/>
      <c r="CC764" s="283">
        <v>1</v>
      </c>
      <c r="CD764" s="251">
        <v>7</v>
      </c>
      <c r="CE764" s="99">
        <v>20.86</v>
      </c>
      <c r="CF764" s="99">
        <v>-9999</v>
      </c>
      <c r="CG764" s="251">
        <v>8</v>
      </c>
    </row>
    <row r="765" spans="1:1873" s="23" customFormat="1" x14ac:dyDescent="0.2">
      <c r="A765" s="25"/>
      <c r="B765" s="223"/>
      <c r="C765" s="223"/>
      <c r="D765" s="240"/>
      <c r="E765" s="240"/>
      <c r="F765" s="240"/>
      <c r="G765" s="240"/>
      <c r="H765" s="242"/>
      <c r="I765" s="223"/>
      <c r="J765" s="223"/>
      <c r="K765" s="223"/>
      <c r="L765" s="223"/>
      <c r="M765" s="243"/>
      <c r="N765" s="223"/>
      <c r="O765" s="29"/>
      <c r="P765" s="244"/>
      <c r="Q765" s="223"/>
      <c r="R765" s="243"/>
      <c r="S765" s="223"/>
      <c r="T765" s="421"/>
      <c r="U765" s="223"/>
      <c r="V765" s="223"/>
      <c r="W765" s="243"/>
      <c r="X765" s="223"/>
      <c r="Y765" s="223"/>
      <c r="Z765" s="223"/>
      <c r="AA765" s="242"/>
      <c r="AB765" s="243"/>
      <c r="AC765" s="223"/>
      <c r="AD765" s="223"/>
      <c r="AE765" s="223"/>
      <c r="AF765" s="223"/>
      <c r="AG765" s="223"/>
      <c r="AH765" s="223"/>
      <c r="AI765" s="404"/>
      <c r="AJ765" s="223"/>
      <c r="AK765" s="223"/>
      <c r="AL765" s="223"/>
      <c r="AM765" s="223"/>
      <c r="AN765" s="223"/>
      <c r="AO765" s="223"/>
      <c r="AP765" s="223"/>
      <c r="AQ765" s="223"/>
      <c r="AR765" s="223"/>
      <c r="AS765" s="223"/>
      <c r="AT765" s="223"/>
      <c r="AU765" s="223"/>
      <c r="AV765" s="223"/>
      <c r="AW765" s="223"/>
      <c r="AX765" s="223"/>
      <c r="AY765" s="223"/>
      <c r="AZ765" s="223"/>
      <c r="BA765" s="223"/>
      <c r="BB765" s="223"/>
      <c r="BC765" s="223"/>
      <c r="BD765" s="223"/>
      <c r="BE765" s="223"/>
      <c r="BF765" s="223"/>
      <c r="BG765" s="223"/>
      <c r="BH765" s="223"/>
      <c r="BI765" s="223"/>
      <c r="BJ765" s="223"/>
      <c r="BK765" s="223"/>
      <c r="BL765" s="223"/>
      <c r="BM765" s="223"/>
      <c r="BN765" s="243"/>
      <c r="BO765" s="223"/>
      <c r="BP765" s="223"/>
      <c r="BQ765" s="223"/>
      <c r="BR765" s="223"/>
      <c r="BS765" s="242"/>
      <c r="BT765" s="223"/>
      <c r="BU765" s="223"/>
      <c r="BV765" s="223"/>
      <c r="BW765" s="223"/>
      <c r="BX765" s="223"/>
      <c r="BY765" s="223"/>
      <c r="BZ765" s="223"/>
      <c r="CA765" s="334"/>
      <c r="CB765" s="247"/>
      <c r="CC765" s="240"/>
      <c r="CD765" s="25"/>
      <c r="CE765" s="342" t="s">
        <v>1576</v>
      </c>
      <c r="CF765" s="342" t="s">
        <v>1575</v>
      </c>
      <c r="CG765" s="84"/>
    </row>
    <row r="766" spans="1:1873" s="23" customFormat="1" x14ac:dyDescent="0.2">
      <c r="A766" s="403" t="s">
        <v>1389</v>
      </c>
      <c r="B766" s="404" t="s">
        <v>806</v>
      </c>
      <c r="C766" s="404" t="s">
        <v>1749</v>
      </c>
      <c r="D766" s="403" t="s">
        <v>619</v>
      </c>
      <c r="E766" s="403" t="s">
        <v>1735</v>
      </c>
      <c r="F766" s="240">
        <v>1</v>
      </c>
      <c r="G766" s="240">
        <v>3</v>
      </c>
      <c r="H766" s="242">
        <v>4</v>
      </c>
      <c r="I766" s="404" t="s">
        <v>807</v>
      </c>
      <c r="J766" s="404">
        <v>1997</v>
      </c>
      <c r="K766" s="404" t="s">
        <v>1211</v>
      </c>
      <c r="L766" s="223">
        <v>1999</v>
      </c>
      <c r="M766" s="406">
        <v>-9999</v>
      </c>
      <c r="N766" s="405">
        <v>-9999</v>
      </c>
      <c r="O766" s="291"/>
      <c r="P766" s="244">
        <f t="shared" ref="P766:P771" si="88">+T766*G766</f>
        <v>9.7200000000000006</v>
      </c>
      <c r="Q766" s="223">
        <v>-9999</v>
      </c>
      <c r="R766" s="243"/>
      <c r="S766" s="223"/>
      <c r="T766" s="421">
        <v>3.24</v>
      </c>
      <c r="U766" s="223">
        <v>-9999</v>
      </c>
      <c r="V766" s="223"/>
      <c r="W766" s="243">
        <v>-9999</v>
      </c>
      <c r="X766" s="223">
        <v>-9999</v>
      </c>
      <c r="Y766" s="223"/>
      <c r="Z766" s="404" t="s">
        <v>808</v>
      </c>
      <c r="AA766" s="564">
        <v>1075</v>
      </c>
      <c r="AB766" s="406">
        <v>1</v>
      </c>
      <c r="AC766" s="404">
        <v>-9999</v>
      </c>
      <c r="AD766" s="404">
        <v>18.600000000000001</v>
      </c>
      <c r="AE766" s="404" t="s">
        <v>1738</v>
      </c>
      <c r="AF766" s="404">
        <v>5</v>
      </c>
      <c r="AG766" s="404" t="s">
        <v>1740</v>
      </c>
      <c r="AH766" s="404" t="s">
        <v>1034</v>
      </c>
      <c r="AI766" s="404" t="s">
        <v>1739</v>
      </c>
      <c r="AJ766" s="404">
        <v>-9999</v>
      </c>
      <c r="AK766" s="404" t="s">
        <v>626</v>
      </c>
      <c r="AL766" s="404" t="s">
        <v>828</v>
      </c>
      <c r="AM766" s="404">
        <v>-9999</v>
      </c>
      <c r="AN766" s="404" t="s">
        <v>631</v>
      </c>
      <c r="AO766" s="404">
        <v>-9999</v>
      </c>
      <c r="AP766" s="404">
        <v>-9999</v>
      </c>
      <c r="AQ766" s="404" t="s">
        <v>631</v>
      </c>
      <c r="AR766" s="404">
        <v>0</v>
      </c>
      <c r="AS766" s="404">
        <v>-9999</v>
      </c>
      <c r="AT766" s="404">
        <v>-9999</v>
      </c>
      <c r="AU766" s="404">
        <v>0</v>
      </c>
      <c r="AV766" s="404">
        <v>-9999</v>
      </c>
      <c r="AW766" s="404">
        <v>-9999</v>
      </c>
      <c r="AX766" s="404">
        <v>0</v>
      </c>
      <c r="AY766" s="404">
        <v>-9999</v>
      </c>
      <c r="AZ766" s="404">
        <v>-9999</v>
      </c>
      <c r="BA766" s="404">
        <v>-9988</v>
      </c>
      <c r="BB766" s="404" t="s">
        <v>626</v>
      </c>
      <c r="BC766" s="404">
        <v>-9999</v>
      </c>
      <c r="BD766" s="404">
        <v>-9999</v>
      </c>
      <c r="BE766" s="404">
        <v>-9999</v>
      </c>
      <c r="BF766" s="404">
        <v>-9999</v>
      </c>
      <c r="BG766" s="404">
        <v>-9999</v>
      </c>
      <c r="BH766" s="404">
        <v>-9999</v>
      </c>
      <c r="BI766" s="404" t="s">
        <v>1035</v>
      </c>
      <c r="BJ766" s="404">
        <v>-9999</v>
      </c>
      <c r="BK766" s="404">
        <v>-9999</v>
      </c>
      <c r="BL766" s="404">
        <v>-9999</v>
      </c>
      <c r="BM766" s="404">
        <v>-9999</v>
      </c>
      <c r="BN766" s="404">
        <v>-9999</v>
      </c>
      <c r="BO766" s="404">
        <v>-9999</v>
      </c>
      <c r="BP766" s="404">
        <v>-9999</v>
      </c>
      <c r="BQ766" s="404">
        <v>-9999</v>
      </c>
      <c r="BR766" s="404">
        <v>-9999</v>
      </c>
      <c r="BS766" s="405">
        <v>-9999</v>
      </c>
      <c r="BT766" s="404">
        <v>-9999</v>
      </c>
      <c r="BU766" s="404">
        <v>-9999</v>
      </c>
      <c r="BV766" s="404">
        <v>-9999</v>
      </c>
      <c r="BW766" s="404"/>
      <c r="BX766" s="404">
        <v>-9999</v>
      </c>
      <c r="BY766" s="404">
        <v>-9999</v>
      </c>
      <c r="BZ766" s="404">
        <v>-9999</v>
      </c>
      <c r="CA766" s="407" t="s">
        <v>797</v>
      </c>
      <c r="CB766" s="247"/>
      <c r="CC766" s="240"/>
      <c r="CD766" s="25">
        <v>3</v>
      </c>
      <c r="CE766" s="1">
        <v>3.24</v>
      </c>
      <c r="CF766" s="342"/>
      <c r="CG766" s="84">
        <v>4</v>
      </c>
    </row>
    <row r="767" spans="1:1873" s="23" customFormat="1" x14ac:dyDescent="0.2">
      <c r="A767" s="403" t="s">
        <v>1389</v>
      </c>
      <c r="B767" s="404" t="s">
        <v>806</v>
      </c>
      <c r="C767" s="404" t="s">
        <v>1749</v>
      </c>
      <c r="D767" s="403" t="s">
        <v>619</v>
      </c>
      <c r="E767" s="403" t="s">
        <v>1735</v>
      </c>
      <c r="F767" s="240">
        <v>1</v>
      </c>
      <c r="G767" s="240">
        <v>4</v>
      </c>
      <c r="H767" s="242">
        <v>5</v>
      </c>
      <c r="I767" s="404" t="s">
        <v>807</v>
      </c>
      <c r="J767" s="404">
        <v>1997</v>
      </c>
      <c r="K767" s="404" t="s">
        <v>1211</v>
      </c>
      <c r="L767" s="223">
        <v>2000</v>
      </c>
      <c r="M767" s="406">
        <v>-9999</v>
      </c>
      <c r="N767" s="405">
        <v>-9999</v>
      </c>
      <c r="O767" s="291"/>
      <c r="P767" s="244">
        <f t="shared" si="88"/>
        <v>18.48</v>
      </c>
      <c r="Q767" s="223">
        <v>-9999</v>
      </c>
      <c r="R767" s="243"/>
      <c r="S767" s="223"/>
      <c r="T767" s="421">
        <v>4.62</v>
      </c>
      <c r="U767" s="223">
        <v>-9999</v>
      </c>
      <c r="V767" s="223"/>
      <c r="W767" s="285">
        <f>+P767-P766</f>
        <v>8.76</v>
      </c>
      <c r="X767" s="223">
        <v>-9999</v>
      </c>
      <c r="Y767" s="223"/>
      <c r="Z767" s="404" t="s">
        <v>808</v>
      </c>
      <c r="AA767" s="564">
        <v>1075</v>
      </c>
      <c r="AB767" s="406">
        <v>1</v>
      </c>
      <c r="AC767" s="404">
        <v>-9999</v>
      </c>
      <c r="AD767" s="404">
        <v>18.600000000000001</v>
      </c>
      <c r="AE767" s="404" t="s">
        <v>1738</v>
      </c>
      <c r="AF767" s="404">
        <v>5</v>
      </c>
      <c r="AG767" s="404" t="s">
        <v>1740</v>
      </c>
      <c r="AH767" s="404" t="s">
        <v>1034</v>
      </c>
      <c r="AI767" s="404" t="s">
        <v>1739</v>
      </c>
      <c r="AJ767" s="404">
        <v>-9999</v>
      </c>
      <c r="AK767" s="404" t="s">
        <v>626</v>
      </c>
      <c r="AL767" s="404" t="s">
        <v>828</v>
      </c>
      <c r="AM767" s="404">
        <v>-9999</v>
      </c>
      <c r="AN767" s="404" t="s">
        <v>631</v>
      </c>
      <c r="AO767" s="404">
        <v>-9999</v>
      </c>
      <c r="AP767" s="404">
        <v>-9999</v>
      </c>
      <c r="AQ767" s="404" t="s">
        <v>631</v>
      </c>
      <c r="AR767" s="404">
        <v>0</v>
      </c>
      <c r="AS767" s="404">
        <v>-9999</v>
      </c>
      <c r="AT767" s="404">
        <v>-9999</v>
      </c>
      <c r="AU767" s="404">
        <v>0</v>
      </c>
      <c r="AV767" s="404">
        <v>-9999</v>
      </c>
      <c r="AW767" s="404">
        <v>-9999</v>
      </c>
      <c r="AX767" s="404">
        <v>0</v>
      </c>
      <c r="AY767" s="404">
        <v>-9999</v>
      </c>
      <c r="AZ767" s="404">
        <v>-9999</v>
      </c>
      <c r="BA767" s="404">
        <v>-9988</v>
      </c>
      <c r="BB767" s="404" t="s">
        <v>626</v>
      </c>
      <c r="BC767" s="404">
        <v>-9999</v>
      </c>
      <c r="BD767" s="404">
        <v>-9999</v>
      </c>
      <c r="BE767" s="404">
        <v>-9999</v>
      </c>
      <c r="BF767" s="404">
        <v>-9999</v>
      </c>
      <c r="BG767" s="404">
        <v>-9999</v>
      </c>
      <c r="BH767" s="404">
        <v>-9999</v>
      </c>
      <c r="BI767" s="404" t="s">
        <v>1035</v>
      </c>
      <c r="BJ767" s="404">
        <v>-9999</v>
      </c>
      <c r="BK767" s="404">
        <v>-9999</v>
      </c>
      <c r="BL767" s="404">
        <v>-9999</v>
      </c>
      <c r="BM767" s="404">
        <v>-9999</v>
      </c>
      <c r="BN767" s="404">
        <v>-9999</v>
      </c>
      <c r="BO767" s="404">
        <v>-9999</v>
      </c>
      <c r="BP767" s="404">
        <v>-9999</v>
      </c>
      <c r="BQ767" s="404">
        <v>-9999</v>
      </c>
      <c r="BR767" s="404">
        <v>-9999</v>
      </c>
      <c r="BS767" s="405">
        <v>-9999</v>
      </c>
      <c r="BT767" s="404">
        <v>-9999</v>
      </c>
      <c r="BU767" s="404">
        <v>-9999</v>
      </c>
      <c r="BV767" s="404">
        <v>-9999</v>
      </c>
      <c r="BW767" s="404"/>
      <c r="BX767" s="404">
        <v>-9999</v>
      </c>
      <c r="BY767" s="404">
        <v>-9999</v>
      </c>
      <c r="BZ767" s="404">
        <v>-9999</v>
      </c>
      <c r="CA767" s="407" t="s">
        <v>797</v>
      </c>
      <c r="CB767" s="247"/>
      <c r="CC767" s="240"/>
      <c r="CD767" s="25">
        <v>4</v>
      </c>
      <c r="CE767" s="1">
        <v>4.62</v>
      </c>
      <c r="CF767" s="31">
        <v>8.76</v>
      </c>
      <c r="CG767" s="84">
        <v>5</v>
      </c>
    </row>
    <row r="768" spans="1:1873" s="23" customFormat="1" x14ac:dyDescent="0.2">
      <c r="A768" s="403" t="s">
        <v>1389</v>
      </c>
      <c r="B768" s="404" t="s">
        <v>806</v>
      </c>
      <c r="C768" s="404" t="s">
        <v>1749</v>
      </c>
      <c r="D768" s="403" t="s">
        <v>619</v>
      </c>
      <c r="E768" s="403" t="s">
        <v>1735</v>
      </c>
      <c r="F768" s="240">
        <v>1</v>
      </c>
      <c r="G768" s="240">
        <v>5</v>
      </c>
      <c r="H768" s="242">
        <v>6</v>
      </c>
      <c r="I768" s="404" t="s">
        <v>807</v>
      </c>
      <c r="J768" s="404">
        <v>1997</v>
      </c>
      <c r="K768" s="404" t="s">
        <v>1211</v>
      </c>
      <c r="L768" s="223">
        <v>2001</v>
      </c>
      <c r="M768" s="406">
        <v>-9999</v>
      </c>
      <c r="N768" s="405">
        <v>-9999</v>
      </c>
      <c r="O768" s="291"/>
      <c r="P768" s="244">
        <f t="shared" si="88"/>
        <v>31.099999999999998</v>
      </c>
      <c r="Q768" s="223">
        <v>-9999</v>
      </c>
      <c r="R768" s="243"/>
      <c r="S768" s="223"/>
      <c r="T768" s="421">
        <v>6.22</v>
      </c>
      <c r="U768" s="223">
        <v>-9999</v>
      </c>
      <c r="V768" s="223"/>
      <c r="W768" s="285">
        <f>+P768-P767</f>
        <v>12.619999999999997</v>
      </c>
      <c r="X768" s="223">
        <v>-9999</v>
      </c>
      <c r="Y768" s="223"/>
      <c r="Z768" s="404" t="s">
        <v>808</v>
      </c>
      <c r="AA768" s="564">
        <v>1075</v>
      </c>
      <c r="AB768" s="406">
        <v>1</v>
      </c>
      <c r="AC768" s="404">
        <v>-9999</v>
      </c>
      <c r="AD768" s="404">
        <v>18.600000000000001</v>
      </c>
      <c r="AE768" s="404" t="s">
        <v>1738</v>
      </c>
      <c r="AF768" s="404">
        <v>5</v>
      </c>
      <c r="AG768" s="404" t="s">
        <v>1740</v>
      </c>
      <c r="AH768" s="404" t="s">
        <v>1034</v>
      </c>
      <c r="AI768" s="404" t="s">
        <v>1739</v>
      </c>
      <c r="AJ768" s="404">
        <v>-9999</v>
      </c>
      <c r="AK768" s="404" t="s">
        <v>626</v>
      </c>
      <c r="AL768" s="404" t="s">
        <v>828</v>
      </c>
      <c r="AM768" s="404">
        <v>-9999</v>
      </c>
      <c r="AN768" s="404" t="s">
        <v>631</v>
      </c>
      <c r="AO768" s="404">
        <v>-9999</v>
      </c>
      <c r="AP768" s="404">
        <v>-9999</v>
      </c>
      <c r="AQ768" s="404" t="s">
        <v>631</v>
      </c>
      <c r="AR768" s="404">
        <v>0</v>
      </c>
      <c r="AS768" s="404">
        <v>-9999</v>
      </c>
      <c r="AT768" s="404">
        <v>-9999</v>
      </c>
      <c r="AU768" s="404">
        <v>0</v>
      </c>
      <c r="AV768" s="404">
        <v>-9999</v>
      </c>
      <c r="AW768" s="404">
        <v>-9999</v>
      </c>
      <c r="AX768" s="404">
        <v>0</v>
      </c>
      <c r="AY768" s="404">
        <v>-9999</v>
      </c>
      <c r="AZ768" s="404">
        <v>-9999</v>
      </c>
      <c r="BA768" s="404">
        <v>-9988</v>
      </c>
      <c r="BB768" s="404" t="s">
        <v>626</v>
      </c>
      <c r="BC768" s="404">
        <v>-9999</v>
      </c>
      <c r="BD768" s="404">
        <v>-9999</v>
      </c>
      <c r="BE768" s="404">
        <v>-9999</v>
      </c>
      <c r="BF768" s="404">
        <v>-9999</v>
      </c>
      <c r="BG768" s="404">
        <v>-9999</v>
      </c>
      <c r="BH768" s="404">
        <v>-9999</v>
      </c>
      <c r="BI768" s="404" t="s">
        <v>1035</v>
      </c>
      <c r="BJ768" s="404">
        <v>-9999</v>
      </c>
      <c r="BK768" s="404">
        <v>-9999</v>
      </c>
      <c r="BL768" s="404">
        <v>-9999</v>
      </c>
      <c r="BM768" s="404">
        <v>-9999</v>
      </c>
      <c r="BN768" s="404">
        <v>-9999</v>
      </c>
      <c r="BO768" s="404">
        <v>-9999</v>
      </c>
      <c r="BP768" s="404">
        <v>-9999</v>
      </c>
      <c r="BQ768" s="404">
        <v>-9999</v>
      </c>
      <c r="BR768" s="404">
        <v>-9999</v>
      </c>
      <c r="BS768" s="405">
        <v>-9999</v>
      </c>
      <c r="BT768" s="404">
        <v>-9999</v>
      </c>
      <c r="BU768" s="404">
        <v>-9999</v>
      </c>
      <c r="BV768" s="404">
        <v>-9999</v>
      </c>
      <c r="BW768" s="404"/>
      <c r="BX768" s="404">
        <v>-9999</v>
      </c>
      <c r="BY768" s="404">
        <v>-9999</v>
      </c>
      <c r="BZ768" s="404">
        <v>-9999</v>
      </c>
      <c r="CA768" s="407" t="s">
        <v>797</v>
      </c>
      <c r="CB768" s="247"/>
      <c r="CC768" s="240"/>
      <c r="CD768" s="25">
        <v>5</v>
      </c>
      <c r="CE768" s="1">
        <v>6.22</v>
      </c>
      <c r="CF768" s="31">
        <v>12.619999999999997</v>
      </c>
      <c r="CG768" s="84">
        <v>6</v>
      </c>
    </row>
    <row r="769" spans="1:85" s="23" customFormat="1" x14ac:dyDescent="0.2">
      <c r="A769" s="403" t="s">
        <v>1389</v>
      </c>
      <c r="B769" s="404" t="s">
        <v>806</v>
      </c>
      <c r="C769" s="404" t="s">
        <v>1749</v>
      </c>
      <c r="D769" s="403" t="s">
        <v>619</v>
      </c>
      <c r="E769" s="403" t="s">
        <v>1735</v>
      </c>
      <c r="F769" s="240">
        <v>1</v>
      </c>
      <c r="G769" s="240">
        <v>6</v>
      </c>
      <c r="H769" s="242">
        <v>7</v>
      </c>
      <c r="I769" s="404" t="s">
        <v>807</v>
      </c>
      <c r="J769" s="404">
        <v>1997</v>
      </c>
      <c r="K769" s="404" t="s">
        <v>1211</v>
      </c>
      <c r="L769" s="223">
        <v>2002</v>
      </c>
      <c r="M769" s="406">
        <v>-9999</v>
      </c>
      <c r="N769" s="405">
        <v>-9999</v>
      </c>
      <c r="O769" s="291"/>
      <c r="P769" s="244">
        <f t="shared" si="88"/>
        <v>44.76</v>
      </c>
      <c r="Q769" s="223">
        <v>-9999</v>
      </c>
      <c r="R769" s="243"/>
      <c r="S769" s="223"/>
      <c r="T769" s="421">
        <v>7.46</v>
      </c>
      <c r="U769" s="223">
        <v>-9999</v>
      </c>
      <c r="V769" s="223"/>
      <c r="W769" s="285">
        <f>+P769-P768</f>
        <v>13.66</v>
      </c>
      <c r="X769" s="223">
        <v>-9999</v>
      </c>
      <c r="Y769" s="223"/>
      <c r="Z769" s="404" t="s">
        <v>808</v>
      </c>
      <c r="AA769" s="564">
        <v>1075</v>
      </c>
      <c r="AB769" s="406">
        <v>1</v>
      </c>
      <c r="AC769" s="404">
        <v>-9999</v>
      </c>
      <c r="AD769" s="404">
        <v>18.600000000000001</v>
      </c>
      <c r="AE769" s="404" t="s">
        <v>1738</v>
      </c>
      <c r="AF769" s="404">
        <v>5</v>
      </c>
      <c r="AG769" s="404" t="s">
        <v>1740</v>
      </c>
      <c r="AH769" s="404" t="s">
        <v>1034</v>
      </c>
      <c r="AI769" s="404" t="s">
        <v>1739</v>
      </c>
      <c r="AJ769" s="404">
        <v>-9999</v>
      </c>
      <c r="AK769" s="404" t="s">
        <v>626</v>
      </c>
      <c r="AL769" s="404" t="s">
        <v>828</v>
      </c>
      <c r="AM769" s="404">
        <v>-9999</v>
      </c>
      <c r="AN769" s="404" t="s">
        <v>631</v>
      </c>
      <c r="AO769" s="404">
        <v>-9999</v>
      </c>
      <c r="AP769" s="404">
        <v>-9999</v>
      </c>
      <c r="AQ769" s="404" t="s">
        <v>631</v>
      </c>
      <c r="AR769" s="404">
        <v>0</v>
      </c>
      <c r="AS769" s="404">
        <v>-9999</v>
      </c>
      <c r="AT769" s="404">
        <v>-9999</v>
      </c>
      <c r="AU769" s="404">
        <v>0</v>
      </c>
      <c r="AV769" s="404">
        <v>-9999</v>
      </c>
      <c r="AW769" s="404">
        <v>-9999</v>
      </c>
      <c r="AX769" s="404">
        <v>0</v>
      </c>
      <c r="AY769" s="404">
        <v>-9999</v>
      </c>
      <c r="AZ769" s="404">
        <v>-9999</v>
      </c>
      <c r="BA769" s="404">
        <v>-9988</v>
      </c>
      <c r="BB769" s="404" t="s">
        <v>626</v>
      </c>
      <c r="BC769" s="404">
        <v>-9999</v>
      </c>
      <c r="BD769" s="404">
        <v>-9999</v>
      </c>
      <c r="BE769" s="404">
        <v>-9999</v>
      </c>
      <c r="BF769" s="404">
        <v>-9999</v>
      </c>
      <c r="BG769" s="404">
        <v>-9999</v>
      </c>
      <c r="BH769" s="404">
        <v>-9999</v>
      </c>
      <c r="BI769" s="404" t="s">
        <v>1035</v>
      </c>
      <c r="BJ769" s="404">
        <v>-9999</v>
      </c>
      <c r="BK769" s="404">
        <v>-9999</v>
      </c>
      <c r="BL769" s="404">
        <v>-9999</v>
      </c>
      <c r="BM769" s="404">
        <v>-9999</v>
      </c>
      <c r="BN769" s="404">
        <v>-9999</v>
      </c>
      <c r="BO769" s="404">
        <v>-9999</v>
      </c>
      <c r="BP769" s="404">
        <v>-9999</v>
      </c>
      <c r="BQ769" s="404">
        <v>-9999</v>
      </c>
      <c r="BR769" s="404">
        <v>-9999</v>
      </c>
      <c r="BS769" s="405">
        <v>-9999</v>
      </c>
      <c r="BT769" s="404">
        <v>-9999</v>
      </c>
      <c r="BU769" s="404">
        <v>-9999</v>
      </c>
      <c r="BV769" s="404">
        <v>-9999</v>
      </c>
      <c r="BW769" s="404"/>
      <c r="BX769" s="404">
        <v>-9999</v>
      </c>
      <c r="BY769" s="404">
        <v>-9999</v>
      </c>
      <c r="BZ769" s="404">
        <v>-9999</v>
      </c>
      <c r="CA769" s="407" t="s">
        <v>797</v>
      </c>
      <c r="CB769" s="247"/>
      <c r="CC769" s="240"/>
      <c r="CD769" s="25">
        <v>6</v>
      </c>
      <c r="CE769" s="1">
        <v>7.46</v>
      </c>
      <c r="CF769" s="31">
        <v>13.66</v>
      </c>
      <c r="CG769" s="84">
        <v>7</v>
      </c>
    </row>
    <row r="770" spans="1:85" s="23" customFormat="1" x14ac:dyDescent="0.2">
      <c r="A770" s="403" t="s">
        <v>1389</v>
      </c>
      <c r="B770" s="404" t="s">
        <v>806</v>
      </c>
      <c r="C770" s="404" t="s">
        <v>1749</v>
      </c>
      <c r="D770" s="403" t="s">
        <v>619</v>
      </c>
      <c r="E770" s="403" t="s">
        <v>1735</v>
      </c>
      <c r="F770" s="240">
        <v>1</v>
      </c>
      <c r="G770" s="240">
        <v>7</v>
      </c>
      <c r="H770" s="242">
        <v>8</v>
      </c>
      <c r="I770" s="404" t="s">
        <v>807</v>
      </c>
      <c r="J770" s="404">
        <v>1997</v>
      </c>
      <c r="K770" s="404" t="s">
        <v>1211</v>
      </c>
      <c r="L770" s="223">
        <v>2003</v>
      </c>
      <c r="M770" s="406">
        <v>-9999</v>
      </c>
      <c r="N770" s="405">
        <v>-9999</v>
      </c>
      <c r="O770" s="291"/>
      <c r="P770" s="244">
        <f t="shared" si="88"/>
        <v>56.42</v>
      </c>
      <c r="Q770" s="223">
        <v>-9999</v>
      </c>
      <c r="R770" s="243"/>
      <c r="S770" s="223"/>
      <c r="T770" s="421">
        <v>8.06</v>
      </c>
      <c r="U770" s="223">
        <v>-9999</v>
      </c>
      <c r="V770" s="223"/>
      <c r="W770" s="285">
        <f>+P770-P769</f>
        <v>11.660000000000004</v>
      </c>
      <c r="X770" s="223">
        <v>-9999</v>
      </c>
      <c r="Y770" s="223"/>
      <c r="Z770" s="404" t="s">
        <v>808</v>
      </c>
      <c r="AA770" s="564">
        <v>1075</v>
      </c>
      <c r="AB770" s="406">
        <v>1</v>
      </c>
      <c r="AC770" s="404">
        <v>-9999</v>
      </c>
      <c r="AD770" s="404">
        <v>18.600000000000001</v>
      </c>
      <c r="AE770" s="404" t="s">
        <v>1738</v>
      </c>
      <c r="AF770" s="404">
        <v>5</v>
      </c>
      <c r="AG770" s="404" t="s">
        <v>1740</v>
      </c>
      <c r="AH770" s="404" t="s">
        <v>1034</v>
      </c>
      <c r="AI770" s="404" t="s">
        <v>1739</v>
      </c>
      <c r="AJ770" s="404">
        <v>-9999</v>
      </c>
      <c r="AK770" s="404" t="s">
        <v>626</v>
      </c>
      <c r="AL770" s="404" t="s">
        <v>828</v>
      </c>
      <c r="AM770" s="404">
        <v>-9999</v>
      </c>
      <c r="AN770" s="404" t="s">
        <v>631</v>
      </c>
      <c r="AO770" s="404">
        <v>-9999</v>
      </c>
      <c r="AP770" s="404">
        <v>-9999</v>
      </c>
      <c r="AQ770" s="404" t="s">
        <v>631</v>
      </c>
      <c r="AR770" s="404">
        <v>0</v>
      </c>
      <c r="AS770" s="404">
        <v>-9999</v>
      </c>
      <c r="AT770" s="404">
        <v>-9999</v>
      </c>
      <c r="AU770" s="404">
        <v>0</v>
      </c>
      <c r="AV770" s="404">
        <v>-9999</v>
      </c>
      <c r="AW770" s="404">
        <v>-9999</v>
      </c>
      <c r="AX770" s="404">
        <v>0</v>
      </c>
      <c r="AY770" s="404">
        <v>-9999</v>
      </c>
      <c r="AZ770" s="404">
        <v>-9999</v>
      </c>
      <c r="BA770" s="404">
        <v>-9988</v>
      </c>
      <c r="BB770" s="404" t="s">
        <v>626</v>
      </c>
      <c r="BC770" s="404">
        <v>-9999</v>
      </c>
      <c r="BD770" s="404">
        <v>-9999</v>
      </c>
      <c r="BE770" s="404">
        <v>-9999</v>
      </c>
      <c r="BF770" s="404">
        <v>-9999</v>
      </c>
      <c r="BG770" s="404">
        <v>-9999</v>
      </c>
      <c r="BH770" s="404">
        <v>-9999</v>
      </c>
      <c r="BI770" s="404" t="s">
        <v>1035</v>
      </c>
      <c r="BJ770" s="404">
        <v>-9999</v>
      </c>
      <c r="BK770" s="404">
        <v>-9999</v>
      </c>
      <c r="BL770" s="404">
        <v>-9999</v>
      </c>
      <c r="BM770" s="404">
        <v>-9999</v>
      </c>
      <c r="BN770" s="404">
        <v>-9999</v>
      </c>
      <c r="BO770" s="404">
        <v>-9999</v>
      </c>
      <c r="BP770" s="404">
        <v>-9999</v>
      </c>
      <c r="BQ770" s="404">
        <v>-9999</v>
      </c>
      <c r="BR770" s="404">
        <v>-9999</v>
      </c>
      <c r="BS770" s="405">
        <v>-9999</v>
      </c>
      <c r="BT770" s="404">
        <v>-9999</v>
      </c>
      <c r="BU770" s="404">
        <v>-9999</v>
      </c>
      <c r="BV770" s="404">
        <v>-9999</v>
      </c>
      <c r="BW770" s="404"/>
      <c r="BX770" s="404">
        <v>-9999</v>
      </c>
      <c r="BY770" s="404">
        <v>-9999</v>
      </c>
      <c r="BZ770" s="404">
        <v>-9999</v>
      </c>
      <c r="CA770" s="407" t="s">
        <v>797</v>
      </c>
      <c r="CB770" s="247"/>
      <c r="CC770" s="240"/>
      <c r="CD770" s="25">
        <v>7</v>
      </c>
      <c r="CE770" s="1">
        <v>8.06</v>
      </c>
      <c r="CF770" s="31">
        <v>11.660000000000004</v>
      </c>
      <c r="CG770" s="84">
        <v>8</v>
      </c>
    </row>
    <row r="771" spans="1:85" s="13" customFormat="1" x14ac:dyDescent="0.2">
      <c r="A771" s="283" t="s">
        <v>1389</v>
      </c>
      <c r="B771" s="249" t="s">
        <v>806</v>
      </c>
      <c r="C771" s="249" t="s">
        <v>1749</v>
      </c>
      <c r="D771" s="283" t="s">
        <v>619</v>
      </c>
      <c r="E771" s="283" t="s">
        <v>1735</v>
      </c>
      <c r="F771" s="283">
        <v>1</v>
      </c>
      <c r="G771" s="283">
        <v>8</v>
      </c>
      <c r="H771" s="251">
        <v>9</v>
      </c>
      <c r="I771" s="249" t="s">
        <v>807</v>
      </c>
      <c r="J771" s="249">
        <v>1997</v>
      </c>
      <c r="K771" s="249" t="s">
        <v>1211</v>
      </c>
      <c r="L771" s="249">
        <v>2004</v>
      </c>
      <c r="M771" s="253">
        <v>-9999</v>
      </c>
      <c r="N771" s="251">
        <v>-9999</v>
      </c>
      <c r="O771" s="20"/>
      <c r="P771" s="284">
        <f t="shared" si="88"/>
        <v>74.08</v>
      </c>
      <c r="Q771" s="249">
        <v>-9999</v>
      </c>
      <c r="R771" s="253"/>
      <c r="S771" s="249"/>
      <c r="T771" s="426">
        <v>9.26</v>
      </c>
      <c r="U771" s="249">
        <v>-9999</v>
      </c>
      <c r="V771" s="249"/>
      <c r="W771" s="558">
        <f>+P771-P770</f>
        <v>17.659999999999997</v>
      </c>
      <c r="X771" s="249">
        <v>-9999</v>
      </c>
      <c r="Y771" s="249"/>
      <c r="Z771" s="249" t="s">
        <v>808</v>
      </c>
      <c r="AA771" s="384">
        <v>1075</v>
      </c>
      <c r="AB771" s="253">
        <v>1</v>
      </c>
      <c r="AC771" s="249">
        <v>-9999</v>
      </c>
      <c r="AD771" s="249">
        <v>18.600000000000001</v>
      </c>
      <c r="AE771" s="249" t="s">
        <v>1738</v>
      </c>
      <c r="AF771" s="249">
        <v>5</v>
      </c>
      <c r="AG771" s="249" t="s">
        <v>1740</v>
      </c>
      <c r="AH771" s="249" t="s">
        <v>1034</v>
      </c>
      <c r="AI771" s="249" t="s">
        <v>1739</v>
      </c>
      <c r="AJ771" s="249">
        <v>-9999</v>
      </c>
      <c r="AK771" s="249" t="s">
        <v>626</v>
      </c>
      <c r="AL771" s="249" t="s">
        <v>828</v>
      </c>
      <c r="AM771" s="249">
        <v>-9999</v>
      </c>
      <c r="AN771" s="249" t="s">
        <v>631</v>
      </c>
      <c r="AO771" s="249">
        <v>-9999</v>
      </c>
      <c r="AP771" s="249">
        <v>-9999</v>
      </c>
      <c r="AQ771" s="249" t="s">
        <v>631</v>
      </c>
      <c r="AR771" s="249">
        <v>0</v>
      </c>
      <c r="AS771" s="249">
        <v>-9999</v>
      </c>
      <c r="AT771" s="249">
        <v>-9999</v>
      </c>
      <c r="AU771" s="249">
        <v>0</v>
      </c>
      <c r="AV771" s="249">
        <v>-9999</v>
      </c>
      <c r="AW771" s="249">
        <v>-9999</v>
      </c>
      <c r="AX771" s="249">
        <v>0</v>
      </c>
      <c r="AY771" s="249">
        <v>-9999</v>
      </c>
      <c r="AZ771" s="249">
        <v>-9999</v>
      </c>
      <c r="BA771" s="249">
        <v>-9988</v>
      </c>
      <c r="BB771" s="249" t="s">
        <v>626</v>
      </c>
      <c r="BC771" s="249">
        <v>-9999</v>
      </c>
      <c r="BD771" s="249">
        <v>-9999</v>
      </c>
      <c r="BE771" s="249">
        <v>-9999</v>
      </c>
      <c r="BF771" s="249">
        <v>-9999</v>
      </c>
      <c r="BG771" s="249">
        <v>-9999</v>
      </c>
      <c r="BH771" s="249">
        <v>-9999</v>
      </c>
      <c r="BI771" s="249" t="s">
        <v>1035</v>
      </c>
      <c r="BJ771" s="249">
        <v>-9999</v>
      </c>
      <c r="BK771" s="249">
        <v>-9999</v>
      </c>
      <c r="BL771" s="249">
        <v>-9999</v>
      </c>
      <c r="BM771" s="249">
        <v>-9999</v>
      </c>
      <c r="BN771" s="249">
        <v>-9999</v>
      </c>
      <c r="BO771" s="249">
        <v>-9999</v>
      </c>
      <c r="BP771" s="249">
        <v>-9999</v>
      </c>
      <c r="BQ771" s="249">
        <v>-9999</v>
      </c>
      <c r="BR771" s="249">
        <v>-9999</v>
      </c>
      <c r="BS771" s="251">
        <v>-9999</v>
      </c>
      <c r="BT771" s="249">
        <v>-9999</v>
      </c>
      <c r="BU771" s="249">
        <v>-9999</v>
      </c>
      <c r="BV771" s="249">
        <v>-9999</v>
      </c>
      <c r="BW771" s="249"/>
      <c r="BX771" s="249">
        <v>-9999</v>
      </c>
      <c r="BY771" s="249">
        <v>-9999</v>
      </c>
      <c r="BZ771" s="249">
        <v>-9999</v>
      </c>
      <c r="CA771" s="335" t="s">
        <v>797</v>
      </c>
      <c r="CB771" s="254"/>
      <c r="CC771" s="283"/>
      <c r="CD771" s="24">
        <v>8</v>
      </c>
      <c r="CE771" s="8">
        <v>9.26</v>
      </c>
      <c r="CF771" s="21">
        <v>17.659999999999997</v>
      </c>
      <c r="CG771" s="28">
        <v>9</v>
      </c>
    </row>
    <row r="772" spans="1:85" s="23" customFormat="1" x14ac:dyDescent="0.2">
      <c r="A772" s="25"/>
      <c r="B772" s="223"/>
      <c r="C772" s="223"/>
      <c r="D772" s="240"/>
      <c r="E772" s="240"/>
      <c r="F772" s="240"/>
      <c r="G772" s="240"/>
      <c r="H772" s="242"/>
      <c r="I772" s="223"/>
      <c r="J772" s="223"/>
      <c r="K772" s="223"/>
      <c r="L772" s="223"/>
      <c r="M772" s="406"/>
      <c r="N772" s="405"/>
      <c r="O772" s="291"/>
      <c r="P772" s="244"/>
      <c r="Q772" s="223"/>
      <c r="R772" s="243"/>
      <c r="S772" s="223"/>
      <c r="T772" s="421"/>
      <c r="U772" s="223"/>
      <c r="V772" s="223"/>
      <c r="W772" s="285"/>
      <c r="X772" s="223"/>
      <c r="Y772" s="223"/>
      <c r="Z772" s="223"/>
      <c r="AA772" s="242"/>
      <c r="AB772" s="243"/>
      <c r="AC772" s="223"/>
      <c r="AD772" s="223"/>
      <c r="AE772" s="223"/>
      <c r="AF772" s="223"/>
      <c r="AG772" s="404"/>
      <c r="AH772" s="223"/>
      <c r="AI772" s="404"/>
      <c r="AJ772" s="223"/>
      <c r="AK772" s="223"/>
      <c r="AL772" s="223"/>
      <c r="AM772" s="223"/>
      <c r="AN772" s="223"/>
      <c r="AO772" s="223"/>
      <c r="AP772" s="223"/>
      <c r="AQ772" s="223"/>
      <c r="AR772" s="223"/>
      <c r="AS772" s="223"/>
      <c r="AT772" s="223"/>
      <c r="AU772" s="223"/>
      <c r="AV772" s="223"/>
      <c r="AW772" s="223"/>
      <c r="AX772" s="223"/>
      <c r="AY772" s="223"/>
      <c r="AZ772" s="223"/>
      <c r="BA772" s="223"/>
      <c r="BB772" s="223"/>
      <c r="BC772" s="223"/>
      <c r="BD772" s="223"/>
      <c r="BE772" s="223"/>
      <c r="BF772" s="223"/>
      <c r="BG772" s="223"/>
      <c r="BH772" s="223"/>
      <c r="BI772" s="223"/>
      <c r="BJ772" s="223"/>
      <c r="BK772" s="223"/>
      <c r="BL772" s="223"/>
      <c r="BM772" s="223"/>
      <c r="BN772" s="243"/>
      <c r="BO772" s="223"/>
      <c r="BP772" s="223"/>
      <c r="BQ772" s="223"/>
      <c r="BR772" s="223"/>
      <c r="BS772" s="242"/>
      <c r="BT772" s="223"/>
      <c r="BU772" s="223"/>
      <c r="BV772" s="223"/>
      <c r="BW772" s="223"/>
      <c r="BX772" s="223"/>
      <c r="BY772" s="223"/>
      <c r="BZ772" s="223"/>
      <c r="CA772" s="334"/>
      <c r="CB772" s="247"/>
      <c r="CC772" s="240"/>
      <c r="CD772" s="25"/>
      <c r="CE772" s="342" t="s">
        <v>1576</v>
      </c>
      <c r="CF772" s="342" t="s">
        <v>1575</v>
      </c>
      <c r="CG772" s="84"/>
    </row>
    <row r="773" spans="1:85" s="23" customFormat="1" x14ac:dyDescent="0.2">
      <c r="A773" s="403" t="s">
        <v>1389</v>
      </c>
      <c r="B773" s="404" t="s">
        <v>806</v>
      </c>
      <c r="C773" s="404" t="s">
        <v>1736</v>
      </c>
      <c r="D773" s="403" t="s">
        <v>619</v>
      </c>
      <c r="E773" s="403" t="s">
        <v>1737</v>
      </c>
      <c r="F773" s="240">
        <v>1</v>
      </c>
      <c r="G773" s="240">
        <v>3</v>
      </c>
      <c r="H773" s="242">
        <v>4</v>
      </c>
      <c r="I773" s="404" t="s">
        <v>807</v>
      </c>
      <c r="J773" s="404">
        <v>1997</v>
      </c>
      <c r="K773" s="404" t="s">
        <v>1211</v>
      </c>
      <c r="L773" s="223">
        <v>1999</v>
      </c>
      <c r="M773" s="406">
        <v>-9999</v>
      </c>
      <c r="N773" s="405">
        <v>-9999</v>
      </c>
      <c r="O773" s="291"/>
      <c r="P773" s="244">
        <f t="shared" ref="P773:P778" si="89">+T773*G773</f>
        <v>4.1414100000000005</v>
      </c>
      <c r="Q773" s="223">
        <v>-9999</v>
      </c>
      <c r="R773" s="243"/>
      <c r="S773" s="223"/>
      <c r="T773" s="417">
        <v>1.3804700000000001</v>
      </c>
      <c r="U773" s="223">
        <v>-9999</v>
      </c>
      <c r="V773" s="223"/>
      <c r="W773" s="243">
        <v>-9999</v>
      </c>
      <c r="X773" s="223">
        <v>-9999</v>
      </c>
      <c r="Y773" s="223"/>
      <c r="Z773" s="404" t="s">
        <v>808</v>
      </c>
      <c r="AA773" s="564">
        <v>1075</v>
      </c>
      <c r="AB773" s="406">
        <v>1</v>
      </c>
      <c r="AC773" s="404">
        <v>-9999</v>
      </c>
      <c r="AD773" s="404">
        <v>18.600000000000001</v>
      </c>
      <c r="AE773" s="404" t="s">
        <v>1738</v>
      </c>
      <c r="AF773" s="404">
        <v>5</v>
      </c>
      <c r="AG773" s="404" t="s">
        <v>1740</v>
      </c>
      <c r="AH773" s="404" t="s">
        <v>1034</v>
      </c>
      <c r="AI773" s="404" t="s">
        <v>1739</v>
      </c>
      <c r="AJ773" s="404">
        <v>-9999</v>
      </c>
      <c r="AK773" s="404" t="s">
        <v>626</v>
      </c>
      <c r="AL773" s="404" t="s">
        <v>828</v>
      </c>
      <c r="AM773" s="404">
        <v>-9999</v>
      </c>
      <c r="AN773" s="404" t="s">
        <v>631</v>
      </c>
      <c r="AO773" s="404">
        <v>-9999</v>
      </c>
      <c r="AP773" s="404">
        <v>-9999</v>
      </c>
      <c r="AQ773" s="404" t="s">
        <v>631</v>
      </c>
      <c r="AR773" s="404">
        <v>0</v>
      </c>
      <c r="AS773" s="404">
        <v>-9999</v>
      </c>
      <c r="AT773" s="404">
        <v>-9999</v>
      </c>
      <c r="AU773" s="404">
        <v>0</v>
      </c>
      <c r="AV773" s="404">
        <v>-9999</v>
      </c>
      <c r="AW773" s="404">
        <v>-9999</v>
      </c>
      <c r="AX773" s="404">
        <v>0</v>
      </c>
      <c r="AY773" s="404">
        <v>-9999</v>
      </c>
      <c r="AZ773" s="404">
        <v>-9999</v>
      </c>
      <c r="BA773" s="404">
        <v>-9988</v>
      </c>
      <c r="BB773" s="404" t="s">
        <v>626</v>
      </c>
      <c r="BC773" s="404">
        <v>-9999</v>
      </c>
      <c r="BD773" s="404">
        <v>-9999</v>
      </c>
      <c r="BE773" s="404">
        <v>-9999</v>
      </c>
      <c r="BF773" s="404">
        <v>-9999</v>
      </c>
      <c r="BG773" s="404">
        <v>-9999</v>
      </c>
      <c r="BH773" s="404">
        <v>-9999</v>
      </c>
      <c r="BI773" s="404" t="s">
        <v>1035</v>
      </c>
      <c r="BJ773" s="404">
        <v>-9999</v>
      </c>
      <c r="BK773" s="404">
        <v>-9999</v>
      </c>
      <c r="BL773" s="404">
        <v>-9999</v>
      </c>
      <c r="BM773" s="404">
        <v>-9999</v>
      </c>
      <c r="BN773" s="404">
        <v>-9999</v>
      </c>
      <c r="BO773" s="404">
        <v>-9999</v>
      </c>
      <c r="BP773" s="404">
        <v>-9999</v>
      </c>
      <c r="BQ773" s="404">
        <v>-9999</v>
      </c>
      <c r="BR773" s="404">
        <v>-9999</v>
      </c>
      <c r="BS773" s="405">
        <v>-9999</v>
      </c>
      <c r="BT773" s="404">
        <v>-9999</v>
      </c>
      <c r="BU773" s="404">
        <v>-9999</v>
      </c>
      <c r="BV773" s="404">
        <v>-9999</v>
      </c>
      <c r="BW773" s="404"/>
      <c r="BX773" s="404">
        <v>-9999</v>
      </c>
      <c r="BY773" s="404">
        <v>-9999</v>
      </c>
      <c r="BZ773" s="404">
        <v>-9999</v>
      </c>
      <c r="CA773" s="407" t="s">
        <v>797</v>
      </c>
      <c r="CB773" s="247"/>
      <c r="CC773" s="240"/>
      <c r="CD773" s="25">
        <v>3</v>
      </c>
      <c r="CE773" s="67">
        <v>1.3804700000000001</v>
      </c>
      <c r="CF773" s="31"/>
      <c r="CG773" s="84">
        <v>4</v>
      </c>
    </row>
    <row r="774" spans="1:85" s="23" customFormat="1" x14ac:dyDescent="0.2">
      <c r="A774" s="403" t="s">
        <v>1389</v>
      </c>
      <c r="B774" s="404" t="s">
        <v>806</v>
      </c>
      <c r="C774" s="404" t="s">
        <v>1736</v>
      </c>
      <c r="D774" s="403" t="s">
        <v>619</v>
      </c>
      <c r="E774" s="403" t="s">
        <v>1737</v>
      </c>
      <c r="F774" s="240">
        <v>1</v>
      </c>
      <c r="G774" s="240">
        <v>4</v>
      </c>
      <c r="H774" s="242">
        <v>5</v>
      </c>
      <c r="I774" s="404" t="s">
        <v>807</v>
      </c>
      <c r="J774" s="404">
        <v>1997</v>
      </c>
      <c r="K774" s="404" t="s">
        <v>1211</v>
      </c>
      <c r="L774" s="223">
        <v>2000</v>
      </c>
      <c r="M774" s="406">
        <v>-9999</v>
      </c>
      <c r="N774" s="405">
        <v>-9999</v>
      </c>
      <c r="O774" s="291"/>
      <c r="P774" s="244">
        <f t="shared" si="89"/>
        <v>6.8686800000000003</v>
      </c>
      <c r="Q774" s="223">
        <v>-9999</v>
      </c>
      <c r="R774" s="243"/>
      <c r="S774" s="223"/>
      <c r="T774" s="417">
        <v>1.7171700000000001</v>
      </c>
      <c r="U774" s="223">
        <v>-9999</v>
      </c>
      <c r="V774" s="223"/>
      <c r="W774" s="285">
        <f>+P774-P773</f>
        <v>2.7272699999999999</v>
      </c>
      <c r="X774" s="223">
        <v>-9999</v>
      </c>
      <c r="Y774" s="223"/>
      <c r="Z774" s="404" t="s">
        <v>808</v>
      </c>
      <c r="AA774" s="564">
        <v>1075</v>
      </c>
      <c r="AB774" s="406">
        <v>1</v>
      </c>
      <c r="AC774" s="404">
        <v>-9999</v>
      </c>
      <c r="AD774" s="404">
        <v>18.600000000000001</v>
      </c>
      <c r="AE774" s="404" t="s">
        <v>1738</v>
      </c>
      <c r="AF774" s="404">
        <v>5</v>
      </c>
      <c r="AG774" s="404" t="s">
        <v>1740</v>
      </c>
      <c r="AH774" s="404" t="s">
        <v>1034</v>
      </c>
      <c r="AI774" s="404" t="s">
        <v>1739</v>
      </c>
      <c r="AJ774" s="404">
        <v>-9999</v>
      </c>
      <c r="AK774" s="404" t="s">
        <v>626</v>
      </c>
      <c r="AL774" s="404" t="s">
        <v>828</v>
      </c>
      <c r="AM774" s="404">
        <v>-9999</v>
      </c>
      <c r="AN774" s="404" t="s">
        <v>631</v>
      </c>
      <c r="AO774" s="404">
        <v>-9999</v>
      </c>
      <c r="AP774" s="404">
        <v>-9999</v>
      </c>
      <c r="AQ774" s="404" t="s">
        <v>631</v>
      </c>
      <c r="AR774" s="404">
        <v>0</v>
      </c>
      <c r="AS774" s="404">
        <v>-9999</v>
      </c>
      <c r="AT774" s="404">
        <v>-9999</v>
      </c>
      <c r="AU774" s="404">
        <v>0</v>
      </c>
      <c r="AV774" s="404">
        <v>-9999</v>
      </c>
      <c r="AW774" s="404">
        <v>-9999</v>
      </c>
      <c r="AX774" s="404">
        <v>0</v>
      </c>
      <c r="AY774" s="404">
        <v>-9999</v>
      </c>
      <c r="AZ774" s="404">
        <v>-9999</v>
      </c>
      <c r="BA774" s="404">
        <v>-9988</v>
      </c>
      <c r="BB774" s="404" t="s">
        <v>626</v>
      </c>
      <c r="BC774" s="404">
        <v>-9999</v>
      </c>
      <c r="BD774" s="404">
        <v>-9999</v>
      </c>
      <c r="BE774" s="404">
        <v>-9999</v>
      </c>
      <c r="BF774" s="404">
        <v>-9999</v>
      </c>
      <c r="BG774" s="404">
        <v>-9999</v>
      </c>
      <c r="BH774" s="404">
        <v>-9999</v>
      </c>
      <c r="BI774" s="404" t="s">
        <v>1035</v>
      </c>
      <c r="BJ774" s="404">
        <v>-9999</v>
      </c>
      <c r="BK774" s="404">
        <v>-9999</v>
      </c>
      <c r="BL774" s="404">
        <v>-9999</v>
      </c>
      <c r="BM774" s="404">
        <v>-9999</v>
      </c>
      <c r="BN774" s="404">
        <v>-9999</v>
      </c>
      <c r="BO774" s="404">
        <v>-9999</v>
      </c>
      <c r="BP774" s="404">
        <v>-9999</v>
      </c>
      <c r="BQ774" s="404">
        <v>-9999</v>
      </c>
      <c r="BR774" s="404">
        <v>-9999</v>
      </c>
      <c r="BS774" s="405">
        <v>-9999</v>
      </c>
      <c r="BT774" s="404">
        <v>-9999</v>
      </c>
      <c r="BU774" s="404">
        <v>-9999</v>
      </c>
      <c r="BV774" s="404">
        <v>-9999</v>
      </c>
      <c r="BW774" s="404"/>
      <c r="BX774" s="404">
        <v>-9999</v>
      </c>
      <c r="BY774" s="404">
        <v>-9999</v>
      </c>
      <c r="BZ774" s="404">
        <v>-9999</v>
      </c>
      <c r="CA774" s="407" t="s">
        <v>797</v>
      </c>
      <c r="CB774" s="247"/>
      <c r="CC774" s="240"/>
      <c r="CD774" s="25">
        <v>4</v>
      </c>
      <c r="CE774" s="67">
        <v>1.7171700000000001</v>
      </c>
      <c r="CF774" s="31">
        <v>2.7272699999999999</v>
      </c>
      <c r="CG774" s="84">
        <v>5</v>
      </c>
    </row>
    <row r="775" spans="1:85" s="23" customFormat="1" x14ac:dyDescent="0.2">
      <c r="A775" s="403" t="s">
        <v>1389</v>
      </c>
      <c r="B775" s="404" t="s">
        <v>806</v>
      </c>
      <c r="C775" s="404" t="s">
        <v>1736</v>
      </c>
      <c r="D775" s="403" t="s">
        <v>619</v>
      </c>
      <c r="E775" s="403" t="s">
        <v>1737</v>
      </c>
      <c r="F775" s="240">
        <v>1</v>
      </c>
      <c r="G775" s="240">
        <v>5</v>
      </c>
      <c r="H775" s="242">
        <v>6</v>
      </c>
      <c r="I775" s="404" t="s">
        <v>807</v>
      </c>
      <c r="J775" s="404">
        <v>1997</v>
      </c>
      <c r="K775" s="404" t="s">
        <v>1211</v>
      </c>
      <c r="L775" s="223">
        <v>2001</v>
      </c>
      <c r="M775" s="406">
        <v>-9999</v>
      </c>
      <c r="N775" s="405">
        <v>-9999</v>
      </c>
      <c r="O775" s="291"/>
      <c r="P775" s="244">
        <f t="shared" si="89"/>
        <v>12.962949999999999</v>
      </c>
      <c r="Q775" s="223">
        <v>-9999</v>
      </c>
      <c r="R775" s="243"/>
      <c r="S775" s="223"/>
      <c r="T775" s="417">
        <v>2.59259</v>
      </c>
      <c r="U775" s="223">
        <v>-9999</v>
      </c>
      <c r="V775" s="223"/>
      <c r="W775" s="285">
        <f>+P775-P774</f>
        <v>6.094269999999999</v>
      </c>
      <c r="X775" s="223">
        <v>-9999</v>
      </c>
      <c r="Y775" s="223"/>
      <c r="Z775" s="404" t="s">
        <v>808</v>
      </c>
      <c r="AA775" s="564">
        <v>1075</v>
      </c>
      <c r="AB775" s="406">
        <v>1</v>
      </c>
      <c r="AC775" s="404">
        <v>-9999</v>
      </c>
      <c r="AD775" s="404">
        <v>18.600000000000001</v>
      </c>
      <c r="AE775" s="404" t="s">
        <v>1738</v>
      </c>
      <c r="AF775" s="404">
        <v>5</v>
      </c>
      <c r="AG775" s="404" t="s">
        <v>1740</v>
      </c>
      <c r="AH775" s="404" t="s">
        <v>1034</v>
      </c>
      <c r="AI775" s="404" t="s">
        <v>1739</v>
      </c>
      <c r="AJ775" s="404">
        <v>-9999</v>
      </c>
      <c r="AK775" s="404" t="s">
        <v>626</v>
      </c>
      <c r="AL775" s="404" t="s">
        <v>828</v>
      </c>
      <c r="AM775" s="404">
        <v>-9999</v>
      </c>
      <c r="AN775" s="404" t="s">
        <v>631</v>
      </c>
      <c r="AO775" s="404">
        <v>-9999</v>
      </c>
      <c r="AP775" s="404">
        <v>-9999</v>
      </c>
      <c r="AQ775" s="404" t="s">
        <v>631</v>
      </c>
      <c r="AR775" s="404">
        <v>0</v>
      </c>
      <c r="AS775" s="404">
        <v>-9999</v>
      </c>
      <c r="AT775" s="404">
        <v>-9999</v>
      </c>
      <c r="AU775" s="404">
        <v>0</v>
      </c>
      <c r="AV775" s="404">
        <v>-9999</v>
      </c>
      <c r="AW775" s="404">
        <v>-9999</v>
      </c>
      <c r="AX775" s="404">
        <v>0</v>
      </c>
      <c r="AY775" s="404">
        <v>-9999</v>
      </c>
      <c r="AZ775" s="404">
        <v>-9999</v>
      </c>
      <c r="BA775" s="404">
        <v>-9988</v>
      </c>
      <c r="BB775" s="404" t="s">
        <v>626</v>
      </c>
      <c r="BC775" s="404">
        <v>-9999</v>
      </c>
      <c r="BD775" s="404">
        <v>-9999</v>
      </c>
      <c r="BE775" s="404">
        <v>-9999</v>
      </c>
      <c r="BF775" s="404">
        <v>-9999</v>
      </c>
      <c r="BG775" s="404">
        <v>-9999</v>
      </c>
      <c r="BH775" s="404">
        <v>-9999</v>
      </c>
      <c r="BI775" s="404" t="s">
        <v>1035</v>
      </c>
      <c r="BJ775" s="404">
        <v>-9999</v>
      </c>
      <c r="BK775" s="404">
        <v>-9999</v>
      </c>
      <c r="BL775" s="404">
        <v>-9999</v>
      </c>
      <c r="BM775" s="404">
        <v>-9999</v>
      </c>
      <c r="BN775" s="404">
        <v>-9999</v>
      </c>
      <c r="BO775" s="404">
        <v>-9999</v>
      </c>
      <c r="BP775" s="404">
        <v>-9999</v>
      </c>
      <c r="BQ775" s="404">
        <v>-9999</v>
      </c>
      <c r="BR775" s="404">
        <v>-9999</v>
      </c>
      <c r="BS775" s="405">
        <v>-9999</v>
      </c>
      <c r="BT775" s="404">
        <v>-9999</v>
      </c>
      <c r="BU775" s="404">
        <v>-9999</v>
      </c>
      <c r="BV775" s="404">
        <v>-9999</v>
      </c>
      <c r="BW775" s="404"/>
      <c r="BX775" s="404">
        <v>-9999</v>
      </c>
      <c r="BY775" s="404">
        <v>-9999</v>
      </c>
      <c r="BZ775" s="404">
        <v>-9999</v>
      </c>
      <c r="CA775" s="407" t="s">
        <v>797</v>
      </c>
      <c r="CB775" s="247"/>
      <c r="CC775" s="240"/>
      <c r="CD775" s="25">
        <v>5</v>
      </c>
      <c r="CE775" s="67">
        <v>2.59259</v>
      </c>
      <c r="CF775" s="31">
        <v>6.094269999999999</v>
      </c>
      <c r="CG775" s="84">
        <v>6</v>
      </c>
    </row>
    <row r="776" spans="1:85" s="23" customFormat="1" x14ac:dyDescent="0.2">
      <c r="A776" s="403" t="s">
        <v>1389</v>
      </c>
      <c r="B776" s="404" t="s">
        <v>806</v>
      </c>
      <c r="C776" s="404" t="s">
        <v>1736</v>
      </c>
      <c r="D776" s="403" t="s">
        <v>619</v>
      </c>
      <c r="E776" s="403" t="s">
        <v>1737</v>
      </c>
      <c r="F776" s="240">
        <v>1</v>
      </c>
      <c r="G776" s="240">
        <v>6</v>
      </c>
      <c r="H776" s="242">
        <v>7</v>
      </c>
      <c r="I776" s="404" t="s">
        <v>807</v>
      </c>
      <c r="J776" s="404">
        <v>1997</v>
      </c>
      <c r="K776" s="404" t="s">
        <v>1211</v>
      </c>
      <c r="L776" s="223">
        <v>2002</v>
      </c>
      <c r="M776" s="406">
        <v>-9999</v>
      </c>
      <c r="N776" s="405">
        <v>-9999</v>
      </c>
      <c r="O776" s="291"/>
      <c r="P776" s="244">
        <f t="shared" si="89"/>
        <v>20.808060000000001</v>
      </c>
      <c r="Q776" s="223">
        <v>-9999</v>
      </c>
      <c r="R776" s="243"/>
      <c r="S776" s="223"/>
      <c r="T776" s="417">
        <v>3.46801</v>
      </c>
      <c r="U776" s="223">
        <v>-9999</v>
      </c>
      <c r="V776" s="223"/>
      <c r="W776" s="285">
        <f>+P776-P775</f>
        <v>7.8451100000000018</v>
      </c>
      <c r="X776" s="223">
        <v>-9999</v>
      </c>
      <c r="Y776" s="223"/>
      <c r="Z776" s="404" t="s">
        <v>808</v>
      </c>
      <c r="AA776" s="564">
        <v>1075</v>
      </c>
      <c r="AB776" s="406">
        <v>1</v>
      </c>
      <c r="AC776" s="404">
        <v>-9999</v>
      </c>
      <c r="AD776" s="404">
        <v>18.600000000000001</v>
      </c>
      <c r="AE776" s="404" t="s">
        <v>1738</v>
      </c>
      <c r="AF776" s="404">
        <v>5</v>
      </c>
      <c r="AG776" s="404" t="s">
        <v>1740</v>
      </c>
      <c r="AH776" s="404" t="s">
        <v>1034</v>
      </c>
      <c r="AI776" s="404" t="s">
        <v>1739</v>
      </c>
      <c r="AJ776" s="404">
        <v>-9999</v>
      </c>
      <c r="AK776" s="404" t="s">
        <v>626</v>
      </c>
      <c r="AL776" s="404" t="s">
        <v>828</v>
      </c>
      <c r="AM776" s="404">
        <v>-9999</v>
      </c>
      <c r="AN776" s="404" t="s">
        <v>631</v>
      </c>
      <c r="AO776" s="404">
        <v>-9999</v>
      </c>
      <c r="AP776" s="404">
        <v>-9999</v>
      </c>
      <c r="AQ776" s="404" t="s">
        <v>631</v>
      </c>
      <c r="AR776" s="404">
        <v>0</v>
      </c>
      <c r="AS776" s="404">
        <v>-9999</v>
      </c>
      <c r="AT776" s="404">
        <v>-9999</v>
      </c>
      <c r="AU776" s="404">
        <v>0</v>
      </c>
      <c r="AV776" s="404">
        <v>-9999</v>
      </c>
      <c r="AW776" s="404">
        <v>-9999</v>
      </c>
      <c r="AX776" s="404">
        <v>0</v>
      </c>
      <c r="AY776" s="404">
        <v>-9999</v>
      </c>
      <c r="AZ776" s="404">
        <v>-9999</v>
      </c>
      <c r="BA776" s="404">
        <v>-9988</v>
      </c>
      <c r="BB776" s="404" t="s">
        <v>626</v>
      </c>
      <c r="BC776" s="404">
        <v>-9999</v>
      </c>
      <c r="BD776" s="404">
        <v>-9999</v>
      </c>
      <c r="BE776" s="404">
        <v>-9999</v>
      </c>
      <c r="BF776" s="404">
        <v>-9999</v>
      </c>
      <c r="BG776" s="404">
        <v>-9999</v>
      </c>
      <c r="BH776" s="404">
        <v>-9999</v>
      </c>
      <c r="BI776" s="404" t="s">
        <v>1035</v>
      </c>
      <c r="BJ776" s="404">
        <v>-9999</v>
      </c>
      <c r="BK776" s="404">
        <v>-9999</v>
      </c>
      <c r="BL776" s="404">
        <v>-9999</v>
      </c>
      <c r="BM776" s="404">
        <v>-9999</v>
      </c>
      <c r="BN776" s="404">
        <v>-9999</v>
      </c>
      <c r="BO776" s="404">
        <v>-9999</v>
      </c>
      <c r="BP776" s="404">
        <v>-9999</v>
      </c>
      <c r="BQ776" s="404">
        <v>-9999</v>
      </c>
      <c r="BR776" s="404">
        <v>-9999</v>
      </c>
      <c r="BS776" s="405">
        <v>-9999</v>
      </c>
      <c r="BT776" s="404">
        <v>-9999</v>
      </c>
      <c r="BU776" s="404">
        <v>-9999</v>
      </c>
      <c r="BV776" s="404">
        <v>-9999</v>
      </c>
      <c r="BW776" s="404"/>
      <c r="BX776" s="404">
        <v>-9999</v>
      </c>
      <c r="BY776" s="404">
        <v>-9999</v>
      </c>
      <c r="BZ776" s="404">
        <v>-9999</v>
      </c>
      <c r="CA776" s="407" t="s">
        <v>797</v>
      </c>
      <c r="CB776" s="247"/>
      <c r="CC776" s="240"/>
      <c r="CD776" s="25">
        <v>6</v>
      </c>
      <c r="CE776" s="67">
        <v>3.46801</v>
      </c>
      <c r="CF776" s="31">
        <v>7.8451100000000018</v>
      </c>
      <c r="CG776" s="84">
        <v>7</v>
      </c>
    </row>
    <row r="777" spans="1:85" s="23" customFormat="1" x14ac:dyDescent="0.2">
      <c r="A777" s="403" t="s">
        <v>1389</v>
      </c>
      <c r="B777" s="404" t="s">
        <v>806</v>
      </c>
      <c r="C777" s="404" t="s">
        <v>1736</v>
      </c>
      <c r="D777" s="403" t="s">
        <v>619</v>
      </c>
      <c r="E777" s="403" t="s">
        <v>1737</v>
      </c>
      <c r="F777" s="240">
        <v>1</v>
      </c>
      <c r="G777" s="240">
        <v>7</v>
      </c>
      <c r="H777" s="242">
        <v>8</v>
      </c>
      <c r="I777" s="404" t="s">
        <v>807</v>
      </c>
      <c r="J777" s="404">
        <v>1997</v>
      </c>
      <c r="K777" s="404" t="s">
        <v>1211</v>
      </c>
      <c r="L777" s="223">
        <v>2003</v>
      </c>
      <c r="M777" s="406">
        <v>-9999</v>
      </c>
      <c r="N777" s="405">
        <v>-9999</v>
      </c>
      <c r="O777" s="291"/>
      <c r="P777" s="244">
        <f t="shared" si="89"/>
        <v>28.754179999999998</v>
      </c>
      <c r="Q777" s="223">
        <v>-9999</v>
      </c>
      <c r="R777" s="243"/>
      <c r="S777" s="223"/>
      <c r="T777" s="417">
        <v>4.1077399999999997</v>
      </c>
      <c r="U777" s="223">
        <v>-9999</v>
      </c>
      <c r="V777" s="223"/>
      <c r="W777" s="285">
        <f>+P777-P776</f>
        <v>7.946119999999997</v>
      </c>
      <c r="X777" s="223">
        <v>-9999</v>
      </c>
      <c r="Y777" s="223"/>
      <c r="Z777" s="404" t="s">
        <v>808</v>
      </c>
      <c r="AA777" s="564">
        <v>1075</v>
      </c>
      <c r="AB777" s="406">
        <v>1</v>
      </c>
      <c r="AC777" s="404">
        <v>-9999</v>
      </c>
      <c r="AD777" s="404">
        <v>18.600000000000001</v>
      </c>
      <c r="AE777" s="404" t="s">
        <v>1738</v>
      </c>
      <c r="AF777" s="404">
        <v>5</v>
      </c>
      <c r="AG777" s="404" t="s">
        <v>1740</v>
      </c>
      <c r="AH777" s="404" t="s">
        <v>1034</v>
      </c>
      <c r="AI777" s="404" t="s">
        <v>1739</v>
      </c>
      <c r="AJ777" s="404">
        <v>-9999</v>
      </c>
      <c r="AK777" s="404" t="s">
        <v>626</v>
      </c>
      <c r="AL777" s="404" t="s">
        <v>828</v>
      </c>
      <c r="AM777" s="404">
        <v>-9999</v>
      </c>
      <c r="AN777" s="404" t="s">
        <v>631</v>
      </c>
      <c r="AO777" s="404">
        <v>-9999</v>
      </c>
      <c r="AP777" s="404">
        <v>-9999</v>
      </c>
      <c r="AQ777" s="404" t="s">
        <v>631</v>
      </c>
      <c r="AR777" s="404">
        <v>0</v>
      </c>
      <c r="AS777" s="404">
        <v>-9999</v>
      </c>
      <c r="AT777" s="404">
        <v>-9999</v>
      </c>
      <c r="AU777" s="404">
        <v>0</v>
      </c>
      <c r="AV777" s="404">
        <v>-9999</v>
      </c>
      <c r="AW777" s="404">
        <v>-9999</v>
      </c>
      <c r="AX777" s="404">
        <v>0</v>
      </c>
      <c r="AY777" s="404">
        <v>-9999</v>
      </c>
      <c r="AZ777" s="404">
        <v>-9999</v>
      </c>
      <c r="BA777" s="404">
        <v>-9988</v>
      </c>
      <c r="BB777" s="404" t="s">
        <v>626</v>
      </c>
      <c r="BC777" s="404">
        <v>-9999</v>
      </c>
      <c r="BD777" s="404">
        <v>-9999</v>
      </c>
      <c r="BE777" s="404">
        <v>-9999</v>
      </c>
      <c r="BF777" s="404">
        <v>-9999</v>
      </c>
      <c r="BG777" s="404">
        <v>-9999</v>
      </c>
      <c r="BH777" s="404">
        <v>-9999</v>
      </c>
      <c r="BI777" s="404" t="s">
        <v>1035</v>
      </c>
      <c r="BJ777" s="404">
        <v>-9999</v>
      </c>
      <c r="BK777" s="404">
        <v>-9999</v>
      </c>
      <c r="BL777" s="404">
        <v>-9999</v>
      </c>
      <c r="BM777" s="404">
        <v>-9999</v>
      </c>
      <c r="BN777" s="404">
        <v>-9999</v>
      </c>
      <c r="BO777" s="404">
        <v>-9999</v>
      </c>
      <c r="BP777" s="404">
        <v>-9999</v>
      </c>
      <c r="BQ777" s="404">
        <v>-9999</v>
      </c>
      <c r="BR777" s="404">
        <v>-9999</v>
      </c>
      <c r="BS777" s="405">
        <v>-9999</v>
      </c>
      <c r="BT777" s="404">
        <v>-9999</v>
      </c>
      <c r="BU777" s="404">
        <v>-9999</v>
      </c>
      <c r="BV777" s="404">
        <v>-9999</v>
      </c>
      <c r="BW777" s="404"/>
      <c r="BX777" s="404">
        <v>-9999</v>
      </c>
      <c r="BY777" s="404">
        <v>-9999</v>
      </c>
      <c r="BZ777" s="404">
        <v>-9999</v>
      </c>
      <c r="CA777" s="407" t="s">
        <v>797</v>
      </c>
      <c r="CB777" s="247"/>
      <c r="CC777" s="240"/>
      <c r="CD777" s="25">
        <v>7</v>
      </c>
      <c r="CE777" s="67">
        <v>4.1077399999999997</v>
      </c>
      <c r="CF777" s="31">
        <v>7.946119999999997</v>
      </c>
      <c r="CG777" s="84">
        <v>8</v>
      </c>
    </row>
    <row r="778" spans="1:85" s="23" customFormat="1" x14ac:dyDescent="0.2">
      <c r="A778" s="403" t="s">
        <v>1389</v>
      </c>
      <c r="B778" s="404" t="s">
        <v>806</v>
      </c>
      <c r="C778" s="404" t="s">
        <v>1736</v>
      </c>
      <c r="D778" s="403" t="s">
        <v>619</v>
      </c>
      <c r="E778" s="403" t="s">
        <v>1737</v>
      </c>
      <c r="F778" s="240">
        <v>1</v>
      </c>
      <c r="G778" s="240">
        <v>8</v>
      </c>
      <c r="H778" s="242">
        <v>9</v>
      </c>
      <c r="I778" s="404" t="s">
        <v>807</v>
      </c>
      <c r="J778" s="404">
        <v>1997</v>
      </c>
      <c r="K778" s="404" t="s">
        <v>1211</v>
      </c>
      <c r="L778" s="404">
        <v>2004</v>
      </c>
      <c r="M778" s="406">
        <v>-9999</v>
      </c>
      <c r="N778" s="405">
        <v>-9999</v>
      </c>
      <c r="O778" s="291"/>
      <c r="P778" s="244">
        <f t="shared" si="89"/>
        <v>42.828319999999998</v>
      </c>
      <c r="Q778" s="223">
        <v>-9999</v>
      </c>
      <c r="R778" s="243"/>
      <c r="S778" s="223"/>
      <c r="T778" s="417">
        <v>5.3535399999999997</v>
      </c>
      <c r="U778" s="223">
        <v>-9999</v>
      </c>
      <c r="V778" s="223"/>
      <c r="W778" s="285">
        <f>+P778-P777</f>
        <v>14.07414</v>
      </c>
      <c r="X778" s="223">
        <v>-9999</v>
      </c>
      <c r="Y778" s="223"/>
      <c r="Z778" s="404" t="s">
        <v>808</v>
      </c>
      <c r="AA778" s="564">
        <v>1075</v>
      </c>
      <c r="AB778" s="406">
        <v>1</v>
      </c>
      <c r="AC778" s="404">
        <v>-9999</v>
      </c>
      <c r="AD778" s="404">
        <v>18.600000000000001</v>
      </c>
      <c r="AE778" s="404" t="s">
        <v>1738</v>
      </c>
      <c r="AF778" s="404">
        <v>5</v>
      </c>
      <c r="AG778" s="404" t="s">
        <v>1740</v>
      </c>
      <c r="AH778" s="404" t="s">
        <v>1034</v>
      </c>
      <c r="AI778" s="404" t="s">
        <v>1739</v>
      </c>
      <c r="AJ778" s="404">
        <v>-9999</v>
      </c>
      <c r="AK778" s="404" t="s">
        <v>626</v>
      </c>
      <c r="AL778" s="404" t="s">
        <v>828</v>
      </c>
      <c r="AM778" s="404">
        <v>-9999</v>
      </c>
      <c r="AN778" s="404" t="s">
        <v>631</v>
      </c>
      <c r="AO778" s="404">
        <v>-9999</v>
      </c>
      <c r="AP778" s="404">
        <v>-9999</v>
      </c>
      <c r="AQ778" s="404" t="s">
        <v>631</v>
      </c>
      <c r="AR778" s="404">
        <v>0</v>
      </c>
      <c r="AS778" s="404">
        <v>-9999</v>
      </c>
      <c r="AT778" s="404">
        <v>-9999</v>
      </c>
      <c r="AU778" s="404">
        <v>0</v>
      </c>
      <c r="AV778" s="404">
        <v>-9999</v>
      </c>
      <c r="AW778" s="404">
        <v>-9999</v>
      </c>
      <c r="AX778" s="404">
        <v>0</v>
      </c>
      <c r="AY778" s="404">
        <v>-9999</v>
      </c>
      <c r="AZ778" s="404">
        <v>-9999</v>
      </c>
      <c r="BA778" s="404">
        <v>-9988</v>
      </c>
      <c r="BB778" s="404" t="s">
        <v>626</v>
      </c>
      <c r="BC778" s="404">
        <v>-9999</v>
      </c>
      <c r="BD778" s="404">
        <v>-9999</v>
      </c>
      <c r="BE778" s="404">
        <v>-9999</v>
      </c>
      <c r="BF778" s="404">
        <v>-9999</v>
      </c>
      <c r="BG778" s="404">
        <v>-9999</v>
      </c>
      <c r="BH778" s="404">
        <v>-9999</v>
      </c>
      <c r="BI778" s="404" t="s">
        <v>1035</v>
      </c>
      <c r="BJ778" s="404">
        <v>-9999</v>
      </c>
      <c r="BK778" s="404">
        <v>-9999</v>
      </c>
      <c r="BL778" s="404">
        <v>-9999</v>
      </c>
      <c r="BM778" s="404">
        <v>-9999</v>
      </c>
      <c r="BN778" s="404">
        <v>-9999</v>
      </c>
      <c r="BO778" s="404">
        <v>-9999</v>
      </c>
      <c r="BP778" s="404">
        <v>-9999</v>
      </c>
      <c r="BQ778" s="404">
        <v>-9999</v>
      </c>
      <c r="BR778" s="404">
        <v>-9999</v>
      </c>
      <c r="BS778" s="405">
        <v>-9999</v>
      </c>
      <c r="BT778" s="404">
        <v>-9999</v>
      </c>
      <c r="BU778" s="404">
        <v>-9999</v>
      </c>
      <c r="BV778" s="404">
        <v>-9999</v>
      </c>
      <c r="BW778" s="404"/>
      <c r="BX778" s="404">
        <v>-9999</v>
      </c>
      <c r="BY778" s="404">
        <v>-9999</v>
      </c>
      <c r="BZ778" s="404">
        <v>-9999</v>
      </c>
      <c r="CA778" s="407" t="s">
        <v>797</v>
      </c>
      <c r="CB778" s="247"/>
      <c r="CC778" s="240"/>
      <c r="CD778" s="25">
        <v>8</v>
      </c>
      <c r="CE778" s="67">
        <v>5.3535399999999997</v>
      </c>
      <c r="CF778" s="31">
        <v>14.07414</v>
      </c>
      <c r="CG778" s="84">
        <v>9</v>
      </c>
    </row>
    <row r="779" spans="1:85" s="23" customFormat="1" x14ac:dyDescent="0.2">
      <c r="A779" s="1"/>
      <c r="B779" s="29"/>
      <c r="C779" s="29"/>
      <c r="D779" s="1"/>
      <c r="E779" s="1"/>
      <c r="F779" s="1"/>
      <c r="G779" s="1"/>
      <c r="H779" s="30"/>
      <c r="I779" s="29"/>
      <c r="J779" s="29"/>
      <c r="K779" s="29"/>
      <c r="L779" s="29"/>
      <c r="M779" s="31"/>
      <c r="N779" s="29"/>
      <c r="O779" s="29"/>
      <c r="P779" s="70"/>
      <c r="Q779" s="29"/>
      <c r="R779" s="31"/>
      <c r="S779" s="29"/>
      <c r="T779" s="734"/>
      <c r="U779" s="29"/>
      <c r="V779" s="29"/>
      <c r="W779" s="317"/>
      <c r="X779" s="29"/>
      <c r="Y779" s="29"/>
      <c r="Z779" s="29"/>
      <c r="AA779" s="30"/>
      <c r="AB779" s="31"/>
      <c r="AC779" s="29"/>
      <c r="AD779" s="29"/>
      <c r="AE779" s="29"/>
      <c r="AF779" s="29"/>
      <c r="AG779" s="29"/>
      <c r="AH779" s="29"/>
      <c r="AI779" s="323"/>
      <c r="AJ779" s="29"/>
      <c r="AK779" s="29"/>
      <c r="AL779" s="29"/>
      <c r="AM779" s="29"/>
      <c r="AN779" s="29"/>
      <c r="AO779" s="29"/>
      <c r="AP779" s="29"/>
      <c r="AQ779" s="29"/>
      <c r="AR779" s="29"/>
      <c r="AS779" s="29"/>
      <c r="AT779" s="29"/>
      <c r="AU779" s="29"/>
      <c r="AV779" s="29"/>
      <c r="AW779" s="29"/>
      <c r="AX779" s="29"/>
      <c r="AY779" s="29"/>
      <c r="AZ779" s="29"/>
      <c r="BA779" s="29"/>
      <c r="BB779" s="29"/>
      <c r="BC779" s="29"/>
      <c r="BD779" s="29"/>
      <c r="BE779" s="29"/>
      <c r="BF779" s="29"/>
      <c r="BG779" s="29"/>
      <c r="BH779" s="29"/>
      <c r="BI779" s="29"/>
      <c r="BJ779" s="29"/>
      <c r="BK779" s="29"/>
      <c r="BL779" s="29"/>
      <c r="BM779" s="29"/>
      <c r="BN779" s="31"/>
      <c r="BO779" s="29"/>
      <c r="BP779" s="29"/>
      <c r="BQ779" s="29"/>
      <c r="BR779" s="29"/>
      <c r="BS779" s="30"/>
      <c r="BT779" s="29"/>
      <c r="BU779" s="29"/>
      <c r="BV779" s="29"/>
      <c r="BW779" s="29"/>
      <c r="BX779" s="29"/>
      <c r="BY779" s="29"/>
      <c r="BZ779" s="29"/>
      <c r="CA779" s="333"/>
      <c r="CC779" s="1"/>
      <c r="CD779" s="1"/>
      <c r="CE779" s="342" t="s">
        <v>1576</v>
      </c>
      <c r="CF779" s="342" t="s">
        <v>1575</v>
      </c>
      <c r="CG779" s="30"/>
    </row>
    <row r="780" spans="1:85" s="61" customFormat="1" x14ac:dyDescent="0.2">
      <c r="A780" s="403" t="s">
        <v>1389</v>
      </c>
      <c r="B780" s="419" t="s">
        <v>1742</v>
      </c>
      <c r="C780" s="419" t="s">
        <v>1750</v>
      </c>
      <c r="D780" s="403" t="s">
        <v>619</v>
      </c>
      <c r="E780" s="403" t="s">
        <v>1744</v>
      </c>
      <c r="F780" s="240">
        <v>1</v>
      </c>
      <c r="G780" s="565">
        <v>2</v>
      </c>
      <c r="H780" s="565">
        <v>2</v>
      </c>
      <c r="I780" s="404" t="s">
        <v>807</v>
      </c>
      <c r="J780" s="404">
        <v>2000</v>
      </c>
      <c r="K780" s="404" t="s">
        <v>1211</v>
      </c>
      <c r="L780" s="223">
        <v>2001</v>
      </c>
      <c r="M780" s="406">
        <v>-9999</v>
      </c>
      <c r="N780" s="405">
        <v>-9999</v>
      </c>
      <c r="O780" s="291"/>
      <c r="P780" s="244">
        <f t="shared" ref="P780:P785" si="90">+T780*G780</f>
        <v>3.7583799999999998</v>
      </c>
      <c r="Q780" s="223">
        <v>-9999</v>
      </c>
      <c r="R780" s="243"/>
      <c r="S780" s="223"/>
      <c r="T780" s="417">
        <v>1.8791899999999999</v>
      </c>
      <c r="U780" s="223">
        <v>-9999</v>
      </c>
      <c r="V780" s="223"/>
      <c r="W780" s="243">
        <v>-9999</v>
      </c>
      <c r="X780" s="223">
        <v>-9999</v>
      </c>
      <c r="Y780" s="223"/>
      <c r="Z780" s="404" t="s">
        <v>808</v>
      </c>
      <c r="AA780" s="564">
        <v>1075</v>
      </c>
      <c r="AB780" s="406">
        <v>1</v>
      </c>
      <c r="AC780" s="404">
        <v>-9999</v>
      </c>
      <c r="AD780" s="404">
        <v>18.600000000000001</v>
      </c>
      <c r="AE780" s="404" t="s">
        <v>1738</v>
      </c>
      <c r="AF780" s="404">
        <v>5</v>
      </c>
      <c r="AG780" s="404" t="s">
        <v>1748</v>
      </c>
      <c r="AH780" s="404" t="s">
        <v>1745</v>
      </c>
      <c r="AI780" s="404" t="s">
        <v>834</v>
      </c>
      <c r="AJ780" s="404">
        <v>-9999</v>
      </c>
      <c r="AK780" s="404" t="s">
        <v>626</v>
      </c>
      <c r="AL780" s="404" t="s">
        <v>828</v>
      </c>
      <c r="AM780" s="404">
        <v>-9999</v>
      </c>
      <c r="AN780" s="404" t="s">
        <v>631</v>
      </c>
      <c r="AO780" s="404">
        <v>-9999</v>
      </c>
      <c r="AP780" s="404">
        <v>-9999</v>
      </c>
      <c r="AQ780" s="404" t="s">
        <v>631</v>
      </c>
      <c r="AR780" s="404">
        <v>0</v>
      </c>
      <c r="AS780" s="404">
        <v>-9999</v>
      </c>
      <c r="AT780" s="404">
        <v>-9999</v>
      </c>
      <c r="AU780" s="404">
        <v>0</v>
      </c>
      <c r="AV780" s="404">
        <v>-9999</v>
      </c>
      <c r="AW780" s="404">
        <v>-9999</v>
      </c>
      <c r="AX780" s="404">
        <v>0</v>
      </c>
      <c r="AY780" s="404">
        <v>-9999</v>
      </c>
      <c r="AZ780" s="404">
        <v>-9999</v>
      </c>
      <c r="BA780" s="404">
        <v>-9988</v>
      </c>
      <c r="BB780" s="404" t="s">
        <v>626</v>
      </c>
      <c r="BC780" s="404">
        <v>-9999</v>
      </c>
      <c r="BD780" s="404">
        <v>-9999</v>
      </c>
      <c r="BE780" s="404">
        <v>-9999</v>
      </c>
      <c r="BF780" s="404">
        <v>-9999</v>
      </c>
      <c r="BG780" s="404">
        <v>-9999</v>
      </c>
      <c r="BH780" s="404">
        <v>-9999</v>
      </c>
      <c r="BI780" s="404" t="s">
        <v>1035</v>
      </c>
      <c r="BJ780" s="404">
        <v>-9999</v>
      </c>
      <c r="BK780" s="404">
        <v>-9999</v>
      </c>
      <c r="BL780" s="404">
        <v>-9999</v>
      </c>
      <c r="BM780" s="404">
        <v>-9999</v>
      </c>
      <c r="BN780" s="404">
        <v>-9999</v>
      </c>
      <c r="BO780" s="404">
        <v>-9999</v>
      </c>
      <c r="BP780" s="404">
        <v>-9999</v>
      </c>
      <c r="BQ780" s="404">
        <v>-9999</v>
      </c>
      <c r="BR780" s="404">
        <v>-9999</v>
      </c>
      <c r="BS780" s="405">
        <v>-9999</v>
      </c>
      <c r="BT780" s="404">
        <v>-9999</v>
      </c>
      <c r="BU780" s="404">
        <v>-9999</v>
      </c>
      <c r="BV780" s="404">
        <v>-9999</v>
      </c>
      <c r="BW780" s="404"/>
      <c r="BX780" s="404">
        <v>-9999</v>
      </c>
      <c r="BY780" s="404">
        <v>-9999</v>
      </c>
      <c r="BZ780" s="404">
        <v>-9999</v>
      </c>
      <c r="CA780" s="407" t="s">
        <v>797</v>
      </c>
      <c r="CB780" s="247"/>
      <c r="CC780" s="240">
        <v>1</v>
      </c>
      <c r="CD780" s="420">
        <v>2</v>
      </c>
      <c r="CE780" s="67">
        <v>1.8791899999999999</v>
      </c>
      <c r="CF780" s="67"/>
      <c r="CG780" s="420">
        <v>2</v>
      </c>
    </row>
    <row r="781" spans="1:85" s="61" customFormat="1" x14ac:dyDescent="0.2">
      <c r="A781" s="403" t="s">
        <v>1389</v>
      </c>
      <c r="B781" s="419" t="s">
        <v>1742</v>
      </c>
      <c r="C781" s="419" t="s">
        <v>1750</v>
      </c>
      <c r="D781" s="403" t="s">
        <v>619</v>
      </c>
      <c r="E781" s="403" t="s">
        <v>1744</v>
      </c>
      <c r="F781" s="240">
        <v>1</v>
      </c>
      <c r="G781" s="240">
        <v>3</v>
      </c>
      <c r="H781" s="240">
        <v>3</v>
      </c>
      <c r="I781" s="404" t="s">
        <v>807</v>
      </c>
      <c r="J781" s="404">
        <v>2000</v>
      </c>
      <c r="K781" s="404" t="s">
        <v>1211</v>
      </c>
      <c r="L781" s="223">
        <v>2002</v>
      </c>
      <c r="M781" s="406">
        <v>-9999</v>
      </c>
      <c r="N781" s="405">
        <v>-9999</v>
      </c>
      <c r="O781" s="291"/>
      <c r="P781" s="244">
        <f t="shared" si="90"/>
        <v>10.852349999999999</v>
      </c>
      <c r="Q781" s="223">
        <v>-9999</v>
      </c>
      <c r="R781" s="243"/>
      <c r="S781" s="223"/>
      <c r="T781" s="417">
        <v>3.6174499999999998</v>
      </c>
      <c r="U781" s="223">
        <v>-9999</v>
      </c>
      <c r="V781" s="223"/>
      <c r="W781" s="285">
        <f>+P781-P780</f>
        <v>7.0939699999999997</v>
      </c>
      <c r="X781" s="223">
        <v>-9999</v>
      </c>
      <c r="Y781" s="223"/>
      <c r="Z781" s="404" t="s">
        <v>808</v>
      </c>
      <c r="AA781" s="564">
        <v>1075</v>
      </c>
      <c r="AB781" s="406">
        <v>1</v>
      </c>
      <c r="AC781" s="404">
        <v>-9999</v>
      </c>
      <c r="AD781" s="404">
        <v>18.600000000000001</v>
      </c>
      <c r="AE781" s="404" t="s">
        <v>1738</v>
      </c>
      <c r="AF781" s="404">
        <v>5</v>
      </c>
      <c r="AG781" s="404" t="s">
        <v>1748</v>
      </c>
      <c r="AH781" s="404" t="s">
        <v>1745</v>
      </c>
      <c r="AI781" s="404" t="s">
        <v>834</v>
      </c>
      <c r="AJ781" s="404">
        <v>-9999</v>
      </c>
      <c r="AK781" s="404" t="s">
        <v>626</v>
      </c>
      <c r="AL781" s="404" t="s">
        <v>828</v>
      </c>
      <c r="AM781" s="404">
        <v>-9999</v>
      </c>
      <c r="AN781" s="404" t="s">
        <v>631</v>
      </c>
      <c r="AO781" s="404">
        <v>-9999</v>
      </c>
      <c r="AP781" s="404">
        <v>-9999</v>
      </c>
      <c r="AQ781" s="404" t="s">
        <v>631</v>
      </c>
      <c r="AR781" s="404">
        <v>0</v>
      </c>
      <c r="AS781" s="404">
        <v>-9999</v>
      </c>
      <c r="AT781" s="404">
        <v>-9999</v>
      </c>
      <c r="AU781" s="404">
        <v>0</v>
      </c>
      <c r="AV781" s="404">
        <v>-9999</v>
      </c>
      <c r="AW781" s="404">
        <v>-9999</v>
      </c>
      <c r="AX781" s="404">
        <v>0</v>
      </c>
      <c r="AY781" s="404">
        <v>-9999</v>
      </c>
      <c r="AZ781" s="404">
        <v>-9999</v>
      </c>
      <c r="BA781" s="404">
        <v>-9988</v>
      </c>
      <c r="BB781" s="404" t="s">
        <v>626</v>
      </c>
      <c r="BC781" s="404">
        <v>-9999</v>
      </c>
      <c r="BD781" s="404">
        <v>-9999</v>
      </c>
      <c r="BE781" s="404">
        <v>-9999</v>
      </c>
      <c r="BF781" s="404">
        <v>-9999</v>
      </c>
      <c r="BG781" s="404">
        <v>-9999</v>
      </c>
      <c r="BH781" s="404">
        <v>-9999</v>
      </c>
      <c r="BI781" s="404" t="s">
        <v>1035</v>
      </c>
      <c r="BJ781" s="404">
        <v>-9999</v>
      </c>
      <c r="BK781" s="404">
        <v>-9999</v>
      </c>
      <c r="BL781" s="404">
        <v>-9999</v>
      </c>
      <c r="BM781" s="404">
        <v>-9999</v>
      </c>
      <c r="BN781" s="404">
        <v>-9999</v>
      </c>
      <c r="BO781" s="404">
        <v>-9999</v>
      </c>
      <c r="BP781" s="404">
        <v>-9999</v>
      </c>
      <c r="BQ781" s="404">
        <v>-9999</v>
      </c>
      <c r="BR781" s="404">
        <v>-9999</v>
      </c>
      <c r="BS781" s="405">
        <v>-9999</v>
      </c>
      <c r="BT781" s="404">
        <v>-9999</v>
      </c>
      <c r="BU781" s="404">
        <v>-9999</v>
      </c>
      <c r="BV781" s="404">
        <v>-9999</v>
      </c>
      <c r="BW781" s="404"/>
      <c r="BX781" s="404">
        <v>-9999</v>
      </c>
      <c r="BY781" s="404">
        <v>-9999</v>
      </c>
      <c r="BZ781" s="404">
        <v>-9999</v>
      </c>
      <c r="CA781" s="407" t="s">
        <v>797</v>
      </c>
      <c r="CB781" s="247"/>
      <c r="CC781" s="240">
        <v>1</v>
      </c>
      <c r="CD781" s="25">
        <v>3</v>
      </c>
      <c r="CE781" s="67">
        <v>3.6174499999999998</v>
      </c>
      <c r="CF781" s="67">
        <v>7.0939699999999997</v>
      </c>
      <c r="CG781" s="25">
        <v>3</v>
      </c>
    </row>
    <row r="782" spans="1:85" s="61" customFormat="1" x14ac:dyDescent="0.2">
      <c r="A782" s="403" t="s">
        <v>1389</v>
      </c>
      <c r="B782" s="419" t="s">
        <v>1742</v>
      </c>
      <c r="C782" s="419" t="s">
        <v>1750</v>
      </c>
      <c r="D782" s="403" t="s">
        <v>619</v>
      </c>
      <c r="E782" s="403" t="s">
        <v>1744</v>
      </c>
      <c r="F782" s="240">
        <v>1</v>
      </c>
      <c r="G782" s="240">
        <v>4</v>
      </c>
      <c r="H782" s="240">
        <v>4</v>
      </c>
      <c r="I782" s="404" t="s">
        <v>807</v>
      </c>
      <c r="J782" s="404">
        <v>2000</v>
      </c>
      <c r="K782" s="404" t="s">
        <v>1211</v>
      </c>
      <c r="L782" s="223">
        <v>2003</v>
      </c>
      <c r="M782" s="406">
        <v>-9999</v>
      </c>
      <c r="N782" s="405">
        <v>-9999</v>
      </c>
      <c r="O782" s="291"/>
      <c r="P782" s="244">
        <f t="shared" si="90"/>
        <v>25.932880000000001</v>
      </c>
      <c r="Q782" s="223">
        <v>-9999</v>
      </c>
      <c r="R782" s="243"/>
      <c r="S782" s="223"/>
      <c r="T782" s="417">
        <v>6.4832200000000002</v>
      </c>
      <c r="U782" s="223">
        <v>-9999</v>
      </c>
      <c r="V782" s="223"/>
      <c r="W782" s="285">
        <f>+P782-P781</f>
        <v>15.080530000000001</v>
      </c>
      <c r="X782" s="223">
        <v>-9999</v>
      </c>
      <c r="Y782" s="223"/>
      <c r="Z782" s="404" t="s">
        <v>808</v>
      </c>
      <c r="AA782" s="564">
        <v>1075</v>
      </c>
      <c r="AB782" s="406">
        <v>1</v>
      </c>
      <c r="AC782" s="404">
        <v>-9999</v>
      </c>
      <c r="AD782" s="404">
        <v>18.600000000000001</v>
      </c>
      <c r="AE782" s="404" t="s">
        <v>1738</v>
      </c>
      <c r="AF782" s="404">
        <v>5</v>
      </c>
      <c r="AG782" s="404" t="s">
        <v>1748</v>
      </c>
      <c r="AH782" s="404" t="s">
        <v>1745</v>
      </c>
      <c r="AI782" s="404" t="s">
        <v>834</v>
      </c>
      <c r="AJ782" s="404">
        <v>-9999</v>
      </c>
      <c r="AK782" s="404" t="s">
        <v>626</v>
      </c>
      <c r="AL782" s="404" t="s">
        <v>828</v>
      </c>
      <c r="AM782" s="404">
        <v>-9999</v>
      </c>
      <c r="AN782" s="404" t="s">
        <v>631</v>
      </c>
      <c r="AO782" s="404">
        <v>-9999</v>
      </c>
      <c r="AP782" s="404">
        <v>-9999</v>
      </c>
      <c r="AQ782" s="404" t="s">
        <v>631</v>
      </c>
      <c r="AR782" s="404">
        <v>0</v>
      </c>
      <c r="AS782" s="404">
        <v>-9999</v>
      </c>
      <c r="AT782" s="404">
        <v>-9999</v>
      </c>
      <c r="AU782" s="404">
        <v>0</v>
      </c>
      <c r="AV782" s="404">
        <v>-9999</v>
      </c>
      <c r="AW782" s="404">
        <v>-9999</v>
      </c>
      <c r="AX782" s="404">
        <v>0</v>
      </c>
      <c r="AY782" s="404">
        <v>-9999</v>
      </c>
      <c r="AZ782" s="404">
        <v>-9999</v>
      </c>
      <c r="BA782" s="404">
        <v>-9988</v>
      </c>
      <c r="BB782" s="404" t="s">
        <v>626</v>
      </c>
      <c r="BC782" s="404">
        <v>-9999</v>
      </c>
      <c r="BD782" s="404">
        <v>-9999</v>
      </c>
      <c r="BE782" s="404">
        <v>-9999</v>
      </c>
      <c r="BF782" s="404">
        <v>-9999</v>
      </c>
      <c r="BG782" s="404">
        <v>-9999</v>
      </c>
      <c r="BH782" s="404">
        <v>-9999</v>
      </c>
      <c r="BI782" s="404" t="s">
        <v>1035</v>
      </c>
      <c r="BJ782" s="404">
        <v>-9999</v>
      </c>
      <c r="BK782" s="404">
        <v>-9999</v>
      </c>
      <c r="BL782" s="404">
        <v>-9999</v>
      </c>
      <c r="BM782" s="404">
        <v>-9999</v>
      </c>
      <c r="BN782" s="404">
        <v>-9999</v>
      </c>
      <c r="BO782" s="404">
        <v>-9999</v>
      </c>
      <c r="BP782" s="404">
        <v>-9999</v>
      </c>
      <c r="BQ782" s="404">
        <v>-9999</v>
      </c>
      <c r="BR782" s="404">
        <v>-9999</v>
      </c>
      <c r="BS782" s="405">
        <v>-9999</v>
      </c>
      <c r="BT782" s="404">
        <v>-9999</v>
      </c>
      <c r="BU782" s="404">
        <v>-9999</v>
      </c>
      <c r="BV782" s="404">
        <v>-9999</v>
      </c>
      <c r="BW782" s="404"/>
      <c r="BX782" s="404">
        <v>-9999</v>
      </c>
      <c r="BY782" s="404">
        <v>-9999</v>
      </c>
      <c r="BZ782" s="404">
        <v>-9999</v>
      </c>
      <c r="CA782" s="407" t="s">
        <v>797</v>
      </c>
      <c r="CB782" s="247"/>
      <c r="CC782" s="240">
        <v>1</v>
      </c>
      <c r="CD782" s="25">
        <v>4</v>
      </c>
      <c r="CE782" s="67">
        <v>6.4832200000000002</v>
      </c>
      <c r="CF782" s="67">
        <v>15.080530000000001</v>
      </c>
      <c r="CG782" s="25">
        <v>4</v>
      </c>
    </row>
    <row r="783" spans="1:85" s="61" customFormat="1" x14ac:dyDescent="0.2">
      <c r="A783" s="403" t="s">
        <v>1389</v>
      </c>
      <c r="B783" s="419" t="s">
        <v>1742</v>
      </c>
      <c r="C783" s="419" t="s">
        <v>1750</v>
      </c>
      <c r="D783" s="403" t="s">
        <v>619</v>
      </c>
      <c r="E783" s="403" t="s">
        <v>1744</v>
      </c>
      <c r="F783" s="240">
        <v>1</v>
      </c>
      <c r="G783" s="240">
        <v>5</v>
      </c>
      <c r="H783" s="240">
        <v>5</v>
      </c>
      <c r="I783" s="404" t="s">
        <v>807</v>
      </c>
      <c r="J783" s="404">
        <v>2000</v>
      </c>
      <c r="K783" s="404" t="s">
        <v>1211</v>
      </c>
      <c r="L783" s="404">
        <v>2004</v>
      </c>
      <c r="M783" s="406">
        <v>-9999</v>
      </c>
      <c r="N783" s="405">
        <v>-9999</v>
      </c>
      <c r="O783" s="291"/>
      <c r="P783" s="244">
        <f t="shared" si="90"/>
        <v>47.214749999999995</v>
      </c>
      <c r="Q783" s="223">
        <v>-9999</v>
      </c>
      <c r="R783" s="243"/>
      <c r="S783" s="223"/>
      <c r="T783" s="417">
        <v>9.4429499999999997</v>
      </c>
      <c r="U783" s="223">
        <v>-9999</v>
      </c>
      <c r="V783" s="223"/>
      <c r="W783" s="285">
        <f>+P783-P782</f>
        <v>21.281869999999994</v>
      </c>
      <c r="X783" s="223">
        <v>-9999</v>
      </c>
      <c r="Y783" s="223"/>
      <c r="Z783" s="404" t="s">
        <v>808</v>
      </c>
      <c r="AA783" s="564">
        <v>1075</v>
      </c>
      <c r="AB783" s="406">
        <v>1</v>
      </c>
      <c r="AC783" s="404">
        <v>-9999</v>
      </c>
      <c r="AD783" s="404">
        <v>18.600000000000001</v>
      </c>
      <c r="AE783" s="404" t="s">
        <v>1738</v>
      </c>
      <c r="AF783" s="404">
        <v>5</v>
      </c>
      <c r="AG783" s="404" t="s">
        <v>1748</v>
      </c>
      <c r="AH783" s="404" t="s">
        <v>1745</v>
      </c>
      <c r="AI783" s="404" t="s">
        <v>834</v>
      </c>
      <c r="AJ783" s="404">
        <v>-9999</v>
      </c>
      <c r="AK783" s="404" t="s">
        <v>626</v>
      </c>
      <c r="AL783" s="404" t="s">
        <v>828</v>
      </c>
      <c r="AM783" s="404">
        <v>-9999</v>
      </c>
      <c r="AN783" s="404" t="s">
        <v>631</v>
      </c>
      <c r="AO783" s="404">
        <v>-9999</v>
      </c>
      <c r="AP783" s="404">
        <v>-9999</v>
      </c>
      <c r="AQ783" s="404" t="s">
        <v>631</v>
      </c>
      <c r="AR783" s="404">
        <v>0</v>
      </c>
      <c r="AS783" s="404">
        <v>-9999</v>
      </c>
      <c r="AT783" s="404">
        <v>-9999</v>
      </c>
      <c r="AU783" s="404">
        <v>0</v>
      </c>
      <c r="AV783" s="404">
        <v>-9999</v>
      </c>
      <c r="AW783" s="404">
        <v>-9999</v>
      </c>
      <c r="AX783" s="404">
        <v>0</v>
      </c>
      <c r="AY783" s="404">
        <v>-9999</v>
      </c>
      <c r="AZ783" s="404">
        <v>-9999</v>
      </c>
      <c r="BA783" s="404">
        <v>-9988</v>
      </c>
      <c r="BB783" s="404" t="s">
        <v>626</v>
      </c>
      <c r="BC783" s="404">
        <v>-9999</v>
      </c>
      <c r="BD783" s="404">
        <v>-9999</v>
      </c>
      <c r="BE783" s="404">
        <v>-9999</v>
      </c>
      <c r="BF783" s="404">
        <v>-9999</v>
      </c>
      <c r="BG783" s="404">
        <v>-9999</v>
      </c>
      <c r="BH783" s="404">
        <v>-9999</v>
      </c>
      <c r="BI783" s="404" t="s">
        <v>1035</v>
      </c>
      <c r="BJ783" s="404">
        <v>-9999</v>
      </c>
      <c r="BK783" s="404">
        <v>-9999</v>
      </c>
      <c r="BL783" s="404">
        <v>-9999</v>
      </c>
      <c r="BM783" s="404">
        <v>-9999</v>
      </c>
      <c r="BN783" s="404">
        <v>-9999</v>
      </c>
      <c r="BO783" s="404">
        <v>-9999</v>
      </c>
      <c r="BP783" s="404">
        <v>-9999</v>
      </c>
      <c r="BQ783" s="404">
        <v>-9999</v>
      </c>
      <c r="BR783" s="404">
        <v>-9999</v>
      </c>
      <c r="BS783" s="405">
        <v>-9999</v>
      </c>
      <c r="BT783" s="404">
        <v>-9999</v>
      </c>
      <c r="BU783" s="404">
        <v>-9999</v>
      </c>
      <c r="BV783" s="404">
        <v>-9999</v>
      </c>
      <c r="BW783" s="404"/>
      <c r="BX783" s="404">
        <v>-9999</v>
      </c>
      <c r="BY783" s="404">
        <v>-9999</v>
      </c>
      <c r="BZ783" s="404">
        <v>-9999</v>
      </c>
      <c r="CA783" s="407" t="s">
        <v>797</v>
      </c>
      <c r="CB783" s="247"/>
      <c r="CC783" s="240">
        <v>1</v>
      </c>
      <c r="CD783" s="25">
        <v>5</v>
      </c>
      <c r="CE783" s="67">
        <v>9.4429499999999997</v>
      </c>
      <c r="CF783" s="67">
        <v>21.281869999999994</v>
      </c>
      <c r="CG783" s="25">
        <v>5</v>
      </c>
    </row>
    <row r="784" spans="1:85" s="61" customFormat="1" x14ac:dyDescent="0.2">
      <c r="A784" s="403" t="s">
        <v>1389</v>
      </c>
      <c r="B784" s="419" t="s">
        <v>1742</v>
      </c>
      <c r="C784" s="419" t="s">
        <v>1750</v>
      </c>
      <c r="D784" s="403" t="s">
        <v>619</v>
      </c>
      <c r="E784" s="403" t="s">
        <v>1744</v>
      </c>
      <c r="F784" s="240">
        <v>1</v>
      </c>
      <c r="G784" s="240">
        <v>6</v>
      </c>
      <c r="H784" s="240">
        <v>6</v>
      </c>
      <c r="I784" s="404" t="s">
        <v>807</v>
      </c>
      <c r="J784" s="404">
        <v>2000</v>
      </c>
      <c r="K784" s="404" t="s">
        <v>1211</v>
      </c>
      <c r="L784" s="419">
        <v>2005</v>
      </c>
      <c r="M784" s="406">
        <v>-9999</v>
      </c>
      <c r="N784" s="405">
        <v>-9999</v>
      </c>
      <c r="O784" s="291"/>
      <c r="P784" s="244">
        <f t="shared" si="90"/>
        <v>61.449659999999994</v>
      </c>
      <c r="Q784" s="223">
        <v>-9999</v>
      </c>
      <c r="R784" s="243"/>
      <c r="S784" s="223"/>
      <c r="T784" s="417">
        <v>10.24161</v>
      </c>
      <c r="U784" s="223">
        <v>-9999</v>
      </c>
      <c r="V784" s="223"/>
      <c r="W784" s="285">
        <f>+P784-P783</f>
        <v>14.234909999999999</v>
      </c>
      <c r="X784" s="223">
        <v>-9999</v>
      </c>
      <c r="Y784" s="223"/>
      <c r="Z784" s="404" t="s">
        <v>808</v>
      </c>
      <c r="AA784" s="564">
        <v>1075</v>
      </c>
      <c r="AB784" s="406">
        <v>1</v>
      </c>
      <c r="AC784" s="404">
        <v>-9999</v>
      </c>
      <c r="AD784" s="404">
        <v>18.600000000000001</v>
      </c>
      <c r="AE784" s="404" t="s">
        <v>1738</v>
      </c>
      <c r="AF784" s="404">
        <v>5</v>
      </c>
      <c r="AG784" s="404" t="s">
        <v>1748</v>
      </c>
      <c r="AH784" s="404" t="s">
        <v>1745</v>
      </c>
      <c r="AI784" s="404" t="s">
        <v>834</v>
      </c>
      <c r="AJ784" s="404">
        <v>-9999</v>
      </c>
      <c r="AK784" s="404" t="s">
        <v>626</v>
      </c>
      <c r="AL784" s="404" t="s">
        <v>828</v>
      </c>
      <c r="AM784" s="404">
        <v>-9999</v>
      </c>
      <c r="AN784" s="404" t="s">
        <v>631</v>
      </c>
      <c r="AO784" s="404">
        <v>-9999</v>
      </c>
      <c r="AP784" s="404">
        <v>-9999</v>
      </c>
      <c r="AQ784" s="404" t="s">
        <v>631</v>
      </c>
      <c r="AR784" s="404">
        <v>0</v>
      </c>
      <c r="AS784" s="404">
        <v>-9999</v>
      </c>
      <c r="AT784" s="404">
        <v>-9999</v>
      </c>
      <c r="AU784" s="404">
        <v>0</v>
      </c>
      <c r="AV784" s="404">
        <v>-9999</v>
      </c>
      <c r="AW784" s="404">
        <v>-9999</v>
      </c>
      <c r="AX784" s="404">
        <v>0</v>
      </c>
      <c r="AY784" s="404">
        <v>-9999</v>
      </c>
      <c r="AZ784" s="404">
        <v>-9999</v>
      </c>
      <c r="BA784" s="404">
        <v>-9988</v>
      </c>
      <c r="BB784" s="404" t="s">
        <v>626</v>
      </c>
      <c r="BC784" s="404">
        <v>-9999</v>
      </c>
      <c r="BD784" s="404">
        <v>-9999</v>
      </c>
      <c r="BE784" s="404">
        <v>-9999</v>
      </c>
      <c r="BF784" s="404">
        <v>-9999</v>
      </c>
      <c r="BG784" s="404">
        <v>-9999</v>
      </c>
      <c r="BH784" s="404">
        <v>-9999</v>
      </c>
      <c r="BI784" s="404" t="s">
        <v>1035</v>
      </c>
      <c r="BJ784" s="404">
        <v>-9999</v>
      </c>
      <c r="BK784" s="404">
        <v>-9999</v>
      </c>
      <c r="BL784" s="404">
        <v>-9999</v>
      </c>
      <c r="BM784" s="404">
        <v>-9999</v>
      </c>
      <c r="BN784" s="404">
        <v>-9999</v>
      </c>
      <c r="BO784" s="404">
        <v>-9999</v>
      </c>
      <c r="BP784" s="404">
        <v>-9999</v>
      </c>
      <c r="BQ784" s="404">
        <v>-9999</v>
      </c>
      <c r="BR784" s="404">
        <v>-9999</v>
      </c>
      <c r="BS784" s="405">
        <v>-9999</v>
      </c>
      <c r="BT784" s="404">
        <v>-9999</v>
      </c>
      <c r="BU784" s="404">
        <v>-9999</v>
      </c>
      <c r="BV784" s="404">
        <v>-9999</v>
      </c>
      <c r="BW784" s="404"/>
      <c r="BX784" s="404">
        <v>-9999</v>
      </c>
      <c r="BY784" s="404">
        <v>-9999</v>
      </c>
      <c r="BZ784" s="404">
        <v>-9999</v>
      </c>
      <c r="CA784" s="407" t="s">
        <v>797</v>
      </c>
      <c r="CB784" s="247"/>
      <c r="CC784" s="240">
        <v>1</v>
      </c>
      <c r="CD784" s="25">
        <v>6</v>
      </c>
      <c r="CE784" s="67">
        <v>10.24161</v>
      </c>
      <c r="CF784" s="67">
        <v>14.234909999999999</v>
      </c>
      <c r="CG784" s="25">
        <v>6</v>
      </c>
    </row>
    <row r="785" spans="1:86" s="13" customFormat="1" x14ac:dyDescent="0.2">
      <c r="A785" s="283" t="s">
        <v>1389</v>
      </c>
      <c r="B785" s="423" t="s">
        <v>1742</v>
      </c>
      <c r="C785" s="419" t="s">
        <v>1750</v>
      </c>
      <c r="D785" s="283" t="s">
        <v>619</v>
      </c>
      <c r="E785" s="283" t="s">
        <v>1744</v>
      </c>
      <c r="F785" s="283">
        <v>1</v>
      </c>
      <c r="G785" s="283">
        <v>7</v>
      </c>
      <c r="H785" s="283">
        <v>7</v>
      </c>
      <c r="I785" s="249" t="s">
        <v>807</v>
      </c>
      <c r="J785" s="249">
        <v>2000</v>
      </c>
      <c r="K785" s="249" t="s">
        <v>1211</v>
      </c>
      <c r="L785" s="423">
        <v>2006</v>
      </c>
      <c r="M785" s="253">
        <v>-9999</v>
      </c>
      <c r="N785" s="251">
        <v>-9999</v>
      </c>
      <c r="O785" s="20"/>
      <c r="P785" s="284">
        <f t="shared" si="90"/>
        <v>93.067099999999996</v>
      </c>
      <c r="Q785" s="249">
        <v>-9999</v>
      </c>
      <c r="R785" s="253"/>
      <c r="S785" s="249"/>
      <c r="T785" s="253">
        <v>13.295299999999999</v>
      </c>
      <c r="U785" s="249">
        <v>-9999</v>
      </c>
      <c r="V785" s="249"/>
      <c r="W785" s="558">
        <f>+P785-P784</f>
        <v>31.617440000000002</v>
      </c>
      <c r="X785" s="249">
        <v>-9999</v>
      </c>
      <c r="Y785" s="249"/>
      <c r="Z785" s="249" t="s">
        <v>808</v>
      </c>
      <c r="AA785" s="384">
        <v>1075</v>
      </c>
      <c r="AB785" s="253">
        <v>1</v>
      </c>
      <c r="AC785" s="249">
        <v>-9999</v>
      </c>
      <c r="AD785" s="249">
        <v>18.600000000000001</v>
      </c>
      <c r="AE785" s="249" t="s">
        <v>1738</v>
      </c>
      <c r="AF785" s="249">
        <v>5</v>
      </c>
      <c r="AG785" s="249" t="s">
        <v>1748</v>
      </c>
      <c r="AH785" s="249" t="s">
        <v>1745</v>
      </c>
      <c r="AI785" s="249" t="s">
        <v>834</v>
      </c>
      <c r="AJ785" s="249">
        <v>-9999</v>
      </c>
      <c r="AK785" s="249" t="s">
        <v>626</v>
      </c>
      <c r="AL785" s="249" t="s">
        <v>828</v>
      </c>
      <c r="AM785" s="249">
        <v>-9999</v>
      </c>
      <c r="AN785" s="249" t="s">
        <v>631</v>
      </c>
      <c r="AO785" s="249">
        <v>-9999</v>
      </c>
      <c r="AP785" s="249">
        <v>-9999</v>
      </c>
      <c r="AQ785" s="249" t="s">
        <v>631</v>
      </c>
      <c r="AR785" s="249">
        <v>0</v>
      </c>
      <c r="AS785" s="249">
        <v>-9999</v>
      </c>
      <c r="AT785" s="249">
        <v>-9999</v>
      </c>
      <c r="AU785" s="249">
        <v>0</v>
      </c>
      <c r="AV785" s="249">
        <v>-9999</v>
      </c>
      <c r="AW785" s="249">
        <v>-9999</v>
      </c>
      <c r="AX785" s="249">
        <v>0</v>
      </c>
      <c r="AY785" s="249">
        <v>-9999</v>
      </c>
      <c r="AZ785" s="249">
        <v>-9999</v>
      </c>
      <c r="BA785" s="249">
        <v>-9988</v>
      </c>
      <c r="BB785" s="249" t="s">
        <v>626</v>
      </c>
      <c r="BC785" s="249">
        <v>-9999</v>
      </c>
      <c r="BD785" s="249">
        <v>-9999</v>
      </c>
      <c r="BE785" s="249">
        <v>-9999</v>
      </c>
      <c r="BF785" s="249">
        <v>-9999</v>
      </c>
      <c r="BG785" s="249">
        <v>-9999</v>
      </c>
      <c r="BH785" s="249">
        <v>-9999</v>
      </c>
      <c r="BI785" s="249" t="s">
        <v>1035</v>
      </c>
      <c r="BJ785" s="249">
        <v>-9999</v>
      </c>
      <c r="BK785" s="249">
        <v>-9999</v>
      </c>
      <c r="BL785" s="249">
        <v>-9999</v>
      </c>
      <c r="BM785" s="249">
        <v>-9999</v>
      </c>
      <c r="BN785" s="249">
        <v>-9999</v>
      </c>
      <c r="BO785" s="249">
        <v>-9999</v>
      </c>
      <c r="BP785" s="249">
        <v>-9999</v>
      </c>
      <c r="BQ785" s="249">
        <v>-9999</v>
      </c>
      <c r="BR785" s="249">
        <v>-9999</v>
      </c>
      <c r="BS785" s="251">
        <v>-9999</v>
      </c>
      <c r="BT785" s="249">
        <v>-9999</v>
      </c>
      <c r="BU785" s="249">
        <v>-9999</v>
      </c>
      <c r="BV785" s="249">
        <v>-9999</v>
      </c>
      <c r="BW785" s="249"/>
      <c r="BX785" s="249">
        <v>-9999</v>
      </c>
      <c r="BY785" s="249">
        <v>-9999</v>
      </c>
      <c r="BZ785" s="249">
        <v>-9999</v>
      </c>
      <c r="CA785" s="335" t="s">
        <v>797</v>
      </c>
      <c r="CB785" s="254"/>
      <c r="CC785" s="283">
        <v>1</v>
      </c>
      <c r="CD785" s="24">
        <v>7</v>
      </c>
      <c r="CE785" s="21">
        <v>13.295299999999999</v>
      </c>
      <c r="CF785" s="21">
        <v>31.617440000000002</v>
      </c>
      <c r="CG785" s="24">
        <v>7</v>
      </c>
    </row>
    <row r="786" spans="1:86" s="23" customFormat="1" x14ac:dyDescent="0.2">
      <c r="A786" s="25"/>
      <c r="B786" s="223"/>
      <c r="C786" s="404"/>
      <c r="D786" s="240"/>
      <c r="E786" s="240"/>
      <c r="F786" s="240"/>
      <c r="G786" s="240"/>
      <c r="H786" s="240"/>
      <c r="I786" s="223"/>
      <c r="J786" s="404"/>
      <c r="K786" s="223"/>
      <c r="L786" s="223"/>
      <c r="M786" s="406"/>
      <c r="N786" s="405"/>
      <c r="O786" s="291"/>
      <c r="P786" s="244"/>
      <c r="Q786" s="223"/>
      <c r="R786" s="243"/>
      <c r="S786" s="223"/>
      <c r="T786" s="421"/>
      <c r="U786" s="223"/>
      <c r="V786" s="223"/>
      <c r="W786" s="285"/>
      <c r="X786" s="223"/>
      <c r="Y786" s="223"/>
      <c r="Z786" s="223"/>
      <c r="AA786" s="242"/>
      <c r="AB786" s="243"/>
      <c r="AC786" s="223"/>
      <c r="AD786" s="223"/>
      <c r="AE786" s="223"/>
      <c r="AF786" s="223"/>
      <c r="AG786" s="404"/>
      <c r="AH786" s="223"/>
      <c r="AI786" s="223"/>
      <c r="AJ786" s="223"/>
      <c r="AK786" s="223"/>
      <c r="AL786" s="223"/>
      <c r="AM786" s="223"/>
      <c r="AN786" s="223"/>
      <c r="AO786" s="223"/>
      <c r="AP786" s="223"/>
      <c r="AQ786" s="223"/>
      <c r="AR786" s="223"/>
      <c r="AS786" s="223"/>
      <c r="AT786" s="223"/>
      <c r="AU786" s="223"/>
      <c r="AV786" s="223"/>
      <c r="AW786" s="223"/>
      <c r="AX786" s="223"/>
      <c r="AY786" s="223"/>
      <c r="AZ786" s="223"/>
      <c r="BA786" s="223"/>
      <c r="BB786" s="223"/>
      <c r="BC786" s="223"/>
      <c r="BD786" s="223"/>
      <c r="BE786" s="223"/>
      <c r="BF786" s="223"/>
      <c r="BG786" s="223"/>
      <c r="BH786" s="223"/>
      <c r="BI786" s="223"/>
      <c r="BJ786" s="223"/>
      <c r="BK786" s="223"/>
      <c r="BL786" s="223"/>
      <c r="BM786" s="223"/>
      <c r="BN786" s="243"/>
      <c r="BO786" s="223"/>
      <c r="BP786" s="223"/>
      <c r="BQ786" s="223"/>
      <c r="BR786" s="223"/>
      <c r="BS786" s="242"/>
      <c r="BT786" s="223"/>
      <c r="BU786" s="223"/>
      <c r="BV786" s="223"/>
      <c r="BW786" s="223"/>
      <c r="BX786" s="223"/>
      <c r="BY786" s="223"/>
      <c r="BZ786" s="223"/>
      <c r="CA786" s="334"/>
      <c r="CB786" s="247"/>
      <c r="CC786" s="240"/>
      <c r="CD786" s="25"/>
      <c r="CE786" s="342" t="s">
        <v>1576</v>
      </c>
      <c r="CF786" s="342" t="s">
        <v>1575</v>
      </c>
      <c r="CG786" s="25"/>
    </row>
    <row r="787" spans="1:86" s="61" customFormat="1" x14ac:dyDescent="0.2">
      <c r="A787" s="403" t="s">
        <v>1389</v>
      </c>
      <c r="B787" s="419" t="s">
        <v>1742</v>
      </c>
      <c r="C787" s="445" t="s">
        <v>1743</v>
      </c>
      <c r="D787" s="403" t="s">
        <v>619</v>
      </c>
      <c r="E787" s="403" t="s">
        <v>1737</v>
      </c>
      <c r="F787" s="240">
        <v>1</v>
      </c>
      <c r="G787" s="565">
        <v>2</v>
      </c>
      <c r="H787" s="565">
        <v>2</v>
      </c>
      <c r="I787" s="404" t="s">
        <v>807</v>
      </c>
      <c r="J787" s="404">
        <v>2000</v>
      </c>
      <c r="K787" s="404" t="s">
        <v>1211</v>
      </c>
      <c r="L787" s="223">
        <v>2001</v>
      </c>
      <c r="M787" s="406">
        <v>-9999</v>
      </c>
      <c r="N787" s="405">
        <v>-9999</v>
      </c>
      <c r="O787" s="291"/>
      <c r="P787" s="244">
        <f t="shared" ref="P787:P792" si="91">+T787*G787</f>
        <v>3.2886000000000002</v>
      </c>
      <c r="Q787" s="223">
        <v>-9999</v>
      </c>
      <c r="R787" s="243"/>
      <c r="S787" s="223"/>
      <c r="T787" s="417">
        <v>1.6443000000000001</v>
      </c>
      <c r="U787" s="223">
        <v>-9999</v>
      </c>
      <c r="V787" s="223"/>
      <c r="W787" s="243">
        <v>-9999</v>
      </c>
      <c r="X787" s="223">
        <v>-9999</v>
      </c>
      <c r="Y787" s="223"/>
      <c r="Z787" s="404" t="s">
        <v>808</v>
      </c>
      <c r="AA787" s="564">
        <v>1075</v>
      </c>
      <c r="AB787" s="406">
        <v>1</v>
      </c>
      <c r="AC787" s="404">
        <v>-9999</v>
      </c>
      <c r="AD787" s="404">
        <v>18.600000000000001</v>
      </c>
      <c r="AE787" s="404" t="s">
        <v>1738</v>
      </c>
      <c r="AF787" s="404">
        <v>5</v>
      </c>
      <c r="AG787" s="404" t="s">
        <v>1748</v>
      </c>
      <c r="AH787" s="404" t="s">
        <v>1746</v>
      </c>
      <c r="AI787" s="404" t="s">
        <v>1747</v>
      </c>
      <c r="AJ787" s="404">
        <v>-9999</v>
      </c>
      <c r="AK787" s="404" t="s">
        <v>626</v>
      </c>
      <c r="AL787" s="404" t="s">
        <v>828</v>
      </c>
      <c r="AM787" s="404">
        <v>-9999</v>
      </c>
      <c r="AN787" s="404" t="s">
        <v>631</v>
      </c>
      <c r="AO787" s="404">
        <v>-9999</v>
      </c>
      <c r="AP787" s="404">
        <v>-9999</v>
      </c>
      <c r="AQ787" s="404" t="s">
        <v>631</v>
      </c>
      <c r="AR787" s="404">
        <v>0</v>
      </c>
      <c r="AS787" s="404">
        <v>-9999</v>
      </c>
      <c r="AT787" s="404">
        <v>-9999</v>
      </c>
      <c r="AU787" s="404">
        <v>0</v>
      </c>
      <c r="AV787" s="404">
        <v>-9999</v>
      </c>
      <c r="AW787" s="404">
        <v>-9999</v>
      </c>
      <c r="AX787" s="404">
        <v>0</v>
      </c>
      <c r="AY787" s="404">
        <v>-9999</v>
      </c>
      <c r="AZ787" s="404">
        <v>-9999</v>
      </c>
      <c r="BA787" s="404">
        <v>-9988</v>
      </c>
      <c r="BB787" s="404" t="s">
        <v>626</v>
      </c>
      <c r="BC787" s="404">
        <v>-9999</v>
      </c>
      <c r="BD787" s="404">
        <v>-9999</v>
      </c>
      <c r="BE787" s="404">
        <v>-9999</v>
      </c>
      <c r="BF787" s="404">
        <v>-9999</v>
      </c>
      <c r="BG787" s="404">
        <v>-9999</v>
      </c>
      <c r="BH787" s="404">
        <v>-9999</v>
      </c>
      <c r="BI787" s="404" t="s">
        <v>1035</v>
      </c>
      <c r="BJ787" s="404">
        <v>-9999</v>
      </c>
      <c r="BK787" s="404">
        <v>-9999</v>
      </c>
      <c r="BL787" s="404">
        <v>-9999</v>
      </c>
      <c r="BM787" s="404">
        <v>-9999</v>
      </c>
      <c r="BN787" s="404">
        <v>-9999</v>
      </c>
      <c r="BO787" s="404">
        <v>-9999</v>
      </c>
      <c r="BP787" s="404">
        <v>-9999</v>
      </c>
      <c r="BQ787" s="404">
        <v>-9999</v>
      </c>
      <c r="BR787" s="404">
        <v>-9999</v>
      </c>
      <c r="BS787" s="405">
        <v>-9999</v>
      </c>
      <c r="BT787" s="404">
        <v>-9999</v>
      </c>
      <c r="BU787" s="404">
        <v>-9999</v>
      </c>
      <c r="BV787" s="404">
        <v>-9999</v>
      </c>
      <c r="BW787" s="404"/>
      <c r="BX787" s="404">
        <v>-9999</v>
      </c>
      <c r="BY787" s="404">
        <v>-9999</v>
      </c>
      <c r="BZ787" s="404">
        <v>-9999</v>
      </c>
      <c r="CA787" s="407" t="s">
        <v>797</v>
      </c>
      <c r="CB787" s="247"/>
      <c r="CC787" s="240">
        <v>1</v>
      </c>
      <c r="CD787" s="420">
        <v>2</v>
      </c>
      <c r="CE787" s="67">
        <v>1.6443000000000001</v>
      </c>
      <c r="CF787" s="67"/>
      <c r="CG787" s="420">
        <v>2</v>
      </c>
    </row>
    <row r="788" spans="1:86" s="61" customFormat="1" x14ac:dyDescent="0.2">
      <c r="A788" s="403" t="s">
        <v>1389</v>
      </c>
      <c r="B788" s="419" t="s">
        <v>1742</v>
      </c>
      <c r="C788" s="445" t="s">
        <v>1743</v>
      </c>
      <c r="D788" s="403" t="s">
        <v>619</v>
      </c>
      <c r="E788" s="403" t="s">
        <v>1737</v>
      </c>
      <c r="F788" s="240">
        <v>1</v>
      </c>
      <c r="G788" s="240">
        <v>3</v>
      </c>
      <c r="H788" s="240">
        <v>3</v>
      </c>
      <c r="I788" s="404" t="s">
        <v>807</v>
      </c>
      <c r="J788" s="404">
        <v>2000</v>
      </c>
      <c r="K788" s="404" t="s">
        <v>1211</v>
      </c>
      <c r="L788" s="223">
        <v>2002</v>
      </c>
      <c r="M788" s="406">
        <v>-9999</v>
      </c>
      <c r="N788" s="405">
        <v>-9999</v>
      </c>
      <c r="O788" s="291"/>
      <c r="P788" s="244">
        <f t="shared" si="91"/>
        <v>5.4966299999999997</v>
      </c>
      <c r="Q788" s="223">
        <v>-9999</v>
      </c>
      <c r="R788" s="243"/>
      <c r="S788" s="223"/>
      <c r="T788" s="417">
        <v>1.8322099999999999</v>
      </c>
      <c r="U788" s="223">
        <v>-9999</v>
      </c>
      <c r="V788" s="223"/>
      <c r="W788" s="285">
        <f>+P788-P787</f>
        <v>2.2080299999999995</v>
      </c>
      <c r="X788" s="223">
        <v>-9999</v>
      </c>
      <c r="Y788" s="223"/>
      <c r="Z788" s="404" t="s">
        <v>808</v>
      </c>
      <c r="AA788" s="564">
        <v>1075</v>
      </c>
      <c r="AB788" s="406">
        <v>1</v>
      </c>
      <c r="AC788" s="404">
        <v>-9999</v>
      </c>
      <c r="AD788" s="404">
        <v>18.600000000000001</v>
      </c>
      <c r="AE788" s="404" t="s">
        <v>1738</v>
      </c>
      <c r="AF788" s="404">
        <v>5</v>
      </c>
      <c r="AG788" s="404" t="s">
        <v>1748</v>
      </c>
      <c r="AH788" s="404" t="s">
        <v>1746</v>
      </c>
      <c r="AI788" s="404" t="s">
        <v>1747</v>
      </c>
      <c r="AJ788" s="404">
        <v>-9999</v>
      </c>
      <c r="AK788" s="404" t="s">
        <v>626</v>
      </c>
      <c r="AL788" s="404" t="s">
        <v>828</v>
      </c>
      <c r="AM788" s="404">
        <v>-9999</v>
      </c>
      <c r="AN788" s="404" t="s">
        <v>631</v>
      </c>
      <c r="AO788" s="404">
        <v>-9999</v>
      </c>
      <c r="AP788" s="404">
        <v>-9999</v>
      </c>
      <c r="AQ788" s="404" t="s">
        <v>631</v>
      </c>
      <c r="AR788" s="404">
        <v>0</v>
      </c>
      <c r="AS788" s="404">
        <v>-9999</v>
      </c>
      <c r="AT788" s="404">
        <v>-9999</v>
      </c>
      <c r="AU788" s="404">
        <v>0</v>
      </c>
      <c r="AV788" s="404">
        <v>-9999</v>
      </c>
      <c r="AW788" s="404">
        <v>-9999</v>
      </c>
      <c r="AX788" s="404">
        <v>0</v>
      </c>
      <c r="AY788" s="404">
        <v>-9999</v>
      </c>
      <c r="AZ788" s="404">
        <v>-9999</v>
      </c>
      <c r="BA788" s="404">
        <v>-9988</v>
      </c>
      <c r="BB788" s="404" t="s">
        <v>626</v>
      </c>
      <c r="BC788" s="404">
        <v>-9999</v>
      </c>
      <c r="BD788" s="404">
        <v>-9999</v>
      </c>
      <c r="BE788" s="404">
        <v>-9999</v>
      </c>
      <c r="BF788" s="404">
        <v>-9999</v>
      </c>
      <c r="BG788" s="404">
        <v>-9999</v>
      </c>
      <c r="BH788" s="404">
        <v>-9999</v>
      </c>
      <c r="BI788" s="404" t="s">
        <v>1035</v>
      </c>
      <c r="BJ788" s="404">
        <v>-9999</v>
      </c>
      <c r="BK788" s="404">
        <v>-9999</v>
      </c>
      <c r="BL788" s="404">
        <v>-9999</v>
      </c>
      <c r="BM788" s="404">
        <v>-9999</v>
      </c>
      <c r="BN788" s="404">
        <v>-9999</v>
      </c>
      <c r="BO788" s="404">
        <v>-9999</v>
      </c>
      <c r="BP788" s="404">
        <v>-9999</v>
      </c>
      <c r="BQ788" s="404">
        <v>-9999</v>
      </c>
      <c r="BR788" s="404">
        <v>-9999</v>
      </c>
      <c r="BS788" s="405">
        <v>-9999</v>
      </c>
      <c r="BT788" s="404">
        <v>-9999</v>
      </c>
      <c r="BU788" s="404">
        <v>-9999</v>
      </c>
      <c r="BV788" s="404">
        <v>-9999</v>
      </c>
      <c r="BW788" s="404"/>
      <c r="BX788" s="404">
        <v>-9999</v>
      </c>
      <c r="BY788" s="404">
        <v>-9999</v>
      </c>
      <c r="BZ788" s="404">
        <v>-9999</v>
      </c>
      <c r="CA788" s="407" t="s">
        <v>797</v>
      </c>
      <c r="CB788" s="247"/>
      <c r="CC788" s="240">
        <v>1</v>
      </c>
      <c r="CD788" s="25">
        <v>3</v>
      </c>
      <c r="CE788" s="67">
        <v>1.8322099999999999</v>
      </c>
      <c r="CF788" s="67">
        <v>2.2080299999999995</v>
      </c>
      <c r="CG788" s="25">
        <v>3</v>
      </c>
    </row>
    <row r="789" spans="1:86" s="61" customFormat="1" x14ac:dyDescent="0.2">
      <c r="A789" s="403" t="s">
        <v>1389</v>
      </c>
      <c r="B789" s="419" t="s">
        <v>1742</v>
      </c>
      <c r="C789" s="445" t="s">
        <v>1743</v>
      </c>
      <c r="D789" s="403" t="s">
        <v>619</v>
      </c>
      <c r="E789" s="403" t="s">
        <v>1737</v>
      </c>
      <c r="F789" s="240">
        <v>1</v>
      </c>
      <c r="G789" s="240">
        <v>4</v>
      </c>
      <c r="H789" s="240">
        <v>4</v>
      </c>
      <c r="I789" s="404" t="s">
        <v>807</v>
      </c>
      <c r="J789" s="404">
        <v>2000</v>
      </c>
      <c r="K789" s="404" t="s">
        <v>1211</v>
      </c>
      <c r="L789" s="223">
        <v>2003</v>
      </c>
      <c r="M789" s="406">
        <v>-9999</v>
      </c>
      <c r="N789" s="405">
        <v>-9999</v>
      </c>
      <c r="O789" s="291"/>
      <c r="P789" s="244">
        <f t="shared" si="91"/>
        <v>13.342280000000001</v>
      </c>
      <c r="Q789" s="223">
        <v>-9999</v>
      </c>
      <c r="R789" s="243"/>
      <c r="S789" s="223"/>
      <c r="T789" s="417">
        <v>3.3355700000000001</v>
      </c>
      <c r="U789" s="223">
        <v>-9999</v>
      </c>
      <c r="V789" s="223"/>
      <c r="W789" s="285">
        <f>+P789-P788</f>
        <v>7.8456500000000009</v>
      </c>
      <c r="X789" s="223">
        <v>-9999</v>
      </c>
      <c r="Y789" s="223"/>
      <c r="Z789" s="404" t="s">
        <v>808</v>
      </c>
      <c r="AA789" s="564">
        <v>1075</v>
      </c>
      <c r="AB789" s="406">
        <v>1</v>
      </c>
      <c r="AC789" s="404">
        <v>-9999</v>
      </c>
      <c r="AD789" s="404">
        <v>18.600000000000001</v>
      </c>
      <c r="AE789" s="404" t="s">
        <v>1738</v>
      </c>
      <c r="AF789" s="404">
        <v>5</v>
      </c>
      <c r="AG789" s="404" t="s">
        <v>1748</v>
      </c>
      <c r="AH789" s="404" t="s">
        <v>1746</v>
      </c>
      <c r="AI789" s="404" t="s">
        <v>1747</v>
      </c>
      <c r="AJ789" s="404">
        <v>-9999</v>
      </c>
      <c r="AK789" s="404" t="s">
        <v>626</v>
      </c>
      <c r="AL789" s="404" t="s">
        <v>828</v>
      </c>
      <c r="AM789" s="404">
        <v>-9999</v>
      </c>
      <c r="AN789" s="404" t="s">
        <v>631</v>
      </c>
      <c r="AO789" s="404">
        <v>-9999</v>
      </c>
      <c r="AP789" s="404">
        <v>-9999</v>
      </c>
      <c r="AQ789" s="404" t="s">
        <v>631</v>
      </c>
      <c r="AR789" s="404">
        <v>0</v>
      </c>
      <c r="AS789" s="404">
        <v>-9999</v>
      </c>
      <c r="AT789" s="404">
        <v>-9999</v>
      </c>
      <c r="AU789" s="404">
        <v>0</v>
      </c>
      <c r="AV789" s="404">
        <v>-9999</v>
      </c>
      <c r="AW789" s="404">
        <v>-9999</v>
      </c>
      <c r="AX789" s="404">
        <v>0</v>
      </c>
      <c r="AY789" s="404">
        <v>-9999</v>
      </c>
      <c r="AZ789" s="404">
        <v>-9999</v>
      </c>
      <c r="BA789" s="404">
        <v>-9988</v>
      </c>
      <c r="BB789" s="404" t="s">
        <v>626</v>
      </c>
      <c r="BC789" s="404">
        <v>-9999</v>
      </c>
      <c r="BD789" s="404">
        <v>-9999</v>
      </c>
      <c r="BE789" s="404">
        <v>-9999</v>
      </c>
      <c r="BF789" s="404">
        <v>-9999</v>
      </c>
      <c r="BG789" s="404">
        <v>-9999</v>
      </c>
      <c r="BH789" s="404">
        <v>-9999</v>
      </c>
      <c r="BI789" s="404" t="s">
        <v>1035</v>
      </c>
      <c r="BJ789" s="404">
        <v>-9999</v>
      </c>
      <c r="BK789" s="404">
        <v>-9999</v>
      </c>
      <c r="BL789" s="404">
        <v>-9999</v>
      </c>
      <c r="BM789" s="404">
        <v>-9999</v>
      </c>
      <c r="BN789" s="404">
        <v>-9999</v>
      </c>
      <c r="BO789" s="404">
        <v>-9999</v>
      </c>
      <c r="BP789" s="404">
        <v>-9999</v>
      </c>
      <c r="BQ789" s="404">
        <v>-9999</v>
      </c>
      <c r="BR789" s="404">
        <v>-9999</v>
      </c>
      <c r="BS789" s="405">
        <v>-9999</v>
      </c>
      <c r="BT789" s="404">
        <v>-9999</v>
      </c>
      <c r="BU789" s="404">
        <v>-9999</v>
      </c>
      <c r="BV789" s="404">
        <v>-9999</v>
      </c>
      <c r="BW789" s="404"/>
      <c r="BX789" s="404">
        <v>-9999</v>
      </c>
      <c r="BY789" s="404">
        <v>-9999</v>
      </c>
      <c r="BZ789" s="404">
        <v>-9999</v>
      </c>
      <c r="CA789" s="407" t="s">
        <v>797</v>
      </c>
      <c r="CB789" s="247"/>
      <c r="CC789" s="240">
        <v>1</v>
      </c>
      <c r="CD789" s="25">
        <v>4</v>
      </c>
      <c r="CE789" s="67">
        <v>3.3355700000000001</v>
      </c>
      <c r="CF789" s="67">
        <v>7.8456500000000009</v>
      </c>
      <c r="CG789" s="25">
        <v>4</v>
      </c>
    </row>
    <row r="790" spans="1:86" s="61" customFormat="1" x14ac:dyDescent="0.2">
      <c r="A790" s="403" t="s">
        <v>1389</v>
      </c>
      <c r="B790" s="419" t="s">
        <v>1742</v>
      </c>
      <c r="C790" s="445" t="s">
        <v>1743</v>
      </c>
      <c r="D790" s="403" t="s">
        <v>619</v>
      </c>
      <c r="E790" s="403" t="s">
        <v>1737</v>
      </c>
      <c r="F790" s="240">
        <v>1</v>
      </c>
      <c r="G790" s="240">
        <v>5</v>
      </c>
      <c r="H790" s="240">
        <v>5</v>
      </c>
      <c r="I790" s="404" t="s">
        <v>807</v>
      </c>
      <c r="J790" s="404">
        <v>2000</v>
      </c>
      <c r="K790" s="404" t="s">
        <v>1211</v>
      </c>
      <c r="L790" s="404">
        <v>2004</v>
      </c>
      <c r="M790" s="406">
        <v>-9999</v>
      </c>
      <c r="N790" s="405">
        <v>-9999</v>
      </c>
      <c r="O790" s="291"/>
      <c r="P790" s="244">
        <f t="shared" si="91"/>
        <v>27.2483</v>
      </c>
      <c r="Q790" s="223">
        <v>-9999</v>
      </c>
      <c r="R790" s="243"/>
      <c r="S790" s="223"/>
      <c r="T790" s="417">
        <v>5.4496599999999997</v>
      </c>
      <c r="U790" s="223">
        <v>-9999</v>
      </c>
      <c r="V790" s="223"/>
      <c r="W790" s="285">
        <f>+P790-P789</f>
        <v>13.90602</v>
      </c>
      <c r="X790" s="223">
        <v>-9999</v>
      </c>
      <c r="Y790" s="223"/>
      <c r="Z790" s="404" t="s">
        <v>808</v>
      </c>
      <c r="AA790" s="564">
        <v>1075</v>
      </c>
      <c r="AB790" s="406">
        <v>1</v>
      </c>
      <c r="AC790" s="404">
        <v>-9999</v>
      </c>
      <c r="AD790" s="404">
        <v>18.600000000000001</v>
      </c>
      <c r="AE790" s="404" t="s">
        <v>1738</v>
      </c>
      <c r="AF790" s="404">
        <v>5</v>
      </c>
      <c r="AG790" s="404" t="s">
        <v>1748</v>
      </c>
      <c r="AH790" s="404" t="s">
        <v>1746</v>
      </c>
      <c r="AI790" s="404" t="s">
        <v>1747</v>
      </c>
      <c r="AJ790" s="404">
        <v>-9999</v>
      </c>
      <c r="AK790" s="404" t="s">
        <v>626</v>
      </c>
      <c r="AL790" s="404" t="s">
        <v>828</v>
      </c>
      <c r="AM790" s="404">
        <v>-9999</v>
      </c>
      <c r="AN790" s="404" t="s">
        <v>631</v>
      </c>
      <c r="AO790" s="404">
        <v>-9999</v>
      </c>
      <c r="AP790" s="404">
        <v>-9999</v>
      </c>
      <c r="AQ790" s="404" t="s">
        <v>631</v>
      </c>
      <c r="AR790" s="404">
        <v>0</v>
      </c>
      <c r="AS790" s="404">
        <v>-9999</v>
      </c>
      <c r="AT790" s="404">
        <v>-9999</v>
      </c>
      <c r="AU790" s="404">
        <v>0</v>
      </c>
      <c r="AV790" s="404">
        <v>-9999</v>
      </c>
      <c r="AW790" s="404">
        <v>-9999</v>
      </c>
      <c r="AX790" s="404">
        <v>0</v>
      </c>
      <c r="AY790" s="404">
        <v>-9999</v>
      </c>
      <c r="AZ790" s="404">
        <v>-9999</v>
      </c>
      <c r="BA790" s="404">
        <v>-9988</v>
      </c>
      <c r="BB790" s="404" t="s">
        <v>626</v>
      </c>
      <c r="BC790" s="404">
        <v>-9999</v>
      </c>
      <c r="BD790" s="404">
        <v>-9999</v>
      </c>
      <c r="BE790" s="404">
        <v>-9999</v>
      </c>
      <c r="BF790" s="404">
        <v>-9999</v>
      </c>
      <c r="BG790" s="404">
        <v>-9999</v>
      </c>
      <c r="BH790" s="404">
        <v>-9999</v>
      </c>
      <c r="BI790" s="404" t="s">
        <v>1035</v>
      </c>
      <c r="BJ790" s="404">
        <v>-9999</v>
      </c>
      <c r="BK790" s="404">
        <v>-9999</v>
      </c>
      <c r="BL790" s="404">
        <v>-9999</v>
      </c>
      <c r="BM790" s="404">
        <v>-9999</v>
      </c>
      <c r="BN790" s="404">
        <v>-9999</v>
      </c>
      <c r="BO790" s="404">
        <v>-9999</v>
      </c>
      <c r="BP790" s="404">
        <v>-9999</v>
      </c>
      <c r="BQ790" s="404">
        <v>-9999</v>
      </c>
      <c r="BR790" s="404">
        <v>-9999</v>
      </c>
      <c r="BS790" s="405">
        <v>-9999</v>
      </c>
      <c r="BT790" s="404">
        <v>-9999</v>
      </c>
      <c r="BU790" s="404">
        <v>-9999</v>
      </c>
      <c r="BV790" s="404">
        <v>-9999</v>
      </c>
      <c r="BW790" s="404"/>
      <c r="BX790" s="404">
        <v>-9999</v>
      </c>
      <c r="BY790" s="404">
        <v>-9999</v>
      </c>
      <c r="BZ790" s="404">
        <v>-9999</v>
      </c>
      <c r="CA790" s="407" t="s">
        <v>797</v>
      </c>
      <c r="CB790" s="247"/>
      <c r="CC790" s="240">
        <v>1</v>
      </c>
      <c r="CD790" s="25">
        <v>5</v>
      </c>
      <c r="CE790" s="67">
        <v>5.4496599999999997</v>
      </c>
      <c r="CF790" s="67">
        <v>13.90602</v>
      </c>
      <c r="CG790" s="25">
        <v>5</v>
      </c>
    </row>
    <row r="791" spans="1:86" s="61" customFormat="1" x14ac:dyDescent="0.2">
      <c r="A791" s="403" t="s">
        <v>1389</v>
      </c>
      <c r="B791" s="419" t="s">
        <v>1742</v>
      </c>
      <c r="C791" s="445" t="s">
        <v>1743</v>
      </c>
      <c r="D791" s="403" t="s">
        <v>619</v>
      </c>
      <c r="E791" s="403" t="s">
        <v>1737</v>
      </c>
      <c r="F791" s="240">
        <v>1</v>
      </c>
      <c r="G791" s="240">
        <v>6</v>
      </c>
      <c r="H791" s="240">
        <v>6</v>
      </c>
      <c r="I791" s="404" t="s">
        <v>807</v>
      </c>
      <c r="J791" s="404">
        <v>2000</v>
      </c>
      <c r="K791" s="404" t="s">
        <v>1211</v>
      </c>
      <c r="L791" s="419">
        <v>2005</v>
      </c>
      <c r="M791" s="406">
        <v>-9999</v>
      </c>
      <c r="N791" s="405">
        <v>-9999</v>
      </c>
      <c r="O791" s="291"/>
      <c r="P791" s="244">
        <f t="shared" si="91"/>
        <v>38.617440000000002</v>
      </c>
      <c r="Q791" s="223">
        <v>-9999</v>
      </c>
      <c r="R791" s="243"/>
      <c r="S791" s="223"/>
      <c r="T791" s="417">
        <v>6.4362399999999997</v>
      </c>
      <c r="U791" s="223">
        <v>-9999</v>
      </c>
      <c r="V791" s="223"/>
      <c r="W791" s="285">
        <f>+P791-P790</f>
        <v>11.369140000000002</v>
      </c>
      <c r="X791" s="223">
        <v>-9999</v>
      </c>
      <c r="Y791" s="223"/>
      <c r="Z791" s="404" t="s">
        <v>808</v>
      </c>
      <c r="AA791" s="564">
        <v>1075</v>
      </c>
      <c r="AB791" s="406">
        <v>1</v>
      </c>
      <c r="AC791" s="404">
        <v>-9999</v>
      </c>
      <c r="AD791" s="404">
        <v>18.600000000000001</v>
      </c>
      <c r="AE791" s="404" t="s">
        <v>1738</v>
      </c>
      <c r="AF791" s="404">
        <v>5</v>
      </c>
      <c r="AG791" s="404" t="s">
        <v>1748</v>
      </c>
      <c r="AH791" s="404" t="s">
        <v>1746</v>
      </c>
      <c r="AI791" s="404" t="s">
        <v>1747</v>
      </c>
      <c r="AJ791" s="404">
        <v>-9999</v>
      </c>
      <c r="AK791" s="404" t="s">
        <v>626</v>
      </c>
      <c r="AL791" s="404" t="s">
        <v>828</v>
      </c>
      <c r="AM791" s="404">
        <v>-9999</v>
      </c>
      <c r="AN791" s="404" t="s">
        <v>631</v>
      </c>
      <c r="AO791" s="404">
        <v>-9999</v>
      </c>
      <c r="AP791" s="404">
        <v>-9999</v>
      </c>
      <c r="AQ791" s="404" t="s">
        <v>631</v>
      </c>
      <c r="AR791" s="404">
        <v>0</v>
      </c>
      <c r="AS791" s="404">
        <v>-9999</v>
      </c>
      <c r="AT791" s="404">
        <v>-9999</v>
      </c>
      <c r="AU791" s="404">
        <v>0</v>
      </c>
      <c r="AV791" s="404">
        <v>-9999</v>
      </c>
      <c r="AW791" s="404">
        <v>-9999</v>
      </c>
      <c r="AX791" s="404">
        <v>0</v>
      </c>
      <c r="AY791" s="404">
        <v>-9999</v>
      </c>
      <c r="AZ791" s="404">
        <v>-9999</v>
      </c>
      <c r="BA791" s="404">
        <v>-9988</v>
      </c>
      <c r="BB791" s="404" t="s">
        <v>626</v>
      </c>
      <c r="BC791" s="404">
        <v>-9999</v>
      </c>
      <c r="BD791" s="404">
        <v>-9999</v>
      </c>
      <c r="BE791" s="404">
        <v>-9999</v>
      </c>
      <c r="BF791" s="404">
        <v>-9999</v>
      </c>
      <c r="BG791" s="404">
        <v>-9999</v>
      </c>
      <c r="BH791" s="404">
        <v>-9999</v>
      </c>
      <c r="BI791" s="404" t="s">
        <v>1035</v>
      </c>
      <c r="BJ791" s="404">
        <v>-9999</v>
      </c>
      <c r="BK791" s="404">
        <v>-9999</v>
      </c>
      <c r="BL791" s="404">
        <v>-9999</v>
      </c>
      <c r="BM791" s="404">
        <v>-9999</v>
      </c>
      <c r="BN791" s="404">
        <v>-9999</v>
      </c>
      <c r="BO791" s="404">
        <v>-9999</v>
      </c>
      <c r="BP791" s="404">
        <v>-9999</v>
      </c>
      <c r="BQ791" s="404">
        <v>-9999</v>
      </c>
      <c r="BR791" s="404">
        <v>-9999</v>
      </c>
      <c r="BS791" s="405">
        <v>-9999</v>
      </c>
      <c r="BT791" s="404">
        <v>-9999</v>
      </c>
      <c r="BU791" s="404">
        <v>-9999</v>
      </c>
      <c r="BV791" s="404">
        <v>-9999</v>
      </c>
      <c r="BW791" s="404"/>
      <c r="BX791" s="404">
        <v>-9999</v>
      </c>
      <c r="BY791" s="404">
        <v>-9999</v>
      </c>
      <c r="BZ791" s="404">
        <v>-9999</v>
      </c>
      <c r="CA791" s="407" t="s">
        <v>797</v>
      </c>
      <c r="CB791" s="247"/>
      <c r="CC791" s="240">
        <v>1</v>
      </c>
      <c r="CD791" s="25">
        <v>6</v>
      </c>
      <c r="CE791" s="67">
        <v>6.4362399999999997</v>
      </c>
      <c r="CF791" s="67">
        <v>11.369140000000002</v>
      </c>
      <c r="CG791" s="25">
        <v>6</v>
      </c>
    </row>
    <row r="792" spans="1:86" s="61" customFormat="1" x14ac:dyDescent="0.2">
      <c r="A792" s="403" t="s">
        <v>1389</v>
      </c>
      <c r="B792" s="419" t="s">
        <v>1742</v>
      </c>
      <c r="C792" s="445" t="s">
        <v>1743</v>
      </c>
      <c r="D792" s="403" t="s">
        <v>619</v>
      </c>
      <c r="E792" s="403" t="s">
        <v>1737</v>
      </c>
      <c r="F792" s="240">
        <v>1</v>
      </c>
      <c r="G792" s="240">
        <v>7</v>
      </c>
      <c r="H792" s="240">
        <v>7</v>
      </c>
      <c r="I792" s="404" t="s">
        <v>807</v>
      </c>
      <c r="J792" s="404">
        <v>2000</v>
      </c>
      <c r="K792" s="404" t="s">
        <v>1211</v>
      </c>
      <c r="L792" s="419">
        <v>2006</v>
      </c>
      <c r="M792" s="406">
        <v>-9999</v>
      </c>
      <c r="N792" s="405">
        <v>-9999</v>
      </c>
      <c r="O792" s="291"/>
      <c r="P792" s="244">
        <f t="shared" si="91"/>
        <v>61.825469999999996</v>
      </c>
      <c r="Q792" s="223">
        <v>-9999</v>
      </c>
      <c r="R792" s="243"/>
      <c r="S792" s="223"/>
      <c r="T792" s="417">
        <v>8.8322099999999999</v>
      </c>
      <c r="U792" s="223">
        <v>-9999</v>
      </c>
      <c r="V792" s="223"/>
      <c r="W792" s="285">
        <f>+P792-P791</f>
        <v>23.208029999999994</v>
      </c>
      <c r="X792" s="223">
        <v>-9999</v>
      </c>
      <c r="Y792" s="223"/>
      <c r="Z792" s="404" t="s">
        <v>808</v>
      </c>
      <c r="AA792" s="564">
        <v>1075</v>
      </c>
      <c r="AB792" s="406">
        <v>1</v>
      </c>
      <c r="AC792" s="404">
        <v>-9999</v>
      </c>
      <c r="AD792" s="404">
        <v>18.600000000000001</v>
      </c>
      <c r="AE792" s="404" t="s">
        <v>1738</v>
      </c>
      <c r="AF792" s="404">
        <v>5</v>
      </c>
      <c r="AG792" s="404" t="s">
        <v>1748</v>
      </c>
      <c r="AH792" s="404" t="s">
        <v>1746</v>
      </c>
      <c r="AI792" s="404" t="s">
        <v>1747</v>
      </c>
      <c r="AJ792" s="404">
        <v>-9999</v>
      </c>
      <c r="AK792" s="404" t="s">
        <v>626</v>
      </c>
      <c r="AL792" s="404" t="s">
        <v>828</v>
      </c>
      <c r="AM792" s="404">
        <v>-9999</v>
      </c>
      <c r="AN792" s="404" t="s">
        <v>631</v>
      </c>
      <c r="AO792" s="404">
        <v>-9999</v>
      </c>
      <c r="AP792" s="404">
        <v>-9999</v>
      </c>
      <c r="AQ792" s="404" t="s">
        <v>631</v>
      </c>
      <c r="AR792" s="404">
        <v>0</v>
      </c>
      <c r="AS792" s="404">
        <v>-9999</v>
      </c>
      <c r="AT792" s="404">
        <v>-9999</v>
      </c>
      <c r="AU792" s="404">
        <v>0</v>
      </c>
      <c r="AV792" s="404">
        <v>-9999</v>
      </c>
      <c r="AW792" s="404">
        <v>-9999</v>
      </c>
      <c r="AX792" s="404">
        <v>0</v>
      </c>
      <c r="AY792" s="404">
        <v>-9999</v>
      </c>
      <c r="AZ792" s="404">
        <v>-9999</v>
      </c>
      <c r="BA792" s="404">
        <v>-9988</v>
      </c>
      <c r="BB792" s="404" t="s">
        <v>626</v>
      </c>
      <c r="BC792" s="404">
        <v>-9999</v>
      </c>
      <c r="BD792" s="404">
        <v>-9999</v>
      </c>
      <c r="BE792" s="404">
        <v>-9999</v>
      </c>
      <c r="BF792" s="404">
        <v>-9999</v>
      </c>
      <c r="BG792" s="404">
        <v>-9999</v>
      </c>
      <c r="BH792" s="404">
        <v>-9999</v>
      </c>
      <c r="BI792" s="404" t="s">
        <v>1035</v>
      </c>
      <c r="BJ792" s="404">
        <v>-9999</v>
      </c>
      <c r="BK792" s="404">
        <v>-9999</v>
      </c>
      <c r="BL792" s="404">
        <v>-9999</v>
      </c>
      <c r="BM792" s="404">
        <v>-9999</v>
      </c>
      <c r="BN792" s="404">
        <v>-9999</v>
      </c>
      <c r="BO792" s="404">
        <v>-9999</v>
      </c>
      <c r="BP792" s="404">
        <v>-9999</v>
      </c>
      <c r="BQ792" s="404">
        <v>-9999</v>
      </c>
      <c r="BR792" s="404">
        <v>-9999</v>
      </c>
      <c r="BS792" s="405">
        <v>-9999</v>
      </c>
      <c r="BT792" s="404">
        <v>-9999</v>
      </c>
      <c r="BU792" s="404">
        <v>-9999</v>
      </c>
      <c r="BV792" s="404">
        <v>-9999</v>
      </c>
      <c r="BW792" s="404"/>
      <c r="BX792" s="404">
        <v>-9999</v>
      </c>
      <c r="BY792" s="404">
        <v>-9999</v>
      </c>
      <c r="BZ792" s="404">
        <v>-9999</v>
      </c>
      <c r="CA792" s="407" t="s">
        <v>797</v>
      </c>
      <c r="CB792" s="247"/>
      <c r="CC792" s="240">
        <v>1</v>
      </c>
      <c r="CD792" s="25">
        <v>7</v>
      </c>
      <c r="CE792" s="67">
        <v>8.8322099999999999</v>
      </c>
      <c r="CF792" s="67">
        <v>23.208029999999994</v>
      </c>
      <c r="CG792" s="25">
        <v>7</v>
      </c>
    </row>
    <row r="793" spans="1:86" s="61" customFormat="1" x14ac:dyDescent="0.2">
      <c r="A793" s="18" t="s">
        <v>1482</v>
      </c>
      <c r="B793" s="29"/>
      <c r="C793" s="71"/>
      <c r="D793" s="65"/>
      <c r="E793" s="66"/>
      <c r="F793" s="66"/>
      <c r="G793" s="65"/>
      <c r="H793" s="68"/>
      <c r="I793" s="65"/>
      <c r="J793" s="81"/>
      <c r="K793" s="81"/>
      <c r="L793" s="81"/>
      <c r="M793" s="67"/>
      <c r="N793" s="67"/>
      <c r="O793" s="65"/>
      <c r="P793" s="67"/>
      <c r="Q793" s="65"/>
      <c r="R793" s="31"/>
      <c r="S793" s="29"/>
      <c r="T793" s="67"/>
      <c r="U793" s="65"/>
      <c r="V793" s="65"/>
      <c r="W793" s="67"/>
      <c r="X793" s="65"/>
      <c r="Y793" s="65"/>
      <c r="Z793" s="65"/>
      <c r="AA793" s="65"/>
      <c r="AB793" s="67"/>
      <c r="AC793" s="71"/>
      <c r="AD793" s="71"/>
      <c r="AE793" s="71"/>
      <c r="AF793" s="65"/>
      <c r="AG793" s="65"/>
      <c r="AH793" s="65"/>
      <c r="AI793" s="65"/>
      <c r="AJ793" s="65"/>
      <c r="AK793" s="65"/>
      <c r="AL793" s="65"/>
      <c r="AM793" s="65"/>
      <c r="AN793" s="65"/>
      <c r="AO793" s="65"/>
      <c r="AP793" s="65"/>
      <c r="AQ793" s="65"/>
      <c r="AR793" s="65"/>
      <c r="AS793" s="65"/>
      <c r="AT793" s="65"/>
      <c r="AU793" s="65"/>
      <c r="AV793" s="65"/>
      <c r="AW793" s="65"/>
      <c r="AX793" s="65"/>
      <c r="AY793" s="65"/>
      <c r="AZ793" s="65"/>
      <c r="BA793" s="65"/>
      <c r="BB793" s="65"/>
      <c r="BC793" s="65"/>
      <c r="BD793" s="65"/>
      <c r="BE793" s="65"/>
      <c r="BF793" s="65"/>
      <c r="BG793" s="65"/>
      <c r="BH793" s="65"/>
      <c r="BI793" s="65"/>
      <c r="BJ793" s="65"/>
      <c r="BK793" s="65"/>
      <c r="BL793" s="65"/>
      <c r="BM793" s="65"/>
      <c r="BN793" s="65"/>
      <c r="BO793" s="65"/>
      <c r="BP793" s="65"/>
      <c r="BQ793" s="65"/>
      <c r="BR793" s="65"/>
      <c r="BS793" s="30"/>
      <c r="BT793" s="65"/>
      <c r="BU793" s="65"/>
      <c r="BV793" s="65"/>
      <c r="BW793" s="65"/>
      <c r="BX793" s="65"/>
      <c r="BY793" s="65"/>
      <c r="BZ793" s="65"/>
      <c r="CA793" s="69"/>
      <c r="CC793" s="66"/>
      <c r="CD793" s="65"/>
      <c r="CE793" s="342" t="s">
        <v>1576</v>
      </c>
      <c r="CF793" s="342" t="s">
        <v>1575</v>
      </c>
      <c r="CG793" s="422"/>
    </row>
    <row r="794" spans="1:86" s="23" customFormat="1" x14ac:dyDescent="0.2">
      <c r="A794" s="240" t="s">
        <v>366</v>
      </c>
      <c r="B794" s="404" t="s">
        <v>2132</v>
      </c>
      <c r="C794" s="404" t="s">
        <v>1548</v>
      </c>
      <c r="D794" s="223" t="s">
        <v>619</v>
      </c>
      <c r="E794" s="403" t="s">
        <v>1458</v>
      </c>
      <c r="F794" s="240">
        <v>1</v>
      </c>
      <c r="G794" s="240">
        <v>2</v>
      </c>
      <c r="H794" s="242">
        <v>2</v>
      </c>
      <c r="I794" s="245" t="s">
        <v>954</v>
      </c>
      <c r="J794" s="441">
        <v>1973</v>
      </c>
      <c r="K794" s="245" t="s">
        <v>1211</v>
      </c>
      <c r="L794" s="441">
        <v>1974</v>
      </c>
      <c r="M794" s="243">
        <v>9</v>
      </c>
      <c r="N794" s="223">
        <v>-9999</v>
      </c>
      <c r="O794" s="29"/>
      <c r="P794" s="243">
        <v>-9999</v>
      </c>
      <c r="Q794" s="223">
        <v>-9999</v>
      </c>
      <c r="R794" s="243"/>
      <c r="S794" s="223"/>
      <c r="T794" s="244">
        <f>+M794/G794</f>
        <v>4.5</v>
      </c>
      <c r="U794" s="223">
        <v>-9999</v>
      </c>
      <c r="V794" s="223"/>
      <c r="W794" s="243">
        <v>-9999</v>
      </c>
      <c r="X794" s="223">
        <v>-9999</v>
      </c>
      <c r="Y794" s="223"/>
      <c r="Z794" s="223" t="s">
        <v>83</v>
      </c>
      <c r="AA794" s="442">
        <v>26909</v>
      </c>
      <c r="AB794" s="243">
        <v>1</v>
      </c>
      <c r="AC794" s="223">
        <v>-9999</v>
      </c>
      <c r="AD794" s="223">
        <v>144</v>
      </c>
      <c r="AE794" s="404" t="s">
        <v>1960</v>
      </c>
      <c r="AF794" s="223">
        <v>1</v>
      </c>
      <c r="AG794" s="223" t="s">
        <v>1070</v>
      </c>
      <c r="AH794" s="223" t="s">
        <v>876</v>
      </c>
      <c r="AI794" s="223" t="s">
        <v>1066</v>
      </c>
      <c r="AJ794" s="223">
        <v>-9999</v>
      </c>
      <c r="AK794" s="223" t="s">
        <v>626</v>
      </c>
      <c r="AL794" s="223" t="s">
        <v>1068</v>
      </c>
      <c r="AM794" s="223">
        <v>-9999</v>
      </c>
      <c r="AN794" s="223">
        <v>-9999</v>
      </c>
      <c r="AO794" s="223">
        <v>-9999</v>
      </c>
      <c r="AP794" s="223">
        <v>-9999</v>
      </c>
      <c r="AQ794" s="223" t="s">
        <v>631</v>
      </c>
      <c r="AR794" s="223">
        <v>0</v>
      </c>
      <c r="AS794" s="223">
        <v>-9999</v>
      </c>
      <c r="AT794" s="223">
        <v>-9999</v>
      </c>
      <c r="AU794" s="223">
        <v>0</v>
      </c>
      <c r="AV794" s="223">
        <v>-9999</v>
      </c>
      <c r="AW794" s="223">
        <v>-9999</v>
      </c>
      <c r="AX794" s="223">
        <v>0</v>
      </c>
      <c r="AY794" s="223">
        <v>-9999</v>
      </c>
      <c r="AZ794" s="223">
        <v>-9999</v>
      </c>
      <c r="BA794" s="223">
        <v>-9999</v>
      </c>
      <c r="BB794" s="223" t="s">
        <v>631</v>
      </c>
      <c r="BC794" s="223">
        <v>-9999</v>
      </c>
      <c r="BD794" s="223">
        <v>-9999</v>
      </c>
      <c r="BE794" s="223">
        <v>-9999</v>
      </c>
      <c r="BF794" s="223">
        <v>-9999</v>
      </c>
      <c r="BG794" s="223">
        <v>-9999</v>
      </c>
      <c r="BH794" s="223">
        <v>-9999</v>
      </c>
      <c r="BI794" s="223" t="s">
        <v>84</v>
      </c>
      <c r="BJ794" s="223">
        <v>-9999</v>
      </c>
      <c r="BK794" s="223">
        <v>-9999</v>
      </c>
      <c r="BL794" s="223">
        <v>-9999</v>
      </c>
      <c r="BM794" s="223">
        <v>-9999</v>
      </c>
      <c r="BN794" s="223">
        <v>-9999</v>
      </c>
      <c r="BO794" s="223">
        <v>-9999</v>
      </c>
      <c r="BP794" s="223">
        <v>-9999</v>
      </c>
      <c r="BQ794" s="223">
        <v>-9999</v>
      </c>
      <c r="BR794" s="223">
        <v>-9999</v>
      </c>
      <c r="BS794" s="242">
        <v>-9999</v>
      </c>
      <c r="BT794" s="223">
        <v>-9999</v>
      </c>
      <c r="BU794" s="223">
        <v>-9999</v>
      </c>
      <c r="BV794" s="223">
        <v>-9999</v>
      </c>
      <c r="BW794" s="223"/>
      <c r="BX794" s="223">
        <v>-9999</v>
      </c>
      <c r="BY794" s="223">
        <v>-9999</v>
      </c>
      <c r="BZ794" s="223">
        <v>-9999</v>
      </c>
      <c r="CA794" s="332">
        <v>-9999</v>
      </c>
      <c r="CB794" s="443" t="s">
        <v>1569</v>
      </c>
      <c r="CC794" s="240">
        <v>1</v>
      </c>
      <c r="CD794" s="240">
        <v>2</v>
      </c>
      <c r="CE794" s="292">
        <v>4.5</v>
      </c>
      <c r="CF794" s="292">
        <v>-9999</v>
      </c>
      <c r="CG794" s="242">
        <v>2</v>
      </c>
    </row>
    <row r="795" spans="1:86" s="301" customFormat="1" x14ac:dyDescent="0.2">
      <c r="A795" s="403" t="s">
        <v>366</v>
      </c>
      <c r="B795" s="404" t="s">
        <v>2132</v>
      </c>
      <c r="C795" s="404" t="s">
        <v>1549</v>
      </c>
      <c r="D795" s="404" t="s">
        <v>619</v>
      </c>
      <c r="E795" s="403" t="s">
        <v>1458</v>
      </c>
      <c r="F795" s="403">
        <v>2</v>
      </c>
      <c r="G795" s="403">
        <v>2</v>
      </c>
      <c r="H795" s="405">
        <v>4</v>
      </c>
      <c r="I795" s="245" t="s">
        <v>954</v>
      </c>
      <c r="J795" s="441">
        <v>1973</v>
      </c>
      <c r="K795" s="245" t="s">
        <v>1211</v>
      </c>
      <c r="L795" s="441">
        <v>1976</v>
      </c>
      <c r="M795" s="406">
        <v>15.5</v>
      </c>
      <c r="N795" s="404">
        <v>-9999</v>
      </c>
      <c r="O795" s="323"/>
      <c r="P795" s="406">
        <v>-9999</v>
      </c>
      <c r="Q795" s="404">
        <v>-9999</v>
      </c>
      <c r="R795" s="406"/>
      <c r="S795" s="404"/>
      <c r="T795" s="244">
        <f>+M795/G795</f>
        <v>7.75</v>
      </c>
      <c r="U795" s="404">
        <v>-9999</v>
      </c>
      <c r="V795" s="404"/>
      <c r="W795" s="406">
        <v>-9999</v>
      </c>
      <c r="X795" s="404">
        <v>-9999</v>
      </c>
      <c r="Y795" s="404"/>
      <c r="Z795" s="404" t="s">
        <v>83</v>
      </c>
      <c r="AA795" s="442">
        <v>26909</v>
      </c>
      <c r="AB795" s="406">
        <v>0.95</v>
      </c>
      <c r="AC795" s="404">
        <v>-9999</v>
      </c>
      <c r="AD795" s="223">
        <v>144</v>
      </c>
      <c r="AE795" s="404" t="s">
        <v>1960</v>
      </c>
      <c r="AF795" s="404">
        <v>1</v>
      </c>
      <c r="AG795" s="404" t="s">
        <v>1070</v>
      </c>
      <c r="AH795" s="404" t="s">
        <v>876</v>
      </c>
      <c r="AI795" s="404" t="s">
        <v>1066</v>
      </c>
      <c r="AJ795" s="404">
        <v>-9999</v>
      </c>
      <c r="AK795" s="404" t="s">
        <v>626</v>
      </c>
      <c r="AL795" s="404" t="s">
        <v>1069</v>
      </c>
      <c r="AM795" s="404">
        <v>-9999</v>
      </c>
      <c r="AN795" s="404">
        <v>-9999</v>
      </c>
      <c r="AO795" s="404">
        <v>-9999</v>
      </c>
      <c r="AP795" s="404">
        <v>-9999</v>
      </c>
      <c r="AQ795" s="404" t="s">
        <v>631</v>
      </c>
      <c r="AR795" s="404">
        <v>0</v>
      </c>
      <c r="AS795" s="404">
        <v>-9999</v>
      </c>
      <c r="AT795" s="404">
        <v>-9999</v>
      </c>
      <c r="AU795" s="404">
        <v>0</v>
      </c>
      <c r="AV795" s="404">
        <v>-9999</v>
      </c>
      <c r="AW795" s="404">
        <v>-9999</v>
      </c>
      <c r="AX795" s="404">
        <v>0</v>
      </c>
      <c r="AY795" s="404">
        <v>-9999</v>
      </c>
      <c r="AZ795" s="404">
        <v>-9999</v>
      </c>
      <c r="BA795" s="404">
        <v>-9999</v>
      </c>
      <c r="BB795" s="404" t="s">
        <v>631</v>
      </c>
      <c r="BC795" s="404">
        <v>-9999</v>
      </c>
      <c r="BD795" s="404">
        <v>-9999</v>
      </c>
      <c r="BE795" s="404">
        <v>-9999</v>
      </c>
      <c r="BF795" s="404">
        <v>-9999</v>
      </c>
      <c r="BG795" s="404">
        <v>-9999</v>
      </c>
      <c r="BH795" s="404">
        <v>-9999</v>
      </c>
      <c r="BI795" s="404" t="s">
        <v>84</v>
      </c>
      <c r="BJ795" s="404">
        <v>-9999</v>
      </c>
      <c r="BK795" s="404">
        <v>-9999</v>
      </c>
      <c r="BL795" s="404">
        <v>-9999</v>
      </c>
      <c r="BM795" s="404">
        <v>-9999</v>
      </c>
      <c r="BN795" s="404">
        <v>-9999</v>
      </c>
      <c r="BO795" s="404">
        <v>-9999</v>
      </c>
      <c r="BP795" s="404">
        <v>-9999</v>
      </c>
      <c r="BQ795" s="404">
        <v>-9999</v>
      </c>
      <c r="BR795" s="404">
        <v>-9999</v>
      </c>
      <c r="BS795" s="405">
        <v>-9999</v>
      </c>
      <c r="BT795" s="404">
        <v>-9999</v>
      </c>
      <c r="BU795" s="404">
        <v>-9999</v>
      </c>
      <c r="BV795" s="404">
        <v>-9999</v>
      </c>
      <c r="BW795" s="404"/>
      <c r="BX795" s="404">
        <v>-9999</v>
      </c>
      <c r="BY795" s="404">
        <v>-9999</v>
      </c>
      <c r="BZ795" s="404">
        <v>-9999</v>
      </c>
      <c r="CA795" s="444">
        <v>-9999</v>
      </c>
      <c r="CB795" s="443" t="s">
        <v>1569</v>
      </c>
      <c r="CC795" s="403">
        <v>2</v>
      </c>
      <c r="CD795" s="403">
        <v>2</v>
      </c>
      <c r="CE795" s="409">
        <v>7.75</v>
      </c>
      <c r="CF795" s="342">
        <v>-9999</v>
      </c>
      <c r="CG795" s="405">
        <v>4</v>
      </c>
      <c r="CH795" s="435"/>
    </row>
    <row r="796" spans="1:86" s="23" customFormat="1" x14ac:dyDescent="0.2">
      <c r="A796" s="403" t="s">
        <v>367</v>
      </c>
      <c r="B796" s="404" t="s">
        <v>2132</v>
      </c>
      <c r="C796" s="223" t="s">
        <v>1549</v>
      </c>
      <c r="D796" s="223" t="s">
        <v>619</v>
      </c>
      <c r="E796" s="403" t="s">
        <v>1458</v>
      </c>
      <c r="F796" s="240">
        <v>3</v>
      </c>
      <c r="G796" s="240">
        <v>2</v>
      </c>
      <c r="H796" s="242">
        <v>6</v>
      </c>
      <c r="I796" s="245" t="s">
        <v>954</v>
      </c>
      <c r="J796" s="441">
        <v>1973</v>
      </c>
      <c r="K796" s="245" t="s">
        <v>1211</v>
      </c>
      <c r="L796" s="441">
        <v>1978</v>
      </c>
      <c r="M796" s="285">
        <f>+T796*G796</f>
        <v>15.2</v>
      </c>
      <c r="N796" s="223">
        <v>-9999</v>
      </c>
      <c r="O796" s="29"/>
      <c r="P796" s="243">
        <v>-9999</v>
      </c>
      <c r="Q796" s="223">
        <v>-9999</v>
      </c>
      <c r="R796" s="243"/>
      <c r="S796" s="223"/>
      <c r="T796" s="406">
        <v>7.6</v>
      </c>
      <c r="U796" s="223">
        <v>-9999</v>
      </c>
      <c r="V796" s="223"/>
      <c r="W796" s="243">
        <v>-9999</v>
      </c>
      <c r="X796" s="223">
        <v>-9999</v>
      </c>
      <c r="Y796" s="223"/>
      <c r="Z796" s="223" t="s">
        <v>83</v>
      </c>
      <c r="AA796" s="442">
        <v>26909</v>
      </c>
      <c r="AB796" s="243">
        <v>-9999</v>
      </c>
      <c r="AC796" s="223">
        <v>-9999</v>
      </c>
      <c r="AD796" s="223">
        <v>144</v>
      </c>
      <c r="AE796" s="404" t="s">
        <v>1960</v>
      </c>
      <c r="AF796" s="223">
        <v>1</v>
      </c>
      <c r="AG796" s="223" t="s">
        <v>1070</v>
      </c>
      <c r="AH796" s="223" t="s">
        <v>876</v>
      </c>
      <c r="AI796" s="223" t="s">
        <v>1066</v>
      </c>
      <c r="AJ796" s="223">
        <v>-9999</v>
      </c>
      <c r="AK796" s="223" t="s">
        <v>626</v>
      </c>
      <c r="AL796" s="223">
        <v>0</v>
      </c>
      <c r="AM796" s="223">
        <v>-9999</v>
      </c>
      <c r="AN796" s="223">
        <v>-9999</v>
      </c>
      <c r="AO796" s="223">
        <v>-9999</v>
      </c>
      <c r="AP796" s="223">
        <v>-9999</v>
      </c>
      <c r="AQ796" s="223" t="s">
        <v>631</v>
      </c>
      <c r="AR796" s="223">
        <v>0</v>
      </c>
      <c r="AS796" s="223">
        <v>-9999</v>
      </c>
      <c r="AT796" s="223">
        <v>-9999</v>
      </c>
      <c r="AU796" s="223">
        <v>0</v>
      </c>
      <c r="AV796" s="223">
        <v>-9999</v>
      </c>
      <c r="AW796" s="223">
        <v>-9999</v>
      </c>
      <c r="AX796" s="223">
        <v>0</v>
      </c>
      <c r="AY796" s="223">
        <v>-9999</v>
      </c>
      <c r="AZ796" s="223">
        <v>-9999</v>
      </c>
      <c r="BA796" s="223">
        <v>-9999</v>
      </c>
      <c r="BB796" s="223" t="s">
        <v>631</v>
      </c>
      <c r="BC796" s="223">
        <v>-9999</v>
      </c>
      <c r="BD796" s="223">
        <v>-9999</v>
      </c>
      <c r="BE796" s="223">
        <v>-9999</v>
      </c>
      <c r="BF796" s="223">
        <v>-9999</v>
      </c>
      <c r="BG796" s="223">
        <v>-9999</v>
      </c>
      <c r="BH796" s="223">
        <v>-9999</v>
      </c>
      <c r="BI796" s="223" t="s">
        <v>84</v>
      </c>
      <c r="BJ796" s="223">
        <v>-9999</v>
      </c>
      <c r="BK796" s="223">
        <v>-9999</v>
      </c>
      <c r="BL796" s="223">
        <v>-9999</v>
      </c>
      <c r="BM796" s="223">
        <v>-9999</v>
      </c>
      <c r="BN796" s="223">
        <v>-9999</v>
      </c>
      <c r="BO796" s="223">
        <v>-9999</v>
      </c>
      <c r="BP796" s="223">
        <v>-9999</v>
      </c>
      <c r="BQ796" s="223">
        <v>-9999</v>
      </c>
      <c r="BR796" s="223">
        <v>-9999</v>
      </c>
      <c r="BS796" s="242">
        <v>-9999</v>
      </c>
      <c r="BT796" s="223">
        <v>-9999</v>
      </c>
      <c r="BU796" s="223">
        <v>-9999</v>
      </c>
      <c r="BV796" s="223">
        <v>-9999</v>
      </c>
      <c r="BW796" s="223"/>
      <c r="BX796" s="223">
        <v>-9999</v>
      </c>
      <c r="BY796" s="223">
        <v>-9999</v>
      </c>
      <c r="BZ796" s="223">
        <v>-9999</v>
      </c>
      <c r="CA796" s="332">
        <v>-9999</v>
      </c>
      <c r="CB796" s="443" t="s">
        <v>1569</v>
      </c>
      <c r="CC796" s="240">
        <v>3</v>
      </c>
      <c r="CD796" s="240">
        <v>2</v>
      </c>
      <c r="CE796" s="292">
        <v>7.6</v>
      </c>
      <c r="CF796" s="292">
        <v>-9999</v>
      </c>
      <c r="CG796" s="242">
        <v>6</v>
      </c>
    </row>
    <row r="797" spans="1:86" s="23" customFormat="1" ht="11.25" customHeight="1" x14ac:dyDescent="0.2">
      <c r="A797" s="403" t="s">
        <v>367</v>
      </c>
      <c r="B797" s="404" t="s">
        <v>2132</v>
      </c>
      <c r="C797" s="223" t="s">
        <v>1549</v>
      </c>
      <c r="D797" s="223" t="s">
        <v>619</v>
      </c>
      <c r="E797" s="403" t="s">
        <v>1458</v>
      </c>
      <c r="F797" s="240">
        <v>4</v>
      </c>
      <c r="G797" s="240">
        <v>2</v>
      </c>
      <c r="H797" s="242">
        <v>8</v>
      </c>
      <c r="I797" s="245" t="s">
        <v>954</v>
      </c>
      <c r="J797" s="441">
        <v>1973</v>
      </c>
      <c r="K797" s="245" t="s">
        <v>1211</v>
      </c>
      <c r="L797" s="441">
        <v>1980</v>
      </c>
      <c r="M797" s="285">
        <f>+T797*G797</f>
        <v>13.8</v>
      </c>
      <c r="N797" s="223">
        <v>-9999</v>
      </c>
      <c r="O797" s="29"/>
      <c r="P797" s="243">
        <v>-9999</v>
      </c>
      <c r="Q797" s="223">
        <v>-9999</v>
      </c>
      <c r="R797" s="243"/>
      <c r="S797" s="223"/>
      <c r="T797" s="406">
        <v>6.9</v>
      </c>
      <c r="U797" s="223">
        <v>-9999</v>
      </c>
      <c r="V797" s="223"/>
      <c r="W797" s="243">
        <v>-9999</v>
      </c>
      <c r="X797" s="223">
        <v>-9999</v>
      </c>
      <c r="Y797" s="223"/>
      <c r="Z797" s="223" t="s">
        <v>83</v>
      </c>
      <c r="AA797" s="442">
        <v>26909</v>
      </c>
      <c r="AB797" s="243">
        <v>-9999</v>
      </c>
      <c r="AC797" s="223">
        <v>-9999</v>
      </c>
      <c r="AD797" s="223">
        <v>144</v>
      </c>
      <c r="AE797" s="404" t="s">
        <v>1960</v>
      </c>
      <c r="AF797" s="223">
        <v>1</v>
      </c>
      <c r="AG797" s="223" t="s">
        <v>1070</v>
      </c>
      <c r="AH797" s="223" t="s">
        <v>876</v>
      </c>
      <c r="AI797" s="223" t="s">
        <v>1066</v>
      </c>
      <c r="AJ797" s="223">
        <v>-9999</v>
      </c>
      <c r="AK797" s="223" t="s">
        <v>626</v>
      </c>
      <c r="AL797" s="223">
        <v>0</v>
      </c>
      <c r="AM797" s="223">
        <v>-9999</v>
      </c>
      <c r="AN797" s="223">
        <v>-9999</v>
      </c>
      <c r="AO797" s="223">
        <v>-9999</v>
      </c>
      <c r="AP797" s="223">
        <v>-9999</v>
      </c>
      <c r="AQ797" s="223" t="s">
        <v>631</v>
      </c>
      <c r="AR797" s="223">
        <v>0</v>
      </c>
      <c r="AS797" s="223">
        <v>-9999</v>
      </c>
      <c r="AT797" s="223">
        <v>-9999</v>
      </c>
      <c r="AU797" s="223">
        <v>0</v>
      </c>
      <c r="AV797" s="223">
        <v>-9999</v>
      </c>
      <c r="AW797" s="223">
        <v>-9999</v>
      </c>
      <c r="AX797" s="223">
        <v>0</v>
      </c>
      <c r="AY797" s="223">
        <v>-9999</v>
      </c>
      <c r="AZ797" s="223">
        <v>-9999</v>
      </c>
      <c r="BA797" s="223">
        <v>-9999</v>
      </c>
      <c r="BB797" s="223" t="s">
        <v>631</v>
      </c>
      <c r="BC797" s="223">
        <v>-9999</v>
      </c>
      <c r="BD797" s="223">
        <v>-9999</v>
      </c>
      <c r="BE797" s="223">
        <v>-9999</v>
      </c>
      <c r="BF797" s="223">
        <v>-9999</v>
      </c>
      <c r="BG797" s="223">
        <v>-9999</v>
      </c>
      <c r="BH797" s="223">
        <v>-9999</v>
      </c>
      <c r="BI797" s="223" t="s">
        <v>84</v>
      </c>
      <c r="BJ797" s="223">
        <v>-9999</v>
      </c>
      <c r="BK797" s="223">
        <v>-9999</v>
      </c>
      <c r="BL797" s="223">
        <v>-9999</v>
      </c>
      <c r="BM797" s="223">
        <v>-9999</v>
      </c>
      <c r="BN797" s="223">
        <v>-9999</v>
      </c>
      <c r="BO797" s="223">
        <v>-9999</v>
      </c>
      <c r="BP797" s="223">
        <v>-9999</v>
      </c>
      <c r="BQ797" s="223">
        <v>-9999</v>
      </c>
      <c r="BR797" s="223">
        <v>-9999</v>
      </c>
      <c r="BS797" s="242">
        <v>-9999</v>
      </c>
      <c r="BT797" s="223">
        <v>-9999</v>
      </c>
      <c r="BU797" s="223">
        <v>-9999</v>
      </c>
      <c r="BV797" s="223">
        <v>-9999</v>
      </c>
      <c r="BW797" s="223"/>
      <c r="BX797" s="223">
        <v>-9999</v>
      </c>
      <c r="BY797" s="223">
        <v>-9999</v>
      </c>
      <c r="BZ797" s="223">
        <v>-9999</v>
      </c>
      <c r="CA797" s="332">
        <v>-9999</v>
      </c>
      <c r="CB797" s="443" t="s">
        <v>1569</v>
      </c>
      <c r="CC797" s="240">
        <v>4</v>
      </c>
      <c r="CD797" s="240">
        <v>2</v>
      </c>
      <c r="CE797" s="292">
        <v>6.9</v>
      </c>
      <c r="CF797" s="292">
        <v>-9999</v>
      </c>
      <c r="CG797" s="242">
        <v>8</v>
      </c>
    </row>
    <row r="798" spans="1:86" s="23" customFormat="1" x14ac:dyDescent="0.2">
      <c r="A798" s="403" t="s">
        <v>367</v>
      </c>
      <c r="B798" s="404" t="s">
        <v>2132</v>
      </c>
      <c r="C798" s="223" t="s">
        <v>1549</v>
      </c>
      <c r="D798" s="223" t="s">
        <v>619</v>
      </c>
      <c r="E798" s="403" t="s">
        <v>1458</v>
      </c>
      <c r="F798" s="240">
        <v>5</v>
      </c>
      <c r="G798" s="240">
        <v>2</v>
      </c>
      <c r="H798" s="242">
        <v>10</v>
      </c>
      <c r="I798" s="245" t="s">
        <v>954</v>
      </c>
      <c r="J798" s="441">
        <v>1973</v>
      </c>
      <c r="K798" s="245" t="s">
        <v>1211</v>
      </c>
      <c r="L798" s="441">
        <v>1982</v>
      </c>
      <c r="M798" s="285">
        <f>+T798*G798</f>
        <v>10.8</v>
      </c>
      <c r="N798" s="223">
        <v>-9999</v>
      </c>
      <c r="O798" s="29"/>
      <c r="P798" s="243">
        <v>-9999</v>
      </c>
      <c r="Q798" s="223">
        <v>-9999</v>
      </c>
      <c r="R798" s="243"/>
      <c r="S798" s="223"/>
      <c r="T798" s="406">
        <v>5.4</v>
      </c>
      <c r="U798" s="223">
        <v>-9999</v>
      </c>
      <c r="V798" s="223"/>
      <c r="W798" s="243">
        <v>-9999</v>
      </c>
      <c r="X798" s="223">
        <v>-9999</v>
      </c>
      <c r="Y798" s="223"/>
      <c r="Z798" s="223" t="s">
        <v>83</v>
      </c>
      <c r="AA798" s="442">
        <v>26909</v>
      </c>
      <c r="AB798" s="243">
        <v>-9999</v>
      </c>
      <c r="AC798" s="223">
        <v>-9999</v>
      </c>
      <c r="AD798" s="223">
        <v>144</v>
      </c>
      <c r="AE798" s="404" t="s">
        <v>1960</v>
      </c>
      <c r="AF798" s="223">
        <v>1</v>
      </c>
      <c r="AG798" s="223" t="s">
        <v>1070</v>
      </c>
      <c r="AH798" s="223" t="s">
        <v>876</v>
      </c>
      <c r="AI798" s="223" t="s">
        <v>1066</v>
      </c>
      <c r="AJ798" s="223">
        <v>-9999</v>
      </c>
      <c r="AK798" s="223" t="s">
        <v>626</v>
      </c>
      <c r="AL798" s="223">
        <v>0</v>
      </c>
      <c r="AM798" s="223">
        <v>-9999</v>
      </c>
      <c r="AN798" s="223">
        <v>-9999</v>
      </c>
      <c r="AO798" s="223">
        <v>-9999</v>
      </c>
      <c r="AP798" s="223">
        <v>-9999</v>
      </c>
      <c r="AQ798" s="223" t="s">
        <v>631</v>
      </c>
      <c r="AR798" s="223">
        <v>0</v>
      </c>
      <c r="AS798" s="223">
        <v>-9999</v>
      </c>
      <c r="AT798" s="223">
        <v>-9999</v>
      </c>
      <c r="AU798" s="223">
        <v>0</v>
      </c>
      <c r="AV798" s="223">
        <v>-9999</v>
      </c>
      <c r="AW798" s="223">
        <v>-9999</v>
      </c>
      <c r="AX798" s="223">
        <v>0</v>
      </c>
      <c r="AY798" s="223">
        <v>-9999</v>
      </c>
      <c r="AZ798" s="223">
        <v>-9999</v>
      </c>
      <c r="BA798" s="223">
        <v>-9999</v>
      </c>
      <c r="BB798" s="223" t="s">
        <v>631</v>
      </c>
      <c r="BC798" s="223">
        <v>-9999</v>
      </c>
      <c r="BD798" s="223">
        <v>-9999</v>
      </c>
      <c r="BE798" s="223">
        <v>-9999</v>
      </c>
      <c r="BF798" s="223">
        <v>-9999</v>
      </c>
      <c r="BG798" s="223">
        <v>-9999</v>
      </c>
      <c r="BH798" s="223">
        <v>-9999</v>
      </c>
      <c r="BI798" s="223" t="s">
        <v>84</v>
      </c>
      <c r="BJ798" s="223">
        <v>-9999</v>
      </c>
      <c r="BK798" s="223">
        <v>-9999</v>
      </c>
      <c r="BL798" s="223">
        <v>-9999</v>
      </c>
      <c r="BM798" s="223">
        <v>-9999</v>
      </c>
      <c r="BN798" s="223">
        <v>-9999</v>
      </c>
      <c r="BO798" s="223">
        <v>-9999</v>
      </c>
      <c r="BP798" s="223">
        <v>-9999</v>
      </c>
      <c r="BQ798" s="223">
        <v>-9999</v>
      </c>
      <c r="BR798" s="223">
        <v>-9999</v>
      </c>
      <c r="BS798" s="242">
        <v>-9999</v>
      </c>
      <c r="BT798" s="223">
        <v>-9999</v>
      </c>
      <c r="BU798" s="223">
        <v>-9999</v>
      </c>
      <c r="BV798" s="223">
        <v>-9999</v>
      </c>
      <c r="BW798" s="223"/>
      <c r="BX798" s="223">
        <v>-9999</v>
      </c>
      <c r="BY798" s="223">
        <v>-9999</v>
      </c>
      <c r="BZ798" s="223">
        <v>-9999</v>
      </c>
      <c r="CA798" s="332">
        <v>-9999</v>
      </c>
      <c r="CB798" s="443" t="s">
        <v>1569</v>
      </c>
      <c r="CC798" s="240">
        <v>5</v>
      </c>
      <c r="CD798" s="240">
        <v>2</v>
      </c>
      <c r="CE798" s="292">
        <v>5.4</v>
      </c>
      <c r="CF798" s="292">
        <v>-9999</v>
      </c>
      <c r="CG798" s="242">
        <v>10</v>
      </c>
    </row>
    <row r="799" spans="1:86" s="23" customFormat="1" x14ac:dyDescent="0.2">
      <c r="A799" s="240"/>
      <c r="B799" s="223"/>
      <c r="C799" s="223"/>
      <c r="D799" s="223"/>
      <c r="E799" s="240"/>
      <c r="F799" s="240"/>
      <c r="G799" s="240"/>
      <c r="H799" s="242"/>
      <c r="I799" s="245"/>
      <c r="J799" s="223"/>
      <c r="K799" s="245"/>
      <c r="L799" s="223"/>
      <c r="M799" s="243"/>
      <c r="N799" s="223"/>
      <c r="O799" s="29"/>
      <c r="P799" s="243"/>
      <c r="Q799" s="223"/>
      <c r="R799" s="243"/>
      <c r="S799" s="223"/>
      <c r="T799" s="244"/>
      <c r="U799" s="223"/>
      <c r="V799" s="223"/>
      <c r="W799" s="243"/>
      <c r="X799" s="223"/>
      <c r="Y799" s="223"/>
      <c r="Z799" s="223"/>
      <c r="AA799" s="442"/>
      <c r="AB799" s="243"/>
      <c r="AC799" s="223"/>
      <c r="AD799" s="223"/>
      <c r="AE799" s="223"/>
      <c r="AF799" s="223"/>
      <c r="AG799" s="223"/>
      <c r="AH799" s="223"/>
      <c r="AI799" s="223"/>
      <c r="AJ799" s="223"/>
      <c r="AK799" s="223"/>
      <c r="AL799" s="223"/>
      <c r="AM799" s="223"/>
      <c r="AN799" s="223"/>
      <c r="AO799" s="223"/>
      <c r="AP799" s="223"/>
      <c r="AQ799" s="223"/>
      <c r="AR799" s="223"/>
      <c r="AS799" s="223"/>
      <c r="AT799" s="223"/>
      <c r="AU799" s="223"/>
      <c r="AV799" s="223"/>
      <c r="AW799" s="223"/>
      <c r="AX799" s="223"/>
      <c r="AY799" s="223"/>
      <c r="AZ799" s="223"/>
      <c r="BA799" s="223"/>
      <c r="BB799" s="223"/>
      <c r="BC799" s="223"/>
      <c r="BD799" s="223"/>
      <c r="BE799" s="223"/>
      <c r="BF799" s="223"/>
      <c r="BG799" s="223"/>
      <c r="BH799" s="223"/>
      <c r="BI799" s="223"/>
      <c r="BJ799" s="223"/>
      <c r="BK799" s="223"/>
      <c r="BL799" s="223"/>
      <c r="BM799" s="223"/>
      <c r="BN799" s="223"/>
      <c r="BO799" s="223"/>
      <c r="BP799" s="223"/>
      <c r="BQ799" s="223"/>
      <c r="BR799" s="223"/>
      <c r="BS799" s="242"/>
      <c r="BT799" s="223"/>
      <c r="BU799" s="223"/>
      <c r="BV799" s="223"/>
      <c r="BW799" s="223"/>
      <c r="BX799" s="223"/>
      <c r="BY799" s="223"/>
      <c r="BZ799" s="223"/>
      <c r="CA799" s="332"/>
      <c r="CB799" s="446"/>
      <c r="CC799" s="240"/>
      <c r="CD799" s="240"/>
      <c r="CE799" s="342" t="s">
        <v>1576</v>
      </c>
      <c r="CF799" s="342" t="s">
        <v>1575</v>
      </c>
      <c r="CG799" s="242"/>
    </row>
    <row r="800" spans="1:86" s="23" customFormat="1" x14ac:dyDescent="0.2">
      <c r="A800" s="240" t="s">
        <v>366</v>
      </c>
      <c r="B800" s="404" t="s">
        <v>2132</v>
      </c>
      <c r="C800" s="404" t="s">
        <v>1550</v>
      </c>
      <c r="D800" s="223" t="s">
        <v>619</v>
      </c>
      <c r="E800" s="403" t="s">
        <v>1458</v>
      </c>
      <c r="F800" s="240">
        <v>1</v>
      </c>
      <c r="G800" s="240">
        <v>2</v>
      </c>
      <c r="H800" s="242">
        <v>2</v>
      </c>
      <c r="I800" s="245" t="s">
        <v>954</v>
      </c>
      <c r="J800" s="441">
        <v>1973</v>
      </c>
      <c r="K800" s="245" t="s">
        <v>1211</v>
      </c>
      <c r="L800" s="441">
        <v>1974</v>
      </c>
      <c r="M800" s="243">
        <v>12.1</v>
      </c>
      <c r="N800" s="223">
        <v>-9999</v>
      </c>
      <c r="O800" s="29"/>
      <c r="P800" s="243">
        <v>-9999</v>
      </c>
      <c r="Q800" s="223">
        <v>-9999</v>
      </c>
      <c r="R800" s="243"/>
      <c r="S800" s="223"/>
      <c r="T800" s="244">
        <f>+M800/G800</f>
        <v>6.05</v>
      </c>
      <c r="U800" s="223">
        <v>-9999</v>
      </c>
      <c r="V800" s="223"/>
      <c r="W800" s="243">
        <v>-9999</v>
      </c>
      <c r="X800" s="223">
        <v>-9999</v>
      </c>
      <c r="Y800" s="223"/>
      <c r="Z800" s="404" t="s">
        <v>1701</v>
      </c>
      <c r="AA800" s="442">
        <v>13455</v>
      </c>
      <c r="AB800" s="243">
        <v>1</v>
      </c>
      <c r="AC800" s="223">
        <v>-9999</v>
      </c>
      <c r="AD800" s="223">
        <v>144</v>
      </c>
      <c r="AE800" s="404" t="s">
        <v>1961</v>
      </c>
      <c r="AF800" s="223">
        <v>1</v>
      </c>
      <c r="AG800" s="223" t="s">
        <v>1070</v>
      </c>
      <c r="AH800" s="223" t="s">
        <v>876</v>
      </c>
      <c r="AI800" s="223" t="s">
        <v>1066</v>
      </c>
      <c r="AJ800" s="223">
        <v>-9999</v>
      </c>
      <c r="AK800" s="223" t="s">
        <v>626</v>
      </c>
      <c r="AL800" s="223" t="s">
        <v>1068</v>
      </c>
      <c r="AM800" s="223">
        <v>-9999</v>
      </c>
      <c r="AN800" s="223">
        <v>-9999</v>
      </c>
      <c r="AO800" s="223">
        <v>-9999</v>
      </c>
      <c r="AP800" s="223">
        <v>-9999</v>
      </c>
      <c r="AQ800" s="223" t="s">
        <v>631</v>
      </c>
      <c r="AR800" s="223">
        <v>0</v>
      </c>
      <c r="AS800" s="223">
        <v>-9999</v>
      </c>
      <c r="AT800" s="223">
        <v>-9999</v>
      </c>
      <c r="AU800" s="223">
        <v>0</v>
      </c>
      <c r="AV800" s="223">
        <v>-9999</v>
      </c>
      <c r="AW800" s="223">
        <v>-9999</v>
      </c>
      <c r="AX800" s="223">
        <v>0</v>
      </c>
      <c r="AY800" s="223">
        <v>-9999</v>
      </c>
      <c r="AZ800" s="223">
        <v>-9999</v>
      </c>
      <c r="BA800" s="223">
        <v>-9999</v>
      </c>
      <c r="BB800" s="223" t="s">
        <v>631</v>
      </c>
      <c r="BC800" s="223">
        <v>-9999</v>
      </c>
      <c r="BD800" s="223">
        <v>-9999</v>
      </c>
      <c r="BE800" s="223">
        <v>-9999</v>
      </c>
      <c r="BF800" s="223">
        <v>-9999</v>
      </c>
      <c r="BG800" s="223">
        <v>-9999</v>
      </c>
      <c r="BH800" s="223">
        <v>-9999</v>
      </c>
      <c r="BI800" s="223" t="s">
        <v>84</v>
      </c>
      <c r="BJ800" s="223">
        <v>-9999</v>
      </c>
      <c r="BK800" s="223">
        <v>-9999</v>
      </c>
      <c r="BL800" s="223">
        <v>-9999</v>
      </c>
      <c r="BM800" s="223">
        <v>-9999</v>
      </c>
      <c r="BN800" s="223">
        <v>-9999</v>
      </c>
      <c r="BO800" s="223">
        <v>-9999</v>
      </c>
      <c r="BP800" s="223">
        <v>-9999</v>
      </c>
      <c r="BQ800" s="223">
        <v>-9999</v>
      </c>
      <c r="BR800" s="223">
        <v>-9999</v>
      </c>
      <c r="BS800" s="242">
        <v>-9999</v>
      </c>
      <c r="BT800" s="223">
        <v>-9999</v>
      </c>
      <c r="BU800" s="223">
        <v>-9999</v>
      </c>
      <c r="BV800" s="223">
        <v>-9999</v>
      </c>
      <c r="BW800" s="223"/>
      <c r="BX800" s="223">
        <v>-9999</v>
      </c>
      <c r="BY800" s="223">
        <v>-9999</v>
      </c>
      <c r="BZ800" s="223">
        <v>-9999</v>
      </c>
      <c r="CA800" s="332">
        <v>-9999</v>
      </c>
      <c r="CB800" s="443" t="s">
        <v>1569</v>
      </c>
      <c r="CC800" s="240">
        <v>1</v>
      </c>
      <c r="CD800" s="240">
        <v>2</v>
      </c>
      <c r="CE800" s="292">
        <v>6.05</v>
      </c>
      <c r="CF800" s="292">
        <v>-9999</v>
      </c>
      <c r="CG800" s="242">
        <v>2</v>
      </c>
    </row>
    <row r="801" spans="1:1873" s="301" customFormat="1" x14ac:dyDescent="0.2">
      <c r="A801" s="403" t="s">
        <v>366</v>
      </c>
      <c r="B801" s="404" t="s">
        <v>2132</v>
      </c>
      <c r="C801" s="404" t="s">
        <v>1550</v>
      </c>
      <c r="D801" s="404" t="s">
        <v>619</v>
      </c>
      <c r="E801" s="403" t="s">
        <v>1458</v>
      </c>
      <c r="F801" s="403">
        <v>2</v>
      </c>
      <c r="G801" s="403">
        <v>2</v>
      </c>
      <c r="H801" s="405">
        <v>4</v>
      </c>
      <c r="I801" s="245" t="s">
        <v>954</v>
      </c>
      <c r="J801" s="441">
        <v>1973</v>
      </c>
      <c r="K801" s="245" t="s">
        <v>1211</v>
      </c>
      <c r="L801" s="441">
        <v>1976</v>
      </c>
      <c r="M801" s="406">
        <v>17.3</v>
      </c>
      <c r="N801" s="404">
        <v>-9999</v>
      </c>
      <c r="O801" s="323"/>
      <c r="P801" s="406">
        <v>-9999</v>
      </c>
      <c r="Q801" s="404">
        <v>-9999</v>
      </c>
      <c r="R801" s="406"/>
      <c r="S801" s="404"/>
      <c r="T801" s="244">
        <f>+M801/G801</f>
        <v>8.65</v>
      </c>
      <c r="U801" s="404">
        <v>-9999</v>
      </c>
      <c r="V801" s="404"/>
      <c r="W801" s="406">
        <v>-9999</v>
      </c>
      <c r="X801" s="404">
        <v>-9999</v>
      </c>
      <c r="Y801" s="404"/>
      <c r="Z801" s="404" t="s">
        <v>1701</v>
      </c>
      <c r="AA801" s="442">
        <v>13455</v>
      </c>
      <c r="AB801" s="406">
        <v>0.96</v>
      </c>
      <c r="AC801" s="404">
        <v>-9999</v>
      </c>
      <c r="AD801" s="223">
        <v>144</v>
      </c>
      <c r="AE801" s="404" t="s">
        <v>1961</v>
      </c>
      <c r="AF801" s="404">
        <v>1</v>
      </c>
      <c r="AG801" s="404" t="s">
        <v>1070</v>
      </c>
      <c r="AH801" s="404" t="s">
        <v>876</v>
      </c>
      <c r="AI801" s="404" t="s">
        <v>1066</v>
      </c>
      <c r="AJ801" s="404">
        <v>-9999</v>
      </c>
      <c r="AK801" s="404" t="s">
        <v>626</v>
      </c>
      <c r="AL801" s="404" t="s">
        <v>1069</v>
      </c>
      <c r="AM801" s="404">
        <v>-9999</v>
      </c>
      <c r="AN801" s="404">
        <v>-9999</v>
      </c>
      <c r="AO801" s="404">
        <v>-9999</v>
      </c>
      <c r="AP801" s="404">
        <v>-9999</v>
      </c>
      <c r="AQ801" s="404" t="s">
        <v>631</v>
      </c>
      <c r="AR801" s="404">
        <v>0</v>
      </c>
      <c r="AS801" s="404">
        <v>-9999</v>
      </c>
      <c r="AT801" s="404">
        <v>-9999</v>
      </c>
      <c r="AU801" s="404">
        <v>0</v>
      </c>
      <c r="AV801" s="404">
        <v>-9999</v>
      </c>
      <c r="AW801" s="404">
        <v>-9999</v>
      </c>
      <c r="AX801" s="404">
        <v>0</v>
      </c>
      <c r="AY801" s="404">
        <v>-9999</v>
      </c>
      <c r="AZ801" s="404">
        <v>-9999</v>
      </c>
      <c r="BA801" s="404">
        <v>-9999</v>
      </c>
      <c r="BB801" s="404" t="s">
        <v>631</v>
      </c>
      <c r="BC801" s="404">
        <v>-9999</v>
      </c>
      <c r="BD801" s="404">
        <v>-9999</v>
      </c>
      <c r="BE801" s="404">
        <v>-9999</v>
      </c>
      <c r="BF801" s="404">
        <v>-9999</v>
      </c>
      <c r="BG801" s="404">
        <v>-9999</v>
      </c>
      <c r="BH801" s="404">
        <v>-9999</v>
      </c>
      <c r="BI801" s="404" t="s">
        <v>84</v>
      </c>
      <c r="BJ801" s="404">
        <v>-9999</v>
      </c>
      <c r="BK801" s="404">
        <v>-9999</v>
      </c>
      <c r="BL801" s="404">
        <v>-9999</v>
      </c>
      <c r="BM801" s="404">
        <v>-9999</v>
      </c>
      <c r="BN801" s="404">
        <v>-9999</v>
      </c>
      <c r="BO801" s="404">
        <v>-9999</v>
      </c>
      <c r="BP801" s="404">
        <v>-9999</v>
      </c>
      <c r="BQ801" s="404">
        <v>-9999</v>
      </c>
      <c r="BR801" s="404">
        <v>-9999</v>
      </c>
      <c r="BS801" s="405">
        <v>-9999</v>
      </c>
      <c r="BT801" s="404">
        <v>-9999</v>
      </c>
      <c r="BU801" s="404">
        <v>-9999</v>
      </c>
      <c r="BV801" s="404">
        <v>-9999</v>
      </c>
      <c r="BW801" s="404"/>
      <c r="BX801" s="404">
        <v>-9999</v>
      </c>
      <c r="BY801" s="404">
        <v>-9999</v>
      </c>
      <c r="BZ801" s="404">
        <v>-9999</v>
      </c>
      <c r="CA801" s="444">
        <v>-9999</v>
      </c>
      <c r="CB801" s="443" t="s">
        <v>1569</v>
      </c>
      <c r="CC801" s="403">
        <v>2</v>
      </c>
      <c r="CD801" s="403">
        <v>2</v>
      </c>
      <c r="CE801" s="409">
        <v>8.65</v>
      </c>
      <c r="CF801" s="342">
        <v>-9999</v>
      </c>
      <c r="CG801" s="405">
        <v>4</v>
      </c>
      <c r="CH801" s="435"/>
    </row>
    <row r="802" spans="1:1873" s="23" customFormat="1" x14ac:dyDescent="0.2">
      <c r="A802" s="403" t="s">
        <v>367</v>
      </c>
      <c r="B802" s="404" t="s">
        <v>2132</v>
      </c>
      <c r="C802" s="404" t="s">
        <v>1550</v>
      </c>
      <c r="D802" s="223" t="s">
        <v>619</v>
      </c>
      <c r="E802" s="403" t="s">
        <v>1458</v>
      </c>
      <c r="F802" s="240">
        <v>3</v>
      </c>
      <c r="G802" s="240">
        <v>2</v>
      </c>
      <c r="H802" s="242">
        <v>6</v>
      </c>
      <c r="I802" s="245" t="s">
        <v>954</v>
      </c>
      <c r="J802" s="441">
        <v>1973</v>
      </c>
      <c r="K802" s="245" t="s">
        <v>1211</v>
      </c>
      <c r="L802" s="441">
        <v>1978</v>
      </c>
      <c r="M802" s="285">
        <f>+T802*G802</f>
        <v>16.2</v>
      </c>
      <c r="N802" s="223">
        <v>-9999</v>
      </c>
      <c r="O802" s="29"/>
      <c r="P802" s="243">
        <v>-9999</v>
      </c>
      <c r="Q802" s="223">
        <v>-9999</v>
      </c>
      <c r="R802" s="243"/>
      <c r="S802" s="223"/>
      <c r="T802" s="406">
        <v>8.1</v>
      </c>
      <c r="U802" s="223">
        <v>-9999</v>
      </c>
      <c r="V802" s="223"/>
      <c r="W802" s="243">
        <v>-9999</v>
      </c>
      <c r="X802" s="223">
        <v>-9999</v>
      </c>
      <c r="Y802" s="223"/>
      <c r="Z802" s="404" t="s">
        <v>1701</v>
      </c>
      <c r="AA802" s="442">
        <v>13455</v>
      </c>
      <c r="AB802" s="243">
        <v>-9999</v>
      </c>
      <c r="AC802" s="223">
        <v>-9999</v>
      </c>
      <c r="AD802" s="223">
        <v>144</v>
      </c>
      <c r="AE802" s="404" t="s">
        <v>1961</v>
      </c>
      <c r="AF802" s="223">
        <v>1</v>
      </c>
      <c r="AG802" s="223" t="s">
        <v>1070</v>
      </c>
      <c r="AH802" s="223" t="s">
        <v>876</v>
      </c>
      <c r="AI802" s="223" t="s">
        <v>1066</v>
      </c>
      <c r="AJ802" s="223">
        <v>-9999</v>
      </c>
      <c r="AK802" s="223" t="s">
        <v>626</v>
      </c>
      <c r="AL802" s="223">
        <v>0</v>
      </c>
      <c r="AM802" s="223">
        <v>-9999</v>
      </c>
      <c r="AN802" s="223">
        <v>-9999</v>
      </c>
      <c r="AO802" s="223">
        <v>-9999</v>
      </c>
      <c r="AP802" s="223">
        <v>-9999</v>
      </c>
      <c r="AQ802" s="223" t="s">
        <v>631</v>
      </c>
      <c r="AR802" s="223">
        <v>0</v>
      </c>
      <c r="AS802" s="223">
        <v>-9999</v>
      </c>
      <c r="AT802" s="223">
        <v>-9999</v>
      </c>
      <c r="AU802" s="223">
        <v>0</v>
      </c>
      <c r="AV802" s="223">
        <v>-9999</v>
      </c>
      <c r="AW802" s="223">
        <v>-9999</v>
      </c>
      <c r="AX802" s="223">
        <v>0</v>
      </c>
      <c r="AY802" s="223">
        <v>-9999</v>
      </c>
      <c r="AZ802" s="223">
        <v>-9999</v>
      </c>
      <c r="BA802" s="223">
        <v>-9999</v>
      </c>
      <c r="BB802" s="223" t="s">
        <v>631</v>
      </c>
      <c r="BC802" s="223">
        <v>-9999</v>
      </c>
      <c r="BD802" s="223">
        <v>-9999</v>
      </c>
      <c r="BE802" s="223">
        <v>-9999</v>
      </c>
      <c r="BF802" s="223">
        <v>-9999</v>
      </c>
      <c r="BG802" s="223">
        <v>-9999</v>
      </c>
      <c r="BH802" s="223">
        <v>-9999</v>
      </c>
      <c r="BI802" s="223" t="s">
        <v>84</v>
      </c>
      <c r="BJ802" s="223">
        <v>-9999</v>
      </c>
      <c r="BK802" s="223">
        <v>-9999</v>
      </c>
      <c r="BL802" s="223">
        <v>-9999</v>
      </c>
      <c r="BM802" s="223">
        <v>-9999</v>
      </c>
      <c r="BN802" s="223">
        <v>-9999</v>
      </c>
      <c r="BO802" s="223">
        <v>-9999</v>
      </c>
      <c r="BP802" s="223">
        <v>-9999</v>
      </c>
      <c r="BQ802" s="223">
        <v>-9999</v>
      </c>
      <c r="BR802" s="223">
        <v>-9999</v>
      </c>
      <c r="BS802" s="242">
        <v>-9999</v>
      </c>
      <c r="BT802" s="223">
        <v>-9999</v>
      </c>
      <c r="BU802" s="223">
        <v>-9999</v>
      </c>
      <c r="BV802" s="223">
        <v>-9999</v>
      </c>
      <c r="BW802" s="223"/>
      <c r="BX802" s="223">
        <v>-9999</v>
      </c>
      <c r="BY802" s="223">
        <v>-9999</v>
      </c>
      <c r="BZ802" s="223">
        <v>-9999</v>
      </c>
      <c r="CA802" s="332">
        <v>-9999</v>
      </c>
      <c r="CB802" s="443" t="s">
        <v>1569</v>
      </c>
      <c r="CC802" s="240">
        <v>3</v>
      </c>
      <c r="CD802" s="240">
        <v>2</v>
      </c>
      <c r="CE802" s="292">
        <v>8.1</v>
      </c>
      <c r="CF802" s="292">
        <v>-9999</v>
      </c>
      <c r="CG802" s="242">
        <v>6</v>
      </c>
    </row>
    <row r="803" spans="1:1873" s="23" customFormat="1" x14ac:dyDescent="0.2">
      <c r="A803" s="403" t="s">
        <v>367</v>
      </c>
      <c r="B803" s="404" t="s">
        <v>2132</v>
      </c>
      <c r="C803" s="404" t="s">
        <v>1550</v>
      </c>
      <c r="D803" s="223" t="s">
        <v>619</v>
      </c>
      <c r="E803" s="403" t="s">
        <v>1458</v>
      </c>
      <c r="F803" s="240">
        <v>4</v>
      </c>
      <c r="G803" s="240">
        <v>2</v>
      </c>
      <c r="H803" s="242">
        <v>8</v>
      </c>
      <c r="I803" s="245" t="s">
        <v>954</v>
      </c>
      <c r="J803" s="441">
        <v>1973</v>
      </c>
      <c r="K803" s="245" t="s">
        <v>1211</v>
      </c>
      <c r="L803" s="441">
        <v>1980</v>
      </c>
      <c r="M803" s="285">
        <f>+T803*G803</f>
        <v>16.2</v>
      </c>
      <c r="N803" s="223">
        <v>-9999</v>
      </c>
      <c r="O803" s="29"/>
      <c r="P803" s="243">
        <v>-9999</v>
      </c>
      <c r="Q803" s="223">
        <v>-9999</v>
      </c>
      <c r="R803" s="243"/>
      <c r="S803" s="223"/>
      <c r="T803" s="406">
        <v>8.1</v>
      </c>
      <c r="U803" s="223">
        <v>-9999</v>
      </c>
      <c r="V803" s="223"/>
      <c r="W803" s="243">
        <v>-9999</v>
      </c>
      <c r="X803" s="223">
        <v>-9999</v>
      </c>
      <c r="Y803" s="223"/>
      <c r="Z803" s="404" t="s">
        <v>1701</v>
      </c>
      <c r="AA803" s="442">
        <v>13455</v>
      </c>
      <c r="AB803" s="243">
        <v>-9999</v>
      </c>
      <c r="AC803" s="223">
        <v>-9999</v>
      </c>
      <c r="AD803" s="223">
        <v>144</v>
      </c>
      <c r="AE803" s="404" t="s">
        <v>1961</v>
      </c>
      <c r="AF803" s="223">
        <v>1</v>
      </c>
      <c r="AG803" s="223" t="s">
        <v>1070</v>
      </c>
      <c r="AH803" s="223" t="s">
        <v>876</v>
      </c>
      <c r="AI803" s="223" t="s">
        <v>1066</v>
      </c>
      <c r="AJ803" s="223">
        <v>-9999</v>
      </c>
      <c r="AK803" s="223" t="s">
        <v>626</v>
      </c>
      <c r="AL803" s="223">
        <v>0</v>
      </c>
      <c r="AM803" s="223">
        <v>-9999</v>
      </c>
      <c r="AN803" s="223">
        <v>-9999</v>
      </c>
      <c r="AO803" s="223">
        <v>-9999</v>
      </c>
      <c r="AP803" s="223">
        <v>-9999</v>
      </c>
      <c r="AQ803" s="223" t="s">
        <v>631</v>
      </c>
      <c r="AR803" s="223">
        <v>0</v>
      </c>
      <c r="AS803" s="223">
        <v>-9999</v>
      </c>
      <c r="AT803" s="223">
        <v>-9999</v>
      </c>
      <c r="AU803" s="223">
        <v>0</v>
      </c>
      <c r="AV803" s="223">
        <v>-9999</v>
      </c>
      <c r="AW803" s="223">
        <v>-9999</v>
      </c>
      <c r="AX803" s="223">
        <v>0</v>
      </c>
      <c r="AY803" s="223">
        <v>-9999</v>
      </c>
      <c r="AZ803" s="223">
        <v>-9999</v>
      </c>
      <c r="BA803" s="223">
        <v>-9999</v>
      </c>
      <c r="BB803" s="223" t="s">
        <v>631</v>
      </c>
      <c r="BC803" s="223">
        <v>-9999</v>
      </c>
      <c r="BD803" s="223">
        <v>-9999</v>
      </c>
      <c r="BE803" s="223">
        <v>-9999</v>
      </c>
      <c r="BF803" s="223">
        <v>-9999</v>
      </c>
      <c r="BG803" s="223">
        <v>-9999</v>
      </c>
      <c r="BH803" s="223">
        <v>-9999</v>
      </c>
      <c r="BI803" s="223" t="s">
        <v>84</v>
      </c>
      <c r="BJ803" s="223">
        <v>-9999</v>
      </c>
      <c r="BK803" s="223">
        <v>-9999</v>
      </c>
      <c r="BL803" s="223">
        <v>-9999</v>
      </c>
      <c r="BM803" s="223">
        <v>-9999</v>
      </c>
      <c r="BN803" s="223">
        <v>-9999</v>
      </c>
      <c r="BO803" s="223">
        <v>-9999</v>
      </c>
      <c r="BP803" s="223">
        <v>-9999</v>
      </c>
      <c r="BQ803" s="223">
        <v>-9999</v>
      </c>
      <c r="BR803" s="223">
        <v>-9999</v>
      </c>
      <c r="BS803" s="242">
        <v>-9999</v>
      </c>
      <c r="BT803" s="223">
        <v>-9999</v>
      </c>
      <c r="BU803" s="223">
        <v>-9999</v>
      </c>
      <c r="BV803" s="223">
        <v>-9999</v>
      </c>
      <c r="BW803" s="223"/>
      <c r="BX803" s="223">
        <v>-9999</v>
      </c>
      <c r="BY803" s="223">
        <v>-9999</v>
      </c>
      <c r="BZ803" s="223">
        <v>-9999</v>
      </c>
      <c r="CA803" s="332">
        <v>-9999</v>
      </c>
      <c r="CB803" s="443" t="s">
        <v>1569</v>
      </c>
      <c r="CC803" s="240">
        <v>4</v>
      </c>
      <c r="CD803" s="240">
        <v>2</v>
      </c>
      <c r="CE803" s="292">
        <v>8.1</v>
      </c>
      <c r="CF803" s="292">
        <v>-9999</v>
      </c>
      <c r="CG803" s="242">
        <v>8</v>
      </c>
      <c r="CR803" s="301" t="s">
        <v>1588</v>
      </c>
    </row>
    <row r="804" spans="1:1873" s="23" customFormat="1" x14ac:dyDescent="0.2">
      <c r="A804" s="403" t="s">
        <v>367</v>
      </c>
      <c r="B804" s="404" t="s">
        <v>2132</v>
      </c>
      <c r="C804" s="404" t="s">
        <v>1550</v>
      </c>
      <c r="D804" s="223" t="s">
        <v>619</v>
      </c>
      <c r="E804" s="403" t="s">
        <v>1458</v>
      </c>
      <c r="F804" s="240">
        <v>5</v>
      </c>
      <c r="G804" s="240">
        <v>2</v>
      </c>
      <c r="H804" s="242">
        <v>10</v>
      </c>
      <c r="I804" s="245" t="s">
        <v>954</v>
      </c>
      <c r="J804" s="441">
        <v>1973</v>
      </c>
      <c r="K804" s="245" t="s">
        <v>1211</v>
      </c>
      <c r="L804" s="441">
        <v>1982</v>
      </c>
      <c r="M804" s="285">
        <f>+T804*G804</f>
        <v>9.8000000000000007</v>
      </c>
      <c r="N804" s="223">
        <v>-9999</v>
      </c>
      <c r="O804" s="29"/>
      <c r="P804" s="243">
        <v>-9999</v>
      </c>
      <c r="Q804" s="223">
        <v>-9999</v>
      </c>
      <c r="R804" s="243"/>
      <c r="S804" s="223"/>
      <c r="T804" s="406">
        <v>4.9000000000000004</v>
      </c>
      <c r="U804" s="223">
        <v>-9999</v>
      </c>
      <c r="V804" s="223"/>
      <c r="W804" s="243">
        <v>-9999</v>
      </c>
      <c r="X804" s="223">
        <v>-9999</v>
      </c>
      <c r="Y804" s="223"/>
      <c r="Z804" s="404" t="s">
        <v>1701</v>
      </c>
      <c r="AA804" s="442">
        <v>13455</v>
      </c>
      <c r="AB804" s="243">
        <v>-9999</v>
      </c>
      <c r="AC804" s="223">
        <v>-9999</v>
      </c>
      <c r="AD804" s="223">
        <v>144</v>
      </c>
      <c r="AE804" s="404" t="s">
        <v>1961</v>
      </c>
      <c r="AF804" s="223">
        <v>1</v>
      </c>
      <c r="AG804" s="223" t="s">
        <v>1070</v>
      </c>
      <c r="AH804" s="223" t="s">
        <v>876</v>
      </c>
      <c r="AI804" s="223" t="s">
        <v>1066</v>
      </c>
      <c r="AJ804" s="223">
        <v>-9999</v>
      </c>
      <c r="AK804" s="223" t="s">
        <v>626</v>
      </c>
      <c r="AL804" s="223">
        <v>0</v>
      </c>
      <c r="AM804" s="223">
        <v>-9999</v>
      </c>
      <c r="AN804" s="223">
        <v>-9999</v>
      </c>
      <c r="AO804" s="223">
        <v>-9999</v>
      </c>
      <c r="AP804" s="223">
        <v>-9999</v>
      </c>
      <c r="AQ804" s="223" t="s">
        <v>631</v>
      </c>
      <c r="AR804" s="223">
        <v>0</v>
      </c>
      <c r="AS804" s="223">
        <v>-9999</v>
      </c>
      <c r="AT804" s="223">
        <v>-9999</v>
      </c>
      <c r="AU804" s="223">
        <v>0</v>
      </c>
      <c r="AV804" s="223">
        <v>-9999</v>
      </c>
      <c r="AW804" s="223">
        <v>-9999</v>
      </c>
      <c r="AX804" s="223">
        <v>0</v>
      </c>
      <c r="AY804" s="223">
        <v>-9999</v>
      </c>
      <c r="AZ804" s="223">
        <v>-9999</v>
      </c>
      <c r="BA804" s="223">
        <v>-9999</v>
      </c>
      <c r="BB804" s="223" t="s">
        <v>631</v>
      </c>
      <c r="BC804" s="223">
        <v>-9999</v>
      </c>
      <c r="BD804" s="223">
        <v>-9999</v>
      </c>
      <c r="BE804" s="223">
        <v>-9999</v>
      </c>
      <c r="BF804" s="223">
        <v>-9999</v>
      </c>
      <c r="BG804" s="223">
        <v>-9999</v>
      </c>
      <c r="BH804" s="223">
        <v>-9999</v>
      </c>
      <c r="BI804" s="223" t="s">
        <v>84</v>
      </c>
      <c r="BJ804" s="223">
        <v>-9999</v>
      </c>
      <c r="BK804" s="223">
        <v>-9999</v>
      </c>
      <c r="BL804" s="223">
        <v>-9999</v>
      </c>
      <c r="BM804" s="223">
        <v>-9999</v>
      </c>
      <c r="BN804" s="223">
        <v>-9999</v>
      </c>
      <c r="BO804" s="223">
        <v>-9999</v>
      </c>
      <c r="BP804" s="223">
        <v>-9999</v>
      </c>
      <c r="BQ804" s="223">
        <v>-9999</v>
      </c>
      <c r="BR804" s="223">
        <v>-9999</v>
      </c>
      <c r="BS804" s="242">
        <v>-9999</v>
      </c>
      <c r="BT804" s="223">
        <v>-9999</v>
      </c>
      <c r="BU804" s="223">
        <v>-9999</v>
      </c>
      <c r="BV804" s="223">
        <v>-9999</v>
      </c>
      <c r="BW804" s="223"/>
      <c r="BX804" s="223">
        <v>-9999</v>
      </c>
      <c r="BY804" s="223">
        <v>-9999</v>
      </c>
      <c r="BZ804" s="223">
        <v>-9999</v>
      </c>
      <c r="CA804" s="332">
        <v>-9999</v>
      </c>
      <c r="CB804" s="443" t="s">
        <v>1569</v>
      </c>
      <c r="CC804" s="240">
        <v>5</v>
      </c>
      <c r="CD804" s="240">
        <v>2</v>
      </c>
      <c r="CE804" s="292">
        <v>4.9000000000000004</v>
      </c>
      <c r="CF804" s="292">
        <v>-9999</v>
      </c>
      <c r="CG804" s="242">
        <v>10</v>
      </c>
    </row>
    <row r="805" spans="1:1873" s="23" customFormat="1" x14ac:dyDescent="0.2">
      <c r="A805" s="240"/>
      <c r="B805" s="223"/>
      <c r="C805" s="223"/>
      <c r="D805" s="223"/>
      <c r="E805" s="240"/>
      <c r="F805" s="240"/>
      <c r="G805" s="240"/>
      <c r="H805" s="242"/>
      <c r="I805" s="245"/>
      <c r="J805" s="223"/>
      <c r="K805" s="245"/>
      <c r="L805" s="223"/>
      <c r="M805" s="243"/>
      <c r="N805" s="223"/>
      <c r="O805" s="29"/>
      <c r="P805" s="243"/>
      <c r="Q805" s="223"/>
      <c r="R805" s="243"/>
      <c r="S805" s="223"/>
      <c r="T805" s="244"/>
      <c r="U805" s="223"/>
      <c r="V805" s="223"/>
      <c r="W805" s="243"/>
      <c r="X805" s="223"/>
      <c r="Y805" s="223"/>
      <c r="Z805" s="223"/>
      <c r="AA805" s="442"/>
      <c r="AB805" s="243"/>
      <c r="AC805" s="223"/>
      <c r="AD805" s="223"/>
      <c r="AE805" s="223"/>
      <c r="AF805" s="223"/>
      <c r="AG805" s="223"/>
      <c r="AH805" s="223"/>
      <c r="AI805" s="223"/>
      <c r="AJ805" s="223"/>
      <c r="AK805" s="223"/>
      <c r="AL805" s="223"/>
      <c r="AM805" s="223"/>
      <c r="AN805" s="223"/>
      <c r="AO805" s="223"/>
      <c r="AP805" s="223"/>
      <c r="AQ805" s="223"/>
      <c r="AR805" s="223"/>
      <c r="AS805" s="223"/>
      <c r="AT805" s="223"/>
      <c r="AU805" s="223"/>
      <c r="AV805" s="223"/>
      <c r="AW805" s="223"/>
      <c r="AX805" s="223"/>
      <c r="AY805" s="223"/>
      <c r="AZ805" s="223"/>
      <c r="BA805" s="223"/>
      <c r="BB805" s="223"/>
      <c r="BC805" s="223"/>
      <c r="BD805" s="223"/>
      <c r="BE805" s="223"/>
      <c r="BF805" s="223"/>
      <c r="BG805" s="223"/>
      <c r="BH805" s="223"/>
      <c r="BI805" s="223"/>
      <c r="BJ805" s="223"/>
      <c r="BK805" s="223"/>
      <c r="BL805" s="223"/>
      <c r="BM805" s="223"/>
      <c r="BN805" s="223"/>
      <c r="BO805" s="223"/>
      <c r="BP805" s="223"/>
      <c r="BQ805" s="223"/>
      <c r="BR805" s="223"/>
      <c r="BS805" s="242"/>
      <c r="BT805" s="223"/>
      <c r="BU805" s="223"/>
      <c r="BV805" s="223"/>
      <c r="BW805" s="223"/>
      <c r="BX805" s="223"/>
      <c r="BY805" s="223"/>
      <c r="BZ805" s="223"/>
      <c r="CA805" s="332"/>
      <c r="CB805" s="446"/>
      <c r="CC805" s="240"/>
      <c r="CD805" s="240"/>
      <c r="CE805" s="342" t="s">
        <v>1576</v>
      </c>
      <c r="CF805" s="342" t="s">
        <v>1575</v>
      </c>
      <c r="CG805" s="242"/>
    </row>
    <row r="806" spans="1:1873" s="23" customFormat="1" x14ac:dyDescent="0.2">
      <c r="A806" s="240" t="s">
        <v>366</v>
      </c>
      <c r="B806" s="404" t="s">
        <v>2132</v>
      </c>
      <c r="C806" s="404" t="s">
        <v>1551</v>
      </c>
      <c r="D806" s="223" t="s">
        <v>619</v>
      </c>
      <c r="E806" s="403" t="s">
        <v>1458</v>
      </c>
      <c r="F806" s="240">
        <v>1</v>
      </c>
      <c r="G806" s="240">
        <v>2</v>
      </c>
      <c r="H806" s="242">
        <v>2</v>
      </c>
      <c r="I806" s="245" t="s">
        <v>954</v>
      </c>
      <c r="J806" s="441">
        <v>1973</v>
      </c>
      <c r="K806" s="245" t="s">
        <v>1211</v>
      </c>
      <c r="L806" s="441">
        <v>1974</v>
      </c>
      <c r="M806" s="243">
        <v>9.4</v>
      </c>
      <c r="N806" s="223">
        <v>-9999</v>
      </c>
      <c r="O806" s="29"/>
      <c r="P806" s="243">
        <v>-9999</v>
      </c>
      <c r="Q806" s="223">
        <v>-9999</v>
      </c>
      <c r="R806" s="243"/>
      <c r="S806" s="223"/>
      <c r="T806" s="244">
        <f>+M806/G806</f>
        <v>4.7</v>
      </c>
      <c r="U806" s="223">
        <v>-9999</v>
      </c>
      <c r="V806" s="223"/>
      <c r="W806" s="243">
        <v>-9999</v>
      </c>
      <c r="X806" s="223">
        <v>-9999</v>
      </c>
      <c r="Y806" s="223"/>
      <c r="Z806" s="223" t="s">
        <v>67</v>
      </c>
      <c r="AA806" s="441">
        <v>6727</v>
      </c>
      <c r="AB806" s="243">
        <v>1</v>
      </c>
      <c r="AC806" s="223">
        <v>-9999</v>
      </c>
      <c r="AD806" s="223">
        <v>144</v>
      </c>
      <c r="AE806" s="404" t="s">
        <v>1959</v>
      </c>
      <c r="AF806" s="223">
        <v>1</v>
      </c>
      <c r="AG806" s="223" t="s">
        <v>1070</v>
      </c>
      <c r="AH806" s="223" t="s">
        <v>876</v>
      </c>
      <c r="AI806" s="223" t="s">
        <v>1066</v>
      </c>
      <c r="AJ806" s="223">
        <v>-9999</v>
      </c>
      <c r="AK806" s="223" t="s">
        <v>626</v>
      </c>
      <c r="AL806" s="223" t="s">
        <v>1068</v>
      </c>
      <c r="AM806" s="223">
        <v>-9999</v>
      </c>
      <c r="AN806" s="223">
        <v>-9999</v>
      </c>
      <c r="AO806" s="223">
        <v>-9999</v>
      </c>
      <c r="AP806" s="223">
        <v>-9999</v>
      </c>
      <c r="AQ806" s="223" t="s">
        <v>631</v>
      </c>
      <c r="AR806" s="223">
        <v>0</v>
      </c>
      <c r="AS806" s="223">
        <v>-9999</v>
      </c>
      <c r="AT806" s="223">
        <v>-9999</v>
      </c>
      <c r="AU806" s="223">
        <v>0</v>
      </c>
      <c r="AV806" s="223">
        <v>-9999</v>
      </c>
      <c r="AW806" s="223">
        <v>-9999</v>
      </c>
      <c r="AX806" s="223">
        <v>0</v>
      </c>
      <c r="AY806" s="223">
        <v>-9999</v>
      </c>
      <c r="AZ806" s="223">
        <v>-9999</v>
      </c>
      <c r="BA806" s="223">
        <v>-9999</v>
      </c>
      <c r="BB806" s="223" t="s">
        <v>631</v>
      </c>
      <c r="BC806" s="223">
        <v>-9999</v>
      </c>
      <c r="BD806" s="223">
        <v>-9999</v>
      </c>
      <c r="BE806" s="223">
        <v>-9999</v>
      </c>
      <c r="BF806" s="223">
        <v>-9999</v>
      </c>
      <c r="BG806" s="223">
        <v>-9999</v>
      </c>
      <c r="BH806" s="223">
        <v>-9999</v>
      </c>
      <c r="BI806" s="223" t="s">
        <v>84</v>
      </c>
      <c r="BJ806" s="223">
        <v>-9999</v>
      </c>
      <c r="BK806" s="223">
        <v>-9999</v>
      </c>
      <c r="BL806" s="223">
        <v>-9999</v>
      </c>
      <c r="BM806" s="223">
        <v>-9999</v>
      </c>
      <c r="BN806" s="223">
        <v>-9999</v>
      </c>
      <c r="BO806" s="223">
        <v>-9999</v>
      </c>
      <c r="BP806" s="223">
        <v>-9999</v>
      </c>
      <c r="BQ806" s="223">
        <v>-9999</v>
      </c>
      <c r="BR806" s="223">
        <v>-9999</v>
      </c>
      <c r="BS806" s="242">
        <v>-9999</v>
      </c>
      <c r="BT806" s="223">
        <v>-9999</v>
      </c>
      <c r="BU806" s="223">
        <v>-9999</v>
      </c>
      <c r="BV806" s="223">
        <v>-9999</v>
      </c>
      <c r="BW806" s="223"/>
      <c r="BX806" s="223">
        <v>-9999</v>
      </c>
      <c r="BY806" s="223">
        <v>-9999</v>
      </c>
      <c r="BZ806" s="223">
        <v>-9999</v>
      </c>
      <c r="CA806" s="332">
        <v>-9999</v>
      </c>
      <c r="CB806" s="443" t="s">
        <v>1569</v>
      </c>
      <c r="CC806" s="240">
        <v>1</v>
      </c>
      <c r="CD806" s="240">
        <v>2</v>
      </c>
      <c r="CE806" s="292">
        <v>4.7</v>
      </c>
      <c r="CF806" s="292">
        <v>-9999</v>
      </c>
      <c r="CG806" s="242">
        <v>2</v>
      </c>
    </row>
    <row r="807" spans="1:1873" s="415" customFormat="1" x14ac:dyDescent="0.2">
      <c r="A807" s="240" t="s">
        <v>366</v>
      </c>
      <c r="B807" s="404" t="s">
        <v>2132</v>
      </c>
      <c r="C807" s="404" t="s">
        <v>1551</v>
      </c>
      <c r="D807" s="404" t="s">
        <v>619</v>
      </c>
      <c r="E807" s="403" t="s">
        <v>1458</v>
      </c>
      <c r="F807" s="403">
        <v>2</v>
      </c>
      <c r="G807" s="403">
        <v>2</v>
      </c>
      <c r="H807" s="405">
        <v>4</v>
      </c>
      <c r="I807" s="245" t="s">
        <v>954</v>
      </c>
      <c r="J807" s="441">
        <v>1973</v>
      </c>
      <c r="K807" s="245" t="s">
        <v>1211</v>
      </c>
      <c r="L807" s="441">
        <v>1976</v>
      </c>
      <c r="M807" s="406">
        <v>17.7</v>
      </c>
      <c r="N807" s="404">
        <v>-9999</v>
      </c>
      <c r="O807" s="323"/>
      <c r="P807" s="406">
        <v>-9999</v>
      </c>
      <c r="Q807" s="404">
        <v>-9999</v>
      </c>
      <c r="R807" s="406"/>
      <c r="S807" s="404"/>
      <c r="T807" s="244">
        <f>+M807/G807</f>
        <v>8.85</v>
      </c>
      <c r="U807" s="404">
        <v>-9999</v>
      </c>
      <c r="V807" s="404"/>
      <c r="W807" s="406">
        <v>-9999</v>
      </c>
      <c r="X807" s="404">
        <v>-9999</v>
      </c>
      <c r="Y807" s="404"/>
      <c r="Z807" s="404" t="s">
        <v>67</v>
      </c>
      <c r="AA807" s="441">
        <v>6727</v>
      </c>
      <c r="AB807" s="406">
        <v>0.98</v>
      </c>
      <c r="AC807" s="404">
        <v>-9999</v>
      </c>
      <c r="AD807" s="223">
        <v>144</v>
      </c>
      <c r="AE807" s="404" t="s">
        <v>1959</v>
      </c>
      <c r="AF807" s="404">
        <v>1</v>
      </c>
      <c r="AG807" s="404" t="s">
        <v>1070</v>
      </c>
      <c r="AH807" s="404" t="s">
        <v>876</v>
      </c>
      <c r="AI807" s="404" t="s">
        <v>1066</v>
      </c>
      <c r="AJ807" s="404">
        <v>-9999</v>
      </c>
      <c r="AK807" s="404" t="s">
        <v>626</v>
      </c>
      <c r="AL807" s="404" t="s">
        <v>1069</v>
      </c>
      <c r="AM807" s="404">
        <v>-9999</v>
      </c>
      <c r="AN807" s="404">
        <v>-9999</v>
      </c>
      <c r="AO807" s="404">
        <v>-9999</v>
      </c>
      <c r="AP807" s="404">
        <v>-9999</v>
      </c>
      <c r="AQ807" s="404" t="s">
        <v>631</v>
      </c>
      <c r="AR807" s="404">
        <v>0</v>
      </c>
      <c r="AS807" s="404">
        <v>-9999</v>
      </c>
      <c r="AT807" s="404">
        <v>-9999</v>
      </c>
      <c r="AU807" s="404">
        <v>0</v>
      </c>
      <c r="AV807" s="404">
        <v>-9999</v>
      </c>
      <c r="AW807" s="404">
        <v>-9999</v>
      </c>
      <c r="AX807" s="404">
        <v>0</v>
      </c>
      <c r="AY807" s="404">
        <v>-9999</v>
      </c>
      <c r="AZ807" s="404">
        <v>-9999</v>
      </c>
      <c r="BA807" s="404">
        <v>-9999</v>
      </c>
      <c r="BB807" s="404" t="s">
        <v>631</v>
      </c>
      <c r="BC807" s="404">
        <v>-9999</v>
      </c>
      <c r="BD807" s="404">
        <v>-9999</v>
      </c>
      <c r="BE807" s="404">
        <v>-9999</v>
      </c>
      <c r="BF807" s="404">
        <v>-9999</v>
      </c>
      <c r="BG807" s="404">
        <v>-9999</v>
      </c>
      <c r="BH807" s="404">
        <v>-9999</v>
      </c>
      <c r="BI807" s="404" t="s">
        <v>84</v>
      </c>
      <c r="BJ807" s="404">
        <v>-9999</v>
      </c>
      <c r="BK807" s="404">
        <v>-9999</v>
      </c>
      <c r="BL807" s="404">
        <v>-9999</v>
      </c>
      <c r="BM807" s="404">
        <v>-9999</v>
      </c>
      <c r="BN807" s="404">
        <v>-9999</v>
      </c>
      <c r="BO807" s="404">
        <v>-9999</v>
      </c>
      <c r="BP807" s="404">
        <v>-9999</v>
      </c>
      <c r="BQ807" s="404">
        <v>-9999</v>
      </c>
      <c r="BR807" s="404">
        <v>-9999</v>
      </c>
      <c r="BS807" s="405">
        <v>-9999</v>
      </c>
      <c r="BT807" s="404">
        <v>-9999</v>
      </c>
      <c r="BU807" s="404">
        <v>-9999</v>
      </c>
      <c r="BV807" s="404">
        <v>-9999</v>
      </c>
      <c r="BW807" s="404"/>
      <c r="BX807" s="404">
        <v>-9999</v>
      </c>
      <c r="BY807" s="404">
        <v>-9999</v>
      </c>
      <c r="BZ807" s="404">
        <v>-9999</v>
      </c>
      <c r="CA807" s="444">
        <v>-9999</v>
      </c>
      <c r="CB807" s="443" t="s">
        <v>1569</v>
      </c>
      <c r="CC807" s="403">
        <v>2</v>
      </c>
      <c r="CD807" s="403">
        <v>2</v>
      </c>
      <c r="CE807" s="409">
        <v>8.85</v>
      </c>
      <c r="CF807" s="342">
        <v>-9999</v>
      </c>
      <c r="CG807" s="410">
        <v>4</v>
      </c>
      <c r="CH807" s="435" t="s">
        <v>1757</v>
      </c>
      <c r="CI807" s="301"/>
      <c r="CJ807" s="301"/>
      <c r="CK807" s="301"/>
      <c r="CL807" s="301"/>
      <c r="CM807" s="301"/>
      <c r="CN807" s="301"/>
      <c r="CO807" s="301"/>
      <c r="CP807" s="301"/>
      <c r="CQ807" s="301"/>
      <c r="CR807" s="301"/>
      <c r="CS807" s="301"/>
      <c r="CT807" s="301"/>
      <c r="CU807" s="301"/>
      <c r="CV807" s="301"/>
      <c r="CW807" s="301"/>
      <c r="CX807" s="301"/>
      <c r="CY807" s="301"/>
      <c r="CZ807" s="301"/>
      <c r="DA807" s="301"/>
      <c r="DB807" s="301"/>
      <c r="DC807" s="301"/>
      <c r="DD807" s="301"/>
      <c r="DE807" s="301"/>
      <c r="DF807" s="301"/>
      <c r="DG807" s="301"/>
      <c r="DH807" s="301"/>
      <c r="DI807" s="301"/>
      <c r="DJ807" s="301"/>
      <c r="DK807" s="301"/>
      <c r="DL807" s="301"/>
      <c r="DM807" s="301"/>
      <c r="DN807" s="301"/>
      <c r="DO807" s="301"/>
      <c r="DP807" s="301"/>
      <c r="DQ807" s="301"/>
      <c r="DR807" s="301"/>
      <c r="DS807" s="301"/>
      <c r="DT807" s="301"/>
      <c r="DU807" s="301"/>
      <c r="DV807" s="301"/>
      <c r="DW807" s="301"/>
      <c r="DX807" s="301"/>
      <c r="DY807" s="301"/>
      <c r="DZ807" s="301"/>
      <c r="EA807" s="301"/>
      <c r="EB807" s="301"/>
      <c r="EC807" s="301"/>
      <c r="ED807" s="301"/>
      <c r="EE807" s="301"/>
      <c r="EF807" s="301"/>
      <c r="EG807" s="301"/>
      <c r="EH807" s="301"/>
      <c r="EI807" s="301"/>
      <c r="EJ807" s="301"/>
      <c r="EK807" s="301"/>
      <c r="EL807" s="301"/>
      <c r="EM807" s="301"/>
      <c r="EN807" s="301"/>
      <c r="EO807" s="301"/>
      <c r="EP807" s="301"/>
      <c r="EQ807" s="301"/>
      <c r="ER807" s="301"/>
      <c r="ES807" s="301"/>
      <c r="ET807" s="301"/>
      <c r="EU807" s="301"/>
      <c r="EV807" s="301"/>
      <c r="EW807" s="301"/>
      <c r="EX807" s="301"/>
      <c r="EY807" s="301"/>
      <c r="EZ807" s="301"/>
      <c r="FA807" s="301"/>
      <c r="FB807" s="301"/>
      <c r="FC807" s="301"/>
      <c r="FD807" s="301"/>
      <c r="FE807" s="301"/>
      <c r="FF807" s="301"/>
      <c r="FG807" s="301"/>
      <c r="FH807" s="301"/>
      <c r="FI807" s="301"/>
      <c r="FJ807" s="301"/>
      <c r="FK807" s="301"/>
      <c r="FL807" s="301"/>
      <c r="FM807" s="301"/>
      <c r="FN807" s="301"/>
      <c r="FO807" s="301"/>
      <c r="FP807" s="301"/>
      <c r="FQ807" s="301"/>
      <c r="FR807" s="301"/>
      <c r="FS807" s="301"/>
      <c r="FT807" s="301"/>
      <c r="FU807" s="301"/>
      <c r="FV807" s="301"/>
      <c r="FW807" s="301"/>
      <c r="FX807" s="301"/>
      <c r="FY807" s="301"/>
      <c r="FZ807" s="301"/>
      <c r="GA807" s="301"/>
      <c r="GB807" s="301"/>
      <c r="GC807" s="301"/>
      <c r="GD807" s="301"/>
      <c r="GE807" s="301"/>
      <c r="GF807" s="301"/>
      <c r="GG807" s="301"/>
      <c r="GH807" s="301"/>
      <c r="GI807" s="301"/>
      <c r="GJ807" s="301"/>
      <c r="GK807" s="301"/>
      <c r="GL807" s="301"/>
      <c r="GM807" s="301"/>
      <c r="GN807" s="301"/>
      <c r="GO807" s="301"/>
      <c r="GP807" s="301"/>
      <c r="GQ807" s="301"/>
      <c r="GR807" s="301"/>
      <c r="GS807" s="301"/>
      <c r="GT807" s="301"/>
      <c r="GU807" s="301"/>
      <c r="GV807" s="301"/>
      <c r="GW807" s="301"/>
      <c r="GX807" s="301"/>
      <c r="GY807" s="301"/>
      <c r="GZ807" s="301"/>
      <c r="HA807" s="301"/>
      <c r="HB807" s="301"/>
      <c r="HC807" s="301"/>
      <c r="HD807" s="301"/>
      <c r="HE807" s="301"/>
      <c r="HF807" s="301"/>
      <c r="HG807" s="301"/>
      <c r="HH807" s="301"/>
      <c r="HI807" s="301"/>
      <c r="HJ807" s="301"/>
      <c r="HK807" s="301"/>
      <c r="HL807" s="301"/>
      <c r="HM807" s="301"/>
      <c r="HN807" s="301"/>
      <c r="HO807" s="301"/>
      <c r="HP807" s="301"/>
      <c r="HQ807" s="301"/>
      <c r="HR807" s="301"/>
      <c r="HS807" s="301"/>
      <c r="HT807" s="301"/>
      <c r="HU807" s="301"/>
      <c r="HV807" s="301"/>
      <c r="HW807" s="301"/>
      <c r="HX807" s="301"/>
      <c r="HY807" s="301"/>
      <c r="HZ807" s="301"/>
      <c r="IA807" s="301"/>
      <c r="IB807" s="301"/>
      <c r="IC807" s="301"/>
      <c r="ID807" s="301"/>
      <c r="IE807" s="301"/>
      <c r="IF807" s="301"/>
      <c r="IG807" s="301"/>
      <c r="IH807" s="301"/>
      <c r="II807" s="301"/>
      <c r="IJ807" s="301"/>
      <c r="IK807" s="301"/>
      <c r="IL807" s="301"/>
      <c r="IM807" s="301"/>
      <c r="IN807" s="301"/>
      <c r="IO807" s="301"/>
      <c r="IP807" s="301"/>
      <c r="IQ807" s="301"/>
      <c r="IR807" s="301"/>
      <c r="IS807" s="301"/>
      <c r="IT807" s="301"/>
      <c r="IU807" s="301"/>
      <c r="IV807" s="301"/>
      <c r="IW807" s="301"/>
      <c r="IX807" s="301"/>
      <c r="IY807" s="301"/>
      <c r="IZ807" s="301"/>
      <c r="JA807" s="301"/>
      <c r="JB807" s="301"/>
      <c r="JC807" s="301"/>
      <c r="JD807" s="301"/>
      <c r="JE807" s="301"/>
      <c r="JF807" s="301"/>
      <c r="JG807" s="301"/>
      <c r="JH807" s="301"/>
      <c r="JI807" s="301"/>
      <c r="JJ807" s="301"/>
      <c r="JK807" s="301"/>
      <c r="JL807" s="301"/>
      <c r="JM807" s="301"/>
      <c r="JN807" s="301"/>
      <c r="JO807" s="301"/>
      <c r="JP807" s="301"/>
      <c r="JQ807" s="301"/>
      <c r="JR807" s="301"/>
      <c r="JS807" s="301"/>
      <c r="JT807" s="301"/>
      <c r="JU807" s="301"/>
      <c r="JV807" s="301"/>
      <c r="JW807" s="301"/>
      <c r="JX807" s="301"/>
      <c r="JY807" s="301"/>
      <c r="JZ807" s="301"/>
      <c r="KA807" s="301"/>
      <c r="KB807" s="301"/>
      <c r="KC807" s="301"/>
      <c r="KD807" s="301"/>
      <c r="KE807" s="301"/>
      <c r="KF807" s="301"/>
      <c r="KG807" s="301"/>
      <c r="KH807" s="301"/>
      <c r="KI807" s="301"/>
      <c r="KJ807" s="301"/>
      <c r="KK807" s="301"/>
      <c r="KL807" s="301"/>
      <c r="KM807" s="301"/>
      <c r="KN807" s="301"/>
      <c r="KO807" s="301"/>
      <c r="KP807" s="301"/>
      <c r="KQ807" s="301"/>
      <c r="KR807" s="301"/>
      <c r="KS807" s="301"/>
      <c r="KT807" s="301"/>
      <c r="KU807" s="301"/>
      <c r="KV807" s="301"/>
      <c r="KW807" s="301"/>
      <c r="KX807" s="301"/>
      <c r="KY807" s="301"/>
      <c r="KZ807" s="301"/>
      <c r="LA807" s="301"/>
      <c r="LB807" s="301"/>
      <c r="LC807" s="301"/>
      <c r="LD807" s="301"/>
      <c r="LE807" s="301"/>
      <c r="LF807" s="301"/>
      <c r="LG807" s="301"/>
      <c r="LH807" s="301"/>
      <c r="LI807" s="301"/>
      <c r="LJ807" s="301"/>
      <c r="LK807" s="301"/>
      <c r="LL807" s="301"/>
      <c r="LM807" s="301"/>
      <c r="LN807" s="301"/>
      <c r="LO807" s="301"/>
      <c r="LP807" s="301"/>
      <c r="LQ807" s="301"/>
      <c r="LR807" s="301"/>
      <c r="LS807" s="301"/>
      <c r="LT807" s="301"/>
      <c r="LU807" s="301"/>
      <c r="LV807" s="301"/>
      <c r="LW807" s="301"/>
      <c r="LX807" s="301"/>
      <c r="LY807" s="301"/>
      <c r="LZ807" s="301"/>
      <c r="MA807" s="301"/>
      <c r="MB807" s="301"/>
      <c r="MC807" s="301"/>
      <c r="MD807" s="301"/>
      <c r="ME807" s="301"/>
      <c r="MF807" s="301"/>
      <c r="MG807" s="301"/>
      <c r="MH807" s="301"/>
      <c r="MI807" s="301"/>
      <c r="MJ807" s="301"/>
      <c r="MK807" s="301"/>
      <c r="ML807" s="301"/>
      <c r="MM807" s="301"/>
      <c r="MN807" s="301"/>
      <c r="MO807" s="301"/>
      <c r="MP807" s="301"/>
      <c r="MQ807" s="301"/>
      <c r="MR807" s="301"/>
      <c r="MS807" s="301"/>
      <c r="MT807" s="301"/>
      <c r="MU807" s="301"/>
      <c r="MV807" s="301"/>
      <c r="MW807" s="301"/>
      <c r="MX807" s="301"/>
      <c r="MY807" s="301"/>
      <c r="MZ807" s="301"/>
      <c r="NA807" s="301"/>
      <c r="NB807" s="301"/>
      <c r="NC807" s="301"/>
      <c r="ND807" s="301"/>
      <c r="NE807" s="301"/>
      <c r="NF807" s="301"/>
      <c r="NG807" s="301"/>
      <c r="NH807" s="301"/>
      <c r="NI807" s="301"/>
      <c r="NJ807" s="301"/>
      <c r="NK807" s="301"/>
      <c r="NL807" s="301"/>
      <c r="NM807" s="301"/>
      <c r="NN807" s="301"/>
      <c r="NO807" s="301"/>
      <c r="NP807" s="301"/>
      <c r="NQ807" s="301"/>
      <c r="NR807" s="301"/>
      <c r="NS807" s="301"/>
      <c r="NT807" s="301"/>
      <c r="NU807" s="301"/>
      <c r="NV807" s="301"/>
      <c r="NW807" s="301"/>
      <c r="NX807" s="301"/>
      <c r="NY807" s="301"/>
      <c r="NZ807" s="301"/>
      <c r="OA807" s="301"/>
      <c r="OB807" s="301"/>
      <c r="OC807" s="301"/>
      <c r="OD807" s="301"/>
      <c r="OE807" s="301"/>
      <c r="OF807" s="301"/>
      <c r="OG807" s="301"/>
      <c r="OH807" s="301"/>
      <c r="OI807" s="301"/>
      <c r="OJ807" s="301"/>
      <c r="OK807" s="301"/>
      <c r="OL807" s="301"/>
      <c r="OM807" s="301"/>
      <c r="ON807" s="301"/>
      <c r="OO807" s="301"/>
      <c r="OP807" s="301"/>
      <c r="OQ807" s="301"/>
      <c r="OR807" s="301"/>
      <c r="OS807" s="301"/>
      <c r="OT807" s="301"/>
      <c r="OU807" s="301"/>
      <c r="OV807" s="301"/>
      <c r="OW807" s="301"/>
      <c r="OX807" s="301"/>
      <c r="OY807" s="301"/>
      <c r="OZ807" s="301"/>
      <c r="PA807" s="301"/>
      <c r="PB807" s="301"/>
      <c r="PC807" s="301"/>
      <c r="PD807" s="301"/>
      <c r="PE807" s="301"/>
      <c r="PF807" s="301"/>
      <c r="PG807" s="301"/>
      <c r="PH807" s="301"/>
      <c r="PI807" s="301"/>
      <c r="PJ807" s="301"/>
      <c r="PK807" s="301"/>
      <c r="PL807" s="301"/>
      <c r="PM807" s="301"/>
      <c r="PN807" s="301"/>
      <c r="PO807" s="301"/>
      <c r="PP807" s="301"/>
      <c r="PQ807" s="301"/>
      <c r="PR807" s="301"/>
      <c r="PS807" s="301"/>
      <c r="PT807" s="301"/>
      <c r="PU807" s="301"/>
      <c r="PV807" s="301"/>
      <c r="PW807" s="301"/>
      <c r="PX807" s="301"/>
      <c r="PY807" s="301"/>
      <c r="PZ807" s="301"/>
      <c r="QA807" s="301"/>
      <c r="QB807" s="301"/>
      <c r="QC807" s="301"/>
      <c r="QD807" s="301"/>
      <c r="QE807" s="301"/>
      <c r="QF807" s="301"/>
      <c r="QG807" s="301"/>
      <c r="QH807" s="301"/>
      <c r="QI807" s="301"/>
      <c r="QJ807" s="301"/>
      <c r="QK807" s="301"/>
      <c r="QL807" s="301"/>
      <c r="QM807" s="301"/>
      <c r="QN807" s="301"/>
      <c r="QO807" s="301"/>
      <c r="QP807" s="301"/>
      <c r="QQ807" s="301"/>
      <c r="QR807" s="301"/>
      <c r="QS807" s="301"/>
      <c r="QT807" s="301"/>
      <c r="QU807" s="301"/>
      <c r="QV807" s="301"/>
      <c r="QW807" s="301"/>
      <c r="QX807" s="301"/>
      <c r="QY807" s="301"/>
      <c r="QZ807" s="301"/>
      <c r="RA807" s="301"/>
      <c r="RB807" s="301"/>
      <c r="RC807" s="301"/>
      <c r="RD807" s="301"/>
      <c r="RE807" s="301"/>
      <c r="RF807" s="301"/>
      <c r="RG807" s="301"/>
      <c r="RH807" s="301"/>
      <c r="RI807" s="301"/>
      <c r="RJ807" s="301"/>
      <c r="RK807" s="301"/>
      <c r="RL807" s="301"/>
      <c r="RM807" s="301"/>
      <c r="RN807" s="301"/>
      <c r="RO807" s="301"/>
      <c r="RP807" s="301"/>
      <c r="RQ807" s="301"/>
      <c r="RR807" s="301"/>
      <c r="RS807" s="301"/>
      <c r="RT807" s="301"/>
      <c r="RU807" s="301"/>
      <c r="RV807" s="301"/>
      <c r="RW807" s="301"/>
      <c r="RX807" s="301"/>
      <c r="RY807" s="301"/>
      <c r="RZ807" s="301"/>
      <c r="SA807" s="301"/>
      <c r="SB807" s="301"/>
      <c r="SC807" s="301"/>
      <c r="SD807" s="301"/>
      <c r="SE807" s="301"/>
      <c r="SF807" s="301"/>
      <c r="SG807" s="301"/>
      <c r="SH807" s="301"/>
      <c r="SI807" s="301"/>
      <c r="SJ807" s="301"/>
      <c r="SK807" s="301"/>
      <c r="SL807" s="301"/>
      <c r="SM807" s="301"/>
      <c r="SN807" s="301"/>
      <c r="SO807" s="301"/>
      <c r="SP807" s="301"/>
      <c r="SQ807" s="301"/>
      <c r="SR807" s="301"/>
      <c r="SS807" s="301"/>
      <c r="ST807" s="301"/>
      <c r="SU807" s="301"/>
      <c r="SV807" s="301"/>
      <c r="SW807" s="301"/>
      <c r="SX807" s="301"/>
      <c r="SY807" s="301"/>
      <c r="SZ807" s="301"/>
      <c r="TA807" s="301"/>
      <c r="TB807" s="301"/>
      <c r="TC807" s="301"/>
      <c r="TD807" s="301"/>
      <c r="TE807" s="301"/>
      <c r="TF807" s="301"/>
      <c r="TG807" s="301"/>
      <c r="TH807" s="301"/>
      <c r="TI807" s="301"/>
      <c r="TJ807" s="301"/>
      <c r="TK807" s="301"/>
      <c r="TL807" s="301"/>
      <c r="TM807" s="301"/>
      <c r="TN807" s="301"/>
      <c r="TO807" s="301"/>
      <c r="TP807" s="301"/>
      <c r="TQ807" s="301"/>
      <c r="TR807" s="301"/>
      <c r="TS807" s="301"/>
      <c r="TT807" s="301"/>
      <c r="TU807" s="301"/>
      <c r="TV807" s="301"/>
      <c r="TW807" s="301"/>
      <c r="TX807" s="301"/>
      <c r="TY807" s="301"/>
      <c r="TZ807" s="301"/>
      <c r="UA807" s="301"/>
      <c r="UB807" s="301"/>
      <c r="UC807" s="301"/>
      <c r="UD807" s="301"/>
      <c r="UE807" s="301"/>
      <c r="UF807" s="301"/>
      <c r="UG807" s="301"/>
      <c r="UH807" s="301"/>
      <c r="UI807" s="301"/>
      <c r="UJ807" s="301"/>
      <c r="UK807" s="301"/>
      <c r="UL807" s="301"/>
      <c r="UM807" s="301"/>
      <c r="UN807" s="301"/>
      <c r="UO807" s="301"/>
      <c r="UP807" s="301"/>
      <c r="UQ807" s="301"/>
      <c r="UR807" s="301"/>
      <c r="US807" s="301"/>
      <c r="UT807" s="301"/>
      <c r="UU807" s="301"/>
      <c r="UV807" s="301"/>
      <c r="UW807" s="301"/>
      <c r="UX807" s="301"/>
      <c r="UY807" s="301"/>
      <c r="UZ807" s="301"/>
      <c r="VA807" s="301"/>
      <c r="VB807" s="301"/>
      <c r="VC807" s="301"/>
      <c r="VD807" s="301"/>
      <c r="VE807" s="301"/>
      <c r="VF807" s="301"/>
      <c r="VG807" s="301"/>
      <c r="VH807" s="301"/>
      <c r="VI807" s="301"/>
      <c r="VJ807" s="301"/>
      <c r="VK807" s="301"/>
      <c r="VL807" s="301"/>
      <c r="VM807" s="301"/>
      <c r="VN807" s="301"/>
      <c r="VO807" s="301"/>
      <c r="VP807" s="301"/>
      <c r="VQ807" s="301"/>
      <c r="VR807" s="301"/>
      <c r="VS807" s="301"/>
      <c r="VT807" s="301"/>
      <c r="VU807" s="301"/>
      <c r="VV807" s="301"/>
      <c r="VW807" s="301"/>
      <c r="VX807" s="301"/>
      <c r="VY807" s="301"/>
      <c r="VZ807" s="301"/>
      <c r="WA807" s="301"/>
      <c r="WB807" s="301"/>
      <c r="WC807" s="301"/>
      <c r="WD807" s="301"/>
      <c r="WE807" s="301"/>
      <c r="WF807" s="301"/>
      <c r="WG807" s="301"/>
      <c r="WH807" s="301"/>
      <c r="WI807" s="301"/>
      <c r="WJ807" s="301"/>
      <c r="WK807" s="301"/>
      <c r="WL807" s="301"/>
      <c r="WM807" s="301"/>
      <c r="WN807" s="301"/>
      <c r="WO807" s="301"/>
      <c r="WP807" s="301"/>
      <c r="WQ807" s="301"/>
      <c r="WR807" s="301"/>
      <c r="WS807" s="301"/>
      <c r="WT807" s="301"/>
      <c r="WU807" s="301"/>
      <c r="WV807" s="301"/>
      <c r="WW807" s="301"/>
      <c r="WX807" s="301"/>
      <c r="WY807" s="301"/>
      <c r="WZ807" s="301"/>
      <c r="XA807" s="301"/>
      <c r="XB807" s="301"/>
      <c r="XC807" s="301"/>
      <c r="XD807" s="301"/>
      <c r="XE807" s="301"/>
      <c r="XF807" s="301"/>
      <c r="XG807" s="301"/>
      <c r="XH807" s="301"/>
      <c r="XI807" s="301"/>
      <c r="XJ807" s="301"/>
      <c r="XK807" s="301"/>
      <c r="XL807" s="301"/>
      <c r="XM807" s="301"/>
      <c r="XN807" s="301"/>
      <c r="XO807" s="301"/>
      <c r="XP807" s="301"/>
      <c r="XQ807" s="301"/>
      <c r="XR807" s="301"/>
      <c r="XS807" s="301"/>
      <c r="XT807" s="301"/>
      <c r="XU807" s="301"/>
      <c r="XV807" s="301"/>
      <c r="XW807" s="301"/>
      <c r="XX807" s="301"/>
      <c r="XY807" s="301"/>
      <c r="XZ807" s="301"/>
      <c r="YA807" s="301"/>
      <c r="YB807" s="301"/>
      <c r="YC807" s="301"/>
      <c r="YD807" s="301"/>
      <c r="YE807" s="301"/>
      <c r="YF807" s="301"/>
      <c r="YG807" s="301"/>
      <c r="YH807" s="301"/>
      <c r="YI807" s="301"/>
      <c r="YJ807" s="301"/>
      <c r="YK807" s="301"/>
      <c r="YL807" s="301"/>
      <c r="YM807" s="301"/>
      <c r="YN807" s="301"/>
      <c r="YO807" s="301"/>
      <c r="YP807" s="301"/>
      <c r="YQ807" s="301"/>
      <c r="YR807" s="301"/>
      <c r="YS807" s="301"/>
      <c r="YT807" s="301"/>
      <c r="YU807" s="301"/>
      <c r="YV807" s="301"/>
      <c r="YW807" s="301"/>
      <c r="YX807" s="301"/>
      <c r="YY807" s="301"/>
      <c r="YZ807" s="301"/>
      <c r="ZA807" s="301"/>
      <c r="ZB807" s="301"/>
      <c r="ZC807" s="301"/>
      <c r="ZD807" s="301"/>
      <c r="ZE807" s="301"/>
      <c r="ZF807" s="301"/>
      <c r="ZG807" s="301"/>
      <c r="ZH807" s="301"/>
      <c r="ZI807" s="301"/>
      <c r="ZJ807" s="301"/>
      <c r="ZK807" s="301"/>
      <c r="ZL807" s="301"/>
      <c r="ZM807" s="301"/>
      <c r="ZN807" s="301"/>
      <c r="ZO807" s="301"/>
      <c r="ZP807" s="301"/>
      <c r="ZQ807" s="301"/>
      <c r="ZR807" s="301"/>
      <c r="ZS807" s="301"/>
      <c r="ZT807" s="301"/>
      <c r="ZU807" s="301"/>
      <c r="ZV807" s="301"/>
      <c r="ZW807" s="301"/>
      <c r="ZX807" s="301"/>
      <c r="ZY807" s="301"/>
      <c r="ZZ807" s="301"/>
      <c r="AAA807" s="301"/>
      <c r="AAB807" s="301"/>
      <c r="AAC807" s="301"/>
      <c r="AAD807" s="301"/>
      <c r="AAE807" s="301"/>
      <c r="AAF807" s="301"/>
      <c r="AAG807" s="301"/>
      <c r="AAH807" s="301"/>
      <c r="AAI807" s="301"/>
      <c r="AAJ807" s="301"/>
      <c r="AAK807" s="301"/>
      <c r="AAL807" s="301"/>
      <c r="AAM807" s="301"/>
      <c r="AAN807" s="301"/>
      <c r="AAO807" s="301"/>
      <c r="AAP807" s="301"/>
      <c r="AAQ807" s="301"/>
      <c r="AAR807" s="301"/>
      <c r="AAS807" s="301"/>
      <c r="AAT807" s="301"/>
      <c r="AAU807" s="301"/>
      <c r="AAV807" s="301"/>
      <c r="AAW807" s="301"/>
      <c r="AAX807" s="301"/>
      <c r="AAY807" s="301"/>
      <c r="AAZ807" s="301"/>
      <c r="ABA807" s="301"/>
      <c r="ABB807" s="301"/>
      <c r="ABC807" s="301"/>
      <c r="ABD807" s="301"/>
      <c r="ABE807" s="301"/>
      <c r="ABF807" s="301"/>
      <c r="ABG807" s="301"/>
      <c r="ABH807" s="301"/>
      <c r="ABI807" s="301"/>
      <c r="ABJ807" s="301"/>
      <c r="ABK807" s="301"/>
      <c r="ABL807" s="301"/>
      <c r="ABM807" s="301"/>
      <c r="ABN807" s="301"/>
      <c r="ABO807" s="301"/>
      <c r="ABP807" s="301"/>
      <c r="ABQ807" s="301"/>
      <c r="ABR807" s="301"/>
      <c r="ABS807" s="301"/>
      <c r="ABT807" s="301"/>
      <c r="ABU807" s="301"/>
      <c r="ABV807" s="301"/>
      <c r="ABW807" s="301"/>
      <c r="ABX807" s="301"/>
      <c r="ABY807" s="301"/>
      <c r="ABZ807" s="301"/>
      <c r="ACA807" s="301"/>
      <c r="ACB807" s="301"/>
      <c r="ACC807" s="301"/>
      <c r="ACD807" s="301"/>
      <c r="ACE807" s="301"/>
      <c r="ACF807" s="301"/>
      <c r="ACG807" s="301"/>
      <c r="ACH807" s="301"/>
      <c r="ACI807" s="301"/>
      <c r="ACJ807" s="301"/>
      <c r="ACK807" s="301"/>
      <c r="ACL807" s="301"/>
      <c r="ACM807" s="301"/>
      <c r="ACN807" s="301"/>
      <c r="ACO807" s="301"/>
      <c r="ACP807" s="301"/>
      <c r="ACQ807" s="301"/>
      <c r="ACR807" s="301"/>
      <c r="ACS807" s="301"/>
      <c r="ACT807" s="301"/>
      <c r="ACU807" s="301"/>
      <c r="ACV807" s="301"/>
      <c r="ACW807" s="301"/>
      <c r="ACX807" s="301"/>
      <c r="ACY807" s="301"/>
      <c r="ACZ807" s="301"/>
      <c r="ADA807" s="301"/>
      <c r="ADB807" s="301"/>
      <c r="ADC807" s="301"/>
      <c r="ADD807" s="301"/>
      <c r="ADE807" s="301"/>
      <c r="ADF807" s="301"/>
      <c r="ADG807" s="301"/>
      <c r="ADH807" s="301"/>
      <c r="ADI807" s="301"/>
      <c r="ADJ807" s="301"/>
      <c r="ADK807" s="301"/>
      <c r="ADL807" s="301"/>
      <c r="ADM807" s="301"/>
      <c r="ADN807" s="301"/>
      <c r="ADO807" s="301"/>
      <c r="ADP807" s="301"/>
      <c r="ADQ807" s="301"/>
      <c r="ADR807" s="301"/>
      <c r="ADS807" s="301"/>
      <c r="ADT807" s="301"/>
      <c r="ADU807" s="301"/>
      <c r="ADV807" s="301"/>
      <c r="ADW807" s="301"/>
      <c r="ADX807" s="301"/>
      <c r="ADY807" s="301"/>
      <c r="ADZ807" s="301"/>
      <c r="AEA807" s="301"/>
      <c r="AEB807" s="301"/>
      <c r="AEC807" s="301"/>
      <c r="AED807" s="301"/>
      <c r="AEE807" s="301"/>
      <c r="AEF807" s="301"/>
      <c r="AEG807" s="301"/>
      <c r="AEH807" s="301"/>
      <c r="AEI807" s="301"/>
      <c r="AEJ807" s="301"/>
      <c r="AEK807" s="301"/>
      <c r="AEL807" s="301"/>
      <c r="AEM807" s="301"/>
      <c r="AEN807" s="301"/>
      <c r="AEO807" s="301"/>
      <c r="AEP807" s="301"/>
      <c r="AEQ807" s="301"/>
      <c r="AER807" s="301"/>
      <c r="AES807" s="301"/>
      <c r="AET807" s="301"/>
      <c r="AEU807" s="301"/>
      <c r="AEV807" s="301"/>
      <c r="AEW807" s="301"/>
      <c r="AEX807" s="301"/>
      <c r="AEY807" s="301"/>
      <c r="AEZ807" s="301"/>
      <c r="AFA807" s="301"/>
      <c r="AFB807" s="301"/>
      <c r="AFC807" s="301"/>
      <c r="AFD807" s="301"/>
      <c r="AFE807" s="301"/>
      <c r="AFF807" s="301"/>
      <c r="AFG807" s="301"/>
      <c r="AFH807" s="301"/>
      <c r="AFI807" s="301"/>
      <c r="AFJ807" s="301"/>
      <c r="AFK807" s="301"/>
      <c r="AFL807" s="301"/>
      <c r="AFM807" s="301"/>
      <c r="AFN807" s="301"/>
      <c r="AFO807" s="301"/>
      <c r="AFP807" s="301"/>
      <c r="AFQ807" s="301"/>
      <c r="AFR807" s="301"/>
      <c r="AFS807" s="301"/>
      <c r="AFT807" s="301"/>
      <c r="AFU807" s="301"/>
      <c r="AFV807" s="301"/>
      <c r="AFW807" s="301"/>
      <c r="AFX807" s="301"/>
      <c r="AFY807" s="301"/>
      <c r="AFZ807" s="301"/>
      <c r="AGA807" s="301"/>
      <c r="AGB807" s="301"/>
      <c r="AGC807" s="301"/>
      <c r="AGD807" s="301"/>
      <c r="AGE807" s="301"/>
      <c r="AGF807" s="301"/>
      <c r="AGG807" s="301"/>
      <c r="AGH807" s="301"/>
      <c r="AGI807" s="301"/>
      <c r="AGJ807" s="301"/>
      <c r="AGK807" s="301"/>
      <c r="AGL807" s="301"/>
      <c r="AGM807" s="301"/>
      <c r="AGN807" s="301"/>
      <c r="AGO807" s="301"/>
      <c r="AGP807" s="301"/>
      <c r="AGQ807" s="301"/>
      <c r="AGR807" s="301"/>
      <c r="AGS807" s="301"/>
      <c r="AGT807" s="301"/>
      <c r="AGU807" s="301"/>
      <c r="AGV807" s="301"/>
      <c r="AGW807" s="301"/>
      <c r="AGX807" s="301"/>
      <c r="AGY807" s="301"/>
      <c r="AGZ807" s="301"/>
      <c r="AHA807" s="301"/>
      <c r="AHB807" s="301"/>
      <c r="AHC807" s="301"/>
      <c r="AHD807" s="301"/>
      <c r="AHE807" s="301"/>
      <c r="AHF807" s="301"/>
      <c r="AHG807" s="301"/>
      <c r="AHH807" s="301"/>
      <c r="AHI807" s="301"/>
      <c r="AHJ807" s="301"/>
      <c r="AHK807" s="301"/>
      <c r="AHL807" s="301"/>
      <c r="AHM807" s="301"/>
      <c r="AHN807" s="301"/>
      <c r="AHO807" s="301"/>
      <c r="AHP807" s="301"/>
      <c r="AHQ807" s="301"/>
      <c r="AHR807" s="301"/>
      <c r="AHS807" s="301"/>
      <c r="AHT807" s="301"/>
      <c r="AHU807" s="301"/>
      <c r="AHV807" s="301"/>
      <c r="AHW807" s="301"/>
      <c r="AHX807" s="301"/>
      <c r="AHY807" s="301"/>
      <c r="AHZ807" s="301"/>
      <c r="AIA807" s="301"/>
      <c r="AIB807" s="301"/>
      <c r="AIC807" s="301"/>
      <c r="AID807" s="301"/>
      <c r="AIE807" s="301"/>
      <c r="AIF807" s="301"/>
      <c r="AIG807" s="301"/>
      <c r="AIH807" s="301"/>
      <c r="AII807" s="301"/>
      <c r="AIJ807" s="301"/>
      <c r="AIK807" s="301"/>
      <c r="AIL807" s="301"/>
      <c r="AIM807" s="301"/>
      <c r="AIN807" s="301"/>
      <c r="AIO807" s="301"/>
      <c r="AIP807" s="301"/>
      <c r="AIQ807" s="301"/>
      <c r="AIR807" s="301"/>
      <c r="AIS807" s="301"/>
      <c r="AIT807" s="301"/>
      <c r="AIU807" s="301"/>
      <c r="AIV807" s="301"/>
      <c r="AIW807" s="301"/>
      <c r="AIX807" s="301"/>
      <c r="AIY807" s="301"/>
      <c r="AIZ807" s="301"/>
      <c r="AJA807" s="301"/>
      <c r="AJB807" s="301"/>
      <c r="AJC807" s="301"/>
      <c r="AJD807" s="301"/>
      <c r="AJE807" s="301"/>
      <c r="AJF807" s="301"/>
      <c r="AJG807" s="301"/>
      <c r="AJH807" s="301"/>
      <c r="AJI807" s="301"/>
      <c r="AJJ807" s="301"/>
      <c r="AJK807" s="301"/>
      <c r="AJL807" s="301"/>
      <c r="AJM807" s="301"/>
      <c r="AJN807" s="301"/>
      <c r="AJO807" s="301"/>
      <c r="AJP807" s="301"/>
      <c r="AJQ807" s="301"/>
      <c r="AJR807" s="301"/>
      <c r="AJS807" s="301"/>
      <c r="AJT807" s="301"/>
      <c r="AJU807" s="301"/>
      <c r="AJV807" s="301"/>
      <c r="AJW807" s="301"/>
      <c r="AJX807" s="301"/>
      <c r="AJY807" s="301"/>
      <c r="AJZ807" s="301"/>
      <c r="AKA807" s="301"/>
      <c r="AKB807" s="301"/>
      <c r="AKC807" s="301"/>
      <c r="AKD807" s="301"/>
      <c r="AKE807" s="301"/>
      <c r="AKF807" s="301"/>
      <c r="AKG807" s="301"/>
      <c r="AKH807" s="301"/>
      <c r="AKI807" s="301"/>
      <c r="AKJ807" s="301"/>
      <c r="AKK807" s="301"/>
      <c r="AKL807" s="301"/>
      <c r="AKM807" s="301"/>
      <c r="AKN807" s="301"/>
      <c r="AKO807" s="301"/>
      <c r="AKP807" s="301"/>
      <c r="AKQ807" s="301"/>
      <c r="AKR807" s="301"/>
      <c r="AKS807" s="301"/>
      <c r="AKT807" s="301"/>
      <c r="AKU807" s="301"/>
      <c r="AKV807" s="301"/>
      <c r="AKW807" s="301"/>
      <c r="AKX807" s="301"/>
      <c r="AKY807" s="301"/>
      <c r="AKZ807" s="301"/>
      <c r="ALA807" s="301"/>
      <c r="ALB807" s="301"/>
      <c r="ALC807" s="301"/>
      <c r="ALD807" s="301"/>
      <c r="ALE807" s="301"/>
      <c r="ALF807" s="301"/>
      <c r="ALG807" s="301"/>
      <c r="ALH807" s="301"/>
      <c r="ALI807" s="301"/>
      <c r="ALJ807" s="301"/>
      <c r="ALK807" s="301"/>
      <c r="ALL807" s="301"/>
      <c r="ALM807" s="301"/>
      <c r="ALN807" s="301"/>
      <c r="ALO807" s="301"/>
      <c r="ALP807" s="301"/>
      <c r="ALQ807" s="301"/>
      <c r="ALR807" s="301"/>
      <c r="ALS807" s="301"/>
      <c r="ALT807" s="301"/>
      <c r="ALU807" s="301"/>
      <c r="ALV807" s="301"/>
      <c r="ALW807" s="301"/>
      <c r="ALX807" s="301"/>
      <c r="ALY807" s="301"/>
      <c r="ALZ807" s="301"/>
      <c r="AMA807" s="301"/>
      <c r="AMB807" s="301"/>
      <c r="AMC807" s="301"/>
      <c r="AMD807" s="301"/>
      <c r="AME807" s="301"/>
      <c r="AMF807" s="301"/>
      <c r="AMG807" s="301"/>
      <c r="AMH807" s="301"/>
      <c r="AMI807" s="301"/>
      <c r="AMJ807" s="301"/>
      <c r="AMK807" s="301"/>
      <c r="AML807" s="301"/>
      <c r="AMM807" s="301"/>
      <c r="AMN807" s="301"/>
      <c r="AMO807" s="301"/>
      <c r="AMP807" s="301"/>
      <c r="AMQ807" s="301"/>
      <c r="AMR807" s="301"/>
      <c r="AMS807" s="301"/>
      <c r="AMT807" s="301"/>
      <c r="AMU807" s="301"/>
      <c r="AMV807" s="301"/>
      <c r="AMW807" s="301"/>
      <c r="AMX807" s="301"/>
      <c r="AMY807" s="301"/>
      <c r="AMZ807" s="301"/>
      <c r="ANA807" s="301"/>
      <c r="ANB807" s="301"/>
      <c r="ANC807" s="301"/>
      <c r="AND807" s="301"/>
      <c r="ANE807" s="301"/>
      <c r="ANF807" s="301"/>
      <c r="ANG807" s="301"/>
      <c r="ANH807" s="301"/>
      <c r="ANI807" s="301"/>
      <c r="ANJ807" s="301"/>
      <c r="ANK807" s="301"/>
      <c r="ANL807" s="301"/>
      <c r="ANM807" s="301"/>
      <c r="ANN807" s="301"/>
      <c r="ANO807" s="301"/>
      <c r="ANP807" s="301"/>
      <c r="ANQ807" s="301"/>
      <c r="ANR807" s="301"/>
      <c r="ANS807" s="301"/>
      <c r="ANT807" s="301"/>
      <c r="ANU807" s="301"/>
      <c r="ANV807" s="301"/>
      <c r="ANW807" s="301"/>
      <c r="ANX807" s="301"/>
      <c r="ANY807" s="301"/>
      <c r="ANZ807" s="301"/>
      <c r="AOA807" s="301"/>
      <c r="AOB807" s="301"/>
      <c r="AOC807" s="301"/>
      <c r="AOD807" s="301"/>
      <c r="AOE807" s="301"/>
      <c r="AOF807" s="301"/>
      <c r="AOG807" s="301"/>
      <c r="AOH807" s="301"/>
      <c r="AOI807" s="301"/>
      <c r="AOJ807" s="301"/>
      <c r="AOK807" s="301"/>
      <c r="AOL807" s="301"/>
      <c r="AOM807" s="301"/>
      <c r="AON807" s="301"/>
      <c r="AOO807" s="301"/>
      <c r="AOP807" s="301"/>
      <c r="AOQ807" s="301"/>
      <c r="AOR807" s="301"/>
      <c r="AOS807" s="301"/>
      <c r="AOT807" s="301"/>
      <c r="AOU807" s="301"/>
      <c r="AOV807" s="301"/>
      <c r="AOW807" s="301"/>
      <c r="AOX807" s="301"/>
      <c r="AOY807" s="301"/>
      <c r="AOZ807" s="301"/>
      <c r="APA807" s="301"/>
      <c r="APB807" s="301"/>
      <c r="APC807" s="301"/>
      <c r="APD807" s="301"/>
      <c r="APE807" s="301"/>
      <c r="APF807" s="301"/>
      <c r="APG807" s="301"/>
      <c r="APH807" s="301"/>
      <c r="API807" s="301"/>
      <c r="APJ807" s="301"/>
      <c r="APK807" s="301"/>
      <c r="APL807" s="301"/>
      <c r="APM807" s="301"/>
      <c r="APN807" s="301"/>
      <c r="APO807" s="301"/>
      <c r="APP807" s="301"/>
      <c r="APQ807" s="301"/>
      <c r="APR807" s="301"/>
      <c r="APS807" s="301"/>
      <c r="APT807" s="301"/>
      <c r="APU807" s="301"/>
      <c r="APV807" s="301"/>
      <c r="APW807" s="301"/>
      <c r="APX807" s="301"/>
      <c r="APY807" s="301"/>
      <c r="APZ807" s="301"/>
      <c r="AQA807" s="301"/>
      <c r="AQB807" s="301"/>
      <c r="AQC807" s="301"/>
      <c r="AQD807" s="301"/>
      <c r="AQE807" s="301"/>
      <c r="AQF807" s="301"/>
      <c r="AQG807" s="301"/>
      <c r="AQH807" s="301"/>
      <c r="AQI807" s="301"/>
      <c r="AQJ807" s="301"/>
      <c r="AQK807" s="301"/>
      <c r="AQL807" s="301"/>
      <c r="AQM807" s="301"/>
      <c r="AQN807" s="301"/>
      <c r="AQO807" s="301"/>
      <c r="AQP807" s="301"/>
      <c r="AQQ807" s="301"/>
      <c r="AQR807" s="301"/>
      <c r="AQS807" s="301"/>
      <c r="AQT807" s="301"/>
      <c r="AQU807" s="301"/>
      <c r="AQV807" s="301"/>
      <c r="AQW807" s="301"/>
      <c r="AQX807" s="301"/>
      <c r="AQY807" s="301"/>
      <c r="AQZ807" s="301"/>
      <c r="ARA807" s="301"/>
      <c r="ARB807" s="301"/>
      <c r="ARC807" s="301"/>
      <c r="ARD807" s="301"/>
      <c r="ARE807" s="301"/>
      <c r="ARF807" s="301"/>
      <c r="ARG807" s="301"/>
      <c r="ARH807" s="301"/>
      <c r="ARI807" s="301"/>
      <c r="ARJ807" s="301"/>
      <c r="ARK807" s="301"/>
      <c r="ARL807" s="301"/>
      <c r="ARM807" s="301"/>
      <c r="ARN807" s="301"/>
      <c r="ARO807" s="301"/>
      <c r="ARP807" s="301"/>
      <c r="ARQ807" s="301"/>
      <c r="ARR807" s="301"/>
      <c r="ARS807" s="301"/>
      <c r="ART807" s="301"/>
      <c r="ARU807" s="301"/>
      <c r="ARV807" s="301"/>
      <c r="ARW807" s="301"/>
      <c r="ARX807" s="301"/>
      <c r="ARY807" s="301"/>
      <c r="ARZ807" s="301"/>
      <c r="ASA807" s="301"/>
      <c r="ASB807" s="301"/>
      <c r="ASC807" s="301"/>
      <c r="ASD807" s="301"/>
      <c r="ASE807" s="301"/>
      <c r="ASF807" s="301"/>
      <c r="ASG807" s="301"/>
      <c r="ASH807" s="301"/>
      <c r="ASI807" s="301"/>
      <c r="ASJ807" s="301"/>
      <c r="ASK807" s="301"/>
      <c r="ASL807" s="301"/>
      <c r="ASM807" s="301"/>
      <c r="ASN807" s="301"/>
      <c r="ASO807" s="301"/>
      <c r="ASP807" s="301"/>
      <c r="ASQ807" s="301"/>
      <c r="ASR807" s="301"/>
      <c r="ASS807" s="301"/>
      <c r="AST807" s="301"/>
      <c r="ASU807" s="301"/>
      <c r="ASV807" s="301"/>
      <c r="ASW807" s="301"/>
      <c r="ASX807" s="301"/>
      <c r="ASY807" s="301"/>
      <c r="ASZ807" s="301"/>
      <c r="ATA807" s="301"/>
      <c r="ATB807" s="301"/>
      <c r="ATC807" s="301"/>
      <c r="ATD807" s="301"/>
      <c r="ATE807" s="301"/>
      <c r="ATF807" s="301"/>
      <c r="ATG807" s="301"/>
      <c r="ATH807" s="301"/>
      <c r="ATI807" s="301"/>
      <c r="ATJ807" s="301"/>
      <c r="ATK807" s="301"/>
      <c r="ATL807" s="301"/>
      <c r="ATM807" s="301"/>
      <c r="ATN807" s="301"/>
      <c r="ATO807" s="301"/>
      <c r="ATP807" s="301"/>
      <c r="ATQ807" s="301"/>
      <c r="ATR807" s="301"/>
      <c r="ATS807" s="301"/>
      <c r="ATT807" s="301"/>
      <c r="ATU807" s="301"/>
      <c r="ATV807" s="301"/>
      <c r="ATW807" s="301"/>
      <c r="ATX807" s="301"/>
      <c r="ATY807" s="301"/>
      <c r="ATZ807" s="301"/>
      <c r="AUA807" s="301"/>
      <c r="AUB807" s="301"/>
      <c r="AUC807" s="301"/>
      <c r="AUD807" s="301"/>
      <c r="AUE807" s="301"/>
      <c r="AUF807" s="301"/>
      <c r="AUG807" s="301"/>
      <c r="AUH807" s="301"/>
      <c r="AUI807" s="301"/>
      <c r="AUJ807" s="301"/>
      <c r="AUK807" s="301"/>
      <c r="AUL807" s="301"/>
      <c r="AUM807" s="301"/>
      <c r="AUN807" s="301"/>
      <c r="AUO807" s="301"/>
      <c r="AUP807" s="301"/>
      <c r="AUQ807" s="301"/>
      <c r="AUR807" s="301"/>
      <c r="AUS807" s="301"/>
      <c r="AUT807" s="301"/>
      <c r="AUU807" s="301"/>
      <c r="AUV807" s="301"/>
      <c r="AUW807" s="301"/>
      <c r="AUX807" s="301"/>
      <c r="AUY807" s="301"/>
      <c r="AUZ807" s="301"/>
      <c r="AVA807" s="301"/>
      <c r="AVB807" s="301"/>
      <c r="AVC807" s="301"/>
      <c r="AVD807" s="301"/>
      <c r="AVE807" s="301"/>
      <c r="AVF807" s="301"/>
      <c r="AVG807" s="301"/>
      <c r="AVH807" s="301"/>
      <c r="AVI807" s="301"/>
      <c r="AVJ807" s="301"/>
      <c r="AVK807" s="301"/>
      <c r="AVL807" s="301"/>
      <c r="AVM807" s="301"/>
      <c r="AVN807" s="301"/>
      <c r="AVO807" s="301"/>
      <c r="AVP807" s="301"/>
      <c r="AVQ807" s="301"/>
      <c r="AVR807" s="301"/>
      <c r="AVS807" s="301"/>
      <c r="AVT807" s="301"/>
      <c r="AVU807" s="301"/>
      <c r="AVV807" s="301"/>
      <c r="AVW807" s="301"/>
      <c r="AVX807" s="301"/>
      <c r="AVY807" s="301"/>
      <c r="AVZ807" s="301"/>
      <c r="AWA807" s="301"/>
      <c r="AWB807" s="301"/>
      <c r="AWC807" s="301"/>
      <c r="AWD807" s="301"/>
      <c r="AWE807" s="301"/>
      <c r="AWF807" s="301"/>
      <c r="AWG807" s="301"/>
      <c r="AWH807" s="301"/>
      <c r="AWI807" s="301"/>
      <c r="AWJ807" s="301"/>
      <c r="AWK807" s="301"/>
      <c r="AWL807" s="301"/>
      <c r="AWM807" s="301"/>
      <c r="AWN807" s="301"/>
      <c r="AWO807" s="301"/>
      <c r="AWP807" s="301"/>
      <c r="AWQ807" s="301"/>
      <c r="AWR807" s="301"/>
      <c r="AWS807" s="301"/>
      <c r="AWT807" s="301"/>
      <c r="AWU807" s="301"/>
      <c r="AWV807" s="301"/>
      <c r="AWW807" s="301"/>
      <c r="AWX807" s="301"/>
      <c r="AWY807" s="301"/>
      <c r="AWZ807" s="301"/>
      <c r="AXA807" s="301"/>
      <c r="AXB807" s="301"/>
      <c r="AXC807" s="301"/>
      <c r="AXD807" s="301"/>
      <c r="AXE807" s="301"/>
      <c r="AXF807" s="301"/>
      <c r="AXG807" s="301"/>
      <c r="AXH807" s="301"/>
      <c r="AXI807" s="301"/>
      <c r="AXJ807" s="301"/>
      <c r="AXK807" s="301"/>
      <c r="AXL807" s="301"/>
      <c r="AXM807" s="301"/>
      <c r="AXN807" s="301"/>
      <c r="AXO807" s="301"/>
      <c r="AXP807" s="301"/>
      <c r="AXQ807" s="301"/>
      <c r="AXR807" s="301"/>
      <c r="AXS807" s="301"/>
      <c r="AXT807" s="301"/>
      <c r="AXU807" s="301"/>
      <c r="AXV807" s="301"/>
      <c r="AXW807" s="301"/>
      <c r="AXX807" s="301"/>
      <c r="AXY807" s="301"/>
      <c r="AXZ807" s="301"/>
      <c r="AYA807" s="301"/>
      <c r="AYB807" s="301"/>
      <c r="AYC807" s="301"/>
      <c r="AYD807" s="301"/>
      <c r="AYE807" s="301"/>
      <c r="AYF807" s="301"/>
      <c r="AYG807" s="301"/>
      <c r="AYH807" s="301"/>
      <c r="AYI807" s="301"/>
      <c r="AYJ807" s="301"/>
      <c r="AYK807" s="301"/>
      <c r="AYL807" s="301"/>
      <c r="AYM807" s="301"/>
      <c r="AYN807" s="301"/>
      <c r="AYO807" s="301"/>
      <c r="AYP807" s="301"/>
      <c r="AYQ807" s="301"/>
      <c r="AYR807" s="301"/>
      <c r="AYS807" s="301"/>
      <c r="AYT807" s="301"/>
      <c r="AYU807" s="301"/>
      <c r="AYV807" s="301"/>
      <c r="AYW807" s="301"/>
      <c r="AYX807" s="301"/>
      <c r="AYY807" s="301"/>
      <c r="AYZ807" s="301"/>
      <c r="AZA807" s="301"/>
      <c r="AZB807" s="301"/>
      <c r="AZC807" s="301"/>
      <c r="AZD807" s="301"/>
      <c r="AZE807" s="301"/>
      <c r="AZF807" s="301"/>
      <c r="AZG807" s="301"/>
      <c r="AZH807" s="301"/>
      <c r="AZI807" s="301"/>
      <c r="AZJ807" s="301"/>
      <c r="AZK807" s="301"/>
      <c r="AZL807" s="301"/>
      <c r="AZM807" s="301"/>
      <c r="AZN807" s="301"/>
      <c r="AZO807" s="301"/>
      <c r="AZP807" s="301"/>
      <c r="AZQ807" s="301"/>
      <c r="AZR807" s="301"/>
      <c r="AZS807" s="301"/>
      <c r="AZT807" s="301"/>
      <c r="AZU807" s="301"/>
      <c r="AZV807" s="301"/>
      <c r="AZW807" s="301"/>
      <c r="AZX807" s="301"/>
      <c r="AZY807" s="301"/>
      <c r="AZZ807" s="301"/>
      <c r="BAA807" s="301"/>
      <c r="BAB807" s="301"/>
      <c r="BAC807" s="301"/>
      <c r="BAD807" s="301"/>
      <c r="BAE807" s="301"/>
      <c r="BAF807" s="301"/>
      <c r="BAG807" s="301"/>
      <c r="BAH807" s="301"/>
      <c r="BAI807" s="301"/>
      <c r="BAJ807" s="301"/>
      <c r="BAK807" s="301"/>
      <c r="BAL807" s="301"/>
      <c r="BAM807" s="301"/>
      <c r="BAN807" s="301"/>
      <c r="BAO807" s="301"/>
      <c r="BAP807" s="301"/>
      <c r="BAQ807" s="301"/>
      <c r="BAR807" s="301"/>
      <c r="BAS807" s="301"/>
      <c r="BAT807" s="301"/>
      <c r="BAU807" s="301"/>
      <c r="BAV807" s="301"/>
      <c r="BAW807" s="301"/>
      <c r="BAX807" s="301"/>
      <c r="BAY807" s="301"/>
      <c r="BAZ807" s="301"/>
      <c r="BBA807" s="301"/>
      <c r="BBB807" s="301"/>
      <c r="BBC807" s="301"/>
      <c r="BBD807" s="301"/>
      <c r="BBE807" s="301"/>
      <c r="BBF807" s="301"/>
      <c r="BBG807" s="301"/>
      <c r="BBH807" s="301"/>
      <c r="BBI807" s="301"/>
      <c r="BBJ807" s="301"/>
      <c r="BBK807" s="301"/>
      <c r="BBL807" s="301"/>
      <c r="BBM807" s="301"/>
      <c r="BBN807" s="301"/>
      <c r="BBO807" s="301"/>
      <c r="BBP807" s="301"/>
      <c r="BBQ807" s="301"/>
      <c r="BBR807" s="301"/>
      <c r="BBS807" s="301"/>
      <c r="BBT807" s="301"/>
      <c r="BBU807" s="301"/>
      <c r="BBV807" s="301"/>
      <c r="BBW807" s="301"/>
      <c r="BBX807" s="301"/>
      <c r="BBY807" s="301"/>
      <c r="BBZ807" s="301"/>
      <c r="BCA807" s="301"/>
      <c r="BCB807" s="301"/>
      <c r="BCC807" s="301"/>
      <c r="BCD807" s="301"/>
      <c r="BCE807" s="301"/>
      <c r="BCF807" s="301"/>
      <c r="BCG807" s="301"/>
      <c r="BCH807" s="301"/>
      <c r="BCI807" s="301"/>
      <c r="BCJ807" s="301"/>
      <c r="BCK807" s="301"/>
      <c r="BCL807" s="301"/>
      <c r="BCM807" s="301"/>
      <c r="BCN807" s="301"/>
      <c r="BCO807" s="301"/>
      <c r="BCP807" s="301"/>
      <c r="BCQ807" s="301"/>
      <c r="BCR807" s="301"/>
      <c r="BCS807" s="301"/>
      <c r="BCT807" s="301"/>
      <c r="BCU807" s="301"/>
      <c r="BCV807" s="301"/>
      <c r="BCW807" s="301"/>
      <c r="BCX807" s="301"/>
      <c r="BCY807" s="301"/>
      <c r="BCZ807" s="301"/>
      <c r="BDA807" s="301"/>
      <c r="BDB807" s="301"/>
      <c r="BDC807" s="301"/>
      <c r="BDD807" s="301"/>
      <c r="BDE807" s="301"/>
      <c r="BDF807" s="301"/>
      <c r="BDG807" s="301"/>
      <c r="BDH807" s="301"/>
      <c r="BDI807" s="301"/>
      <c r="BDJ807" s="301"/>
      <c r="BDK807" s="301"/>
      <c r="BDL807" s="301"/>
      <c r="BDM807" s="301"/>
      <c r="BDN807" s="301"/>
      <c r="BDO807" s="301"/>
      <c r="BDP807" s="301"/>
      <c r="BDQ807" s="301"/>
      <c r="BDR807" s="301"/>
      <c r="BDS807" s="301"/>
      <c r="BDT807" s="301"/>
      <c r="BDU807" s="301"/>
      <c r="BDV807" s="301"/>
      <c r="BDW807" s="301"/>
      <c r="BDX807" s="301"/>
      <c r="BDY807" s="301"/>
      <c r="BDZ807" s="301"/>
      <c r="BEA807" s="301"/>
      <c r="BEB807" s="301"/>
      <c r="BEC807" s="301"/>
      <c r="BED807" s="301"/>
      <c r="BEE807" s="301"/>
      <c r="BEF807" s="301"/>
      <c r="BEG807" s="301"/>
      <c r="BEH807" s="301"/>
      <c r="BEI807" s="301"/>
      <c r="BEJ807" s="301"/>
      <c r="BEK807" s="301"/>
      <c r="BEL807" s="301"/>
      <c r="BEM807" s="301"/>
      <c r="BEN807" s="301"/>
      <c r="BEO807" s="301"/>
      <c r="BEP807" s="301"/>
      <c r="BEQ807" s="301"/>
      <c r="BER807" s="301"/>
      <c r="BES807" s="301"/>
      <c r="BET807" s="301"/>
      <c r="BEU807" s="301"/>
      <c r="BEV807" s="301"/>
      <c r="BEW807" s="301"/>
      <c r="BEX807" s="301"/>
      <c r="BEY807" s="301"/>
      <c r="BEZ807" s="301"/>
      <c r="BFA807" s="301"/>
      <c r="BFB807" s="301"/>
      <c r="BFC807" s="301"/>
      <c r="BFD807" s="301"/>
      <c r="BFE807" s="301"/>
      <c r="BFF807" s="301"/>
      <c r="BFG807" s="301"/>
      <c r="BFH807" s="301"/>
      <c r="BFI807" s="301"/>
      <c r="BFJ807" s="301"/>
      <c r="BFK807" s="301"/>
      <c r="BFL807" s="301"/>
      <c r="BFM807" s="301"/>
      <c r="BFN807" s="301"/>
      <c r="BFO807" s="301"/>
      <c r="BFP807" s="301"/>
      <c r="BFQ807" s="301"/>
      <c r="BFR807" s="301"/>
      <c r="BFS807" s="301"/>
      <c r="BFT807" s="301"/>
      <c r="BFU807" s="301"/>
      <c r="BFV807" s="301"/>
      <c r="BFW807" s="301"/>
      <c r="BFX807" s="301"/>
      <c r="BFY807" s="301"/>
      <c r="BFZ807" s="301"/>
      <c r="BGA807" s="301"/>
      <c r="BGB807" s="301"/>
      <c r="BGC807" s="301"/>
      <c r="BGD807" s="301"/>
      <c r="BGE807" s="301"/>
      <c r="BGF807" s="301"/>
      <c r="BGG807" s="301"/>
      <c r="BGH807" s="301"/>
      <c r="BGI807" s="301"/>
      <c r="BGJ807" s="301"/>
      <c r="BGK807" s="301"/>
      <c r="BGL807" s="301"/>
      <c r="BGM807" s="301"/>
      <c r="BGN807" s="301"/>
      <c r="BGO807" s="301"/>
      <c r="BGP807" s="301"/>
      <c r="BGQ807" s="301"/>
      <c r="BGR807" s="301"/>
      <c r="BGS807" s="301"/>
      <c r="BGT807" s="301"/>
      <c r="BGU807" s="301"/>
      <c r="BGV807" s="301"/>
      <c r="BGW807" s="301"/>
      <c r="BGX807" s="301"/>
      <c r="BGY807" s="301"/>
      <c r="BGZ807" s="301"/>
      <c r="BHA807" s="301"/>
      <c r="BHB807" s="301"/>
      <c r="BHC807" s="301"/>
      <c r="BHD807" s="301"/>
      <c r="BHE807" s="301"/>
      <c r="BHF807" s="301"/>
      <c r="BHG807" s="301"/>
      <c r="BHH807" s="301"/>
      <c r="BHI807" s="301"/>
      <c r="BHJ807" s="301"/>
      <c r="BHK807" s="301"/>
      <c r="BHL807" s="301"/>
      <c r="BHM807" s="301"/>
      <c r="BHN807" s="301"/>
      <c r="BHO807" s="301"/>
      <c r="BHP807" s="301"/>
      <c r="BHQ807" s="301"/>
      <c r="BHR807" s="301"/>
      <c r="BHS807" s="301"/>
      <c r="BHT807" s="301"/>
      <c r="BHU807" s="301"/>
      <c r="BHV807" s="301"/>
      <c r="BHW807" s="301"/>
      <c r="BHX807" s="301"/>
      <c r="BHY807" s="301"/>
      <c r="BHZ807" s="301"/>
      <c r="BIA807" s="301"/>
      <c r="BIB807" s="301"/>
      <c r="BIC807" s="301"/>
      <c r="BID807" s="301"/>
      <c r="BIE807" s="301"/>
      <c r="BIF807" s="301"/>
      <c r="BIG807" s="301"/>
      <c r="BIH807" s="301"/>
      <c r="BII807" s="301"/>
      <c r="BIJ807" s="301"/>
      <c r="BIK807" s="301"/>
      <c r="BIL807" s="301"/>
      <c r="BIM807" s="301"/>
      <c r="BIN807" s="301"/>
      <c r="BIO807" s="301"/>
      <c r="BIP807" s="301"/>
      <c r="BIQ807" s="301"/>
      <c r="BIR807" s="301"/>
      <c r="BIS807" s="301"/>
      <c r="BIT807" s="301"/>
      <c r="BIU807" s="301"/>
      <c r="BIV807" s="301"/>
      <c r="BIW807" s="301"/>
      <c r="BIX807" s="301"/>
      <c r="BIY807" s="301"/>
      <c r="BIZ807" s="301"/>
      <c r="BJA807" s="301"/>
      <c r="BJB807" s="301"/>
      <c r="BJC807" s="301"/>
      <c r="BJD807" s="301"/>
      <c r="BJE807" s="301"/>
      <c r="BJF807" s="301"/>
      <c r="BJG807" s="301"/>
      <c r="BJH807" s="301"/>
      <c r="BJI807" s="301"/>
      <c r="BJJ807" s="301"/>
      <c r="BJK807" s="301"/>
      <c r="BJL807" s="301"/>
      <c r="BJM807" s="301"/>
      <c r="BJN807" s="301"/>
      <c r="BJO807" s="301"/>
      <c r="BJP807" s="301"/>
      <c r="BJQ807" s="301"/>
      <c r="BJR807" s="301"/>
      <c r="BJS807" s="301"/>
      <c r="BJT807" s="301"/>
      <c r="BJU807" s="301"/>
      <c r="BJV807" s="301"/>
      <c r="BJW807" s="301"/>
      <c r="BJX807" s="301"/>
      <c r="BJY807" s="301"/>
      <c r="BJZ807" s="301"/>
      <c r="BKA807" s="301"/>
      <c r="BKB807" s="301"/>
      <c r="BKC807" s="301"/>
      <c r="BKD807" s="301"/>
      <c r="BKE807" s="301"/>
      <c r="BKF807" s="301"/>
      <c r="BKG807" s="301"/>
      <c r="BKH807" s="301"/>
      <c r="BKI807" s="301"/>
      <c r="BKJ807" s="301"/>
      <c r="BKK807" s="301"/>
      <c r="BKL807" s="301"/>
      <c r="BKM807" s="301"/>
      <c r="BKN807" s="301"/>
      <c r="BKO807" s="301"/>
      <c r="BKP807" s="301"/>
      <c r="BKQ807" s="301"/>
      <c r="BKR807" s="301"/>
      <c r="BKS807" s="301"/>
      <c r="BKT807" s="301"/>
      <c r="BKU807" s="301"/>
      <c r="BKV807" s="301"/>
      <c r="BKW807" s="301"/>
      <c r="BKX807" s="301"/>
      <c r="BKY807" s="301"/>
      <c r="BKZ807" s="301"/>
      <c r="BLA807" s="301"/>
      <c r="BLB807" s="301"/>
      <c r="BLC807" s="301"/>
      <c r="BLD807" s="301"/>
      <c r="BLE807" s="301"/>
      <c r="BLF807" s="301"/>
      <c r="BLG807" s="301"/>
      <c r="BLH807" s="301"/>
      <c r="BLI807" s="301"/>
      <c r="BLJ807" s="301"/>
      <c r="BLK807" s="301"/>
      <c r="BLL807" s="301"/>
      <c r="BLM807" s="301"/>
      <c r="BLN807" s="301"/>
      <c r="BLO807" s="301"/>
      <c r="BLP807" s="301"/>
      <c r="BLQ807" s="301"/>
      <c r="BLR807" s="301"/>
      <c r="BLS807" s="301"/>
      <c r="BLT807" s="301"/>
      <c r="BLU807" s="301"/>
      <c r="BLV807" s="301"/>
      <c r="BLW807" s="301"/>
      <c r="BLX807" s="301"/>
      <c r="BLY807" s="301"/>
      <c r="BLZ807" s="301"/>
      <c r="BMA807" s="301"/>
      <c r="BMB807" s="301"/>
      <c r="BMC807" s="301"/>
      <c r="BMD807" s="301"/>
      <c r="BME807" s="301"/>
      <c r="BMF807" s="301"/>
      <c r="BMG807" s="301"/>
      <c r="BMH807" s="301"/>
      <c r="BMI807" s="301"/>
      <c r="BMJ807" s="301"/>
      <c r="BMK807" s="301"/>
      <c r="BML807" s="301"/>
      <c r="BMM807" s="301"/>
      <c r="BMN807" s="301"/>
      <c r="BMO807" s="301"/>
      <c r="BMP807" s="301"/>
      <c r="BMQ807" s="301"/>
      <c r="BMR807" s="301"/>
      <c r="BMS807" s="301"/>
      <c r="BMT807" s="301"/>
      <c r="BMU807" s="301"/>
      <c r="BMV807" s="301"/>
      <c r="BMW807" s="301"/>
      <c r="BMX807" s="301"/>
      <c r="BMY807" s="301"/>
      <c r="BMZ807" s="301"/>
      <c r="BNA807" s="301"/>
      <c r="BNB807" s="301"/>
      <c r="BNC807" s="301"/>
      <c r="BND807" s="301"/>
      <c r="BNE807" s="301"/>
      <c r="BNF807" s="301"/>
      <c r="BNG807" s="301"/>
      <c r="BNH807" s="301"/>
      <c r="BNI807" s="301"/>
      <c r="BNJ807" s="301"/>
      <c r="BNK807" s="301"/>
      <c r="BNL807" s="301"/>
      <c r="BNM807" s="301"/>
      <c r="BNN807" s="301"/>
      <c r="BNO807" s="301"/>
      <c r="BNP807" s="301"/>
      <c r="BNQ807" s="301"/>
      <c r="BNR807" s="301"/>
      <c r="BNS807" s="301"/>
      <c r="BNT807" s="301"/>
      <c r="BNU807" s="301"/>
      <c r="BNV807" s="301"/>
      <c r="BNW807" s="301"/>
      <c r="BNX807" s="301"/>
      <c r="BNY807" s="301"/>
      <c r="BNZ807" s="301"/>
      <c r="BOA807" s="301"/>
      <c r="BOB807" s="301"/>
      <c r="BOC807" s="301"/>
      <c r="BOD807" s="301"/>
      <c r="BOE807" s="301"/>
      <c r="BOF807" s="301"/>
      <c r="BOG807" s="301"/>
      <c r="BOH807" s="301"/>
      <c r="BOI807" s="301"/>
      <c r="BOJ807" s="301"/>
      <c r="BOK807" s="301"/>
      <c r="BOL807" s="301"/>
      <c r="BOM807" s="301"/>
      <c r="BON807" s="301"/>
      <c r="BOO807" s="301"/>
      <c r="BOP807" s="301"/>
      <c r="BOQ807" s="301"/>
      <c r="BOR807" s="301"/>
      <c r="BOS807" s="301"/>
      <c r="BOT807" s="301"/>
      <c r="BOU807" s="301"/>
      <c r="BOV807" s="301"/>
      <c r="BOW807" s="301"/>
      <c r="BOX807" s="301"/>
      <c r="BOY807" s="301"/>
      <c r="BOZ807" s="301"/>
      <c r="BPA807" s="301"/>
      <c r="BPB807" s="301"/>
      <c r="BPC807" s="301"/>
      <c r="BPD807" s="301"/>
      <c r="BPE807" s="301"/>
      <c r="BPF807" s="301"/>
      <c r="BPG807" s="301"/>
      <c r="BPH807" s="301"/>
      <c r="BPI807" s="301"/>
      <c r="BPJ807" s="301"/>
      <c r="BPK807" s="301"/>
      <c r="BPL807" s="301"/>
      <c r="BPM807" s="301"/>
      <c r="BPN807" s="301"/>
      <c r="BPO807" s="301"/>
      <c r="BPP807" s="301"/>
      <c r="BPQ807" s="301"/>
      <c r="BPR807" s="301"/>
      <c r="BPS807" s="301"/>
      <c r="BPT807" s="301"/>
      <c r="BPU807" s="301"/>
      <c r="BPV807" s="301"/>
      <c r="BPW807" s="301"/>
      <c r="BPX807" s="301"/>
      <c r="BPY807" s="301"/>
      <c r="BPZ807" s="301"/>
      <c r="BQA807" s="301"/>
      <c r="BQB807" s="301"/>
      <c r="BQC807" s="301"/>
      <c r="BQD807" s="301"/>
      <c r="BQE807" s="301"/>
      <c r="BQF807" s="301"/>
      <c r="BQG807" s="301"/>
      <c r="BQH807" s="301"/>
      <c r="BQI807" s="301"/>
      <c r="BQJ807" s="301"/>
      <c r="BQK807" s="301"/>
      <c r="BQL807" s="301"/>
      <c r="BQM807" s="301"/>
      <c r="BQN807" s="301"/>
      <c r="BQO807" s="301"/>
      <c r="BQP807" s="301"/>
      <c r="BQQ807" s="301"/>
      <c r="BQR807" s="301"/>
      <c r="BQS807" s="301"/>
      <c r="BQT807" s="301"/>
      <c r="BQU807" s="301"/>
      <c r="BQV807" s="301"/>
      <c r="BQW807" s="301"/>
      <c r="BQX807" s="301"/>
      <c r="BQY807" s="301"/>
      <c r="BQZ807" s="301"/>
      <c r="BRA807" s="301"/>
      <c r="BRB807" s="301"/>
      <c r="BRC807" s="301"/>
      <c r="BRD807" s="301"/>
      <c r="BRE807" s="301"/>
      <c r="BRF807" s="301"/>
      <c r="BRG807" s="301"/>
      <c r="BRH807" s="301"/>
      <c r="BRI807" s="301"/>
      <c r="BRJ807" s="301"/>
      <c r="BRK807" s="301"/>
      <c r="BRL807" s="301"/>
      <c r="BRM807" s="301"/>
      <c r="BRN807" s="301"/>
      <c r="BRO807" s="301"/>
      <c r="BRP807" s="301"/>
      <c r="BRQ807" s="301"/>
      <c r="BRR807" s="301"/>
      <c r="BRS807" s="301"/>
      <c r="BRT807" s="301"/>
      <c r="BRU807" s="301"/>
      <c r="BRV807" s="301"/>
      <c r="BRW807" s="301"/>
      <c r="BRX807" s="301"/>
      <c r="BRY807" s="301"/>
      <c r="BRZ807" s="301"/>
      <c r="BSA807" s="301"/>
      <c r="BSB807" s="301"/>
      <c r="BSC807" s="301"/>
      <c r="BSD807" s="301"/>
      <c r="BSE807" s="301"/>
      <c r="BSF807" s="301"/>
      <c r="BSG807" s="301"/>
      <c r="BSH807" s="301"/>
      <c r="BSI807" s="301"/>
      <c r="BSJ807" s="301"/>
      <c r="BSK807" s="301"/>
      <c r="BSL807" s="301"/>
      <c r="BSM807" s="301"/>
      <c r="BSN807" s="301"/>
      <c r="BSO807" s="301"/>
      <c r="BSP807" s="301"/>
      <c r="BSQ807" s="301"/>
      <c r="BSR807" s="301"/>
      <c r="BSS807" s="301"/>
      <c r="BST807" s="301"/>
      <c r="BSU807" s="301"/>
      <c r="BSV807" s="301"/>
      <c r="BSW807" s="301"/>
      <c r="BSX807" s="301"/>
      <c r="BSY807" s="301"/>
      <c r="BSZ807" s="301"/>
      <c r="BTA807" s="301"/>
    </row>
    <row r="808" spans="1:1873" s="23" customFormat="1" x14ac:dyDescent="0.2">
      <c r="A808" s="403" t="s">
        <v>367</v>
      </c>
      <c r="B808" s="404" t="s">
        <v>2132</v>
      </c>
      <c r="C808" s="404" t="s">
        <v>1551</v>
      </c>
      <c r="D808" s="223" t="s">
        <v>619</v>
      </c>
      <c r="E808" s="403" t="s">
        <v>1458</v>
      </c>
      <c r="F808" s="240">
        <v>3</v>
      </c>
      <c r="G808" s="240">
        <v>2</v>
      </c>
      <c r="H808" s="242">
        <v>6</v>
      </c>
      <c r="I808" s="245" t="s">
        <v>954</v>
      </c>
      <c r="J808" s="441">
        <v>1973</v>
      </c>
      <c r="K808" s="245" t="s">
        <v>1211</v>
      </c>
      <c r="L808" s="441">
        <v>1978</v>
      </c>
      <c r="M808" s="285">
        <f>+T808*G808</f>
        <v>17</v>
      </c>
      <c r="N808" s="223">
        <v>-9999</v>
      </c>
      <c r="O808" s="29"/>
      <c r="P808" s="243">
        <v>-9999</v>
      </c>
      <c r="Q808" s="223">
        <v>-9999</v>
      </c>
      <c r="R808" s="243"/>
      <c r="S808" s="223"/>
      <c r="T808" s="406">
        <v>8.5</v>
      </c>
      <c r="U808" s="223">
        <v>-9999</v>
      </c>
      <c r="V808" s="223"/>
      <c r="W808" s="243">
        <v>-9999</v>
      </c>
      <c r="X808" s="223">
        <v>-9999</v>
      </c>
      <c r="Y808" s="223"/>
      <c r="Z808" s="223" t="s">
        <v>67</v>
      </c>
      <c r="AA808" s="441">
        <v>6727</v>
      </c>
      <c r="AB808" s="243">
        <v>-9999</v>
      </c>
      <c r="AC808" s="223">
        <v>-9999</v>
      </c>
      <c r="AD808" s="223">
        <v>144</v>
      </c>
      <c r="AE808" s="404" t="s">
        <v>1959</v>
      </c>
      <c r="AF808" s="223">
        <v>1</v>
      </c>
      <c r="AG808" s="223" t="s">
        <v>1070</v>
      </c>
      <c r="AH808" s="223" t="s">
        <v>876</v>
      </c>
      <c r="AI808" s="223" t="s">
        <v>1066</v>
      </c>
      <c r="AJ808" s="223">
        <v>-9999</v>
      </c>
      <c r="AK808" s="223" t="s">
        <v>626</v>
      </c>
      <c r="AL808" s="223">
        <v>0</v>
      </c>
      <c r="AM808" s="223">
        <v>-9999</v>
      </c>
      <c r="AN808" s="223">
        <v>-9999</v>
      </c>
      <c r="AO808" s="223">
        <v>-9999</v>
      </c>
      <c r="AP808" s="223">
        <v>-9999</v>
      </c>
      <c r="AQ808" s="223" t="s">
        <v>631</v>
      </c>
      <c r="AR808" s="223">
        <v>0</v>
      </c>
      <c r="AS808" s="223">
        <v>-9999</v>
      </c>
      <c r="AT808" s="223">
        <v>-9999</v>
      </c>
      <c r="AU808" s="223">
        <v>0</v>
      </c>
      <c r="AV808" s="223">
        <v>-9999</v>
      </c>
      <c r="AW808" s="223">
        <v>-9999</v>
      </c>
      <c r="AX808" s="223">
        <v>0</v>
      </c>
      <c r="AY808" s="223">
        <v>-9999</v>
      </c>
      <c r="AZ808" s="223">
        <v>-9999</v>
      </c>
      <c r="BA808" s="223">
        <v>-9999</v>
      </c>
      <c r="BB808" s="223" t="s">
        <v>631</v>
      </c>
      <c r="BC808" s="223">
        <v>-9999</v>
      </c>
      <c r="BD808" s="223">
        <v>-9999</v>
      </c>
      <c r="BE808" s="223">
        <v>-9999</v>
      </c>
      <c r="BF808" s="223">
        <v>-9999</v>
      </c>
      <c r="BG808" s="223">
        <v>-9999</v>
      </c>
      <c r="BH808" s="223">
        <v>-9999</v>
      </c>
      <c r="BI808" s="223" t="s">
        <v>84</v>
      </c>
      <c r="BJ808" s="223">
        <v>-9999</v>
      </c>
      <c r="BK808" s="223">
        <v>-9999</v>
      </c>
      <c r="BL808" s="223">
        <v>-9999</v>
      </c>
      <c r="BM808" s="223">
        <v>-9999</v>
      </c>
      <c r="BN808" s="223">
        <v>-9999</v>
      </c>
      <c r="BO808" s="223">
        <v>-9999</v>
      </c>
      <c r="BP808" s="223">
        <v>-9999</v>
      </c>
      <c r="BQ808" s="223">
        <v>-9999</v>
      </c>
      <c r="BR808" s="223">
        <v>-9999</v>
      </c>
      <c r="BS808" s="242">
        <v>-9999</v>
      </c>
      <c r="BT808" s="223">
        <v>-9999</v>
      </c>
      <c r="BU808" s="223">
        <v>-9999</v>
      </c>
      <c r="BV808" s="223">
        <v>-9999</v>
      </c>
      <c r="BW808" s="223"/>
      <c r="BX808" s="223">
        <v>-9999</v>
      </c>
      <c r="BY808" s="223">
        <v>-9999</v>
      </c>
      <c r="BZ808" s="223">
        <v>-9999</v>
      </c>
      <c r="CA808" s="332">
        <v>-9999</v>
      </c>
      <c r="CB808" s="443" t="s">
        <v>1569</v>
      </c>
      <c r="CC808" s="240">
        <v>3</v>
      </c>
      <c r="CD808" s="240">
        <v>2</v>
      </c>
      <c r="CE808" s="292">
        <v>8.5</v>
      </c>
      <c r="CF808" s="292">
        <v>-9999</v>
      </c>
      <c r="CG808" s="242">
        <v>6</v>
      </c>
    </row>
    <row r="809" spans="1:1873" s="23" customFormat="1" x14ac:dyDescent="0.2">
      <c r="A809" s="403" t="s">
        <v>367</v>
      </c>
      <c r="B809" s="404" t="s">
        <v>2132</v>
      </c>
      <c r="C809" s="404" t="s">
        <v>1551</v>
      </c>
      <c r="D809" s="223" t="s">
        <v>619</v>
      </c>
      <c r="E809" s="403" t="s">
        <v>1458</v>
      </c>
      <c r="F809" s="240">
        <v>4</v>
      </c>
      <c r="G809" s="240">
        <v>2</v>
      </c>
      <c r="H809" s="242">
        <v>8</v>
      </c>
      <c r="I809" s="245" t="s">
        <v>954</v>
      </c>
      <c r="J809" s="441">
        <v>1973</v>
      </c>
      <c r="K809" s="245" t="s">
        <v>1211</v>
      </c>
      <c r="L809" s="441">
        <v>1980</v>
      </c>
      <c r="M809" s="285">
        <f>+T809*G809</f>
        <v>15.6</v>
      </c>
      <c r="N809" s="223">
        <v>-9999</v>
      </c>
      <c r="O809" s="29"/>
      <c r="P809" s="243">
        <v>-9999</v>
      </c>
      <c r="Q809" s="223">
        <v>-9999</v>
      </c>
      <c r="R809" s="243"/>
      <c r="S809" s="223"/>
      <c r="T809" s="406">
        <v>7.8</v>
      </c>
      <c r="U809" s="223">
        <v>-9999</v>
      </c>
      <c r="V809" s="223"/>
      <c r="W809" s="243">
        <v>-9999</v>
      </c>
      <c r="X809" s="223">
        <v>-9999</v>
      </c>
      <c r="Y809" s="223"/>
      <c r="Z809" s="223" t="s">
        <v>67</v>
      </c>
      <c r="AA809" s="441">
        <v>6727</v>
      </c>
      <c r="AB809" s="243">
        <v>-9999</v>
      </c>
      <c r="AC809" s="223">
        <v>-9999</v>
      </c>
      <c r="AD809" s="223">
        <v>144</v>
      </c>
      <c r="AE809" s="404" t="s">
        <v>1959</v>
      </c>
      <c r="AF809" s="223">
        <v>1</v>
      </c>
      <c r="AG809" s="223" t="s">
        <v>1070</v>
      </c>
      <c r="AH809" s="223" t="s">
        <v>876</v>
      </c>
      <c r="AI809" s="223" t="s">
        <v>1066</v>
      </c>
      <c r="AJ809" s="223">
        <v>-9999</v>
      </c>
      <c r="AK809" s="223" t="s">
        <v>626</v>
      </c>
      <c r="AL809" s="223">
        <v>0</v>
      </c>
      <c r="AM809" s="223">
        <v>-9999</v>
      </c>
      <c r="AN809" s="223">
        <v>-9999</v>
      </c>
      <c r="AO809" s="223">
        <v>-9999</v>
      </c>
      <c r="AP809" s="223">
        <v>-9999</v>
      </c>
      <c r="AQ809" s="223" t="s">
        <v>631</v>
      </c>
      <c r="AR809" s="223">
        <v>0</v>
      </c>
      <c r="AS809" s="223">
        <v>-9999</v>
      </c>
      <c r="AT809" s="223">
        <v>-9999</v>
      </c>
      <c r="AU809" s="223">
        <v>0</v>
      </c>
      <c r="AV809" s="223">
        <v>-9999</v>
      </c>
      <c r="AW809" s="223">
        <v>-9999</v>
      </c>
      <c r="AX809" s="223">
        <v>0</v>
      </c>
      <c r="AY809" s="223">
        <v>-9999</v>
      </c>
      <c r="AZ809" s="223">
        <v>-9999</v>
      </c>
      <c r="BA809" s="223">
        <v>-9999</v>
      </c>
      <c r="BB809" s="223" t="s">
        <v>631</v>
      </c>
      <c r="BC809" s="223">
        <v>-9999</v>
      </c>
      <c r="BD809" s="223">
        <v>-9999</v>
      </c>
      <c r="BE809" s="223">
        <v>-9999</v>
      </c>
      <c r="BF809" s="223">
        <v>-9999</v>
      </c>
      <c r="BG809" s="223">
        <v>-9999</v>
      </c>
      <c r="BH809" s="223">
        <v>-9999</v>
      </c>
      <c r="BI809" s="223" t="s">
        <v>84</v>
      </c>
      <c r="BJ809" s="223">
        <v>-9999</v>
      </c>
      <c r="BK809" s="223">
        <v>-9999</v>
      </c>
      <c r="BL809" s="223">
        <v>-9999</v>
      </c>
      <c r="BM809" s="223">
        <v>-9999</v>
      </c>
      <c r="BN809" s="223">
        <v>-9999</v>
      </c>
      <c r="BO809" s="223">
        <v>-9999</v>
      </c>
      <c r="BP809" s="223">
        <v>-9999</v>
      </c>
      <c r="BQ809" s="223">
        <v>-9999</v>
      </c>
      <c r="BR809" s="223">
        <v>-9999</v>
      </c>
      <c r="BS809" s="242">
        <v>-9999</v>
      </c>
      <c r="BT809" s="223">
        <v>-9999</v>
      </c>
      <c r="BU809" s="223">
        <v>-9999</v>
      </c>
      <c r="BV809" s="223">
        <v>-9999</v>
      </c>
      <c r="BW809" s="223"/>
      <c r="BX809" s="223">
        <v>-9999</v>
      </c>
      <c r="BY809" s="223">
        <v>-9999</v>
      </c>
      <c r="BZ809" s="223">
        <v>-9999</v>
      </c>
      <c r="CA809" s="332">
        <v>-9999</v>
      </c>
      <c r="CB809" s="443" t="s">
        <v>1569</v>
      </c>
      <c r="CC809" s="240">
        <v>4</v>
      </c>
      <c r="CD809" s="240">
        <v>2</v>
      </c>
      <c r="CE809" s="292">
        <v>7.8</v>
      </c>
      <c r="CF809" s="292">
        <v>-9999</v>
      </c>
      <c r="CG809" s="242">
        <v>8</v>
      </c>
    </row>
    <row r="810" spans="1:1873" s="23" customFormat="1" x14ac:dyDescent="0.2">
      <c r="A810" s="403" t="s">
        <v>367</v>
      </c>
      <c r="B810" s="404" t="s">
        <v>2132</v>
      </c>
      <c r="C810" s="404" t="s">
        <v>1551</v>
      </c>
      <c r="D810" s="223" t="s">
        <v>619</v>
      </c>
      <c r="E810" s="403" t="s">
        <v>1458</v>
      </c>
      <c r="F810" s="240">
        <v>5</v>
      </c>
      <c r="G810" s="240">
        <v>2</v>
      </c>
      <c r="H810" s="242">
        <v>10</v>
      </c>
      <c r="I810" s="245" t="s">
        <v>954</v>
      </c>
      <c r="J810" s="441">
        <v>1973</v>
      </c>
      <c r="K810" s="245" t="s">
        <v>1211</v>
      </c>
      <c r="L810" s="441">
        <v>1982</v>
      </c>
      <c r="M810" s="285">
        <f>+T810*G810</f>
        <v>12.6</v>
      </c>
      <c r="N810" s="223">
        <v>-9999</v>
      </c>
      <c r="O810" s="29"/>
      <c r="P810" s="243">
        <v>-9999</v>
      </c>
      <c r="Q810" s="223">
        <v>-9999</v>
      </c>
      <c r="R810" s="243"/>
      <c r="S810" s="223"/>
      <c r="T810" s="406">
        <v>6.3</v>
      </c>
      <c r="U810" s="223">
        <v>-9999</v>
      </c>
      <c r="V810" s="223"/>
      <c r="W810" s="243">
        <v>-9999</v>
      </c>
      <c r="X810" s="223">
        <v>-9999</v>
      </c>
      <c r="Y810" s="223"/>
      <c r="Z810" s="223" t="s">
        <v>67</v>
      </c>
      <c r="AA810" s="441">
        <v>6727</v>
      </c>
      <c r="AB810" s="243">
        <v>-9999</v>
      </c>
      <c r="AC810" s="223">
        <v>-9999</v>
      </c>
      <c r="AD810" s="223">
        <v>144</v>
      </c>
      <c r="AE810" s="404" t="s">
        <v>1959</v>
      </c>
      <c r="AF810" s="223">
        <v>1</v>
      </c>
      <c r="AG810" s="223" t="s">
        <v>1070</v>
      </c>
      <c r="AH810" s="223" t="s">
        <v>876</v>
      </c>
      <c r="AI810" s="223" t="s">
        <v>1066</v>
      </c>
      <c r="AJ810" s="223">
        <v>-9999</v>
      </c>
      <c r="AK810" s="223" t="s">
        <v>626</v>
      </c>
      <c r="AL810" s="223">
        <v>0</v>
      </c>
      <c r="AM810" s="223">
        <v>-9999</v>
      </c>
      <c r="AN810" s="223">
        <v>-9999</v>
      </c>
      <c r="AO810" s="223">
        <v>-9999</v>
      </c>
      <c r="AP810" s="223">
        <v>-9999</v>
      </c>
      <c r="AQ810" s="223" t="s">
        <v>631</v>
      </c>
      <c r="AR810" s="223">
        <v>0</v>
      </c>
      <c r="AS810" s="223">
        <v>-9999</v>
      </c>
      <c r="AT810" s="223">
        <v>-9999</v>
      </c>
      <c r="AU810" s="223">
        <v>0</v>
      </c>
      <c r="AV810" s="223">
        <v>-9999</v>
      </c>
      <c r="AW810" s="223">
        <v>-9999</v>
      </c>
      <c r="AX810" s="223">
        <v>0</v>
      </c>
      <c r="AY810" s="223">
        <v>-9999</v>
      </c>
      <c r="AZ810" s="223">
        <v>-9999</v>
      </c>
      <c r="BA810" s="223">
        <v>-9999</v>
      </c>
      <c r="BB810" s="223" t="s">
        <v>631</v>
      </c>
      <c r="BC810" s="223">
        <v>-9999</v>
      </c>
      <c r="BD810" s="223">
        <v>-9999</v>
      </c>
      <c r="BE810" s="223">
        <v>-9999</v>
      </c>
      <c r="BF810" s="223">
        <v>-9999</v>
      </c>
      <c r="BG810" s="223">
        <v>-9999</v>
      </c>
      <c r="BH810" s="223">
        <v>-9999</v>
      </c>
      <c r="BI810" s="223" t="s">
        <v>84</v>
      </c>
      <c r="BJ810" s="223">
        <v>-9999</v>
      </c>
      <c r="BK810" s="223">
        <v>-9999</v>
      </c>
      <c r="BL810" s="223">
        <v>-9999</v>
      </c>
      <c r="BM810" s="223">
        <v>-9999</v>
      </c>
      <c r="BN810" s="223">
        <v>-9999</v>
      </c>
      <c r="BO810" s="223">
        <v>-9999</v>
      </c>
      <c r="BP810" s="223">
        <v>-9999</v>
      </c>
      <c r="BQ810" s="223">
        <v>-9999</v>
      </c>
      <c r="BR810" s="223">
        <v>-9999</v>
      </c>
      <c r="BS810" s="242">
        <v>-9999</v>
      </c>
      <c r="BT810" s="223">
        <v>-9999</v>
      </c>
      <c r="BU810" s="223">
        <v>-9999</v>
      </c>
      <c r="BV810" s="223">
        <v>-9999</v>
      </c>
      <c r="BW810" s="223"/>
      <c r="BX810" s="223">
        <v>-9999</v>
      </c>
      <c r="BY810" s="223">
        <v>-9999</v>
      </c>
      <c r="BZ810" s="223">
        <v>-9999</v>
      </c>
      <c r="CA810" s="332">
        <v>-9999</v>
      </c>
      <c r="CB810" s="443" t="s">
        <v>1569</v>
      </c>
      <c r="CC810" s="240">
        <v>5</v>
      </c>
      <c r="CD810" s="240">
        <v>2</v>
      </c>
      <c r="CE810" s="292">
        <v>6.3</v>
      </c>
      <c r="CF810" s="292">
        <v>-9999</v>
      </c>
      <c r="CG810" s="242">
        <v>10</v>
      </c>
    </row>
    <row r="811" spans="1:1873" s="23" customFormat="1" x14ac:dyDescent="0.2">
      <c r="A811" s="240"/>
      <c r="B811" s="223"/>
      <c r="C811" s="223"/>
      <c r="D811" s="223"/>
      <c r="E811" s="240"/>
      <c r="F811" s="240"/>
      <c r="G811" s="240"/>
      <c r="H811" s="242"/>
      <c r="I811" s="245"/>
      <c r="J811" s="223"/>
      <c r="K811" s="245"/>
      <c r="L811" s="223"/>
      <c r="M811" s="243"/>
      <c r="N811" s="223"/>
      <c r="O811" s="29"/>
      <c r="P811" s="243"/>
      <c r="Q811" s="223"/>
      <c r="R811" s="243"/>
      <c r="S811" s="223"/>
      <c r="T811" s="244"/>
      <c r="U811" s="223"/>
      <c r="V811" s="223"/>
      <c r="W811" s="243"/>
      <c r="X811" s="223"/>
      <c r="Y811" s="223"/>
      <c r="Z811" s="223"/>
      <c r="AA811" s="441"/>
      <c r="AB811" s="243"/>
      <c r="AC811" s="223"/>
      <c r="AD811" s="223"/>
      <c r="AE811" s="223"/>
      <c r="AF811" s="223"/>
      <c r="AG811" s="223"/>
      <c r="AH811" s="223"/>
      <c r="AI811" s="223"/>
      <c r="AJ811" s="223"/>
      <c r="AK811" s="223"/>
      <c r="AL811" s="223"/>
      <c r="AM811" s="223"/>
      <c r="AN811" s="223"/>
      <c r="AO811" s="223"/>
      <c r="AP811" s="223"/>
      <c r="AQ811" s="223"/>
      <c r="AR811" s="223"/>
      <c r="AS811" s="223"/>
      <c r="AT811" s="223"/>
      <c r="AU811" s="223"/>
      <c r="AV811" s="223"/>
      <c r="AW811" s="223"/>
      <c r="AX811" s="223"/>
      <c r="AY811" s="223"/>
      <c r="AZ811" s="223"/>
      <c r="BA811" s="223"/>
      <c r="BB811" s="223"/>
      <c r="BC811" s="223"/>
      <c r="BD811" s="223"/>
      <c r="BE811" s="223"/>
      <c r="BF811" s="223"/>
      <c r="BG811" s="223"/>
      <c r="BH811" s="223"/>
      <c r="BI811" s="223"/>
      <c r="BJ811" s="223"/>
      <c r="BK811" s="223"/>
      <c r="BL811" s="223"/>
      <c r="BM811" s="223"/>
      <c r="BN811" s="223"/>
      <c r="BO811" s="223"/>
      <c r="BP811" s="223"/>
      <c r="BQ811" s="223"/>
      <c r="BR811" s="223"/>
      <c r="BS811" s="242"/>
      <c r="BT811" s="223"/>
      <c r="BU811" s="223"/>
      <c r="BV811" s="223"/>
      <c r="BW811" s="223"/>
      <c r="BX811" s="223"/>
      <c r="BY811" s="223"/>
      <c r="BZ811" s="223"/>
      <c r="CA811" s="332"/>
      <c r="CB811" s="446"/>
      <c r="CC811" s="240"/>
      <c r="CD811" s="240"/>
      <c r="CE811" s="342" t="s">
        <v>1982</v>
      </c>
      <c r="CF811" s="342" t="s">
        <v>1575</v>
      </c>
      <c r="CG811" s="242"/>
    </row>
    <row r="812" spans="1:1873" s="23" customFormat="1" x14ac:dyDescent="0.2">
      <c r="A812" s="240" t="s">
        <v>366</v>
      </c>
      <c r="B812" s="404" t="s">
        <v>2132</v>
      </c>
      <c r="C812" s="404" t="s">
        <v>1552</v>
      </c>
      <c r="D812" s="223" t="s">
        <v>619</v>
      </c>
      <c r="E812" s="403" t="s">
        <v>1459</v>
      </c>
      <c r="F812" s="240">
        <v>1</v>
      </c>
      <c r="G812" s="240">
        <v>2</v>
      </c>
      <c r="H812" s="242">
        <v>2</v>
      </c>
      <c r="I812" s="245" t="s">
        <v>954</v>
      </c>
      <c r="J812" s="441">
        <v>1973</v>
      </c>
      <c r="K812" s="245" t="s">
        <v>1211</v>
      </c>
      <c r="L812" s="441">
        <v>1974</v>
      </c>
      <c r="M812" s="243">
        <v>14.6</v>
      </c>
      <c r="N812" s="223">
        <v>-9999</v>
      </c>
      <c r="O812" s="29"/>
      <c r="P812" s="243">
        <v>-9999</v>
      </c>
      <c r="Q812" s="223">
        <v>-9999</v>
      </c>
      <c r="R812" s="243"/>
      <c r="S812" s="223"/>
      <c r="T812" s="244">
        <f>+M812/G812</f>
        <v>7.3</v>
      </c>
      <c r="U812" s="223">
        <v>-9999</v>
      </c>
      <c r="V812" s="223"/>
      <c r="W812" s="243">
        <v>-9999</v>
      </c>
      <c r="X812" s="223">
        <v>-9999</v>
      </c>
      <c r="Y812" s="223"/>
      <c r="Z812" s="223" t="s">
        <v>83</v>
      </c>
      <c r="AA812" s="442">
        <v>26909</v>
      </c>
      <c r="AB812" s="243">
        <v>0.95</v>
      </c>
      <c r="AC812" s="223">
        <v>-9999</v>
      </c>
      <c r="AD812" s="223">
        <v>144</v>
      </c>
      <c r="AE812" s="404" t="s">
        <v>1960</v>
      </c>
      <c r="AF812" s="223">
        <v>1</v>
      </c>
      <c r="AG812" s="223" t="s">
        <v>1070</v>
      </c>
      <c r="AH812" s="223" t="s">
        <v>876</v>
      </c>
      <c r="AI812" s="223" t="s">
        <v>1066</v>
      </c>
      <c r="AJ812" s="223">
        <v>-9999</v>
      </c>
      <c r="AK812" s="223" t="s">
        <v>626</v>
      </c>
      <c r="AL812" s="223" t="s">
        <v>1068</v>
      </c>
      <c r="AM812" s="223">
        <v>-9999</v>
      </c>
      <c r="AN812" s="223">
        <v>-9999</v>
      </c>
      <c r="AO812" s="223">
        <v>-9999</v>
      </c>
      <c r="AP812" s="223">
        <v>-9999</v>
      </c>
      <c r="AQ812" s="223" t="s">
        <v>631</v>
      </c>
      <c r="AR812" s="223">
        <v>0</v>
      </c>
      <c r="AS812" s="223">
        <v>-9999</v>
      </c>
      <c r="AT812" s="223">
        <v>-9999</v>
      </c>
      <c r="AU812" s="223">
        <v>0</v>
      </c>
      <c r="AV812" s="223">
        <v>-9999</v>
      </c>
      <c r="AW812" s="223">
        <v>-9999</v>
      </c>
      <c r="AX812" s="223">
        <v>0</v>
      </c>
      <c r="AY812" s="223">
        <v>-9999</v>
      </c>
      <c r="AZ812" s="223">
        <v>-9999</v>
      </c>
      <c r="BA812" s="223">
        <v>-9999</v>
      </c>
      <c r="BB812" s="223" t="s">
        <v>631</v>
      </c>
      <c r="BC812" s="223">
        <v>-9999</v>
      </c>
      <c r="BD812" s="223">
        <v>-9999</v>
      </c>
      <c r="BE812" s="223">
        <v>-9999</v>
      </c>
      <c r="BF812" s="223">
        <v>-9999</v>
      </c>
      <c r="BG812" s="223">
        <v>-9999</v>
      </c>
      <c r="BH812" s="223">
        <v>-9999</v>
      </c>
      <c r="BI812" s="223" t="s">
        <v>84</v>
      </c>
      <c r="BJ812" s="223">
        <v>-9999</v>
      </c>
      <c r="BK812" s="223">
        <v>-9999</v>
      </c>
      <c r="BL812" s="223">
        <v>-9999</v>
      </c>
      <c r="BM812" s="223">
        <v>-9999</v>
      </c>
      <c r="BN812" s="223">
        <v>-9999</v>
      </c>
      <c r="BO812" s="223">
        <v>-9999</v>
      </c>
      <c r="BP812" s="223">
        <v>-9999</v>
      </c>
      <c r="BQ812" s="223">
        <v>-9999</v>
      </c>
      <c r="BR812" s="223">
        <v>-9999</v>
      </c>
      <c r="BS812" s="242">
        <v>-9999</v>
      </c>
      <c r="BT812" s="223">
        <v>-9999</v>
      </c>
      <c r="BU812" s="223">
        <v>-9999</v>
      </c>
      <c r="BV812" s="223">
        <v>-9999</v>
      </c>
      <c r="BW812" s="223"/>
      <c r="BX812" s="223">
        <v>-9999</v>
      </c>
      <c r="BY812" s="223">
        <v>-9999</v>
      </c>
      <c r="BZ812" s="223">
        <v>-9999</v>
      </c>
      <c r="CA812" s="332">
        <v>-9999</v>
      </c>
      <c r="CB812" s="443" t="s">
        <v>1572</v>
      </c>
      <c r="CC812" s="240">
        <v>1</v>
      </c>
      <c r="CD812" s="240">
        <v>2</v>
      </c>
      <c r="CE812" s="292">
        <v>7.3</v>
      </c>
      <c r="CF812" s="292">
        <v>-9999</v>
      </c>
      <c r="CG812" s="242">
        <v>2</v>
      </c>
    </row>
    <row r="813" spans="1:1873" s="23" customFormat="1" x14ac:dyDescent="0.2">
      <c r="A813" s="240" t="s">
        <v>366</v>
      </c>
      <c r="B813" s="404" t="s">
        <v>2132</v>
      </c>
      <c r="C813" s="404" t="s">
        <v>1552</v>
      </c>
      <c r="D813" s="223" t="s">
        <v>619</v>
      </c>
      <c r="E813" s="403" t="s">
        <v>1459</v>
      </c>
      <c r="F813" s="240">
        <v>2</v>
      </c>
      <c r="G813" s="240">
        <v>2</v>
      </c>
      <c r="H813" s="242">
        <v>4</v>
      </c>
      <c r="I813" s="245" t="s">
        <v>954</v>
      </c>
      <c r="J813" s="441">
        <v>1973</v>
      </c>
      <c r="K813" s="245" t="s">
        <v>1211</v>
      </c>
      <c r="L813" s="441">
        <v>1976</v>
      </c>
      <c r="M813" s="243">
        <v>12.8</v>
      </c>
      <c r="N813" s="223">
        <v>-9999</v>
      </c>
      <c r="O813" s="29"/>
      <c r="P813" s="243">
        <v>-9999</v>
      </c>
      <c r="Q813" s="223">
        <v>-9999</v>
      </c>
      <c r="R813" s="243"/>
      <c r="S813" s="223"/>
      <c r="T813" s="244">
        <f>+M813/G813</f>
        <v>6.4</v>
      </c>
      <c r="U813" s="223">
        <v>-9999</v>
      </c>
      <c r="V813" s="223"/>
      <c r="W813" s="243">
        <v>-9999</v>
      </c>
      <c r="X813" s="223">
        <v>-9999</v>
      </c>
      <c r="Y813" s="223"/>
      <c r="Z813" s="223" t="s">
        <v>83</v>
      </c>
      <c r="AA813" s="442">
        <v>26909</v>
      </c>
      <c r="AB813" s="243">
        <v>0.76</v>
      </c>
      <c r="AC813" s="223">
        <v>-9999</v>
      </c>
      <c r="AD813" s="223">
        <v>144</v>
      </c>
      <c r="AE813" s="404" t="s">
        <v>1960</v>
      </c>
      <c r="AF813" s="223">
        <v>1</v>
      </c>
      <c r="AG813" s="223" t="s">
        <v>1070</v>
      </c>
      <c r="AH813" s="223" t="s">
        <v>876</v>
      </c>
      <c r="AI813" s="223" t="s">
        <v>1066</v>
      </c>
      <c r="AJ813" s="223">
        <v>-9999</v>
      </c>
      <c r="AK813" s="223" t="s">
        <v>626</v>
      </c>
      <c r="AL813" s="223" t="s">
        <v>1069</v>
      </c>
      <c r="AM813" s="223">
        <v>-9999</v>
      </c>
      <c r="AN813" s="223">
        <v>-9999</v>
      </c>
      <c r="AO813" s="223">
        <v>-9999</v>
      </c>
      <c r="AP813" s="223">
        <v>-9999</v>
      </c>
      <c r="AQ813" s="223" t="s">
        <v>631</v>
      </c>
      <c r="AR813" s="223">
        <v>0</v>
      </c>
      <c r="AS813" s="223">
        <v>-9999</v>
      </c>
      <c r="AT813" s="223">
        <v>-9999</v>
      </c>
      <c r="AU813" s="223">
        <v>0</v>
      </c>
      <c r="AV813" s="223">
        <v>-9999</v>
      </c>
      <c r="AW813" s="223">
        <v>-9999</v>
      </c>
      <c r="AX813" s="223">
        <v>0</v>
      </c>
      <c r="AY813" s="223">
        <v>-9999</v>
      </c>
      <c r="AZ813" s="223">
        <v>-9999</v>
      </c>
      <c r="BA813" s="223">
        <v>-9999</v>
      </c>
      <c r="BB813" s="223" t="s">
        <v>631</v>
      </c>
      <c r="BC813" s="223">
        <v>-9999</v>
      </c>
      <c r="BD813" s="223">
        <v>-9999</v>
      </c>
      <c r="BE813" s="223">
        <v>-9999</v>
      </c>
      <c r="BF813" s="223">
        <v>-9999</v>
      </c>
      <c r="BG813" s="223">
        <v>-9999</v>
      </c>
      <c r="BH813" s="223">
        <v>-9999</v>
      </c>
      <c r="BI813" s="223" t="s">
        <v>84</v>
      </c>
      <c r="BJ813" s="223">
        <v>-9999</v>
      </c>
      <c r="BK813" s="223">
        <v>-9999</v>
      </c>
      <c r="BL813" s="223">
        <v>-9999</v>
      </c>
      <c r="BM813" s="223">
        <v>-9999</v>
      </c>
      <c r="BN813" s="223">
        <v>-9999</v>
      </c>
      <c r="BO813" s="223">
        <v>-9999</v>
      </c>
      <c r="BP813" s="223">
        <v>-9999</v>
      </c>
      <c r="BQ813" s="223">
        <v>-9999</v>
      </c>
      <c r="BR813" s="223">
        <v>-9999</v>
      </c>
      <c r="BS813" s="242">
        <v>-9999</v>
      </c>
      <c r="BT813" s="223">
        <v>-9999</v>
      </c>
      <c r="BU813" s="223">
        <v>-9999</v>
      </c>
      <c r="BV813" s="223">
        <v>-9999</v>
      </c>
      <c r="BW813" s="223"/>
      <c r="BX813" s="223">
        <v>-9999</v>
      </c>
      <c r="BY813" s="223">
        <v>-9999</v>
      </c>
      <c r="BZ813" s="223">
        <v>-9999</v>
      </c>
      <c r="CA813" s="332">
        <v>-9999</v>
      </c>
      <c r="CB813" s="443" t="s">
        <v>1572</v>
      </c>
      <c r="CC813" s="240">
        <v>2</v>
      </c>
      <c r="CD813" s="240">
        <v>2</v>
      </c>
      <c r="CE813" s="292">
        <v>6.4</v>
      </c>
      <c r="CF813" s="292">
        <v>-9999</v>
      </c>
      <c r="CG813" s="242">
        <v>4</v>
      </c>
    </row>
    <row r="814" spans="1:1873" s="23" customFormat="1" x14ac:dyDescent="0.2">
      <c r="A814" s="403" t="s">
        <v>367</v>
      </c>
      <c r="B814" s="404" t="s">
        <v>2132</v>
      </c>
      <c r="C814" s="404" t="s">
        <v>1552</v>
      </c>
      <c r="D814" s="223" t="s">
        <v>619</v>
      </c>
      <c r="E814" s="403" t="s">
        <v>1459</v>
      </c>
      <c r="F814" s="240">
        <v>3</v>
      </c>
      <c r="G814" s="240">
        <v>2</v>
      </c>
      <c r="H814" s="242">
        <v>6</v>
      </c>
      <c r="I814" s="245" t="s">
        <v>954</v>
      </c>
      <c r="J814" s="441">
        <v>1973</v>
      </c>
      <c r="K814" s="245" t="s">
        <v>1211</v>
      </c>
      <c r="L814" s="441">
        <v>1978</v>
      </c>
      <c r="M814" s="285">
        <f>+T814*G814</f>
        <v>4.5999999999999996</v>
      </c>
      <c r="N814" s="223">
        <v>-9999</v>
      </c>
      <c r="O814" s="29"/>
      <c r="P814" s="243">
        <v>-9999</v>
      </c>
      <c r="Q814" s="223">
        <v>-9999</v>
      </c>
      <c r="R814" s="243"/>
      <c r="S814" s="223"/>
      <c r="T814" s="406">
        <v>2.2999999999999998</v>
      </c>
      <c r="U814" s="223">
        <v>-9999</v>
      </c>
      <c r="V814" s="223"/>
      <c r="W814" s="243">
        <v>-9999</v>
      </c>
      <c r="X814" s="223">
        <v>-9999</v>
      </c>
      <c r="Y814" s="223"/>
      <c r="Z814" s="223" t="s">
        <v>83</v>
      </c>
      <c r="AA814" s="442">
        <v>26909</v>
      </c>
      <c r="AB814" s="243">
        <v>-9999</v>
      </c>
      <c r="AC814" s="223">
        <v>-9999</v>
      </c>
      <c r="AD814" s="223">
        <v>144</v>
      </c>
      <c r="AE814" s="404" t="s">
        <v>1960</v>
      </c>
      <c r="AF814" s="223">
        <v>1</v>
      </c>
      <c r="AG814" s="223" t="s">
        <v>1070</v>
      </c>
      <c r="AH814" s="223" t="s">
        <v>876</v>
      </c>
      <c r="AI814" s="223" t="s">
        <v>1066</v>
      </c>
      <c r="AJ814" s="223">
        <v>-9999</v>
      </c>
      <c r="AK814" s="223" t="s">
        <v>626</v>
      </c>
      <c r="AL814" s="223">
        <v>0</v>
      </c>
      <c r="AM814" s="223">
        <v>-9999</v>
      </c>
      <c r="AN814" s="223">
        <v>-9999</v>
      </c>
      <c r="AO814" s="223">
        <v>-9999</v>
      </c>
      <c r="AP814" s="223">
        <v>-9999</v>
      </c>
      <c r="AQ814" s="223" t="s">
        <v>631</v>
      </c>
      <c r="AR814" s="223">
        <v>0</v>
      </c>
      <c r="AS814" s="223">
        <v>-9999</v>
      </c>
      <c r="AT814" s="223">
        <v>-9999</v>
      </c>
      <c r="AU814" s="223">
        <v>0</v>
      </c>
      <c r="AV814" s="223">
        <v>-9999</v>
      </c>
      <c r="AW814" s="223">
        <v>-9999</v>
      </c>
      <c r="AX814" s="223">
        <v>0</v>
      </c>
      <c r="AY814" s="223">
        <v>-9999</v>
      </c>
      <c r="AZ814" s="223">
        <v>-9999</v>
      </c>
      <c r="BA814" s="223">
        <v>-9999</v>
      </c>
      <c r="BB814" s="223" t="s">
        <v>631</v>
      </c>
      <c r="BC814" s="223">
        <v>-9999</v>
      </c>
      <c r="BD814" s="223">
        <v>-9999</v>
      </c>
      <c r="BE814" s="223">
        <v>-9999</v>
      </c>
      <c r="BF814" s="223">
        <v>-9999</v>
      </c>
      <c r="BG814" s="223">
        <v>-9999</v>
      </c>
      <c r="BH814" s="223">
        <v>-9999</v>
      </c>
      <c r="BI814" s="223" t="s">
        <v>84</v>
      </c>
      <c r="BJ814" s="223">
        <v>-9999</v>
      </c>
      <c r="BK814" s="223">
        <v>-9999</v>
      </c>
      <c r="BL814" s="223">
        <v>-9999</v>
      </c>
      <c r="BM814" s="223">
        <v>-9999</v>
      </c>
      <c r="BN814" s="223">
        <v>-9999</v>
      </c>
      <c r="BO814" s="223">
        <v>-9999</v>
      </c>
      <c r="BP814" s="223">
        <v>-9999</v>
      </c>
      <c r="BQ814" s="223">
        <v>-9999</v>
      </c>
      <c r="BR814" s="223">
        <v>-9999</v>
      </c>
      <c r="BS814" s="242">
        <v>-9999</v>
      </c>
      <c r="BT814" s="223">
        <v>-9999</v>
      </c>
      <c r="BU814" s="223">
        <v>-9999</v>
      </c>
      <c r="BV814" s="223">
        <v>-9999</v>
      </c>
      <c r="BW814" s="223"/>
      <c r="BX814" s="223">
        <v>-9999</v>
      </c>
      <c r="BY814" s="223">
        <v>-9999</v>
      </c>
      <c r="BZ814" s="223">
        <v>-9999</v>
      </c>
      <c r="CA814" s="332">
        <v>-9999</v>
      </c>
      <c r="CB814" s="443" t="s">
        <v>1572</v>
      </c>
      <c r="CC814" s="240">
        <v>3</v>
      </c>
      <c r="CD814" s="240">
        <v>2</v>
      </c>
      <c r="CE814" s="292">
        <v>2.2999999999999998</v>
      </c>
      <c r="CF814" s="292">
        <v>-9999</v>
      </c>
      <c r="CG814" s="242">
        <v>6</v>
      </c>
    </row>
    <row r="815" spans="1:1873" s="23" customFormat="1" x14ac:dyDescent="0.2">
      <c r="A815" s="240"/>
      <c r="B815" s="223"/>
      <c r="C815" s="223"/>
      <c r="D815" s="223"/>
      <c r="E815" s="240"/>
      <c r="F815" s="240"/>
      <c r="G815" s="240"/>
      <c r="H815" s="242"/>
      <c r="I815" s="245"/>
      <c r="J815" s="223"/>
      <c r="K815" s="245"/>
      <c r="L815" s="223"/>
      <c r="M815" s="243"/>
      <c r="N815" s="223"/>
      <c r="O815" s="29"/>
      <c r="P815" s="243"/>
      <c r="Q815" s="223"/>
      <c r="R815" s="243"/>
      <c r="S815" s="223"/>
      <c r="T815" s="244"/>
      <c r="U815" s="223"/>
      <c r="V815" s="223"/>
      <c r="W815" s="243"/>
      <c r="X815" s="223"/>
      <c r="Y815" s="223"/>
      <c r="Z815" s="223"/>
      <c r="AA815" s="442"/>
      <c r="AB815" s="243"/>
      <c r="AC815" s="223"/>
      <c r="AD815" s="223"/>
      <c r="AE815" s="223"/>
      <c r="AF815" s="223"/>
      <c r="AG815" s="223"/>
      <c r="AH815" s="223"/>
      <c r="AI815" s="223"/>
      <c r="AJ815" s="223"/>
      <c r="AK815" s="223"/>
      <c r="AL815" s="223"/>
      <c r="AM815" s="223"/>
      <c r="AN815" s="223"/>
      <c r="AO815" s="223"/>
      <c r="AP815" s="223"/>
      <c r="AQ815" s="223"/>
      <c r="AR815" s="223"/>
      <c r="AS815" s="223"/>
      <c r="AT815" s="223"/>
      <c r="AU815" s="223"/>
      <c r="AV815" s="223"/>
      <c r="AW815" s="223"/>
      <c r="AX815" s="223"/>
      <c r="AY815" s="223"/>
      <c r="AZ815" s="223"/>
      <c r="BA815" s="223"/>
      <c r="BB815" s="223"/>
      <c r="BC815" s="223"/>
      <c r="BD815" s="223"/>
      <c r="BE815" s="223"/>
      <c r="BF815" s="223"/>
      <c r="BG815" s="223"/>
      <c r="BH815" s="223"/>
      <c r="BI815" s="223"/>
      <c r="BJ815" s="223"/>
      <c r="BK815" s="223"/>
      <c r="BL815" s="223"/>
      <c r="BM815" s="223"/>
      <c r="BN815" s="223"/>
      <c r="BO815" s="223"/>
      <c r="BP815" s="223"/>
      <c r="BQ815" s="223"/>
      <c r="BR815" s="223"/>
      <c r="BS815" s="242"/>
      <c r="BT815" s="223"/>
      <c r="BU815" s="223"/>
      <c r="BV815" s="223"/>
      <c r="BW815" s="223"/>
      <c r="BX815" s="223"/>
      <c r="BY815" s="223"/>
      <c r="BZ815" s="223"/>
      <c r="CA815" s="332"/>
      <c r="CB815" s="446"/>
      <c r="CC815" s="240"/>
      <c r="CD815" s="240"/>
      <c r="CE815" s="342" t="s">
        <v>1982</v>
      </c>
      <c r="CF815" s="342" t="s">
        <v>1575</v>
      </c>
      <c r="CG815" s="242"/>
    </row>
    <row r="816" spans="1:1873" s="23" customFormat="1" x14ac:dyDescent="0.2">
      <c r="A816" s="240" t="s">
        <v>366</v>
      </c>
      <c r="B816" s="404" t="s">
        <v>2132</v>
      </c>
      <c r="C816" s="404" t="s">
        <v>1553</v>
      </c>
      <c r="D816" s="223" t="s">
        <v>619</v>
      </c>
      <c r="E816" s="403" t="s">
        <v>1459</v>
      </c>
      <c r="F816" s="240">
        <v>1</v>
      </c>
      <c r="G816" s="240">
        <v>2</v>
      </c>
      <c r="H816" s="242">
        <v>2</v>
      </c>
      <c r="I816" s="245" t="s">
        <v>954</v>
      </c>
      <c r="J816" s="441">
        <v>1973</v>
      </c>
      <c r="K816" s="245" t="s">
        <v>1211</v>
      </c>
      <c r="L816" s="441">
        <v>1974</v>
      </c>
      <c r="M816" s="243">
        <v>12.3</v>
      </c>
      <c r="N816" s="223">
        <v>-9999</v>
      </c>
      <c r="O816" s="29"/>
      <c r="P816" s="243">
        <v>-9999</v>
      </c>
      <c r="Q816" s="223">
        <v>-9999</v>
      </c>
      <c r="R816" s="243"/>
      <c r="S816" s="223"/>
      <c r="T816" s="244">
        <f>+M816/G816</f>
        <v>6.15</v>
      </c>
      <c r="U816" s="223">
        <v>-9999</v>
      </c>
      <c r="V816" s="223"/>
      <c r="W816" s="243">
        <v>-9999</v>
      </c>
      <c r="X816" s="223">
        <v>-9999</v>
      </c>
      <c r="Y816" s="223"/>
      <c r="Z816" s="404" t="s">
        <v>1701</v>
      </c>
      <c r="AA816" s="442">
        <v>13455</v>
      </c>
      <c r="AB816" s="243">
        <v>0.96</v>
      </c>
      <c r="AC816" s="223">
        <v>-9999</v>
      </c>
      <c r="AD816" s="223">
        <v>144</v>
      </c>
      <c r="AE816" s="404" t="s">
        <v>1961</v>
      </c>
      <c r="AF816" s="223">
        <v>1</v>
      </c>
      <c r="AG816" s="223" t="s">
        <v>1070</v>
      </c>
      <c r="AH816" s="223" t="s">
        <v>876</v>
      </c>
      <c r="AI816" s="223" t="s">
        <v>1066</v>
      </c>
      <c r="AJ816" s="223">
        <v>-9999</v>
      </c>
      <c r="AK816" s="223" t="s">
        <v>626</v>
      </c>
      <c r="AL816" s="223" t="s">
        <v>1068</v>
      </c>
      <c r="AM816" s="223">
        <v>-9999</v>
      </c>
      <c r="AN816" s="223">
        <v>-9999</v>
      </c>
      <c r="AO816" s="223">
        <v>-9999</v>
      </c>
      <c r="AP816" s="223">
        <v>-9999</v>
      </c>
      <c r="AQ816" s="223" t="s">
        <v>631</v>
      </c>
      <c r="AR816" s="223">
        <v>0</v>
      </c>
      <c r="AS816" s="223">
        <v>-9999</v>
      </c>
      <c r="AT816" s="223">
        <v>-9999</v>
      </c>
      <c r="AU816" s="223">
        <v>0</v>
      </c>
      <c r="AV816" s="223">
        <v>-9999</v>
      </c>
      <c r="AW816" s="223">
        <v>-9999</v>
      </c>
      <c r="AX816" s="223">
        <v>0</v>
      </c>
      <c r="AY816" s="223">
        <v>-9999</v>
      </c>
      <c r="AZ816" s="223">
        <v>-9999</v>
      </c>
      <c r="BA816" s="223">
        <v>-9999</v>
      </c>
      <c r="BB816" s="223" t="s">
        <v>631</v>
      </c>
      <c r="BC816" s="223">
        <v>-9999</v>
      </c>
      <c r="BD816" s="223">
        <v>-9999</v>
      </c>
      <c r="BE816" s="223">
        <v>-9999</v>
      </c>
      <c r="BF816" s="223">
        <v>-9999</v>
      </c>
      <c r="BG816" s="223">
        <v>-9999</v>
      </c>
      <c r="BH816" s="223">
        <v>-9999</v>
      </c>
      <c r="BI816" s="223" t="s">
        <v>84</v>
      </c>
      <c r="BJ816" s="223">
        <v>-9999</v>
      </c>
      <c r="BK816" s="223">
        <v>-9999</v>
      </c>
      <c r="BL816" s="223">
        <v>-9999</v>
      </c>
      <c r="BM816" s="223">
        <v>-9999</v>
      </c>
      <c r="BN816" s="223">
        <v>-9999</v>
      </c>
      <c r="BO816" s="223">
        <v>-9999</v>
      </c>
      <c r="BP816" s="223">
        <v>-9999</v>
      </c>
      <c r="BQ816" s="223">
        <v>-9999</v>
      </c>
      <c r="BR816" s="223">
        <v>-9999</v>
      </c>
      <c r="BS816" s="242">
        <v>-9999</v>
      </c>
      <c r="BT816" s="223">
        <v>-9999</v>
      </c>
      <c r="BU816" s="223">
        <v>-9999</v>
      </c>
      <c r="BV816" s="223">
        <v>-9999</v>
      </c>
      <c r="BW816" s="223"/>
      <c r="BX816" s="223">
        <v>-9999</v>
      </c>
      <c r="BY816" s="223">
        <v>-9999</v>
      </c>
      <c r="BZ816" s="223">
        <v>-9999</v>
      </c>
      <c r="CA816" s="332">
        <v>-9999</v>
      </c>
      <c r="CB816" s="443" t="s">
        <v>1572</v>
      </c>
      <c r="CC816" s="240">
        <v>1</v>
      </c>
      <c r="CD816" s="240">
        <v>2</v>
      </c>
      <c r="CE816" s="292">
        <v>6.15</v>
      </c>
      <c r="CF816" s="292">
        <v>-9999</v>
      </c>
      <c r="CG816" s="242">
        <v>2</v>
      </c>
    </row>
    <row r="817" spans="1:86" s="23" customFormat="1" x14ac:dyDescent="0.2">
      <c r="A817" s="240" t="s">
        <v>366</v>
      </c>
      <c r="B817" s="404" t="s">
        <v>2132</v>
      </c>
      <c r="C817" s="404" t="s">
        <v>1553</v>
      </c>
      <c r="D817" s="223" t="s">
        <v>619</v>
      </c>
      <c r="E817" s="403" t="s">
        <v>1459</v>
      </c>
      <c r="F817" s="240">
        <v>2</v>
      </c>
      <c r="G817" s="240">
        <v>2</v>
      </c>
      <c r="H817" s="242">
        <v>4</v>
      </c>
      <c r="I817" s="245" t="s">
        <v>954</v>
      </c>
      <c r="J817" s="441">
        <v>1973</v>
      </c>
      <c r="K817" s="245" t="s">
        <v>1211</v>
      </c>
      <c r="L817" s="441">
        <v>1976</v>
      </c>
      <c r="M817" s="243">
        <v>13.5</v>
      </c>
      <c r="N817" s="223">
        <v>-9999</v>
      </c>
      <c r="O817" s="29"/>
      <c r="P817" s="243">
        <v>-9999</v>
      </c>
      <c r="Q817" s="223">
        <v>-9999</v>
      </c>
      <c r="R817" s="243"/>
      <c r="S817" s="223"/>
      <c r="T817" s="244">
        <f>+M817/G817</f>
        <v>6.75</v>
      </c>
      <c r="U817" s="223">
        <v>-9999</v>
      </c>
      <c r="V817" s="223"/>
      <c r="W817" s="243">
        <v>-9999</v>
      </c>
      <c r="X817" s="223">
        <v>-9999</v>
      </c>
      <c r="Y817" s="223"/>
      <c r="Z817" s="404" t="s">
        <v>1701</v>
      </c>
      <c r="AA817" s="442">
        <v>13455</v>
      </c>
      <c r="AB817" s="243">
        <v>0.87</v>
      </c>
      <c r="AC817" s="223">
        <v>-9999</v>
      </c>
      <c r="AD817" s="223">
        <v>144</v>
      </c>
      <c r="AE817" s="404" t="s">
        <v>1961</v>
      </c>
      <c r="AF817" s="223">
        <v>1</v>
      </c>
      <c r="AG817" s="223" t="s">
        <v>1070</v>
      </c>
      <c r="AH817" s="223" t="s">
        <v>876</v>
      </c>
      <c r="AI817" s="223" t="s">
        <v>1066</v>
      </c>
      <c r="AJ817" s="223">
        <v>-9999</v>
      </c>
      <c r="AK817" s="223" t="s">
        <v>626</v>
      </c>
      <c r="AL817" s="223" t="s">
        <v>1069</v>
      </c>
      <c r="AM817" s="223">
        <v>-9999</v>
      </c>
      <c r="AN817" s="223">
        <v>-9999</v>
      </c>
      <c r="AO817" s="223">
        <v>-9999</v>
      </c>
      <c r="AP817" s="223">
        <v>-9999</v>
      </c>
      <c r="AQ817" s="223" t="s">
        <v>631</v>
      </c>
      <c r="AR817" s="223">
        <v>0</v>
      </c>
      <c r="AS817" s="223">
        <v>-9999</v>
      </c>
      <c r="AT817" s="223">
        <v>-9999</v>
      </c>
      <c r="AU817" s="223">
        <v>0</v>
      </c>
      <c r="AV817" s="223">
        <v>-9999</v>
      </c>
      <c r="AW817" s="223">
        <v>-9999</v>
      </c>
      <c r="AX817" s="223">
        <v>0</v>
      </c>
      <c r="AY817" s="223">
        <v>-9999</v>
      </c>
      <c r="AZ817" s="223">
        <v>-9999</v>
      </c>
      <c r="BA817" s="223">
        <v>-9999</v>
      </c>
      <c r="BB817" s="223" t="s">
        <v>631</v>
      </c>
      <c r="BC817" s="223">
        <v>-9999</v>
      </c>
      <c r="BD817" s="223">
        <v>-9999</v>
      </c>
      <c r="BE817" s="223">
        <v>-9999</v>
      </c>
      <c r="BF817" s="223">
        <v>-9999</v>
      </c>
      <c r="BG817" s="223">
        <v>-9999</v>
      </c>
      <c r="BH817" s="223">
        <v>-9999</v>
      </c>
      <c r="BI817" s="223" t="s">
        <v>84</v>
      </c>
      <c r="BJ817" s="223">
        <v>-9999</v>
      </c>
      <c r="BK817" s="223">
        <v>-9999</v>
      </c>
      <c r="BL817" s="223">
        <v>-9999</v>
      </c>
      <c r="BM817" s="223">
        <v>-9999</v>
      </c>
      <c r="BN817" s="223">
        <v>-9999</v>
      </c>
      <c r="BO817" s="223">
        <v>-9999</v>
      </c>
      <c r="BP817" s="223">
        <v>-9999</v>
      </c>
      <c r="BQ817" s="223">
        <v>-9999</v>
      </c>
      <c r="BR817" s="223">
        <v>-9999</v>
      </c>
      <c r="BS817" s="242">
        <v>-9999</v>
      </c>
      <c r="BT817" s="223">
        <v>-9999</v>
      </c>
      <c r="BU817" s="223">
        <v>-9999</v>
      </c>
      <c r="BV817" s="223">
        <v>-9999</v>
      </c>
      <c r="BW817" s="223"/>
      <c r="BX817" s="223">
        <v>-9999</v>
      </c>
      <c r="BY817" s="223">
        <v>-9999</v>
      </c>
      <c r="BZ817" s="223">
        <v>-9999</v>
      </c>
      <c r="CA817" s="332">
        <v>-9999</v>
      </c>
      <c r="CB817" s="443" t="s">
        <v>1572</v>
      </c>
      <c r="CC817" s="240">
        <v>2</v>
      </c>
      <c r="CD817" s="240">
        <v>2</v>
      </c>
      <c r="CE817" s="292">
        <v>6.75</v>
      </c>
      <c r="CF817" s="292">
        <v>-9999</v>
      </c>
      <c r="CG817" s="242">
        <v>4</v>
      </c>
    </row>
    <row r="818" spans="1:86" s="23" customFormat="1" x14ac:dyDescent="0.2">
      <c r="A818" s="403" t="s">
        <v>367</v>
      </c>
      <c r="B818" s="404" t="s">
        <v>2132</v>
      </c>
      <c r="C818" s="404" t="s">
        <v>1553</v>
      </c>
      <c r="D818" s="223" t="s">
        <v>619</v>
      </c>
      <c r="E818" s="403" t="s">
        <v>1459</v>
      </c>
      <c r="F818" s="240">
        <v>3</v>
      </c>
      <c r="G818" s="240">
        <v>2</v>
      </c>
      <c r="H818" s="242">
        <v>6</v>
      </c>
      <c r="I818" s="245" t="s">
        <v>954</v>
      </c>
      <c r="J818" s="441">
        <v>1973</v>
      </c>
      <c r="K818" s="245" t="s">
        <v>1211</v>
      </c>
      <c r="L818" s="441">
        <v>1978</v>
      </c>
      <c r="M818" s="285">
        <f>+T818*G818</f>
        <v>3.6</v>
      </c>
      <c r="N818" s="223">
        <v>-9999</v>
      </c>
      <c r="O818" s="29"/>
      <c r="P818" s="243">
        <v>-9999</v>
      </c>
      <c r="Q818" s="223">
        <v>-9999</v>
      </c>
      <c r="R818" s="243"/>
      <c r="S818" s="223"/>
      <c r="T818" s="406">
        <v>1.8</v>
      </c>
      <c r="U818" s="223">
        <v>-9999</v>
      </c>
      <c r="V818" s="223"/>
      <c r="W818" s="243">
        <v>-9999</v>
      </c>
      <c r="X818" s="223">
        <v>-9999</v>
      </c>
      <c r="Y818" s="223"/>
      <c r="Z818" s="404" t="s">
        <v>1701</v>
      </c>
      <c r="AA818" s="442">
        <v>13455</v>
      </c>
      <c r="AB818" s="243">
        <v>-9999</v>
      </c>
      <c r="AC818" s="223">
        <v>-9999</v>
      </c>
      <c r="AD818" s="223">
        <v>144</v>
      </c>
      <c r="AE818" s="404" t="s">
        <v>1961</v>
      </c>
      <c r="AF818" s="223">
        <v>1</v>
      </c>
      <c r="AG818" s="223" t="s">
        <v>1070</v>
      </c>
      <c r="AH818" s="223" t="s">
        <v>876</v>
      </c>
      <c r="AI818" s="223" t="s">
        <v>1066</v>
      </c>
      <c r="AJ818" s="223">
        <v>-9999</v>
      </c>
      <c r="AK818" s="223" t="s">
        <v>626</v>
      </c>
      <c r="AL818" s="223">
        <v>0</v>
      </c>
      <c r="AM818" s="223">
        <v>-9999</v>
      </c>
      <c r="AN818" s="223">
        <v>-9999</v>
      </c>
      <c r="AO818" s="223">
        <v>-9999</v>
      </c>
      <c r="AP818" s="223">
        <v>-9999</v>
      </c>
      <c r="AQ818" s="223" t="s">
        <v>631</v>
      </c>
      <c r="AR818" s="223">
        <v>0</v>
      </c>
      <c r="AS818" s="223">
        <v>-9999</v>
      </c>
      <c r="AT818" s="223">
        <v>-9999</v>
      </c>
      <c r="AU818" s="223">
        <v>0</v>
      </c>
      <c r="AV818" s="223">
        <v>-9999</v>
      </c>
      <c r="AW818" s="223">
        <v>-9999</v>
      </c>
      <c r="AX818" s="223">
        <v>0</v>
      </c>
      <c r="AY818" s="223">
        <v>-9999</v>
      </c>
      <c r="AZ818" s="223">
        <v>-9999</v>
      </c>
      <c r="BA818" s="223">
        <v>-9999</v>
      </c>
      <c r="BB818" s="223" t="s">
        <v>631</v>
      </c>
      <c r="BC818" s="223">
        <v>-9999</v>
      </c>
      <c r="BD818" s="223">
        <v>-9999</v>
      </c>
      <c r="BE818" s="223">
        <v>-9999</v>
      </c>
      <c r="BF818" s="223">
        <v>-9999</v>
      </c>
      <c r="BG818" s="223">
        <v>-9999</v>
      </c>
      <c r="BH818" s="223">
        <v>-9999</v>
      </c>
      <c r="BI818" s="223" t="s">
        <v>84</v>
      </c>
      <c r="BJ818" s="223">
        <v>-9999</v>
      </c>
      <c r="BK818" s="223">
        <v>-9999</v>
      </c>
      <c r="BL818" s="223">
        <v>-9999</v>
      </c>
      <c r="BM818" s="223">
        <v>-9999</v>
      </c>
      <c r="BN818" s="223">
        <v>-9999</v>
      </c>
      <c r="BO818" s="223">
        <v>-9999</v>
      </c>
      <c r="BP818" s="223">
        <v>-9999</v>
      </c>
      <c r="BQ818" s="223">
        <v>-9999</v>
      </c>
      <c r="BR818" s="223">
        <v>-9999</v>
      </c>
      <c r="BS818" s="242">
        <v>-9999</v>
      </c>
      <c r="BT818" s="223">
        <v>-9999</v>
      </c>
      <c r="BU818" s="223">
        <v>-9999</v>
      </c>
      <c r="BV818" s="223">
        <v>-9999</v>
      </c>
      <c r="BW818" s="223"/>
      <c r="BX818" s="223">
        <v>-9999</v>
      </c>
      <c r="BY818" s="223">
        <v>-9999</v>
      </c>
      <c r="BZ818" s="223">
        <v>-9999</v>
      </c>
      <c r="CA818" s="332">
        <v>-9999</v>
      </c>
      <c r="CB818" s="443" t="s">
        <v>1572</v>
      </c>
      <c r="CC818" s="240">
        <v>3</v>
      </c>
      <c r="CD818" s="240">
        <v>2</v>
      </c>
      <c r="CE818" s="292">
        <v>1.8</v>
      </c>
      <c r="CF818" s="292">
        <v>-9999</v>
      </c>
      <c r="CG818" s="242">
        <v>6</v>
      </c>
    </row>
    <row r="819" spans="1:86" s="23" customFormat="1" x14ac:dyDescent="0.2">
      <c r="A819" s="240"/>
      <c r="B819" s="223"/>
      <c r="C819" s="223"/>
      <c r="D819" s="223"/>
      <c r="E819" s="240"/>
      <c r="F819" s="240"/>
      <c r="G819" s="240"/>
      <c r="H819" s="242"/>
      <c r="I819" s="245"/>
      <c r="J819" s="223"/>
      <c r="K819" s="245"/>
      <c r="L819" s="223"/>
      <c r="M819" s="243"/>
      <c r="N819" s="223"/>
      <c r="O819" s="29"/>
      <c r="P819" s="243"/>
      <c r="Q819" s="223"/>
      <c r="R819" s="243"/>
      <c r="S819" s="223"/>
      <c r="T819" s="244"/>
      <c r="U819" s="223"/>
      <c r="V819" s="223"/>
      <c r="W819" s="243"/>
      <c r="X819" s="223"/>
      <c r="Y819" s="223"/>
      <c r="Z819" s="223"/>
      <c r="AA819" s="442"/>
      <c r="AB819" s="243"/>
      <c r="AC819" s="223"/>
      <c r="AD819" s="223"/>
      <c r="AE819" s="223"/>
      <c r="AF819" s="223"/>
      <c r="AG819" s="223"/>
      <c r="AH819" s="223"/>
      <c r="AI819" s="223"/>
      <c r="AJ819" s="223"/>
      <c r="AK819" s="223"/>
      <c r="AL819" s="223"/>
      <c r="AM819" s="223"/>
      <c r="AN819" s="223"/>
      <c r="AO819" s="223"/>
      <c r="AP819" s="223"/>
      <c r="AQ819" s="223"/>
      <c r="AR819" s="223"/>
      <c r="AS819" s="223"/>
      <c r="AT819" s="223"/>
      <c r="AU819" s="223"/>
      <c r="AV819" s="223"/>
      <c r="AW819" s="223"/>
      <c r="AX819" s="223"/>
      <c r="AY819" s="223"/>
      <c r="AZ819" s="223"/>
      <c r="BA819" s="223"/>
      <c r="BB819" s="223"/>
      <c r="BC819" s="223"/>
      <c r="BD819" s="223"/>
      <c r="BE819" s="223"/>
      <c r="BF819" s="223"/>
      <c r="BG819" s="223"/>
      <c r="BH819" s="223"/>
      <c r="BI819" s="223"/>
      <c r="BJ819" s="223"/>
      <c r="BK819" s="223"/>
      <c r="BL819" s="223"/>
      <c r="BM819" s="223"/>
      <c r="BN819" s="223"/>
      <c r="BO819" s="223"/>
      <c r="BP819" s="223"/>
      <c r="BQ819" s="223"/>
      <c r="BR819" s="223"/>
      <c r="BS819" s="242"/>
      <c r="BT819" s="223"/>
      <c r="BU819" s="223"/>
      <c r="BV819" s="223"/>
      <c r="BW819" s="223"/>
      <c r="BX819" s="223"/>
      <c r="BY819" s="223"/>
      <c r="BZ819" s="223"/>
      <c r="CA819" s="332"/>
      <c r="CB819" s="446"/>
      <c r="CC819" s="240"/>
      <c r="CD819" s="240"/>
      <c r="CE819" s="342" t="s">
        <v>1982</v>
      </c>
      <c r="CF819" s="342" t="s">
        <v>1575</v>
      </c>
      <c r="CG819" s="242"/>
    </row>
    <row r="820" spans="1:86" s="23" customFormat="1" x14ac:dyDescent="0.2">
      <c r="A820" s="240" t="s">
        <v>366</v>
      </c>
      <c r="B820" s="404" t="s">
        <v>2132</v>
      </c>
      <c r="C820" s="404" t="s">
        <v>1554</v>
      </c>
      <c r="D820" s="223" t="s">
        <v>619</v>
      </c>
      <c r="E820" s="403" t="s">
        <v>1459</v>
      </c>
      <c r="F820" s="240">
        <v>1</v>
      </c>
      <c r="G820" s="240">
        <v>2</v>
      </c>
      <c r="H820" s="242">
        <v>2</v>
      </c>
      <c r="I820" s="245" t="s">
        <v>954</v>
      </c>
      <c r="J820" s="441">
        <v>1973</v>
      </c>
      <c r="K820" s="245" t="s">
        <v>1211</v>
      </c>
      <c r="L820" s="441">
        <v>1974</v>
      </c>
      <c r="M820" s="243">
        <v>13.2</v>
      </c>
      <c r="N820" s="223">
        <v>-9999</v>
      </c>
      <c r="O820" s="29"/>
      <c r="P820" s="243">
        <v>-9999</v>
      </c>
      <c r="Q820" s="223">
        <v>-9999</v>
      </c>
      <c r="R820" s="243"/>
      <c r="S820" s="223"/>
      <c r="T820" s="244">
        <f>+M820/G820</f>
        <v>6.6</v>
      </c>
      <c r="U820" s="223">
        <v>-9999</v>
      </c>
      <c r="V820" s="223"/>
      <c r="W820" s="243">
        <v>-9999</v>
      </c>
      <c r="X820" s="223">
        <v>-9999</v>
      </c>
      <c r="Y820" s="223"/>
      <c r="Z820" s="223" t="s">
        <v>67</v>
      </c>
      <c r="AA820" s="441">
        <v>6727</v>
      </c>
      <c r="AB820" s="243">
        <v>0.98</v>
      </c>
      <c r="AC820" s="223">
        <v>-9999</v>
      </c>
      <c r="AD820" s="223">
        <v>144</v>
      </c>
      <c r="AE820" s="404" t="s">
        <v>1959</v>
      </c>
      <c r="AF820" s="223">
        <v>1</v>
      </c>
      <c r="AG820" s="223" t="s">
        <v>1070</v>
      </c>
      <c r="AH820" s="223" t="s">
        <v>876</v>
      </c>
      <c r="AI820" s="223" t="s">
        <v>1066</v>
      </c>
      <c r="AJ820" s="223">
        <v>-9999</v>
      </c>
      <c r="AK820" s="223" t="s">
        <v>626</v>
      </c>
      <c r="AL820" s="223" t="s">
        <v>1068</v>
      </c>
      <c r="AM820" s="223">
        <v>-9999</v>
      </c>
      <c r="AN820" s="223">
        <v>-9999</v>
      </c>
      <c r="AO820" s="223">
        <v>-9999</v>
      </c>
      <c r="AP820" s="223">
        <v>-9999</v>
      </c>
      <c r="AQ820" s="223" t="s">
        <v>631</v>
      </c>
      <c r="AR820" s="223">
        <v>0</v>
      </c>
      <c r="AS820" s="223">
        <v>-9999</v>
      </c>
      <c r="AT820" s="223">
        <v>-9999</v>
      </c>
      <c r="AU820" s="223">
        <v>0</v>
      </c>
      <c r="AV820" s="223">
        <v>-9999</v>
      </c>
      <c r="AW820" s="223">
        <v>-9999</v>
      </c>
      <c r="AX820" s="223">
        <v>0</v>
      </c>
      <c r="AY820" s="223">
        <v>-9999</v>
      </c>
      <c r="AZ820" s="223">
        <v>-9999</v>
      </c>
      <c r="BA820" s="223">
        <v>-9999</v>
      </c>
      <c r="BB820" s="223" t="s">
        <v>631</v>
      </c>
      <c r="BC820" s="223">
        <v>-9999</v>
      </c>
      <c r="BD820" s="223">
        <v>-9999</v>
      </c>
      <c r="BE820" s="223">
        <v>-9999</v>
      </c>
      <c r="BF820" s="223">
        <v>-9999</v>
      </c>
      <c r="BG820" s="223">
        <v>-9999</v>
      </c>
      <c r="BH820" s="223">
        <v>-9999</v>
      </c>
      <c r="BI820" s="223" t="s">
        <v>84</v>
      </c>
      <c r="BJ820" s="223">
        <v>-9999</v>
      </c>
      <c r="BK820" s="223">
        <v>-9999</v>
      </c>
      <c r="BL820" s="223">
        <v>-9999</v>
      </c>
      <c r="BM820" s="223">
        <v>-9999</v>
      </c>
      <c r="BN820" s="223">
        <v>-9999</v>
      </c>
      <c r="BO820" s="223">
        <v>-9999</v>
      </c>
      <c r="BP820" s="223">
        <v>-9999</v>
      </c>
      <c r="BQ820" s="223">
        <v>-9999</v>
      </c>
      <c r="BR820" s="223">
        <v>-9999</v>
      </c>
      <c r="BS820" s="242">
        <v>-9999</v>
      </c>
      <c r="BT820" s="223">
        <v>-9999</v>
      </c>
      <c r="BU820" s="223">
        <v>-9999</v>
      </c>
      <c r="BV820" s="223">
        <v>-9999</v>
      </c>
      <c r="BW820" s="223"/>
      <c r="BX820" s="223">
        <v>-9999</v>
      </c>
      <c r="BY820" s="223">
        <v>-9999</v>
      </c>
      <c r="BZ820" s="223">
        <v>-9999</v>
      </c>
      <c r="CA820" s="332">
        <v>-9999</v>
      </c>
      <c r="CB820" s="443" t="s">
        <v>1572</v>
      </c>
      <c r="CC820" s="240">
        <v>1</v>
      </c>
      <c r="CD820" s="240">
        <v>2</v>
      </c>
      <c r="CE820" s="292">
        <v>6.6</v>
      </c>
      <c r="CF820" s="292">
        <v>-9999</v>
      </c>
      <c r="CG820" s="242">
        <v>2</v>
      </c>
    </row>
    <row r="821" spans="1:86" s="23" customFormat="1" x14ac:dyDescent="0.2">
      <c r="A821" s="240" t="s">
        <v>366</v>
      </c>
      <c r="B821" s="404" t="s">
        <v>2132</v>
      </c>
      <c r="C821" s="404" t="s">
        <v>1554</v>
      </c>
      <c r="D821" s="223" t="s">
        <v>619</v>
      </c>
      <c r="E821" s="403" t="s">
        <v>1459</v>
      </c>
      <c r="F821" s="240">
        <v>2</v>
      </c>
      <c r="G821" s="240">
        <v>2</v>
      </c>
      <c r="H821" s="242">
        <v>4</v>
      </c>
      <c r="I821" s="245" t="s">
        <v>954</v>
      </c>
      <c r="J821" s="441">
        <v>1973</v>
      </c>
      <c r="K821" s="245" t="s">
        <v>1211</v>
      </c>
      <c r="L821" s="441">
        <v>1976</v>
      </c>
      <c r="M821" s="243">
        <v>14.8</v>
      </c>
      <c r="N821" s="223">
        <v>-9999</v>
      </c>
      <c r="O821" s="29"/>
      <c r="P821" s="243">
        <v>-9999</v>
      </c>
      <c r="Q821" s="223">
        <v>-9999</v>
      </c>
      <c r="R821" s="243"/>
      <c r="S821" s="223"/>
      <c r="T821" s="244">
        <f>+M821/G821</f>
        <v>7.4</v>
      </c>
      <c r="U821" s="223">
        <v>-9999</v>
      </c>
      <c r="V821" s="223"/>
      <c r="W821" s="243">
        <v>-9999</v>
      </c>
      <c r="X821" s="223">
        <v>-9999</v>
      </c>
      <c r="Y821" s="223"/>
      <c r="Z821" s="223" t="s">
        <v>67</v>
      </c>
      <c r="AA821" s="441">
        <v>6727</v>
      </c>
      <c r="AB821" s="243">
        <v>0.95</v>
      </c>
      <c r="AC821" s="223">
        <v>-9999</v>
      </c>
      <c r="AD821" s="223">
        <v>144</v>
      </c>
      <c r="AE821" s="404" t="s">
        <v>1959</v>
      </c>
      <c r="AF821" s="223">
        <v>1</v>
      </c>
      <c r="AG821" s="223" t="s">
        <v>1070</v>
      </c>
      <c r="AH821" s="223" t="s">
        <v>876</v>
      </c>
      <c r="AI821" s="223" t="s">
        <v>1066</v>
      </c>
      <c r="AJ821" s="223">
        <v>-9999</v>
      </c>
      <c r="AK821" s="223" t="s">
        <v>626</v>
      </c>
      <c r="AL821" s="223" t="s">
        <v>1069</v>
      </c>
      <c r="AM821" s="223">
        <v>-9999</v>
      </c>
      <c r="AN821" s="223">
        <v>-9999</v>
      </c>
      <c r="AO821" s="223">
        <v>-9999</v>
      </c>
      <c r="AP821" s="223">
        <v>-9999</v>
      </c>
      <c r="AQ821" s="223" t="s">
        <v>631</v>
      </c>
      <c r="AR821" s="223">
        <v>0</v>
      </c>
      <c r="AS821" s="223">
        <v>-9999</v>
      </c>
      <c r="AT821" s="223">
        <v>-9999</v>
      </c>
      <c r="AU821" s="223">
        <v>0</v>
      </c>
      <c r="AV821" s="223">
        <v>-9999</v>
      </c>
      <c r="AW821" s="223">
        <v>-9999</v>
      </c>
      <c r="AX821" s="223">
        <v>0</v>
      </c>
      <c r="AY821" s="223">
        <v>-9999</v>
      </c>
      <c r="AZ821" s="223">
        <v>-9999</v>
      </c>
      <c r="BA821" s="223">
        <v>-9999</v>
      </c>
      <c r="BB821" s="223" t="s">
        <v>631</v>
      </c>
      <c r="BC821" s="223">
        <v>-9999</v>
      </c>
      <c r="BD821" s="223">
        <v>-9999</v>
      </c>
      <c r="BE821" s="223">
        <v>-9999</v>
      </c>
      <c r="BF821" s="223">
        <v>-9999</v>
      </c>
      <c r="BG821" s="223">
        <v>-9999</v>
      </c>
      <c r="BH821" s="223">
        <v>-9999</v>
      </c>
      <c r="BI821" s="223" t="s">
        <v>84</v>
      </c>
      <c r="BJ821" s="223">
        <v>-9999</v>
      </c>
      <c r="BK821" s="223">
        <v>-9999</v>
      </c>
      <c r="BL821" s="223">
        <v>-9999</v>
      </c>
      <c r="BM821" s="223">
        <v>-9999</v>
      </c>
      <c r="BN821" s="223">
        <v>-9999</v>
      </c>
      <c r="BO821" s="223">
        <v>-9999</v>
      </c>
      <c r="BP821" s="223">
        <v>-9999</v>
      </c>
      <c r="BQ821" s="223">
        <v>-9999</v>
      </c>
      <c r="BR821" s="223">
        <v>-9999</v>
      </c>
      <c r="BS821" s="242">
        <v>-9999</v>
      </c>
      <c r="BT821" s="223">
        <v>-9999</v>
      </c>
      <c r="BU821" s="223">
        <v>-9999</v>
      </c>
      <c r="BV821" s="223">
        <v>-9999</v>
      </c>
      <c r="BW821" s="223"/>
      <c r="BX821" s="223">
        <v>-9999</v>
      </c>
      <c r="BY821" s="223">
        <v>-9999</v>
      </c>
      <c r="BZ821" s="223">
        <v>-9999</v>
      </c>
      <c r="CA821" s="332">
        <v>-9999</v>
      </c>
      <c r="CB821" s="443" t="s">
        <v>1572</v>
      </c>
      <c r="CC821" s="240">
        <v>2</v>
      </c>
      <c r="CD821" s="240">
        <v>2</v>
      </c>
      <c r="CE821" s="292">
        <v>7.4</v>
      </c>
      <c r="CF821" s="292">
        <v>-9999</v>
      </c>
      <c r="CG821" s="242">
        <v>4</v>
      </c>
    </row>
    <row r="822" spans="1:86" s="23" customFormat="1" x14ac:dyDescent="0.2">
      <c r="A822" s="403" t="s">
        <v>367</v>
      </c>
      <c r="B822" s="404" t="s">
        <v>2132</v>
      </c>
      <c r="C822" s="404" t="s">
        <v>1554</v>
      </c>
      <c r="D822" s="223" t="s">
        <v>619</v>
      </c>
      <c r="E822" s="403" t="s">
        <v>1459</v>
      </c>
      <c r="F822" s="240">
        <v>3</v>
      </c>
      <c r="G822" s="240">
        <v>2</v>
      </c>
      <c r="H822" s="242">
        <v>6</v>
      </c>
      <c r="I822" s="245" t="s">
        <v>954</v>
      </c>
      <c r="J822" s="441">
        <v>1973</v>
      </c>
      <c r="K822" s="245" t="s">
        <v>1211</v>
      </c>
      <c r="L822" s="441">
        <v>1978</v>
      </c>
      <c r="M822" s="285">
        <f>+T822*G822</f>
        <v>3.8</v>
      </c>
      <c r="N822" s="223">
        <v>-9999</v>
      </c>
      <c r="O822" s="29"/>
      <c r="P822" s="243">
        <v>-9999</v>
      </c>
      <c r="Q822" s="223">
        <v>-9999</v>
      </c>
      <c r="R822" s="243"/>
      <c r="S822" s="223"/>
      <c r="T822" s="406">
        <v>1.9</v>
      </c>
      <c r="U822" s="223">
        <v>-9999</v>
      </c>
      <c r="V822" s="223"/>
      <c r="W822" s="243">
        <v>-9999</v>
      </c>
      <c r="X822" s="223">
        <v>-9999</v>
      </c>
      <c r="Y822" s="223"/>
      <c r="Z822" s="223" t="s">
        <v>67</v>
      </c>
      <c r="AA822" s="441">
        <v>6727</v>
      </c>
      <c r="AB822" s="243">
        <v>-9999</v>
      </c>
      <c r="AC822" s="223">
        <v>-9999</v>
      </c>
      <c r="AD822" s="223">
        <v>144</v>
      </c>
      <c r="AE822" s="404" t="s">
        <v>1959</v>
      </c>
      <c r="AF822" s="223">
        <v>1</v>
      </c>
      <c r="AG822" s="223" t="s">
        <v>1070</v>
      </c>
      <c r="AH822" s="223" t="s">
        <v>876</v>
      </c>
      <c r="AI822" s="223" t="s">
        <v>1066</v>
      </c>
      <c r="AJ822" s="223">
        <v>-9999</v>
      </c>
      <c r="AK822" s="223" t="s">
        <v>626</v>
      </c>
      <c r="AL822" s="223">
        <v>0</v>
      </c>
      <c r="AM822" s="223">
        <v>-9999</v>
      </c>
      <c r="AN822" s="223">
        <v>-9999</v>
      </c>
      <c r="AO822" s="223">
        <v>-9999</v>
      </c>
      <c r="AP822" s="223">
        <v>-9999</v>
      </c>
      <c r="AQ822" s="223" t="s">
        <v>631</v>
      </c>
      <c r="AR822" s="223">
        <v>0</v>
      </c>
      <c r="AS822" s="223">
        <v>-9999</v>
      </c>
      <c r="AT822" s="223">
        <v>-9999</v>
      </c>
      <c r="AU822" s="223">
        <v>0</v>
      </c>
      <c r="AV822" s="223">
        <v>-9999</v>
      </c>
      <c r="AW822" s="223">
        <v>-9999</v>
      </c>
      <c r="AX822" s="223">
        <v>0</v>
      </c>
      <c r="AY822" s="223">
        <v>-9999</v>
      </c>
      <c r="AZ822" s="223">
        <v>-9999</v>
      </c>
      <c r="BA822" s="223">
        <v>-9999</v>
      </c>
      <c r="BB822" s="223" t="s">
        <v>631</v>
      </c>
      <c r="BC822" s="223">
        <v>-9999</v>
      </c>
      <c r="BD822" s="223">
        <v>-9999</v>
      </c>
      <c r="BE822" s="223">
        <v>-9999</v>
      </c>
      <c r="BF822" s="223">
        <v>-9999</v>
      </c>
      <c r="BG822" s="223">
        <v>-9999</v>
      </c>
      <c r="BH822" s="223">
        <v>-9999</v>
      </c>
      <c r="BI822" s="223" t="s">
        <v>84</v>
      </c>
      <c r="BJ822" s="223">
        <v>-9999</v>
      </c>
      <c r="BK822" s="223">
        <v>-9999</v>
      </c>
      <c r="BL822" s="223">
        <v>-9999</v>
      </c>
      <c r="BM822" s="223">
        <v>-9999</v>
      </c>
      <c r="BN822" s="223">
        <v>-9999</v>
      </c>
      <c r="BO822" s="223">
        <v>-9999</v>
      </c>
      <c r="BP822" s="223">
        <v>-9999</v>
      </c>
      <c r="BQ822" s="223">
        <v>-9999</v>
      </c>
      <c r="BR822" s="223">
        <v>-9999</v>
      </c>
      <c r="BS822" s="242">
        <v>-9999</v>
      </c>
      <c r="BT822" s="223">
        <v>-9999</v>
      </c>
      <c r="BU822" s="223">
        <v>-9999</v>
      </c>
      <c r="BV822" s="223">
        <v>-9999</v>
      </c>
      <c r="BW822" s="223"/>
      <c r="BX822" s="223">
        <v>-9999</v>
      </c>
      <c r="BY822" s="223">
        <v>-9999</v>
      </c>
      <c r="BZ822" s="223">
        <v>-9999</v>
      </c>
      <c r="CA822" s="332">
        <v>-9999</v>
      </c>
      <c r="CB822" s="443" t="s">
        <v>1572</v>
      </c>
      <c r="CC822" s="240">
        <v>3</v>
      </c>
      <c r="CD822" s="240">
        <v>2</v>
      </c>
      <c r="CE822" s="292">
        <v>1.9</v>
      </c>
      <c r="CF822" s="292">
        <v>-9999</v>
      </c>
      <c r="CG822" s="242">
        <v>6</v>
      </c>
    </row>
    <row r="823" spans="1:86" s="23" customFormat="1" x14ac:dyDescent="0.2">
      <c r="A823" s="240"/>
      <c r="B823" s="223"/>
      <c r="C823" s="223"/>
      <c r="D823" s="223"/>
      <c r="E823" s="240"/>
      <c r="F823" s="240"/>
      <c r="G823" s="240"/>
      <c r="H823" s="242"/>
      <c r="I823" s="245"/>
      <c r="J823" s="223"/>
      <c r="K823" s="245"/>
      <c r="L823" s="223"/>
      <c r="M823" s="243"/>
      <c r="N823" s="223"/>
      <c r="O823" s="29"/>
      <c r="P823" s="243"/>
      <c r="Q823" s="223"/>
      <c r="R823" s="243"/>
      <c r="S823" s="223"/>
      <c r="T823" s="244"/>
      <c r="U823" s="223"/>
      <c r="V823" s="223"/>
      <c r="W823" s="243"/>
      <c r="X823" s="223"/>
      <c r="Y823" s="223"/>
      <c r="Z823" s="223"/>
      <c r="AA823" s="441"/>
      <c r="AB823" s="243"/>
      <c r="AC823" s="223"/>
      <c r="AD823" s="223"/>
      <c r="AE823" s="223"/>
      <c r="AF823" s="223"/>
      <c r="AG823" s="223"/>
      <c r="AH823" s="223"/>
      <c r="AI823" s="223"/>
      <c r="AJ823" s="223"/>
      <c r="AK823" s="223"/>
      <c r="AL823" s="223"/>
      <c r="AM823" s="223"/>
      <c r="AN823" s="223"/>
      <c r="AO823" s="223"/>
      <c r="AP823" s="223"/>
      <c r="AQ823" s="223"/>
      <c r="AR823" s="223"/>
      <c r="AS823" s="223"/>
      <c r="AT823" s="223"/>
      <c r="AU823" s="223"/>
      <c r="AV823" s="223"/>
      <c r="AW823" s="223"/>
      <c r="AX823" s="223"/>
      <c r="AY823" s="223"/>
      <c r="AZ823" s="223"/>
      <c r="BA823" s="223"/>
      <c r="BB823" s="223"/>
      <c r="BC823" s="223"/>
      <c r="BD823" s="223"/>
      <c r="BE823" s="223"/>
      <c r="BF823" s="223"/>
      <c r="BG823" s="223"/>
      <c r="BH823" s="223"/>
      <c r="BI823" s="223"/>
      <c r="BJ823" s="223"/>
      <c r="BK823" s="223"/>
      <c r="BL823" s="223"/>
      <c r="BM823" s="223"/>
      <c r="BN823" s="223"/>
      <c r="BO823" s="223"/>
      <c r="BP823" s="223"/>
      <c r="BQ823" s="223"/>
      <c r="BR823" s="223"/>
      <c r="BS823" s="242"/>
      <c r="BT823" s="223"/>
      <c r="BU823" s="223"/>
      <c r="BV823" s="223"/>
      <c r="BW823" s="223"/>
      <c r="BX823" s="223"/>
      <c r="BY823" s="223"/>
      <c r="BZ823" s="223"/>
      <c r="CA823" s="332"/>
      <c r="CB823" s="446"/>
      <c r="CC823" s="240"/>
      <c r="CD823" s="240"/>
      <c r="CE823" s="342" t="s">
        <v>1982</v>
      </c>
      <c r="CF823" s="342" t="s">
        <v>1575</v>
      </c>
      <c r="CG823" s="242"/>
    </row>
    <row r="824" spans="1:86" s="23" customFormat="1" x14ac:dyDescent="0.2">
      <c r="A824" s="240" t="s">
        <v>366</v>
      </c>
      <c r="B824" s="404" t="s">
        <v>2132</v>
      </c>
      <c r="C824" s="404" t="s">
        <v>1561</v>
      </c>
      <c r="D824" s="404" t="s">
        <v>1560</v>
      </c>
      <c r="E824" s="404" t="s">
        <v>1460</v>
      </c>
      <c r="F824" s="240">
        <v>1</v>
      </c>
      <c r="G824" s="240">
        <v>2</v>
      </c>
      <c r="H824" s="242">
        <v>2</v>
      </c>
      <c r="I824" s="245" t="s">
        <v>954</v>
      </c>
      <c r="J824" s="441">
        <v>1973</v>
      </c>
      <c r="K824" s="245" t="s">
        <v>1211</v>
      </c>
      <c r="L824" s="441">
        <v>1974</v>
      </c>
      <c r="M824" s="243">
        <v>12.6</v>
      </c>
      <c r="N824" s="223">
        <v>-9999</v>
      </c>
      <c r="O824" s="29"/>
      <c r="P824" s="243">
        <v>-9999</v>
      </c>
      <c r="Q824" s="223">
        <v>-9999</v>
      </c>
      <c r="R824" s="243"/>
      <c r="S824" s="223"/>
      <c r="T824" s="244">
        <f>+M824/G824</f>
        <v>6.3</v>
      </c>
      <c r="U824" s="223">
        <v>-9999</v>
      </c>
      <c r="V824" s="223"/>
      <c r="W824" s="243">
        <v>-9999</v>
      </c>
      <c r="X824" s="223">
        <v>-9999</v>
      </c>
      <c r="Y824" s="223"/>
      <c r="Z824" s="223" t="s">
        <v>83</v>
      </c>
      <c r="AA824" s="442">
        <v>26909</v>
      </c>
      <c r="AB824" s="243">
        <v>1</v>
      </c>
      <c r="AC824" s="223">
        <v>-9999</v>
      </c>
      <c r="AD824" s="223">
        <v>144</v>
      </c>
      <c r="AE824" s="404" t="s">
        <v>1960</v>
      </c>
      <c r="AF824" s="223">
        <v>1</v>
      </c>
      <c r="AG824" s="223" t="s">
        <v>1070</v>
      </c>
      <c r="AH824" s="223" t="s">
        <v>876</v>
      </c>
      <c r="AI824" s="223" t="s">
        <v>1066</v>
      </c>
      <c r="AJ824" s="223">
        <v>-9999</v>
      </c>
      <c r="AK824" s="223" t="s">
        <v>626</v>
      </c>
      <c r="AL824" s="223" t="s">
        <v>1068</v>
      </c>
      <c r="AM824" s="223">
        <v>-9999</v>
      </c>
      <c r="AN824" s="223">
        <v>-9999</v>
      </c>
      <c r="AO824" s="223">
        <v>-9999</v>
      </c>
      <c r="AP824" s="223">
        <v>-9999</v>
      </c>
      <c r="AQ824" s="223" t="s">
        <v>631</v>
      </c>
      <c r="AR824" s="223">
        <v>0</v>
      </c>
      <c r="AS824" s="223">
        <v>-9999</v>
      </c>
      <c r="AT824" s="223">
        <v>-9999</v>
      </c>
      <c r="AU824" s="223">
        <v>0</v>
      </c>
      <c r="AV824" s="223">
        <v>-9999</v>
      </c>
      <c r="AW824" s="223">
        <v>-9999</v>
      </c>
      <c r="AX824" s="223">
        <v>0</v>
      </c>
      <c r="AY824" s="223">
        <v>-9999</v>
      </c>
      <c r="AZ824" s="223">
        <v>-9999</v>
      </c>
      <c r="BA824" s="223">
        <v>-9999</v>
      </c>
      <c r="BB824" s="223" t="s">
        <v>631</v>
      </c>
      <c r="BC824" s="223">
        <v>-9999</v>
      </c>
      <c r="BD824" s="223">
        <v>-9999</v>
      </c>
      <c r="BE824" s="223">
        <v>-9999</v>
      </c>
      <c r="BF824" s="223">
        <v>-9999</v>
      </c>
      <c r="BG824" s="223">
        <v>-9999</v>
      </c>
      <c r="BH824" s="223">
        <v>-9999</v>
      </c>
      <c r="BI824" s="223" t="s">
        <v>84</v>
      </c>
      <c r="BJ824" s="223">
        <v>-9999</v>
      </c>
      <c r="BK824" s="223">
        <v>-9999</v>
      </c>
      <c r="BL824" s="223">
        <v>-9999</v>
      </c>
      <c r="BM824" s="223">
        <v>-9999</v>
      </c>
      <c r="BN824" s="223">
        <v>-9999</v>
      </c>
      <c r="BO824" s="223">
        <v>-9999</v>
      </c>
      <c r="BP824" s="223">
        <v>-9999</v>
      </c>
      <c r="BQ824" s="223">
        <v>-9999</v>
      </c>
      <c r="BR824" s="223">
        <v>-9999</v>
      </c>
      <c r="BS824" s="242">
        <v>-9999</v>
      </c>
      <c r="BT824" s="223">
        <v>-9999</v>
      </c>
      <c r="BU824" s="223">
        <v>-9999</v>
      </c>
      <c r="BV824" s="223">
        <v>-9999</v>
      </c>
      <c r="BW824" s="223"/>
      <c r="BX824" s="223">
        <v>-9999</v>
      </c>
      <c r="BY824" s="223">
        <v>-9999</v>
      </c>
      <c r="BZ824" s="223">
        <v>-9999</v>
      </c>
      <c r="CA824" s="332">
        <v>-9999</v>
      </c>
      <c r="CB824" s="443" t="s">
        <v>1570</v>
      </c>
      <c r="CC824" s="240">
        <v>1</v>
      </c>
      <c r="CD824" s="240">
        <v>2</v>
      </c>
      <c r="CE824" s="292">
        <v>6.3</v>
      </c>
      <c r="CF824" s="292">
        <v>-9999</v>
      </c>
      <c r="CG824" s="242">
        <v>2</v>
      </c>
    </row>
    <row r="825" spans="1:86" s="301" customFormat="1" x14ac:dyDescent="0.2">
      <c r="A825" s="403" t="s">
        <v>366</v>
      </c>
      <c r="B825" s="404" t="s">
        <v>2132</v>
      </c>
      <c r="C825" s="404" t="s">
        <v>1561</v>
      </c>
      <c r="D825" s="404" t="s">
        <v>1560</v>
      </c>
      <c r="E825" s="404" t="s">
        <v>1460</v>
      </c>
      <c r="F825" s="403">
        <v>2</v>
      </c>
      <c r="G825" s="403">
        <v>2</v>
      </c>
      <c r="H825" s="405">
        <v>4</v>
      </c>
      <c r="I825" s="245" t="s">
        <v>954</v>
      </c>
      <c r="J825" s="441">
        <v>1973</v>
      </c>
      <c r="K825" s="245" t="s">
        <v>1211</v>
      </c>
      <c r="L825" s="441">
        <v>1976</v>
      </c>
      <c r="M825" s="406">
        <v>18.8</v>
      </c>
      <c r="N825" s="404">
        <v>-9999</v>
      </c>
      <c r="O825" s="323"/>
      <c r="P825" s="406">
        <v>-9999</v>
      </c>
      <c r="Q825" s="404">
        <v>-9999</v>
      </c>
      <c r="R825" s="406"/>
      <c r="S825" s="404"/>
      <c r="T825" s="244">
        <f>+M825/G825</f>
        <v>9.4</v>
      </c>
      <c r="U825" s="404">
        <v>-9999</v>
      </c>
      <c r="V825" s="404"/>
      <c r="W825" s="406">
        <v>-9999</v>
      </c>
      <c r="X825" s="404">
        <v>-9999</v>
      </c>
      <c r="Y825" s="404"/>
      <c r="Z825" s="404" t="s">
        <v>83</v>
      </c>
      <c r="AA825" s="442">
        <v>26909</v>
      </c>
      <c r="AB825" s="406">
        <v>0.95</v>
      </c>
      <c r="AC825" s="404">
        <v>-9999</v>
      </c>
      <c r="AD825" s="223">
        <v>144</v>
      </c>
      <c r="AE825" s="404" t="s">
        <v>1960</v>
      </c>
      <c r="AF825" s="404">
        <v>1</v>
      </c>
      <c r="AG825" s="404" t="s">
        <v>1070</v>
      </c>
      <c r="AH825" s="404" t="s">
        <v>876</v>
      </c>
      <c r="AI825" s="404" t="s">
        <v>1066</v>
      </c>
      <c r="AJ825" s="404">
        <v>-9999</v>
      </c>
      <c r="AK825" s="404" t="s">
        <v>626</v>
      </c>
      <c r="AL825" s="404" t="s">
        <v>1069</v>
      </c>
      <c r="AM825" s="404">
        <v>-9999</v>
      </c>
      <c r="AN825" s="404">
        <v>-9999</v>
      </c>
      <c r="AO825" s="404">
        <v>-9999</v>
      </c>
      <c r="AP825" s="404">
        <v>-9999</v>
      </c>
      <c r="AQ825" s="404" t="s">
        <v>631</v>
      </c>
      <c r="AR825" s="404">
        <v>0</v>
      </c>
      <c r="AS825" s="404">
        <v>-9999</v>
      </c>
      <c r="AT825" s="404">
        <v>-9999</v>
      </c>
      <c r="AU825" s="404">
        <v>0</v>
      </c>
      <c r="AV825" s="404">
        <v>-9999</v>
      </c>
      <c r="AW825" s="404">
        <v>-9999</v>
      </c>
      <c r="AX825" s="404">
        <v>0</v>
      </c>
      <c r="AY825" s="404">
        <v>-9999</v>
      </c>
      <c r="AZ825" s="404">
        <v>-9999</v>
      </c>
      <c r="BA825" s="404">
        <v>-9999</v>
      </c>
      <c r="BB825" s="404" t="s">
        <v>631</v>
      </c>
      <c r="BC825" s="404">
        <v>-9999</v>
      </c>
      <c r="BD825" s="404">
        <v>-9999</v>
      </c>
      <c r="BE825" s="404">
        <v>-9999</v>
      </c>
      <c r="BF825" s="404">
        <v>-9999</v>
      </c>
      <c r="BG825" s="404">
        <v>-9999</v>
      </c>
      <c r="BH825" s="404">
        <v>-9999</v>
      </c>
      <c r="BI825" s="404" t="s">
        <v>84</v>
      </c>
      <c r="BJ825" s="404">
        <v>-9999</v>
      </c>
      <c r="BK825" s="404">
        <v>-9999</v>
      </c>
      <c r="BL825" s="404">
        <v>-9999</v>
      </c>
      <c r="BM825" s="404">
        <v>-9999</v>
      </c>
      <c r="BN825" s="404">
        <v>-9999</v>
      </c>
      <c r="BO825" s="404">
        <v>-9999</v>
      </c>
      <c r="BP825" s="404">
        <v>-9999</v>
      </c>
      <c r="BQ825" s="404">
        <v>-9999</v>
      </c>
      <c r="BR825" s="404">
        <v>-9999</v>
      </c>
      <c r="BS825" s="405">
        <v>-9999</v>
      </c>
      <c r="BT825" s="404">
        <v>-9999</v>
      </c>
      <c r="BU825" s="404">
        <v>-9999</v>
      </c>
      <c r="BV825" s="404">
        <v>-9999</v>
      </c>
      <c r="BW825" s="404"/>
      <c r="BX825" s="404">
        <v>-9999</v>
      </c>
      <c r="BY825" s="404">
        <v>-9999</v>
      </c>
      <c r="BZ825" s="404">
        <v>-9999</v>
      </c>
      <c r="CA825" s="444">
        <v>-9999</v>
      </c>
      <c r="CB825" s="443" t="s">
        <v>1570</v>
      </c>
      <c r="CC825" s="403">
        <v>2</v>
      </c>
      <c r="CD825" s="403">
        <v>2</v>
      </c>
      <c r="CE825" s="409">
        <v>9.4</v>
      </c>
      <c r="CF825" s="342">
        <v>-9999</v>
      </c>
      <c r="CG825" s="405">
        <v>4</v>
      </c>
      <c r="CH825" s="435"/>
    </row>
    <row r="826" spans="1:86" s="301" customFormat="1" x14ac:dyDescent="0.2">
      <c r="A826" s="403" t="s">
        <v>367</v>
      </c>
      <c r="B826" s="404" t="s">
        <v>2132</v>
      </c>
      <c r="C826" s="404" t="s">
        <v>1561</v>
      </c>
      <c r="D826" s="404" t="s">
        <v>1560</v>
      </c>
      <c r="E826" s="404" t="s">
        <v>1460</v>
      </c>
      <c r="F826" s="403">
        <v>3</v>
      </c>
      <c r="G826" s="403">
        <v>2</v>
      </c>
      <c r="H826" s="405">
        <v>6</v>
      </c>
      <c r="I826" s="245" t="s">
        <v>954</v>
      </c>
      <c r="J826" s="441">
        <v>1973</v>
      </c>
      <c r="K826" s="245" t="s">
        <v>1211</v>
      </c>
      <c r="L826" s="441">
        <v>1978</v>
      </c>
      <c r="M826" s="285">
        <f>+T826*G826</f>
        <v>18.399999999999999</v>
      </c>
      <c r="N826" s="223">
        <v>-9999</v>
      </c>
      <c r="O826" s="29"/>
      <c r="P826" s="243">
        <v>-9999</v>
      </c>
      <c r="Q826" s="223">
        <v>-9999</v>
      </c>
      <c r="R826" s="243"/>
      <c r="S826" s="223"/>
      <c r="T826" s="406">
        <v>9.1999999999999993</v>
      </c>
      <c r="U826" s="223">
        <v>-9999</v>
      </c>
      <c r="V826" s="223"/>
      <c r="W826" s="243">
        <v>-9999</v>
      </c>
      <c r="X826" s="223">
        <v>-9999</v>
      </c>
      <c r="Y826" s="223"/>
      <c r="Z826" s="223" t="s">
        <v>83</v>
      </c>
      <c r="AA826" s="442">
        <v>26909</v>
      </c>
      <c r="AB826" s="243">
        <v>-9999</v>
      </c>
      <c r="AC826" s="223">
        <v>-9999</v>
      </c>
      <c r="AD826" s="223">
        <v>144</v>
      </c>
      <c r="AE826" s="404" t="s">
        <v>1960</v>
      </c>
      <c r="AF826" s="223">
        <v>1</v>
      </c>
      <c r="AG826" s="223" t="s">
        <v>1070</v>
      </c>
      <c r="AH826" s="223" t="s">
        <v>876</v>
      </c>
      <c r="AI826" s="223" t="s">
        <v>1066</v>
      </c>
      <c r="AJ826" s="223">
        <v>-9999</v>
      </c>
      <c r="AK826" s="223" t="s">
        <v>626</v>
      </c>
      <c r="AL826" s="223">
        <v>0</v>
      </c>
      <c r="AM826" s="223">
        <v>-9999</v>
      </c>
      <c r="AN826" s="223">
        <v>-9999</v>
      </c>
      <c r="AO826" s="223">
        <v>-9999</v>
      </c>
      <c r="AP826" s="223">
        <v>-9999</v>
      </c>
      <c r="AQ826" s="223" t="s">
        <v>631</v>
      </c>
      <c r="AR826" s="223">
        <v>0</v>
      </c>
      <c r="AS826" s="223">
        <v>-9999</v>
      </c>
      <c r="AT826" s="223">
        <v>-9999</v>
      </c>
      <c r="AU826" s="223">
        <v>0</v>
      </c>
      <c r="AV826" s="223">
        <v>-9999</v>
      </c>
      <c r="AW826" s="223">
        <v>-9999</v>
      </c>
      <c r="AX826" s="223">
        <v>0</v>
      </c>
      <c r="AY826" s="223">
        <v>-9999</v>
      </c>
      <c r="AZ826" s="223">
        <v>-9999</v>
      </c>
      <c r="BA826" s="223">
        <v>-9999</v>
      </c>
      <c r="BB826" s="223" t="s">
        <v>631</v>
      </c>
      <c r="BC826" s="223">
        <v>-9999</v>
      </c>
      <c r="BD826" s="223">
        <v>-9999</v>
      </c>
      <c r="BE826" s="223">
        <v>-9999</v>
      </c>
      <c r="BF826" s="223">
        <v>-9999</v>
      </c>
      <c r="BG826" s="223">
        <v>-9999</v>
      </c>
      <c r="BH826" s="223">
        <v>-9999</v>
      </c>
      <c r="BI826" s="223" t="s">
        <v>84</v>
      </c>
      <c r="BJ826" s="223">
        <v>-9999</v>
      </c>
      <c r="BK826" s="223">
        <v>-9999</v>
      </c>
      <c r="BL826" s="223">
        <v>-9999</v>
      </c>
      <c r="BM826" s="223">
        <v>-9999</v>
      </c>
      <c r="BN826" s="223">
        <v>-9999</v>
      </c>
      <c r="BO826" s="223">
        <v>-9999</v>
      </c>
      <c r="BP826" s="223">
        <v>-9999</v>
      </c>
      <c r="BQ826" s="223">
        <v>-9999</v>
      </c>
      <c r="BR826" s="223">
        <v>-9999</v>
      </c>
      <c r="BS826" s="242">
        <v>-9999</v>
      </c>
      <c r="BT826" s="223">
        <v>-9999</v>
      </c>
      <c r="BU826" s="223">
        <v>-9999</v>
      </c>
      <c r="BV826" s="223">
        <v>-9999</v>
      </c>
      <c r="BW826" s="223"/>
      <c r="BX826" s="223">
        <v>-9999</v>
      </c>
      <c r="BY826" s="223">
        <v>-9999</v>
      </c>
      <c r="BZ826" s="223">
        <v>-9999</v>
      </c>
      <c r="CA826" s="332">
        <v>-9999</v>
      </c>
      <c r="CB826" s="443" t="s">
        <v>1570</v>
      </c>
      <c r="CC826" s="403">
        <v>3</v>
      </c>
      <c r="CD826" s="403">
        <v>2</v>
      </c>
      <c r="CE826" s="342">
        <v>9.1999999999999993</v>
      </c>
      <c r="CF826" s="342">
        <v>-9999</v>
      </c>
      <c r="CG826" s="405">
        <v>6</v>
      </c>
    </row>
    <row r="827" spans="1:86" s="13" customFormat="1" x14ac:dyDescent="0.2">
      <c r="A827" s="403" t="s">
        <v>367</v>
      </c>
      <c r="B827" s="404" t="s">
        <v>2132</v>
      </c>
      <c r="C827" s="404" t="s">
        <v>1561</v>
      </c>
      <c r="D827" s="404" t="s">
        <v>1560</v>
      </c>
      <c r="E827" s="404" t="s">
        <v>1460</v>
      </c>
      <c r="F827" s="403">
        <v>4</v>
      </c>
      <c r="G827" s="403">
        <v>2</v>
      </c>
      <c r="H827" s="405">
        <v>8</v>
      </c>
      <c r="I827" s="245" t="s">
        <v>954</v>
      </c>
      <c r="J827" s="441">
        <v>1973</v>
      </c>
      <c r="K827" s="245" t="s">
        <v>1211</v>
      </c>
      <c r="L827" s="441">
        <v>1980</v>
      </c>
      <c r="M827" s="285">
        <f>+T827*G827</f>
        <v>15.2</v>
      </c>
      <c r="N827" s="223">
        <v>-9999</v>
      </c>
      <c r="O827" s="29"/>
      <c r="P827" s="243">
        <v>-9999</v>
      </c>
      <c r="Q827" s="223">
        <v>-9999</v>
      </c>
      <c r="R827" s="243"/>
      <c r="S827" s="223"/>
      <c r="T827" s="406">
        <v>7.6</v>
      </c>
      <c r="U827" s="223">
        <v>-9999</v>
      </c>
      <c r="V827" s="223"/>
      <c r="W827" s="243">
        <v>-9999</v>
      </c>
      <c r="X827" s="223">
        <v>-9999</v>
      </c>
      <c r="Y827" s="223"/>
      <c r="Z827" s="223" t="s">
        <v>83</v>
      </c>
      <c r="AA827" s="442">
        <v>26909</v>
      </c>
      <c r="AB827" s="243">
        <v>-9999</v>
      </c>
      <c r="AC827" s="223">
        <v>-9999</v>
      </c>
      <c r="AD827" s="223">
        <v>144</v>
      </c>
      <c r="AE827" s="404" t="s">
        <v>1960</v>
      </c>
      <c r="AF827" s="223">
        <v>1</v>
      </c>
      <c r="AG827" s="223" t="s">
        <v>1070</v>
      </c>
      <c r="AH827" s="223" t="s">
        <v>876</v>
      </c>
      <c r="AI827" s="223" t="s">
        <v>1066</v>
      </c>
      <c r="AJ827" s="223">
        <v>-9999</v>
      </c>
      <c r="AK827" s="223" t="s">
        <v>626</v>
      </c>
      <c r="AL827" s="223">
        <v>0</v>
      </c>
      <c r="AM827" s="223">
        <v>-9999</v>
      </c>
      <c r="AN827" s="223">
        <v>-9999</v>
      </c>
      <c r="AO827" s="223">
        <v>-9999</v>
      </c>
      <c r="AP827" s="223">
        <v>-9999</v>
      </c>
      <c r="AQ827" s="223" t="s">
        <v>631</v>
      </c>
      <c r="AR827" s="223">
        <v>0</v>
      </c>
      <c r="AS827" s="223">
        <v>-9999</v>
      </c>
      <c r="AT827" s="223">
        <v>-9999</v>
      </c>
      <c r="AU827" s="223">
        <v>0</v>
      </c>
      <c r="AV827" s="223">
        <v>-9999</v>
      </c>
      <c r="AW827" s="223">
        <v>-9999</v>
      </c>
      <c r="AX827" s="223">
        <v>0</v>
      </c>
      <c r="AY827" s="223">
        <v>-9999</v>
      </c>
      <c r="AZ827" s="223">
        <v>-9999</v>
      </c>
      <c r="BA827" s="223">
        <v>-9999</v>
      </c>
      <c r="BB827" s="223" t="s">
        <v>631</v>
      </c>
      <c r="BC827" s="223">
        <v>-9999</v>
      </c>
      <c r="BD827" s="223">
        <v>-9999</v>
      </c>
      <c r="BE827" s="223">
        <v>-9999</v>
      </c>
      <c r="BF827" s="223">
        <v>-9999</v>
      </c>
      <c r="BG827" s="223">
        <v>-9999</v>
      </c>
      <c r="BH827" s="223">
        <v>-9999</v>
      </c>
      <c r="BI827" s="223" t="s">
        <v>84</v>
      </c>
      <c r="BJ827" s="223">
        <v>-9999</v>
      </c>
      <c r="BK827" s="223">
        <v>-9999</v>
      </c>
      <c r="BL827" s="223">
        <v>-9999</v>
      </c>
      <c r="BM827" s="223">
        <v>-9999</v>
      </c>
      <c r="BN827" s="223">
        <v>-9999</v>
      </c>
      <c r="BO827" s="223">
        <v>-9999</v>
      </c>
      <c r="BP827" s="223">
        <v>-9999</v>
      </c>
      <c r="BQ827" s="223">
        <v>-9999</v>
      </c>
      <c r="BR827" s="223">
        <v>-9999</v>
      </c>
      <c r="BS827" s="242">
        <v>-9999</v>
      </c>
      <c r="BT827" s="223">
        <v>-9999</v>
      </c>
      <c r="BU827" s="223">
        <v>-9999</v>
      </c>
      <c r="BV827" s="223">
        <v>-9999</v>
      </c>
      <c r="BW827" s="223"/>
      <c r="BX827" s="223">
        <v>-9999</v>
      </c>
      <c r="BY827" s="223">
        <v>-9999</v>
      </c>
      <c r="BZ827" s="223">
        <v>-9999</v>
      </c>
      <c r="CA827" s="332">
        <v>-9999</v>
      </c>
      <c r="CB827" s="443" t="s">
        <v>1570</v>
      </c>
      <c r="CC827" s="403">
        <v>4</v>
      </c>
      <c r="CD827" s="403">
        <v>2</v>
      </c>
      <c r="CE827" s="342">
        <v>7.6</v>
      </c>
      <c r="CF827" s="342">
        <v>-9999</v>
      </c>
      <c r="CG827" s="405">
        <v>8</v>
      </c>
    </row>
    <row r="828" spans="1:86" s="13" customFormat="1" x14ac:dyDescent="0.2">
      <c r="A828" s="403" t="s">
        <v>367</v>
      </c>
      <c r="B828" s="404" t="s">
        <v>2132</v>
      </c>
      <c r="C828" s="404" t="s">
        <v>1561</v>
      </c>
      <c r="D828" s="404" t="s">
        <v>1560</v>
      </c>
      <c r="E828" s="404" t="s">
        <v>1460</v>
      </c>
      <c r="F828" s="403">
        <v>5</v>
      </c>
      <c r="G828" s="403">
        <v>2</v>
      </c>
      <c r="H828" s="405">
        <v>10</v>
      </c>
      <c r="I828" s="245" t="s">
        <v>954</v>
      </c>
      <c r="J828" s="441">
        <v>1973</v>
      </c>
      <c r="K828" s="245" t="s">
        <v>1211</v>
      </c>
      <c r="L828" s="441">
        <v>1982</v>
      </c>
      <c r="M828" s="285">
        <f>+T828*G828</f>
        <v>10.8</v>
      </c>
      <c r="N828" s="223">
        <v>-9999</v>
      </c>
      <c r="O828" s="29"/>
      <c r="P828" s="243">
        <v>-9999</v>
      </c>
      <c r="Q828" s="223">
        <v>-9999</v>
      </c>
      <c r="R828" s="243"/>
      <c r="S828" s="223"/>
      <c r="T828" s="406">
        <v>5.4</v>
      </c>
      <c r="U828" s="223">
        <v>-9999</v>
      </c>
      <c r="V828" s="223"/>
      <c r="W828" s="243">
        <v>-9999</v>
      </c>
      <c r="X828" s="223">
        <v>-9999</v>
      </c>
      <c r="Y828" s="223"/>
      <c r="Z828" s="223" t="s">
        <v>83</v>
      </c>
      <c r="AA828" s="442">
        <v>26909</v>
      </c>
      <c r="AB828" s="243">
        <v>-9999</v>
      </c>
      <c r="AC828" s="223">
        <v>-9999</v>
      </c>
      <c r="AD828" s="223">
        <v>144</v>
      </c>
      <c r="AE828" s="404" t="s">
        <v>1960</v>
      </c>
      <c r="AF828" s="223">
        <v>1</v>
      </c>
      <c r="AG828" s="223" t="s">
        <v>1070</v>
      </c>
      <c r="AH828" s="223" t="s">
        <v>876</v>
      </c>
      <c r="AI828" s="223" t="s">
        <v>1066</v>
      </c>
      <c r="AJ828" s="223">
        <v>-9999</v>
      </c>
      <c r="AK828" s="223" t="s">
        <v>626</v>
      </c>
      <c r="AL828" s="223">
        <v>0</v>
      </c>
      <c r="AM828" s="223">
        <v>-9999</v>
      </c>
      <c r="AN828" s="223">
        <v>-9999</v>
      </c>
      <c r="AO828" s="223">
        <v>-9999</v>
      </c>
      <c r="AP828" s="223">
        <v>-9999</v>
      </c>
      <c r="AQ828" s="223" t="s">
        <v>631</v>
      </c>
      <c r="AR828" s="223">
        <v>0</v>
      </c>
      <c r="AS828" s="223">
        <v>-9999</v>
      </c>
      <c r="AT828" s="223">
        <v>-9999</v>
      </c>
      <c r="AU828" s="223">
        <v>0</v>
      </c>
      <c r="AV828" s="223">
        <v>-9999</v>
      </c>
      <c r="AW828" s="223">
        <v>-9999</v>
      </c>
      <c r="AX828" s="223">
        <v>0</v>
      </c>
      <c r="AY828" s="223">
        <v>-9999</v>
      </c>
      <c r="AZ828" s="223">
        <v>-9999</v>
      </c>
      <c r="BA828" s="223">
        <v>-9999</v>
      </c>
      <c r="BB828" s="223" t="s">
        <v>631</v>
      </c>
      <c r="BC828" s="223">
        <v>-9999</v>
      </c>
      <c r="BD828" s="223">
        <v>-9999</v>
      </c>
      <c r="BE828" s="223">
        <v>-9999</v>
      </c>
      <c r="BF828" s="223">
        <v>-9999</v>
      </c>
      <c r="BG828" s="223">
        <v>-9999</v>
      </c>
      <c r="BH828" s="223">
        <v>-9999</v>
      </c>
      <c r="BI828" s="223" t="s">
        <v>84</v>
      </c>
      <c r="BJ828" s="223">
        <v>-9999</v>
      </c>
      <c r="BK828" s="223">
        <v>-9999</v>
      </c>
      <c r="BL828" s="223">
        <v>-9999</v>
      </c>
      <c r="BM828" s="223">
        <v>-9999</v>
      </c>
      <c r="BN828" s="223">
        <v>-9999</v>
      </c>
      <c r="BO828" s="223">
        <v>-9999</v>
      </c>
      <c r="BP828" s="223">
        <v>-9999</v>
      </c>
      <c r="BQ828" s="223">
        <v>-9999</v>
      </c>
      <c r="BR828" s="223">
        <v>-9999</v>
      </c>
      <c r="BS828" s="242">
        <v>-9999</v>
      </c>
      <c r="BT828" s="223">
        <v>-9999</v>
      </c>
      <c r="BU828" s="223">
        <v>-9999</v>
      </c>
      <c r="BV828" s="223">
        <v>-9999</v>
      </c>
      <c r="BW828" s="223"/>
      <c r="BX828" s="223">
        <v>-9999</v>
      </c>
      <c r="BY828" s="223">
        <v>-9999</v>
      </c>
      <c r="BZ828" s="223">
        <v>-9999</v>
      </c>
      <c r="CA828" s="332">
        <v>-9999</v>
      </c>
      <c r="CB828" s="443" t="s">
        <v>1570</v>
      </c>
      <c r="CC828" s="403">
        <v>5</v>
      </c>
      <c r="CD828" s="403">
        <v>2</v>
      </c>
      <c r="CE828" s="342">
        <v>5.4</v>
      </c>
      <c r="CF828" s="342">
        <v>-9999</v>
      </c>
      <c r="CG828" s="405">
        <v>10</v>
      </c>
    </row>
    <row r="829" spans="1:86" s="13" customFormat="1" x14ac:dyDescent="0.2">
      <c r="A829" s="403" t="s">
        <v>367</v>
      </c>
      <c r="B829" s="404" t="s">
        <v>2132</v>
      </c>
      <c r="C829" s="404" t="s">
        <v>1561</v>
      </c>
      <c r="D829" s="404" t="s">
        <v>1560</v>
      </c>
      <c r="E829" s="404" t="s">
        <v>1460</v>
      </c>
      <c r="F829" s="403">
        <v>6</v>
      </c>
      <c r="G829" s="403">
        <v>3</v>
      </c>
      <c r="H829" s="405">
        <v>13</v>
      </c>
      <c r="I829" s="245" t="s">
        <v>954</v>
      </c>
      <c r="J829" s="441">
        <v>1973</v>
      </c>
      <c r="K829" s="245" t="s">
        <v>1211</v>
      </c>
      <c r="L829" s="441">
        <v>1984</v>
      </c>
      <c r="M829" s="285">
        <f>+T829*G829</f>
        <v>19.799999999999997</v>
      </c>
      <c r="N829" s="223">
        <v>-9999</v>
      </c>
      <c r="O829" s="29"/>
      <c r="P829" s="243">
        <v>-9999</v>
      </c>
      <c r="Q829" s="223">
        <v>-9999</v>
      </c>
      <c r="R829" s="243"/>
      <c r="S829" s="223"/>
      <c r="T829" s="406">
        <v>6.6</v>
      </c>
      <c r="U829" s="223">
        <v>-9999</v>
      </c>
      <c r="V829" s="223"/>
      <c r="W829" s="243">
        <v>-9999</v>
      </c>
      <c r="X829" s="223">
        <v>-9999</v>
      </c>
      <c r="Y829" s="223"/>
      <c r="Z829" s="223" t="s">
        <v>83</v>
      </c>
      <c r="AA829" s="442">
        <v>26909</v>
      </c>
      <c r="AB829" s="243">
        <v>-9999</v>
      </c>
      <c r="AC829" s="223">
        <v>-9999</v>
      </c>
      <c r="AD829" s="223">
        <v>144</v>
      </c>
      <c r="AE829" s="404" t="s">
        <v>1960</v>
      </c>
      <c r="AF829" s="223">
        <v>1</v>
      </c>
      <c r="AG829" s="223" t="s">
        <v>1070</v>
      </c>
      <c r="AH829" s="223" t="s">
        <v>876</v>
      </c>
      <c r="AI829" s="223" t="s">
        <v>1066</v>
      </c>
      <c r="AJ829" s="223">
        <v>-9999</v>
      </c>
      <c r="AK829" s="223" t="s">
        <v>626</v>
      </c>
      <c r="AL829" s="223">
        <v>0</v>
      </c>
      <c r="AM829" s="223">
        <v>-9999</v>
      </c>
      <c r="AN829" s="223">
        <v>-9999</v>
      </c>
      <c r="AO829" s="223">
        <v>-9999</v>
      </c>
      <c r="AP829" s="223">
        <v>-9999</v>
      </c>
      <c r="AQ829" s="223" t="s">
        <v>631</v>
      </c>
      <c r="AR829" s="223">
        <v>0</v>
      </c>
      <c r="AS829" s="223">
        <v>-9999</v>
      </c>
      <c r="AT829" s="223">
        <v>-9999</v>
      </c>
      <c r="AU829" s="223">
        <v>0</v>
      </c>
      <c r="AV829" s="223">
        <v>-9999</v>
      </c>
      <c r="AW829" s="223">
        <v>-9999</v>
      </c>
      <c r="AX829" s="223">
        <v>0</v>
      </c>
      <c r="AY829" s="223">
        <v>-9999</v>
      </c>
      <c r="AZ829" s="223">
        <v>-9999</v>
      </c>
      <c r="BA829" s="223">
        <v>-9999</v>
      </c>
      <c r="BB829" s="223" t="s">
        <v>631</v>
      </c>
      <c r="BC829" s="223">
        <v>-9999</v>
      </c>
      <c r="BD829" s="223">
        <v>-9999</v>
      </c>
      <c r="BE829" s="223">
        <v>-9999</v>
      </c>
      <c r="BF829" s="223">
        <v>-9999</v>
      </c>
      <c r="BG829" s="223">
        <v>-9999</v>
      </c>
      <c r="BH829" s="223">
        <v>-9999</v>
      </c>
      <c r="BI829" s="223" t="s">
        <v>84</v>
      </c>
      <c r="BJ829" s="223">
        <v>-9999</v>
      </c>
      <c r="BK829" s="223">
        <v>-9999</v>
      </c>
      <c r="BL829" s="223">
        <v>-9999</v>
      </c>
      <c r="BM829" s="223">
        <v>-9999</v>
      </c>
      <c r="BN829" s="223">
        <v>-9999</v>
      </c>
      <c r="BO829" s="223">
        <v>-9999</v>
      </c>
      <c r="BP829" s="223">
        <v>-9999</v>
      </c>
      <c r="BQ829" s="223">
        <v>-9999</v>
      </c>
      <c r="BR829" s="223">
        <v>-9999</v>
      </c>
      <c r="BS829" s="242">
        <v>-9999</v>
      </c>
      <c r="BT829" s="223">
        <v>-9999</v>
      </c>
      <c r="BU829" s="223">
        <v>-9999</v>
      </c>
      <c r="BV829" s="223">
        <v>-9999</v>
      </c>
      <c r="BW829" s="223"/>
      <c r="BX829" s="223">
        <v>-9999</v>
      </c>
      <c r="BY829" s="223">
        <v>-9999</v>
      </c>
      <c r="BZ829" s="223">
        <v>-9999</v>
      </c>
      <c r="CA829" s="332">
        <v>-9999</v>
      </c>
      <c r="CB829" s="443" t="s">
        <v>1570</v>
      </c>
      <c r="CC829" s="403">
        <v>6</v>
      </c>
      <c r="CD829" s="403">
        <v>3</v>
      </c>
      <c r="CE829" s="342">
        <v>6.6</v>
      </c>
      <c r="CF829" s="342">
        <v>-9999</v>
      </c>
      <c r="CG829" s="405">
        <v>13</v>
      </c>
    </row>
    <row r="830" spans="1:86" s="13" customFormat="1" x14ac:dyDescent="0.2">
      <c r="A830" s="403" t="s">
        <v>367</v>
      </c>
      <c r="B830" s="404" t="s">
        <v>2132</v>
      </c>
      <c r="C830" s="404" t="s">
        <v>1561</v>
      </c>
      <c r="D830" s="404" t="s">
        <v>1560</v>
      </c>
      <c r="E830" s="404" t="s">
        <v>1460</v>
      </c>
      <c r="F830" s="403">
        <v>7</v>
      </c>
      <c r="G830" s="403">
        <v>2</v>
      </c>
      <c r="H830" s="405">
        <v>15</v>
      </c>
      <c r="I830" s="245" t="s">
        <v>954</v>
      </c>
      <c r="J830" s="441">
        <v>1973</v>
      </c>
      <c r="K830" s="245" t="s">
        <v>1211</v>
      </c>
      <c r="L830" s="441">
        <v>1987</v>
      </c>
      <c r="M830" s="285">
        <f>+T830*G830</f>
        <v>15.4</v>
      </c>
      <c r="N830" s="223">
        <v>-9999</v>
      </c>
      <c r="O830" s="29"/>
      <c r="P830" s="243">
        <v>-9999</v>
      </c>
      <c r="Q830" s="223">
        <v>-9999</v>
      </c>
      <c r="R830" s="243"/>
      <c r="S830" s="223"/>
      <c r="T830" s="406">
        <v>7.7</v>
      </c>
      <c r="U830" s="223">
        <v>-9999</v>
      </c>
      <c r="V830" s="223"/>
      <c r="W830" s="243">
        <v>-9999</v>
      </c>
      <c r="X830" s="223">
        <v>-9999</v>
      </c>
      <c r="Y830" s="223"/>
      <c r="Z830" s="223" t="s">
        <v>83</v>
      </c>
      <c r="AA830" s="442">
        <v>26909</v>
      </c>
      <c r="AB830" s="243">
        <v>-9999</v>
      </c>
      <c r="AC830" s="223">
        <v>-9999</v>
      </c>
      <c r="AD830" s="223">
        <v>144</v>
      </c>
      <c r="AE830" s="404" t="s">
        <v>1960</v>
      </c>
      <c r="AF830" s="223">
        <v>1</v>
      </c>
      <c r="AG830" s="223" t="s">
        <v>1070</v>
      </c>
      <c r="AH830" s="223" t="s">
        <v>876</v>
      </c>
      <c r="AI830" s="223" t="s">
        <v>1066</v>
      </c>
      <c r="AJ830" s="223">
        <v>-9999</v>
      </c>
      <c r="AK830" s="223" t="s">
        <v>626</v>
      </c>
      <c r="AL830" s="223">
        <v>0</v>
      </c>
      <c r="AM830" s="223">
        <v>-9999</v>
      </c>
      <c r="AN830" s="223">
        <v>-9999</v>
      </c>
      <c r="AO830" s="223">
        <v>-9999</v>
      </c>
      <c r="AP830" s="223">
        <v>-9999</v>
      </c>
      <c r="AQ830" s="223" t="s">
        <v>631</v>
      </c>
      <c r="AR830" s="223">
        <v>0</v>
      </c>
      <c r="AS830" s="223">
        <v>-9999</v>
      </c>
      <c r="AT830" s="223">
        <v>-9999</v>
      </c>
      <c r="AU830" s="223">
        <v>0</v>
      </c>
      <c r="AV830" s="223">
        <v>-9999</v>
      </c>
      <c r="AW830" s="223">
        <v>-9999</v>
      </c>
      <c r="AX830" s="223">
        <v>0</v>
      </c>
      <c r="AY830" s="223">
        <v>-9999</v>
      </c>
      <c r="AZ830" s="223">
        <v>-9999</v>
      </c>
      <c r="BA830" s="223">
        <v>-9999</v>
      </c>
      <c r="BB830" s="223" t="s">
        <v>631</v>
      </c>
      <c r="BC830" s="223">
        <v>-9999</v>
      </c>
      <c r="BD830" s="223">
        <v>-9999</v>
      </c>
      <c r="BE830" s="223">
        <v>-9999</v>
      </c>
      <c r="BF830" s="223">
        <v>-9999</v>
      </c>
      <c r="BG830" s="223">
        <v>-9999</v>
      </c>
      <c r="BH830" s="223">
        <v>-9999</v>
      </c>
      <c r="BI830" s="223" t="s">
        <v>84</v>
      </c>
      <c r="BJ830" s="223">
        <v>-9999</v>
      </c>
      <c r="BK830" s="223">
        <v>-9999</v>
      </c>
      <c r="BL830" s="223">
        <v>-9999</v>
      </c>
      <c r="BM830" s="223">
        <v>-9999</v>
      </c>
      <c r="BN830" s="223">
        <v>-9999</v>
      </c>
      <c r="BO830" s="223">
        <v>-9999</v>
      </c>
      <c r="BP830" s="223">
        <v>-9999</v>
      </c>
      <c r="BQ830" s="223">
        <v>-9999</v>
      </c>
      <c r="BR830" s="223">
        <v>-9999</v>
      </c>
      <c r="BS830" s="242">
        <v>-9999</v>
      </c>
      <c r="BT830" s="223">
        <v>-9999</v>
      </c>
      <c r="BU830" s="223">
        <v>-9999</v>
      </c>
      <c r="BV830" s="223">
        <v>-9999</v>
      </c>
      <c r="BW830" s="223"/>
      <c r="BX830" s="223">
        <v>-9999</v>
      </c>
      <c r="BY830" s="223">
        <v>-9999</v>
      </c>
      <c r="BZ830" s="223">
        <v>-9999</v>
      </c>
      <c r="CA830" s="332">
        <v>-9999</v>
      </c>
      <c r="CB830" s="443" t="s">
        <v>1570</v>
      </c>
      <c r="CC830" s="403">
        <v>7</v>
      </c>
      <c r="CD830" s="403">
        <v>2</v>
      </c>
      <c r="CE830" s="342">
        <v>7.7</v>
      </c>
      <c r="CF830" s="342">
        <v>-9999</v>
      </c>
      <c r="CG830" s="405">
        <v>15</v>
      </c>
    </row>
    <row r="831" spans="1:86" s="13" customFormat="1" x14ac:dyDescent="0.2">
      <c r="A831" s="283"/>
      <c r="B831" s="249"/>
      <c r="C831" s="249"/>
      <c r="D831" s="249"/>
      <c r="E831" s="249"/>
      <c r="F831" s="283"/>
      <c r="G831" s="283"/>
      <c r="H831" s="251"/>
      <c r="I831" s="245"/>
      <c r="J831" s="249"/>
      <c r="K831" s="245"/>
      <c r="L831" s="249"/>
      <c r="M831" s="253"/>
      <c r="N831" s="249"/>
      <c r="O831" s="18"/>
      <c r="P831" s="253"/>
      <c r="Q831" s="249"/>
      <c r="R831" s="253"/>
      <c r="S831" s="249"/>
      <c r="T831" s="244"/>
      <c r="U831" s="249"/>
      <c r="V831" s="249"/>
      <c r="W831" s="253"/>
      <c r="X831" s="249"/>
      <c r="Y831" s="249"/>
      <c r="Z831" s="249"/>
      <c r="AA831" s="447"/>
      <c r="AB831" s="253"/>
      <c r="AC831" s="249"/>
      <c r="AD831" s="249"/>
      <c r="AE831" s="249"/>
      <c r="AF831" s="249"/>
      <c r="AG831" s="249"/>
      <c r="AH831" s="249"/>
      <c r="AI831" s="249"/>
      <c r="AJ831" s="249"/>
      <c r="AK831" s="249"/>
      <c r="AL831" s="249"/>
      <c r="AM831" s="249"/>
      <c r="AN831" s="249"/>
      <c r="AO831" s="249"/>
      <c r="AP831" s="249"/>
      <c r="AQ831" s="249"/>
      <c r="AR831" s="249"/>
      <c r="AS831" s="249"/>
      <c r="AT831" s="249"/>
      <c r="AU831" s="249"/>
      <c r="AV831" s="249"/>
      <c r="AW831" s="252"/>
      <c r="AX831" s="249"/>
      <c r="AY831" s="249"/>
      <c r="AZ831" s="249"/>
      <c r="BA831" s="249"/>
      <c r="BB831" s="249"/>
      <c r="BC831" s="249"/>
      <c r="BD831" s="249"/>
      <c r="BE831" s="249"/>
      <c r="BF831" s="249"/>
      <c r="BG831" s="249"/>
      <c r="BH831" s="249"/>
      <c r="BI831" s="249"/>
      <c r="BJ831" s="249"/>
      <c r="BK831" s="249"/>
      <c r="BL831" s="249"/>
      <c r="BM831" s="249"/>
      <c r="BN831" s="249"/>
      <c r="BO831" s="249"/>
      <c r="BP831" s="249"/>
      <c r="BQ831" s="249"/>
      <c r="BR831" s="249"/>
      <c r="BS831" s="242"/>
      <c r="BT831" s="249"/>
      <c r="BU831" s="249"/>
      <c r="BV831" s="249"/>
      <c r="BW831" s="249"/>
      <c r="BX831" s="249"/>
      <c r="BY831" s="249"/>
      <c r="BZ831" s="249"/>
      <c r="CA831" s="331"/>
      <c r="CB831" s="439"/>
      <c r="CC831" s="283"/>
      <c r="CD831" s="283"/>
      <c r="CE831" s="342" t="s">
        <v>1982</v>
      </c>
      <c r="CF831" s="342" t="s">
        <v>1575</v>
      </c>
      <c r="CG831" s="251"/>
    </row>
    <row r="832" spans="1:86" s="23" customFormat="1" x14ac:dyDescent="0.2">
      <c r="A832" s="240" t="s">
        <v>366</v>
      </c>
      <c r="B832" s="404" t="s">
        <v>2132</v>
      </c>
      <c r="C832" s="404" t="s">
        <v>1562</v>
      </c>
      <c r="D832" s="404" t="s">
        <v>1560</v>
      </c>
      <c r="E832" s="404" t="s">
        <v>1460</v>
      </c>
      <c r="F832" s="240">
        <v>1</v>
      </c>
      <c r="G832" s="240">
        <v>2</v>
      </c>
      <c r="H832" s="242">
        <v>2</v>
      </c>
      <c r="I832" s="245" t="s">
        <v>954</v>
      </c>
      <c r="J832" s="441">
        <v>1973</v>
      </c>
      <c r="K832" s="245" t="s">
        <v>1211</v>
      </c>
      <c r="L832" s="441">
        <v>1974</v>
      </c>
      <c r="M832" s="243">
        <v>11</v>
      </c>
      <c r="N832" s="223">
        <v>-9999</v>
      </c>
      <c r="O832" s="29"/>
      <c r="P832" s="243">
        <v>-9999</v>
      </c>
      <c r="Q832" s="223">
        <v>-9999</v>
      </c>
      <c r="R832" s="243"/>
      <c r="S832" s="223"/>
      <c r="T832" s="244">
        <f>+M832/G832</f>
        <v>5.5</v>
      </c>
      <c r="U832" s="223">
        <v>-9999</v>
      </c>
      <c r="V832" s="223"/>
      <c r="W832" s="243">
        <v>-9999</v>
      </c>
      <c r="X832" s="223">
        <v>-9999</v>
      </c>
      <c r="Y832" s="223"/>
      <c r="Z832" s="404" t="s">
        <v>1701</v>
      </c>
      <c r="AA832" s="442">
        <v>13455</v>
      </c>
      <c r="AB832" s="243">
        <v>1</v>
      </c>
      <c r="AC832" s="223">
        <v>-9999</v>
      </c>
      <c r="AD832" s="223">
        <v>144</v>
      </c>
      <c r="AE832" s="404" t="s">
        <v>1961</v>
      </c>
      <c r="AF832" s="223">
        <v>1</v>
      </c>
      <c r="AG832" s="223" t="s">
        <v>1070</v>
      </c>
      <c r="AH832" s="223" t="s">
        <v>876</v>
      </c>
      <c r="AI832" s="223" t="s">
        <v>1066</v>
      </c>
      <c r="AJ832" s="223">
        <v>-9999</v>
      </c>
      <c r="AK832" s="223" t="s">
        <v>626</v>
      </c>
      <c r="AL832" s="223" t="s">
        <v>1068</v>
      </c>
      <c r="AM832" s="223">
        <v>-9999</v>
      </c>
      <c r="AN832" s="223">
        <v>-9999</v>
      </c>
      <c r="AO832" s="223">
        <v>-9999</v>
      </c>
      <c r="AP832" s="223">
        <v>-9999</v>
      </c>
      <c r="AQ832" s="223" t="s">
        <v>631</v>
      </c>
      <c r="AR832" s="223">
        <v>0</v>
      </c>
      <c r="AS832" s="223">
        <v>-9999</v>
      </c>
      <c r="AT832" s="223">
        <v>-9999</v>
      </c>
      <c r="AU832" s="223">
        <v>0</v>
      </c>
      <c r="AV832" s="223">
        <v>-9999</v>
      </c>
      <c r="AW832" s="223">
        <v>-9999</v>
      </c>
      <c r="AX832" s="223">
        <v>0</v>
      </c>
      <c r="AY832" s="223">
        <v>-9999</v>
      </c>
      <c r="AZ832" s="223">
        <v>-9999</v>
      </c>
      <c r="BA832" s="223">
        <v>-9999</v>
      </c>
      <c r="BB832" s="223" t="s">
        <v>631</v>
      </c>
      <c r="BC832" s="223">
        <v>-9999</v>
      </c>
      <c r="BD832" s="223">
        <v>-9999</v>
      </c>
      <c r="BE832" s="223">
        <v>-9999</v>
      </c>
      <c r="BF832" s="223">
        <v>-9999</v>
      </c>
      <c r="BG832" s="223">
        <v>-9999</v>
      </c>
      <c r="BH832" s="223">
        <v>-9999</v>
      </c>
      <c r="BI832" s="223" t="s">
        <v>84</v>
      </c>
      <c r="BJ832" s="223">
        <v>-9999</v>
      </c>
      <c r="BK832" s="223">
        <v>-9999</v>
      </c>
      <c r="BL832" s="223">
        <v>-9999</v>
      </c>
      <c r="BM832" s="223">
        <v>-9999</v>
      </c>
      <c r="BN832" s="223">
        <v>-9999</v>
      </c>
      <c r="BO832" s="223">
        <v>-9999</v>
      </c>
      <c r="BP832" s="223">
        <v>-9999</v>
      </c>
      <c r="BQ832" s="223">
        <v>-9999</v>
      </c>
      <c r="BR832" s="223">
        <v>-9999</v>
      </c>
      <c r="BS832" s="242">
        <v>-9999</v>
      </c>
      <c r="BT832" s="223">
        <v>-9999</v>
      </c>
      <c r="BU832" s="223">
        <v>-9999</v>
      </c>
      <c r="BV832" s="223">
        <v>-9999</v>
      </c>
      <c r="BW832" s="223"/>
      <c r="BX832" s="223">
        <v>-9999</v>
      </c>
      <c r="BY832" s="223">
        <v>-9999</v>
      </c>
      <c r="BZ832" s="223">
        <v>-9999</v>
      </c>
      <c r="CA832" s="332">
        <v>-9999</v>
      </c>
      <c r="CB832" s="443" t="s">
        <v>1570</v>
      </c>
      <c r="CC832" s="240">
        <v>1</v>
      </c>
      <c r="CD832" s="240">
        <v>2</v>
      </c>
      <c r="CE832" s="292">
        <v>5.5</v>
      </c>
      <c r="CF832" s="292">
        <v>-9999</v>
      </c>
      <c r="CG832" s="242">
        <v>2</v>
      </c>
    </row>
    <row r="833" spans="1:1873" s="205" customFormat="1" x14ac:dyDescent="0.2">
      <c r="A833" s="283" t="s">
        <v>366</v>
      </c>
      <c r="B833" s="249" t="s">
        <v>2132</v>
      </c>
      <c r="C833" s="249" t="s">
        <v>1562</v>
      </c>
      <c r="D833" s="249" t="s">
        <v>1560</v>
      </c>
      <c r="E833" s="249" t="s">
        <v>1460</v>
      </c>
      <c r="F833" s="283">
        <v>2</v>
      </c>
      <c r="G833" s="283">
        <v>2</v>
      </c>
      <c r="H833" s="251">
        <v>4</v>
      </c>
      <c r="I833" s="424" t="s">
        <v>954</v>
      </c>
      <c r="J833" s="448">
        <v>1973</v>
      </c>
      <c r="K833" s="424" t="s">
        <v>1211</v>
      </c>
      <c r="L833" s="448">
        <v>1976</v>
      </c>
      <c r="M833" s="253">
        <v>21.1</v>
      </c>
      <c r="N833" s="249">
        <v>-9999</v>
      </c>
      <c r="O833" s="18"/>
      <c r="P833" s="253">
        <v>-9999</v>
      </c>
      <c r="Q833" s="249">
        <v>-9999</v>
      </c>
      <c r="R833" s="253"/>
      <c r="S833" s="249"/>
      <c r="T833" s="284">
        <f>+M833/G833</f>
        <v>10.55</v>
      </c>
      <c r="U833" s="249">
        <v>-9999</v>
      </c>
      <c r="V833" s="249"/>
      <c r="W833" s="253">
        <v>-9999</v>
      </c>
      <c r="X833" s="249">
        <v>-9999</v>
      </c>
      <c r="Y833" s="249"/>
      <c r="Z833" s="249" t="s">
        <v>1701</v>
      </c>
      <c r="AA833" s="447">
        <v>13455</v>
      </c>
      <c r="AB833" s="253">
        <v>0.96</v>
      </c>
      <c r="AC833" s="249">
        <v>-9999</v>
      </c>
      <c r="AD833" s="249">
        <v>144</v>
      </c>
      <c r="AE833" s="249" t="s">
        <v>1961</v>
      </c>
      <c r="AF833" s="249">
        <v>1</v>
      </c>
      <c r="AG833" s="249" t="s">
        <v>1070</v>
      </c>
      <c r="AH833" s="249" t="s">
        <v>876</v>
      </c>
      <c r="AI833" s="249" t="s">
        <v>1066</v>
      </c>
      <c r="AJ833" s="249">
        <v>-9999</v>
      </c>
      <c r="AK833" s="249" t="s">
        <v>626</v>
      </c>
      <c r="AL833" s="249" t="s">
        <v>1069</v>
      </c>
      <c r="AM833" s="249">
        <v>-9999</v>
      </c>
      <c r="AN833" s="249">
        <v>-9999</v>
      </c>
      <c r="AO833" s="249">
        <v>-9999</v>
      </c>
      <c r="AP833" s="249">
        <v>-9999</v>
      </c>
      <c r="AQ833" s="249" t="s">
        <v>631</v>
      </c>
      <c r="AR833" s="249">
        <v>0</v>
      </c>
      <c r="AS833" s="249">
        <v>-9999</v>
      </c>
      <c r="AT833" s="249">
        <v>-9999</v>
      </c>
      <c r="AU833" s="249">
        <v>0</v>
      </c>
      <c r="AV833" s="249">
        <v>-9999</v>
      </c>
      <c r="AW833" s="249">
        <v>-9999</v>
      </c>
      <c r="AX833" s="249">
        <v>0</v>
      </c>
      <c r="AY833" s="249">
        <v>-9999</v>
      </c>
      <c r="AZ833" s="249">
        <v>-9999</v>
      </c>
      <c r="BA833" s="249">
        <v>-9999</v>
      </c>
      <c r="BB833" s="249" t="s">
        <v>631</v>
      </c>
      <c r="BC833" s="249">
        <v>-9999</v>
      </c>
      <c r="BD833" s="249">
        <v>-9999</v>
      </c>
      <c r="BE833" s="249">
        <v>-9999</v>
      </c>
      <c r="BF833" s="249">
        <v>-9999</v>
      </c>
      <c r="BG833" s="249">
        <v>-9999</v>
      </c>
      <c r="BH833" s="249">
        <v>-9999</v>
      </c>
      <c r="BI833" s="249" t="s">
        <v>84</v>
      </c>
      <c r="BJ833" s="249">
        <v>-9999</v>
      </c>
      <c r="BK833" s="249">
        <v>-9999</v>
      </c>
      <c r="BL833" s="249">
        <v>-9999</v>
      </c>
      <c r="BM833" s="249">
        <v>-9999</v>
      </c>
      <c r="BN833" s="249">
        <v>-9999</v>
      </c>
      <c r="BO833" s="249">
        <v>-9999</v>
      </c>
      <c r="BP833" s="249">
        <v>-9999</v>
      </c>
      <c r="BQ833" s="249">
        <v>-9999</v>
      </c>
      <c r="BR833" s="249">
        <v>-9999</v>
      </c>
      <c r="BS833" s="251">
        <v>-9999</v>
      </c>
      <c r="BT833" s="249">
        <v>-9999</v>
      </c>
      <c r="BU833" s="249">
        <v>-9999</v>
      </c>
      <c r="BV833" s="249">
        <v>-9999</v>
      </c>
      <c r="BW833" s="249"/>
      <c r="BX833" s="249">
        <v>-9999</v>
      </c>
      <c r="BY833" s="249">
        <v>-9999</v>
      </c>
      <c r="BZ833" s="249">
        <v>-9999</v>
      </c>
      <c r="CA833" s="331">
        <v>-9999</v>
      </c>
      <c r="CB833" s="439" t="s">
        <v>1570</v>
      </c>
      <c r="CC833" s="283">
        <v>2</v>
      </c>
      <c r="CD833" s="283">
        <v>2</v>
      </c>
      <c r="CE833" s="393">
        <v>10.55</v>
      </c>
      <c r="CF833" s="99">
        <v>-9999</v>
      </c>
      <c r="CG833" s="209">
        <v>4</v>
      </c>
      <c r="CH833" s="436" t="s">
        <v>1757</v>
      </c>
      <c r="CI833" s="13"/>
      <c r="CJ833" s="13"/>
      <c r="CK833" s="13"/>
      <c r="CL833" s="13"/>
      <c r="CM833" s="13"/>
      <c r="CN833" s="13"/>
      <c r="CO833" s="13"/>
      <c r="CP833" s="13"/>
      <c r="CQ833" s="13"/>
      <c r="CR833" s="13"/>
      <c r="CS833" s="13"/>
      <c r="CT833" s="13"/>
      <c r="CU833" s="13"/>
      <c r="CV833" s="13"/>
      <c r="CW833" s="13"/>
      <c r="CX833" s="13"/>
      <c r="CY833" s="13"/>
      <c r="CZ833" s="13"/>
      <c r="DA833" s="13"/>
      <c r="DB833" s="13"/>
      <c r="DC833" s="13"/>
      <c r="DD833" s="13"/>
      <c r="DE833" s="13"/>
      <c r="DF833" s="13"/>
      <c r="DG833" s="13"/>
      <c r="DH833" s="13"/>
      <c r="DI833" s="13"/>
      <c r="DJ833" s="13"/>
      <c r="DK833" s="13"/>
      <c r="DL833" s="13"/>
      <c r="DM833" s="13"/>
      <c r="DN833" s="13"/>
      <c r="DO833" s="13"/>
      <c r="DP833" s="13"/>
      <c r="DQ833" s="13"/>
      <c r="DR833" s="13"/>
      <c r="DS833" s="13"/>
      <c r="DT833" s="13"/>
      <c r="DU833" s="13"/>
      <c r="DV833" s="13"/>
      <c r="DW833" s="13"/>
      <c r="DX833" s="13"/>
      <c r="DY833" s="13"/>
      <c r="DZ833" s="13"/>
      <c r="EA833" s="13"/>
      <c r="EB833" s="13"/>
      <c r="EC833" s="13"/>
      <c r="ED833" s="13"/>
      <c r="EE833" s="13"/>
      <c r="EF833" s="13"/>
      <c r="EG833" s="13"/>
      <c r="EH833" s="13"/>
      <c r="EI833" s="13"/>
      <c r="EJ833" s="13"/>
      <c r="EK833" s="13"/>
      <c r="EL833" s="13"/>
      <c r="EM833" s="13"/>
      <c r="EN833" s="13"/>
      <c r="EO833" s="13"/>
      <c r="EP833" s="13"/>
      <c r="EQ833" s="13"/>
      <c r="ER833" s="13"/>
      <c r="ES833" s="13"/>
      <c r="ET833" s="13"/>
      <c r="EU833" s="13"/>
      <c r="EV833" s="13"/>
      <c r="EW833" s="13"/>
      <c r="EX833" s="13"/>
      <c r="EY833" s="13"/>
      <c r="EZ833" s="13"/>
      <c r="FA833" s="13"/>
      <c r="FB833" s="13"/>
      <c r="FC833" s="13"/>
      <c r="FD833" s="13"/>
      <c r="FE833" s="13"/>
      <c r="FF833" s="13"/>
      <c r="FG833" s="13"/>
      <c r="FH833" s="13"/>
      <c r="FI833" s="13"/>
      <c r="FJ833" s="13"/>
      <c r="FK833" s="13"/>
      <c r="FL833" s="13"/>
      <c r="FM833" s="13"/>
      <c r="FN833" s="13"/>
      <c r="FO833" s="13"/>
      <c r="FP833" s="13"/>
      <c r="FQ833" s="13"/>
      <c r="FR833" s="13"/>
      <c r="FS833" s="13"/>
      <c r="FT833" s="13"/>
      <c r="FU833" s="13"/>
      <c r="FV833" s="13"/>
      <c r="FW833" s="13"/>
      <c r="FX833" s="13"/>
      <c r="FY833" s="13"/>
      <c r="FZ833" s="13"/>
      <c r="GA833" s="13"/>
      <c r="GB833" s="13"/>
      <c r="GC833" s="13"/>
      <c r="GD833" s="13"/>
      <c r="GE833" s="13"/>
      <c r="GF833" s="13"/>
      <c r="GG833" s="13"/>
      <c r="GH833" s="13"/>
      <c r="GI833" s="13"/>
      <c r="GJ833" s="13"/>
      <c r="GK833" s="13"/>
      <c r="GL833" s="13"/>
      <c r="GM833" s="13"/>
      <c r="GN833" s="13"/>
      <c r="GO833" s="13"/>
      <c r="GP833" s="13"/>
      <c r="GQ833" s="13"/>
      <c r="GR833" s="13"/>
      <c r="GS833" s="13"/>
      <c r="GT833" s="13"/>
      <c r="GU833" s="13"/>
      <c r="GV833" s="13"/>
      <c r="GW833" s="13"/>
      <c r="GX833" s="13"/>
      <c r="GY833" s="13"/>
      <c r="GZ833" s="13"/>
      <c r="HA833" s="13"/>
      <c r="HB833" s="13"/>
      <c r="HC833" s="13"/>
      <c r="HD833" s="13"/>
      <c r="HE833" s="13"/>
      <c r="HF833" s="13"/>
      <c r="HG833" s="13"/>
      <c r="HH833" s="13"/>
      <c r="HI833" s="13"/>
      <c r="HJ833" s="13"/>
      <c r="HK833" s="13"/>
      <c r="HL833" s="13"/>
      <c r="HM833" s="13"/>
      <c r="HN833" s="13"/>
      <c r="HO833" s="13"/>
      <c r="HP833" s="13"/>
      <c r="HQ833" s="13"/>
      <c r="HR833" s="13"/>
      <c r="HS833" s="13"/>
      <c r="HT833" s="13"/>
      <c r="HU833" s="13"/>
      <c r="HV833" s="13"/>
      <c r="HW833" s="13"/>
      <c r="HX833" s="13"/>
      <c r="HY833" s="13"/>
      <c r="HZ833" s="13"/>
      <c r="IA833" s="13"/>
      <c r="IB833" s="13"/>
      <c r="IC833" s="13"/>
      <c r="ID833" s="13"/>
      <c r="IE833" s="13"/>
      <c r="IF833" s="13"/>
      <c r="IG833" s="13"/>
      <c r="IH833" s="13"/>
      <c r="II833" s="13"/>
      <c r="IJ833" s="13"/>
      <c r="IK833" s="13"/>
      <c r="IL833" s="13"/>
      <c r="IM833" s="13"/>
      <c r="IN833" s="13"/>
      <c r="IO833" s="13"/>
      <c r="IP833" s="13"/>
      <c r="IQ833" s="13"/>
      <c r="IR833" s="13"/>
      <c r="IS833" s="13"/>
      <c r="IT833" s="13"/>
      <c r="IU833" s="13"/>
      <c r="IV833" s="13"/>
      <c r="IW833" s="13"/>
      <c r="IX833" s="13"/>
      <c r="IY833" s="13"/>
      <c r="IZ833" s="13"/>
      <c r="JA833" s="13"/>
      <c r="JB833" s="13"/>
      <c r="JC833" s="13"/>
      <c r="JD833" s="13"/>
      <c r="JE833" s="13"/>
      <c r="JF833" s="13"/>
      <c r="JG833" s="13"/>
      <c r="JH833" s="13"/>
      <c r="JI833" s="13"/>
      <c r="JJ833" s="13"/>
      <c r="JK833" s="13"/>
      <c r="JL833" s="13"/>
      <c r="JM833" s="13"/>
      <c r="JN833" s="13"/>
      <c r="JO833" s="13"/>
      <c r="JP833" s="13"/>
      <c r="JQ833" s="13"/>
      <c r="JR833" s="13"/>
      <c r="JS833" s="13"/>
      <c r="JT833" s="13"/>
      <c r="JU833" s="13"/>
      <c r="JV833" s="13"/>
      <c r="JW833" s="13"/>
      <c r="JX833" s="13"/>
      <c r="JY833" s="13"/>
      <c r="JZ833" s="13"/>
      <c r="KA833" s="13"/>
      <c r="KB833" s="13"/>
      <c r="KC833" s="13"/>
      <c r="KD833" s="13"/>
      <c r="KE833" s="13"/>
      <c r="KF833" s="13"/>
      <c r="KG833" s="13"/>
      <c r="KH833" s="13"/>
      <c r="KI833" s="13"/>
      <c r="KJ833" s="13"/>
      <c r="KK833" s="13"/>
      <c r="KL833" s="13"/>
      <c r="KM833" s="13"/>
      <c r="KN833" s="13"/>
      <c r="KO833" s="13"/>
      <c r="KP833" s="13"/>
      <c r="KQ833" s="13"/>
      <c r="KR833" s="13"/>
      <c r="KS833" s="13"/>
      <c r="KT833" s="13"/>
      <c r="KU833" s="13"/>
      <c r="KV833" s="13"/>
      <c r="KW833" s="13"/>
      <c r="KX833" s="13"/>
      <c r="KY833" s="13"/>
      <c r="KZ833" s="13"/>
      <c r="LA833" s="13"/>
      <c r="LB833" s="13"/>
      <c r="LC833" s="13"/>
      <c r="LD833" s="13"/>
      <c r="LE833" s="13"/>
      <c r="LF833" s="13"/>
      <c r="LG833" s="13"/>
      <c r="LH833" s="13"/>
      <c r="LI833" s="13"/>
      <c r="LJ833" s="13"/>
      <c r="LK833" s="13"/>
      <c r="LL833" s="13"/>
      <c r="LM833" s="13"/>
      <c r="LN833" s="13"/>
      <c r="LO833" s="13"/>
      <c r="LP833" s="13"/>
      <c r="LQ833" s="13"/>
      <c r="LR833" s="13"/>
      <c r="LS833" s="13"/>
      <c r="LT833" s="13"/>
      <c r="LU833" s="13"/>
      <c r="LV833" s="13"/>
      <c r="LW833" s="13"/>
      <c r="LX833" s="13"/>
      <c r="LY833" s="13"/>
      <c r="LZ833" s="13"/>
      <c r="MA833" s="13"/>
      <c r="MB833" s="13"/>
      <c r="MC833" s="13"/>
      <c r="MD833" s="13"/>
      <c r="ME833" s="13"/>
      <c r="MF833" s="13"/>
      <c r="MG833" s="13"/>
      <c r="MH833" s="13"/>
      <c r="MI833" s="13"/>
      <c r="MJ833" s="13"/>
      <c r="MK833" s="13"/>
      <c r="ML833" s="13"/>
      <c r="MM833" s="13"/>
      <c r="MN833" s="13"/>
      <c r="MO833" s="13"/>
      <c r="MP833" s="13"/>
      <c r="MQ833" s="13"/>
      <c r="MR833" s="13"/>
      <c r="MS833" s="13"/>
      <c r="MT833" s="13"/>
      <c r="MU833" s="13"/>
      <c r="MV833" s="13"/>
      <c r="MW833" s="13"/>
      <c r="MX833" s="13"/>
      <c r="MY833" s="13"/>
      <c r="MZ833" s="13"/>
      <c r="NA833" s="13"/>
      <c r="NB833" s="13"/>
      <c r="NC833" s="13"/>
      <c r="ND833" s="13"/>
      <c r="NE833" s="13"/>
      <c r="NF833" s="13"/>
      <c r="NG833" s="13"/>
      <c r="NH833" s="13"/>
      <c r="NI833" s="13"/>
      <c r="NJ833" s="13"/>
      <c r="NK833" s="13"/>
      <c r="NL833" s="13"/>
      <c r="NM833" s="13"/>
      <c r="NN833" s="13"/>
      <c r="NO833" s="13"/>
      <c r="NP833" s="13"/>
      <c r="NQ833" s="13"/>
      <c r="NR833" s="13"/>
      <c r="NS833" s="13"/>
      <c r="NT833" s="13"/>
      <c r="NU833" s="13"/>
      <c r="NV833" s="13"/>
      <c r="NW833" s="13"/>
      <c r="NX833" s="13"/>
      <c r="NY833" s="13"/>
      <c r="NZ833" s="13"/>
      <c r="OA833" s="13"/>
      <c r="OB833" s="13"/>
      <c r="OC833" s="13"/>
      <c r="OD833" s="13"/>
      <c r="OE833" s="13"/>
      <c r="OF833" s="13"/>
      <c r="OG833" s="13"/>
      <c r="OH833" s="13"/>
      <c r="OI833" s="13"/>
      <c r="OJ833" s="13"/>
      <c r="OK833" s="13"/>
      <c r="OL833" s="13"/>
      <c r="OM833" s="13"/>
      <c r="ON833" s="13"/>
      <c r="OO833" s="13"/>
      <c r="OP833" s="13"/>
      <c r="OQ833" s="13"/>
      <c r="OR833" s="13"/>
      <c r="OS833" s="13"/>
      <c r="OT833" s="13"/>
      <c r="OU833" s="13"/>
      <c r="OV833" s="13"/>
      <c r="OW833" s="13"/>
      <c r="OX833" s="13"/>
      <c r="OY833" s="13"/>
      <c r="OZ833" s="13"/>
      <c r="PA833" s="13"/>
      <c r="PB833" s="13"/>
      <c r="PC833" s="13"/>
      <c r="PD833" s="13"/>
      <c r="PE833" s="13"/>
      <c r="PF833" s="13"/>
      <c r="PG833" s="13"/>
      <c r="PH833" s="13"/>
      <c r="PI833" s="13"/>
      <c r="PJ833" s="13"/>
      <c r="PK833" s="13"/>
      <c r="PL833" s="13"/>
      <c r="PM833" s="13"/>
      <c r="PN833" s="13"/>
      <c r="PO833" s="13"/>
      <c r="PP833" s="13"/>
      <c r="PQ833" s="13"/>
      <c r="PR833" s="13"/>
      <c r="PS833" s="13"/>
      <c r="PT833" s="13"/>
      <c r="PU833" s="13"/>
      <c r="PV833" s="13"/>
      <c r="PW833" s="13"/>
      <c r="PX833" s="13"/>
      <c r="PY833" s="13"/>
      <c r="PZ833" s="13"/>
      <c r="QA833" s="13"/>
      <c r="QB833" s="13"/>
      <c r="QC833" s="13"/>
      <c r="QD833" s="13"/>
      <c r="QE833" s="13"/>
      <c r="QF833" s="13"/>
      <c r="QG833" s="13"/>
      <c r="QH833" s="13"/>
      <c r="QI833" s="13"/>
      <c r="QJ833" s="13"/>
      <c r="QK833" s="13"/>
      <c r="QL833" s="13"/>
      <c r="QM833" s="13"/>
      <c r="QN833" s="13"/>
      <c r="QO833" s="13"/>
      <c r="QP833" s="13"/>
      <c r="QQ833" s="13"/>
      <c r="QR833" s="13"/>
      <c r="QS833" s="13"/>
      <c r="QT833" s="13"/>
      <c r="QU833" s="13"/>
      <c r="QV833" s="13"/>
      <c r="QW833" s="13"/>
      <c r="QX833" s="13"/>
      <c r="QY833" s="13"/>
      <c r="QZ833" s="13"/>
      <c r="RA833" s="13"/>
      <c r="RB833" s="13"/>
      <c r="RC833" s="13"/>
      <c r="RD833" s="13"/>
      <c r="RE833" s="13"/>
      <c r="RF833" s="13"/>
      <c r="RG833" s="13"/>
      <c r="RH833" s="13"/>
      <c r="RI833" s="13"/>
      <c r="RJ833" s="13"/>
      <c r="RK833" s="13"/>
      <c r="RL833" s="13"/>
      <c r="RM833" s="13"/>
      <c r="RN833" s="13"/>
      <c r="RO833" s="13"/>
      <c r="RP833" s="13"/>
      <c r="RQ833" s="13"/>
      <c r="RR833" s="13"/>
      <c r="RS833" s="13"/>
      <c r="RT833" s="13"/>
      <c r="RU833" s="13"/>
      <c r="RV833" s="13"/>
      <c r="RW833" s="13"/>
      <c r="RX833" s="13"/>
      <c r="RY833" s="13"/>
      <c r="RZ833" s="13"/>
      <c r="SA833" s="13"/>
      <c r="SB833" s="13"/>
      <c r="SC833" s="13"/>
      <c r="SD833" s="13"/>
      <c r="SE833" s="13"/>
      <c r="SF833" s="13"/>
      <c r="SG833" s="13"/>
      <c r="SH833" s="13"/>
      <c r="SI833" s="13"/>
      <c r="SJ833" s="13"/>
      <c r="SK833" s="13"/>
      <c r="SL833" s="13"/>
      <c r="SM833" s="13"/>
      <c r="SN833" s="13"/>
      <c r="SO833" s="13"/>
      <c r="SP833" s="13"/>
      <c r="SQ833" s="13"/>
      <c r="SR833" s="13"/>
      <c r="SS833" s="13"/>
      <c r="ST833" s="13"/>
      <c r="SU833" s="13"/>
      <c r="SV833" s="13"/>
      <c r="SW833" s="13"/>
      <c r="SX833" s="13"/>
      <c r="SY833" s="13"/>
      <c r="SZ833" s="13"/>
      <c r="TA833" s="13"/>
      <c r="TB833" s="13"/>
      <c r="TC833" s="13"/>
      <c r="TD833" s="13"/>
      <c r="TE833" s="13"/>
      <c r="TF833" s="13"/>
      <c r="TG833" s="13"/>
      <c r="TH833" s="13"/>
      <c r="TI833" s="13"/>
      <c r="TJ833" s="13"/>
      <c r="TK833" s="13"/>
      <c r="TL833" s="13"/>
      <c r="TM833" s="13"/>
      <c r="TN833" s="13"/>
      <c r="TO833" s="13"/>
      <c r="TP833" s="13"/>
      <c r="TQ833" s="13"/>
      <c r="TR833" s="13"/>
      <c r="TS833" s="13"/>
      <c r="TT833" s="13"/>
      <c r="TU833" s="13"/>
      <c r="TV833" s="13"/>
      <c r="TW833" s="13"/>
      <c r="TX833" s="13"/>
      <c r="TY833" s="13"/>
      <c r="TZ833" s="13"/>
      <c r="UA833" s="13"/>
      <c r="UB833" s="13"/>
      <c r="UC833" s="13"/>
      <c r="UD833" s="13"/>
      <c r="UE833" s="13"/>
      <c r="UF833" s="13"/>
      <c r="UG833" s="13"/>
      <c r="UH833" s="13"/>
      <c r="UI833" s="13"/>
      <c r="UJ833" s="13"/>
      <c r="UK833" s="13"/>
      <c r="UL833" s="13"/>
      <c r="UM833" s="13"/>
      <c r="UN833" s="13"/>
      <c r="UO833" s="13"/>
      <c r="UP833" s="13"/>
      <c r="UQ833" s="13"/>
      <c r="UR833" s="13"/>
      <c r="US833" s="13"/>
      <c r="UT833" s="13"/>
      <c r="UU833" s="13"/>
      <c r="UV833" s="13"/>
      <c r="UW833" s="13"/>
      <c r="UX833" s="13"/>
      <c r="UY833" s="13"/>
      <c r="UZ833" s="13"/>
      <c r="VA833" s="13"/>
      <c r="VB833" s="13"/>
      <c r="VC833" s="13"/>
      <c r="VD833" s="13"/>
      <c r="VE833" s="13"/>
      <c r="VF833" s="13"/>
      <c r="VG833" s="13"/>
      <c r="VH833" s="13"/>
      <c r="VI833" s="13"/>
      <c r="VJ833" s="13"/>
      <c r="VK833" s="13"/>
      <c r="VL833" s="13"/>
      <c r="VM833" s="13"/>
      <c r="VN833" s="13"/>
      <c r="VO833" s="13"/>
      <c r="VP833" s="13"/>
      <c r="VQ833" s="13"/>
      <c r="VR833" s="13"/>
      <c r="VS833" s="13"/>
      <c r="VT833" s="13"/>
      <c r="VU833" s="13"/>
      <c r="VV833" s="13"/>
      <c r="VW833" s="13"/>
      <c r="VX833" s="13"/>
      <c r="VY833" s="13"/>
      <c r="VZ833" s="13"/>
      <c r="WA833" s="13"/>
      <c r="WB833" s="13"/>
      <c r="WC833" s="13"/>
      <c r="WD833" s="13"/>
      <c r="WE833" s="13"/>
      <c r="WF833" s="13"/>
      <c r="WG833" s="13"/>
      <c r="WH833" s="13"/>
      <c r="WI833" s="13"/>
      <c r="WJ833" s="13"/>
      <c r="WK833" s="13"/>
      <c r="WL833" s="13"/>
      <c r="WM833" s="13"/>
      <c r="WN833" s="13"/>
      <c r="WO833" s="13"/>
      <c r="WP833" s="13"/>
      <c r="WQ833" s="13"/>
      <c r="WR833" s="13"/>
      <c r="WS833" s="13"/>
      <c r="WT833" s="13"/>
      <c r="WU833" s="13"/>
      <c r="WV833" s="13"/>
      <c r="WW833" s="13"/>
      <c r="WX833" s="13"/>
      <c r="WY833" s="13"/>
      <c r="WZ833" s="13"/>
      <c r="XA833" s="13"/>
      <c r="XB833" s="13"/>
      <c r="XC833" s="13"/>
      <c r="XD833" s="13"/>
      <c r="XE833" s="13"/>
      <c r="XF833" s="13"/>
      <c r="XG833" s="13"/>
      <c r="XH833" s="13"/>
      <c r="XI833" s="13"/>
      <c r="XJ833" s="13"/>
      <c r="XK833" s="13"/>
      <c r="XL833" s="13"/>
      <c r="XM833" s="13"/>
      <c r="XN833" s="13"/>
      <c r="XO833" s="13"/>
      <c r="XP833" s="13"/>
      <c r="XQ833" s="13"/>
      <c r="XR833" s="13"/>
      <c r="XS833" s="13"/>
      <c r="XT833" s="13"/>
      <c r="XU833" s="13"/>
      <c r="XV833" s="13"/>
      <c r="XW833" s="13"/>
      <c r="XX833" s="13"/>
      <c r="XY833" s="13"/>
      <c r="XZ833" s="13"/>
      <c r="YA833" s="13"/>
      <c r="YB833" s="13"/>
      <c r="YC833" s="13"/>
      <c r="YD833" s="13"/>
      <c r="YE833" s="13"/>
      <c r="YF833" s="13"/>
      <c r="YG833" s="13"/>
      <c r="YH833" s="13"/>
      <c r="YI833" s="13"/>
      <c r="YJ833" s="13"/>
      <c r="YK833" s="13"/>
      <c r="YL833" s="13"/>
      <c r="YM833" s="13"/>
      <c r="YN833" s="13"/>
      <c r="YO833" s="13"/>
      <c r="YP833" s="13"/>
      <c r="YQ833" s="13"/>
      <c r="YR833" s="13"/>
      <c r="YS833" s="13"/>
      <c r="YT833" s="13"/>
      <c r="YU833" s="13"/>
      <c r="YV833" s="13"/>
      <c r="YW833" s="13"/>
      <c r="YX833" s="13"/>
      <c r="YY833" s="13"/>
      <c r="YZ833" s="13"/>
      <c r="ZA833" s="13"/>
      <c r="ZB833" s="13"/>
      <c r="ZC833" s="13"/>
      <c r="ZD833" s="13"/>
      <c r="ZE833" s="13"/>
      <c r="ZF833" s="13"/>
      <c r="ZG833" s="13"/>
      <c r="ZH833" s="13"/>
      <c r="ZI833" s="13"/>
      <c r="ZJ833" s="13"/>
      <c r="ZK833" s="13"/>
      <c r="ZL833" s="13"/>
      <c r="ZM833" s="13"/>
      <c r="ZN833" s="13"/>
      <c r="ZO833" s="13"/>
      <c r="ZP833" s="13"/>
      <c r="ZQ833" s="13"/>
      <c r="ZR833" s="13"/>
      <c r="ZS833" s="13"/>
      <c r="ZT833" s="13"/>
      <c r="ZU833" s="13"/>
      <c r="ZV833" s="13"/>
      <c r="ZW833" s="13"/>
      <c r="ZX833" s="13"/>
      <c r="ZY833" s="13"/>
      <c r="ZZ833" s="13"/>
      <c r="AAA833" s="13"/>
      <c r="AAB833" s="13"/>
      <c r="AAC833" s="13"/>
      <c r="AAD833" s="13"/>
      <c r="AAE833" s="13"/>
      <c r="AAF833" s="13"/>
      <c r="AAG833" s="13"/>
      <c r="AAH833" s="13"/>
      <c r="AAI833" s="13"/>
      <c r="AAJ833" s="13"/>
      <c r="AAK833" s="13"/>
      <c r="AAL833" s="13"/>
      <c r="AAM833" s="13"/>
      <c r="AAN833" s="13"/>
      <c r="AAO833" s="13"/>
      <c r="AAP833" s="13"/>
      <c r="AAQ833" s="13"/>
      <c r="AAR833" s="13"/>
      <c r="AAS833" s="13"/>
      <c r="AAT833" s="13"/>
      <c r="AAU833" s="13"/>
      <c r="AAV833" s="13"/>
      <c r="AAW833" s="13"/>
      <c r="AAX833" s="13"/>
      <c r="AAY833" s="13"/>
      <c r="AAZ833" s="13"/>
      <c r="ABA833" s="13"/>
      <c r="ABB833" s="13"/>
      <c r="ABC833" s="13"/>
      <c r="ABD833" s="13"/>
      <c r="ABE833" s="13"/>
      <c r="ABF833" s="13"/>
      <c r="ABG833" s="13"/>
      <c r="ABH833" s="13"/>
      <c r="ABI833" s="13"/>
      <c r="ABJ833" s="13"/>
      <c r="ABK833" s="13"/>
      <c r="ABL833" s="13"/>
      <c r="ABM833" s="13"/>
      <c r="ABN833" s="13"/>
      <c r="ABO833" s="13"/>
      <c r="ABP833" s="13"/>
      <c r="ABQ833" s="13"/>
      <c r="ABR833" s="13"/>
      <c r="ABS833" s="13"/>
      <c r="ABT833" s="13"/>
      <c r="ABU833" s="13"/>
      <c r="ABV833" s="13"/>
      <c r="ABW833" s="13"/>
      <c r="ABX833" s="13"/>
      <c r="ABY833" s="13"/>
      <c r="ABZ833" s="13"/>
      <c r="ACA833" s="13"/>
      <c r="ACB833" s="13"/>
      <c r="ACC833" s="13"/>
      <c r="ACD833" s="13"/>
      <c r="ACE833" s="13"/>
      <c r="ACF833" s="13"/>
      <c r="ACG833" s="13"/>
      <c r="ACH833" s="13"/>
      <c r="ACI833" s="13"/>
      <c r="ACJ833" s="13"/>
      <c r="ACK833" s="13"/>
      <c r="ACL833" s="13"/>
      <c r="ACM833" s="13"/>
      <c r="ACN833" s="13"/>
      <c r="ACO833" s="13"/>
      <c r="ACP833" s="13"/>
      <c r="ACQ833" s="13"/>
      <c r="ACR833" s="13"/>
      <c r="ACS833" s="13"/>
      <c r="ACT833" s="13"/>
      <c r="ACU833" s="13"/>
      <c r="ACV833" s="13"/>
      <c r="ACW833" s="13"/>
      <c r="ACX833" s="13"/>
      <c r="ACY833" s="13"/>
      <c r="ACZ833" s="13"/>
      <c r="ADA833" s="13"/>
      <c r="ADB833" s="13"/>
      <c r="ADC833" s="13"/>
      <c r="ADD833" s="13"/>
      <c r="ADE833" s="13"/>
      <c r="ADF833" s="13"/>
      <c r="ADG833" s="13"/>
      <c r="ADH833" s="13"/>
      <c r="ADI833" s="13"/>
      <c r="ADJ833" s="13"/>
      <c r="ADK833" s="13"/>
      <c r="ADL833" s="13"/>
      <c r="ADM833" s="13"/>
      <c r="ADN833" s="13"/>
      <c r="ADO833" s="13"/>
      <c r="ADP833" s="13"/>
      <c r="ADQ833" s="13"/>
      <c r="ADR833" s="13"/>
      <c r="ADS833" s="13"/>
      <c r="ADT833" s="13"/>
      <c r="ADU833" s="13"/>
      <c r="ADV833" s="13"/>
      <c r="ADW833" s="13"/>
      <c r="ADX833" s="13"/>
      <c r="ADY833" s="13"/>
      <c r="ADZ833" s="13"/>
      <c r="AEA833" s="13"/>
      <c r="AEB833" s="13"/>
      <c r="AEC833" s="13"/>
      <c r="AED833" s="13"/>
      <c r="AEE833" s="13"/>
      <c r="AEF833" s="13"/>
      <c r="AEG833" s="13"/>
      <c r="AEH833" s="13"/>
      <c r="AEI833" s="13"/>
      <c r="AEJ833" s="13"/>
      <c r="AEK833" s="13"/>
      <c r="AEL833" s="13"/>
      <c r="AEM833" s="13"/>
      <c r="AEN833" s="13"/>
      <c r="AEO833" s="13"/>
      <c r="AEP833" s="13"/>
      <c r="AEQ833" s="13"/>
      <c r="AER833" s="13"/>
      <c r="AES833" s="13"/>
      <c r="AET833" s="13"/>
      <c r="AEU833" s="13"/>
      <c r="AEV833" s="13"/>
      <c r="AEW833" s="13"/>
      <c r="AEX833" s="13"/>
      <c r="AEY833" s="13"/>
      <c r="AEZ833" s="13"/>
      <c r="AFA833" s="13"/>
      <c r="AFB833" s="13"/>
      <c r="AFC833" s="13"/>
      <c r="AFD833" s="13"/>
      <c r="AFE833" s="13"/>
      <c r="AFF833" s="13"/>
      <c r="AFG833" s="13"/>
      <c r="AFH833" s="13"/>
      <c r="AFI833" s="13"/>
      <c r="AFJ833" s="13"/>
      <c r="AFK833" s="13"/>
      <c r="AFL833" s="13"/>
      <c r="AFM833" s="13"/>
      <c r="AFN833" s="13"/>
      <c r="AFO833" s="13"/>
      <c r="AFP833" s="13"/>
      <c r="AFQ833" s="13"/>
      <c r="AFR833" s="13"/>
      <c r="AFS833" s="13"/>
      <c r="AFT833" s="13"/>
      <c r="AFU833" s="13"/>
      <c r="AFV833" s="13"/>
      <c r="AFW833" s="13"/>
      <c r="AFX833" s="13"/>
      <c r="AFY833" s="13"/>
      <c r="AFZ833" s="13"/>
      <c r="AGA833" s="13"/>
      <c r="AGB833" s="13"/>
      <c r="AGC833" s="13"/>
      <c r="AGD833" s="13"/>
      <c r="AGE833" s="13"/>
      <c r="AGF833" s="13"/>
      <c r="AGG833" s="13"/>
      <c r="AGH833" s="13"/>
      <c r="AGI833" s="13"/>
      <c r="AGJ833" s="13"/>
      <c r="AGK833" s="13"/>
      <c r="AGL833" s="13"/>
      <c r="AGM833" s="13"/>
      <c r="AGN833" s="13"/>
      <c r="AGO833" s="13"/>
      <c r="AGP833" s="13"/>
      <c r="AGQ833" s="13"/>
      <c r="AGR833" s="13"/>
      <c r="AGS833" s="13"/>
      <c r="AGT833" s="13"/>
      <c r="AGU833" s="13"/>
      <c r="AGV833" s="13"/>
      <c r="AGW833" s="13"/>
      <c r="AGX833" s="13"/>
      <c r="AGY833" s="13"/>
      <c r="AGZ833" s="13"/>
      <c r="AHA833" s="13"/>
      <c r="AHB833" s="13"/>
      <c r="AHC833" s="13"/>
      <c r="AHD833" s="13"/>
      <c r="AHE833" s="13"/>
      <c r="AHF833" s="13"/>
      <c r="AHG833" s="13"/>
      <c r="AHH833" s="13"/>
      <c r="AHI833" s="13"/>
      <c r="AHJ833" s="13"/>
      <c r="AHK833" s="13"/>
      <c r="AHL833" s="13"/>
      <c r="AHM833" s="13"/>
      <c r="AHN833" s="13"/>
      <c r="AHO833" s="13"/>
      <c r="AHP833" s="13"/>
      <c r="AHQ833" s="13"/>
      <c r="AHR833" s="13"/>
      <c r="AHS833" s="13"/>
      <c r="AHT833" s="13"/>
      <c r="AHU833" s="13"/>
      <c r="AHV833" s="13"/>
      <c r="AHW833" s="13"/>
      <c r="AHX833" s="13"/>
      <c r="AHY833" s="13"/>
      <c r="AHZ833" s="13"/>
      <c r="AIA833" s="13"/>
      <c r="AIB833" s="13"/>
      <c r="AIC833" s="13"/>
      <c r="AID833" s="13"/>
      <c r="AIE833" s="13"/>
      <c r="AIF833" s="13"/>
      <c r="AIG833" s="13"/>
      <c r="AIH833" s="13"/>
      <c r="AII833" s="13"/>
      <c r="AIJ833" s="13"/>
      <c r="AIK833" s="13"/>
      <c r="AIL833" s="13"/>
      <c r="AIM833" s="13"/>
      <c r="AIN833" s="13"/>
      <c r="AIO833" s="13"/>
      <c r="AIP833" s="13"/>
      <c r="AIQ833" s="13"/>
      <c r="AIR833" s="13"/>
      <c r="AIS833" s="13"/>
      <c r="AIT833" s="13"/>
      <c r="AIU833" s="13"/>
      <c r="AIV833" s="13"/>
      <c r="AIW833" s="13"/>
      <c r="AIX833" s="13"/>
      <c r="AIY833" s="13"/>
      <c r="AIZ833" s="13"/>
      <c r="AJA833" s="13"/>
      <c r="AJB833" s="13"/>
      <c r="AJC833" s="13"/>
      <c r="AJD833" s="13"/>
      <c r="AJE833" s="13"/>
      <c r="AJF833" s="13"/>
      <c r="AJG833" s="13"/>
      <c r="AJH833" s="13"/>
      <c r="AJI833" s="13"/>
      <c r="AJJ833" s="13"/>
      <c r="AJK833" s="13"/>
      <c r="AJL833" s="13"/>
      <c r="AJM833" s="13"/>
      <c r="AJN833" s="13"/>
      <c r="AJO833" s="13"/>
      <c r="AJP833" s="13"/>
      <c r="AJQ833" s="13"/>
      <c r="AJR833" s="13"/>
      <c r="AJS833" s="13"/>
      <c r="AJT833" s="13"/>
      <c r="AJU833" s="13"/>
      <c r="AJV833" s="13"/>
      <c r="AJW833" s="13"/>
      <c r="AJX833" s="13"/>
      <c r="AJY833" s="13"/>
      <c r="AJZ833" s="13"/>
      <c r="AKA833" s="13"/>
      <c r="AKB833" s="13"/>
      <c r="AKC833" s="13"/>
      <c r="AKD833" s="13"/>
      <c r="AKE833" s="13"/>
      <c r="AKF833" s="13"/>
      <c r="AKG833" s="13"/>
      <c r="AKH833" s="13"/>
      <c r="AKI833" s="13"/>
      <c r="AKJ833" s="13"/>
      <c r="AKK833" s="13"/>
      <c r="AKL833" s="13"/>
      <c r="AKM833" s="13"/>
      <c r="AKN833" s="13"/>
      <c r="AKO833" s="13"/>
      <c r="AKP833" s="13"/>
      <c r="AKQ833" s="13"/>
      <c r="AKR833" s="13"/>
      <c r="AKS833" s="13"/>
      <c r="AKT833" s="13"/>
      <c r="AKU833" s="13"/>
      <c r="AKV833" s="13"/>
      <c r="AKW833" s="13"/>
      <c r="AKX833" s="13"/>
      <c r="AKY833" s="13"/>
      <c r="AKZ833" s="13"/>
      <c r="ALA833" s="13"/>
      <c r="ALB833" s="13"/>
      <c r="ALC833" s="13"/>
      <c r="ALD833" s="13"/>
      <c r="ALE833" s="13"/>
      <c r="ALF833" s="13"/>
      <c r="ALG833" s="13"/>
      <c r="ALH833" s="13"/>
      <c r="ALI833" s="13"/>
      <c r="ALJ833" s="13"/>
      <c r="ALK833" s="13"/>
      <c r="ALL833" s="13"/>
      <c r="ALM833" s="13"/>
      <c r="ALN833" s="13"/>
      <c r="ALO833" s="13"/>
      <c r="ALP833" s="13"/>
      <c r="ALQ833" s="13"/>
      <c r="ALR833" s="13"/>
      <c r="ALS833" s="13"/>
      <c r="ALT833" s="13"/>
      <c r="ALU833" s="13"/>
      <c r="ALV833" s="13"/>
      <c r="ALW833" s="13"/>
      <c r="ALX833" s="13"/>
      <c r="ALY833" s="13"/>
      <c r="ALZ833" s="13"/>
      <c r="AMA833" s="13"/>
      <c r="AMB833" s="13"/>
      <c r="AMC833" s="13"/>
      <c r="AMD833" s="13"/>
      <c r="AME833" s="13"/>
      <c r="AMF833" s="13"/>
      <c r="AMG833" s="13"/>
      <c r="AMH833" s="13"/>
      <c r="AMI833" s="13"/>
      <c r="AMJ833" s="13"/>
      <c r="AMK833" s="13"/>
      <c r="AML833" s="13"/>
      <c r="AMM833" s="13"/>
      <c r="AMN833" s="13"/>
      <c r="AMO833" s="13"/>
      <c r="AMP833" s="13"/>
      <c r="AMQ833" s="13"/>
      <c r="AMR833" s="13"/>
      <c r="AMS833" s="13"/>
      <c r="AMT833" s="13"/>
      <c r="AMU833" s="13"/>
      <c r="AMV833" s="13"/>
      <c r="AMW833" s="13"/>
      <c r="AMX833" s="13"/>
      <c r="AMY833" s="13"/>
      <c r="AMZ833" s="13"/>
      <c r="ANA833" s="13"/>
      <c r="ANB833" s="13"/>
      <c r="ANC833" s="13"/>
      <c r="AND833" s="13"/>
      <c r="ANE833" s="13"/>
      <c r="ANF833" s="13"/>
      <c r="ANG833" s="13"/>
      <c r="ANH833" s="13"/>
      <c r="ANI833" s="13"/>
      <c r="ANJ833" s="13"/>
      <c r="ANK833" s="13"/>
      <c r="ANL833" s="13"/>
      <c r="ANM833" s="13"/>
      <c r="ANN833" s="13"/>
      <c r="ANO833" s="13"/>
      <c r="ANP833" s="13"/>
      <c r="ANQ833" s="13"/>
      <c r="ANR833" s="13"/>
      <c r="ANS833" s="13"/>
      <c r="ANT833" s="13"/>
      <c r="ANU833" s="13"/>
      <c r="ANV833" s="13"/>
      <c r="ANW833" s="13"/>
      <c r="ANX833" s="13"/>
      <c r="ANY833" s="13"/>
      <c r="ANZ833" s="13"/>
      <c r="AOA833" s="13"/>
      <c r="AOB833" s="13"/>
      <c r="AOC833" s="13"/>
      <c r="AOD833" s="13"/>
      <c r="AOE833" s="13"/>
      <c r="AOF833" s="13"/>
      <c r="AOG833" s="13"/>
      <c r="AOH833" s="13"/>
      <c r="AOI833" s="13"/>
      <c r="AOJ833" s="13"/>
      <c r="AOK833" s="13"/>
      <c r="AOL833" s="13"/>
      <c r="AOM833" s="13"/>
      <c r="AON833" s="13"/>
      <c r="AOO833" s="13"/>
      <c r="AOP833" s="13"/>
      <c r="AOQ833" s="13"/>
      <c r="AOR833" s="13"/>
      <c r="AOS833" s="13"/>
      <c r="AOT833" s="13"/>
      <c r="AOU833" s="13"/>
      <c r="AOV833" s="13"/>
      <c r="AOW833" s="13"/>
      <c r="AOX833" s="13"/>
      <c r="AOY833" s="13"/>
      <c r="AOZ833" s="13"/>
      <c r="APA833" s="13"/>
      <c r="APB833" s="13"/>
      <c r="APC833" s="13"/>
      <c r="APD833" s="13"/>
      <c r="APE833" s="13"/>
      <c r="APF833" s="13"/>
      <c r="APG833" s="13"/>
      <c r="APH833" s="13"/>
      <c r="API833" s="13"/>
      <c r="APJ833" s="13"/>
      <c r="APK833" s="13"/>
      <c r="APL833" s="13"/>
      <c r="APM833" s="13"/>
      <c r="APN833" s="13"/>
      <c r="APO833" s="13"/>
      <c r="APP833" s="13"/>
      <c r="APQ833" s="13"/>
      <c r="APR833" s="13"/>
      <c r="APS833" s="13"/>
      <c r="APT833" s="13"/>
      <c r="APU833" s="13"/>
      <c r="APV833" s="13"/>
      <c r="APW833" s="13"/>
      <c r="APX833" s="13"/>
      <c r="APY833" s="13"/>
      <c r="APZ833" s="13"/>
      <c r="AQA833" s="13"/>
      <c r="AQB833" s="13"/>
      <c r="AQC833" s="13"/>
      <c r="AQD833" s="13"/>
      <c r="AQE833" s="13"/>
      <c r="AQF833" s="13"/>
      <c r="AQG833" s="13"/>
      <c r="AQH833" s="13"/>
      <c r="AQI833" s="13"/>
      <c r="AQJ833" s="13"/>
      <c r="AQK833" s="13"/>
      <c r="AQL833" s="13"/>
      <c r="AQM833" s="13"/>
      <c r="AQN833" s="13"/>
      <c r="AQO833" s="13"/>
      <c r="AQP833" s="13"/>
      <c r="AQQ833" s="13"/>
      <c r="AQR833" s="13"/>
      <c r="AQS833" s="13"/>
      <c r="AQT833" s="13"/>
      <c r="AQU833" s="13"/>
      <c r="AQV833" s="13"/>
      <c r="AQW833" s="13"/>
      <c r="AQX833" s="13"/>
      <c r="AQY833" s="13"/>
      <c r="AQZ833" s="13"/>
      <c r="ARA833" s="13"/>
      <c r="ARB833" s="13"/>
      <c r="ARC833" s="13"/>
      <c r="ARD833" s="13"/>
      <c r="ARE833" s="13"/>
      <c r="ARF833" s="13"/>
      <c r="ARG833" s="13"/>
      <c r="ARH833" s="13"/>
      <c r="ARI833" s="13"/>
      <c r="ARJ833" s="13"/>
      <c r="ARK833" s="13"/>
      <c r="ARL833" s="13"/>
      <c r="ARM833" s="13"/>
      <c r="ARN833" s="13"/>
      <c r="ARO833" s="13"/>
      <c r="ARP833" s="13"/>
      <c r="ARQ833" s="13"/>
      <c r="ARR833" s="13"/>
      <c r="ARS833" s="13"/>
      <c r="ART833" s="13"/>
      <c r="ARU833" s="13"/>
      <c r="ARV833" s="13"/>
      <c r="ARW833" s="13"/>
      <c r="ARX833" s="13"/>
      <c r="ARY833" s="13"/>
      <c r="ARZ833" s="13"/>
      <c r="ASA833" s="13"/>
      <c r="ASB833" s="13"/>
      <c r="ASC833" s="13"/>
      <c r="ASD833" s="13"/>
      <c r="ASE833" s="13"/>
      <c r="ASF833" s="13"/>
      <c r="ASG833" s="13"/>
      <c r="ASH833" s="13"/>
      <c r="ASI833" s="13"/>
      <c r="ASJ833" s="13"/>
      <c r="ASK833" s="13"/>
      <c r="ASL833" s="13"/>
      <c r="ASM833" s="13"/>
      <c r="ASN833" s="13"/>
      <c r="ASO833" s="13"/>
      <c r="ASP833" s="13"/>
      <c r="ASQ833" s="13"/>
      <c r="ASR833" s="13"/>
      <c r="ASS833" s="13"/>
      <c r="AST833" s="13"/>
      <c r="ASU833" s="13"/>
      <c r="ASV833" s="13"/>
      <c r="ASW833" s="13"/>
      <c r="ASX833" s="13"/>
      <c r="ASY833" s="13"/>
      <c r="ASZ833" s="13"/>
      <c r="ATA833" s="13"/>
      <c r="ATB833" s="13"/>
      <c r="ATC833" s="13"/>
      <c r="ATD833" s="13"/>
      <c r="ATE833" s="13"/>
      <c r="ATF833" s="13"/>
      <c r="ATG833" s="13"/>
      <c r="ATH833" s="13"/>
      <c r="ATI833" s="13"/>
      <c r="ATJ833" s="13"/>
      <c r="ATK833" s="13"/>
      <c r="ATL833" s="13"/>
      <c r="ATM833" s="13"/>
      <c r="ATN833" s="13"/>
      <c r="ATO833" s="13"/>
      <c r="ATP833" s="13"/>
      <c r="ATQ833" s="13"/>
      <c r="ATR833" s="13"/>
      <c r="ATS833" s="13"/>
      <c r="ATT833" s="13"/>
      <c r="ATU833" s="13"/>
      <c r="ATV833" s="13"/>
      <c r="ATW833" s="13"/>
      <c r="ATX833" s="13"/>
      <c r="ATY833" s="13"/>
      <c r="ATZ833" s="13"/>
      <c r="AUA833" s="13"/>
      <c r="AUB833" s="13"/>
      <c r="AUC833" s="13"/>
      <c r="AUD833" s="13"/>
      <c r="AUE833" s="13"/>
      <c r="AUF833" s="13"/>
      <c r="AUG833" s="13"/>
      <c r="AUH833" s="13"/>
      <c r="AUI833" s="13"/>
      <c r="AUJ833" s="13"/>
      <c r="AUK833" s="13"/>
      <c r="AUL833" s="13"/>
      <c r="AUM833" s="13"/>
      <c r="AUN833" s="13"/>
      <c r="AUO833" s="13"/>
      <c r="AUP833" s="13"/>
      <c r="AUQ833" s="13"/>
      <c r="AUR833" s="13"/>
      <c r="AUS833" s="13"/>
      <c r="AUT833" s="13"/>
      <c r="AUU833" s="13"/>
      <c r="AUV833" s="13"/>
      <c r="AUW833" s="13"/>
      <c r="AUX833" s="13"/>
      <c r="AUY833" s="13"/>
      <c r="AUZ833" s="13"/>
      <c r="AVA833" s="13"/>
      <c r="AVB833" s="13"/>
      <c r="AVC833" s="13"/>
      <c r="AVD833" s="13"/>
      <c r="AVE833" s="13"/>
      <c r="AVF833" s="13"/>
      <c r="AVG833" s="13"/>
      <c r="AVH833" s="13"/>
      <c r="AVI833" s="13"/>
      <c r="AVJ833" s="13"/>
      <c r="AVK833" s="13"/>
      <c r="AVL833" s="13"/>
      <c r="AVM833" s="13"/>
      <c r="AVN833" s="13"/>
      <c r="AVO833" s="13"/>
      <c r="AVP833" s="13"/>
      <c r="AVQ833" s="13"/>
      <c r="AVR833" s="13"/>
      <c r="AVS833" s="13"/>
      <c r="AVT833" s="13"/>
      <c r="AVU833" s="13"/>
      <c r="AVV833" s="13"/>
      <c r="AVW833" s="13"/>
      <c r="AVX833" s="13"/>
      <c r="AVY833" s="13"/>
      <c r="AVZ833" s="13"/>
      <c r="AWA833" s="13"/>
      <c r="AWB833" s="13"/>
      <c r="AWC833" s="13"/>
      <c r="AWD833" s="13"/>
      <c r="AWE833" s="13"/>
      <c r="AWF833" s="13"/>
      <c r="AWG833" s="13"/>
      <c r="AWH833" s="13"/>
      <c r="AWI833" s="13"/>
      <c r="AWJ833" s="13"/>
      <c r="AWK833" s="13"/>
      <c r="AWL833" s="13"/>
      <c r="AWM833" s="13"/>
      <c r="AWN833" s="13"/>
      <c r="AWO833" s="13"/>
      <c r="AWP833" s="13"/>
      <c r="AWQ833" s="13"/>
      <c r="AWR833" s="13"/>
      <c r="AWS833" s="13"/>
      <c r="AWT833" s="13"/>
      <c r="AWU833" s="13"/>
      <c r="AWV833" s="13"/>
      <c r="AWW833" s="13"/>
      <c r="AWX833" s="13"/>
      <c r="AWY833" s="13"/>
      <c r="AWZ833" s="13"/>
      <c r="AXA833" s="13"/>
      <c r="AXB833" s="13"/>
      <c r="AXC833" s="13"/>
      <c r="AXD833" s="13"/>
      <c r="AXE833" s="13"/>
      <c r="AXF833" s="13"/>
      <c r="AXG833" s="13"/>
      <c r="AXH833" s="13"/>
      <c r="AXI833" s="13"/>
      <c r="AXJ833" s="13"/>
      <c r="AXK833" s="13"/>
      <c r="AXL833" s="13"/>
      <c r="AXM833" s="13"/>
      <c r="AXN833" s="13"/>
      <c r="AXO833" s="13"/>
      <c r="AXP833" s="13"/>
      <c r="AXQ833" s="13"/>
      <c r="AXR833" s="13"/>
      <c r="AXS833" s="13"/>
      <c r="AXT833" s="13"/>
      <c r="AXU833" s="13"/>
      <c r="AXV833" s="13"/>
      <c r="AXW833" s="13"/>
      <c r="AXX833" s="13"/>
      <c r="AXY833" s="13"/>
      <c r="AXZ833" s="13"/>
      <c r="AYA833" s="13"/>
      <c r="AYB833" s="13"/>
      <c r="AYC833" s="13"/>
      <c r="AYD833" s="13"/>
      <c r="AYE833" s="13"/>
      <c r="AYF833" s="13"/>
      <c r="AYG833" s="13"/>
      <c r="AYH833" s="13"/>
      <c r="AYI833" s="13"/>
      <c r="AYJ833" s="13"/>
      <c r="AYK833" s="13"/>
      <c r="AYL833" s="13"/>
      <c r="AYM833" s="13"/>
      <c r="AYN833" s="13"/>
      <c r="AYO833" s="13"/>
      <c r="AYP833" s="13"/>
      <c r="AYQ833" s="13"/>
      <c r="AYR833" s="13"/>
      <c r="AYS833" s="13"/>
      <c r="AYT833" s="13"/>
      <c r="AYU833" s="13"/>
      <c r="AYV833" s="13"/>
      <c r="AYW833" s="13"/>
      <c r="AYX833" s="13"/>
      <c r="AYY833" s="13"/>
      <c r="AYZ833" s="13"/>
      <c r="AZA833" s="13"/>
      <c r="AZB833" s="13"/>
      <c r="AZC833" s="13"/>
      <c r="AZD833" s="13"/>
      <c r="AZE833" s="13"/>
      <c r="AZF833" s="13"/>
      <c r="AZG833" s="13"/>
      <c r="AZH833" s="13"/>
      <c r="AZI833" s="13"/>
      <c r="AZJ833" s="13"/>
      <c r="AZK833" s="13"/>
      <c r="AZL833" s="13"/>
      <c r="AZM833" s="13"/>
      <c r="AZN833" s="13"/>
      <c r="AZO833" s="13"/>
      <c r="AZP833" s="13"/>
      <c r="AZQ833" s="13"/>
      <c r="AZR833" s="13"/>
      <c r="AZS833" s="13"/>
      <c r="AZT833" s="13"/>
      <c r="AZU833" s="13"/>
      <c r="AZV833" s="13"/>
      <c r="AZW833" s="13"/>
      <c r="AZX833" s="13"/>
      <c r="AZY833" s="13"/>
      <c r="AZZ833" s="13"/>
      <c r="BAA833" s="13"/>
      <c r="BAB833" s="13"/>
      <c r="BAC833" s="13"/>
      <c r="BAD833" s="13"/>
      <c r="BAE833" s="13"/>
      <c r="BAF833" s="13"/>
      <c r="BAG833" s="13"/>
      <c r="BAH833" s="13"/>
      <c r="BAI833" s="13"/>
      <c r="BAJ833" s="13"/>
      <c r="BAK833" s="13"/>
      <c r="BAL833" s="13"/>
      <c r="BAM833" s="13"/>
      <c r="BAN833" s="13"/>
      <c r="BAO833" s="13"/>
      <c r="BAP833" s="13"/>
      <c r="BAQ833" s="13"/>
      <c r="BAR833" s="13"/>
      <c r="BAS833" s="13"/>
      <c r="BAT833" s="13"/>
      <c r="BAU833" s="13"/>
      <c r="BAV833" s="13"/>
      <c r="BAW833" s="13"/>
      <c r="BAX833" s="13"/>
      <c r="BAY833" s="13"/>
      <c r="BAZ833" s="13"/>
      <c r="BBA833" s="13"/>
      <c r="BBB833" s="13"/>
      <c r="BBC833" s="13"/>
      <c r="BBD833" s="13"/>
      <c r="BBE833" s="13"/>
      <c r="BBF833" s="13"/>
      <c r="BBG833" s="13"/>
      <c r="BBH833" s="13"/>
      <c r="BBI833" s="13"/>
      <c r="BBJ833" s="13"/>
      <c r="BBK833" s="13"/>
      <c r="BBL833" s="13"/>
      <c r="BBM833" s="13"/>
      <c r="BBN833" s="13"/>
      <c r="BBO833" s="13"/>
      <c r="BBP833" s="13"/>
      <c r="BBQ833" s="13"/>
      <c r="BBR833" s="13"/>
      <c r="BBS833" s="13"/>
      <c r="BBT833" s="13"/>
      <c r="BBU833" s="13"/>
      <c r="BBV833" s="13"/>
      <c r="BBW833" s="13"/>
      <c r="BBX833" s="13"/>
      <c r="BBY833" s="13"/>
      <c r="BBZ833" s="13"/>
      <c r="BCA833" s="13"/>
      <c r="BCB833" s="13"/>
      <c r="BCC833" s="13"/>
      <c r="BCD833" s="13"/>
      <c r="BCE833" s="13"/>
      <c r="BCF833" s="13"/>
      <c r="BCG833" s="13"/>
      <c r="BCH833" s="13"/>
      <c r="BCI833" s="13"/>
      <c r="BCJ833" s="13"/>
      <c r="BCK833" s="13"/>
      <c r="BCL833" s="13"/>
      <c r="BCM833" s="13"/>
      <c r="BCN833" s="13"/>
      <c r="BCO833" s="13"/>
      <c r="BCP833" s="13"/>
      <c r="BCQ833" s="13"/>
      <c r="BCR833" s="13"/>
      <c r="BCS833" s="13"/>
      <c r="BCT833" s="13"/>
      <c r="BCU833" s="13"/>
      <c r="BCV833" s="13"/>
      <c r="BCW833" s="13"/>
      <c r="BCX833" s="13"/>
      <c r="BCY833" s="13"/>
      <c r="BCZ833" s="13"/>
      <c r="BDA833" s="13"/>
      <c r="BDB833" s="13"/>
      <c r="BDC833" s="13"/>
      <c r="BDD833" s="13"/>
      <c r="BDE833" s="13"/>
      <c r="BDF833" s="13"/>
      <c r="BDG833" s="13"/>
      <c r="BDH833" s="13"/>
      <c r="BDI833" s="13"/>
      <c r="BDJ833" s="13"/>
      <c r="BDK833" s="13"/>
      <c r="BDL833" s="13"/>
      <c r="BDM833" s="13"/>
      <c r="BDN833" s="13"/>
      <c r="BDO833" s="13"/>
      <c r="BDP833" s="13"/>
      <c r="BDQ833" s="13"/>
      <c r="BDR833" s="13"/>
      <c r="BDS833" s="13"/>
      <c r="BDT833" s="13"/>
      <c r="BDU833" s="13"/>
      <c r="BDV833" s="13"/>
      <c r="BDW833" s="13"/>
      <c r="BDX833" s="13"/>
      <c r="BDY833" s="13"/>
      <c r="BDZ833" s="13"/>
      <c r="BEA833" s="13"/>
      <c r="BEB833" s="13"/>
      <c r="BEC833" s="13"/>
      <c r="BED833" s="13"/>
      <c r="BEE833" s="13"/>
      <c r="BEF833" s="13"/>
      <c r="BEG833" s="13"/>
      <c r="BEH833" s="13"/>
      <c r="BEI833" s="13"/>
      <c r="BEJ833" s="13"/>
      <c r="BEK833" s="13"/>
      <c r="BEL833" s="13"/>
      <c r="BEM833" s="13"/>
      <c r="BEN833" s="13"/>
      <c r="BEO833" s="13"/>
      <c r="BEP833" s="13"/>
      <c r="BEQ833" s="13"/>
      <c r="BER833" s="13"/>
      <c r="BES833" s="13"/>
      <c r="BET833" s="13"/>
      <c r="BEU833" s="13"/>
      <c r="BEV833" s="13"/>
      <c r="BEW833" s="13"/>
      <c r="BEX833" s="13"/>
      <c r="BEY833" s="13"/>
      <c r="BEZ833" s="13"/>
      <c r="BFA833" s="13"/>
      <c r="BFB833" s="13"/>
      <c r="BFC833" s="13"/>
      <c r="BFD833" s="13"/>
      <c r="BFE833" s="13"/>
      <c r="BFF833" s="13"/>
      <c r="BFG833" s="13"/>
      <c r="BFH833" s="13"/>
      <c r="BFI833" s="13"/>
      <c r="BFJ833" s="13"/>
      <c r="BFK833" s="13"/>
      <c r="BFL833" s="13"/>
      <c r="BFM833" s="13"/>
      <c r="BFN833" s="13"/>
      <c r="BFO833" s="13"/>
      <c r="BFP833" s="13"/>
      <c r="BFQ833" s="13"/>
      <c r="BFR833" s="13"/>
      <c r="BFS833" s="13"/>
      <c r="BFT833" s="13"/>
      <c r="BFU833" s="13"/>
      <c r="BFV833" s="13"/>
      <c r="BFW833" s="13"/>
      <c r="BFX833" s="13"/>
      <c r="BFY833" s="13"/>
      <c r="BFZ833" s="13"/>
      <c r="BGA833" s="13"/>
      <c r="BGB833" s="13"/>
      <c r="BGC833" s="13"/>
      <c r="BGD833" s="13"/>
      <c r="BGE833" s="13"/>
      <c r="BGF833" s="13"/>
      <c r="BGG833" s="13"/>
      <c r="BGH833" s="13"/>
      <c r="BGI833" s="13"/>
      <c r="BGJ833" s="13"/>
      <c r="BGK833" s="13"/>
      <c r="BGL833" s="13"/>
      <c r="BGM833" s="13"/>
      <c r="BGN833" s="13"/>
      <c r="BGO833" s="13"/>
      <c r="BGP833" s="13"/>
      <c r="BGQ833" s="13"/>
      <c r="BGR833" s="13"/>
      <c r="BGS833" s="13"/>
      <c r="BGT833" s="13"/>
      <c r="BGU833" s="13"/>
      <c r="BGV833" s="13"/>
      <c r="BGW833" s="13"/>
      <c r="BGX833" s="13"/>
      <c r="BGY833" s="13"/>
      <c r="BGZ833" s="13"/>
      <c r="BHA833" s="13"/>
      <c r="BHB833" s="13"/>
      <c r="BHC833" s="13"/>
      <c r="BHD833" s="13"/>
      <c r="BHE833" s="13"/>
      <c r="BHF833" s="13"/>
      <c r="BHG833" s="13"/>
      <c r="BHH833" s="13"/>
      <c r="BHI833" s="13"/>
      <c r="BHJ833" s="13"/>
      <c r="BHK833" s="13"/>
      <c r="BHL833" s="13"/>
      <c r="BHM833" s="13"/>
      <c r="BHN833" s="13"/>
      <c r="BHO833" s="13"/>
      <c r="BHP833" s="13"/>
      <c r="BHQ833" s="13"/>
      <c r="BHR833" s="13"/>
      <c r="BHS833" s="13"/>
      <c r="BHT833" s="13"/>
      <c r="BHU833" s="13"/>
      <c r="BHV833" s="13"/>
      <c r="BHW833" s="13"/>
      <c r="BHX833" s="13"/>
      <c r="BHY833" s="13"/>
      <c r="BHZ833" s="13"/>
      <c r="BIA833" s="13"/>
      <c r="BIB833" s="13"/>
      <c r="BIC833" s="13"/>
      <c r="BID833" s="13"/>
      <c r="BIE833" s="13"/>
      <c r="BIF833" s="13"/>
      <c r="BIG833" s="13"/>
      <c r="BIH833" s="13"/>
      <c r="BII833" s="13"/>
      <c r="BIJ833" s="13"/>
      <c r="BIK833" s="13"/>
      <c r="BIL833" s="13"/>
      <c r="BIM833" s="13"/>
      <c r="BIN833" s="13"/>
      <c r="BIO833" s="13"/>
      <c r="BIP833" s="13"/>
      <c r="BIQ833" s="13"/>
      <c r="BIR833" s="13"/>
      <c r="BIS833" s="13"/>
      <c r="BIT833" s="13"/>
      <c r="BIU833" s="13"/>
      <c r="BIV833" s="13"/>
      <c r="BIW833" s="13"/>
      <c r="BIX833" s="13"/>
      <c r="BIY833" s="13"/>
      <c r="BIZ833" s="13"/>
      <c r="BJA833" s="13"/>
      <c r="BJB833" s="13"/>
      <c r="BJC833" s="13"/>
      <c r="BJD833" s="13"/>
      <c r="BJE833" s="13"/>
      <c r="BJF833" s="13"/>
      <c r="BJG833" s="13"/>
      <c r="BJH833" s="13"/>
      <c r="BJI833" s="13"/>
      <c r="BJJ833" s="13"/>
      <c r="BJK833" s="13"/>
      <c r="BJL833" s="13"/>
      <c r="BJM833" s="13"/>
      <c r="BJN833" s="13"/>
      <c r="BJO833" s="13"/>
      <c r="BJP833" s="13"/>
      <c r="BJQ833" s="13"/>
      <c r="BJR833" s="13"/>
      <c r="BJS833" s="13"/>
      <c r="BJT833" s="13"/>
      <c r="BJU833" s="13"/>
      <c r="BJV833" s="13"/>
      <c r="BJW833" s="13"/>
      <c r="BJX833" s="13"/>
      <c r="BJY833" s="13"/>
      <c r="BJZ833" s="13"/>
      <c r="BKA833" s="13"/>
      <c r="BKB833" s="13"/>
      <c r="BKC833" s="13"/>
      <c r="BKD833" s="13"/>
      <c r="BKE833" s="13"/>
      <c r="BKF833" s="13"/>
      <c r="BKG833" s="13"/>
      <c r="BKH833" s="13"/>
      <c r="BKI833" s="13"/>
      <c r="BKJ833" s="13"/>
      <c r="BKK833" s="13"/>
      <c r="BKL833" s="13"/>
      <c r="BKM833" s="13"/>
      <c r="BKN833" s="13"/>
      <c r="BKO833" s="13"/>
      <c r="BKP833" s="13"/>
      <c r="BKQ833" s="13"/>
      <c r="BKR833" s="13"/>
      <c r="BKS833" s="13"/>
      <c r="BKT833" s="13"/>
      <c r="BKU833" s="13"/>
      <c r="BKV833" s="13"/>
      <c r="BKW833" s="13"/>
      <c r="BKX833" s="13"/>
      <c r="BKY833" s="13"/>
      <c r="BKZ833" s="13"/>
      <c r="BLA833" s="13"/>
      <c r="BLB833" s="13"/>
      <c r="BLC833" s="13"/>
      <c r="BLD833" s="13"/>
      <c r="BLE833" s="13"/>
      <c r="BLF833" s="13"/>
      <c r="BLG833" s="13"/>
      <c r="BLH833" s="13"/>
      <c r="BLI833" s="13"/>
      <c r="BLJ833" s="13"/>
      <c r="BLK833" s="13"/>
      <c r="BLL833" s="13"/>
      <c r="BLM833" s="13"/>
      <c r="BLN833" s="13"/>
      <c r="BLO833" s="13"/>
      <c r="BLP833" s="13"/>
      <c r="BLQ833" s="13"/>
      <c r="BLR833" s="13"/>
      <c r="BLS833" s="13"/>
      <c r="BLT833" s="13"/>
      <c r="BLU833" s="13"/>
      <c r="BLV833" s="13"/>
      <c r="BLW833" s="13"/>
      <c r="BLX833" s="13"/>
      <c r="BLY833" s="13"/>
      <c r="BLZ833" s="13"/>
      <c r="BMA833" s="13"/>
      <c r="BMB833" s="13"/>
      <c r="BMC833" s="13"/>
      <c r="BMD833" s="13"/>
      <c r="BME833" s="13"/>
      <c r="BMF833" s="13"/>
      <c r="BMG833" s="13"/>
      <c r="BMH833" s="13"/>
      <c r="BMI833" s="13"/>
      <c r="BMJ833" s="13"/>
      <c r="BMK833" s="13"/>
      <c r="BML833" s="13"/>
      <c r="BMM833" s="13"/>
      <c r="BMN833" s="13"/>
      <c r="BMO833" s="13"/>
      <c r="BMP833" s="13"/>
      <c r="BMQ833" s="13"/>
      <c r="BMR833" s="13"/>
      <c r="BMS833" s="13"/>
      <c r="BMT833" s="13"/>
      <c r="BMU833" s="13"/>
      <c r="BMV833" s="13"/>
      <c r="BMW833" s="13"/>
      <c r="BMX833" s="13"/>
      <c r="BMY833" s="13"/>
      <c r="BMZ833" s="13"/>
      <c r="BNA833" s="13"/>
      <c r="BNB833" s="13"/>
      <c r="BNC833" s="13"/>
      <c r="BND833" s="13"/>
      <c r="BNE833" s="13"/>
      <c r="BNF833" s="13"/>
      <c r="BNG833" s="13"/>
      <c r="BNH833" s="13"/>
      <c r="BNI833" s="13"/>
      <c r="BNJ833" s="13"/>
      <c r="BNK833" s="13"/>
      <c r="BNL833" s="13"/>
      <c r="BNM833" s="13"/>
      <c r="BNN833" s="13"/>
      <c r="BNO833" s="13"/>
      <c r="BNP833" s="13"/>
      <c r="BNQ833" s="13"/>
      <c r="BNR833" s="13"/>
      <c r="BNS833" s="13"/>
      <c r="BNT833" s="13"/>
      <c r="BNU833" s="13"/>
      <c r="BNV833" s="13"/>
      <c r="BNW833" s="13"/>
      <c r="BNX833" s="13"/>
      <c r="BNY833" s="13"/>
      <c r="BNZ833" s="13"/>
      <c r="BOA833" s="13"/>
      <c r="BOB833" s="13"/>
      <c r="BOC833" s="13"/>
      <c r="BOD833" s="13"/>
      <c r="BOE833" s="13"/>
      <c r="BOF833" s="13"/>
      <c r="BOG833" s="13"/>
      <c r="BOH833" s="13"/>
      <c r="BOI833" s="13"/>
      <c r="BOJ833" s="13"/>
      <c r="BOK833" s="13"/>
      <c r="BOL833" s="13"/>
      <c r="BOM833" s="13"/>
      <c r="BON833" s="13"/>
      <c r="BOO833" s="13"/>
      <c r="BOP833" s="13"/>
      <c r="BOQ833" s="13"/>
      <c r="BOR833" s="13"/>
      <c r="BOS833" s="13"/>
      <c r="BOT833" s="13"/>
      <c r="BOU833" s="13"/>
      <c r="BOV833" s="13"/>
      <c r="BOW833" s="13"/>
      <c r="BOX833" s="13"/>
      <c r="BOY833" s="13"/>
      <c r="BOZ833" s="13"/>
      <c r="BPA833" s="13"/>
      <c r="BPB833" s="13"/>
      <c r="BPC833" s="13"/>
      <c r="BPD833" s="13"/>
      <c r="BPE833" s="13"/>
      <c r="BPF833" s="13"/>
      <c r="BPG833" s="13"/>
      <c r="BPH833" s="13"/>
      <c r="BPI833" s="13"/>
      <c r="BPJ833" s="13"/>
      <c r="BPK833" s="13"/>
      <c r="BPL833" s="13"/>
      <c r="BPM833" s="13"/>
      <c r="BPN833" s="13"/>
      <c r="BPO833" s="13"/>
      <c r="BPP833" s="13"/>
      <c r="BPQ833" s="13"/>
      <c r="BPR833" s="13"/>
      <c r="BPS833" s="13"/>
      <c r="BPT833" s="13"/>
      <c r="BPU833" s="13"/>
      <c r="BPV833" s="13"/>
      <c r="BPW833" s="13"/>
      <c r="BPX833" s="13"/>
      <c r="BPY833" s="13"/>
      <c r="BPZ833" s="13"/>
      <c r="BQA833" s="13"/>
      <c r="BQB833" s="13"/>
      <c r="BQC833" s="13"/>
      <c r="BQD833" s="13"/>
      <c r="BQE833" s="13"/>
      <c r="BQF833" s="13"/>
      <c r="BQG833" s="13"/>
      <c r="BQH833" s="13"/>
      <c r="BQI833" s="13"/>
      <c r="BQJ833" s="13"/>
      <c r="BQK833" s="13"/>
      <c r="BQL833" s="13"/>
      <c r="BQM833" s="13"/>
      <c r="BQN833" s="13"/>
      <c r="BQO833" s="13"/>
      <c r="BQP833" s="13"/>
      <c r="BQQ833" s="13"/>
      <c r="BQR833" s="13"/>
      <c r="BQS833" s="13"/>
      <c r="BQT833" s="13"/>
      <c r="BQU833" s="13"/>
      <c r="BQV833" s="13"/>
      <c r="BQW833" s="13"/>
      <c r="BQX833" s="13"/>
      <c r="BQY833" s="13"/>
      <c r="BQZ833" s="13"/>
      <c r="BRA833" s="13"/>
      <c r="BRB833" s="13"/>
      <c r="BRC833" s="13"/>
      <c r="BRD833" s="13"/>
      <c r="BRE833" s="13"/>
      <c r="BRF833" s="13"/>
      <c r="BRG833" s="13"/>
      <c r="BRH833" s="13"/>
      <c r="BRI833" s="13"/>
      <c r="BRJ833" s="13"/>
      <c r="BRK833" s="13"/>
      <c r="BRL833" s="13"/>
      <c r="BRM833" s="13"/>
      <c r="BRN833" s="13"/>
      <c r="BRO833" s="13"/>
      <c r="BRP833" s="13"/>
      <c r="BRQ833" s="13"/>
      <c r="BRR833" s="13"/>
      <c r="BRS833" s="13"/>
      <c r="BRT833" s="13"/>
      <c r="BRU833" s="13"/>
      <c r="BRV833" s="13"/>
      <c r="BRW833" s="13"/>
      <c r="BRX833" s="13"/>
      <c r="BRY833" s="13"/>
      <c r="BRZ833" s="13"/>
      <c r="BSA833" s="13"/>
      <c r="BSB833" s="13"/>
      <c r="BSC833" s="13"/>
      <c r="BSD833" s="13"/>
      <c r="BSE833" s="13"/>
      <c r="BSF833" s="13"/>
      <c r="BSG833" s="13"/>
      <c r="BSH833" s="13"/>
      <c r="BSI833" s="13"/>
      <c r="BSJ833" s="13"/>
      <c r="BSK833" s="13"/>
      <c r="BSL833" s="13"/>
      <c r="BSM833" s="13"/>
      <c r="BSN833" s="13"/>
      <c r="BSO833" s="13"/>
      <c r="BSP833" s="13"/>
      <c r="BSQ833" s="13"/>
      <c r="BSR833" s="13"/>
      <c r="BSS833" s="13"/>
      <c r="BST833" s="13"/>
      <c r="BSU833" s="13"/>
      <c r="BSV833" s="13"/>
      <c r="BSW833" s="13"/>
      <c r="BSX833" s="13"/>
      <c r="BSY833" s="13"/>
      <c r="BSZ833" s="13"/>
      <c r="BTA833" s="13"/>
    </row>
    <row r="834" spans="1:1873" s="13" customFormat="1" x14ac:dyDescent="0.2">
      <c r="A834" s="403" t="s">
        <v>367</v>
      </c>
      <c r="B834" s="404" t="s">
        <v>2132</v>
      </c>
      <c r="C834" s="404" t="s">
        <v>1562</v>
      </c>
      <c r="D834" s="404" t="s">
        <v>1560</v>
      </c>
      <c r="E834" s="404" t="s">
        <v>1460</v>
      </c>
      <c r="F834" s="403">
        <v>3</v>
      </c>
      <c r="G834" s="403">
        <v>2</v>
      </c>
      <c r="H834" s="405">
        <v>6</v>
      </c>
      <c r="I834" s="245" t="s">
        <v>954</v>
      </c>
      <c r="J834" s="441">
        <v>1973</v>
      </c>
      <c r="K834" s="245" t="s">
        <v>1211</v>
      </c>
      <c r="L834" s="441">
        <v>1978</v>
      </c>
      <c r="M834" s="285">
        <f>+T834*G834</f>
        <v>19.8</v>
      </c>
      <c r="N834" s="223">
        <v>-9999</v>
      </c>
      <c r="O834" s="29"/>
      <c r="P834" s="243">
        <v>-9999</v>
      </c>
      <c r="Q834" s="223">
        <v>-9999</v>
      </c>
      <c r="R834" s="243"/>
      <c r="S834" s="223"/>
      <c r="T834" s="406">
        <v>9.9</v>
      </c>
      <c r="U834" s="223">
        <v>-9999</v>
      </c>
      <c r="V834" s="223"/>
      <c r="W834" s="243">
        <v>-9999</v>
      </c>
      <c r="X834" s="223">
        <v>-9999</v>
      </c>
      <c r="Y834" s="223"/>
      <c r="Z834" s="404" t="s">
        <v>1701</v>
      </c>
      <c r="AA834" s="442">
        <v>13455</v>
      </c>
      <c r="AB834" s="243">
        <v>-9999</v>
      </c>
      <c r="AC834" s="223">
        <v>-9999</v>
      </c>
      <c r="AD834" s="223">
        <v>144</v>
      </c>
      <c r="AE834" s="404" t="s">
        <v>1961</v>
      </c>
      <c r="AF834" s="223">
        <v>1</v>
      </c>
      <c r="AG834" s="223" t="s">
        <v>1070</v>
      </c>
      <c r="AH834" s="223" t="s">
        <v>876</v>
      </c>
      <c r="AI834" s="223" t="s">
        <v>1066</v>
      </c>
      <c r="AJ834" s="223">
        <v>-9999</v>
      </c>
      <c r="AK834" s="223" t="s">
        <v>626</v>
      </c>
      <c r="AL834" s="223">
        <v>0</v>
      </c>
      <c r="AM834" s="223">
        <v>-9999</v>
      </c>
      <c r="AN834" s="223">
        <v>-9999</v>
      </c>
      <c r="AO834" s="223">
        <v>-9999</v>
      </c>
      <c r="AP834" s="223">
        <v>-9999</v>
      </c>
      <c r="AQ834" s="223" t="s">
        <v>631</v>
      </c>
      <c r="AR834" s="223">
        <v>0</v>
      </c>
      <c r="AS834" s="223">
        <v>-9999</v>
      </c>
      <c r="AT834" s="223">
        <v>-9999</v>
      </c>
      <c r="AU834" s="223">
        <v>0</v>
      </c>
      <c r="AV834" s="223">
        <v>-9999</v>
      </c>
      <c r="AW834" s="223">
        <v>-9999</v>
      </c>
      <c r="AX834" s="223">
        <v>0</v>
      </c>
      <c r="AY834" s="223">
        <v>-9999</v>
      </c>
      <c r="AZ834" s="223">
        <v>-9999</v>
      </c>
      <c r="BA834" s="223">
        <v>-9999</v>
      </c>
      <c r="BB834" s="223" t="s">
        <v>631</v>
      </c>
      <c r="BC834" s="223">
        <v>-9999</v>
      </c>
      <c r="BD834" s="223">
        <v>-9999</v>
      </c>
      <c r="BE834" s="223">
        <v>-9999</v>
      </c>
      <c r="BF834" s="223">
        <v>-9999</v>
      </c>
      <c r="BG834" s="223">
        <v>-9999</v>
      </c>
      <c r="BH834" s="223">
        <v>-9999</v>
      </c>
      <c r="BI834" s="223" t="s">
        <v>84</v>
      </c>
      <c r="BJ834" s="223">
        <v>-9999</v>
      </c>
      <c r="BK834" s="223">
        <v>-9999</v>
      </c>
      <c r="BL834" s="223">
        <v>-9999</v>
      </c>
      <c r="BM834" s="223">
        <v>-9999</v>
      </c>
      <c r="BN834" s="223">
        <v>-9999</v>
      </c>
      <c r="BO834" s="223">
        <v>-9999</v>
      </c>
      <c r="BP834" s="223">
        <v>-9999</v>
      </c>
      <c r="BQ834" s="223">
        <v>-9999</v>
      </c>
      <c r="BR834" s="223">
        <v>-9999</v>
      </c>
      <c r="BS834" s="242">
        <v>-9999</v>
      </c>
      <c r="BT834" s="223">
        <v>-9999</v>
      </c>
      <c r="BU834" s="223">
        <v>-9999</v>
      </c>
      <c r="BV834" s="223">
        <v>-9999</v>
      </c>
      <c r="BW834" s="223"/>
      <c r="BX834" s="223">
        <v>-9999</v>
      </c>
      <c r="BY834" s="223">
        <v>-9999</v>
      </c>
      <c r="BZ834" s="223">
        <v>-9999</v>
      </c>
      <c r="CA834" s="332">
        <v>-9999</v>
      </c>
      <c r="CB834" s="443" t="s">
        <v>1570</v>
      </c>
      <c r="CC834" s="403">
        <v>3</v>
      </c>
      <c r="CD834" s="403">
        <v>2</v>
      </c>
      <c r="CE834" s="342">
        <v>9.9</v>
      </c>
      <c r="CF834" s="342">
        <v>-9999</v>
      </c>
      <c r="CG834" s="405">
        <v>6</v>
      </c>
    </row>
    <row r="835" spans="1:1873" s="13" customFormat="1" x14ac:dyDescent="0.2">
      <c r="A835" s="403" t="s">
        <v>367</v>
      </c>
      <c r="B835" s="404" t="s">
        <v>2132</v>
      </c>
      <c r="C835" s="404" t="s">
        <v>1562</v>
      </c>
      <c r="D835" s="404" t="s">
        <v>1560</v>
      </c>
      <c r="E835" s="404" t="s">
        <v>1460</v>
      </c>
      <c r="F835" s="403">
        <v>4</v>
      </c>
      <c r="G835" s="403">
        <v>2</v>
      </c>
      <c r="H835" s="405">
        <v>8</v>
      </c>
      <c r="I835" s="245" t="s">
        <v>954</v>
      </c>
      <c r="J835" s="441">
        <v>1973</v>
      </c>
      <c r="K835" s="245" t="s">
        <v>1211</v>
      </c>
      <c r="L835" s="441">
        <v>1980</v>
      </c>
      <c r="M835" s="285">
        <f>+T835*G835</f>
        <v>15.2</v>
      </c>
      <c r="N835" s="223">
        <v>-9999</v>
      </c>
      <c r="O835" s="29"/>
      <c r="P835" s="243">
        <v>-9999</v>
      </c>
      <c r="Q835" s="223">
        <v>-9999</v>
      </c>
      <c r="R835" s="243"/>
      <c r="S835" s="223"/>
      <c r="T835" s="406">
        <v>7.6</v>
      </c>
      <c r="U835" s="223">
        <v>-9999</v>
      </c>
      <c r="V835" s="223"/>
      <c r="W835" s="243">
        <v>-9999</v>
      </c>
      <c r="X835" s="223">
        <v>-9999</v>
      </c>
      <c r="Y835" s="223"/>
      <c r="Z835" s="404" t="s">
        <v>1701</v>
      </c>
      <c r="AA835" s="442">
        <v>13455</v>
      </c>
      <c r="AB835" s="243">
        <v>-9999</v>
      </c>
      <c r="AC835" s="223">
        <v>-9999</v>
      </c>
      <c r="AD835" s="223">
        <v>144</v>
      </c>
      <c r="AE835" s="404" t="s">
        <v>1961</v>
      </c>
      <c r="AF835" s="223">
        <v>1</v>
      </c>
      <c r="AG835" s="223" t="s">
        <v>1070</v>
      </c>
      <c r="AH835" s="223" t="s">
        <v>876</v>
      </c>
      <c r="AI835" s="223" t="s">
        <v>1066</v>
      </c>
      <c r="AJ835" s="223">
        <v>-9999</v>
      </c>
      <c r="AK835" s="223" t="s">
        <v>626</v>
      </c>
      <c r="AL835" s="223">
        <v>0</v>
      </c>
      <c r="AM835" s="223">
        <v>-9999</v>
      </c>
      <c r="AN835" s="223">
        <v>-9999</v>
      </c>
      <c r="AO835" s="223">
        <v>-9999</v>
      </c>
      <c r="AP835" s="223">
        <v>-9999</v>
      </c>
      <c r="AQ835" s="223" t="s">
        <v>631</v>
      </c>
      <c r="AR835" s="223">
        <v>0</v>
      </c>
      <c r="AS835" s="223">
        <v>-9999</v>
      </c>
      <c r="AT835" s="223">
        <v>-9999</v>
      </c>
      <c r="AU835" s="223">
        <v>0</v>
      </c>
      <c r="AV835" s="223">
        <v>-9999</v>
      </c>
      <c r="AW835" s="223">
        <v>-9999</v>
      </c>
      <c r="AX835" s="223">
        <v>0</v>
      </c>
      <c r="AY835" s="223">
        <v>-9999</v>
      </c>
      <c r="AZ835" s="223">
        <v>-9999</v>
      </c>
      <c r="BA835" s="223">
        <v>-9999</v>
      </c>
      <c r="BB835" s="223" t="s">
        <v>631</v>
      </c>
      <c r="BC835" s="223">
        <v>-9999</v>
      </c>
      <c r="BD835" s="223">
        <v>-9999</v>
      </c>
      <c r="BE835" s="223">
        <v>-9999</v>
      </c>
      <c r="BF835" s="223">
        <v>-9999</v>
      </c>
      <c r="BG835" s="223">
        <v>-9999</v>
      </c>
      <c r="BH835" s="223">
        <v>-9999</v>
      </c>
      <c r="BI835" s="223" t="s">
        <v>84</v>
      </c>
      <c r="BJ835" s="223">
        <v>-9999</v>
      </c>
      <c r="BK835" s="223">
        <v>-9999</v>
      </c>
      <c r="BL835" s="223">
        <v>-9999</v>
      </c>
      <c r="BM835" s="223">
        <v>-9999</v>
      </c>
      <c r="BN835" s="223">
        <v>-9999</v>
      </c>
      <c r="BO835" s="223">
        <v>-9999</v>
      </c>
      <c r="BP835" s="223">
        <v>-9999</v>
      </c>
      <c r="BQ835" s="223">
        <v>-9999</v>
      </c>
      <c r="BR835" s="223">
        <v>-9999</v>
      </c>
      <c r="BS835" s="242">
        <v>-9999</v>
      </c>
      <c r="BT835" s="223">
        <v>-9999</v>
      </c>
      <c r="BU835" s="223">
        <v>-9999</v>
      </c>
      <c r="BV835" s="223">
        <v>-9999</v>
      </c>
      <c r="BW835" s="223"/>
      <c r="BX835" s="223">
        <v>-9999</v>
      </c>
      <c r="BY835" s="223">
        <v>-9999</v>
      </c>
      <c r="BZ835" s="223">
        <v>-9999</v>
      </c>
      <c r="CA835" s="332">
        <v>-9999</v>
      </c>
      <c r="CB835" s="443" t="s">
        <v>1570</v>
      </c>
      <c r="CC835" s="403">
        <v>4</v>
      </c>
      <c r="CD835" s="403">
        <v>2</v>
      </c>
      <c r="CE835" s="342">
        <v>7.6</v>
      </c>
      <c r="CF835" s="342">
        <v>-9999</v>
      </c>
      <c r="CG835" s="405">
        <v>8</v>
      </c>
    </row>
    <row r="836" spans="1:1873" s="13" customFormat="1" x14ac:dyDescent="0.2">
      <c r="A836" s="403" t="s">
        <v>367</v>
      </c>
      <c r="B836" s="404" t="s">
        <v>2132</v>
      </c>
      <c r="C836" s="404" t="s">
        <v>1562</v>
      </c>
      <c r="D836" s="404" t="s">
        <v>1560</v>
      </c>
      <c r="E836" s="404" t="s">
        <v>1460</v>
      </c>
      <c r="F836" s="403">
        <v>5</v>
      </c>
      <c r="G836" s="403">
        <v>2</v>
      </c>
      <c r="H836" s="405">
        <v>10</v>
      </c>
      <c r="I836" s="245" t="s">
        <v>954</v>
      </c>
      <c r="J836" s="441">
        <v>1973</v>
      </c>
      <c r="K836" s="245" t="s">
        <v>1211</v>
      </c>
      <c r="L836" s="441">
        <v>1982</v>
      </c>
      <c r="M836" s="285">
        <f>+T836*G836</f>
        <v>9.8000000000000007</v>
      </c>
      <c r="N836" s="223">
        <v>-9999</v>
      </c>
      <c r="O836" s="29"/>
      <c r="P836" s="243">
        <v>-9999</v>
      </c>
      <c r="Q836" s="223">
        <v>-9999</v>
      </c>
      <c r="R836" s="243"/>
      <c r="S836" s="223"/>
      <c r="T836" s="406">
        <v>4.9000000000000004</v>
      </c>
      <c r="U836" s="223">
        <v>-9999</v>
      </c>
      <c r="V836" s="223"/>
      <c r="W836" s="243">
        <v>-9999</v>
      </c>
      <c r="X836" s="223">
        <v>-9999</v>
      </c>
      <c r="Y836" s="223"/>
      <c r="Z836" s="404" t="s">
        <v>1701</v>
      </c>
      <c r="AA836" s="442">
        <v>13455</v>
      </c>
      <c r="AB836" s="243">
        <v>-9999</v>
      </c>
      <c r="AC836" s="223">
        <v>-9999</v>
      </c>
      <c r="AD836" s="223">
        <v>144</v>
      </c>
      <c r="AE836" s="404" t="s">
        <v>1961</v>
      </c>
      <c r="AF836" s="223">
        <v>1</v>
      </c>
      <c r="AG836" s="223" t="s">
        <v>1070</v>
      </c>
      <c r="AH836" s="223" t="s">
        <v>876</v>
      </c>
      <c r="AI836" s="223" t="s">
        <v>1066</v>
      </c>
      <c r="AJ836" s="223">
        <v>-9999</v>
      </c>
      <c r="AK836" s="223" t="s">
        <v>626</v>
      </c>
      <c r="AL836" s="223">
        <v>0</v>
      </c>
      <c r="AM836" s="223">
        <v>-9999</v>
      </c>
      <c r="AN836" s="223">
        <v>-9999</v>
      </c>
      <c r="AO836" s="223">
        <v>-9999</v>
      </c>
      <c r="AP836" s="223">
        <v>-9999</v>
      </c>
      <c r="AQ836" s="223" t="s">
        <v>631</v>
      </c>
      <c r="AR836" s="223">
        <v>0</v>
      </c>
      <c r="AS836" s="223">
        <v>-9999</v>
      </c>
      <c r="AT836" s="223">
        <v>-9999</v>
      </c>
      <c r="AU836" s="223">
        <v>0</v>
      </c>
      <c r="AV836" s="223">
        <v>-9999</v>
      </c>
      <c r="AW836" s="223">
        <v>-9999</v>
      </c>
      <c r="AX836" s="223">
        <v>0</v>
      </c>
      <c r="AY836" s="223">
        <v>-9999</v>
      </c>
      <c r="AZ836" s="223">
        <v>-9999</v>
      </c>
      <c r="BA836" s="223">
        <v>-9999</v>
      </c>
      <c r="BB836" s="223" t="s">
        <v>631</v>
      </c>
      <c r="BC836" s="223">
        <v>-9999</v>
      </c>
      <c r="BD836" s="223">
        <v>-9999</v>
      </c>
      <c r="BE836" s="223">
        <v>-9999</v>
      </c>
      <c r="BF836" s="223">
        <v>-9999</v>
      </c>
      <c r="BG836" s="223">
        <v>-9999</v>
      </c>
      <c r="BH836" s="223">
        <v>-9999</v>
      </c>
      <c r="BI836" s="223" t="s">
        <v>84</v>
      </c>
      <c r="BJ836" s="223">
        <v>-9999</v>
      </c>
      <c r="BK836" s="223">
        <v>-9999</v>
      </c>
      <c r="BL836" s="223">
        <v>-9999</v>
      </c>
      <c r="BM836" s="223">
        <v>-9999</v>
      </c>
      <c r="BN836" s="223">
        <v>-9999</v>
      </c>
      <c r="BO836" s="223">
        <v>-9999</v>
      </c>
      <c r="BP836" s="223">
        <v>-9999</v>
      </c>
      <c r="BQ836" s="223">
        <v>-9999</v>
      </c>
      <c r="BR836" s="223">
        <v>-9999</v>
      </c>
      <c r="BS836" s="242">
        <v>-9999</v>
      </c>
      <c r="BT836" s="223">
        <v>-9999</v>
      </c>
      <c r="BU836" s="223">
        <v>-9999</v>
      </c>
      <c r="BV836" s="223">
        <v>-9999</v>
      </c>
      <c r="BW836" s="223"/>
      <c r="BX836" s="223">
        <v>-9999</v>
      </c>
      <c r="BY836" s="223">
        <v>-9999</v>
      </c>
      <c r="BZ836" s="223">
        <v>-9999</v>
      </c>
      <c r="CA836" s="332">
        <v>-9999</v>
      </c>
      <c r="CB836" s="443" t="s">
        <v>1570</v>
      </c>
      <c r="CC836" s="403">
        <v>5</v>
      </c>
      <c r="CD836" s="403">
        <v>2</v>
      </c>
      <c r="CE836" s="342">
        <v>4.9000000000000004</v>
      </c>
      <c r="CF836" s="342">
        <v>-9999</v>
      </c>
      <c r="CG836" s="405">
        <v>10</v>
      </c>
    </row>
    <row r="837" spans="1:1873" s="13" customFormat="1" x14ac:dyDescent="0.2">
      <c r="A837" s="403" t="s">
        <v>367</v>
      </c>
      <c r="B837" s="404" t="s">
        <v>2132</v>
      </c>
      <c r="C837" s="404" t="s">
        <v>1562</v>
      </c>
      <c r="D837" s="404" t="s">
        <v>1560</v>
      </c>
      <c r="E837" s="404" t="s">
        <v>1460</v>
      </c>
      <c r="F837" s="403">
        <v>6</v>
      </c>
      <c r="G837" s="403">
        <v>3</v>
      </c>
      <c r="H837" s="405">
        <v>13</v>
      </c>
      <c r="I837" s="245" t="s">
        <v>954</v>
      </c>
      <c r="J837" s="441">
        <v>1973</v>
      </c>
      <c r="K837" s="245" t="s">
        <v>1211</v>
      </c>
      <c r="L837" s="441">
        <v>1984</v>
      </c>
      <c r="M837" s="285">
        <f>+T837*G837</f>
        <v>18.299999999999997</v>
      </c>
      <c r="N837" s="223">
        <v>-9999</v>
      </c>
      <c r="O837" s="29"/>
      <c r="P837" s="243">
        <v>-9999</v>
      </c>
      <c r="Q837" s="223">
        <v>-9999</v>
      </c>
      <c r="R837" s="243"/>
      <c r="S837" s="223"/>
      <c r="T837" s="406">
        <v>6.1</v>
      </c>
      <c r="U837" s="223">
        <v>-9999</v>
      </c>
      <c r="V837" s="223"/>
      <c r="W837" s="243">
        <v>-9999</v>
      </c>
      <c r="X837" s="223">
        <v>-9999</v>
      </c>
      <c r="Y837" s="223"/>
      <c r="Z837" s="404" t="s">
        <v>1701</v>
      </c>
      <c r="AA837" s="442">
        <v>13455</v>
      </c>
      <c r="AB837" s="243">
        <v>-9999</v>
      </c>
      <c r="AC837" s="223">
        <v>-9999</v>
      </c>
      <c r="AD837" s="223">
        <v>144</v>
      </c>
      <c r="AE837" s="404" t="s">
        <v>1961</v>
      </c>
      <c r="AF837" s="223">
        <v>1</v>
      </c>
      <c r="AG837" s="223" t="s">
        <v>1070</v>
      </c>
      <c r="AH837" s="223" t="s">
        <v>876</v>
      </c>
      <c r="AI837" s="223" t="s">
        <v>1066</v>
      </c>
      <c r="AJ837" s="223">
        <v>-9999</v>
      </c>
      <c r="AK837" s="223" t="s">
        <v>626</v>
      </c>
      <c r="AL837" s="223">
        <v>0</v>
      </c>
      <c r="AM837" s="223">
        <v>-9999</v>
      </c>
      <c r="AN837" s="223">
        <v>-9999</v>
      </c>
      <c r="AO837" s="223">
        <v>-9999</v>
      </c>
      <c r="AP837" s="223">
        <v>-9999</v>
      </c>
      <c r="AQ837" s="223" t="s">
        <v>631</v>
      </c>
      <c r="AR837" s="223">
        <v>0</v>
      </c>
      <c r="AS837" s="223">
        <v>-9999</v>
      </c>
      <c r="AT837" s="223">
        <v>-9999</v>
      </c>
      <c r="AU837" s="223">
        <v>0</v>
      </c>
      <c r="AV837" s="223">
        <v>-9999</v>
      </c>
      <c r="AW837" s="223">
        <v>-9999</v>
      </c>
      <c r="AX837" s="223">
        <v>0</v>
      </c>
      <c r="AY837" s="223">
        <v>-9999</v>
      </c>
      <c r="AZ837" s="223">
        <v>-9999</v>
      </c>
      <c r="BA837" s="223">
        <v>-9999</v>
      </c>
      <c r="BB837" s="223" t="s">
        <v>631</v>
      </c>
      <c r="BC837" s="223">
        <v>-9999</v>
      </c>
      <c r="BD837" s="223">
        <v>-9999</v>
      </c>
      <c r="BE837" s="223">
        <v>-9999</v>
      </c>
      <c r="BF837" s="223">
        <v>-9999</v>
      </c>
      <c r="BG837" s="223">
        <v>-9999</v>
      </c>
      <c r="BH837" s="223">
        <v>-9999</v>
      </c>
      <c r="BI837" s="223" t="s">
        <v>84</v>
      </c>
      <c r="BJ837" s="223">
        <v>-9999</v>
      </c>
      <c r="BK837" s="223">
        <v>-9999</v>
      </c>
      <c r="BL837" s="223">
        <v>-9999</v>
      </c>
      <c r="BM837" s="223">
        <v>-9999</v>
      </c>
      <c r="BN837" s="223">
        <v>-9999</v>
      </c>
      <c r="BO837" s="223">
        <v>-9999</v>
      </c>
      <c r="BP837" s="223">
        <v>-9999</v>
      </c>
      <c r="BQ837" s="223">
        <v>-9999</v>
      </c>
      <c r="BR837" s="223">
        <v>-9999</v>
      </c>
      <c r="BS837" s="242">
        <v>-9999</v>
      </c>
      <c r="BT837" s="223">
        <v>-9999</v>
      </c>
      <c r="BU837" s="223">
        <v>-9999</v>
      </c>
      <c r="BV837" s="223">
        <v>-9999</v>
      </c>
      <c r="BW837" s="223"/>
      <c r="BX837" s="223">
        <v>-9999</v>
      </c>
      <c r="BY837" s="223">
        <v>-9999</v>
      </c>
      <c r="BZ837" s="223">
        <v>-9999</v>
      </c>
      <c r="CA837" s="332">
        <v>-9999</v>
      </c>
      <c r="CB837" s="443" t="s">
        <v>1570</v>
      </c>
      <c r="CC837" s="403">
        <v>6</v>
      </c>
      <c r="CD837" s="403">
        <v>3</v>
      </c>
      <c r="CE837" s="342">
        <v>6.1</v>
      </c>
      <c r="CF837" s="342">
        <v>-9999</v>
      </c>
      <c r="CG837" s="405">
        <v>13</v>
      </c>
    </row>
    <row r="838" spans="1:1873" s="13" customFormat="1" x14ac:dyDescent="0.2">
      <c r="A838" s="403" t="s">
        <v>367</v>
      </c>
      <c r="B838" s="404" t="s">
        <v>2132</v>
      </c>
      <c r="C838" s="404" t="s">
        <v>1562</v>
      </c>
      <c r="D838" s="404" t="s">
        <v>1560</v>
      </c>
      <c r="E838" s="404" t="s">
        <v>1460</v>
      </c>
      <c r="F838" s="403">
        <v>7</v>
      </c>
      <c r="G838" s="403">
        <v>2</v>
      </c>
      <c r="H838" s="405">
        <v>15</v>
      </c>
      <c r="I838" s="245" t="s">
        <v>954</v>
      </c>
      <c r="J838" s="441">
        <v>1973</v>
      </c>
      <c r="K838" s="245" t="s">
        <v>1211</v>
      </c>
      <c r="L838" s="441">
        <v>1987</v>
      </c>
      <c r="M838" s="285">
        <f>+T838*G838</f>
        <v>15.6</v>
      </c>
      <c r="N838" s="223">
        <v>-9999</v>
      </c>
      <c r="O838" s="29"/>
      <c r="P838" s="243">
        <v>-9999</v>
      </c>
      <c r="Q838" s="223">
        <v>-9999</v>
      </c>
      <c r="R838" s="243"/>
      <c r="S838" s="223"/>
      <c r="T838" s="406">
        <v>7.8</v>
      </c>
      <c r="U838" s="223">
        <v>-9999</v>
      </c>
      <c r="V838" s="223"/>
      <c r="W838" s="243">
        <v>-9999</v>
      </c>
      <c r="X838" s="223">
        <v>-9999</v>
      </c>
      <c r="Y838" s="223"/>
      <c r="Z838" s="404" t="s">
        <v>1701</v>
      </c>
      <c r="AA838" s="442">
        <v>13455</v>
      </c>
      <c r="AB838" s="243">
        <v>-9999</v>
      </c>
      <c r="AC838" s="223">
        <v>-9999</v>
      </c>
      <c r="AD838" s="223">
        <v>144</v>
      </c>
      <c r="AE838" s="404" t="s">
        <v>1961</v>
      </c>
      <c r="AF838" s="223">
        <v>1</v>
      </c>
      <c r="AG838" s="223" t="s">
        <v>1070</v>
      </c>
      <c r="AH838" s="223" t="s">
        <v>876</v>
      </c>
      <c r="AI838" s="223" t="s">
        <v>1066</v>
      </c>
      <c r="AJ838" s="223">
        <v>-9999</v>
      </c>
      <c r="AK838" s="223" t="s">
        <v>626</v>
      </c>
      <c r="AL838" s="223">
        <v>0</v>
      </c>
      <c r="AM838" s="223">
        <v>-9999</v>
      </c>
      <c r="AN838" s="223">
        <v>-9999</v>
      </c>
      <c r="AO838" s="223">
        <v>-9999</v>
      </c>
      <c r="AP838" s="223">
        <v>-9999</v>
      </c>
      <c r="AQ838" s="223" t="s">
        <v>631</v>
      </c>
      <c r="AR838" s="223">
        <v>0</v>
      </c>
      <c r="AS838" s="223">
        <v>-9999</v>
      </c>
      <c r="AT838" s="223">
        <v>-9999</v>
      </c>
      <c r="AU838" s="223">
        <v>0</v>
      </c>
      <c r="AV838" s="223">
        <v>-9999</v>
      </c>
      <c r="AW838" s="223">
        <v>-9999</v>
      </c>
      <c r="AX838" s="223">
        <v>0</v>
      </c>
      <c r="AY838" s="223">
        <v>-9999</v>
      </c>
      <c r="AZ838" s="223">
        <v>-9999</v>
      </c>
      <c r="BA838" s="223">
        <v>-9999</v>
      </c>
      <c r="BB838" s="223" t="s">
        <v>631</v>
      </c>
      <c r="BC838" s="223">
        <v>-9999</v>
      </c>
      <c r="BD838" s="223">
        <v>-9999</v>
      </c>
      <c r="BE838" s="223">
        <v>-9999</v>
      </c>
      <c r="BF838" s="223">
        <v>-9999</v>
      </c>
      <c r="BG838" s="223">
        <v>-9999</v>
      </c>
      <c r="BH838" s="223">
        <v>-9999</v>
      </c>
      <c r="BI838" s="223" t="s">
        <v>84</v>
      </c>
      <c r="BJ838" s="223">
        <v>-9999</v>
      </c>
      <c r="BK838" s="223">
        <v>-9999</v>
      </c>
      <c r="BL838" s="223">
        <v>-9999</v>
      </c>
      <c r="BM838" s="223">
        <v>-9999</v>
      </c>
      <c r="BN838" s="223">
        <v>-9999</v>
      </c>
      <c r="BO838" s="223">
        <v>-9999</v>
      </c>
      <c r="BP838" s="223">
        <v>-9999</v>
      </c>
      <c r="BQ838" s="223">
        <v>-9999</v>
      </c>
      <c r="BR838" s="223">
        <v>-9999</v>
      </c>
      <c r="BS838" s="242">
        <v>-9999</v>
      </c>
      <c r="BT838" s="223">
        <v>-9999</v>
      </c>
      <c r="BU838" s="223">
        <v>-9999</v>
      </c>
      <c r="BV838" s="223">
        <v>-9999</v>
      </c>
      <c r="BW838" s="223"/>
      <c r="BX838" s="223">
        <v>-9999</v>
      </c>
      <c r="BY838" s="223">
        <v>-9999</v>
      </c>
      <c r="BZ838" s="223">
        <v>-9999</v>
      </c>
      <c r="CA838" s="332">
        <v>-9999</v>
      </c>
      <c r="CB838" s="443" t="s">
        <v>1570</v>
      </c>
      <c r="CC838" s="403">
        <v>7</v>
      </c>
      <c r="CD838" s="403">
        <v>2</v>
      </c>
      <c r="CE838" s="342">
        <v>7.8</v>
      </c>
      <c r="CF838" s="342">
        <v>-9999</v>
      </c>
      <c r="CG838" s="405">
        <v>15</v>
      </c>
    </row>
    <row r="839" spans="1:1873" s="13" customFormat="1" x14ac:dyDescent="0.2">
      <c r="A839" s="283"/>
      <c r="B839" s="249"/>
      <c r="C839" s="249"/>
      <c r="D839" s="249"/>
      <c r="E839" s="249"/>
      <c r="F839" s="283"/>
      <c r="G839" s="283"/>
      <c r="H839" s="251"/>
      <c r="I839" s="245"/>
      <c r="J839" s="249"/>
      <c r="K839" s="245"/>
      <c r="L839" s="249"/>
      <c r="M839" s="253"/>
      <c r="N839" s="249"/>
      <c r="O839" s="18"/>
      <c r="P839" s="253"/>
      <c r="Q839" s="249"/>
      <c r="R839" s="253"/>
      <c r="S839" s="249"/>
      <c r="T839" s="284"/>
      <c r="U839" s="249"/>
      <c r="V839" s="249"/>
      <c r="W839" s="253"/>
      <c r="X839" s="249"/>
      <c r="Y839" s="249"/>
      <c r="Z839" s="249"/>
      <c r="AA839" s="447"/>
      <c r="AB839" s="253"/>
      <c r="AC839" s="249"/>
      <c r="AD839" s="249"/>
      <c r="AE839" s="249"/>
      <c r="AF839" s="249"/>
      <c r="AG839" s="249"/>
      <c r="AH839" s="249"/>
      <c r="AI839" s="249"/>
      <c r="AJ839" s="249"/>
      <c r="AK839" s="249"/>
      <c r="AL839" s="249"/>
      <c r="AM839" s="249"/>
      <c r="AN839" s="249"/>
      <c r="AO839" s="249"/>
      <c r="AP839" s="249"/>
      <c r="AQ839" s="249"/>
      <c r="AR839" s="249"/>
      <c r="AS839" s="249"/>
      <c r="AT839" s="249"/>
      <c r="AU839" s="249"/>
      <c r="AV839" s="249"/>
      <c r="AW839" s="252"/>
      <c r="AX839" s="249"/>
      <c r="AY839" s="249"/>
      <c r="AZ839" s="249"/>
      <c r="BA839" s="249"/>
      <c r="BB839" s="249"/>
      <c r="BC839" s="249"/>
      <c r="BD839" s="249"/>
      <c r="BE839" s="249"/>
      <c r="BF839" s="249"/>
      <c r="BG839" s="249"/>
      <c r="BH839" s="249"/>
      <c r="BI839" s="249"/>
      <c r="BJ839" s="249"/>
      <c r="BK839" s="249"/>
      <c r="BL839" s="249"/>
      <c r="BM839" s="249"/>
      <c r="BN839" s="249"/>
      <c r="BO839" s="249"/>
      <c r="BP839" s="249"/>
      <c r="BQ839" s="249"/>
      <c r="BR839" s="249"/>
      <c r="BS839" s="242"/>
      <c r="BT839" s="249"/>
      <c r="BU839" s="249"/>
      <c r="BV839" s="249"/>
      <c r="BW839" s="249"/>
      <c r="BX839" s="249"/>
      <c r="BY839" s="249"/>
      <c r="BZ839" s="249"/>
      <c r="CA839" s="331"/>
      <c r="CB839" s="439"/>
      <c r="CC839" s="283"/>
      <c r="CD839" s="283"/>
      <c r="CE839" s="342" t="s">
        <v>1982</v>
      </c>
      <c r="CF839" s="342" t="s">
        <v>1575</v>
      </c>
      <c r="CG839" s="251"/>
    </row>
    <row r="840" spans="1:1873" s="23" customFormat="1" x14ac:dyDescent="0.2">
      <c r="A840" s="240" t="s">
        <v>366</v>
      </c>
      <c r="B840" s="404" t="s">
        <v>2132</v>
      </c>
      <c r="C840" s="404" t="s">
        <v>1563</v>
      </c>
      <c r="D840" s="404" t="s">
        <v>1560</v>
      </c>
      <c r="E840" s="404" t="s">
        <v>1460</v>
      </c>
      <c r="F840" s="240">
        <v>1</v>
      </c>
      <c r="G840" s="240">
        <v>2</v>
      </c>
      <c r="H840" s="242">
        <v>2</v>
      </c>
      <c r="I840" s="245" t="s">
        <v>954</v>
      </c>
      <c r="J840" s="441">
        <v>1973</v>
      </c>
      <c r="K840" s="245" t="s">
        <v>1211</v>
      </c>
      <c r="L840" s="441">
        <v>1974</v>
      </c>
      <c r="M840" s="243">
        <v>6.5</v>
      </c>
      <c r="N840" s="223">
        <v>-9999</v>
      </c>
      <c r="O840" s="29"/>
      <c r="P840" s="243">
        <v>-9999</v>
      </c>
      <c r="Q840" s="223">
        <v>-9999</v>
      </c>
      <c r="R840" s="243"/>
      <c r="S840" s="223"/>
      <c r="T840" s="244">
        <f>+M840/G840</f>
        <v>3.25</v>
      </c>
      <c r="U840" s="223">
        <v>-9999</v>
      </c>
      <c r="V840" s="223"/>
      <c r="W840" s="243">
        <v>-9999</v>
      </c>
      <c r="X840" s="223">
        <v>-9999</v>
      </c>
      <c r="Y840" s="223"/>
      <c r="Z840" s="223" t="s">
        <v>67</v>
      </c>
      <c r="AA840" s="441">
        <v>6727</v>
      </c>
      <c r="AB840" s="243">
        <v>1</v>
      </c>
      <c r="AC840" s="223">
        <v>-9999</v>
      </c>
      <c r="AD840" s="223">
        <v>144</v>
      </c>
      <c r="AE840" s="404" t="s">
        <v>1959</v>
      </c>
      <c r="AF840" s="223">
        <v>1</v>
      </c>
      <c r="AG840" s="223" t="s">
        <v>1070</v>
      </c>
      <c r="AH840" s="223" t="s">
        <v>876</v>
      </c>
      <c r="AI840" s="223" t="s">
        <v>1066</v>
      </c>
      <c r="AJ840" s="223">
        <v>-9999</v>
      </c>
      <c r="AK840" s="223" t="s">
        <v>626</v>
      </c>
      <c r="AL840" s="223" t="s">
        <v>1068</v>
      </c>
      <c r="AM840" s="223">
        <v>-9999</v>
      </c>
      <c r="AN840" s="223">
        <v>-9999</v>
      </c>
      <c r="AO840" s="223">
        <v>-9999</v>
      </c>
      <c r="AP840" s="223">
        <v>-9999</v>
      </c>
      <c r="AQ840" s="223" t="s">
        <v>631</v>
      </c>
      <c r="AR840" s="223">
        <v>0</v>
      </c>
      <c r="AS840" s="223">
        <v>-9999</v>
      </c>
      <c r="AT840" s="223">
        <v>-9999</v>
      </c>
      <c r="AU840" s="223">
        <v>0</v>
      </c>
      <c r="AV840" s="223">
        <v>-9999</v>
      </c>
      <c r="AW840" s="223">
        <v>-9999</v>
      </c>
      <c r="AX840" s="223">
        <v>0</v>
      </c>
      <c r="AY840" s="223">
        <v>-9999</v>
      </c>
      <c r="AZ840" s="223">
        <v>-9999</v>
      </c>
      <c r="BA840" s="223">
        <v>-9999</v>
      </c>
      <c r="BB840" s="223" t="s">
        <v>631</v>
      </c>
      <c r="BC840" s="223">
        <v>-9999</v>
      </c>
      <c r="BD840" s="223">
        <v>-9999</v>
      </c>
      <c r="BE840" s="223">
        <v>-9999</v>
      </c>
      <c r="BF840" s="223">
        <v>-9999</v>
      </c>
      <c r="BG840" s="223">
        <v>-9999</v>
      </c>
      <c r="BH840" s="223">
        <v>-9999</v>
      </c>
      <c r="BI840" s="223" t="s">
        <v>84</v>
      </c>
      <c r="BJ840" s="223">
        <v>-9999</v>
      </c>
      <c r="BK840" s="223">
        <v>-9999</v>
      </c>
      <c r="BL840" s="223">
        <v>-9999</v>
      </c>
      <c r="BM840" s="223">
        <v>-9999</v>
      </c>
      <c r="BN840" s="223">
        <v>-9999</v>
      </c>
      <c r="BO840" s="223">
        <v>-9999</v>
      </c>
      <c r="BP840" s="223">
        <v>-9999</v>
      </c>
      <c r="BQ840" s="223">
        <v>-9999</v>
      </c>
      <c r="BR840" s="223">
        <v>-9999</v>
      </c>
      <c r="BS840" s="242">
        <v>-9999</v>
      </c>
      <c r="BT840" s="223">
        <v>-9999</v>
      </c>
      <c r="BU840" s="223">
        <v>-9999</v>
      </c>
      <c r="BV840" s="223">
        <v>-9999</v>
      </c>
      <c r="BW840" s="223"/>
      <c r="BX840" s="223">
        <v>-9999</v>
      </c>
      <c r="BY840" s="223">
        <v>-9999</v>
      </c>
      <c r="BZ840" s="223">
        <v>-9999</v>
      </c>
      <c r="CA840" s="332">
        <v>-9999</v>
      </c>
      <c r="CB840" s="443" t="s">
        <v>1570</v>
      </c>
      <c r="CC840" s="240">
        <v>1</v>
      </c>
      <c r="CD840" s="240">
        <v>2</v>
      </c>
      <c r="CE840" s="292">
        <v>3.25</v>
      </c>
      <c r="CF840" s="292">
        <v>-9999</v>
      </c>
      <c r="CG840" s="242">
        <v>2</v>
      </c>
    </row>
    <row r="841" spans="1:1873" s="301" customFormat="1" x14ac:dyDescent="0.2">
      <c r="A841" s="403" t="s">
        <v>366</v>
      </c>
      <c r="B841" s="404" t="s">
        <v>2132</v>
      </c>
      <c r="C841" s="404" t="s">
        <v>1564</v>
      </c>
      <c r="D841" s="404" t="s">
        <v>1560</v>
      </c>
      <c r="E841" s="404" t="s">
        <v>1460</v>
      </c>
      <c r="F841" s="403">
        <v>2</v>
      </c>
      <c r="G841" s="403">
        <v>2</v>
      </c>
      <c r="H841" s="405">
        <v>4</v>
      </c>
      <c r="I841" s="245" t="s">
        <v>954</v>
      </c>
      <c r="J841" s="441">
        <v>1973</v>
      </c>
      <c r="K841" s="245" t="s">
        <v>1211</v>
      </c>
      <c r="L841" s="441">
        <v>1976</v>
      </c>
      <c r="M841" s="406">
        <v>19.3</v>
      </c>
      <c r="N841" s="404">
        <v>-9999</v>
      </c>
      <c r="O841" s="323"/>
      <c r="P841" s="406">
        <v>-9999</v>
      </c>
      <c r="Q841" s="404">
        <v>-9999</v>
      </c>
      <c r="R841" s="406"/>
      <c r="S841" s="404"/>
      <c r="T841" s="244">
        <f>+M841/G841</f>
        <v>9.65</v>
      </c>
      <c r="U841" s="404">
        <v>-9999</v>
      </c>
      <c r="V841" s="404"/>
      <c r="W841" s="406">
        <v>-9999</v>
      </c>
      <c r="X841" s="404">
        <v>-9999</v>
      </c>
      <c r="Y841" s="404"/>
      <c r="Z841" s="404" t="s">
        <v>67</v>
      </c>
      <c r="AA841" s="441">
        <v>6727</v>
      </c>
      <c r="AB841" s="406">
        <v>0.98</v>
      </c>
      <c r="AC841" s="404">
        <v>-9999</v>
      </c>
      <c r="AD841" s="223">
        <v>144</v>
      </c>
      <c r="AE841" s="404" t="s">
        <v>1959</v>
      </c>
      <c r="AF841" s="404">
        <v>1</v>
      </c>
      <c r="AG841" s="404" t="s">
        <v>1070</v>
      </c>
      <c r="AH841" s="404" t="s">
        <v>876</v>
      </c>
      <c r="AI841" s="404" t="s">
        <v>1066</v>
      </c>
      <c r="AJ841" s="404">
        <v>-9999</v>
      </c>
      <c r="AK841" s="404" t="s">
        <v>626</v>
      </c>
      <c r="AL841" s="404" t="s">
        <v>1069</v>
      </c>
      <c r="AM841" s="404">
        <v>-9999</v>
      </c>
      <c r="AN841" s="404">
        <v>-9999</v>
      </c>
      <c r="AO841" s="404">
        <v>-9999</v>
      </c>
      <c r="AP841" s="404">
        <v>-9999</v>
      </c>
      <c r="AQ841" s="404" t="s">
        <v>631</v>
      </c>
      <c r="AR841" s="404">
        <v>0</v>
      </c>
      <c r="AS841" s="404">
        <v>-9999</v>
      </c>
      <c r="AT841" s="404">
        <v>-9999</v>
      </c>
      <c r="AU841" s="404">
        <v>0</v>
      </c>
      <c r="AV841" s="404">
        <v>-9999</v>
      </c>
      <c r="AW841" s="404">
        <v>-9999</v>
      </c>
      <c r="AX841" s="404">
        <v>0</v>
      </c>
      <c r="AY841" s="404">
        <v>-9999</v>
      </c>
      <c r="AZ841" s="404">
        <v>-9999</v>
      </c>
      <c r="BA841" s="404">
        <v>-9999</v>
      </c>
      <c r="BB841" s="404" t="s">
        <v>631</v>
      </c>
      <c r="BC841" s="404">
        <v>-9999</v>
      </c>
      <c r="BD841" s="404">
        <v>-9999</v>
      </c>
      <c r="BE841" s="404">
        <v>-9999</v>
      </c>
      <c r="BF841" s="404">
        <v>-9999</v>
      </c>
      <c r="BG841" s="404">
        <v>-9999</v>
      </c>
      <c r="BH841" s="404">
        <v>-9999</v>
      </c>
      <c r="BI841" s="404" t="s">
        <v>84</v>
      </c>
      <c r="BJ841" s="404">
        <v>-9999</v>
      </c>
      <c r="BK841" s="404">
        <v>-9999</v>
      </c>
      <c r="BL841" s="404">
        <v>-9999</v>
      </c>
      <c r="BM841" s="404">
        <v>-9999</v>
      </c>
      <c r="BN841" s="404">
        <v>-9999</v>
      </c>
      <c r="BO841" s="404">
        <v>-9999</v>
      </c>
      <c r="BP841" s="404">
        <v>-9999</v>
      </c>
      <c r="BQ841" s="404">
        <v>-9999</v>
      </c>
      <c r="BR841" s="404">
        <v>-9999</v>
      </c>
      <c r="BS841" s="405">
        <v>-9999</v>
      </c>
      <c r="BT841" s="404">
        <v>-9999</v>
      </c>
      <c r="BU841" s="404">
        <v>-9999</v>
      </c>
      <c r="BV841" s="404">
        <v>-9999</v>
      </c>
      <c r="BW841" s="404"/>
      <c r="BX841" s="404">
        <v>-9999</v>
      </c>
      <c r="BY841" s="404">
        <v>-9999</v>
      </c>
      <c r="BZ841" s="404">
        <v>-9999</v>
      </c>
      <c r="CA841" s="444">
        <v>-9999</v>
      </c>
      <c r="CB841" s="443" t="s">
        <v>1570</v>
      </c>
      <c r="CC841" s="403">
        <v>2</v>
      </c>
      <c r="CD841" s="403">
        <v>2</v>
      </c>
      <c r="CE841" s="409">
        <v>9.65</v>
      </c>
      <c r="CF841" s="342">
        <v>-9999</v>
      </c>
      <c r="CG841" s="405">
        <v>4</v>
      </c>
      <c r="CH841" s="435"/>
    </row>
    <row r="842" spans="1:1873" s="13" customFormat="1" x14ac:dyDescent="0.2">
      <c r="A842" s="403" t="s">
        <v>367</v>
      </c>
      <c r="B842" s="404" t="s">
        <v>2132</v>
      </c>
      <c r="C842" s="404" t="s">
        <v>1563</v>
      </c>
      <c r="D842" s="404" t="s">
        <v>1560</v>
      </c>
      <c r="E842" s="404" t="s">
        <v>1460</v>
      </c>
      <c r="F842" s="403">
        <v>3</v>
      </c>
      <c r="G842" s="403">
        <v>2</v>
      </c>
      <c r="H842" s="405">
        <v>6</v>
      </c>
      <c r="I842" s="245" t="s">
        <v>954</v>
      </c>
      <c r="J842" s="441">
        <v>1973</v>
      </c>
      <c r="K842" s="245" t="s">
        <v>1211</v>
      </c>
      <c r="L842" s="441">
        <v>1978</v>
      </c>
      <c r="M842" s="285">
        <f>+T842*G842</f>
        <v>18.399999999999999</v>
      </c>
      <c r="N842" s="223">
        <v>-9999</v>
      </c>
      <c r="O842" s="29"/>
      <c r="P842" s="243">
        <v>-9999</v>
      </c>
      <c r="Q842" s="223">
        <v>-9999</v>
      </c>
      <c r="R842" s="243"/>
      <c r="S842" s="223"/>
      <c r="T842" s="406">
        <v>9.1999999999999993</v>
      </c>
      <c r="U842" s="223">
        <v>-9999</v>
      </c>
      <c r="V842" s="223"/>
      <c r="W842" s="243">
        <v>-9999</v>
      </c>
      <c r="X842" s="223">
        <v>-9999</v>
      </c>
      <c r="Y842" s="223"/>
      <c r="Z842" s="223" t="s">
        <v>67</v>
      </c>
      <c r="AA842" s="441">
        <v>6727</v>
      </c>
      <c r="AB842" s="243">
        <v>-9999</v>
      </c>
      <c r="AC842" s="223">
        <v>-9999</v>
      </c>
      <c r="AD842" s="223">
        <v>144</v>
      </c>
      <c r="AE842" s="404" t="s">
        <v>1959</v>
      </c>
      <c r="AF842" s="223">
        <v>1</v>
      </c>
      <c r="AG842" s="223" t="s">
        <v>1070</v>
      </c>
      <c r="AH842" s="223" t="s">
        <v>876</v>
      </c>
      <c r="AI842" s="223" t="s">
        <v>1066</v>
      </c>
      <c r="AJ842" s="223">
        <v>-9999</v>
      </c>
      <c r="AK842" s="223" t="s">
        <v>626</v>
      </c>
      <c r="AL842" s="223">
        <v>0</v>
      </c>
      <c r="AM842" s="223">
        <v>-9999</v>
      </c>
      <c r="AN842" s="223">
        <v>-9999</v>
      </c>
      <c r="AO842" s="223">
        <v>-9999</v>
      </c>
      <c r="AP842" s="223">
        <v>-9999</v>
      </c>
      <c r="AQ842" s="223" t="s">
        <v>631</v>
      </c>
      <c r="AR842" s="223">
        <v>0</v>
      </c>
      <c r="AS842" s="223">
        <v>-9999</v>
      </c>
      <c r="AT842" s="223">
        <v>-9999</v>
      </c>
      <c r="AU842" s="223">
        <v>0</v>
      </c>
      <c r="AV842" s="223">
        <v>-9999</v>
      </c>
      <c r="AW842" s="223">
        <v>-9999</v>
      </c>
      <c r="AX842" s="223">
        <v>0</v>
      </c>
      <c r="AY842" s="223">
        <v>-9999</v>
      </c>
      <c r="AZ842" s="223">
        <v>-9999</v>
      </c>
      <c r="BA842" s="223">
        <v>-9999</v>
      </c>
      <c r="BB842" s="223" t="s">
        <v>631</v>
      </c>
      <c r="BC842" s="223">
        <v>-9999</v>
      </c>
      <c r="BD842" s="223">
        <v>-9999</v>
      </c>
      <c r="BE842" s="223">
        <v>-9999</v>
      </c>
      <c r="BF842" s="223">
        <v>-9999</v>
      </c>
      <c r="BG842" s="223">
        <v>-9999</v>
      </c>
      <c r="BH842" s="223">
        <v>-9999</v>
      </c>
      <c r="BI842" s="223" t="s">
        <v>84</v>
      </c>
      <c r="BJ842" s="223">
        <v>-9999</v>
      </c>
      <c r="BK842" s="223">
        <v>-9999</v>
      </c>
      <c r="BL842" s="223">
        <v>-9999</v>
      </c>
      <c r="BM842" s="223">
        <v>-9999</v>
      </c>
      <c r="BN842" s="223">
        <v>-9999</v>
      </c>
      <c r="BO842" s="223">
        <v>-9999</v>
      </c>
      <c r="BP842" s="223">
        <v>-9999</v>
      </c>
      <c r="BQ842" s="223">
        <v>-9999</v>
      </c>
      <c r="BR842" s="223">
        <v>-9999</v>
      </c>
      <c r="BS842" s="242">
        <v>-9999</v>
      </c>
      <c r="BT842" s="223">
        <v>-9999</v>
      </c>
      <c r="BU842" s="223">
        <v>-9999</v>
      </c>
      <c r="BV842" s="223">
        <v>-9999</v>
      </c>
      <c r="BW842" s="223"/>
      <c r="BX842" s="223">
        <v>-9999</v>
      </c>
      <c r="BY842" s="223">
        <v>-9999</v>
      </c>
      <c r="BZ842" s="223">
        <v>-9999</v>
      </c>
      <c r="CA842" s="332">
        <v>-9999</v>
      </c>
      <c r="CB842" s="443" t="s">
        <v>1570</v>
      </c>
      <c r="CC842" s="403">
        <v>3</v>
      </c>
      <c r="CD842" s="403">
        <v>2</v>
      </c>
      <c r="CE842" s="342">
        <v>9.1999999999999993</v>
      </c>
      <c r="CF842" s="342">
        <v>-9999</v>
      </c>
      <c r="CG842" s="405">
        <v>6</v>
      </c>
    </row>
    <row r="843" spans="1:1873" s="13" customFormat="1" x14ac:dyDescent="0.2">
      <c r="A843" s="403" t="s">
        <v>367</v>
      </c>
      <c r="B843" s="404" t="s">
        <v>2132</v>
      </c>
      <c r="C843" s="404" t="s">
        <v>1563</v>
      </c>
      <c r="D843" s="404" t="s">
        <v>1560</v>
      </c>
      <c r="E843" s="404" t="s">
        <v>1460</v>
      </c>
      <c r="F843" s="403">
        <v>4</v>
      </c>
      <c r="G843" s="403">
        <v>2</v>
      </c>
      <c r="H843" s="405">
        <v>8</v>
      </c>
      <c r="I843" s="245" t="s">
        <v>954</v>
      </c>
      <c r="J843" s="441">
        <v>1973</v>
      </c>
      <c r="K843" s="245" t="s">
        <v>1211</v>
      </c>
      <c r="L843" s="441">
        <v>1980</v>
      </c>
      <c r="M843" s="285">
        <f>+T843*G843</f>
        <v>13.4</v>
      </c>
      <c r="N843" s="223">
        <v>-9999</v>
      </c>
      <c r="O843" s="29"/>
      <c r="P843" s="243">
        <v>-9999</v>
      </c>
      <c r="Q843" s="223">
        <v>-9999</v>
      </c>
      <c r="R843" s="243"/>
      <c r="S843" s="223"/>
      <c r="T843" s="406">
        <v>6.7</v>
      </c>
      <c r="U843" s="223">
        <v>-9999</v>
      </c>
      <c r="V843" s="223"/>
      <c r="W843" s="243">
        <v>-9999</v>
      </c>
      <c r="X843" s="223">
        <v>-9999</v>
      </c>
      <c r="Y843" s="223"/>
      <c r="Z843" s="223" t="s">
        <v>67</v>
      </c>
      <c r="AA843" s="441">
        <v>6727</v>
      </c>
      <c r="AB843" s="243">
        <v>-9999</v>
      </c>
      <c r="AC843" s="223">
        <v>-9999</v>
      </c>
      <c r="AD843" s="223">
        <v>144</v>
      </c>
      <c r="AE843" s="404" t="s">
        <v>1959</v>
      </c>
      <c r="AF843" s="223">
        <v>1</v>
      </c>
      <c r="AG843" s="223" t="s">
        <v>1070</v>
      </c>
      <c r="AH843" s="223" t="s">
        <v>876</v>
      </c>
      <c r="AI843" s="223" t="s">
        <v>1066</v>
      </c>
      <c r="AJ843" s="223">
        <v>-9999</v>
      </c>
      <c r="AK843" s="223" t="s">
        <v>626</v>
      </c>
      <c r="AL843" s="223">
        <v>0</v>
      </c>
      <c r="AM843" s="223">
        <v>-9999</v>
      </c>
      <c r="AN843" s="223">
        <v>-9999</v>
      </c>
      <c r="AO843" s="223">
        <v>-9999</v>
      </c>
      <c r="AP843" s="223">
        <v>-9999</v>
      </c>
      <c r="AQ843" s="223" t="s">
        <v>631</v>
      </c>
      <c r="AR843" s="223">
        <v>0</v>
      </c>
      <c r="AS843" s="223">
        <v>-9999</v>
      </c>
      <c r="AT843" s="223">
        <v>-9999</v>
      </c>
      <c r="AU843" s="223">
        <v>0</v>
      </c>
      <c r="AV843" s="223">
        <v>-9999</v>
      </c>
      <c r="AW843" s="223">
        <v>-9999</v>
      </c>
      <c r="AX843" s="223">
        <v>0</v>
      </c>
      <c r="AY843" s="223">
        <v>-9999</v>
      </c>
      <c r="AZ843" s="223">
        <v>-9999</v>
      </c>
      <c r="BA843" s="223">
        <v>-9999</v>
      </c>
      <c r="BB843" s="223" t="s">
        <v>631</v>
      </c>
      <c r="BC843" s="223">
        <v>-9999</v>
      </c>
      <c r="BD843" s="223">
        <v>-9999</v>
      </c>
      <c r="BE843" s="223">
        <v>-9999</v>
      </c>
      <c r="BF843" s="223">
        <v>-9999</v>
      </c>
      <c r="BG843" s="223">
        <v>-9999</v>
      </c>
      <c r="BH843" s="223">
        <v>-9999</v>
      </c>
      <c r="BI843" s="223" t="s">
        <v>84</v>
      </c>
      <c r="BJ843" s="223">
        <v>-9999</v>
      </c>
      <c r="BK843" s="223">
        <v>-9999</v>
      </c>
      <c r="BL843" s="223">
        <v>-9999</v>
      </c>
      <c r="BM843" s="223">
        <v>-9999</v>
      </c>
      <c r="BN843" s="223">
        <v>-9999</v>
      </c>
      <c r="BO843" s="223">
        <v>-9999</v>
      </c>
      <c r="BP843" s="223">
        <v>-9999</v>
      </c>
      <c r="BQ843" s="223">
        <v>-9999</v>
      </c>
      <c r="BR843" s="223">
        <v>-9999</v>
      </c>
      <c r="BS843" s="242">
        <v>-9999</v>
      </c>
      <c r="BT843" s="223">
        <v>-9999</v>
      </c>
      <c r="BU843" s="223">
        <v>-9999</v>
      </c>
      <c r="BV843" s="223">
        <v>-9999</v>
      </c>
      <c r="BW843" s="223"/>
      <c r="BX843" s="223">
        <v>-9999</v>
      </c>
      <c r="BY843" s="223">
        <v>-9999</v>
      </c>
      <c r="BZ843" s="223">
        <v>-9999</v>
      </c>
      <c r="CA843" s="332">
        <v>-9999</v>
      </c>
      <c r="CB843" s="443" t="s">
        <v>1570</v>
      </c>
      <c r="CC843" s="403">
        <v>4</v>
      </c>
      <c r="CD843" s="403">
        <v>2</v>
      </c>
      <c r="CE843" s="342">
        <v>6.7</v>
      </c>
      <c r="CF843" s="342">
        <v>-9999</v>
      </c>
      <c r="CG843" s="405">
        <v>8</v>
      </c>
    </row>
    <row r="844" spans="1:1873" s="13" customFormat="1" x14ac:dyDescent="0.2">
      <c r="A844" s="403" t="s">
        <v>367</v>
      </c>
      <c r="B844" s="404" t="s">
        <v>2132</v>
      </c>
      <c r="C844" s="404" t="s">
        <v>1563</v>
      </c>
      <c r="D844" s="404" t="s">
        <v>1560</v>
      </c>
      <c r="E844" s="404" t="s">
        <v>1460</v>
      </c>
      <c r="F844" s="403">
        <v>5</v>
      </c>
      <c r="G844" s="403">
        <v>2</v>
      </c>
      <c r="H844" s="405">
        <v>10</v>
      </c>
      <c r="I844" s="245" t="s">
        <v>954</v>
      </c>
      <c r="J844" s="441">
        <v>1973</v>
      </c>
      <c r="K844" s="245" t="s">
        <v>1211</v>
      </c>
      <c r="L844" s="441">
        <v>1982</v>
      </c>
      <c r="M844" s="285">
        <f>+T844*G844</f>
        <v>11.6</v>
      </c>
      <c r="N844" s="223">
        <v>-9999</v>
      </c>
      <c r="O844" s="29"/>
      <c r="P844" s="243">
        <v>-9999</v>
      </c>
      <c r="Q844" s="223">
        <v>-9999</v>
      </c>
      <c r="R844" s="243"/>
      <c r="S844" s="223"/>
      <c r="T844" s="406">
        <v>5.8</v>
      </c>
      <c r="U844" s="223">
        <v>-9999</v>
      </c>
      <c r="V844" s="223"/>
      <c r="W844" s="243">
        <v>-9999</v>
      </c>
      <c r="X844" s="223">
        <v>-9999</v>
      </c>
      <c r="Y844" s="223"/>
      <c r="Z844" s="223" t="s">
        <v>67</v>
      </c>
      <c r="AA844" s="441">
        <v>6727</v>
      </c>
      <c r="AB844" s="243">
        <v>-9999</v>
      </c>
      <c r="AC844" s="223">
        <v>-9999</v>
      </c>
      <c r="AD844" s="223">
        <v>144</v>
      </c>
      <c r="AE844" s="404" t="s">
        <v>1959</v>
      </c>
      <c r="AF844" s="223">
        <v>1</v>
      </c>
      <c r="AG844" s="223" t="s">
        <v>1070</v>
      </c>
      <c r="AH844" s="223" t="s">
        <v>876</v>
      </c>
      <c r="AI844" s="223" t="s">
        <v>1066</v>
      </c>
      <c r="AJ844" s="223">
        <v>-9999</v>
      </c>
      <c r="AK844" s="223" t="s">
        <v>626</v>
      </c>
      <c r="AL844" s="223">
        <v>0</v>
      </c>
      <c r="AM844" s="223">
        <v>-9999</v>
      </c>
      <c r="AN844" s="223">
        <v>-9999</v>
      </c>
      <c r="AO844" s="223">
        <v>-9999</v>
      </c>
      <c r="AP844" s="223">
        <v>-9999</v>
      </c>
      <c r="AQ844" s="223" t="s">
        <v>631</v>
      </c>
      <c r="AR844" s="223">
        <v>0</v>
      </c>
      <c r="AS844" s="223">
        <v>-9999</v>
      </c>
      <c r="AT844" s="223">
        <v>-9999</v>
      </c>
      <c r="AU844" s="223">
        <v>0</v>
      </c>
      <c r="AV844" s="223">
        <v>-9999</v>
      </c>
      <c r="AW844" s="223">
        <v>-9999</v>
      </c>
      <c r="AX844" s="223">
        <v>0</v>
      </c>
      <c r="AY844" s="223">
        <v>-9999</v>
      </c>
      <c r="AZ844" s="223">
        <v>-9999</v>
      </c>
      <c r="BA844" s="223">
        <v>-9999</v>
      </c>
      <c r="BB844" s="223" t="s">
        <v>631</v>
      </c>
      <c r="BC844" s="223">
        <v>-9999</v>
      </c>
      <c r="BD844" s="223">
        <v>-9999</v>
      </c>
      <c r="BE844" s="223">
        <v>-9999</v>
      </c>
      <c r="BF844" s="223">
        <v>-9999</v>
      </c>
      <c r="BG844" s="223">
        <v>-9999</v>
      </c>
      <c r="BH844" s="223">
        <v>-9999</v>
      </c>
      <c r="BI844" s="223" t="s">
        <v>84</v>
      </c>
      <c r="BJ844" s="223">
        <v>-9999</v>
      </c>
      <c r="BK844" s="223">
        <v>-9999</v>
      </c>
      <c r="BL844" s="223">
        <v>-9999</v>
      </c>
      <c r="BM844" s="223">
        <v>-9999</v>
      </c>
      <c r="BN844" s="223">
        <v>-9999</v>
      </c>
      <c r="BO844" s="223">
        <v>-9999</v>
      </c>
      <c r="BP844" s="223">
        <v>-9999</v>
      </c>
      <c r="BQ844" s="223">
        <v>-9999</v>
      </c>
      <c r="BR844" s="223">
        <v>-9999</v>
      </c>
      <c r="BS844" s="242">
        <v>-9999</v>
      </c>
      <c r="BT844" s="223">
        <v>-9999</v>
      </c>
      <c r="BU844" s="223">
        <v>-9999</v>
      </c>
      <c r="BV844" s="223">
        <v>-9999</v>
      </c>
      <c r="BW844" s="223"/>
      <c r="BX844" s="223">
        <v>-9999</v>
      </c>
      <c r="BY844" s="223">
        <v>-9999</v>
      </c>
      <c r="BZ844" s="223">
        <v>-9999</v>
      </c>
      <c r="CA844" s="332">
        <v>-9999</v>
      </c>
      <c r="CB844" s="443" t="s">
        <v>1570</v>
      </c>
      <c r="CC844" s="403">
        <v>5</v>
      </c>
      <c r="CD844" s="403">
        <v>2</v>
      </c>
      <c r="CE844" s="342">
        <v>5.8</v>
      </c>
      <c r="CF844" s="342">
        <v>-9999</v>
      </c>
      <c r="CG844" s="405">
        <v>10</v>
      </c>
    </row>
    <row r="845" spans="1:1873" s="13" customFormat="1" x14ac:dyDescent="0.2">
      <c r="A845" s="403" t="s">
        <v>367</v>
      </c>
      <c r="B845" s="404" t="s">
        <v>2132</v>
      </c>
      <c r="C845" s="404" t="s">
        <v>1563</v>
      </c>
      <c r="D845" s="404" t="s">
        <v>1560</v>
      </c>
      <c r="E845" s="404" t="s">
        <v>1460</v>
      </c>
      <c r="F845" s="403">
        <v>6</v>
      </c>
      <c r="G845" s="403">
        <v>3</v>
      </c>
      <c r="H845" s="405">
        <v>13</v>
      </c>
      <c r="I845" s="245" t="s">
        <v>954</v>
      </c>
      <c r="J845" s="441">
        <v>1973</v>
      </c>
      <c r="K845" s="245" t="s">
        <v>1211</v>
      </c>
      <c r="L845" s="441">
        <v>1984</v>
      </c>
      <c r="M845" s="285">
        <f>+T845*G845</f>
        <v>13.200000000000001</v>
      </c>
      <c r="N845" s="223">
        <v>-9999</v>
      </c>
      <c r="O845" s="29"/>
      <c r="P845" s="243">
        <v>-9999</v>
      </c>
      <c r="Q845" s="223">
        <v>-9999</v>
      </c>
      <c r="R845" s="243"/>
      <c r="S845" s="223"/>
      <c r="T845" s="406">
        <v>4.4000000000000004</v>
      </c>
      <c r="U845" s="223">
        <v>-9999</v>
      </c>
      <c r="V845" s="223"/>
      <c r="W845" s="243">
        <v>-9999</v>
      </c>
      <c r="X845" s="223">
        <v>-9999</v>
      </c>
      <c r="Y845" s="223"/>
      <c r="Z845" s="223" t="s">
        <v>67</v>
      </c>
      <c r="AA845" s="441">
        <v>6727</v>
      </c>
      <c r="AB845" s="243">
        <v>-9999</v>
      </c>
      <c r="AC845" s="223">
        <v>-9999</v>
      </c>
      <c r="AD845" s="223">
        <v>144</v>
      </c>
      <c r="AE845" s="404" t="s">
        <v>1959</v>
      </c>
      <c r="AF845" s="223">
        <v>1</v>
      </c>
      <c r="AG845" s="223" t="s">
        <v>1070</v>
      </c>
      <c r="AH845" s="223" t="s">
        <v>876</v>
      </c>
      <c r="AI845" s="223" t="s">
        <v>1066</v>
      </c>
      <c r="AJ845" s="223">
        <v>-9999</v>
      </c>
      <c r="AK845" s="223" t="s">
        <v>626</v>
      </c>
      <c r="AL845" s="223">
        <v>0</v>
      </c>
      <c r="AM845" s="223">
        <v>-9999</v>
      </c>
      <c r="AN845" s="223">
        <v>-9999</v>
      </c>
      <c r="AO845" s="223">
        <v>-9999</v>
      </c>
      <c r="AP845" s="223">
        <v>-9999</v>
      </c>
      <c r="AQ845" s="223" t="s">
        <v>631</v>
      </c>
      <c r="AR845" s="223">
        <v>0</v>
      </c>
      <c r="AS845" s="223">
        <v>-9999</v>
      </c>
      <c r="AT845" s="223">
        <v>-9999</v>
      </c>
      <c r="AU845" s="223">
        <v>0</v>
      </c>
      <c r="AV845" s="223">
        <v>-9999</v>
      </c>
      <c r="AW845" s="223">
        <v>-9999</v>
      </c>
      <c r="AX845" s="223">
        <v>0</v>
      </c>
      <c r="AY845" s="223">
        <v>-9999</v>
      </c>
      <c r="AZ845" s="223">
        <v>-9999</v>
      </c>
      <c r="BA845" s="223">
        <v>-9999</v>
      </c>
      <c r="BB845" s="223" t="s">
        <v>631</v>
      </c>
      <c r="BC845" s="223">
        <v>-9999</v>
      </c>
      <c r="BD845" s="223">
        <v>-9999</v>
      </c>
      <c r="BE845" s="223">
        <v>-9999</v>
      </c>
      <c r="BF845" s="223">
        <v>-9999</v>
      </c>
      <c r="BG845" s="223">
        <v>-9999</v>
      </c>
      <c r="BH845" s="223">
        <v>-9999</v>
      </c>
      <c r="BI845" s="223" t="s">
        <v>84</v>
      </c>
      <c r="BJ845" s="223">
        <v>-9999</v>
      </c>
      <c r="BK845" s="223">
        <v>-9999</v>
      </c>
      <c r="BL845" s="223">
        <v>-9999</v>
      </c>
      <c r="BM845" s="223">
        <v>-9999</v>
      </c>
      <c r="BN845" s="223">
        <v>-9999</v>
      </c>
      <c r="BO845" s="223">
        <v>-9999</v>
      </c>
      <c r="BP845" s="223">
        <v>-9999</v>
      </c>
      <c r="BQ845" s="223">
        <v>-9999</v>
      </c>
      <c r="BR845" s="223">
        <v>-9999</v>
      </c>
      <c r="BS845" s="242">
        <v>-9999</v>
      </c>
      <c r="BT845" s="223">
        <v>-9999</v>
      </c>
      <c r="BU845" s="223">
        <v>-9999</v>
      </c>
      <c r="BV845" s="223">
        <v>-9999</v>
      </c>
      <c r="BW845" s="223"/>
      <c r="BX845" s="223">
        <v>-9999</v>
      </c>
      <c r="BY845" s="223">
        <v>-9999</v>
      </c>
      <c r="BZ845" s="223">
        <v>-9999</v>
      </c>
      <c r="CA845" s="332">
        <v>-9999</v>
      </c>
      <c r="CB845" s="443" t="s">
        <v>1570</v>
      </c>
      <c r="CC845" s="403">
        <v>6</v>
      </c>
      <c r="CD845" s="403">
        <v>3</v>
      </c>
      <c r="CE845" s="342">
        <v>4.4000000000000004</v>
      </c>
      <c r="CF845" s="342">
        <v>-9999</v>
      </c>
      <c r="CG845" s="405">
        <v>13</v>
      </c>
    </row>
    <row r="846" spans="1:1873" s="13" customFormat="1" x14ac:dyDescent="0.2">
      <c r="A846" s="403" t="s">
        <v>367</v>
      </c>
      <c r="B846" s="404" t="s">
        <v>2132</v>
      </c>
      <c r="C846" s="404" t="s">
        <v>1563</v>
      </c>
      <c r="D846" s="404" t="s">
        <v>1560</v>
      </c>
      <c r="E846" s="404" t="s">
        <v>1460</v>
      </c>
      <c r="F846" s="403">
        <v>7</v>
      </c>
      <c r="G846" s="403">
        <v>2</v>
      </c>
      <c r="H846" s="405">
        <v>15</v>
      </c>
      <c r="I846" s="245" t="s">
        <v>954</v>
      </c>
      <c r="J846" s="441">
        <v>1973</v>
      </c>
      <c r="K846" s="245" t="s">
        <v>1211</v>
      </c>
      <c r="L846" s="441">
        <v>1987</v>
      </c>
      <c r="M846" s="285">
        <f>+T846*G846</f>
        <v>14.2</v>
      </c>
      <c r="N846" s="223">
        <v>-9999</v>
      </c>
      <c r="O846" s="29"/>
      <c r="P846" s="243">
        <v>-9999</v>
      </c>
      <c r="Q846" s="223">
        <v>-9999</v>
      </c>
      <c r="R846" s="243"/>
      <c r="S846" s="223"/>
      <c r="T846" s="406">
        <v>7.1</v>
      </c>
      <c r="U846" s="223">
        <v>-9999</v>
      </c>
      <c r="V846" s="223"/>
      <c r="W846" s="243">
        <v>-9999</v>
      </c>
      <c r="X846" s="223">
        <v>-9999</v>
      </c>
      <c r="Y846" s="223"/>
      <c r="Z846" s="223" t="s">
        <v>67</v>
      </c>
      <c r="AA846" s="441">
        <v>6727</v>
      </c>
      <c r="AB846" s="243">
        <v>-9999</v>
      </c>
      <c r="AC846" s="223">
        <v>-9999</v>
      </c>
      <c r="AD846" s="223">
        <v>144</v>
      </c>
      <c r="AE846" s="404" t="s">
        <v>1959</v>
      </c>
      <c r="AF846" s="223">
        <v>1</v>
      </c>
      <c r="AG846" s="223" t="s">
        <v>1070</v>
      </c>
      <c r="AH846" s="223" t="s">
        <v>876</v>
      </c>
      <c r="AI846" s="223" t="s">
        <v>1066</v>
      </c>
      <c r="AJ846" s="223">
        <v>-9999</v>
      </c>
      <c r="AK846" s="223" t="s">
        <v>626</v>
      </c>
      <c r="AL846" s="223">
        <v>0</v>
      </c>
      <c r="AM846" s="223">
        <v>-9999</v>
      </c>
      <c r="AN846" s="223">
        <v>-9999</v>
      </c>
      <c r="AO846" s="223">
        <v>-9999</v>
      </c>
      <c r="AP846" s="223">
        <v>-9999</v>
      </c>
      <c r="AQ846" s="223" t="s">
        <v>631</v>
      </c>
      <c r="AR846" s="223">
        <v>0</v>
      </c>
      <c r="AS846" s="223">
        <v>-9999</v>
      </c>
      <c r="AT846" s="223">
        <v>-9999</v>
      </c>
      <c r="AU846" s="223">
        <v>0</v>
      </c>
      <c r="AV846" s="223">
        <v>-9999</v>
      </c>
      <c r="AW846" s="223">
        <v>-9999</v>
      </c>
      <c r="AX846" s="223">
        <v>0</v>
      </c>
      <c r="AY846" s="223">
        <v>-9999</v>
      </c>
      <c r="AZ846" s="223">
        <v>-9999</v>
      </c>
      <c r="BA846" s="223">
        <v>-9999</v>
      </c>
      <c r="BB846" s="223" t="s">
        <v>631</v>
      </c>
      <c r="BC846" s="223">
        <v>-9999</v>
      </c>
      <c r="BD846" s="223">
        <v>-9999</v>
      </c>
      <c r="BE846" s="223">
        <v>-9999</v>
      </c>
      <c r="BF846" s="223">
        <v>-9999</v>
      </c>
      <c r="BG846" s="223">
        <v>-9999</v>
      </c>
      <c r="BH846" s="223">
        <v>-9999</v>
      </c>
      <c r="BI846" s="223" t="s">
        <v>84</v>
      </c>
      <c r="BJ846" s="223">
        <v>-9999</v>
      </c>
      <c r="BK846" s="223">
        <v>-9999</v>
      </c>
      <c r="BL846" s="223">
        <v>-9999</v>
      </c>
      <c r="BM846" s="223">
        <v>-9999</v>
      </c>
      <c r="BN846" s="223">
        <v>-9999</v>
      </c>
      <c r="BO846" s="223">
        <v>-9999</v>
      </c>
      <c r="BP846" s="223">
        <v>-9999</v>
      </c>
      <c r="BQ846" s="223">
        <v>-9999</v>
      </c>
      <c r="BR846" s="223">
        <v>-9999</v>
      </c>
      <c r="BS846" s="242">
        <v>-9999</v>
      </c>
      <c r="BT846" s="223">
        <v>-9999</v>
      </c>
      <c r="BU846" s="223">
        <v>-9999</v>
      </c>
      <c r="BV846" s="223">
        <v>-9999</v>
      </c>
      <c r="BW846" s="223"/>
      <c r="BX846" s="223">
        <v>-9999</v>
      </c>
      <c r="BY846" s="223">
        <v>-9999</v>
      </c>
      <c r="BZ846" s="223">
        <v>-9999</v>
      </c>
      <c r="CA846" s="332">
        <v>-9999</v>
      </c>
      <c r="CB846" s="443" t="s">
        <v>1570</v>
      </c>
      <c r="CC846" s="403">
        <v>7</v>
      </c>
      <c r="CD846" s="403">
        <v>2</v>
      </c>
      <c r="CE846" s="342">
        <v>7.1</v>
      </c>
      <c r="CF846" s="342">
        <v>-9999</v>
      </c>
      <c r="CG846" s="405">
        <v>15</v>
      </c>
    </row>
    <row r="847" spans="1:1873" s="23" customFormat="1" x14ac:dyDescent="0.2">
      <c r="A847" s="240"/>
      <c r="B847" s="223"/>
      <c r="C847" s="223"/>
      <c r="D847" s="223"/>
      <c r="E847" s="223"/>
      <c r="F847" s="240"/>
      <c r="G847" s="240"/>
      <c r="H847" s="242"/>
      <c r="I847" s="245"/>
      <c r="J847" s="223"/>
      <c r="K847" s="245"/>
      <c r="L847" s="223"/>
      <c r="M847" s="243"/>
      <c r="N847" s="223"/>
      <c r="O847" s="29"/>
      <c r="P847" s="243"/>
      <c r="Q847" s="223"/>
      <c r="R847" s="243"/>
      <c r="S847" s="223"/>
      <c r="T847" s="244"/>
      <c r="U847" s="223"/>
      <c r="V847" s="223"/>
      <c r="W847" s="243"/>
      <c r="X847" s="223"/>
      <c r="Y847" s="223"/>
      <c r="Z847" s="223"/>
      <c r="AA847" s="441"/>
      <c r="AB847" s="243"/>
      <c r="AC847" s="223"/>
      <c r="AD847" s="223"/>
      <c r="AE847" s="223"/>
      <c r="AF847" s="223"/>
      <c r="AG847" s="223"/>
      <c r="AH847" s="223"/>
      <c r="AI847" s="223"/>
      <c r="AJ847" s="223"/>
      <c r="AK847" s="223"/>
      <c r="AL847" s="223"/>
      <c r="AM847" s="223"/>
      <c r="AN847" s="223"/>
      <c r="AO847" s="223"/>
      <c r="AP847" s="223"/>
      <c r="AQ847" s="223"/>
      <c r="AR847" s="223"/>
      <c r="AS847" s="223"/>
      <c r="AT847" s="223"/>
      <c r="AU847" s="223"/>
      <c r="AV847" s="223"/>
      <c r="AW847" s="223"/>
      <c r="AX847" s="223"/>
      <c r="AY847" s="223"/>
      <c r="AZ847" s="223"/>
      <c r="BA847" s="223"/>
      <c r="BB847" s="223"/>
      <c r="BC847" s="223"/>
      <c r="BD847" s="223"/>
      <c r="BE847" s="223"/>
      <c r="BF847" s="223"/>
      <c r="BG847" s="223"/>
      <c r="BH847" s="223"/>
      <c r="BI847" s="223"/>
      <c r="BJ847" s="223"/>
      <c r="BK847" s="223"/>
      <c r="BL847" s="223"/>
      <c r="BM847" s="223"/>
      <c r="BN847" s="223"/>
      <c r="BO847" s="223"/>
      <c r="BP847" s="223"/>
      <c r="BQ847" s="223"/>
      <c r="BR847" s="223"/>
      <c r="BS847" s="242"/>
      <c r="BT847" s="223"/>
      <c r="BU847" s="223"/>
      <c r="BV847" s="223"/>
      <c r="BW847" s="223"/>
      <c r="BX847" s="223"/>
      <c r="BY847" s="223"/>
      <c r="BZ847" s="223"/>
      <c r="CA847" s="332"/>
      <c r="CB847" s="446"/>
      <c r="CC847" s="240"/>
      <c r="CD847" s="240"/>
      <c r="CE847" s="342" t="s">
        <v>1982</v>
      </c>
      <c r="CF847" s="342" t="s">
        <v>1575</v>
      </c>
      <c r="CG847" s="242"/>
    </row>
    <row r="848" spans="1:1873" s="23" customFormat="1" x14ac:dyDescent="0.2">
      <c r="A848" s="240" t="s">
        <v>366</v>
      </c>
      <c r="B848" s="404" t="s">
        <v>2132</v>
      </c>
      <c r="C848" s="404" t="s">
        <v>1556</v>
      </c>
      <c r="D848" s="404" t="s">
        <v>1559</v>
      </c>
      <c r="E848" s="404" t="s">
        <v>1555</v>
      </c>
      <c r="F848" s="240">
        <v>1</v>
      </c>
      <c r="G848" s="240">
        <v>2</v>
      </c>
      <c r="H848" s="242">
        <v>2</v>
      </c>
      <c r="I848" s="245" t="s">
        <v>954</v>
      </c>
      <c r="J848" s="441">
        <v>1973</v>
      </c>
      <c r="K848" s="245" t="s">
        <v>1211</v>
      </c>
      <c r="L848" s="441">
        <v>1974</v>
      </c>
      <c r="M848" s="243">
        <v>10.3</v>
      </c>
      <c r="N848" s="223">
        <v>-9999</v>
      </c>
      <c r="O848" s="29"/>
      <c r="P848" s="243">
        <v>-9999</v>
      </c>
      <c r="Q848" s="223">
        <v>-9999</v>
      </c>
      <c r="R848" s="243"/>
      <c r="S848" s="223"/>
      <c r="T848" s="244">
        <f>+M848/G848</f>
        <v>5.15</v>
      </c>
      <c r="U848" s="223">
        <v>-9999</v>
      </c>
      <c r="V848" s="223"/>
      <c r="W848" s="243">
        <v>-9999</v>
      </c>
      <c r="X848" s="223">
        <v>-9999</v>
      </c>
      <c r="Y848" s="223"/>
      <c r="Z848" s="223" t="s">
        <v>83</v>
      </c>
      <c r="AA848" s="442">
        <v>26909</v>
      </c>
      <c r="AB848" s="243">
        <v>1</v>
      </c>
      <c r="AC848" s="223">
        <v>-9999</v>
      </c>
      <c r="AD848" s="223">
        <v>144</v>
      </c>
      <c r="AE848" s="404" t="s">
        <v>1960</v>
      </c>
      <c r="AF848" s="223">
        <v>1</v>
      </c>
      <c r="AG848" s="223" t="s">
        <v>1070</v>
      </c>
      <c r="AH848" s="223" t="s">
        <v>876</v>
      </c>
      <c r="AI848" s="223" t="s">
        <v>1066</v>
      </c>
      <c r="AJ848" s="223">
        <v>-9999</v>
      </c>
      <c r="AK848" s="223" t="s">
        <v>626</v>
      </c>
      <c r="AL848" s="223" t="s">
        <v>1068</v>
      </c>
      <c r="AM848" s="223">
        <v>-9999</v>
      </c>
      <c r="AN848" s="223">
        <v>-9999</v>
      </c>
      <c r="AO848" s="223">
        <v>-9999</v>
      </c>
      <c r="AP848" s="223">
        <v>-9999</v>
      </c>
      <c r="AQ848" s="223" t="s">
        <v>631</v>
      </c>
      <c r="AR848" s="223">
        <v>0</v>
      </c>
      <c r="AS848" s="223">
        <v>-9999</v>
      </c>
      <c r="AT848" s="223">
        <v>-9999</v>
      </c>
      <c r="AU848" s="223">
        <v>0</v>
      </c>
      <c r="AV848" s="223">
        <v>-9999</v>
      </c>
      <c r="AW848" s="223">
        <v>-9999</v>
      </c>
      <c r="AX848" s="223">
        <v>0</v>
      </c>
      <c r="AY848" s="223">
        <v>-9999</v>
      </c>
      <c r="AZ848" s="223">
        <v>-9999</v>
      </c>
      <c r="BA848" s="223">
        <v>-9999</v>
      </c>
      <c r="BB848" s="223" t="s">
        <v>631</v>
      </c>
      <c r="BC848" s="223">
        <v>-9999</v>
      </c>
      <c r="BD848" s="223">
        <v>-9999</v>
      </c>
      <c r="BE848" s="223">
        <v>-9999</v>
      </c>
      <c r="BF848" s="223">
        <v>-9999</v>
      </c>
      <c r="BG848" s="223">
        <v>-9999</v>
      </c>
      <c r="BH848" s="223">
        <v>-9999</v>
      </c>
      <c r="BI848" s="223" t="s">
        <v>84</v>
      </c>
      <c r="BJ848" s="223">
        <v>-9999</v>
      </c>
      <c r="BK848" s="223">
        <v>-9999</v>
      </c>
      <c r="BL848" s="223">
        <v>-9999</v>
      </c>
      <c r="BM848" s="223">
        <v>-9999</v>
      </c>
      <c r="BN848" s="223">
        <v>-9999</v>
      </c>
      <c r="BO848" s="223">
        <v>-9999</v>
      </c>
      <c r="BP848" s="223">
        <v>-9999</v>
      </c>
      <c r="BQ848" s="223">
        <v>-9999</v>
      </c>
      <c r="BR848" s="223">
        <v>-9999</v>
      </c>
      <c r="BS848" s="242">
        <v>-9999</v>
      </c>
      <c r="BT848" s="223">
        <v>-9999</v>
      </c>
      <c r="BU848" s="223">
        <v>-9999</v>
      </c>
      <c r="BV848" s="223">
        <v>-9999</v>
      </c>
      <c r="BW848" s="223"/>
      <c r="BX848" s="223">
        <v>-9999</v>
      </c>
      <c r="BY848" s="223">
        <v>-9999</v>
      </c>
      <c r="BZ848" s="223">
        <v>-9999</v>
      </c>
      <c r="CA848" s="332">
        <v>-9999</v>
      </c>
      <c r="CB848" s="443" t="s">
        <v>1571</v>
      </c>
      <c r="CC848" s="240">
        <v>1</v>
      </c>
      <c r="CD848" s="240">
        <v>2</v>
      </c>
      <c r="CE848" s="292">
        <v>5.15</v>
      </c>
      <c r="CF848" s="292">
        <v>-9999</v>
      </c>
      <c r="CG848" s="242">
        <v>2</v>
      </c>
    </row>
    <row r="849" spans="1:86" s="13" customFormat="1" x14ac:dyDescent="0.2">
      <c r="A849" s="283" t="s">
        <v>366</v>
      </c>
      <c r="B849" s="249" t="s">
        <v>2132</v>
      </c>
      <c r="C849" s="249" t="s">
        <v>1556</v>
      </c>
      <c r="D849" s="249" t="s">
        <v>1559</v>
      </c>
      <c r="E849" s="249" t="s">
        <v>1555</v>
      </c>
      <c r="F849" s="283">
        <v>2</v>
      </c>
      <c r="G849" s="283">
        <v>2</v>
      </c>
      <c r="H849" s="251">
        <v>4</v>
      </c>
      <c r="I849" s="245" t="s">
        <v>954</v>
      </c>
      <c r="J849" s="441">
        <v>1973</v>
      </c>
      <c r="K849" s="245" t="s">
        <v>1211</v>
      </c>
      <c r="L849" s="441">
        <v>1976</v>
      </c>
      <c r="M849" s="253">
        <v>22.6</v>
      </c>
      <c r="N849" s="249">
        <v>-9999</v>
      </c>
      <c r="O849" s="18"/>
      <c r="P849" s="253">
        <v>-9999</v>
      </c>
      <c r="Q849" s="249">
        <v>-9999</v>
      </c>
      <c r="R849" s="253"/>
      <c r="S849" s="249"/>
      <c r="T849" s="253">
        <f>+M849/G849</f>
        <v>11.3</v>
      </c>
      <c r="U849" s="249">
        <v>-9999</v>
      </c>
      <c r="V849" s="249"/>
      <c r="W849" s="253">
        <v>-9999</v>
      </c>
      <c r="X849" s="249">
        <v>-9999</v>
      </c>
      <c r="Y849" s="249"/>
      <c r="Z849" s="249" t="s">
        <v>83</v>
      </c>
      <c r="AA849" s="447">
        <v>26909</v>
      </c>
      <c r="AB849" s="253">
        <v>0.95</v>
      </c>
      <c r="AC849" s="249">
        <v>-9999</v>
      </c>
      <c r="AD849" s="249">
        <v>144</v>
      </c>
      <c r="AE849" s="249" t="s">
        <v>1960</v>
      </c>
      <c r="AF849" s="249">
        <v>1</v>
      </c>
      <c r="AG849" s="249" t="s">
        <v>1070</v>
      </c>
      <c r="AH849" s="249" t="s">
        <v>876</v>
      </c>
      <c r="AI849" s="249" t="s">
        <v>1066</v>
      </c>
      <c r="AJ849" s="249">
        <v>-9999</v>
      </c>
      <c r="AK849" s="249" t="s">
        <v>626</v>
      </c>
      <c r="AL849" s="249" t="s">
        <v>1069</v>
      </c>
      <c r="AM849" s="249">
        <v>-9999</v>
      </c>
      <c r="AN849" s="249">
        <v>-9999</v>
      </c>
      <c r="AO849" s="249">
        <v>-9999</v>
      </c>
      <c r="AP849" s="249">
        <v>-9999</v>
      </c>
      <c r="AQ849" s="249" t="s">
        <v>631</v>
      </c>
      <c r="AR849" s="249">
        <v>0</v>
      </c>
      <c r="AS849" s="249">
        <v>-9999</v>
      </c>
      <c r="AT849" s="249">
        <v>-9999</v>
      </c>
      <c r="AU849" s="249">
        <v>0</v>
      </c>
      <c r="AV849" s="249">
        <v>-9999</v>
      </c>
      <c r="AW849" s="249">
        <v>-9999</v>
      </c>
      <c r="AX849" s="249">
        <v>0</v>
      </c>
      <c r="AY849" s="249">
        <v>-9999</v>
      </c>
      <c r="AZ849" s="249">
        <v>-9999</v>
      </c>
      <c r="BA849" s="249">
        <v>-9999</v>
      </c>
      <c r="BB849" s="249" t="s">
        <v>631</v>
      </c>
      <c r="BC849" s="249">
        <v>-9999</v>
      </c>
      <c r="BD849" s="249">
        <v>-9999</v>
      </c>
      <c r="BE849" s="249">
        <v>-9999</v>
      </c>
      <c r="BF849" s="249">
        <v>-9999</v>
      </c>
      <c r="BG849" s="249">
        <v>-9999</v>
      </c>
      <c r="BH849" s="249">
        <v>-9999</v>
      </c>
      <c r="BI849" s="249" t="s">
        <v>84</v>
      </c>
      <c r="BJ849" s="249">
        <v>-9999</v>
      </c>
      <c r="BK849" s="249">
        <v>-9999</v>
      </c>
      <c r="BL849" s="249">
        <v>-9999</v>
      </c>
      <c r="BM849" s="249">
        <v>-9999</v>
      </c>
      <c r="BN849" s="249">
        <v>-9999</v>
      </c>
      <c r="BO849" s="249">
        <v>-9999</v>
      </c>
      <c r="BP849" s="249">
        <v>-9999</v>
      </c>
      <c r="BQ849" s="249">
        <v>-9999</v>
      </c>
      <c r="BR849" s="249">
        <v>-9999</v>
      </c>
      <c r="BS849" s="251">
        <v>-9999</v>
      </c>
      <c r="BT849" s="249">
        <v>-9999</v>
      </c>
      <c r="BU849" s="249">
        <v>-9999</v>
      </c>
      <c r="BV849" s="249">
        <v>-9999</v>
      </c>
      <c r="BW849" s="249"/>
      <c r="BX849" s="249">
        <v>-9999</v>
      </c>
      <c r="BY849" s="249">
        <v>-9999</v>
      </c>
      <c r="BZ849" s="249">
        <v>-9999</v>
      </c>
      <c r="CA849" s="331">
        <v>-9999</v>
      </c>
      <c r="CB849" s="443" t="s">
        <v>1571</v>
      </c>
      <c r="CC849" s="283">
        <v>2</v>
      </c>
      <c r="CD849" s="283">
        <v>2</v>
      </c>
      <c r="CE849" s="393">
        <v>11.3</v>
      </c>
      <c r="CF849" s="99">
        <v>-9999</v>
      </c>
      <c r="CG849" s="209">
        <v>4</v>
      </c>
      <c r="CH849" s="436" t="s">
        <v>1757</v>
      </c>
    </row>
    <row r="850" spans="1:86" s="301" customFormat="1" x14ac:dyDescent="0.2">
      <c r="A850" s="403" t="s">
        <v>367</v>
      </c>
      <c r="B850" s="404" t="s">
        <v>2132</v>
      </c>
      <c r="C850" s="404" t="s">
        <v>1556</v>
      </c>
      <c r="D850" s="404" t="s">
        <v>1559</v>
      </c>
      <c r="E850" s="404" t="s">
        <v>1555</v>
      </c>
      <c r="F850" s="403">
        <v>3</v>
      </c>
      <c r="G850" s="403">
        <v>2</v>
      </c>
      <c r="H850" s="405">
        <v>6</v>
      </c>
      <c r="I850" s="245" t="s">
        <v>954</v>
      </c>
      <c r="J850" s="441">
        <v>1973</v>
      </c>
      <c r="K850" s="245" t="s">
        <v>1211</v>
      </c>
      <c r="L850" s="441">
        <v>1978</v>
      </c>
      <c r="M850" s="285">
        <f>+T850*G850</f>
        <v>14.8</v>
      </c>
      <c r="N850" s="223">
        <v>-9999</v>
      </c>
      <c r="O850" s="29"/>
      <c r="P850" s="243">
        <v>-9999</v>
      </c>
      <c r="Q850" s="223">
        <v>-9999</v>
      </c>
      <c r="R850" s="243"/>
      <c r="S850" s="223"/>
      <c r="T850" s="406">
        <v>7.4</v>
      </c>
      <c r="U850" s="223">
        <v>-9999</v>
      </c>
      <c r="V850" s="223"/>
      <c r="W850" s="243">
        <v>-9999</v>
      </c>
      <c r="X850" s="223">
        <v>-9999</v>
      </c>
      <c r="Y850" s="223"/>
      <c r="Z850" s="223" t="s">
        <v>83</v>
      </c>
      <c r="AA850" s="442">
        <v>26909</v>
      </c>
      <c r="AB850" s="243">
        <v>-9999</v>
      </c>
      <c r="AC850" s="223">
        <v>-9999</v>
      </c>
      <c r="AD850" s="223">
        <v>144</v>
      </c>
      <c r="AE850" s="404" t="s">
        <v>1960</v>
      </c>
      <c r="AF850" s="223">
        <v>1</v>
      </c>
      <c r="AG850" s="223" t="s">
        <v>1070</v>
      </c>
      <c r="AH850" s="223" t="s">
        <v>876</v>
      </c>
      <c r="AI850" s="223" t="s">
        <v>1066</v>
      </c>
      <c r="AJ850" s="223">
        <v>-9999</v>
      </c>
      <c r="AK850" s="223" t="s">
        <v>626</v>
      </c>
      <c r="AL850" s="223">
        <v>0</v>
      </c>
      <c r="AM850" s="223">
        <v>-9999</v>
      </c>
      <c r="AN850" s="223">
        <v>-9999</v>
      </c>
      <c r="AO850" s="223">
        <v>-9999</v>
      </c>
      <c r="AP850" s="223">
        <v>-9999</v>
      </c>
      <c r="AQ850" s="223" t="s">
        <v>631</v>
      </c>
      <c r="AR850" s="223">
        <v>0</v>
      </c>
      <c r="AS850" s="223">
        <v>-9999</v>
      </c>
      <c r="AT850" s="223">
        <v>-9999</v>
      </c>
      <c r="AU850" s="223">
        <v>0</v>
      </c>
      <c r="AV850" s="223">
        <v>-9999</v>
      </c>
      <c r="AW850" s="223">
        <v>-9999</v>
      </c>
      <c r="AX850" s="223">
        <v>0</v>
      </c>
      <c r="AY850" s="223">
        <v>-9999</v>
      </c>
      <c r="AZ850" s="223">
        <v>-9999</v>
      </c>
      <c r="BA850" s="223">
        <v>-9999</v>
      </c>
      <c r="BB850" s="223" t="s">
        <v>631</v>
      </c>
      <c r="BC850" s="223">
        <v>-9999</v>
      </c>
      <c r="BD850" s="223">
        <v>-9999</v>
      </c>
      <c r="BE850" s="223">
        <v>-9999</v>
      </c>
      <c r="BF850" s="223">
        <v>-9999</v>
      </c>
      <c r="BG850" s="223">
        <v>-9999</v>
      </c>
      <c r="BH850" s="223">
        <v>-9999</v>
      </c>
      <c r="BI850" s="223" t="s">
        <v>84</v>
      </c>
      <c r="BJ850" s="223">
        <v>-9999</v>
      </c>
      <c r="BK850" s="223">
        <v>-9999</v>
      </c>
      <c r="BL850" s="223">
        <v>-9999</v>
      </c>
      <c r="BM850" s="223">
        <v>-9999</v>
      </c>
      <c r="BN850" s="223">
        <v>-9999</v>
      </c>
      <c r="BO850" s="223">
        <v>-9999</v>
      </c>
      <c r="BP850" s="223">
        <v>-9999</v>
      </c>
      <c r="BQ850" s="223">
        <v>-9999</v>
      </c>
      <c r="BR850" s="223">
        <v>-9999</v>
      </c>
      <c r="BS850" s="242">
        <v>-9999</v>
      </c>
      <c r="BT850" s="223">
        <v>-9999</v>
      </c>
      <c r="BU850" s="223">
        <v>-9999</v>
      </c>
      <c r="BV850" s="223">
        <v>-9999</v>
      </c>
      <c r="BW850" s="223"/>
      <c r="BX850" s="223">
        <v>-9999</v>
      </c>
      <c r="BY850" s="223">
        <v>-9999</v>
      </c>
      <c r="BZ850" s="223">
        <v>-9999</v>
      </c>
      <c r="CA850" s="332">
        <v>-9999</v>
      </c>
      <c r="CB850" s="443" t="s">
        <v>1571</v>
      </c>
      <c r="CC850" s="403">
        <v>3</v>
      </c>
      <c r="CD850" s="403">
        <v>2</v>
      </c>
      <c r="CE850" s="342">
        <v>7.4</v>
      </c>
      <c r="CF850" s="342">
        <v>-9999</v>
      </c>
      <c r="CG850" s="405">
        <v>6</v>
      </c>
    </row>
    <row r="851" spans="1:86" s="13" customFormat="1" x14ac:dyDescent="0.2">
      <c r="A851" s="403" t="s">
        <v>367</v>
      </c>
      <c r="B851" s="404" t="s">
        <v>2132</v>
      </c>
      <c r="C851" s="404" t="s">
        <v>1556</v>
      </c>
      <c r="D851" s="404" t="s">
        <v>1559</v>
      </c>
      <c r="E851" s="404" t="s">
        <v>1555</v>
      </c>
      <c r="F851" s="403">
        <v>4</v>
      </c>
      <c r="G851" s="403">
        <v>2</v>
      </c>
      <c r="H851" s="405">
        <v>8</v>
      </c>
      <c r="I851" s="245" t="s">
        <v>954</v>
      </c>
      <c r="J851" s="441">
        <v>1973</v>
      </c>
      <c r="K851" s="245" t="s">
        <v>1211</v>
      </c>
      <c r="L851" s="441">
        <v>1980</v>
      </c>
      <c r="M851" s="285">
        <f>+T851*G851</f>
        <v>6.8</v>
      </c>
      <c r="N851" s="223">
        <v>-9999</v>
      </c>
      <c r="O851" s="29"/>
      <c r="P851" s="243">
        <v>-9999</v>
      </c>
      <c r="Q851" s="223">
        <v>-9999</v>
      </c>
      <c r="R851" s="243"/>
      <c r="S851" s="223"/>
      <c r="T851" s="406">
        <v>3.4</v>
      </c>
      <c r="U851" s="223">
        <v>-9999</v>
      </c>
      <c r="V851" s="223"/>
      <c r="W851" s="243">
        <v>-9999</v>
      </c>
      <c r="X851" s="223">
        <v>-9999</v>
      </c>
      <c r="Y851" s="223"/>
      <c r="Z851" s="223" t="s">
        <v>83</v>
      </c>
      <c r="AA851" s="442">
        <v>26909</v>
      </c>
      <c r="AB851" s="243">
        <v>-9999</v>
      </c>
      <c r="AC851" s="223">
        <v>-9999</v>
      </c>
      <c r="AD851" s="223">
        <v>144</v>
      </c>
      <c r="AE851" s="404" t="s">
        <v>1960</v>
      </c>
      <c r="AF851" s="223">
        <v>1</v>
      </c>
      <c r="AG851" s="223" t="s">
        <v>1070</v>
      </c>
      <c r="AH851" s="223" t="s">
        <v>876</v>
      </c>
      <c r="AI851" s="223" t="s">
        <v>1066</v>
      </c>
      <c r="AJ851" s="223">
        <v>-9999</v>
      </c>
      <c r="AK851" s="223" t="s">
        <v>626</v>
      </c>
      <c r="AL851" s="223">
        <v>0</v>
      </c>
      <c r="AM851" s="223">
        <v>-9999</v>
      </c>
      <c r="AN851" s="223">
        <v>-9999</v>
      </c>
      <c r="AO851" s="223">
        <v>-9999</v>
      </c>
      <c r="AP851" s="223">
        <v>-9999</v>
      </c>
      <c r="AQ851" s="223" t="s">
        <v>631</v>
      </c>
      <c r="AR851" s="223">
        <v>0</v>
      </c>
      <c r="AS851" s="223">
        <v>-9999</v>
      </c>
      <c r="AT851" s="223">
        <v>-9999</v>
      </c>
      <c r="AU851" s="223">
        <v>0</v>
      </c>
      <c r="AV851" s="223">
        <v>-9999</v>
      </c>
      <c r="AW851" s="223">
        <v>-9999</v>
      </c>
      <c r="AX851" s="223">
        <v>0</v>
      </c>
      <c r="AY851" s="223">
        <v>-9999</v>
      </c>
      <c r="AZ851" s="223">
        <v>-9999</v>
      </c>
      <c r="BA851" s="223">
        <v>-9999</v>
      </c>
      <c r="BB851" s="223" t="s">
        <v>631</v>
      </c>
      <c r="BC851" s="223">
        <v>-9999</v>
      </c>
      <c r="BD851" s="223">
        <v>-9999</v>
      </c>
      <c r="BE851" s="223">
        <v>-9999</v>
      </c>
      <c r="BF851" s="223">
        <v>-9999</v>
      </c>
      <c r="BG851" s="223">
        <v>-9999</v>
      </c>
      <c r="BH851" s="223">
        <v>-9999</v>
      </c>
      <c r="BI851" s="223" t="s">
        <v>84</v>
      </c>
      <c r="BJ851" s="223">
        <v>-9999</v>
      </c>
      <c r="BK851" s="223">
        <v>-9999</v>
      </c>
      <c r="BL851" s="223">
        <v>-9999</v>
      </c>
      <c r="BM851" s="223">
        <v>-9999</v>
      </c>
      <c r="BN851" s="223">
        <v>-9999</v>
      </c>
      <c r="BO851" s="223">
        <v>-9999</v>
      </c>
      <c r="BP851" s="223">
        <v>-9999</v>
      </c>
      <c r="BQ851" s="223">
        <v>-9999</v>
      </c>
      <c r="BR851" s="223">
        <v>-9999</v>
      </c>
      <c r="BS851" s="242">
        <v>-9999</v>
      </c>
      <c r="BT851" s="223">
        <v>-9999</v>
      </c>
      <c r="BU851" s="223">
        <v>-9999</v>
      </c>
      <c r="BV851" s="223">
        <v>-9999</v>
      </c>
      <c r="BW851" s="223"/>
      <c r="BX851" s="223">
        <v>-9999</v>
      </c>
      <c r="BY851" s="223">
        <v>-9999</v>
      </c>
      <c r="BZ851" s="223">
        <v>-9999</v>
      </c>
      <c r="CA851" s="332">
        <v>-9999</v>
      </c>
      <c r="CB851" s="443" t="s">
        <v>1571</v>
      </c>
      <c r="CC851" s="403">
        <v>4</v>
      </c>
      <c r="CD851" s="403">
        <v>2</v>
      </c>
      <c r="CE851" s="342">
        <v>3.4</v>
      </c>
      <c r="CF851" s="342">
        <v>-9999</v>
      </c>
      <c r="CG851" s="405">
        <v>8</v>
      </c>
    </row>
    <row r="852" spans="1:86" s="13" customFormat="1" x14ac:dyDescent="0.2">
      <c r="A852" s="403" t="s">
        <v>367</v>
      </c>
      <c r="B852" s="404" t="s">
        <v>2132</v>
      </c>
      <c r="C852" s="404" t="s">
        <v>1556</v>
      </c>
      <c r="D852" s="404" t="s">
        <v>1559</v>
      </c>
      <c r="E852" s="404" t="s">
        <v>1555</v>
      </c>
      <c r="F852" s="403">
        <v>5</v>
      </c>
      <c r="G852" s="403">
        <v>2</v>
      </c>
      <c r="H852" s="405">
        <v>10</v>
      </c>
      <c r="I852" s="245" t="s">
        <v>954</v>
      </c>
      <c r="J852" s="441">
        <v>1973</v>
      </c>
      <c r="K852" s="245" t="s">
        <v>1211</v>
      </c>
      <c r="L852" s="441">
        <v>1982</v>
      </c>
      <c r="M852" s="285">
        <f>+T852*G852</f>
        <v>6.6</v>
      </c>
      <c r="N852" s="223">
        <v>-9999</v>
      </c>
      <c r="O852" s="29"/>
      <c r="P852" s="243">
        <v>-9999</v>
      </c>
      <c r="Q852" s="223">
        <v>-9999</v>
      </c>
      <c r="R852" s="243"/>
      <c r="S852" s="223"/>
      <c r="T852" s="406">
        <v>3.3</v>
      </c>
      <c r="U852" s="223">
        <v>-9999</v>
      </c>
      <c r="V852" s="223"/>
      <c r="W852" s="243">
        <v>-9999</v>
      </c>
      <c r="X852" s="223">
        <v>-9999</v>
      </c>
      <c r="Y852" s="223"/>
      <c r="Z852" s="223" t="s">
        <v>83</v>
      </c>
      <c r="AA852" s="442">
        <v>26909</v>
      </c>
      <c r="AB852" s="243">
        <v>-9999</v>
      </c>
      <c r="AC852" s="223">
        <v>-9999</v>
      </c>
      <c r="AD852" s="223">
        <v>144</v>
      </c>
      <c r="AE852" s="404" t="s">
        <v>1960</v>
      </c>
      <c r="AF852" s="223">
        <v>1</v>
      </c>
      <c r="AG852" s="223" t="s">
        <v>1070</v>
      </c>
      <c r="AH852" s="223" t="s">
        <v>876</v>
      </c>
      <c r="AI852" s="223" t="s">
        <v>1066</v>
      </c>
      <c r="AJ852" s="223">
        <v>-9999</v>
      </c>
      <c r="AK852" s="223" t="s">
        <v>626</v>
      </c>
      <c r="AL852" s="223">
        <v>0</v>
      </c>
      <c r="AM852" s="223">
        <v>-9999</v>
      </c>
      <c r="AN852" s="223">
        <v>-9999</v>
      </c>
      <c r="AO852" s="223">
        <v>-9999</v>
      </c>
      <c r="AP852" s="223">
        <v>-9999</v>
      </c>
      <c r="AQ852" s="223" t="s">
        <v>631</v>
      </c>
      <c r="AR852" s="223">
        <v>0</v>
      </c>
      <c r="AS852" s="223">
        <v>-9999</v>
      </c>
      <c r="AT852" s="223">
        <v>-9999</v>
      </c>
      <c r="AU852" s="223">
        <v>0</v>
      </c>
      <c r="AV852" s="223">
        <v>-9999</v>
      </c>
      <c r="AW852" s="223">
        <v>-9999</v>
      </c>
      <c r="AX852" s="223">
        <v>0</v>
      </c>
      <c r="AY852" s="223">
        <v>-9999</v>
      </c>
      <c r="AZ852" s="223">
        <v>-9999</v>
      </c>
      <c r="BA852" s="223">
        <v>-9999</v>
      </c>
      <c r="BB852" s="223" t="s">
        <v>631</v>
      </c>
      <c r="BC852" s="223">
        <v>-9999</v>
      </c>
      <c r="BD852" s="223">
        <v>-9999</v>
      </c>
      <c r="BE852" s="223">
        <v>-9999</v>
      </c>
      <c r="BF852" s="223">
        <v>-9999</v>
      </c>
      <c r="BG852" s="223">
        <v>-9999</v>
      </c>
      <c r="BH852" s="223">
        <v>-9999</v>
      </c>
      <c r="BI852" s="223" t="s">
        <v>84</v>
      </c>
      <c r="BJ852" s="223">
        <v>-9999</v>
      </c>
      <c r="BK852" s="223">
        <v>-9999</v>
      </c>
      <c r="BL852" s="223">
        <v>-9999</v>
      </c>
      <c r="BM852" s="223">
        <v>-9999</v>
      </c>
      <c r="BN852" s="223">
        <v>-9999</v>
      </c>
      <c r="BO852" s="223">
        <v>-9999</v>
      </c>
      <c r="BP852" s="223">
        <v>-9999</v>
      </c>
      <c r="BQ852" s="223">
        <v>-9999</v>
      </c>
      <c r="BR852" s="223">
        <v>-9999</v>
      </c>
      <c r="BS852" s="242">
        <v>-9999</v>
      </c>
      <c r="BT852" s="223">
        <v>-9999</v>
      </c>
      <c r="BU852" s="223">
        <v>-9999</v>
      </c>
      <c r="BV852" s="223">
        <v>-9999</v>
      </c>
      <c r="BW852" s="223"/>
      <c r="BX852" s="223">
        <v>-9999</v>
      </c>
      <c r="BY852" s="223">
        <v>-9999</v>
      </c>
      <c r="BZ852" s="223">
        <v>-9999</v>
      </c>
      <c r="CA852" s="332">
        <v>-9999</v>
      </c>
      <c r="CB852" s="443" t="s">
        <v>1571</v>
      </c>
      <c r="CC852" s="403">
        <v>5</v>
      </c>
      <c r="CD852" s="403">
        <v>2</v>
      </c>
      <c r="CE852" s="342">
        <v>3.3</v>
      </c>
      <c r="CF852" s="342">
        <v>-9999</v>
      </c>
      <c r="CG852" s="405">
        <v>10</v>
      </c>
    </row>
    <row r="853" spans="1:86" s="13" customFormat="1" x14ac:dyDescent="0.2">
      <c r="A853" s="403" t="s">
        <v>367</v>
      </c>
      <c r="B853" s="404" t="s">
        <v>2132</v>
      </c>
      <c r="C853" s="404" t="s">
        <v>1556</v>
      </c>
      <c r="D853" s="404" t="s">
        <v>1559</v>
      </c>
      <c r="E853" s="404" t="s">
        <v>1555</v>
      </c>
      <c r="F853" s="403">
        <v>6</v>
      </c>
      <c r="G853" s="403">
        <v>3</v>
      </c>
      <c r="H853" s="405">
        <v>13</v>
      </c>
      <c r="I853" s="245" t="s">
        <v>954</v>
      </c>
      <c r="J853" s="441">
        <v>1973</v>
      </c>
      <c r="K853" s="245" t="s">
        <v>1211</v>
      </c>
      <c r="L853" s="441">
        <v>1984</v>
      </c>
      <c r="M853" s="285">
        <f>+T853*G853</f>
        <v>24.299999999999997</v>
      </c>
      <c r="N853" s="223">
        <v>-9999</v>
      </c>
      <c r="O853" s="29"/>
      <c r="P853" s="243">
        <v>-9999</v>
      </c>
      <c r="Q853" s="223">
        <v>-9999</v>
      </c>
      <c r="R853" s="243"/>
      <c r="S853" s="223"/>
      <c r="T853" s="406">
        <v>8.1</v>
      </c>
      <c r="U853" s="223">
        <v>-9999</v>
      </c>
      <c r="V853" s="223"/>
      <c r="W853" s="243">
        <v>-9999</v>
      </c>
      <c r="X853" s="223">
        <v>-9999</v>
      </c>
      <c r="Y853" s="223"/>
      <c r="Z853" s="223" t="s">
        <v>83</v>
      </c>
      <c r="AA853" s="442">
        <v>26909</v>
      </c>
      <c r="AB853" s="243">
        <v>-9999</v>
      </c>
      <c r="AC853" s="223">
        <v>-9999</v>
      </c>
      <c r="AD853" s="223">
        <v>144</v>
      </c>
      <c r="AE853" s="404" t="s">
        <v>1960</v>
      </c>
      <c r="AF853" s="223">
        <v>1</v>
      </c>
      <c r="AG853" s="223" t="s">
        <v>1070</v>
      </c>
      <c r="AH853" s="223" t="s">
        <v>876</v>
      </c>
      <c r="AI853" s="223" t="s">
        <v>1066</v>
      </c>
      <c r="AJ853" s="223">
        <v>-9999</v>
      </c>
      <c r="AK853" s="223" t="s">
        <v>626</v>
      </c>
      <c r="AL853" s="223">
        <v>0</v>
      </c>
      <c r="AM853" s="223">
        <v>-9999</v>
      </c>
      <c r="AN853" s="223">
        <v>-9999</v>
      </c>
      <c r="AO853" s="223">
        <v>-9999</v>
      </c>
      <c r="AP853" s="223">
        <v>-9999</v>
      </c>
      <c r="AQ853" s="223" t="s">
        <v>631</v>
      </c>
      <c r="AR853" s="223">
        <v>0</v>
      </c>
      <c r="AS853" s="223">
        <v>-9999</v>
      </c>
      <c r="AT853" s="223">
        <v>-9999</v>
      </c>
      <c r="AU853" s="223">
        <v>0</v>
      </c>
      <c r="AV853" s="223">
        <v>-9999</v>
      </c>
      <c r="AW853" s="223">
        <v>-9999</v>
      </c>
      <c r="AX853" s="223">
        <v>0</v>
      </c>
      <c r="AY853" s="223">
        <v>-9999</v>
      </c>
      <c r="AZ853" s="223">
        <v>-9999</v>
      </c>
      <c r="BA853" s="223">
        <v>-9999</v>
      </c>
      <c r="BB853" s="223" t="s">
        <v>631</v>
      </c>
      <c r="BC853" s="223">
        <v>-9999</v>
      </c>
      <c r="BD853" s="223">
        <v>-9999</v>
      </c>
      <c r="BE853" s="223">
        <v>-9999</v>
      </c>
      <c r="BF853" s="223">
        <v>-9999</v>
      </c>
      <c r="BG853" s="223">
        <v>-9999</v>
      </c>
      <c r="BH853" s="223">
        <v>-9999</v>
      </c>
      <c r="BI853" s="223" t="s">
        <v>84</v>
      </c>
      <c r="BJ853" s="223">
        <v>-9999</v>
      </c>
      <c r="BK853" s="223">
        <v>-9999</v>
      </c>
      <c r="BL853" s="223">
        <v>-9999</v>
      </c>
      <c r="BM853" s="223">
        <v>-9999</v>
      </c>
      <c r="BN853" s="223">
        <v>-9999</v>
      </c>
      <c r="BO853" s="223">
        <v>-9999</v>
      </c>
      <c r="BP853" s="223">
        <v>-9999</v>
      </c>
      <c r="BQ853" s="223">
        <v>-9999</v>
      </c>
      <c r="BR853" s="223">
        <v>-9999</v>
      </c>
      <c r="BS853" s="242">
        <v>-9999</v>
      </c>
      <c r="BT853" s="223">
        <v>-9999</v>
      </c>
      <c r="BU853" s="223">
        <v>-9999</v>
      </c>
      <c r="BV853" s="223">
        <v>-9999</v>
      </c>
      <c r="BW853" s="223"/>
      <c r="BX853" s="223">
        <v>-9999</v>
      </c>
      <c r="BY853" s="223">
        <v>-9999</v>
      </c>
      <c r="BZ853" s="223">
        <v>-9999</v>
      </c>
      <c r="CA853" s="332">
        <v>-9999</v>
      </c>
      <c r="CB853" s="443" t="s">
        <v>1571</v>
      </c>
      <c r="CC853" s="403">
        <v>6</v>
      </c>
      <c r="CD853" s="403">
        <v>3</v>
      </c>
      <c r="CE853" s="342">
        <v>8.1</v>
      </c>
      <c r="CF853" s="342">
        <v>-9999</v>
      </c>
      <c r="CG853" s="405">
        <v>13</v>
      </c>
    </row>
    <row r="854" spans="1:86" s="13" customFormat="1" x14ac:dyDescent="0.2">
      <c r="A854" s="403" t="s">
        <v>367</v>
      </c>
      <c r="B854" s="404" t="s">
        <v>2132</v>
      </c>
      <c r="C854" s="404" t="s">
        <v>1556</v>
      </c>
      <c r="D854" s="404" t="s">
        <v>1559</v>
      </c>
      <c r="E854" s="404" t="s">
        <v>1555</v>
      </c>
      <c r="F854" s="403">
        <v>7</v>
      </c>
      <c r="G854" s="403">
        <v>2</v>
      </c>
      <c r="H854" s="405">
        <v>15</v>
      </c>
      <c r="I854" s="245" t="s">
        <v>954</v>
      </c>
      <c r="J854" s="441">
        <v>1973</v>
      </c>
      <c r="K854" s="245" t="s">
        <v>1211</v>
      </c>
      <c r="L854" s="441">
        <v>1987</v>
      </c>
      <c r="M854" s="285">
        <f>+T854*G854</f>
        <v>13.4</v>
      </c>
      <c r="N854" s="223">
        <v>-9999</v>
      </c>
      <c r="O854" s="29"/>
      <c r="P854" s="243">
        <v>-9999</v>
      </c>
      <c r="Q854" s="223">
        <v>-9999</v>
      </c>
      <c r="R854" s="243"/>
      <c r="S854" s="223"/>
      <c r="T854" s="406">
        <v>6.7</v>
      </c>
      <c r="U854" s="223">
        <v>-9999</v>
      </c>
      <c r="V854" s="223"/>
      <c r="W854" s="243">
        <v>-9999</v>
      </c>
      <c r="X854" s="223">
        <v>-9999</v>
      </c>
      <c r="Y854" s="223"/>
      <c r="Z854" s="223" t="s">
        <v>83</v>
      </c>
      <c r="AA854" s="442">
        <v>26909</v>
      </c>
      <c r="AB854" s="243">
        <v>-9999</v>
      </c>
      <c r="AC854" s="223">
        <v>-9999</v>
      </c>
      <c r="AD854" s="223">
        <v>144</v>
      </c>
      <c r="AE854" s="404" t="s">
        <v>1960</v>
      </c>
      <c r="AF854" s="223">
        <v>1</v>
      </c>
      <c r="AG854" s="223" t="s">
        <v>1070</v>
      </c>
      <c r="AH854" s="223" t="s">
        <v>876</v>
      </c>
      <c r="AI854" s="223" t="s">
        <v>1066</v>
      </c>
      <c r="AJ854" s="223">
        <v>-9999</v>
      </c>
      <c r="AK854" s="223" t="s">
        <v>626</v>
      </c>
      <c r="AL854" s="223">
        <v>0</v>
      </c>
      <c r="AM854" s="223">
        <v>-9999</v>
      </c>
      <c r="AN854" s="223">
        <v>-9999</v>
      </c>
      <c r="AO854" s="223">
        <v>-9999</v>
      </c>
      <c r="AP854" s="223">
        <v>-9999</v>
      </c>
      <c r="AQ854" s="223" t="s">
        <v>631</v>
      </c>
      <c r="AR854" s="223">
        <v>0</v>
      </c>
      <c r="AS854" s="223">
        <v>-9999</v>
      </c>
      <c r="AT854" s="223">
        <v>-9999</v>
      </c>
      <c r="AU854" s="223">
        <v>0</v>
      </c>
      <c r="AV854" s="223">
        <v>-9999</v>
      </c>
      <c r="AW854" s="223">
        <v>-9999</v>
      </c>
      <c r="AX854" s="223">
        <v>0</v>
      </c>
      <c r="AY854" s="223">
        <v>-9999</v>
      </c>
      <c r="AZ854" s="223">
        <v>-9999</v>
      </c>
      <c r="BA854" s="223">
        <v>-9999</v>
      </c>
      <c r="BB854" s="223" t="s">
        <v>631</v>
      </c>
      <c r="BC854" s="223">
        <v>-9999</v>
      </c>
      <c r="BD854" s="223">
        <v>-9999</v>
      </c>
      <c r="BE854" s="223">
        <v>-9999</v>
      </c>
      <c r="BF854" s="223">
        <v>-9999</v>
      </c>
      <c r="BG854" s="223">
        <v>-9999</v>
      </c>
      <c r="BH854" s="223">
        <v>-9999</v>
      </c>
      <c r="BI854" s="223" t="s">
        <v>84</v>
      </c>
      <c r="BJ854" s="223">
        <v>-9999</v>
      </c>
      <c r="BK854" s="223">
        <v>-9999</v>
      </c>
      <c r="BL854" s="223">
        <v>-9999</v>
      </c>
      <c r="BM854" s="223">
        <v>-9999</v>
      </c>
      <c r="BN854" s="223">
        <v>-9999</v>
      </c>
      <c r="BO854" s="223">
        <v>-9999</v>
      </c>
      <c r="BP854" s="223">
        <v>-9999</v>
      </c>
      <c r="BQ854" s="223">
        <v>-9999</v>
      </c>
      <c r="BR854" s="223">
        <v>-9999</v>
      </c>
      <c r="BS854" s="242">
        <v>-9999</v>
      </c>
      <c r="BT854" s="223">
        <v>-9999</v>
      </c>
      <c r="BU854" s="223">
        <v>-9999</v>
      </c>
      <c r="BV854" s="223">
        <v>-9999</v>
      </c>
      <c r="BW854" s="223"/>
      <c r="BX854" s="223">
        <v>-9999</v>
      </c>
      <c r="BY854" s="223">
        <v>-9999</v>
      </c>
      <c r="BZ854" s="223">
        <v>-9999</v>
      </c>
      <c r="CA854" s="332">
        <v>-9999</v>
      </c>
      <c r="CB854" s="443" t="s">
        <v>1571</v>
      </c>
      <c r="CC854" s="403">
        <v>7</v>
      </c>
      <c r="CD854" s="403">
        <v>2</v>
      </c>
      <c r="CE854" s="342">
        <v>6.7</v>
      </c>
      <c r="CF854" s="342">
        <v>-9999</v>
      </c>
      <c r="CG854" s="405">
        <v>15</v>
      </c>
    </row>
    <row r="855" spans="1:86" s="13" customFormat="1" x14ac:dyDescent="0.2">
      <c r="A855" s="283"/>
      <c r="B855" s="249"/>
      <c r="C855" s="249"/>
      <c r="D855" s="249"/>
      <c r="E855" s="249"/>
      <c r="F855" s="283"/>
      <c r="G855" s="283"/>
      <c r="H855" s="251"/>
      <c r="I855" s="245"/>
      <c r="J855" s="249"/>
      <c r="K855" s="245"/>
      <c r="L855" s="249"/>
      <c r="M855" s="253"/>
      <c r="N855" s="249"/>
      <c r="O855" s="18"/>
      <c r="P855" s="253"/>
      <c r="Q855" s="249"/>
      <c r="R855" s="253"/>
      <c r="S855" s="249"/>
      <c r="T855" s="244"/>
      <c r="U855" s="249"/>
      <c r="V855" s="249"/>
      <c r="W855" s="253"/>
      <c r="X855" s="249"/>
      <c r="Y855" s="249"/>
      <c r="Z855" s="249"/>
      <c r="AA855" s="447"/>
      <c r="AB855" s="253"/>
      <c r="AC855" s="249"/>
      <c r="AD855" s="249"/>
      <c r="AE855" s="249"/>
      <c r="AF855" s="249"/>
      <c r="AG855" s="249"/>
      <c r="AH855" s="249"/>
      <c r="AI855" s="249"/>
      <c r="AJ855" s="249"/>
      <c r="AK855" s="249"/>
      <c r="AL855" s="249"/>
      <c r="AM855" s="249"/>
      <c r="AN855" s="249"/>
      <c r="AO855" s="249"/>
      <c r="AP855" s="249"/>
      <c r="AQ855" s="249"/>
      <c r="AR855" s="249"/>
      <c r="AS855" s="249"/>
      <c r="AT855" s="249"/>
      <c r="AU855" s="249"/>
      <c r="AV855" s="249"/>
      <c r="AW855" s="252"/>
      <c r="AX855" s="249"/>
      <c r="AY855" s="249"/>
      <c r="AZ855" s="249"/>
      <c r="BA855" s="249"/>
      <c r="BB855" s="249"/>
      <c r="BC855" s="249"/>
      <c r="BD855" s="249"/>
      <c r="BE855" s="249"/>
      <c r="BF855" s="249"/>
      <c r="BG855" s="249"/>
      <c r="BH855" s="249"/>
      <c r="BI855" s="249"/>
      <c r="BJ855" s="249"/>
      <c r="BK855" s="249"/>
      <c r="BL855" s="249"/>
      <c r="BM855" s="249"/>
      <c r="BN855" s="249"/>
      <c r="BO855" s="249"/>
      <c r="BP855" s="249"/>
      <c r="BQ855" s="249"/>
      <c r="BR855" s="249"/>
      <c r="BS855" s="242"/>
      <c r="BT855" s="249"/>
      <c r="BU855" s="249"/>
      <c r="BV855" s="249"/>
      <c r="BW855" s="249"/>
      <c r="BX855" s="249"/>
      <c r="BY855" s="249"/>
      <c r="BZ855" s="249"/>
      <c r="CA855" s="331"/>
      <c r="CB855" s="439"/>
      <c r="CC855" s="283"/>
      <c r="CD855" s="283"/>
      <c r="CE855" s="342" t="s">
        <v>1982</v>
      </c>
      <c r="CF855" s="342" t="s">
        <v>1575</v>
      </c>
      <c r="CG855" s="251"/>
    </row>
    <row r="856" spans="1:86" s="173" customFormat="1" x14ac:dyDescent="0.2">
      <c r="A856" s="240" t="s">
        <v>366</v>
      </c>
      <c r="B856" s="404" t="s">
        <v>2132</v>
      </c>
      <c r="C856" s="404" t="s">
        <v>1557</v>
      </c>
      <c r="D856" s="404" t="s">
        <v>1559</v>
      </c>
      <c r="E856" s="404" t="s">
        <v>1555</v>
      </c>
      <c r="F856" s="240">
        <v>1</v>
      </c>
      <c r="G856" s="240">
        <v>2</v>
      </c>
      <c r="H856" s="242">
        <v>2</v>
      </c>
      <c r="I856" s="245" t="s">
        <v>954</v>
      </c>
      <c r="J856" s="441">
        <v>1973</v>
      </c>
      <c r="K856" s="245" t="s">
        <v>1211</v>
      </c>
      <c r="L856" s="441">
        <v>1974</v>
      </c>
      <c r="M856" s="243">
        <v>11.9</v>
      </c>
      <c r="N856" s="223">
        <v>-9999</v>
      </c>
      <c r="O856" s="29"/>
      <c r="P856" s="243">
        <v>-9999</v>
      </c>
      <c r="Q856" s="223">
        <v>-9999</v>
      </c>
      <c r="R856" s="243"/>
      <c r="S856" s="223"/>
      <c r="T856" s="244">
        <f>+M856/G856</f>
        <v>5.95</v>
      </c>
      <c r="U856" s="223">
        <v>-9999</v>
      </c>
      <c r="V856" s="223"/>
      <c r="W856" s="243">
        <v>-9999</v>
      </c>
      <c r="X856" s="223">
        <v>-9999</v>
      </c>
      <c r="Y856" s="223"/>
      <c r="Z856" s="404" t="s">
        <v>1701</v>
      </c>
      <c r="AA856" s="442">
        <v>13455</v>
      </c>
      <c r="AB856" s="243">
        <v>1</v>
      </c>
      <c r="AC856" s="223">
        <v>-9999</v>
      </c>
      <c r="AD856" s="223">
        <v>144</v>
      </c>
      <c r="AE856" s="404" t="s">
        <v>1961</v>
      </c>
      <c r="AF856" s="223">
        <v>1</v>
      </c>
      <c r="AG856" s="223" t="s">
        <v>1070</v>
      </c>
      <c r="AH856" s="223" t="s">
        <v>876</v>
      </c>
      <c r="AI856" s="223" t="s">
        <v>1066</v>
      </c>
      <c r="AJ856" s="223">
        <v>-9999</v>
      </c>
      <c r="AK856" s="223" t="s">
        <v>626</v>
      </c>
      <c r="AL856" s="223" t="s">
        <v>1068</v>
      </c>
      <c r="AM856" s="223">
        <v>-9999</v>
      </c>
      <c r="AN856" s="223">
        <v>-9999</v>
      </c>
      <c r="AO856" s="223">
        <v>-9999</v>
      </c>
      <c r="AP856" s="223">
        <v>-9999</v>
      </c>
      <c r="AQ856" s="223" t="s">
        <v>631</v>
      </c>
      <c r="AR856" s="223">
        <v>0</v>
      </c>
      <c r="AS856" s="223">
        <v>-9999</v>
      </c>
      <c r="AT856" s="223">
        <v>-9999</v>
      </c>
      <c r="AU856" s="223">
        <v>0</v>
      </c>
      <c r="AV856" s="223">
        <v>-9999</v>
      </c>
      <c r="AW856" s="223">
        <v>-9999</v>
      </c>
      <c r="AX856" s="223">
        <v>0</v>
      </c>
      <c r="AY856" s="223">
        <v>-9999</v>
      </c>
      <c r="AZ856" s="223">
        <v>-9999</v>
      </c>
      <c r="BA856" s="223">
        <v>-9999</v>
      </c>
      <c r="BB856" s="223" t="s">
        <v>631</v>
      </c>
      <c r="BC856" s="223">
        <v>-9999</v>
      </c>
      <c r="BD856" s="223">
        <v>-9999</v>
      </c>
      <c r="BE856" s="223">
        <v>-9999</v>
      </c>
      <c r="BF856" s="223">
        <v>-9999</v>
      </c>
      <c r="BG856" s="223">
        <v>-9999</v>
      </c>
      <c r="BH856" s="223">
        <v>-9999</v>
      </c>
      <c r="BI856" s="223" t="s">
        <v>84</v>
      </c>
      <c r="BJ856" s="223">
        <v>-9999</v>
      </c>
      <c r="BK856" s="223">
        <v>-9999</v>
      </c>
      <c r="BL856" s="223">
        <v>-9999</v>
      </c>
      <c r="BM856" s="223">
        <v>-9999</v>
      </c>
      <c r="BN856" s="223">
        <v>-9999</v>
      </c>
      <c r="BO856" s="223">
        <v>-9999</v>
      </c>
      <c r="BP856" s="223">
        <v>-9999</v>
      </c>
      <c r="BQ856" s="223">
        <v>-9999</v>
      </c>
      <c r="BR856" s="223">
        <v>-9999</v>
      </c>
      <c r="BS856" s="242">
        <v>-9999</v>
      </c>
      <c r="BT856" s="223">
        <v>-9999</v>
      </c>
      <c r="BU856" s="223">
        <v>-9999</v>
      </c>
      <c r="BV856" s="223">
        <v>-9999</v>
      </c>
      <c r="BW856" s="223"/>
      <c r="BX856" s="223">
        <v>-9999</v>
      </c>
      <c r="BY856" s="223">
        <v>-9999</v>
      </c>
      <c r="BZ856" s="223">
        <v>-9999</v>
      </c>
      <c r="CA856" s="332">
        <v>-9999</v>
      </c>
      <c r="CB856" s="443" t="s">
        <v>1571</v>
      </c>
      <c r="CC856" s="240">
        <v>1</v>
      </c>
      <c r="CD856" s="240">
        <v>2</v>
      </c>
      <c r="CE856" s="292">
        <v>5.95</v>
      </c>
      <c r="CF856" s="292">
        <v>-9999</v>
      </c>
      <c r="CG856" s="242">
        <v>2</v>
      </c>
    </row>
    <row r="857" spans="1:86" s="172" customFormat="1" x14ac:dyDescent="0.2">
      <c r="A857" s="283" t="s">
        <v>366</v>
      </c>
      <c r="B857" s="249" t="s">
        <v>2132</v>
      </c>
      <c r="C857" s="249" t="s">
        <v>1557</v>
      </c>
      <c r="D857" s="249" t="s">
        <v>1559</v>
      </c>
      <c r="E857" s="249" t="s">
        <v>1555</v>
      </c>
      <c r="F857" s="283">
        <v>2</v>
      </c>
      <c r="G857" s="283">
        <v>2</v>
      </c>
      <c r="H857" s="251">
        <v>4</v>
      </c>
      <c r="I857" s="424" t="s">
        <v>954</v>
      </c>
      <c r="J857" s="448">
        <v>1973</v>
      </c>
      <c r="K857" s="424" t="s">
        <v>1211</v>
      </c>
      <c r="L857" s="448">
        <v>1976</v>
      </c>
      <c r="M857" s="253">
        <v>18.8</v>
      </c>
      <c r="N857" s="249">
        <v>-9999</v>
      </c>
      <c r="O857" s="18"/>
      <c r="P857" s="253">
        <v>-9999</v>
      </c>
      <c r="Q857" s="249">
        <v>-9999</v>
      </c>
      <c r="R857" s="253"/>
      <c r="S857" s="249"/>
      <c r="T857" s="284">
        <f>+M857/G857</f>
        <v>9.4</v>
      </c>
      <c r="U857" s="249">
        <v>-9999</v>
      </c>
      <c r="V857" s="249"/>
      <c r="W857" s="253">
        <v>-9999</v>
      </c>
      <c r="X857" s="249">
        <v>-9999</v>
      </c>
      <c r="Y857" s="249"/>
      <c r="Z857" s="404" t="s">
        <v>1701</v>
      </c>
      <c r="AA857" s="447">
        <v>13455</v>
      </c>
      <c r="AB857" s="253">
        <v>0.96</v>
      </c>
      <c r="AC857" s="249">
        <v>-9999</v>
      </c>
      <c r="AD857" s="249">
        <v>144</v>
      </c>
      <c r="AE857" s="249" t="s">
        <v>1961</v>
      </c>
      <c r="AF857" s="249">
        <v>1</v>
      </c>
      <c r="AG857" s="249" t="s">
        <v>1070</v>
      </c>
      <c r="AH857" s="249" t="s">
        <v>876</v>
      </c>
      <c r="AI857" s="249" t="s">
        <v>1066</v>
      </c>
      <c r="AJ857" s="249">
        <v>-9999</v>
      </c>
      <c r="AK857" s="249" t="s">
        <v>626</v>
      </c>
      <c r="AL857" s="249" t="s">
        <v>1069</v>
      </c>
      <c r="AM857" s="249">
        <v>-9999</v>
      </c>
      <c r="AN857" s="249">
        <v>-9999</v>
      </c>
      <c r="AO857" s="249">
        <v>-9999</v>
      </c>
      <c r="AP857" s="249">
        <v>-9999</v>
      </c>
      <c r="AQ857" s="249" t="s">
        <v>631</v>
      </c>
      <c r="AR857" s="249">
        <v>0</v>
      </c>
      <c r="AS857" s="249">
        <v>-9999</v>
      </c>
      <c r="AT857" s="249">
        <v>-9999</v>
      </c>
      <c r="AU857" s="249">
        <v>0</v>
      </c>
      <c r="AV857" s="249">
        <v>-9999</v>
      </c>
      <c r="AW857" s="249">
        <v>-9999</v>
      </c>
      <c r="AX857" s="249">
        <v>0</v>
      </c>
      <c r="AY857" s="249">
        <v>-9999</v>
      </c>
      <c r="AZ857" s="249">
        <v>-9999</v>
      </c>
      <c r="BA857" s="249">
        <v>-9999</v>
      </c>
      <c r="BB857" s="249" t="s">
        <v>631</v>
      </c>
      <c r="BC857" s="249">
        <v>-9999</v>
      </c>
      <c r="BD857" s="249">
        <v>-9999</v>
      </c>
      <c r="BE857" s="249">
        <v>-9999</v>
      </c>
      <c r="BF857" s="249">
        <v>-9999</v>
      </c>
      <c r="BG857" s="249">
        <v>-9999</v>
      </c>
      <c r="BH857" s="249">
        <v>-9999</v>
      </c>
      <c r="BI857" s="249" t="s">
        <v>84</v>
      </c>
      <c r="BJ857" s="249">
        <v>-9999</v>
      </c>
      <c r="BK857" s="249">
        <v>-9999</v>
      </c>
      <c r="BL857" s="249">
        <v>-9999</v>
      </c>
      <c r="BM857" s="249">
        <v>-9999</v>
      </c>
      <c r="BN857" s="249">
        <v>-9999</v>
      </c>
      <c r="BO857" s="249">
        <v>-9999</v>
      </c>
      <c r="BP857" s="249">
        <v>-9999</v>
      </c>
      <c r="BQ857" s="249">
        <v>-9999</v>
      </c>
      <c r="BR857" s="249">
        <v>-9999</v>
      </c>
      <c r="BS857" s="251">
        <v>-9999</v>
      </c>
      <c r="BT857" s="249">
        <v>-9999</v>
      </c>
      <c r="BU857" s="249">
        <v>-9999</v>
      </c>
      <c r="BV857" s="249">
        <v>-9999</v>
      </c>
      <c r="BW857" s="249"/>
      <c r="BX857" s="249">
        <v>-9999</v>
      </c>
      <c r="BY857" s="249">
        <v>-9999</v>
      </c>
      <c r="BZ857" s="249">
        <v>-9999</v>
      </c>
      <c r="CA857" s="331">
        <v>-9999</v>
      </c>
      <c r="CB857" s="443" t="s">
        <v>1571</v>
      </c>
      <c r="CC857" s="283">
        <v>2</v>
      </c>
      <c r="CD857" s="283">
        <v>2</v>
      </c>
      <c r="CE857" s="99">
        <v>9.4</v>
      </c>
      <c r="CF857" s="99">
        <v>-9999</v>
      </c>
      <c r="CG857" s="251">
        <v>4</v>
      </c>
    </row>
    <row r="858" spans="1:86" s="172" customFormat="1" x14ac:dyDescent="0.2">
      <c r="A858" s="403" t="s">
        <v>367</v>
      </c>
      <c r="B858" s="404" t="s">
        <v>2132</v>
      </c>
      <c r="C858" s="404" t="s">
        <v>1557</v>
      </c>
      <c r="D858" s="404" t="s">
        <v>1559</v>
      </c>
      <c r="E858" s="404" t="s">
        <v>1555</v>
      </c>
      <c r="F858" s="403">
        <v>3</v>
      </c>
      <c r="G858" s="403">
        <v>2</v>
      </c>
      <c r="H858" s="405">
        <v>6</v>
      </c>
      <c r="I858" s="245" t="s">
        <v>954</v>
      </c>
      <c r="J858" s="441">
        <v>1973</v>
      </c>
      <c r="K858" s="245" t="s">
        <v>1211</v>
      </c>
      <c r="L858" s="441">
        <v>1978</v>
      </c>
      <c r="M858" s="285">
        <f>+T858*G858</f>
        <v>16.2</v>
      </c>
      <c r="N858" s="223">
        <v>-9999</v>
      </c>
      <c r="O858" s="29"/>
      <c r="P858" s="243">
        <v>-9999</v>
      </c>
      <c r="Q858" s="223">
        <v>-9999</v>
      </c>
      <c r="R858" s="243"/>
      <c r="S858" s="223"/>
      <c r="T858" s="406">
        <v>8.1</v>
      </c>
      <c r="U858" s="223">
        <v>-9999</v>
      </c>
      <c r="V858" s="223"/>
      <c r="W858" s="243">
        <v>-9999</v>
      </c>
      <c r="X858" s="223">
        <v>-9999</v>
      </c>
      <c r="Y858" s="223"/>
      <c r="Z858" s="404" t="s">
        <v>1701</v>
      </c>
      <c r="AA858" s="442">
        <v>13455</v>
      </c>
      <c r="AB858" s="243">
        <v>-9999</v>
      </c>
      <c r="AC858" s="223">
        <v>-9999</v>
      </c>
      <c r="AD858" s="223">
        <v>144</v>
      </c>
      <c r="AE858" s="404" t="s">
        <v>1961</v>
      </c>
      <c r="AF858" s="223">
        <v>1</v>
      </c>
      <c r="AG858" s="223" t="s">
        <v>1070</v>
      </c>
      <c r="AH858" s="223" t="s">
        <v>876</v>
      </c>
      <c r="AI858" s="223" t="s">
        <v>1066</v>
      </c>
      <c r="AJ858" s="223">
        <v>-9999</v>
      </c>
      <c r="AK858" s="223" t="s">
        <v>626</v>
      </c>
      <c r="AL858" s="223">
        <v>0</v>
      </c>
      <c r="AM858" s="223">
        <v>-9999</v>
      </c>
      <c r="AN858" s="223">
        <v>-9999</v>
      </c>
      <c r="AO858" s="223">
        <v>-9999</v>
      </c>
      <c r="AP858" s="223">
        <v>-9999</v>
      </c>
      <c r="AQ858" s="223" t="s">
        <v>631</v>
      </c>
      <c r="AR858" s="223">
        <v>0</v>
      </c>
      <c r="AS858" s="223">
        <v>-9999</v>
      </c>
      <c r="AT858" s="223">
        <v>-9999</v>
      </c>
      <c r="AU858" s="223">
        <v>0</v>
      </c>
      <c r="AV858" s="223">
        <v>-9999</v>
      </c>
      <c r="AW858" s="223">
        <v>-9999</v>
      </c>
      <c r="AX858" s="223">
        <v>0</v>
      </c>
      <c r="AY858" s="223">
        <v>-9999</v>
      </c>
      <c r="AZ858" s="223">
        <v>-9999</v>
      </c>
      <c r="BA858" s="223">
        <v>-9999</v>
      </c>
      <c r="BB858" s="223" t="s">
        <v>631</v>
      </c>
      <c r="BC858" s="223">
        <v>-9999</v>
      </c>
      <c r="BD858" s="223">
        <v>-9999</v>
      </c>
      <c r="BE858" s="223">
        <v>-9999</v>
      </c>
      <c r="BF858" s="223">
        <v>-9999</v>
      </c>
      <c r="BG858" s="223">
        <v>-9999</v>
      </c>
      <c r="BH858" s="223">
        <v>-9999</v>
      </c>
      <c r="BI858" s="223" t="s">
        <v>84</v>
      </c>
      <c r="BJ858" s="223">
        <v>-9999</v>
      </c>
      <c r="BK858" s="223">
        <v>-9999</v>
      </c>
      <c r="BL858" s="223">
        <v>-9999</v>
      </c>
      <c r="BM858" s="223">
        <v>-9999</v>
      </c>
      <c r="BN858" s="223">
        <v>-9999</v>
      </c>
      <c r="BO858" s="223">
        <v>-9999</v>
      </c>
      <c r="BP858" s="223">
        <v>-9999</v>
      </c>
      <c r="BQ858" s="223">
        <v>-9999</v>
      </c>
      <c r="BR858" s="223">
        <v>-9999</v>
      </c>
      <c r="BS858" s="242">
        <v>-9999</v>
      </c>
      <c r="BT858" s="223">
        <v>-9999</v>
      </c>
      <c r="BU858" s="223">
        <v>-9999</v>
      </c>
      <c r="BV858" s="223">
        <v>-9999</v>
      </c>
      <c r="BW858" s="223"/>
      <c r="BX858" s="223">
        <v>-9999</v>
      </c>
      <c r="BY858" s="223">
        <v>-9999</v>
      </c>
      <c r="BZ858" s="223">
        <v>-9999</v>
      </c>
      <c r="CA858" s="332">
        <v>-9999</v>
      </c>
      <c r="CB858" s="443" t="s">
        <v>1571</v>
      </c>
      <c r="CC858" s="403">
        <v>3</v>
      </c>
      <c r="CD858" s="403">
        <v>2</v>
      </c>
      <c r="CE858" s="342">
        <v>8.1</v>
      </c>
      <c r="CF858" s="342">
        <v>-9999</v>
      </c>
      <c r="CG858" s="405">
        <v>6</v>
      </c>
    </row>
    <row r="859" spans="1:86" s="172" customFormat="1" x14ac:dyDescent="0.2">
      <c r="A859" s="403" t="s">
        <v>367</v>
      </c>
      <c r="B859" s="404" t="s">
        <v>2132</v>
      </c>
      <c r="C859" s="404" t="s">
        <v>1557</v>
      </c>
      <c r="D859" s="404" t="s">
        <v>1559</v>
      </c>
      <c r="E859" s="404" t="s">
        <v>1555</v>
      </c>
      <c r="F859" s="403">
        <v>4</v>
      </c>
      <c r="G859" s="403">
        <v>2</v>
      </c>
      <c r="H859" s="405">
        <v>8</v>
      </c>
      <c r="I859" s="245" t="s">
        <v>954</v>
      </c>
      <c r="J859" s="441">
        <v>1973</v>
      </c>
      <c r="K859" s="245" t="s">
        <v>1211</v>
      </c>
      <c r="L859" s="441">
        <v>1980</v>
      </c>
      <c r="M859" s="285">
        <f>+T859*G859</f>
        <v>8.6</v>
      </c>
      <c r="N859" s="223">
        <v>-9999</v>
      </c>
      <c r="O859" s="29"/>
      <c r="P859" s="243">
        <v>-9999</v>
      </c>
      <c r="Q859" s="223">
        <v>-9999</v>
      </c>
      <c r="R859" s="243"/>
      <c r="S859" s="223"/>
      <c r="T859" s="406">
        <v>4.3</v>
      </c>
      <c r="U859" s="223">
        <v>-9999</v>
      </c>
      <c r="V859" s="223"/>
      <c r="W859" s="243">
        <v>-9999</v>
      </c>
      <c r="X859" s="223">
        <v>-9999</v>
      </c>
      <c r="Y859" s="223"/>
      <c r="Z859" s="404" t="s">
        <v>1701</v>
      </c>
      <c r="AA859" s="442">
        <v>13455</v>
      </c>
      <c r="AB859" s="243">
        <v>-9999</v>
      </c>
      <c r="AC859" s="223">
        <v>-9999</v>
      </c>
      <c r="AD859" s="223">
        <v>144</v>
      </c>
      <c r="AE859" s="404" t="s">
        <v>1961</v>
      </c>
      <c r="AF859" s="223">
        <v>1</v>
      </c>
      <c r="AG859" s="223" t="s">
        <v>1070</v>
      </c>
      <c r="AH859" s="223" t="s">
        <v>876</v>
      </c>
      <c r="AI859" s="223" t="s">
        <v>1066</v>
      </c>
      <c r="AJ859" s="223">
        <v>-9999</v>
      </c>
      <c r="AK859" s="223" t="s">
        <v>626</v>
      </c>
      <c r="AL859" s="223">
        <v>0</v>
      </c>
      <c r="AM859" s="223">
        <v>-9999</v>
      </c>
      <c r="AN859" s="223">
        <v>-9999</v>
      </c>
      <c r="AO859" s="223">
        <v>-9999</v>
      </c>
      <c r="AP859" s="223">
        <v>-9999</v>
      </c>
      <c r="AQ859" s="223" t="s">
        <v>631</v>
      </c>
      <c r="AR859" s="223">
        <v>0</v>
      </c>
      <c r="AS859" s="223">
        <v>-9999</v>
      </c>
      <c r="AT859" s="223">
        <v>-9999</v>
      </c>
      <c r="AU859" s="223">
        <v>0</v>
      </c>
      <c r="AV859" s="223">
        <v>-9999</v>
      </c>
      <c r="AW859" s="223">
        <v>-9999</v>
      </c>
      <c r="AX859" s="223">
        <v>0</v>
      </c>
      <c r="AY859" s="223">
        <v>-9999</v>
      </c>
      <c r="AZ859" s="223">
        <v>-9999</v>
      </c>
      <c r="BA859" s="223">
        <v>-9999</v>
      </c>
      <c r="BB859" s="223" t="s">
        <v>631</v>
      </c>
      <c r="BC859" s="223">
        <v>-9999</v>
      </c>
      <c r="BD859" s="223">
        <v>-9999</v>
      </c>
      <c r="BE859" s="223">
        <v>-9999</v>
      </c>
      <c r="BF859" s="223">
        <v>-9999</v>
      </c>
      <c r="BG859" s="223">
        <v>-9999</v>
      </c>
      <c r="BH859" s="223">
        <v>-9999</v>
      </c>
      <c r="BI859" s="223" t="s">
        <v>84</v>
      </c>
      <c r="BJ859" s="223">
        <v>-9999</v>
      </c>
      <c r="BK859" s="223">
        <v>-9999</v>
      </c>
      <c r="BL859" s="223">
        <v>-9999</v>
      </c>
      <c r="BM859" s="223">
        <v>-9999</v>
      </c>
      <c r="BN859" s="223">
        <v>-9999</v>
      </c>
      <c r="BO859" s="223">
        <v>-9999</v>
      </c>
      <c r="BP859" s="223">
        <v>-9999</v>
      </c>
      <c r="BQ859" s="223">
        <v>-9999</v>
      </c>
      <c r="BR859" s="223">
        <v>-9999</v>
      </c>
      <c r="BS859" s="242">
        <v>-9999</v>
      </c>
      <c r="BT859" s="223">
        <v>-9999</v>
      </c>
      <c r="BU859" s="223">
        <v>-9999</v>
      </c>
      <c r="BV859" s="223">
        <v>-9999</v>
      </c>
      <c r="BW859" s="223"/>
      <c r="BX859" s="223">
        <v>-9999</v>
      </c>
      <c r="BY859" s="223">
        <v>-9999</v>
      </c>
      <c r="BZ859" s="223">
        <v>-9999</v>
      </c>
      <c r="CA859" s="332">
        <v>-9999</v>
      </c>
      <c r="CB859" s="443" t="s">
        <v>1571</v>
      </c>
      <c r="CC859" s="403">
        <v>4</v>
      </c>
      <c r="CD859" s="403">
        <v>2</v>
      </c>
      <c r="CE859" s="342">
        <v>4.3</v>
      </c>
      <c r="CF859" s="342">
        <v>-9999</v>
      </c>
      <c r="CG859" s="405">
        <v>8</v>
      </c>
    </row>
    <row r="860" spans="1:86" s="172" customFormat="1" x14ac:dyDescent="0.2">
      <c r="A860" s="403" t="s">
        <v>367</v>
      </c>
      <c r="B860" s="404" t="s">
        <v>2132</v>
      </c>
      <c r="C860" s="404" t="s">
        <v>1557</v>
      </c>
      <c r="D860" s="404" t="s">
        <v>1559</v>
      </c>
      <c r="E860" s="404" t="s">
        <v>1555</v>
      </c>
      <c r="F860" s="403">
        <v>5</v>
      </c>
      <c r="G860" s="403">
        <v>2</v>
      </c>
      <c r="H860" s="405">
        <v>10</v>
      </c>
      <c r="I860" s="245" t="s">
        <v>954</v>
      </c>
      <c r="J860" s="441">
        <v>1973</v>
      </c>
      <c r="K860" s="245" t="s">
        <v>1211</v>
      </c>
      <c r="L860" s="441">
        <v>1982</v>
      </c>
      <c r="M860" s="285">
        <f>+T860*G860</f>
        <v>9.8000000000000007</v>
      </c>
      <c r="N860" s="223">
        <v>-9999</v>
      </c>
      <c r="O860" s="29"/>
      <c r="P860" s="243">
        <v>-9999</v>
      </c>
      <c r="Q860" s="223">
        <v>-9999</v>
      </c>
      <c r="R860" s="243"/>
      <c r="S860" s="223"/>
      <c r="T860" s="406">
        <v>4.9000000000000004</v>
      </c>
      <c r="U860" s="223">
        <v>-9999</v>
      </c>
      <c r="V860" s="223"/>
      <c r="W860" s="243">
        <v>-9999</v>
      </c>
      <c r="X860" s="223">
        <v>-9999</v>
      </c>
      <c r="Y860" s="223"/>
      <c r="Z860" s="404" t="s">
        <v>1701</v>
      </c>
      <c r="AA860" s="442">
        <v>13455</v>
      </c>
      <c r="AB860" s="243">
        <v>-9999</v>
      </c>
      <c r="AC860" s="223">
        <v>-9999</v>
      </c>
      <c r="AD860" s="223">
        <v>144</v>
      </c>
      <c r="AE860" s="404" t="s">
        <v>1961</v>
      </c>
      <c r="AF860" s="223">
        <v>1</v>
      </c>
      <c r="AG860" s="223" t="s">
        <v>1070</v>
      </c>
      <c r="AH860" s="223" t="s">
        <v>876</v>
      </c>
      <c r="AI860" s="223" t="s">
        <v>1066</v>
      </c>
      <c r="AJ860" s="223">
        <v>-9999</v>
      </c>
      <c r="AK860" s="223" t="s">
        <v>626</v>
      </c>
      <c r="AL860" s="223">
        <v>0</v>
      </c>
      <c r="AM860" s="223">
        <v>-9999</v>
      </c>
      <c r="AN860" s="223">
        <v>-9999</v>
      </c>
      <c r="AO860" s="223">
        <v>-9999</v>
      </c>
      <c r="AP860" s="223">
        <v>-9999</v>
      </c>
      <c r="AQ860" s="223" t="s">
        <v>631</v>
      </c>
      <c r="AR860" s="223">
        <v>0</v>
      </c>
      <c r="AS860" s="223">
        <v>-9999</v>
      </c>
      <c r="AT860" s="223">
        <v>-9999</v>
      </c>
      <c r="AU860" s="223">
        <v>0</v>
      </c>
      <c r="AV860" s="223">
        <v>-9999</v>
      </c>
      <c r="AW860" s="223">
        <v>-9999</v>
      </c>
      <c r="AX860" s="223">
        <v>0</v>
      </c>
      <c r="AY860" s="223">
        <v>-9999</v>
      </c>
      <c r="AZ860" s="223">
        <v>-9999</v>
      </c>
      <c r="BA860" s="223">
        <v>-9999</v>
      </c>
      <c r="BB860" s="223" t="s">
        <v>631</v>
      </c>
      <c r="BC860" s="223">
        <v>-9999</v>
      </c>
      <c r="BD860" s="223">
        <v>-9999</v>
      </c>
      <c r="BE860" s="223">
        <v>-9999</v>
      </c>
      <c r="BF860" s="223">
        <v>-9999</v>
      </c>
      <c r="BG860" s="223">
        <v>-9999</v>
      </c>
      <c r="BH860" s="223">
        <v>-9999</v>
      </c>
      <c r="BI860" s="223" t="s">
        <v>84</v>
      </c>
      <c r="BJ860" s="223">
        <v>-9999</v>
      </c>
      <c r="BK860" s="223">
        <v>-9999</v>
      </c>
      <c r="BL860" s="223">
        <v>-9999</v>
      </c>
      <c r="BM860" s="223">
        <v>-9999</v>
      </c>
      <c r="BN860" s="223">
        <v>-9999</v>
      </c>
      <c r="BO860" s="223">
        <v>-9999</v>
      </c>
      <c r="BP860" s="223">
        <v>-9999</v>
      </c>
      <c r="BQ860" s="223">
        <v>-9999</v>
      </c>
      <c r="BR860" s="223">
        <v>-9999</v>
      </c>
      <c r="BS860" s="242">
        <v>-9999</v>
      </c>
      <c r="BT860" s="223">
        <v>-9999</v>
      </c>
      <c r="BU860" s="223">
        <v>-9999</v>
      </c>
      <c r="BV860" s="223">
        <v>-9999</v>
      </c>
      <c r="BW860" s="223"/>
      <c r="BX860" s="223">
        <v>-9999</v>
      </c>
      <c r="BY860" s="223">
        <v>-9999</v>
      </c>
      <c r="BZ860" s="223">
        <v>-9999</v>
      </c>
      <c r="CA860" s="332">
        <v>-9999</v>
      </c>
      <c r="CB860" s="443" t="s">
        <v>1571</v>
      </c>
      <c r="CC860" s="403">
        <v>5</v>
      </c>
      <c r="CD860" s="403">
        <v>2</v>
      </c>
      <c r="CE860" s="342">
        <v>4.9000000000000004</v>
      </c>
      <c r="CF860" s="342">
        <v>-9999</v>
      </c>
      <c r="CG860" s="405">
        <v>10</v>
      </c>
    </row>
    <row r="861" spans="1:86" s="172" customFormat="1" x14ac:dyDescent="0.2">
      <c r="A861" s="403" t="s">
        <v>367</v>
      </c>
      <c r="B861" s="404" t="s">
        <v>2132</v>
      </c>
      <c r="C861" s="404" t="s">
        <v>1557</v>
      </c>
      <c r="D861" s="404" t="s">
        <v>1559</v>
      </c>
      <c r="E861" s="404" t="s">
        <v>1555</v>
      </c>
      <c r="F861" s="403">
        <v>6</v>
      </c>
      <c r="G861" s="403">
        <v>3</v>
      </c>
      <c r="H861" s="405">
        <v>13</v>
      </c>
      <c r="I861" s="245" t="s">
        <v>954</v>
      </c>
      <c r="J861" s="441">
        <v>1973</v>
      </c>
      <c r="K861" s="245" t="s">
        <v>1211</v>
      </c>
      <c r="L861" s="441">
        <v>1984</v>
      </c>
      <c r="M861" s="285">
        <f>+T861*G861</f>
        <v>21.6</v>
      </c>
      <c r="N861" s="223">
        <v>-9999</v>
      </c>
      <c r="O861" s="29"/>
      <c r="P861" s="243">
        <v>-9999</v>
      </c>
      <c r="Q861" s="223">
        <v>-9999</v>
      </c>
      <c r="R861" s="243"/>
      <c r="S861" s="223"/>
      <c r="T861" s="406">
        <v>7.2</v>
      </c>
      <c r="U861" s="223">
        <v>-9999</v>
      </c>
      <c r="V861" s="223"/>
      <c r="W861" s="243">
        <v>-9999</v>
      </c>
      <c r="X861" s="223">
        <v>-9999</v>
      </c>
      <c r="Y861" s="223"/>
      <c r="Z861" s="404" t="s">
        <v>1701</v>
      </c>
      <c r="AA861" s="442">
        <v>13455</v>
      </c>
      <c r="AB861" s="243">
        <v>-9999</v>
      </c>
      <c r="AC861" s="223">
        <v>-9999</v>
      </c>
      <c r="AD861" s="223">
        <v>144</v>
      </c>
      <c r="AE861" s="404" t="s">
        <v>1961</v>
      </c>
      <c r="AF861" s="223">
        <v>1</v>
      </c>
      <c r="AG861" s="223" t="s">
        <v>1070</v>
      </c>
      <c r="AH861" s="223" t="s">
        <v>876</v>
      </c>
      <c r="AI861" s="223" t="s">
        <v>1066</v>
      </c>
      <c r="AJ861" s="223">
        <v>-9999</v>
      </c>
      <c r="AK861" s="223" t="s">
        <v>626</v>
      </c>
      <c r="AL861" s="223">
        <v>0</v>
      </c>
      <c r="AM861" s="223">
        <v>-9999</v>
      </c>
      <c r="AN861" s="223">
        <v>-9999</v>
      </c>
      <c r="AO861" s="223">
        <v>-9999</v>
      </c>
      <c r="AP861" s="223">
        <v>-9999</v>
      </c>
      <c r="AQ861" s="223" t="s">
        <v>631</v>
      </c>
      <c r="AR861" s="223">
        <v>0</v>
      </c>
      <c r="AS861" s="223">
        <v>-9999</v>
      </c>
      <c r="AT861" s="223">
        <v>-9999</v>
      </c>
      <c r="AU861" s="223">
        <v>0</v>
      </c>
      <c r="AV861" s="223">
        <v>-9999</v>
      </c>
      <c r="AW861" s="223">
        <v>-9999</v>
      </c>
      <c r="AX861" s="223">
        <v>0</v>
      </c>
      <c r="AY861" s="223">
        <v>-9999</v>
      </c>
      <c r="AZ861" s="223">
        <v>-9999</v>
      </c>
      <c r="BA861" s="223">
        <v>-9999</v>
      </c>
      <c r="BB861" s="223" t="s">
        <v>631</v>
      </c>
      <c r="BC861" s="223">
        <v>-9999</v>
      </c>
      <c r="BD861" s="223">
        <v>-9999</v>
      </c>
      <c r="BE861" s="223">
        <v>-9999</v>
      </c>
      <c r="BF861" s="223">
        <v>-9999</v>
      </c>
      <c r="BG861" s="223">
        <v>-9999</v>
      </c>
      <c r="BH861" s="223">
        <v>-9999</v>
      </c>
      <c r="BI861" s="223" t="s">
        <v>84</v>
      </c>
      <c r="BJ861" s="223">
        <v>-9999</v>
      </c>
      <c r="BK861" s="223">
        <v>-9999</v>
      </c>
      <c r="BL861" s="223">
        <v>-9999</v>
      </c>
      <c r="BM861" s="223">
        <v>-9999</v>
      </c>
      <c r="BN861" s="223">
        <v>-9999</v>
      </c>
      <c r="BO861" s="223">
        <v>-9999</v>
      </c>
      <c r="BP861" s="223">
        <v>-9999</v>
      </c>
      <c r="BQ861" s="223">
        <v>-9999</v>
      </c>
      <c r="BR861" s="223">
        <v>-9999</v>
      </c>
      <c r="BS861" s="242">
        <v>-9999</v>
      </c>
      <c r="BT861" s="223">
        <v>-9999</v>
      </c>
      <c r="BU861" s="223">
        <v>-9999</v>
      </c>
      <c r="BV861" s="223">
        <v>-9999</v>
      </c>
      <c r="BW861" s="223"/>
      <c r="BX861" s="223">
        <v>-9999</v>
      </c>
      <c r="BY861" s="223">
        <v>-9999</v>
      </c>
      <c r="BZ861" s="223">
        <v>-9999</v>
      </c>
      <c r="CA861" s="332">
        <v>-9999</v>
      </c>
      <c r="CB861" s="443" t="s">
        <v>1571</v>
      </c>
      <c r="CC861" s="403">
        <v>6</v>
      </c>
      <c r="CD861" s="403">
        <v>3</v>
      </c>
      <c r="CE861" s="342">
        <v>7.2</v>
      </c>
      <c r="CF861" s="342">
        <v>-9999</v>
      </c>
      <c r="CG861" s="405">
        <v>13</v>
      </c>
    </row>
    <row r="862" spans="1:86" s="172" customFormat="1" x14ac:dyDescent="0.2">
      <c r="A862" s="403" t="s">
        <v>367</v>
      </c>
      <c r="B862" s="404" t="s">
        <v>2132</v>
      </c>
      <c r="C862" s="404" t="s">
        <v>1557</v>
      </c>
      <c r="D862" s="404" t="s">
        <v>1559</v>
      </c>
      <c r="E862" s="404" t="s">
        <v>1555</v>
      </c>
      <c r="F862" s="403">
        <v>7</v>
      </c>
      <c r="G862" s="403">
        <v>2</v>
      </c>
      <c r="H862" s="405">
        <v>15</v>
      </c>
      <c r="I862" s="245" t="s">
        <v>954</v>
      </c>
      <c r="J862" s="441">
        <v>1973</v>
      </c>
      <c r="K862" s="245" t="s">
        <v>1211</v>
      </c>
      <c r="L862" s="441">
        <v>1986</v>
      </c>
      <c r="M862" s="285">
        <f>+T862*G862</f>
        <v>14.8</v>
      </c>
      <c r="N862" s="223">
        <v>-9999</v>
      </c>
      <c r="O862" s="29"/>
      <c r="P862" s="243">
        <v>-9999</v>
      </c>
      <c r="Q862" s="223">
        <v>-9999</v>
      </c>
      <c r="R862" s="243"/>
      <c r="S862" s="223"/>
      <c r="T862" s="406">
        <v>7.4</v>
      </c>
      <c r="U862" s="223">
        <v>-9999</v>
      </c>
      <c r="V862" s="223"/>
      <c r="W862" s="243">
        <v>-9999</v>
      </c>
      <c r="X862" s="223">
        <v>-9999</v>
      </c>
      <c r="Y862" s="223"/>
      <c r="Z862" s="404" t="s">
        <v>1701</v>
      </c>
      <c r="AA862" s="442">
        <v>13455</v>
      </c>
      <c r="AB862" s="243">
        <v>-9999</v>
      </c>
      <c r="AC862" s="223">
        <v>-9999</v>
      </c>
      <c r="AD862" s="223">
        <v>144</v>
      </c>
      <c r="AE862" s="404" t="s">
        <v>1961</v>
      </c>
      <c r="AF862" s="223">
        <v>1</v>
      </c>
      <c r="AG862" s="223" t="s">
        <v>1070</v>
      </c>
      <c r="AH862" s="223" t="s">
        <v>876</v>
      </c>
      <c r="AI862" s="223" t="s">
        <v>1066</v>
      </c>
      <c r="AJ862" s="223">
        <v>-9999</v>
      </c>
      <c r="AK862" s="223" t="s">
        <v>626</v>
      </c>
      <c r="AL862" s="223">
        <v>0</v>
      </c>
      <c r="AM862" s="223">
        <v>-9999</v>
      </c>
      <c r="AN862" s="223">
        <v>-9999</v>
      </c>
      <c r="AO862" s="223">
        <v>-9999</v>
      </c>
      <c r="AP862" s="223">
        <v>-9999</v>
      </c>
      <c r="AQ862" s="223" t="s">
        <v>631</v>
      </c>
      <c r="AR862" s="223">
        <v>0</v>
      </c>
      <c r="AS862" s="223">
        <v>-9999</v>
      </c>
      <c r="AT862" s="223">
        <v>-9999</v>
      </c>
      <c r="AU862" s="223">
        <v>0</v>
      </c>
      <c r="AV862" s="223">
        <v>-9999</v>
      </c>
      <c r="AW862" s="223">
        <v>-9999</v>
      </c>
      <c r="AX862" s="223">
        <v>0</v>
      </c>
      <c r="AY862" s="223">
        <v>-9999</v>
      </c>
      <c r="AZ862" s="223">
        <v>-9999</v>
      </c>
      <c r="BA862" s="223">
        <v>-9999</v>
      </c>
      <c r="BB862" s="223" t="s">
        <v>631</v>
      </c>
      <c r="BC862" s="223">
        <v>-9999</v>
      </c>
      <c r="BD862" s="223">
        <v>-9999</v>
      </c>
      <c r="BE862" s="223">
        <v>-9999</v>
      </c>
      <c r="BF862" s="223">
        <v>-9999</v>
      </c>
      <c r="BG862" s="223">
        <v>-9999</v>
      </c>
      <c r="BH862" s="223">
        <v>-9999</v>
      </c>
      <c r="BI862" s="223" t="s">
        <v>84</v>
      </c>
      <c r="BJ862" s="223">
        <v>-9999</v>
      </c>
      <c r="BK862" s="223">
        <v>-9999</v>
      </c>
      <c r="BL862" s="223">
        <v>-9999</v>
      </c>
      <c r="BM862" s="223">
        <v>-9999</v>
      </c>
      <c r="BN862" s="223">
        <v>-9999</v>
      </c>
      <c r="BO862" s="223">
        <v>-9999</v>
      </c>
      <c r="BP862" s="223">
        <v>-9999</v>
      </c>
      <c r="BQ862" s="223">
        <v>-9999</v>
      </c>
      <c r="BR862" s="223">
        <v>-9999</v>
      </c>
      <c r="BS862" s="242">
        <v>-9999</v>
      </c>
      <c r="BT862" s="223">
        <v>-9999</v>
      </c>
      <c r="BU862" s="223">
        <v>-9999</v>
      </c>
      <c r="BV862" s="223">
        <v>-9999</v>
      </c>
      <c r="BW862" s="223"/>
      <c r="BX862" s="223">
        <v>-9999</v>
      </c>
      <c r="BY862" s="223">
        <v>-9999</v>
      </c>
      <c r="BZ862" s="223">
        <v>-9999</v>
      </c>
      <c r="CA862" s="332">
        <v>-9999</v>
      </c>
      <c r="CB862" s="443" t="s">
        <v>1571</v>
      </c>
      <c r="CC862" s="403">
        <v>7</v>
      </c>
      <c r="CD862" s="403">
        <v>2</v>
      </c>
      <c r="CE862" s="342">
        <v>7.4</v>
      </c>
      <c r="CF862" s="342">
        <v>-9999</v>
      </c>
      <c r="CG862" s="405">
        <v>15</v>
      </c>
    </row>
    <row r="863" spans="1:86" s="172" customFormat="1" x14ac:dyDescent="0.2">
      <c r="A863" s="283"/>
      <c r="B863" s="249"/>
      <c r="C863" s="249"/>
      <c r="D863" s="249"/>
      <c r="E863" s="249"/>
      <c r="F863" s="283"/>
      <c r="G863" s="283"/>
      <c r="H863" s="251"/>
      <c r="I863" s="245"/>
      <c r="J863" s="249"/>
      <c r="K863" s="245"/>
      <c r="L863" s="249"/>
      <c r="M863" s="253"/>
      <c r="N863" s="249"/>
      <c r="O863" s="18"/>
      <c r="P863" s="253"/>
      <c r="Q863" s="249"/>
      <c r="R863" s="253"/>
      <c r="S863" s="249"/>
      <c r="T863" s="284"/>
      <c r="U863" s="249"/>
      <c r="V863" s="249"/>
      <c r="W863" s="253"/>
      <c r="X863" s="249"/>
      <c r="Y863" s="249"/>
      <c r="Z863" s="249"/>
      <c r="AA863" s="447"/>
      <c r="AB863" s="253"/>
      <c r="AC863" s="249"/>
      <c r="AD863" s="249"/>
      <c r="AE863" s="249"/>
      <c r="AF863" s="249"/>
      <c r="AG863" s="249"/>
      <c r="AH863" s="249"/>
      <c r="AI863" s="249"/>
      <c r="AJ863" s="249"/>
      <c r="AK863" s="249"/>
      <c r="AL863" s="249"/>
      <c r="AM863" s="249"/>
      <c r="AN863" s="249"/>
      <c r="AO863" s="249"/>
      <c r="AP863" s="249"/>
      <c r="AQ863" s="249"/>
      <c r="AR863" s="249"/>
      <c r="AS863" s="249"/>
      <c r="AT863" s="249"/>
      <c r="AU863" s="249"/>
      <c r="AV863" s="249"/>
      <c r="AW863" s="252"/>
      <c r="AX863" s="249"/>
      <c r="AY863" s="249"/>
      <c r="AZ863" s="249"/>
      <c r="BA863" s="249"/>
      <c r="BB863" s="249"/>
      <c r="BC863" s="249"/>
      <c r="BD863" s="249"/>
      <c r="BE863" s="249"/>
      <c r="BF863" s="249"/>
      <c r="BG863" s="249"/>
      <c r="BH863" s="249"/>
      <c r="BI863" s="249"/>
      <c r="BJ863" s="249"/>
      <c r="BK863" s="249"/>
      <c r="BL863" s="249"/>
      <c r="BM863" s="249"/>
      <c r="BN863" s="249"/>
      <c r="BO863" s="249"/>
      <c r="BP863" s="249"/>
      <c r="BQ863" s="249"/>
      <c r="BR863" s="249"/>
      <c r="BS863" s="242"/>
      <c r="BT863" s="249"/>
      <c r="BU863" s="249"/>
      <c r="BV863" s="249"/>
      <c r="BW863" s="249"/>
      <c r="BX863" s="249"/>
      <c r="BY863" s="249"/>
      <c r="BZ863" s="249"/>
      <c r="CA863" s="331"/>
      <c r="CB863" s="439"/>
      <c r="CC863" s="283"/>
      <c r="CD863" s="283"/>
      <c r="CE863" s="342" t="s">
        <v>1982</v>
      </c>
      <c r="CF863" s="342" t="s">
        <v>1575</v>
      </c>
      <c r="CG863" s="251"/>
    </row>
    <row r="864" spans="1:86" s="23" customFormat="1" x14ac:dyDescent="0.2">
      <c r="A864" s="240" t="s">
        <v>366</v>
      </c>
      <c r="B864" s="404" t="s">
        <v>2132</v>
      </c>
      <c r="C864" s="404" t="s">
        <v>1558</v>
      </c>
      <c r="D864" s="404" t="s">
        <v>1559</v>
      </c>
      <c r="E864" s="404" t="s">
        <v>1555</v>
      </c>
      <c r="F864" s="240">
        <v>1</v>
      </c>
      <c r="G864" s="240">
        <v>2</v>
      </c>
      <c r="H864" s="242">
        <v>2</v>
      </c>
      <c r="I864" s="245" t="s">
        <v>954</v>
      </c>
      <c r="J864" s="441">
        <v>1973</v>
      </c>
      <c r="K864" s="245" t="s">
        <v>1211</v>
      </c>
      <c r="L864" s="441">
        <v>1974</v>
      </c>
      <c r="M864" s="243">
        <v>8.5</v>
      </c>
      <c r="N864" s="223">
        <v>-9999</v>
      </c>
      <c r="O864" s="29"/>
      <c r="P864" s="243">
        <v>-9999</v>
      </c>
      <c r="Q864" s="223">
        <v>-9999</v>
      </c>
      <c r="R864" s="243"/>
      <c r="S864" s="223"/>
      <c r="T864" s="244">
        <f>+M864/G864</f>
        <v>4.25</v>
      </c>
      <c r="U864" s="223">
        <v>-9999</v>
      </c>
      <c r="V864" s="223"/>
      <c r="W864" s="243">
        <v>-9999</v>
      </c>
      <c r="X864" s="223">
        <v>-9999</v>
      </c>
      <c r="Y864" s="223"/>
      <c r="Z864" s="223" t="s">
        <v>67</v>
      </c>
      <c r="AA864" s="441">
        <v>6727</v>
      </c>
      <c r="AB864" s="243">
        <v>1</v>
      </c>
      <c r="AC864" s="223">
        <v>-9999</v>
      </c>
      <c r="AD864" s="223">
        <v>144</v>
      </c>
      <c r="AE864" s="404" t="s">
        <v>1959</v>
      </c>
      <c r="AF864" s="223">
        <v>1</v>
      </c>
      <c r="AG864" s="223" t="s">
        <v>1070</v>
      </c>
      <c r="AH864" s="223" t="s">
        <v>876</v>
      </c>
      <c r="AI864" s="223" t="s">
        <v>1066</v>
      </c>
      <c r="AJ864" s="223">
        <v>-9999</v>
      </c>
      <c r="AK864" s="223" t="s">
        <v>626</v>
      </c>
      <c r="AL864" s="223" t="s">
        <v>1068</v>
      </c>
      <c r="AM864" s="223">
        <v>-9999</v>
      </c>
      <c r="AN864" s="223">
        <v>-9999</v>
      </c>
      <c r="AO864" s="223">
        <v>-9999</v>
      </c>
      <c r="AP864" s="223">
        <v>-9999</v>
      </c>
      <c r="AQ864" s="223" t="s">
        <v>631</v>
      </c>
      <c r="AR864" s="223">
        <v>0</v>
      </c>
      <c r="AS864" s="223">
        <v>-9999</v>
      </c>
      <c r="AT864" s="223">
        <v>-9999</v>
      </c>
      <c r="AU864" s="223">
        <v>0</v>
      </c>
      <c r="AV864" s="223">
        <v>-9999</v>
      </c>
      <c r="AW864" s="223">
        <v>-9999</v>
      </c>
      <c r="AX864" s="223">
        <v>0</v>
      </c>
      <c r="AY864" s="223">
        <v>-9999</v>
      </c>
      <c r="AZ864" s="223">
        <v>-9999</v>
      </c>
      <c r="BA864" s="223">
        <v>-9999</v>
      </c>
      <c r="BB864" s="223" t="s">
        <v>631</v>
      </c>
      <c r="BC864" s="223">
        <v>-9999</v>
      </c>
      <c r="BD864" s="223">
        <v>-9999</v>
      </c>
      <c r="BE864" s="223">
        <v>-9999</v>
      </c>
      <c r="BF864" s="223">
        <v>-9999</v>
      </c>
      <c r="BG864" s="223">
        <v>-9999</v>
      </c>
      <c r="BH864" s="223">
        <v>-9999</v>
      </c>
      <c r="BI864" s="223" t="s">
        <v>84</v>
      </c>
      <c r="BJ864" s="223">
        <v>-9999</v>
      </c>
      <c r="BK864" s="223">
        <v>-9999</v>
      </c>
      <c r="BL864" s="223">
        <v>-9999</v>
      </c>
      <c r="BM864" s="223">
        <v>-9999</v>
      </c>
      <c r="BN864" s="223">
        <v>-9999</v>
      </c>
      <c r="BO864" s="223">
        <v>-9999</v>
      </c>
      <c r="BP864" s="223">
        <v>-9999</v>
      </c>
      <c r="BQ864" s="223">
        <v>-9999</v>
      </c>
      <c r="BR864" s="223">
        <v>-9999</v>
      </c>
      <c r="BS864" s="242">
        <v>-9999</v>
      </c>
      <c r="BT864" s="223">
        <v>-9999</v>
      </c>
      <c r="BU864" s="223">
        <v>-9999</v>
      </c>
      <c r="BV864" s="223">
        <v>-9999</v>
      </c>
      <c r="BW864" s="223"/>
      <c r="BX864" s="223">
        <v>-9999</v>
      </c>
      <c r="BY864" s="223">
        <v>-9999</v>
      </c>
      <c r="BZ864" s="223">
        <v>-9999</v>
      </c>
      <c r="CA864" s="332">
        <v>-9999</v>
      </c>
      <c r="CB864" s="443" t="s">
        <v>1571</v>
      </c>
      <c r="CC864" s="240">
        <v>1</v>
      </c>
      <c r="CD864" s="240">
        <v>2</v>
      </c>
      <c r="CE864" s="292">
        <v>4.25</v>
      </c>
      <c r="CF864" s="292">
        <v>-9999</v>
      </c>
      <c r="CG864" s="242">
        <v>2</v>
      </c>
    </row>
    <row r="865" spans="1:85" s="301" customFormat="1" x14ac:dyDescent="0.2">
      <c r="A865" s="403" t="s">
        <v>366</v>
      </c>
      <c r="B865" s="404" t="s">
        <v>2132</v>
      </c>
      <c r="C865" s="404" t="s">
        <v>1558</v>
      </c>
      <c r="D865" s="404" t="s">
        <v>1559</v>
      </c>
      <c r="E865" s="404" t="s">
        <v>1555</v>
      </c>
      <c r="F865" s="403">
        <v>2</v>
      </c>
      <c r="G865" s="403">
        <v>2</v>
      </c>
      <c r="H865" s="405">
        <v>4</v>
      </c>
      <c r="I865" s="245" t="s">
        <v>954</v>
      </c>
      <c r="J865" s="441">
        <v>1973</v>
      </c>
      <c r="K865" s="245" t="s">
        <v>1211</v>
      </c>
      <c r="L865" s="441">
        <v>1976</v>
      </c>
      <c r="M865" s="406">
        <v>14.6</v>
      </c>
      <c r="N865" s="404">
        <v>-9999</v>
      </c>
      <c r="O865" s="323"/>
      <c r="P865" s="406">
        <v>-9999</v>
      </c>
      <c r="Q865" s="404">
        <v>-9999</v>
      </c>
      <c r="R865" s="406"/>
      <c r="S865" s="404"/>
      <c r="T865" s="244">
        <f>+M865/G865</f>
        <v>7.3</v>
      </c>
      <c r="U865" s="404">
        <v>-9999</v>
      </c>
      <c r="V865" s="404"/>
      <c r="W865" s="406">
        <v>-9999</v>
      </c>
      <c r="X865" s="404">
        <v>-9999</v>
      </c>
      <c r="Y865" s="404"/>
      <c r="Z865" s="404" t="s">
        <v>67</v>
      </c>
      <c r="AA865" s="441">
        <v>6727</v>
      </c>
      <c r="AB865" s="406">
        <v>0.98</v>
      </c>
      <c r="AC865" s="404">
        <v>-9999</v>
      </c>
      <c r="AD865" s="223">
        <v>144</v>
      </c>
      <c r="AE865" s="404" t="s">
        <v>1959</v>
      </c>
      <c r="AF865" s="404">
        <v>1</v>
      </c>
      <c r="AG865" s="404" t="s">
        <v>1070</v>
      </c>
      <c r="AH865" s="404" t="s">
        <v>876</v>
      </c>
      <c r="AI865" s="404" t="s">
        <v>1066</v>
      </c>
      <c r="AJ865" s="404">
        <v>-9999</v>
      </c>
      <c r="AK865" s="404" t="s">
        <v>626</v>
      </c>
      <c r="AL865" s="404" t="s">
        <v>1069</v>
      </c>
      <c r="AM865" s="404">
        <v>-9999</v>
      </c>
      <c r="AN865" s="404">
        <v>-9999</v>
      </c>
      <c r="AO865" s="404">
        <v>-9999</v>
      </c>
      <c r="AP865" s="404">
        <v>-9999</v>
      </c>
      <c r="AQ865" s="404" t="s">
        <v>631</v>
      </c>
      <c r="AR865" s="404">
        <v>0</v>
      </c>
      <c r="AS865" s="404">
        <v>-9999</v>
      </c>
      <c r="AT865" s="404">
        <v>-9999</v>
      </c>
      <c r="AU865" s="404">
        <v>0</v>
      </c>
      <c r="AV865" s="404">
        <v>-9999</v>
      </c>
      <c r="AW865" s="404">
        <v>-9999</v>
      </c>
      <c r="AX865" s="404">
        <v>0</v>
      </c>
      <c r="AY865" s="404">
        <v>-9999</v>
      </c>
      <c r="AZ865" s="404">
        <v>-9999</v>
      </c>
      <c r="BA865" s="404">
        <v>-9999</v>
      </c>
      <c r="BB865" s="404" t="s">
        <v>631</v>
      </c>
      <c r="BC865" s="404">
        <v>-9999</v>
      </c>
      <c r="BD865" s="404">
        <v>-9999</v>
      </c>
      <c r="BE865" s="404">
        <v>-9999</v>
      </c>
      <c r="BF865" s="404">
        <v>-9999</v>
      </c>
      <c r="BG865" s="404">
        <v>-9999</v>
      </c>
      <c r="BH865" s="404">
        <v>-9999</v>
      </c>
      <c r="BI865" s="404" t="s">
        <v>84</v>
      </c>
      <c r="BJ865" s="404">
        <v>-9999</v>
      </c>
      <c r="BK865" s="404">
        <v>-9999</v>
      </c>
      <c r="BL865" s="404">
        <v>-9999</v>
      </c>
      <c r="BM865" s="404">
        <v>-9999</v>
      </c>
      <c r="BN865" s="404">
        <v>-9999</v>
      </c>
      <c r="BO865" s="404">
        <v>-9999</v>
      </c>
      <c r="BP865" s="404">
        <v>-9999</v>
      </c>
      <c r="BQ865" s="404">
        <v>-9999</v>
      </c>
      <c r="BR865" s="404">
        <v>-9999</v>
      </c>
      <c r="BS865" s="405">
        <v>-9999</v>
      </c>
      <c r="BT865" s="404">
        <v>-9999</v>
      </c>
      <c r="BU865" s="404">
        <v>-9999</v>
      </c>
      <c r="BV865" s="404">
        <v>-9999</v>
      </c>
      <c r="BW865" s="404"/>
      <c r="BX865" s="404">
        <v>-9999</v>
      </c>
      <c r="BY865" s="404">
        <v>-9999</v>
      </c>
      <c r="BZ865" s="404">
        <v>-9999</v>
      </c>
      <c r="CA865" s="444">
        <v>-9999</v>
      </c>
      <c r="CB865" s="443" t="s">
        <v>1571</v>
      </c>
      <c r="CC865" s="403">
        <v>2</v>
      </c>
      <c r="CD865" s="403">
        <v>2</v>
      </c>
      <c r="CE865" s="342">
        <v>7.3</v>
      </c>
      <c r="CF865" s="342">
        <v>-9999</v>
      </c>
      <c r="CG865" s="405">
        <v>4</v>
      </c>
    </row>
    <row r="866" spans="1:85" s="13" customFormat="1" x14ac:dyDescent="0.2">
      <c r="A866" s="403" t="s">
        <v>367</v>
      </c>
      <c r="B866" s="404" t="s">
        <v>2132</v>
      </c>
      <c r="C866" s="404" t="s">
        <v>1558</v>
      </c>
      <c r="D866" s="404" t="s">
        <v>1559</v>
      </c>
      <c r="E866" s="404" t="s">
        <v>1555</v>
      </c>
      <c r="F866" s="403">
        <v>3</v>
      </c>
      <c r="G866" s="403">
        <v>2</v>
      </c>
      <c r="H866" s="405">
        <v>6</v>
      </c>
      <c r="I866" s="245" t="s">
        <v>954</v>
      </c>
      <c r="J866" s="441">
        <v>1973</v>
      </c>
      <c r="K866" s="245" t="s">
        <v>1211</v>
      </c>
      <c r="L866" s="441">
        <v>1978</v>
      </c>
      <c r="M866" s="285">
        <f>+T866*G866</f>
        <v>13</v>
      </c>
      <c r="N866" s="223">
        <v>-9999</v>
      </c>
      <c r="O866" s="29"/>
      <c r="P866" s="243">
        <v>-9999</v>
      </c>
      <c r="Q866" s="223">
        <v>-9999</v>
      </c>
      <c r="R866" s="243"/>
      <c r="S866" s="223"/>
      <c r="T866" s="406">
        <v>6.5</v>
      </c>
      <c r="U866" s="223">
        <v>-9999</v>
      </c>
      <c r="V866" s="223"/>
      <c r="W866" s="243">
        <v>-9999</v>
      </c>
      <c r="X866" s="223">
        <v>-9999</v>
      </c>
      <c r="Y866" s="223"/>
      <c r="Z866" s="223" t="s">
        <v>67</v>
      </c>
      <c r="AA866" s="441">
        <v>6727</v>
      </c>
      <c r="AB866" s="243">
        <v>-9999</v>
      </c>
      <c r="AC866" s="223">
        <v>-9999</v>
      </c>
      <c r="AD866" s="223">
        <v>144</v>
      </c>
      <c r="AE866" s="404" t="s">
        <v>1959</v>
      </c>
      <c r="AF866" s="223">
        <v>1</v>
      </c>
      <c r="AG866" s="223" t="s">
        <v>1070</v>
      </c>
      <c r="AH866" s="223" t="s">
        <v>876</v>
      </c>
      <c r="AI866" s="223" t="s">
        <v>1066</v>
      </c>
      <c r="AJ866" s="223">
        <v>-9999</v>
      </c>
      <c r="AK866" s="223" t="s">
        <v>626</v>
      </c>
      <c r="AL866" s="223">
        <v>0</v>
      </c>
      <c r="AM866" s="223">
        <v>-9999</v>
      </c>
      <c r="AN866" s="223">
        <v>-9999</v>
      </c>
      <c r="AO866" s="223">
        <v>-9999</v>
      </c>
      <c r="AP866" s="223">
        <v>-9999</v>
      </c>
      <c r="AQ866" s="223" t="s">
        <v>631</v>
      </c>
      <c r="AR866" s="223">
        <v>0</v>
      </c>
      <c r="AS866" s="223">
        <v>-9999</v>
      </c>
      <c r="AT866" s="223">
        <v>-9999</v>
      </c>
      <c r="AU866" s="223">
        <v>0</v>
      </c>
      <c r="AV866" s="223">
        <v>-9999</v>
      </c>
      <c r="AW866" s="223">
        <v>-9999</v>
      </c>
      <c r="AX866" s="223">
        <v>0</v>
      </c>
      <c r="AY866" s="223">
        <v>-9999</v>
      </c>
      <c r="AZ866" s="223">
        <v>-9999</v>
      </c>
      <c r="BA866" s="223">
        <v>-9999</v>
      </c>
      <c r="BB866" s="223" t="s">
        <v>631</v>
      </c>
      <c r="BC866" s="223">
        <v>-9999</v>
      </c>
      <c r="BD866" s="223">
        <v>-9999</v>
      </c>
      <c r="BE866" s="223">
        <v>-9999</v>
      </c>
      <c r="BF866" s="223">
        <v>-9999</v>
      </c>
      <c r="BG866" s="223">
        <v>-9999</v>
      </c>
      <c r="BH866" s="223">
        <v>-9999</v>
      </c>
      <c r="BI866" s="223" t="s">
        <v>84</v>
      </c>
      <c r="BJ866" s="223">
        <v>-9999</v>
      </c>
      <c r="BK866" s="223">
        <v>-9999</v>
      </c>
      <c r="BL866" s="223">
        <v>-9999</v>
      </c>
      <c r="BM866" s="223">
        <v>-9999</v>
      </c>
      <c r="BN866" s="223">
        <v>-9999</v>
      </c>
      <c r="BO866" s="223">
        <v>-9999</v>
      </c>
      <c r="BP866" s="223">
        <v>-9999</v>
      </c>
      <c r="BQ866" s="223">
        <v>-9999</v>
      </c>
      <c r="BR866" s="223">
        <v>-9999</v>
      </c>
      <c r="BS866" s="242">
        <v>-9999</v>
      </c>
      <c r="BT866" s="223">
        <v>-9999</v>
      </c>
      <c r="BU866" s="223">
        <v>-9999</v>
      </c>
      <c r="BV866" s="223">
        <v>-9999</v>
      </c>
      <c r="BW866" s="223"/>
      <c r="BX866" s="223">
        <v>-9999</v>
      </c>
      <c r="BY866" s="223">
        <v>-9999</v>
      </c>
      <c r="BZ866" s="223">
        <v>-9999</v>
      </c>
      <c r="CA866" s="332">
        <v>-9999</v>
      </c>
      <c r="CB866" s="443" t="s">
        <v>1571</v>
      </c>
      <c r="CC866" s="403">
        <v>3</v>
      </c>
      <c r="CD866" s="403">
        <v>2</v>
      </c>
      <c r="CE866" s="342">
        <v>6.5</v>
      </c>
      <c r="CF866" s="342">
        <v>-9999</v>
      </c>
      <c r="CG866" s="405">
        <v>6</v>
      </c>
    </row>
    <row r="867" spans="1:85" s="13" customFormat="1" x14ac:dyDescent="0.2">
      <c r="A867" s="403" t="s">
        <v>367</v>
      </c>
      <c r="B867" s="404" t="s">
        <v>2132</v>
      </c>
      <c r="C867" s="404" t="s">
        <v>1558</v>
      </c>
      <c r="D867" s="404" t="s">
        <v>1559</v>
      </c>
      <c r="E867" s="404" t="s">
        <v>1555</v>
      </c>
      <c r="F867" s="403">
        <v>4</v>
      </c>
      <c r="G867" s="403">
        <v>2</v>
      </c>
      <c r="H867" s="405">
        <v>8</v>
      </c>
      <c r="I867" s="245" t="s">
        <v>954</v>
      </c>
      <c r="J867" s="441">
        <v>1973</v>
      </c>
      <c r="K867" s="245" t="s">
        <v>1211</v>
      </c>
      <c r="L867" s="441">
        <v>1980</v>
      </c>
      <c r="M867" s="285">
        <f>+T867*G867</f>
        <v>5</v>
      </c>
      <c r="N867" s="223">
        <v>-9999</v>
      </c>
      <c r="O867" s="29"/>
      <c r="P867" s="243">
        <v>-9999</v>
      </c>
      <c r="Q867" s="223">
        <v>-9999</v>
      </c>
      <c r="R867" s="243"/>
      <c r="S867" s="223"/>
      <c r="T867" s="406">
        <v>2.5</v>
      </c>
      <c r="U867" s="223">
        <v>-9999</v>
      </c>
      <c r="V867" s="223"/>
      <c r="W867" s="243">
        <v>-9999</v>
      </c>
      <c r="X867" s="223">
        <v>-9999</v>
      </c>
      <c r="Y867" s="223"/>
      <c r="Z867" s="223" t="s">
        <v>67</v>
      </c>
      <c r="AA867" s="441">
        <v>6727</v>
      </c>
      <c r="AB867" s="243">
        <v>-9999</v>
      </c>
      <c r="AC867" s="223">
        <v>-9999</v>
      </c>
      <c r="AD867" s="223">
        <v>144</v>
      </c>
      <c r="AE867" s="404" t="s">
        <v>1959</v>
      </c>
      <c r="AF867" s="223">
        <v>1</v>
      </c>
      <c r="AG867" s="223" t="s">
        <v>1070</v>
      </c>
      <c r="AH867" s="223" t="s">
        <v>876</v>
      </c>
      <c r="AI867" s="223" t="s">
        <v>1066</v>
      </c>
      <c r="AJ867" s="223">
        <v>-9999</v>
      </c>
      <c r="AK867" s="223" t="s">
        <v>626</v>
      </c>
      <c r="AL867" s="223">
        <v>0</v>
      </c>
      <c r="AM867" s="223">
        <v>-9999</v>
      </c>
      <c r="AN867" s="223">
        <v>-9999</v>
      </c>
      <c r="AO867" s="223">
        <v>-9999</v>
      </c>
      <c r="AP867" s="223">
        <v>-9999</v>
      </c>
      <c r="AQ867" s="223" t="s">
        <v>631</v>
      </c>
      <c r="AR867" s="223">
        <v>0</v>
      </c>
      <c r="AS867" s="223">
        <v>-9999</v>
      </c>
      <c r="AT867" s="223">
        <v>-9999</v>
      </c>
      <c r="AU867" s="223">
        <v>0</v>
      </c>
      <c r="AV867" s="223">
        <v>-9999</v>
      </c>
      <c r="AW867" s="223">
        <v>-9999</v>
      </c>
      <c r="AX867" s="223">
        <v>0</v>
      </c>
      <c r="AY867" s="223">
        <v>-9999</v>
      </c>
      <c r="AZ867" s="223">
        <v>-9999</v>
      </c>
      <c r="BA867" s="223">
        <v>-9999</v>
      </c>
      <c r="BB867" s="223" t="s">
        <v>631</v>
      </c>
      <c r="BC867" s="223">
        <v>-9999</v>
      </c>
      <c r="BD867" s="223">
        <v>-9999</v>
      </c>
      <c r="BE867" s="223">
        <v>-9999</v>
      </c>
      <c r="BF867" s="223">
        <v>-9999</v>
      </c>
      <c r="BG867" s="223">
        <v>-9999</v>
      </c>
      <c r="BH867" s="223">
        <v>-9999</v>
      </c>
      <c r="BI867" s="223" t="s">
        <v>84</v>
      </c>
      <c r="BJ867" s="223">
        <v>-9999</v>
      </c>
      <c r="BK867" s="223">
        <v>-9999</v>
      </c>
      <c r="BL867" s="223">
        <v>-9999</v>
      </c>
      <c r="BM867" s="223">
        <v>-9999</v>
      </c>
      <c r="BN867" s="223">
        <v>-9999</v>
      </c>
      <c r="BO867" s="223">
        <v>-9999</v>
      </c>
      <c r="BP867" s="223">
        <v>-9999</v>
      </c>
      <c r="BQ867" s="223">
        <v>-9999</v>
      </c>
      <c r="BR867" s="223">
        <v>-9999</v>
      </c>
      <c r="BS867" s="242">
        <v>-9999</v>
      </c>
      <c r="BT867" s="223">
        <v>-9999</v>
      </c>
      <c r="BU867" s="223">
        <v>-9999</v>
      </c>
      <c r="BV867" s="223">
        <v>-9999</v>
      </c>
      <c r="BW867" s="223"/>
      <c r="BX867" s="223">
        <v>-9999</v>
      </c>
      <c r="BY867" s="223">
        <v>-9999</v>
      </c>
      <c r="BZ867" s="223">
        <v>-9999</v>
      </c>
      <c r="CA867" s="332">
        <v>-9999</v>
      </c>
      <c r="CB867" s="443" t="s">
        <v>1571</v>
      </c>
      <c r="CC867" s="403">
        <v>4</v>
      </c>
      <c r="CD867" s="403">
        <v>2</v>
      </c>
      <c r="CE867" s="342">
        <v>2.5</v>
      </c>
      <c r="CF867" s="342">
        <v>-9999</v>
      </c>
      <c r="CG867" s="405">
        <v>8</v>
      </c>
    </row>
    <row r="868" spans="1:85" s="13" customFormat="1" x14ac:dyDescent="0.2">
      <c r="A868" s="403" t="s">
        <v>367</v>
      </c>
      <c r="B868" s="404" t="s">
        <v>2132</v>
      </c>
      <c r="C868" s="404" t="s">
        <v>1558</v>
      </c>
      <c r="D868" s="404" t="s">
        <v>1559</v>
      </c>
      <c r="E868" s="404" t="s">
        <v>1555</v>
      </c>
      <c r="F868" s="403">
        <v>5</v>
      </c>
      <c r="G868" s="403">
        <v>2</v>
      </c>
      <c r="H868" s="405">
        <v>10</v>
      </c>
      <c r="I868" s="245" t="s">
        <v>954</v>
      </c>
      <c r="J868" s="441">
        <v>1973</v>
      </c>
      <c r="K868" s="245" t="s">
        <v>1211</v>
      </c>
      <c r="L868" s="441">
        <v>1982</v>
      </c>
      <c r="M868" s="285">
        <f>+T868*G868</f>
        <v>7</v>
      </c>
      <c r="N868" s="223">
        <v>-9999</v>
      </c>
      <c r="O868" s="29"/>
      <c r="P868" s="243">
        <v>-9999</v>
      </c>
      <c r="Q868" s="223">
        <v>-9999</v>
      </c>
      <c r="R868" s="243"/>
      <c r="S868" s="223"/>
      <c r="T868" s="406">
        <v>3.5</v>
      </c>
      <c r="U868" s="223">
        <v>-9999</v>
      </c>
      <c r="V868" s="223"/>
      <c r="W868" s="243">
        <v>-9999</v>
      </c>
      <c r="X868" s="223">
        <v>-9999</v>
      </c>
      <c r="Y868" s="223"/>
      <c r="Z868" s="223" t="s">
        <v>67</v>
      </c>
      <c r="AA868" s="441">
        <v>6727</v>
      </c>
      <c r="AB868" s="243">
        <v>-9999</v>
      </c>
      <c r="AC868" s="223">
        <v>-9999</v>
      </c>
      <c r="AD868" s="223">
        <v>144</v>
      </c>
      <c r="AE868" s="404" t="s">
        <v>1959</v>
      </c>
      <c r="AF868" s="223">
        <v>1</v>
      </c>
      <c r="AG868" s="223" t="s">
        <v>1070</v>
      </c>
      <c r="AH868" s="223" t="s">
        <v>876</v>
      </c>
      <c r="AI868" s="223" t="s">
        <v>1066</v>
      </c>
      <c r="AJ868" s="223">
        <v>-9999</v>
      </c>
      <c r="AK868" s="223" t="s">
        <v>626</v>
      </c>
      <c r="AL868" s="223">
        <v>0</v>
      </c>
      <c r="AM868" s="223">
        <v>-9999</v>
      </c>
      <c r="AN868" s="223">
        <v>-9999</v>
      </c>
      <c r="AO868" s="223">
        <v>-9999</v>
      </c>
      <c r="AP868" s="223">
        <v>-9999</v>
      </c>
      <c r="AQ868" s="223" t="s">
        <v>631</v>
      </c>
      <c r="AR868" s="223">
        <v>0</v>
      </c>
      <c r="AS868" s="223">
        <v>-9999</v>
      </c>
      <c r="AT868" s="223">
        <v>-9999</v>
      </c>
      <c r="AU868" s="223">
        <v>0</v>
      </c>
      <c r="AV868" s="223">
        <v>-9999</v>
      </c>
      <c r="AW868" s="223">
        <v>-9999</v>
      </c>
      <c r="AX868" s="223">
        <v>0</v>
      </c>
      <c r="AY868" s="223">
        <v>-9999</v>
      </c>
      <c r="AZ868" s="223">
        <v>-9999</v>
      </c>
      <c r="BA868" s="223">
        <v>-9999</v>
      </c>
      <c r="BB868" s="223" t="s">
        <v>631</v>
      </c>
      <c r="BC868" s="223">
        <v>-9999</v>
      </c>
      <c r="BD868" s="223">
        <v>-9999</v>
      </c>
      <c r="BE868" s="223">
        <v>-9999</v>
      </c>
      <c r="BF868" s="223">
        <v>-9999</v>
      </c>
      <c r="BG868" s="223">
        <v>-9999</v>
      </c>
      <c r="BH868" s="223">
        <v>-9999</v>
      </c>
      <c r="BI868" s="223" t="s">
        <v>84</v>
      </c>
      <c r="BJ868" s="223">
        <v>-9999</v>
      </c>
      <c r="BK868" s="223">
        <v>-9999</v>
      </c>
      <c r="BL868" s="223">
        <v>-9999</v>
      </c>
      <c r="BM868" s="223">
        <v>-9999</v>
      </c>
      <c r="BN868" s="223">
        <v>-9999</v>
      </c>
      <c r="BO868" s="223">
        <v>-9999</v>
      </c>
      <c r="BP868" s="223">
        <v>-9999</v>
      </c>
      <c r="BQ868" s="223">
        <v>-9999</v>
      </c>
      <c r="BR868" s="223">
        <v>-9999</v>
      </c>
      <c r="BS868" s="242">
        <v>-9999</v>
      </c>
      <c r="BT868" s="223">
        <v>-9999</v>
      </c>
      <c r="BU868" s="223">
        <v>-9999</v>
      </c>
      <c r="BV868" s="223">
        <v>-9999</v>
      </c>
      <c r="BW868" s="223"/>
      <c r="BX868" s="223">
        <v>-9999</v>
      </c>
      <c r="BY868" s="223">
        <v>-9999</v>
      </c>
      <c r="BZ868" s="223">
        <v>-9999</v>
      </c>
      <c r="CA868" s="332">
        <v>-9999</v>
      </c>
      <c r="CB868" s="443" t="s">
        <v>1571</v>
      </c>
      <c r="CC868" s="403">
        <v>5</v>
      </c>
      <c r="CD868" s="403">
        <v>2</v>
      </c>
      <c r="CE868" s="342">
        <v>3.5</v>
      </c>
      <c r="CF868" s="342">
        <v>-9999</v>
      </c>
      <c r="CG868" s="405">
        <v>10</v>
      </c>
    </row>
    <row r="869" spans="1:85" s="13" customFormat="1" x14ac:dyDescent="0.2">
      <c r="A869" s="403" t="s">
        <v>367</v>
      </c>
      <c r="B869" s="404" t="s">
        <v>2132</v>
      </c>
      <c r="C869" s="404" t="s">
        <v>1558</v>
      </c>
      <c r="D869" s="404" t="s">
        <v>1559</v>
      </c>
      <c r="E869" s="404" t="s">
        <v>1555</v>
      </c>
      <c r="F869" s="403">
        <v>6</v>
      </c>
      <c r="G869" s="403">
        <v>3</v>
      </c>
      <c r="H869" s="405">
        <v>13</v>
      </c>
      <c r="I869" s="245" t="s">
        <v>954</v>
      </c>
      <c r="J869" s="441">
        <v>1973</v>
      </c>
      <c r="K869" s="245" t="s">
        <v>1211</v>
      </c>
      <c r="L869" s="441">
        <v>1984</v>
      </c>
      <c r="M869" s="285">
        <f>+T869*G869</f>
        <v>22.5</v>
      </c>
      <c r="N869" s="223">
        <v>-9999</v>
      </c>
      <c r="O869" s="29"/>
      <c r="P869" s="243">
        <v>-9999</v>
      </c>
      <c r="Q869" s="223">
        <v>-9999</v>
      </c>
      <c r="R869" s="243"/>
      <c r="S869" s="223"/>
      <c r="T869" s="406">
        <v>7.5</v>
      </c>
      <c r="U869" s="223">
        <v>-9999</v>
      </c>
      <c r="V869" s="223"/>
      <c r="W869" s="243">
        <v>-9999</v>
      </c>
      <c r="X869" s="223">
        <v>-9999</v>
      </c>
      <c r="Y869" s="223"/>
      <c r="Z869" s="223" t="s">
        <v>67</v>
      </c>
      <c r="AA869" s="441">
        <v>6727</v>
      </c>
      <c r="AB869" s="243">
        <v>-9999</v>
      </c>
      <c r="AC869" s="223">
        <v>-9999</v>
      </c>
      <c r="AD869" s="223">
        <v>144</v>
      </c>
      <c r="AE869" s="404" t="s">
        <v>1959</v>
      </c>
      <c r="AF869" s="223">
        <v>1</v>
      </c>
      <c r="AG869" s="223" t="s">
        <v>1070</v>
      </c>
      <c r="AH869" s="223" t="s">
        <v>876</v>
      </c>
      <c r="AI869" s="223" t="s">
        <v>1066</v>
      </c>
      <c r="AJ869" s="223">
        <v>-9999</v>
      </c>
      <c r="AK869" s="223" t="s">
        <v>626</v>
      </c>
      <c r="AL869" s="223">
        <v>0</v>
      </c>
      <c r="AM869" s="223">
        <v>-9999</v>
      </c>
      <c r="AN869" s="223">
        <v>-9999</v>
      </c>
      <c r="AO869" s="223">
        <v>-9999</v>
      </c>
      <c r="AP869" s="223">
        <v>-9999</v>
      </c>
      <c r="AQ869" s="223" t="s">
        <v>631</v>
      </c>
      <c r="AR869" s="223">
        <v>0</v>
      </c>
      <c r="AS869" s="223">
        <v>-9999</v>
      </c>
      <c r="AT869" s="223">
        <v>-9999</v>
      </c>
      <c r="AU869" s="223">
        <v>0</v>
      </c>
      <c r="AV869" s="223">
        <v>-9999</v>
      </c>
      <c r="AW869" s="223">
        <v>-9999</v>
      </c>
      <c r="AX869" s="223">
        <v>0</v>
      </c>
      <c r="AY869" s="223">
        <v>-9999</v>
      </c>
      <c r="AZ869" s="223">
        <v>-9999</v>
      </c>
      <c r="BA869" s="223">
        <v>-9999</v>
      </c>
      <c r="BB869" s="223" t="s">
        <v>631</v>
      </c>
      <c r="BC869" s="223">
        <v>-9999</v>
      </c>
      <c r="BD869" s="223">
        <v>-9999</v>
      </c>
      <c r="BE869" s="223">
        <v>-9999</v>
      </c>
      <c r="BF869" s="223">
        <v>-9999</v>
      </c>
      <c r="BG869" s="223">
        <v>-9999</v>
      </c>
      <c r="BH869" s="223">
        <v>-9999</v>
      </c>
      <c r="BI869" s="223" t="s">
        <v>84</v>
      </c>
      <c r="BJ869" s="223">
        <v>-9999</v>
      </c>
      <c r="BK869" s="223">
        <v>-9999</v>
      </c>
      <c r="BL869" s="223">
        <v>-9999</v>
      </c>
      <c r="BM869" s="223">
        <v>-9999</v>
      </c>
      <c r="BN869" s="223">
        <v>-9999</v>
      </c>
      <c r="BO869" s="223">
        <v>-9999</v>
      </c>
      <c r="BP869" s="223">
        <v>-9999</v>
      </c>
      <c r="BQ869" s="223">
        <v>-9999</v>
      </c>
      <c r="BR869" s="223">
        <v>-9999</v>
      </c>
      <c r="BS869" s="242">
        <v>-9999</v>
      </c>
      <c r="BT869" s="223">
        <v>-9999</v>
      </c>
      <c r="BU869" s="223">
        <v>-9999</v>
      </c>
      <c r="BV869" s="223">
        <v>-9999</v>
      </c>
      <c r="BW869" s="223"/>
      <c r="BX869" s="223">
        <v>-9999</v>
      </c>
      <c r="BY869" s="223">
        <v>-9999</v>
      </c>
      <c r="BZ869" s="223">
        <v>-9999</v>
      </c>
      <c r="CA869" s="332">
        <v>-9999</v>
      </c>
      <c r="CB869" s="443" t="s">
        <v>1571</v>
      </c>
      <c r="CC869" s="403">
        <v>6</v>
      </c>
      <c r="CD869" s="403">
        <v>3</v>
      </c>
      <c r="CE869" s="342">
        <v>7.5</v>
      </c>
      <c r="CF869" s="342">
        <v>-9999</v>
      </c>
      <c r="CG869" s="405">
        <v>13</v>
      </c>
    </row>
    <row r="870" spans="1:85" s="13" customFormat="1" x14ac:dyDescent="0.2">
      <c r="A870" s="403" t="s">
        <v>367</v>
      </c>
      <c r="B870" s="404" t="s">
        <v>2132</v>
      </c>
      <c r="C870" s="404" t="s">
        <v>1558</v>
      </c>
      <c r="D870" s="404" t="s">
        <v>1559</v>
      </c>
      <c r="E870" s="404" t="s">
        <v>1555</v>
      </c>
      <c r="F870" s="403">
        <v>7</v>
      </c>
      <c r="G870" s="403">
        <v>2</v>
      </c>
      <c r="H870" s="405">
        <v>15</v>
      </c>
      <c r="I870" s="245" t="s">
        <v>954</v>
      </c>
      <c r="J870" s="441">
        <v>1973</v>
      </c>
      <c r="K870" s="245" t="s">
        <v>1211</v>
      </c>
      <c r="L870" s="441">
        <v>1986</v>
      </c>
      <c r="M870" s="285">
        <f>+T870*G870</f>
        <v>10.8</v>
      </c>
      <c r="N870" s="223">
        <v>-9999</v>
      </c>
      <c r="O870" s="29"/>
      <c r="P870" s="243">
        <v>-9999</v>
      </c>
      <c r="Q870" s="223">
        <v>-9999</v>
      </c>
      <c r="R870" s="243"/>
      <c r="S870" s="223"/>
      <c r="T870" s="406">
        <v>5.4</v>
      </c>
      <c r="U870" s="223">
        <v>-9999</v>
      </c>
      <c r="V870" s="223"/>
      <c r="W870" s="243">
        <v>-9999</v>
      </c>
      <c r="X870" s="223">
        <v>-9999</v>
      </c>
      <c r="Y870" s="223"/>
      <c r="Z870" s="223" t="s">
        <v>67</v>
      </c>
      <c r="AA870" s="441">
        <v>6727</v>
      </c>
      <c r="AB870" s="243">
        <v>-9999</v>
      </c>
      <c r="AC870" s="223">
        <v>-9999</v>
      </c>
      <c r="AD870" s="223">
        <v>144</v>
      </c>
      <c r="AE870" s="404" t="s">
        <v>1959</v>
      </c>
      <c r="AF870" s="223">
        <v>1</v>
      </c>
      <c r="AG870" s="223" t="s">
        <v>1070</v>
      </c>
      <c r="AH870" s="223" t="s">
        <v>876</v>
      </c>
      <c r="AI870" s="223" t="s">
        <v>1066</v>
      </c>
      <c r="AJ870" s="223">
        <v>-9999</v>
      </c>
      <c r="AK870" s="223" t="s">
        <v>626</v>
      </c>
      <c r="AL870" s="223">
        <v>0</v>
      </c>
      <c r="AM870" s="223">
        <v>-9999</v>
      </c>
      <c r="AN870" s="223">
        <v>-9999</v>
      </c>
      <c r="AO870" s="223">
        <v>-9999</v>
      </c>
      <c r="AP870" s="223">
        <v>-9999</v>
      </c>
      <c r="AQ870" s="223" t="s">
        <v>631</v>
      </c>
      <c r="AR870" s="223">
        <v>0</v>
      </c>
      <c r="AS870" s="223">
        <v>-9999</v>
      </c>
      <c r="AT870" s="223">
        <v>-9999</v>
      </c>
      <c r="AU870" s="223">
        <v>0</v>
      </c>
      <c r="AV870" s="223">
        <v>-9999</v>
      </c>
      <c r="AW870" s="223">
        <v>-9999</v>
      </c>
      <c r="AX870" s="223">
        <v>0</v>
      </c>
      <c r="AY870" s="223">
        <v>-9999</v>
      </c>
      <c r="AZ870" s="223">
        <v>-9999</v>
      </c>
      <c r="BA870" s="223">
        <v>-9999</v>
      </c>
      <c r="BB870" s="223" t="s">
        <v>631</v>
      </c>
      <c r="BC870" s="223">
        <v>-9999</v>
      </c>
      <c r="BD870" s="223">
        <v>-9999</v>
      </c>
      <c r="BE870" s="223">
        <v>-9999</v>
      </c>
      <c r="BF870" s="223">
        <v>-9999</v>
      </c>
      <c r="BG870" s="223">
        <v>-9999</v>
      </c>
      <c r="BH870" s="223">
        <v>-9999</v>
      </c>
      <c r="BI870" s="223" t="s">
        <v>84</v>
      </c>
      <c r="BJ870" s="223">
        <v>-9999</v>
      </c>
      <c r="BK870" s="223">
        <v>-9999</v>
      </c>
      <c r="BL870" s="223">
        <v>-9999</v>
      </c>
      <c r="BM870" s="223">
        <v>-9999</v>
      </c>
      <c r="BN870" s="223">
        <v>-9999</v>
      </c>
      <c r="BO870" s="223">
        <v>-9999</v>
      </c>
      <c r="BP870" s="223">
        <v>-9999</v>
      </c>
      <c r="BQ870" s="223">
        <v>-9999</v>
      </c>
      <c r="BR870" s="223">
        <v>-9999</v>
      </c>
      <c r="BS870" s="242">
        <v>-9999</v>
      </c>
      <c r="BT870" s="223">
        <v>-9999</v>
      </c>
      <c r="BU870" s="223">
        <v>-9999</v>
      </c>
      <c r="BV870" s="223">
        <v>-9999</v>
      </c>
      <c r="BW870" s="223"/>
      <c r="BX870" s="223">
        <v>-9999</v>
      </c>
      <c r="BY870" s="223">
        <v>-9999</v>
      </c>
      <c r="BZ870" s="223">
        <v>-9999</v>
      </c>
      <c r="CA870" s="332">
        <v>-9999</v>
      </c>
      <c r="CB870" s="443" t="s">
        <v>1571</v>
      </c>
      <c r="CC870" s="403">
        <v>7</v>
      </c>
      <c r="CD870" s="403">
        <v>2</v>
      </c>
      <c r="CE870" s="342">
        <v>5.4</v>
      </c>
      <c r="CF870" s="342">
        <v>-9999</v>
      </c>
      <c r="CG870" s="405">
        <v>15</v>
      </c>
    </row>
    <row r="871" spans="1:85" s="23" customFormat="1" x14ac:dyDescent="0.2">
      <c r="A871" s="1"/>
      <c r="B871" s="29"/>
      <c r="C871" s="29"/>
      <c r="D871" s="29"/>
      <c r="E871" s="29"/>
      <c r="F871" s="1"/>
      <c r="G871" s="1"/>
      <c r="H871" s="30"/>
      <c r="I871" s="71"/>
      <c r="J871" s="29"/>
      <c r="K871" s="71"/>
      <c r="L871" s="29"/>
      <c r="M871" s="31"/>
      <c r="N871" s="29"/>
      <c r="O871" s="29"/>
      <c r="P871" s="31"/>
      <c r="Q871" s="29"/>
      <c r="R871" s="31"/>
      <c r="S871" s="29"/>
      <c r="T871" s="70"/>
      <c r="U871" s="29"/>
      <c r="V871" s="29"/>
      <c r="W871" s="31"/>
      <c r="X871" s="29"/>
      <c r="Y871" s="29"/>
      <c r="Z871" s="29"/>
      <c r="AA871" s="275"/>
      <c r="AB871" s="31"/>
      <c r="AC871" s="29"/>
      <c r="AD871" s="29"/>
      <c r="AE871" s="29"/>
      <c r="AF871" s="29"/>
      <c r="AG871" s="29"/>
      <c r="AH871" s="29"/>
      <c r="AI871" s="29"/>
      <c r="AJ871" s="29"/>
      <c r="AK871" s="29"/>
      <c r="AL871" s="29"/>
      <c r="AM871" s="29"/>
      <c r="AN871" s="29"/>
      <c r="AO871" s="29"/>
      <c r="AP871" s="29"/>
      <c r="AQ871" s="29"/>
      <c r="AR871" s="29"/>
      <c r="AS871" s="29"/>
      <c r="AT871" s="29"/>
      <c r="AU871" s="29"/>
      <c r="AV871" s="29"/>
      <c r="AW871" s="29"/>
      <c r="AX871" s="29"/>
      <c r="AY871" s="29"/>
      <c r="AZ871" s="29"/>
      <c r="BA871" s="29"/>
      <c r="BB871" s="29"/>
      <c r="BC871" s="29"/>
      <c r="BD871" s="29"/>
      <c r="BE871" s="29"/>
      <c r="BF871" s="29"/>
      <c r="BG871" s="29"/>
      <c r="BH871" s="29"/>
      <c r="BI871" s="29"/>
      <c r="BJ871" s="29"/>
      <c r="BK871" s="29"/>
      <c r="BL871" s="29"/>
      <c r="BM871" s="29"/>
      <c r="BN871" s="29"/>
      <c r="BO871" s="29"/>
      <c r="BP871" s="29"/>
      <c r="BQ871" s="29"/>
      <c r="BR871" s="29"/>
      <c r="BS871" s="30"/>
      <c r="BT871" s="29"/>
      <c r="BU871" s="29"/>
      <c r="BV871" s="29"/>
      <c r="BW871" s="29"/>
      <c r="BX871" s="29"/>
      <c r="BY871" s="29"/>
      <c r="BZ871" s="29"/>
      <c r="CA871" s="98"/>
      <c r="CB871" s="2"/>
      <c r="CC871" s="1"/>
      <c r="CD871" s="1"/>
      <c r="CE871" s="292"/>
      <c r="CF871" s="292"/>
      <c r="CG871" s="30"/>
    </row>
    <row r="872" spans="1:85" s="23" customFormat="1" x14ac:dyDescent="0.2">
      <c r="A872" s="240" t="s">
        <v>366</v>
      </c>
      <c r="B872" s="223" t="s">
        <v>85</v>
      </c>
      <c r="C872" s="223" t="s">
        <v>357</v>
      </c>
      <c r="D872" s="223" t="s">
        <v>619</v>
      </c>
      <c r="E872" s="403" t="s">
        <v>1458</v>
      </c>
      <c r="F872" s="240">
        <v>1</v>
      </c>
      <c r="G872" s="240">
        <v>2</v>
      </c>
      <c r="H872" s="242">
        <v>2</v>
      </c>
      <c r="I872" s="245" t="s">
        <v>954</v>
      </c>
      <c r="J872" s="441">
        <v>1973</v>
      </c>
      <c r="K872" s="245" t="s">
        <v>1211</v>
      </c>
      <c r="L872" s="441">
        <v>1974</v>
      </c>
      <c r="M872" s="243">
        <v>10.3</v>
      </c>
      <c r="N872" s="223">
        <v>-9999</v>
      </c>
      <c r="O872" s="29"/>
      <c r="P872" s="243">
        <v>-9999</v>
      </c>
      <c r="Q872" s="223">
        <v>-9999</v>
      </c>
      <c r="R872" s="243"/>
      <c r="S872" s="223"/>
      <c r="T872" s="244">
        <f>+M872/G872</f>
        <v>5.15</v>
      </c>
      <c r="U872" s="223">
        <v>-9999</v>
      </c>
      <c r="V872" s="223"/>
      <c r="W872" s="243">
        <v>-9999</v>
      </c>
      <c r="X872" s="223">
        <v>-9999</v>
      </c>
      <c r="Y872" s="223"/>
      <c r="Z872" s="223" t="s">
        <v>83</v>
      </c>
      <c r="AA872" s="442">
        <v>26909</v>
      </c>
      <c r="AB872" s="243">
        <v>1</v>
      </c>
      <c r="AC872" s="223">
        <v>-9999</v>
      </c>
      <c r="AD872" s="223">
        <v>100</v>
      </c>
      <c r="AE872" s="404" t="s">
        <v>1960</v>
      </c>
      <c r="AF872" s="223">
        <v>1</v>
      </c>
      <c r="AG872" s="223" t="s">
        <v>1070</v>
      </c>
      <c r="AH872" s="223" t="s">
        <v>876</v>
      </c>
      <c r="AI872" s="223" t="s">
        <v>1066</v>
      </c>
      <c r="AJ872" s="223">
        <v>-9999</v>
      </c>
      <c r="AK872" s="223" t="s">
        <v>626</v>
      </c>
      <c r="AL872" s="223" t="s">
        <v>1068</v>
      </c>
      <c r="AM872" s="223">
        <v>-9999</v>
      </c>
      <c r="AN872" s="223">
        <v>-9999</v>
      </c>
      <c r="AO872" s="223">
        <v>-9999</v>
      </c>
      <c r="AP872" s="223">
        <v>-9999</v>
      </c>
      <c r="AQ872" s="223" t="s">
        <v>631</v>
      </c>
      <c r="AR872" s="223">
        <v>0</v>
      </c>
      <c r="AS872" s="223">
        <v>-9999</v>
      </c>
      <c r="AT872" s="223">
        <v>-9999</v>
      </c>
      <c r="AU872" s="223">
        <v>0</v>
      </c>
      <c r="AV872" s="223">
        <v>-9999</v>
      </c>
      <c r="AW872" s="223">
        <v>-9999</v>
      </c>
      <c r="AX872" s="223">
        <v>0</v>
      </c>
      <c r="AY872" s="223">
        <v>-9999</v>
      </c>
      <c r="AZ872" s="223">
        <v>-9999</v>
      </c>
      <c r="BA872" s="223">
        <v>-9999</v>
      </c>
      <c r="BB872" s="223" t="s">
        <v>631</v>
      </c>
      <c r="BC872" s="223">
        <v>-9999</v>
      </c>
      <c r="BD872" s="223">
        <v>-9999</v>
      </c>
      <c r="BE872" s="223">
        <v>-9999</v>
      </c>
      <c r="BF872" s="223">
        <v>-9999</v>
      </c>
      <c r="BG872" s="223">
        <v>-9999</v>
      </c>
      <c r="BH872" s="223">
        <v>-9999</v>
      </c>
      <c r="BI872" s="223" t="s">
        <v>84</v>
      </c>
      <c r="BJ872" s="223">
        <v>-9999</v>
      </c>
      <c r="BK872" s="223">
        <v>-9999</v>
      </c>
      <c r="BL872" s="223">
        <v>-9999</v>
      </c>
      <c r="BM872" s="223">
        <v>-9999</v>
      </c>
      <c r="BN872" s="223">
        <v>-9999</v>
      </c>
      <c r="BO872" s="223">
        <v>-9999</v>
      </c>
      <c r="BP872" s="223">
        <v>-9999</v>
      </c>
      <c r="BQ872" s="223">
        <v>-9999</v>
      </c>
      <c r="BR872" s="223">
        <v>-9999</v>
      </c>
      <c r="BS872" s="242">
        <v>-9999</v>
      </c>
      <c r="BT872" s="223">
        <v>-9999</v>
      </c>
      <c r="BU872" s="223">
        <v>-9999</v>
      </c>
      <c r="BV872" s="223">
        <v>-9999</v>
      </c>
      <c r="BW872" s="223"/>
      <c r="BX872" s="223">
        <v>-9999</v>
      </c>
      <c r="BY872" s="223">
        <v>-9999</v>
      </c>
      <c r="BZ872" s="223">
        <v>-9999</v>
      </c>
      <c r="CA872" s="332">
        <v>-9999</v>
      </c>
      <c r="CB872" s="443" t="s">
        <v>1569</v>
      </c>
      <c r="CC872" s="240">
        <v>1</v>
      </c>
      <c r="CD872" s="240">
        <v>2</v>
      </c>
      <c r="CE872" s="292">
        <v>5.15</v>
      </c>
      <c r="CF872" s="292">
        <v>-9999</v>
      </c>
      <c r="CG872" s="242">
        <v>2</v>
      </c>
    </row>
    <row r="873" spans="1:85" s="23" customFormat="1" x14ac:dyDescent="0.2">
      <c r="A873" s="240" t="s">
        <v>366</v>
      </c>
      <c r="B873" s="223" t="s">
        <v>85</v>
      </c>
      <c r="C873" s="223" t="s">
        <v>357</v>
      </c>
      <c r="D873" s="223" t="s">
        <v>619</v>
      </c>
      <c r="E873" s="403" t="s">
        <v>1458</v>
      </c>
      <c r="F873" s="240">
        <v>2</v>
      </c>
      <c r="G873" s="240">
        <v>2</v>
      </c>
      <c r="H873" s="242">
        <v>4</v>
      </c>
      <c r="I873" s="245" t="s">
        <v>954</v>
      </c>
      <c r="J873" s="441">
        <v>1973</v>
      </c>
      <c r="K873" s="245" t="s">
        <v>1211</v>
      </c>
      <c r="L873" s="441">
        <v>1976</v>
      </c>
      <c r="M873" s="243">
        <v>11.7</v>
      </c>
      <c r="N873" s="223">
        <v>-9999</v>
      </c>
      <c r="O873" s="29"/>
      <c r="P873" s="243">
        <v>-9999</v>
      </c>
      <c r="Q873" s="223">
        <v>-9999</v>
      </c>
      <c r="R873" s="243"/>
      <c r="S873" s="223"/>
      <c r="T873" s="244">
        <f>+M873/G873</f>
        <v>5.85</v>
      </c>
      <c r="U873" s="223">
        <v>-9999</v>
      </c>
      <c r="V873" s="223"/>
      <c r="W873" s="243">
        <v>-9999</v>
      </c>
      <c r="X873" s="223">
        <v>-9999</v>
      </c>
      <c r="Y873" s="223"/>
      <c r="Z873" s="223" t="s">
        <v>83</v>
      </c>
      <c r="AA873" s="442">
        <v>26909</v>
      </c>
      <c r="AB873" s="243">
        <v>0.88</v>
      </c>
      <c r="AC873" s="223">
        <v>-9999</v>
      </c>
      <c r="AD873" s="223">
        <v>100</v>
      </c>
      <c r="AE873" s="404" t="s">
        <v>1960</v>
      </c>
      <c r="AF873" s="223">
        <v>1</v>
      </c>
      <c r="AG873" s="223" t="s">
        <v>1070</v>
      </c>
      <c r="AH873" s="223" t="s">
        <v>876</v>
      </c>
      <c r="AI873" s="223" t="s">
        <v>1066</v>
      </c>
      <c r="AJ873" s="223">
        <v>-9999</v>
      </c>
      <c r="AK873" s="223" t="s">
        <v>626</v>
      </c>
      <c r="AL873" s="223" t="s">
        <v>1069</v>
      </c>
      <c r="AM873" s="223">
        <v>-9999</v>
      </c>
      <c r="AN873" s="223">
        <v>-9999</v>
      </c>
      <c r="AO873" s="223">
        <v>-9999</v>
      </c>
      <c r="AP873" s="223">
        <v>-9999</v>
      </c>
      <c r="AQ873" s="223" t="s">
        <v>631</v>
      </c>
      <c r="AR873" s="223">
        <v>0</v>
      </c>
      <c r="AS873" s="223">
        <v>-9999</v>
      </c>
      <c r="AT873" s="223">
        <v>-9999</v>
      </c>
      <c r="AU873" s="223">
        <v>0</v>
      </c>
      <c r="AV873" s="223">
        <v>-9999</v>
      </c>
      <c r="AW873" s="223">
        <v>-9999</v>
      </c>
      <c r="AX873" s="223">
        <v>0</v>
      </c>
      <c r="AY873" s="223">
        <v>-9999</v>
      </c>
      <c r="AZ873" s="223">
        <v>-9999</v>
      </c>
      <c r="BA873" s="223">
        <v>-9999</v>
      </c>
      <c r="BB873" s="223" t="s">
        <v>631</v>
      </c>
      <c r="BC873" s="223">
        <v>-9999</v>
      </c>
      <c r="BD873" s="223">
        <v>-9999</v>
      </c>
      <c r="BE873" s="223">
        <v>-9999</v>
      </c>
      <c r="BF873" s="223">
        <v>-9999</v>
      </c>
      <c r="BG873" s="223">
        <v>-9999</v>
      </c>
      <c r="BH873" s="223">
        <v>-9999</v>
      </c>
      <c r="BI873" s="223" t="s">
        <v>84</v>
      </c>
      <c r="BJ873" s="223">
        <v>-9999</v>
      </c>
      <c r="BK873" s="223">
        <v>-9999</v>
      </c>
      <c r="BL873" s="223">
        <v>-9999</v>
      </c>
      <c r="BM873" s="223">
        <v>-9999</v>
      </c>
      <c r="BN873" s="223">
        <v>-9999</v>
      </c>
      <c r="BO873" s="223">
        <v>-9999</v>
      </c>
      <c r="BP873" s="223">
        <v>-9999</v>
      </c>
      <c r="BQ873" s="223">
        <v>-9999</v>
      </c>
      <c r="BR873" s="223">
        <v>-9999</v>
      </c>
      <c r="BS873" s="242">
        <v>-9999</v>
      </c>
      <c r="BT873" s="223">
        <v>-9999</v>
      </c>
      <c r="BU873" s="223">
        <v>-9999</v>
      </c>
      <c r="BV873" s="223">
        <v>-9999</v>
      </c>
      <c r="BW873" s="223"/>
      <c r="BX873" s="223">
        <v>-9999</v>
      </c>
      <c r="BY873" s="223">
        <v>-9999</v>
      </c>
      <c r="BZ873" s="223">
        <v>-9999</v>
      </c>
      <c r="CA873" s="332">
        <v>-9999</v>
      </c>
      <c r="CB873" s="443" t="s">
        <v>1569</v>
      </c>
      <c r="CC873" s="240">
        <v>2</v>
      </c>
      <c r="CD873" s="240">
        <v>2</v>
      </c>
      <c r="CE873" s="292">
        <v>5.85</v>
      </c>
      <c r="CF873" s="292">
        <v>-9999</v>
      </c>
      <c r="CG873" s="242">
        <v>4</v>
      </c>
    </row>
    <row r="874" spans="1:85" s="23" customFormat="1" x14ac:dyDescent="0.2">
      <c r="A874" s="240"/>
      <c r="B874" s="223"/>
      <c r="C874" s="223"/>
      <c r="D874" s="223"/>
      <c r="E874" s="403"/>
      <c r="F874" s="240"/>
      <c r="G874" s="240"/>
      <c r="H874" s="242"/>
      <c r="I874" s="245"/>
      <c r="J874" s="223"/>
      <c r="K874" s="245"/>
      <c r="L874" s="223"/>
      <c r="M874" s="243"/>
      <c r="N874" s="223"/>
      <c r="O874" s="29"/>
      <c r="P874" s="243"/>
      <c r="Q874" s="223"/>
      <c r="R874" s="243"/>
      <c r="S874" s="223"/>
      <c r="T874" s="244"/>
      <c r="U874" s="223"/>
      <c r="V874" s="223"/>
      <c r="W874" s="243"/>
      <c r="X874" s="223"/>
      <c r="Y874" s="223"/>
      <c r="Z874" s="223"/>
      <c r="AA874" s="442"/>
      <c r="AB874" s="243"/>
      <c r="AC874" s="223"/>
      <c r="AD874" s="223"/>
      <c r="AE874" s="223"/>
      <c r="AF874" s="223"/>
      <c r="AG874" s="223"/>
      <c r="AH874" s="223"/>
      <c r="AI874" s="223"/>
      <c r="AJ874" s="223"/>
      <c r="AK874" s="223"/>
      <c r="AL874" s="223"/>
      <c r="AM874" s="223"/>
      <c r="AN874" s="223"/>
      <c r="AO874" s="223"/>
      <c r="AP874" s="223"/>
      <c r="AQ874" s="223"/>
      <c r="AR874" s="223"/>
      <c r="AS874" s="223"/>
      <c r="AT874" s="223"/>
      <c r="AU874" s="223"/>
      <c r="AV874" s="223"/>
      <c r="AW874" s="223"/>
      <c r="AX874" s="223"/>
      <c r="AY874" s="223"/>
      <c r="AZ874" s="223"/>
      <c r="BA874" s="223"/>
      <c r="BB874" s="223"/>
      <c r="BC874" s="223"/>
      <c r="BD874" s="223"/>
      <c r="BE874" s="223"/>
      <c r="BF874" s="223"/>
      <c r="BG874" s="223"/>
      <c r="BH874" s="223"/>
      <c r="BI874" s="223"/>
      <c r="BJ874" s="223"/>
      <c r="BK874" s="223"/>
      <c r="BL874" s="223"/>
      <c r="BM874" s="223"/>
      <c r="BN874" s="223"/>
      <c r="BO874" s="223"/>
      <c r="BP874" s="223"/>
      <c r="BQ874" s="223"/>
      <c r="BR874" s="223"/>
      <c r="BS874" s="242"/>
      <c r="BT874" s="223"/>
      <c r="BU874" s="223"/>
      <c r="BV874" s="223"/>
      <c r="BW874" s="223"/>
      <c r="BX874" s="223"/>
      <c r="BY874" s="223"/>
      <c r="BZ874" s="223"/>
      <c r="CA874" s="332"/>
      <c r="CB874" s="446"/>
      <c r="CC874" s="240"/>
      <c r="CD874" s="240"/>
      <c r="CE874" s="292"/>
      <c r="CF874" s="292"/>
      <c r="CG874" s="242"/>
    </row>
    <row r="875" spans="1:85" s="23" customFormat="1" x14ac:dyDescent="0.2">
      <c r="A875" s="240" t="s">
        <v>366</v>
      </c>
      <c r="B875" s="223" t="s">
        <v>85</v>
      </c>
      <c r="C875" s="223" t="s">
        <v>358</v>
      </c>
      <c r="D875" s="223" t="s">
        <v>619</v>
      </c>
      <c r="E875" s="403" t="s">
        <v>1458</v>
      </c>
      <c r="F875" s="240">
        <v>1</v>
      </c>
      <c r="G875" s="240">
        <v>2</v>
      </c>
      <c r="H875" s="242">
        <v>2</v>
      </c>
      <c r="I875" s="245" t="s">
        <v>954</v>
      </c>
      <c r="J875" s="441">
        <v>1973</v>
      </c>
      <c r="K875" s="245" t="s">
        <v>1211</v>
      </c>
      <c r="L875" s="441">
        <v>1974</v>
      </c>
      <c r="M875" s="243">
        <v>8.1</v>
      </c>
      <c r="N875" s="223">
        <v>-9999</v>
      </c>
      <c r="O875" s="29"/>
      <c r="P875" s="243">
        <v>-9999</v>
      </c>
      <c r="Q875" s="223">
        <v>-9999</v>
      </c>
      <c r="R875" s="243"/>
      <c r="S875" s="223"/>
      <c r="T875" s="244">
        <f>+M875/G875</f>
        <v>4.05</v>
      </c>
      <c r="U875" s="223">
        <v>-9999</v>
      </c>
      <c r="V875" s="223"/>
      <c r="W875" s="243">
        <v>-9999</v>
      </c>
      <c r="X875" s="223">
        <v>-9999</v>
      </c>
      <c r="Y875" s="223"/>
      <c r="Z875" s="404" t="s">
        <v>1701</v>
      </c>
      <c r="AA875" s="442">
        <v>13455</v>
      </c>
      <c r="AB875" s="243">
        <v>1</v>
      </c>
      <c r="AC875" s="223">
        <v>-9999</v>
      </c>
      <c r="AD875" s="223">
        <v>100</v>
      </c>
      <c r="AE875" s="404" t="s">
        <v>1961</v>
      </c>
      <c r="AF875" s="223">
        <v>1</v>
      </c>
      <c r="AG875" s="223" t="s">
        <v>1070</v>
      </c>
      <c r="AH875" s="223" t="s">
        <v>876</v>
      </c>
      <c r="AI875" s="223" t="s">
        <v>1066</v>
      </c>
      <c r="AJ875" s="223">
        <v>-9999</v>
      </c>
      <c r="AK875" s="223" t="s">
        <v>626</v>
      </c>
      <c r="AL875" s="223" t="s">
        <v>1068</v>
      </c>
      <c r="AM875" s="223">
        <v>-9999</v>
      </c>
      <c r="AN875" s="223">
        <v>-9999</v>
      </c>
      <c r="AO875" s="223">
        <v>-9999</v>
      </c>
      <c r="AP875" s="223">
        <v>-9999</v>
      </c>
      <c r="AQ875" s="223" t="s">
        <v>631</v>
      </c>
      <c r="AR875" s="223">
        <v>0</v>
      </c>
      <c r="AS875" s="223">
        <v>-9999</v>
      </c>
      <c r="AT875" s="223">
        <v>-9999</v>
      </c>
      <c r="AU875" s="223">
        <v>0</v>
      </c>
      <c r="AV875" s="223">
        <v>-9999</v>
      </c>
      <c r="AW875" s="223">
        <v>-9999</v>
      </c>
      <c r="AX875" s="223">
        <v>0</v>
      </c>
      <c r="AY875" s="223">
        <v>-9999</v>
      </c>
      <c r="AZ875" s="223">
        <v>-9999</v>
      </c>
      <c r="BA875" s="223">
        <v>-9999</v>
      </c>
      <c r="BB875" s="223" t="s">
        <v>631</v>
      </c>
      <c r="BC875" s="223">
        <v>-9999</v>
      </c>
      <c r="BD875" s="223">
        <v>-9999</v>
      </c>
      <c r="BE875" s="223">
        <v>-9999</v>
      </c>
      <c r="BF875" s="223">
        <v>-9999</v>
      </c>
      <c r="BG875" s="223">
        <v>-9999</v>
      </c>
      <c r="BH875" s="223">
        <v>-9999</v>
      </c>
      <c r="BI875" s="223" t="s">
        <v>84</v>
      </c>
      <c r="BJ875" s="223">
        <v>-9999</v>
      </c>
      <c r="BK875" s="223">
        <v>-9999</v>
      </c>
      <c r="BL875" s="223">
        <v>-9999</v>
      </c>
      <c r="BM875" s="223">
        <v>-9999</v>
      </c>
      <c r="BN875" s="223">
        <v>-9999</v>
      </c>
      <c r="BO875" s="223">
        <v>-9999</v>
      </c>
      <c r="BP875" s="223">
        <v>-9999</v>
      </c>
      <c r="BQ875" s="223">
        <v>-9999</v>
      </c>
      <c r="BR875" s="223">
        <v>-9999</v>
      </c>
      <c r="BS875" s="242">
        <v>-9999</v>
      </c>
      <c r="BT875" s="223">
        <v>-9999</v>
      </c>
      <c r="BU875" s="223">
        <v>-9999</v>
      </c>
      <c r="BV875" s="223">
        <v>-9999</v>
      </c>
      <c r="BW875" s="223"/>
      <c r="BX875" s="223">
        <v>-9999</v>
      </c>
      <c r="BY875" s="223">
        <v>-9999</v>
      </c>
      <c r="BZ875" s="223">
        <v>-9999</v>
      </c>
      <c r="CA875" s="332">
        <v>-9999</v>
      </c>
      <c r="CB875" s="443" t="s">
        <v>1569</v>
      </c>
      <c r="CC875" s="240">
        <v>1</v>
      </c>
      <c r="CD875" s="240">
        <v>2</v>
      </c>
      <c r="CE875" s="292">
        <v>4.05</v>
      </c>
      <c r="CF875" s="292">
        <v>-9999</v>
      </c>
      <c r="CG875" s="242">
        <v>2</v>
      </c>
    </row>
    <row r="876" spans="1:85" s="23" customFormat="1" x14ac:dyDescent="0.2">
      <c r="A876" s="240" t="s">
        <v>366</v>
      </c>
      <c r="B876" s="223" t="s">
        <v>85</v>
      </c>
      <c r="C876" s="223" t="s">
        <v>358</v>
      </c>
      <c r="D876" s="223" t="s">
        <v>619</v>
      </c>
      <c r="E876" s="403" t="s">
        <v>1458</v>
      </c>
      <c r="F876" s="240">
        <v>2</v>
      </c>
      <c r="G876" s="240">
        <v>2</v>
      </c>
      <c r="H876" s="242">
        <v>4</v>
      </c>
      <c r="I876" s="245" t="s">
        <v>954</v>
      </c>
      <c r="J876" s="441">
        <v>1973</v>
      </c>
      <c r="K876" s="245" t="s">
        <v>1211</v>
      </c>
      <c r="L876" s="441">
        <v>1976</v>
      </c>
      <c r="M876" s="243">
        <v>12.6</v>
      </c>
      <c r="N876" s="223">
        <v>-9999</v>
      </c>
      <c r="O876" s="29"/>
      <c r="P876" s="243">
        <v>-9999</v>
      </c>
      <c r="Q876" s="223">
        <v>-9999</v>
      </c>
      <c r="R876" s="243"/>
      <c r="S876" s="223"/>
      <c r="T876" s="244">
        <f>+M876/G876</f>
        <v>6.3</v>
      </c>
      <c r="U876" s="223">
        <v>-9999</v>
      </c>
      <c r="V876" s="223"/>
      <c r="W876" s="243">
        <v>-9999</v>
      </c>
      <c r="X876" s="223">
        <v>-9999</v>
      </c>
      <c r="Y876" s="223"/>
      <c r="Z876" s="404" t="s">
        <v>1701</v>
      </c>
      <c r="AA876" s="442">
        <v>13455</v>
      </c>
      <c r="AB876" s="243">
        <v>0.85</v>
      </c>
      <c r="AC876" s="223">
        <v>-9999</v>
      </c>
      <c r="AD876" s="223">
        <v>100</v>
      </c>
      <c r="AE876" s="404" t="s">
        <v>1961</v>
      </c>
      <c r="AF876" s="223">
        <v>1</v>
      </c>
      <c r="AG876" s="223" t="s">
        <v>1070</v>
      </c>
      <c r="AH876" s="223" t="s">
        <v>876</v>
      </c>
      <c r="AI876" s="223" t="s">
        <v>1066</v>
      </c>
      <c r="AJ876" s="223">
        <v>-9999</v>
      </c>
      <c r="AK876" s="223" t="s">
        <v>626</v>
      </c>
      <c r="AL876" s="223" t="s">
        <v>1069</v>
      </c>
      <c r="AM876" s="223">
        <v>-9999</v>
      </c>
      <c r="AN876" s="223">
        <v>-9999</v>
      </c>
      <c r="AO876" s="223">
        <v>-9999</v>
      </c>
      <c r="AP876" s="223">
        <v>-9999</v>
      </c>
      <c r="AQ876" s="223" t="s">
        <v>631</v>
      </c>
      <c r="AR876" s="223">
        <v>0</v>
      </c>
      <c r="AS876" s="223">
        <v>-9999</v>
      </c>
      <c r="AT876" s="223">
        <v>-9999</v>
      </c>
      <c r="AU876" s="223">
        <v>0</v>
      </c>
      <c r="AV876" s="223">
        <v>-9999</v>
      </c>
      <c r="AW876" s="223">
        <v>-9999</v>
      </c>
      <c r="AX876" s="223">
        <v>0</v>
      </c>
      <c r="AY876" s="223">
        <v>-9999</v>
      </c>
      <c r="AZ876" s="223">
        <v>-9999</v>
      </c>
      <c r="BA876" s="223">
        <v>-9999</v>
      </c>
      <c r="BB876" s="223" t="s">
        <v>631</v>
      </c>
      <c r="BC876" s="223">
        <v>-9999</v>
      </c>
      <c r="BD876" s="223">
        <v>-9999</v>
      </c>
      <c r="BE876" s="223">
        <v>-9999</v>
      </c>
      <c r="BF876" s="223">
        <v>-9999</v>
      </c>
      <c r="BG876" s="223">
        <v>-9999</v>
      </c>
      <c r="BH876" s="223">
        <v>-9999</v>
      </c>
      <c r="BI876" s="223" t="s">
        <v>84</v>
      </c>
      <c r="BJ876" s="223">
        <v>-9999</v>
      </c>
      <c r="BK876" s="223">
        <v>-9999</v>
      </c>
      <c r="BL876" s="223">
        <v>-9999</v>
      </c>
      <c r="BM876" s="223">
        <v>-9999</v>
      </c>
      <c r="BN876" s="223">
        <v>-9999</v>
      </c>
      <c r="BO876" s="223">
        <v>-9999</v>
      </c>
      <c r="BP876" s="223">
        <v>-9999</v>
      </c>
      <c r="BQ876" s="223">
        <v>-9999</v>
      </c>
      <c r="BR876" s="223">
        <v>-9999</v>
      </c>
      <c r="BS876" s="242">
        <v>-9999</v>
      </c>
      <c r="BT876" s="223">
        <v>-9999</v>
      </c>
      <c r="BU876" s="223">
        <v>-9999</v>
      </c>
      <c r="BV876" s="223">
        <v>-9999</v>
      </c>
      <c r="BW876" s="223"/>
      <c r="BX876" s="223">
        <v>-9999</v>
      </c>
      <c r="BY876" s="223">
        <v>-9999</v>
      </c>
      <c r="BZ876" s="223">
        <v>-9999</v>
      </c>
      <c r="CA876" s="332">
        <v>-9999</v>
      </c>
      <c r="CB876" s="443" t="s">
        <v>1569</v>
      </c>
      <c r="CC876" s="240">
        <v>2</v>
      </c>
      <c r="CD876" s="240">
        <v>2</v>
      </c>
      <c r="CE876" s="292">
        <v>6.3</v>
      </c>
      <c r="CF876" s="292">
        <v>-9999</v>
      </c>
      <c r="CG876" s="242">
        <v>4</v>
      </c>
    </row>
    <row r="877" spans="1:85" s="23" customFormat="1" x14ac:dyDescent="0.2">
      <c r="A877" s="240"/>
      <c r="B877" s="223"/>
      <c r="C877" s="223"/>
      <c r="D877" s="223"/>
      <c r="E877" s="403"/>
      <c r="F877" s="240"/>
      <c r="G877" s="240"/>
      <c r="H877" s="242"/>
      <c r="I877" s="245"/>
      <c r="J877" s="223"/>
      <c r="K877" s="245"/>
      <c r="L877" s="223"/>
      <c r="M877" s="243"/>
      <c r="N877" s="223"/>
      <c r="O877" s="29"/>
      <c r="P877" s="243"/>
      <c r="Q877" s="223"/>
      <c r="R877" s="243"/>
      <c r="S877" s="223"/>
      <c r="T877" s="244"/>
      <c r="U877" s="223"/>
      <c r="V877" s="223"/>
      <c r="W877" s="243"/>
      <c r="X877" s="223"/>
      <c r="Y877" s="223"/>
      <c r="Z877" s="223"/>
      <c r="AA877" s="442"/>
      <c r="AB877" s="243"/>
      <c r="AC877" s="223"/>
      <c r="AD877" s="223"/>
      <c r="AE877" s="223"/>
      <c r="AF877" s="223"/>
      <c r="AG877" s="223"/>
      <c r="AH877" s="223"/>
      <c r="AI877" s="223"/>
      <c r="AJ877" s="223"/>
      <c r="AK877" s="223"/>
      <c r="AL877" s="223"/>
      <c r="AM877" s="223"/>
      <c r="AN877" s="223"/>
      <c r="AO877" s="223"/>
      <c r="AP877" s="223"/>
      <c r="AQ877" s="223"/>
      <c r="AR877" s="223"/>
      <c r="AS877" s="223"/>
      <c r="AT877" s="223"/>
      <c r="AU877" s="223"/>
      <c r="AV877" s="223"/>
      <c r="AW877" s="223"/>
      <c r="AX877" s="223"/>
      <c r="AY877" s="223"/>
      <c r="AZ877" s="223"/>
      <c r="BA877" s="223"/>
      <c r="BB877" s="223"/>
      <c r="BC877" s="223"/>
      <c r="BD877" s="223"/>
      <c r="BE877" s="223"/>
      <c r="BF877" s="223"/>
      <c r="BG877" s="223"/>
      <c r="BH877" s="223"/>
      <c r="BI877" s="223"/>
      <c r="BJ877" s="223"/>
      <c r="BK877" s="223"/>
      <c r="BL877" s="223"/>
      <c r="BM877" s="223"/>
      <c r="BN877" s="223"/>
      <c r="BO877" s="223"/>
      <c r="BP877" s="223"/>
      <c r="BQ877" s="223"/>
      <c r="BR877" s="223"/>
      <c r="BS877" s="242"/>
      <c r="BT877" s="223"/>
      <c r="BU877" s="223"/>
      <c r="BV877" s="223"/>
      <c r="BW877" s="223"/>
      <c r="BX877" s="223"/>
      <c r="BY877" s="223"/>
      <c r="BZ877" s="223"/>
      <c r="CA877" s="332"/>
      <c r="CB877" s="446"/>
      <c r="CC877" s="240"/>
      <c r="CD877" s="240"/>
      <c r="CE877" s="292"/>
      <c r="CF877" s="292"/>
      <c r="CG877" s="242"/>
    </row>
    <row r="878" spans="1:85" s="23" customFormat="1" x14ac:dyDescent="0.2">
      <c r="A878" s="240" t="s">
        <v>366</v>
      </c>
      <c r="B878" s="223" t="s">
        <v>85</v>
      </c>
      <c r="C878" s="223" t="s">
        <v>359</v>
      </c>
      <c r="D878" s="223" t="s">
        <v>619</v>
      </c>
      <c r="E878" s="403" t="s">
        <v>1458</v>
      </c>
      <c r="F878" s="240">
        <v>1</v>
      </c>
      <c r="G878" s="240">
        <v>2</v>
      </c>
      <c r="H878" s="242">
        <v>2</v>
      </c>
      <c r="I878" s="245" t="s">
        <v>954</v>
      </c>
      <c r="J878" s="441">
        <v>1973</v>
      </c>
      <c r="K878" s="245" t="s">
        <v>1211</v>
      </c>
      <c r="L878" s="441">
        <v>1974</v>
      </c>
      <c r="M878" s="243">
        <v>7.4</v>
      </c>
      <c r="N878" s="223">
        <v>-9999</v>
      </c>
      <c r="O878" s="29"/>
      <c r="P878" s="243">
        <v>-9999</v>
      </c>
      <c r="Q878" s="223">
        <v>-9999</v>
      </c>
      <c r="R878" s="243"/>
      <c r="S878" s="223"/>
      <c r="T878" s="244">
        <f>+M878/G878</f>
        <v>3.7</v>
      </c>
      <c r="U878" s="223">
        <v>-9999</v>
      </c>
      <c r="V878" s="223"/>
      <c r="W878" s="243">
        <v>-9999</v>
      </c>
      <c r="X878" s="223">
        <v>-9999</v>
      </c>
      <c r="Y878" s="223"/>
      <c r="Z878" s="223" t="s">
        <v>67</v>
      </c>
      <c r="AA878" s="441">
        <v>6727</v>
      </c>
      <c r="AB878" s="243">
        <v>1</v>
      </c>
      <c r="AC878" s="223">
        <v>-9999</v>
      </c>
      <c r="AD878" s="223">
        <v>100</v>
      </c>
      <c r="AE878" s="404" t="s">
        <v>1959</v>
      </c>
      <c r="AF878" s="223">
        <v>1</v>
      </c>
      <c r="AG878" s="223" t="s">
        <v>1070</v>
      </c>
      <c r="AH878" s="223" t="s">
        <v>876</v>
      </c>
      <c r="AI878" s="223" t="s">
        <v>1066</v>
      </c>
      <c r="AJ878" s="223">
        <v>-9999</v>
      </c>
      <c r="AK878" s="223" t="s">
        <v>626</v>
      </c>
      <c r="AL878" s="223" t="s">
        <v>1068</v>
      </c>
      <c r="AM878" s="223">
        <v>-9999</v>
      </c>
      <c r="AN878" s="223">
        <v>-9999</v>
      </c>
      <c r="AO878" s="223">
        <v>-9999</v>
      </c>
      <c r="AP878" s="223">
        <v>-9999</v>
      </c>
      <c r="AQ878" s="223" t="s">
        <v>631</v>
      </c>
      <c r="AR878" s="223">
        <v>0</v>
      </c>
      <c r="AS878" s="223">
        <v>-9999</v>
      </c>
      <c r="AT878" s="223">
        <v>-9999</v>
      </c>
      <c r="AU878" s="223">
        <v>0</v>
      </c>
      <c r="AV878" s="223">
        <v>-9999</v>
      </c>
      <c r="AW878" s="223">
        <v>-9999</v>
      </c>
      <c r="AX878" s="223">
        <v>0</v>
      </c>
      <c r="AY878" s="223">
        <v>-9999</v>
      </c>
      <c r="AZ878" s="223">
        <v>-9999</v>
      </c>
      <c r="BA878" s="223">
        <v>-9999</v>
      </c>
      <c r="BB878" s="223" t="s">
        <v>631</v>
      </c>
      <c r="BC878" s="223">
        <v>-9999</v>
      </c>
      <c r="BD878" s="223">
        <v>-9999</v>
      </c>
      <c r="BE878" s="223">
        <v>-9999</v>
      </c>
      <c r="BF878" s="223">
        <v>-9999</v>
      </c>
      <c r="BG878" s="223">
        <v>-9999</v>
      </c>
      <c r="BH878" s="223">
        <v>-9999</v>
      </c>
      <c r="BI878" s="223" t="s">
        <v>84</v>
      </c>
      <c r="BJ878" s="223">
        <v>-9999</v>
      </c>
      <c r="BK878" s="223">
        <v>-9999</v>
      </c>
      <c r="BL878" s="223">
        <v>-9999</v>
      </c>
      <c r="BM878" s="223">
        <v>-9999</v>
      </c>
      <c r="BN878" s="223">
        <v>-9999</v>
      </c>
      <c r="BO878" s="223">
        <v>-9999</v>
      </c>
      <c r="BP878" s="223">
        <v>-9999</v>
      </c>
      <c r="BQ878" s="223">
        <v>-9999</v>
      </c>
      <c r="BR878" s="223">
        <v>-9999</v>
      </c>
      <c r="BS878" s="242">
        <v>-9999</v>
      </c>
      <c r="BT878" s="223">
        <v>-9999</v>
      </c>
      <c r="BU878" s="223">
        <v>-9999</v>
      </c>
      <c r="BV878" s="223">
        <v>-9999</v>
      </c>
      <c r="BW878" s="223"/>
      <c r="BX878" s="223">
        <v>-9999</v>
      </c>
      <c r="BY878" s="223">
        <v>-9999</v>
      </c>
      <c r="BZ878" s="223">
        <v>-9999</v>
      </c>
      <c r="CA878" s="332">
        <v>-9999</v>
      </c>
      <c r="CB878" s="443" t="s">
        <v>1569</v>
      </c>
      <c r="CC878" s="240">
        <v>1</v>
      </c>
      <c r="CD878" s="240">
        <v>2</v>
      </c>
      <c r="CE878" s="292">
        <v>3.7</v>
      </c>
      <c r="CF878" s="292">
        <v>-9999</v>
      </c>
      <c r="CG878" s="242">
        <v>2</v>
      </c>
    </row>
    <row r="879" spans="1:85" s="23" customFormat="1" x14ac:dyDescent="0.2">
      <c r="A879" s="240" t="s">
        <v>366</v>
      </c>
      <c r="B879" s="223" t="s">
        <v>85</v>
      </c>
      <c r="C879" s="223" t="s">
        <v>359</v>
      </c>
      <c r="D879" s="223" t="s">
        <v>619</v>
      </c>
      <c r="E879" s="403" t="s">
        <v>1458</v>
      </c>
      <c r="F879" s="240">
        <v>2</v>
      </c>
      <c r="G879" s="240">
        <v>2</v>
      </c>
      <c r="H879" s="242">
        <v>4</v>
      </c>
      <c r="I879" s="245" t="s">
        <v>954</v>
      </c>
      <c r="J879" s="441">
        <v>1973</v>
      </c>
      <c r="K879" s="245" t="s">
        <v>1211</v>
      </c>
      <c r="L879" s="441">
        <v>1976</v>
      </c>
      <c r="M879" s="243">
        <v>13.7</v>
      </c>
      <c r="N879" s="223">
        <v>-9999</v>
      </c>
      <c r="O879" s="29"/>
      <c r="P879" s="243">
        <v>-9999</v>
      </c>
      <c r="Q879" s="223">
        <v>-9999</v>
      </c>
      <c r="R879" s="243"/>
      <c r="S879" s="223"/>
      <c r="T879" s="244">
        <f>+M879/G879</f>
        <v>6.85</v>
      </c>
      <c r="U879" s="223">
        <v>-9999</v>
      </c>
      <c r="V879" s="223"/>
      <c r="W879" s="243">
        <v>-9999</v>
      </c>
      <c r="X879" s="223">
        <v>-9999</v>
      </c>
      <c r="Y879" s="223"/>
      <c r="Z879" s="223" t="s">
        <v>67</v>
      </c>
      <c r="AA879" s="441">
        <v>6727</v>
      </c>
      <c r="AB879" s="243">
        <v>0.93</v>
      </c>
      <c r="AC879" s="223">
        <v>-9999</v>
      </c>
      <c r="AD879" s="223">
        <v>100</v>
      </c>
      <c r="AE879" s="404" t="s">
        <v>1959</v>
      </c>
      <c r="AF879" s="223">
        <v>1</v>
      </c>
      <c r="AG879" s="223" t="s">
        <v>1070</v>
      </c>
      <c r="AH879" s="223" t="s">
        <v>876</v>
      </c>
      <c r="AI879" s="223" t="s">
        <v>1066</v>
      </c>
      <c r="AJ879" s="223">
        <v>-9999</v>
      </c>
      <c r="AK879" s="223" t="s">
        <v>626</v>
      </c>
      <c r="AL879" s="223" t="s">
        <v>1069</v>
      </c>
      <c r="AM879" s="223">
        <v>-9999</v>
      </c>
      <c r="AN879" s="223">
        <v>-9999</v>
      </c>
      <c r="AO879" s="223">
        <v>-9999</v>
      </c>
      <c r="AP879" s="223">
        <v>-9999</v>
      </c>
      <c r="AQ879" s="223" t="s">
        <v>631</v>
      </c>
      <c r="AR879" s="223">
        <v>0</v>
      </c>
      <c r="AS879" s="223">
        <v>-9999</v>
      </c>
      <c r="AT879" s="223">
        <v>-9999</v>
      </c>
      <c r="AU879" s="223">
        <v>0</v>
      </c>
      <c r="AV879" s="223">
        <v>-9999</v>
      </c>
      <c r="AW879" s="223">
        <v>-9999</v>
      </c>
      <c r="AX879" s="223">
        <v>0</v>
      </c>
      <c r="AY879" s="223">
        <v>-9999</v>
      </c>
      <c r="AZ879" s="223">
        <v>-9999</v>
      </c>
      <c r="BA879" s="223">
        <v>-9999</v>
      </c>
      <c r="BB879" s="223" t="s">
        <v>631</v>
      </c>
      <c r="BC879" s="223">
        <v>-9999</v>
      </c>
      <c r="BD879" s="223">
        <v>-9999</v>
      </c>
      <c r="BE879" s="223">
        <v>-9999</v>
      </c>
      <c r="BF879" s="223">
        <v>-9999</v>
      </c>
      <c r="BG879" s="223">
        <v>-9999</v>
      </c>
      <c r="BH879" s="223">
        <v>-9999</v>
      </c>
      <c r="BI879" s="223" t="s">
        <v>84</v>
      </c>
      <c r="BJ879" s="223">
        <v>-9999</v>
      </c>
      <c r="BK879" s="223">
        <v>-9999</v>
      </c>
      <c r="BL879" s="223">
        <v>-9999</v>
      </c>
      <c r="BM879" s="223">
        <v>-9999</v>
      </c>
      <c r="BN879" s="223">
        <v>-9999</v>
      </c>
      <c r="BO879" s="223">
        <v>-9999</v>
      </c>
      <c r="BP879" s="223">
        <v>-9999</v>
      </c>
      <c r="BQ879" s="223">
        <v>-9999</v>
      </c>
      <c r="BR879" s="223">
        <v>-9999</v>
      </c>
      <c r="BS879" s="242">
        <v>-9999</v>
      </c>
      <c r="BT879" s="223">
        <v>-9999</v>
      </c>
      <c r="BU879" s="223">
        <v>-9999</v>
      </c>
      <c r="BV879" s="223">
        <v>-9999</v>
      </c>
      <c r="BW879" s="223"/>
      <c r="BX879" s="223">
        <v>-9999</v>
      </c>
      <c r="BY879" s="223">
        <v>-9999</v>
      </c>
      <c r="BZ879" s="223">
        <v>-9999</v>
      </c>
      <c r="CA879" s="332">
        <v>-9999</v>
      </c>
      <c r="CB879" s="443" t="s">
        <v>1569</v>
      </c>
      <c r="CC879" s="240">
        <v>2</v>
      </c>
      <c r="CD879" s="240">
        <v>2</v>
      </c>
      <c r="CE879" s="292">
        <v>6.85</v>
      </c>
      <c r="CF879" s="292">
        <v>-9999</v>
      </c>
      <c r="CG879" s="242">
        <v>4</v>
      </c>
    </row>
    <row r="880" spans="1:85" s="23" customFormat="1" x14ac:dyDescent="0.2">
      <c r="A880" s="240"/>
      <c r="B880" s="223"/>
      <c r="C880" s="223"/>
      <c r="D880" s="223"/>
      <c r="E880" s="240"/>
      <c r="F880" s="240"/>
      <c r="G880" s="240"/>
      <c r="H880" s="242"/>
      <c r="I880" s="245"/>
      <c r="J880" s="223"/>
      <c r="K880" s="245"/>
      <c r="L880" s="223"/>
      <c r="M880" s="243"/>
      <c r="N880" s="223"/>
      <c r="O880" s="29"/>
      <c r="P880" s="243"/>
      <c r="Q880" s="223"/>
      <c r="R880" s="243"/>
      <c r="S880" s="223"/>
      <c r="T880" s="244"/>
      <c r="U880" s="223"/>
      <c r="V880" s="223"/>
      <c r="W880" s="243"/>
      <c r="X880" s="223"/>
      <c r="Y880" s="223"/>
      <c r="Z880" s="223"/>
      <c r="AA880" s="441"/>
      <c r="AB880" s="243"/>
      <c r="AC880" s="223"/>
      <c r="AD880" s="223"/>
      <c r="AE880" s="223"/>
      <c r="AF880" s="223"/>
      <c r="AG880" s="223"/>
      <c r="AH880" s="223"/>
      <c r="AI880" s="223"/>
      <c r="AJ880" s="223"/>
      <c r="AK880" s="223"/>
      <c r="AL880" s="223"/>
      <c r="AM880" s="223"/>
      <c r="AN880" s="223"/>
      <c r="AO880" s="223"/>
      <c r="AP880" s="223"/>
      <c r="AQ880" s="223"/>
      <c r="AR880" s="223"/>
      <c r="AS880" s="223"/>
      <c r="AT880" s="223"/>
      <c r="AU880" s="223"/>
      <c r="AV880" s="223"/>
      <c r="AW880" s="223"/>
      <c r="AX880" s="223"/>
      <c r="AY880" s="223"/>
      <c r="AZ880" s="223"/>
      <c r="BA880" s="223"/>
      <c r="BB880" s="223"/>
      <c r="BC880" s="223"/>
      <c r="BD880" s="223"/>
      <c r="BE880" s="223"/>
      <c r="BF880" s="223"/>
      <c r="BG880" s="223"/>
      <c r="BH880" s="223"/>
      <c r="BI880" s="223"/>
      <c r="BJ880" s="223"/>
      <c r="BK880" s="223"/>
      <c r="BL880" s="223"/>
      <c r="BM880" s="223"/>
      <c r="BN880" s="223"/>
      <c r="BO880" s="223"/>
      <c r="BP880" s="223"/>
      <c r="BQ880" s="223"/>
      <c r="BR880" s="223"/>
      <c r="BS880" s="242"/>
      <c r="BT880" s="223"/>
      <c r="BU880" s="223"/>
      <c r="BV880" s="223"/>
      <c r="BW880" s="223"/>
      <c r="BX880" s="223"/>
      <c r="BY880" s="223"/>
      <c r="BZ880" s="223"/>
      <c r="CA880" s="332"/>
      <c r="CB880" s="446"/>
      <c r="CC880" s="240"/>
      <c r="CD880" s="240"/>
      <c r="CE880" s="292"/>
      <c r="CF880" s="292"/>
      <c r="CG880" s="242"/>
    </row>
    <row r="881" spans="1:85" s="23" customFormat="1" x14ac:dyDescent="0.2">
      <c r="A881" s="240" t="s">
        <v>366</v>
      </c>
      <c r="B881" s="223" t="s">
        <v>85</v>
      </c>
      <c r="C881" s="223" t="s">
        <v>360</v>
      </c>
      <c r="D881" s="223" t="s">
        <v>619</v>
      </c>
      <c r="E881" s="403" t="s">
        <v>1459</v>
      </c>
      <c r="F881" s="240">
        <v>1</v>
      </c>
      <c r="G881" s="240">
        <v>2</v>
      </c>
      <c r="H881" s="242">
        <v>2</v>
      </c>
      <c r="I881" s="245" t="s">
        <v>954</v>
      </c>
      <c r="J881" s="441">
        <v>1973</v>
      </c>
      <c r="K881" s="245" t="s">
        <v>1211</v>
      </c>
      <c r="L881" s="441">
        <v>1974</v>
      </c>
      <c r="M881" s="243">
        <v>15.7</v>
      </c>
      <c r="N881" s="223">
        <v>-9999</v>
      </c>
      <c r="O881" s="29"/>
      <c r="P881" s="243">
        <v>-9999</v>
      </c>
      <c r="Q881" s="223">
        <v>-9999</v>
      </c>
      <c r="R881" s="243"/>
      <c r="S881" s="223"/>
      <c r="T881" s="244">
        <f>+M881/G881</f>
        <v>7.85</v>
      </c>
      <c r="U881" s="223">
        <v>-9999</v>
      </c>
      <c r="V881" s="223"/>
      <c r="W881" s="243">
        <v>-9999</v>
      </c>
      <c r="X881" s="223">
        <v>-9999</v>
      </c>
      <c r="Y881" s="223"/>
      <c r="Z881" s="223" t="s">
        <v>83</v>
      </c>
      <c r="AA881" s="442">
        <v>26909</v>
      </c>
      <c r="AB881" s="243">
        <v>0.88</v>
      </c>
      <c r="AC881" s="223">
        <v>-9999</v>
      </c>
      <c r="AD881" s="223">
        <v>100</v>
      </c>
      <c r="AE881" s="404" t="s">
        <v>1960</v>
      </c>
      <c r="AF881" s="223">
        <v>1</v>
      </c>
      <c r="AG881" s="223" t="s">
        <v>1070</v>
      </c>
      <c r="AH881" s="223" t="s">
        <v>876</v>
      </c>
      <c r="AI881" s="223" t="s">
        <v>1066</v>
      </c>
      <c r="AJ881" s="223">
        <v>-9999</v>
      </c>
      <c r="AK881" s="223" t="s">
        <v>626</v>
      </c>
      <c r="AL881" s="223" t="s">
        <v>1068</v>
      </c>
      <c r="AM881" s="223">
        <v>-9999</v>
      </c>
      <c r="AN881" s="223">
        <v>-9999</v>
      </c>
      <c r="AO881" s="223">
        <v>-9999</v>
      </c>
      <c r="AP881" s="223">
        <v>-9999</v>
      </c>
      <c r="AQ881" s="223" t="s">
        <v>631</v>
      </c>
      <c r="AR881" s="223">
        <v>0</v>
      </c>
      <c r="AS881" s="223">
        <v>-9999</v>
      </c>
      <c r="AT881" s="223">
        <v>-9999</v>
      </c>
      <c r="AU881" s="223">
        <v>0</v>
      </c>
      <c r="AV881" s="223">
        <v>-9999</v>
      </c>
      <c r="AW881" s="223">
        <v>-9999</v>
      </c>
      <c r="AX881" s="223">
        <v>0</v>
      </c>
      <c r="AY881" s="223">
        <v>-9999</v>
      </c>
      <c r="AZ881" s="223">
        <v>-9999</v>
      </c>
      <c r="BA881" s="223">
        <v>-9999</v>
      </c>
      <c r="BB881" s="223" t="s">
        <v>631</v>
      </c>
      <c r="BC881" s="223">
        <v>-9999</v>
      </c>
      <c r="BD881" s="223">
        <v>-9999</v>
      </c>
      <c r="BE881" s="223">
        <v>-9999</v>
      </c>
      <c r="BF881" s="223">
        <v>-9999</v>
      </c>
      <c r="BG881" s="223">
        <v>-9999</v>
      </c>
      <c r="BH881" s="223">
        <v>-9999</v>
      </c>
      <c r="BI881" s="223" t="s">
        <v>84</v>
      </c>
      <c r="BJ881" s="223">
        <v>-9999</v>
      </c>
      <c r="BK881" s="223">
        <v>-9999</v>
      </c>
      <c r="BL881" s="223">
        <v>-9999</v>
      </c>
      <c r="BM881" s="223">
        <v>-9999</v>
      </c>
      <c r="BN881" s="223">
        <v>-9999</v>
      </c>
      <c r="BO881" s="223">
        <v>-9999</v>
      </c>
      <c r="BP881" s="223">
        <v>-9999</v>
      </c>
      <c r="BQ881" s="223">
        <v>-9999</v>
      </c>
      <c r="BR881" s="223">
        <v>-9999</v>
      </c>
      <c r="BS881" s="242">
        <v>-9999</v>
      </c>
      <c r="BT881" s="223">
        <v>-9999</v>
      </c>
      <c r="BU881" s="223">
        <v>-9999</v>
      </c>
      <c r="BV881" s="223">
        <v>-9999</v>
      </c>
      <c r="BW881" s="223"/>
      <c r="BX881" s="223">
        <v>-9999</v>
      </c>
      <c r="BY881" s="223">
        <v>-9999</v>
      </c>
      <c r="BZ881" s="223">
        <v>-9999</v>
      </c>
      <c r="CA881" s="332">
        <v>-9999</v>
      </c>
      <c r="CB881" s="443" t="s">
        <v>1572</v>
      </c>
      <c r="CC881" s="240">
        <v>1</v>
      </c>
      <c r="CD881" s="240">
        <v>2</v>
      </c>
      <c r="CE881" s="292">
        <v>7.85</v>
      </c>
      <c r="CF881" s="292">
        <v>-9999</v>
      </c>
      <c r="CG881" s="242">
        <v>2</v>
      </c>
    </row>
    <row r="882" spans="1:85" s="23" customFormat="1" x14ac:dyDescent="0.2">
      <c r="A882" s="240" t="s">
        <v>366</v>
      </c>
      <c r="B882" s="223" t="s">
        <v>85</v>
      </c>
      <c r="C882" s="223" t="s">
        <v>360</v>
      </c>
      <c r="D882" s="223" t="s">
        <v>619</v>
      </c>
      <c r="E882" s="403" t="s">
        <v>1459</v>
      </c>
      <c r="F882" s="240">
        <v>2</v>
      </c>
      <c r="G882" s="240">
        <v>2</v>
      </c>
      <c r="H882" s="242">
        <v>4</v>
      </c>
      <c r="I882" s="245" t="s">
        <v>954</v>
      </c>
      <c r="J882" s="441">
        <v>1973</v>
      </c>
      <c r="K882" s="245" t="s">
        <v>1211</v>
      </c>
      <c r="L882" s="441">
        <v>1976</v>
      </c>
      <c r="M882" s="243">
        <v>12.6</v>
      </c>
      <c r="N882" s="223">
        <v>-9999</v>
      </c>
      <c r="O882" s="29"/>
      <c r="P882" s="243">
        <v>-9999</v>
      </c>
      <c r="Q882" s="223">
        <v>-9999</v>
      </c>
      <c r="R882" s="243"/>
      <c r="S882" s="223"/>
      <c r="T882" s="244">
        <f>+M882/G882</f>
        <v>6.3</v>
      </c>
      <c r="U882" s="223">
        <v>-9999</v>
      </c>
      <c r="V882" s="223"/>
      <c r="W882" s="243">
        <v>-9999</v>
      </c>
      <c r="X882" s="223">
        <v>-9999</v>
      </c>
      <c r="Y882" s="223"/>
      <c r="Z882" s="223" t="s">
        <v>83</v>
      </c>
      <c r="AA882" s="442">
        <v>26909</v>
      </c>
      <c r="AB882" s="243">
        <v>0.78</v>
      </c>
      <c r="AC882" s="223">
        <v>-9999</v>
      </c>
      <c r="AD882" s="223">
        <v>100</v>
      </c>
      <c r="AE882" s="404" t="s">
        <v>1960</v>
      </c>
      <c r="AF882" s="223">
        <v>1</v>
      </c>
      <c r="AG882" s="223" t="s">
        <v>1070</v>
      </c>
      <c r="AH882" s="223" t="s">
        <v>876</v>
      </c>
      <c r="AI882" s="223" t="s">
        <v>1066</v>
      </c>
      <c r="AJ882" s="223">
        <v>-9999</v>
      </c>
      <c r="AK882" s="223" t="s">
        <v>626</v>
      </c>
      <c r="AL882" s="223" t="s">
        <v>1069</v>
      </c>
      <c r="AM882" s="223">
        <v>-9999</v>
      </c>
      <c r="AN882" s="223">
        <v>-9999</v>
      </c>
      <c r="AO882" s="223">
        <v>-9999</v>
      </c>
      <c r="AP882" s="223">
        <v>-9999</v>
      </c>
      <c r="AQ882" s="223" t="s">
        <v>631</v>
      </c>
      <c r="AR882" s="223">
        <v>0</v>
      </c>
      <c r="AS882" s="223">
        <v>-9999</v>
      </c>
      <c r="AT882" s="223">
        <v>-9999</v>
      </c>
      <c r="AU882" s="223">
        <v>0</v>
      </c>
      <c r="AV882" s="223">
        <v>-9999</v>
      </c>
      <c r="AW882" s="223">
        <v>-9999</v>
      </c>
      <c r="AX882" s="223">
        <v>0</v>
      </c>
      <c r="AY882" s="223">
        <v>-9999</v>
      </c>
      <c r="AZ882" s="223">
        <v>-9999</v>
      </c>
      <c r="BA882" s="223">
        <v>-9999</v>
      </c>
      <c r="BB882" s="223" t="s">
        <v>631</v>
      </c>
      <c r="BC882" s="223">
        <v>-9999</v>
      </c>
      <c r="BD882" s="223">
        <v>-9999</v>
      </c>
      <c r="BE882" s="223">
        <v>-9999</v>
      </c>
      <c r="BF882" s="223">
        <v>-9999</v>
      </c>
      <c r="BG882" s="223">
        <v>-9999</v>
      </c>
      <c r="BH882" s="223">
        <v>-9999</v>
      </c>
      <c r="BI882" s="223" t="s">
        <v>84</v>
      </c>
      <c r="BJ882" s="223">
        <v>-9999</v>
      </c>
      <c r="BK882" s="223">
        <v>-9999</v>
      </c>
      <c r="BL882" s="223">
        <v>-9999</v>
      </c>
      <c r="BM882" s="223">
        <v>-9999</v>
      </c>
      <c r="BN882" s="223">
        <v>-9999</v>
      </c>
      <c r="BO882" s="223">
        <v>-9999</v>
      </c>
      <c r="BP882" s="223">
        <v>-9999</v>
      </c>
      <c r="BQ882" s="223">
        <v>-9999</v>
      </c>
      <c r="BR882" s="223">
        <v>-9999</v>
      </c>
      <c r="BS882" s="242">
        <v>-9999</v>
      </c>
      <c r="BT882" s="223">
        <v>-9999</v>
      </c>
      <c r="BU882" s="223">
        <v>-9999</v>
      </c>
      <c r="BV882" s="223">
        <v>-9999</v>
      </c>
      <c r="BW882" s="223"/>
      <c r="BX882" s="223">
        <v>-9999</v>
      </c>
      <c r="BY882" s="223">
        <v>-9999</v>
      </c>
      <c r="BZ882" s="223">
        <v>-9999</v>
      </c>
      <c r="CA882" s="332">
        <v>-9999</v>
      </c>
      <c r="CB882" s="443" t="s">
        <v>1572</v>
      </c>
      <c r="CC882" s="240">
        <v>2</v>
      </c>
      <c r="CD882" s="240">
        <v>2</v>
      </c>
      <c r="CE882" s="292">
        <v>6.3</v>
      </c>
      <c r="CF882" s="292">
        <v>-9999</v>
      </c>
      <c r="CG882" s="242">
        <v>4</v>
      </c>
    </row>
    <row r="883" spans="1:85" s="23" customFormat="1" x14ac:dyDescent="0.2">
      <c r="A883" s="240"/>
      <c r="B883" s="223"/>
      <c r="C883" s="223"/>
      <c r="D883" s="223"/>
      <c r="E883" s="403"/>
      <c r="F883" s="240"/>
      <c r="G883" s="240"/>
      <c r="H883" s="242"/>
      <c r="I883" s="245"/>
      <c r="J883" s="223"/>
      <c r="K883" s="245"/>
      <c r="L883" s="223"/>
      <c r="M883" s="243"/>
      <c r="N883" s="223"/>
      <c r="O883" s="29"/>
      <c r="P883" s="243"/>
      <c r="Q883" s="223"/>
      <c r="R883" s="243"/>
      <c r="S883" s="223"/>
      <c r="T883" s="244"/>
      <c r="U883" s="223"/>
      <c r="V883" s="223"/>
      <c r="W883" s="243"/>
      <c r="X883" s="223"/>
      <c r="Y883" s="223"/>
      <c r="Z883" s="223"/>
      <c r="AA883" s="442"/>
      <c r="AB883" s="243"/>
      <c r="AC883" s="223"/>
      <c r="AD883" s="223"/>
      <c r="AE883" s="223"/>
      <c r="AF883" s="223"/>
      <c r="AG883" s="223"/>
      <c r="AH883" s="223"/>
      <c r="AI883" s="223"/>
      <c r="AJ883" s="223"/>
      <c r="AK883" s="223"/>
      <c r="AL883" s="223"/>
      <c r="AM883" s="223"/>
      <c r="AN883" s="223"/>
      <c r="AO883" s="223"/>
      <c r="AP883" s="223"/>
      <c r="AQ883" s="223"/>
      <c r="AR883" s="223"/>
      <c r="AS883" s="223"/>
      <c r="AT883" s="223"/>
      <c r="AU883" s="223"/>
      <c r="AV883" s="223"/>
      <c r="AW883" s="223"/>
      <c r="AX883" s="223"/>
      <c r="AY883" s="223"/>
      <c r="AZ883" s="223"/>
      <c r="BA883" s="223"/>
      <c r="BB883" s="223"/>
      <c r="BC883" s="223"/>
      <c r="BD883" s="223"/>
      <c r="BE883" s="223"/>
      <c r="BF883" s="223"/>
      <c r="BG883" s="223"/>
      <c r="BH883" s="223"/>
      <c r="BI883" s="223"/>
      <c r="BJ883" s="223"/>
      <c r="BK883" s="223"/>
      <c r="BL883" s="223"/>
      <c r="BM883" s="223"/>
      <c r="BN883" s="223"/>
      <c r="BO883" s="223"/>
      <c r="BP883" s="223"/>
      <c r="BQ883" s="223"/>
      <c r="BR883" s="223"/>
      <c r="BS883" s="242"/>
      <c r="BT883" s="223"/>
      <c r="BU883" s="223"/>
      <c r="BV883" s="223"/>
      <c r="BW883" s="223"/>
      <c r="BX883" s="223"/>
      <c r="BY883" s="223"/>
      <c r="BZ883" s="223"/>
      <c r="CA883" s="332"/>
      <c r="CB883" s="446"/>
      <c r="CC883" s="240"/>
      <c r="CD883" s="240"/>
      <c r="CE883" s="292"/>
      <c r="CF883" s="292"/>
      <c r="CG883" s="242"/>
    </row>
    <row r="884" spans="1:85" s="23" customFormat="1" x14ac:dyDescent="0.2">
      <c r="A884" s="240" t="s">
        <v>366</v>
      </c>
      <c r="B884" s="223" t="s">
        <v>85</v>
      </c>
      <c r="C884" s="223" t="s">
        <v>361</v>
      </c>
      <c r="D884" s="223" t="s">
        <v>619</v>
      </c>
      <c r="E884" s="403" t="s">
        <v>1459</v>
      </c>
      <c r="F884" s="240">
        <v>1</v>
      </c>
      <c r="G884" s="240">
        <v>2</v>
      </c>
      <c r="H884" s="242">
        <v>2</v>
      </c>
      <c r="I884" s="245" t="s">
        <v>954</v>
      </c>
      <c r="J884" s="441">
        <v>1973</v>
      </c>
      <c r="K884" s="245" t="s">
        <v>1211</v>
      </c>
      <c r="L884" s="441">
        <v>1974</v>
      </c>
      <c r="M884" s="243">
        <v>15.2</v>
      </c>
      <c r="N884" s="223">
        <v>-9999</v>
      </c>
      <c r="O884" s="29"/>
      <c r="P884" s="243">
        <v>-9999</v>
      </c>
      <c r="Q884" s="223">
        <v>-9999</v>
      </c>
      <c r="R884" s="243"/>
      <c r="S884" s="223"/>
      <c r="T884" s="244">
        <f>+M884/G884</f>
        <v>7.6</v>
      </c>
      <c r="U884" s="223">
        <v>-9999</v>
      </c>
      <c r="V884" s="223"/>
      <c r="W884" s="243">
        <v>-9999</v>
      </c>
      <c r="X884" s="223">
        <v>-9999</v>
      </c>
      <c r="Y884" s="223"/>
      <c r="Z884" s="404" t="s">
        <v>1701</v>
      </c>
      <c r="AA884" s="442">
        <v>13455</v>
      </c>
      <c r="AB884" s="243">
        <v>0.85</v>
      </c>
      <c r="AC884" s="223">
        <v>-9999</v>
      </c>
      <c r="AD884" s="223">
        <v>100</v>
      </c>
      <c r="AE884" s="404" t="s">
        <v>1961</v>
      </c>
      <c r="AF884" s="223">
        <v>1</v>
      </c>
      <c r="AG884" s="223" t="s">
        <v>1070</v>
      </c>
      <c r="AH884" s="223" t="s">
        <v>876</v>
      </c>
      <c r="AI884" s="223" t="s">
        <v>1066</v>
      </c>
      <c r="AJ884" s="223">
        <v>-9999</v>
      </c>
      <c r="AK884" s="223" t="s">
        <v>626</v>
      </c>
      <c r="AL884" s="223" t="s">
        <v>1068</v>
      </c>
      <c r="AM884" s="223">
        <v>-9999</v>
      </c>
      <c r="AN884" s="223">
        <v>-9999</v>
      </c>
      <c r="AO884" s="223">
        <v>-9999</v>
      </c>
      <c r="AP884" s="223">
        <v>-9999</v>
      </c>
      <c r="AQ884" s="223" t="s">
        <v>631</v>
      </c>
      <c r="AR884" s="223">
        <v>0</v>
      </c>
      <c r="AS884" s="223">
        <v>-9999</v>
      </c>
      <c r="AT884" s="223">
        <v>-9999</v>
      </c>
      <c r="AU884" s="223">
        <v>0</v>
      </c>
      <c r="AV884" s="223">
        <v>-9999</v>
      </c>
      <c r="AW884" s="223">
        <v>-9999</v>
      </c>
      <c r="AX884" s="223">
        <v>0</v>
      </c>
      <c r="AY884" s="223">
        <v>-9999</v>
      </c>
      <c r="AZ884" s="223">
        <v>-9999</v>
      </c>
      <c r="BA884" s="223">
        <v>-9999</v>
      </c>
      <c r="BB884" s="223" t="s">
        <v>631</v>
      </c>
      <c r="BC884" s="223">
        <v>-9999</v>
      </c>
      <c r="BD884" s="223">
        <v>-9999</v>
      </c>
      <c r="BE884" s="223">
        <v>-9999</v>
      </c>
      <c r="BF884" s="223">
        <v>-9999</v>
      </c>
      <c r="BG884" s="223">
        <v>-9999</v>
      </c>
      <c r="BH884" s="223">
        <v>-9999</v>
      </c>
      <c r="BI884" s="223" t="s">
        <v>84</v>
      </c>
      <c r="BJ884" s="223">
        <v>-9999</v>
      </c>
      <c r="BK884" s="223">
        <v>-9999</v>
      </c>
      <c r="BL884" s="223">
        <v>-9999</v>
      </c>
      <c r="BM884" s="223">
        <v>-9999</v>
      </c>
      <c r="BN884" s="223">
        <v>-9999</v>
      </c>
      <c r="BO884" s="223">
        <v>-9999</v>
      </c>
      <c r="BP884" s="223">
        <v>-9999</v>
      </c>
      <c r="BQ884" s="223">
        <v>-9999</v>
      </c>
      <c r="BR884" s="223">
        <v>-9999</v>
      </c>
      <c r="BS884" s="242">
        <v>-9999</v>
      </c>
      <c r="BT884" s="223">
        <v>-9999</v>
      </c>
      <c r="BU884" s="223">
        <v>-9999</v>
      </c>
      <c r="BV884" s="223">
        <v>-9999</v>
      </c>
      <c r="BW884" s="223"/>
      <c r="BX884" s="223">
        <v>-9999</v>
      </c>
      <c r="BY884" s="223">
        <v>-9999</v>
      </c>
      <c r="BZ884" s="223">
        <v>-9999</v>
      </c>
      <c r="CA884" s="332">
        <v>-9999</v>
      </c>
      <c r="CB884" s="443" t="s">
        <v>1572</v>
      </c>
      <c r="CC884" s="240">
        <v>1</v>
      </c>
      <c r="CD884" s="240">
        <v>2</v>
      </c>
      <c r="CE884" s="292">
        <v>7.6</v>
      </c>
      <c r="CF884" s="292">
        <v>-9999</v>
      </c>
      <c r="CG884" s="242">
        <v>2</v>
      </c>
    </row>
    <row r="885" spans="1:85" s="23" customFormat="1" x14ac:dyDescent="0.2">
      <c r="A885" s="240" t="s">
        <v>366</v>
      </c>
      <c r="B885" s="223" t="s">
        <v>85</v>
      </c>
      <c r="C885" s="223" t="s">
        <v>361</v>
      </c>
      <c r="D885" s="223" t="s">
        <v>619</v>
      </c>
      <c r="E885" s="403" t="s">
        <v>1459</v>
      </c>
      <c r="F885" s="240">
        <v>2</v>
      </c>
      <c r="G885" s="240">
        <v>2</v>
      </c>
      <c r="H885" s="242">
        <v>4</v>
      </c>
      <c r="I885" s="245" t="s">
        <v>954</v>
      </c>
      <c r="J885" s="441">
        <v>1973</v>
      </c>
      <c r="K885" s="245" t="s">
        <v>1211</v>
      </c>
      <c r="L885" s="441">
        <v>1976</v>
      </c>
      <c r="M885" s="243">
        <v>13.2</v>
      </c>
      <c r="N885" s="223">
        <v>-9999</v>
      </c>
      <c r="O885" s="29"/>
      <c r="P885" s="243">
        <v>-9999</v>
      </c>
      <c r="Q885" s="223">
        <v>-9999</v>
      </c>
      <c r="R885" s="243"/>
      <c r="S885" s="223"/>
      <c r="T885" s="244">
        <f>+M885/G885</f>
        <v>6.6</v>
      </c>
      <c r="U885" s="223">
        <v>-9999</v>
      </c>
      <c r="V885" s="223"/>
      <c r="W885" s="243">
        <v>-9999</v>
      </c>
      <c r="X885" s="223">
        <v>-9999</v>
      </c>
      <c r="Y885" s="223"/>
      <c r="Z885" s="404" t="s">
        <v>1701</v>
      </c>
      <c r="AA885" s="442">
        <v>13455</v>
      </c>
      <c r="AB885" s="243">
        <v>0.81</v>
      </c>
      <c r="AC885" s="223">
        <v>-9999</v>
      </c>
      <c r="AD885" s="223">
        <v>100</v>
      </c>
      <c r="AE885" s="404" t="s">
        <v>1961</v>
      </c>
      <c r="AF885" s="223">
        <v>1</v>
      </c>
      <c r="AG885" s="223" t="s">
        <v>1070</v>
      </c>
      <c r="AH885" s="223" t="s">
        <v>876</v>
      </c>
      <c r="AI885" s="223" t="s">
        <v>1066</v>
      </c>
      <c r="AJ885" s="223">
        <v>-9999</v>
      </c>
      <c r="AK885" s="223" t="s">
        <v>626</v>
      </c>
      <c r="AL885" s="223" t="s">
        <v>1069</v>
      </c>
      <c r="AM885" s="223">
        <v>-9999</v>
      </c>
      <c r="AN885" s="223">
        <v>-9999</v>
      </c>
      <c r="AO885" s="223">
        <v>-9999</v>
      </c>
      <c r="AP885" s="223">
        <v>-9999</v>
      </c>
      <c r="AQ885" s="223" t="s">
        <v>631</v>
      </c>
      <c r="AR885" s="223">
        <v>0</v>
      </c>
      <c r="AS885" s="223">
        <v>-9999</v>
      </c>
      <c r="AT885" s="223">
        <v>-9999</v>
      </c>
      <c r="AU885" s="223">
        <v>0</v>
      </c>
      <c r="AV885" s="223">
        <v>-9999</v>
      </c>
      <c r="AW885" s="223">
        <v>-9999</v>
      </c>
      <c r="AX885" s="223">
        <v>0</v>
      </c>
      <c r="AY885" s="223">
        <v>-9999</v>
      </c>
      <c r="AZ885" s="223">
        <v>-9999</v>
      </c>
      <c r="BA885" s="223">
        <v>-9999</v>
      </c>
      <c r="BB885" s="223" t="s">
        <v>631</v>
      </c>
      <c r="BC885" s="223">
        <v>-9999</v>
      </c>
      <c r="BD885" s="223">
        <v>-9999</v>
      </c>
      <c r="BE885" s="223">
        <v>-9999</v>
      </c>
      <c r="BF885" s="223">
        <v>-9999</v>
      </c>
      <c r="BG885" s="223">
        <v>-9999</v>
      </c>
      <c r="BH885" s="223">
        <v>-9999</v>
      </c>
      <c r="BI885" s="223" t="s">
        <v>84</v>
      </c>
      <c r="BJ885" s="223">
        <v>-9999</v>
      </c>
      <c r="BK885" s="223">
        <v>-9999</v>
      </c>
      <c r="BL885" s="223">
        <v>-9999</v>
      </c>
      <c r="BM885" s="223">
        <v>-9999</v>
      </c>
      <c r="BN885" s="223">
        <v>-9999</v>
      </c>
      <c r="BO885" s="223">
        <v>-9999</v>
      </c>
      <c r="BP885" s="223">
        <v>-9999</v>
      </c>
      <c r="BQ885" s="223">
        <v>-9999</v>
      </c>
      <c r="BR885" s="223">
        <v>-9999</v>
      </c>
      <c r="BS885" s="242">
        <v>-9999</v>
      </c>
      <c r="BT885" s="223">
        <v>-9999</v>
      </c>
      <c r="BU885" s="223">
        <v>-9999</v>
      </c>
      <c r="BV885" s="223">
        <v>-9999</v>
      </c>
      <c r="BW885" s="223"/>
      <c r="BX885" s="223">
        <v>-9999</v>
      </c>
      <c r="BY885" s="223">
        <v>-9999</v>
      </c>
      <c r="BZ885" s="223">
        <v>-9999</v>
      </c>
      <c r="CA885" s="332">
        <v>-9999</v>
      </c>
      <c r="CB885" s="443" t="s">
        <v>1572</v>
      </c>
      <c r="CC885" s="240">
        <v>2</v>
      </c>
      <c r="CD885" s="240">
        <v>2</v>
      </c>
      <c r="CE885" s="292">
        <v>6.6</v>
      </c>
      <c r="CF885" s="292">
        <v>-9999</v>
      </c>
      <c r="CG885" s="242">
        <v>4</v>
      </c>
    </row>
    <row r="886" spans="1:85" s="23" customFormat="1" x14ac:dyDescent="0.2">
      <c r="A886" s="240"/>
      <c r="B886" s="223"/>
      <c r="C886" s="223"/>
      <c r="D886" s="223"/>
      <c r="E886" s="403"/>
      <c r="F886" s="240"/>
      <c r="G886" s="240"/>
      <c r="H886" s="242"/>
      <c r="I886" s="245"/>
      <c r="J886" s="223"/>
      <c r="K886" s="245"/>
      <c r="L886" s="223"/>
      <c r="M886" s="243"/>
      <c r="N886" s="223"/>
      <c r="O886" s="29"/>
      <c r="P886" s="243"/>
      <c r="Q886" s="223"/>
      <c r="R886" s="243"/>
      <c r="S886" s="223"/>
      <c r="T886" s="244"/>
      <c r="U886" s="223"/>
      <c r="V886" s="223"/>
      <c r="W886" s="243"/>
      <c r="X886" s="223"/>
      <c r="Y886" s="223"/>
      <c r="Z886" s="223"/>
      <c r="AA886" s="442"/>
      <c r="AB886" s="243"/>
      <c r="AC886" s="223"/>
      <c r="AD886" s="223"/>
      <c r="AE886" s="449"/>
      <c r="AF886" s="223"/>
      <c r="AG886" s="223"/>
      <c r="AH886" s="223"/>
      <c r="AI886" s="223"/>
      <c r="AJ886" s="223"/>
      <c r="AK886" s="223"/>
      <c r="AL886" s="223"/>
      <c r="AM886" s="223"/>
      <c r="AN886" s="223"/>
      <c r="AO886" s="223"/>
      <c r="AP886" s="223"/>
      <c r="AQ886" s="223"/>
      <c r="AR886" s="223"/>
      <c r="AS886" s="223"/>
      <c r="AT886" s="223"/>
      <c r="AU886" s="223"/>
      <c r="AV886" s="223"/>
      <c r="AW886" s="223"/>
      <c r="AX886" s="223"/>
      <c r="AY886" s="223"/>
      <c r="AZ886" s="223"/>
      <c r="BA886" s="223"/>
      <c r="BB886" s="223"/>
      <c r="BC886" s="223"/>
      <c r="BD886" s="223"/>
      <c r="BE886" s="223"/>
      <c r="BF886" s="223"/>
      <c r="BG886" s="223"/>
      <c r="BH886" s="223"/>
      <c r="BI886" s="223"/>
      <c r="BJ886" s="223"/>
      <c r="BK886" s="223"/>
      <c r="BL886" s="223"/>
      <c r="BM886" s="223"/>
      <c r="BN886" s="223"/>
      <c r="BO886" s="223"/>
      <c r="BP886" s="223"/>
      <c r="BQ886" s="223"/>
      <c r="BR886" s="223"/>
      <c r="BS886" s="242"/>
      <c r="BT886" s="223"/>
      <c r="BU886" s="223"/>
      <c r="BV886" s="223"/>
      <c r="BW886" s="223"/>
      <c r="BX886" s="223"/>
      <c r="BY886" s="223"/>
      <c r="BZ886" s="223"/>
      <c r="CA886" s="332"/>
      <c r="CB886" s="446"/>
      <c r="CC886" s="240"/>
      <c r="CD886" s="240"/>
      <c r="CE886" s="292"/>
      <c r="CF886" s="292"/>
      <c r="CG886" s="242"/>
    </row>
    <row r="887" spans="1:85" s="23" customFormat="1" x14ac:dyDescent="0.2">
      <c r="A887" s="240" t="s">
        <v>366</v>
      </c>
      <c r="B887" s="223" t="s">
        <v>85</v>
      </c>
      <c r="C887" s="223" t="s">
        <v>362</v>
      </c>
      <c r="D887" s="223" t="s">
        <v>619</v>
      </c>
      <c r="E887" s="403" t="s">
        <v>1459</v>
      </c>
      <c r="F887" s="240">
        <v>1</v>
      </c>
      <c r="G887" s="240">
        <v>2</v>
      </c>
      <c r="H887" s="242">
        <v>2</v>
      </c>
      <c r="I887" s="245" t="s">
        <v>954</v>
      </c>
      <c r="J887" s="441">
        <v>1973</v>
      </c>
      <c r="K887" s="245" t="s">
        <v>1211</v>
      </c>
      <c r="L887" s="441">
        <v>1974</v>
      </c>
      <c r="M887" s="243">
        <v>11.7</v>
      </c>
      <c r="N887" s="223">
        <v>-9999</v>
      </c>
      <c r="O887" s="29"/>
      <c r="P887" s="243">
        <v>-9999</v>
      </c>
      <c r="Q887" s="223">
        <v>-9999</v>
      </c>
      <c r="R887" s="243"/>
      <c r="S887" s="223"/>
      <c r="T887" s="244">
        <f>+M887/G887</f>
        <v>5.85</v>
      </c>
      <c r="U887" s="223">
        <v>-9999</v>
      </c>
      <c r="V887" s="223"/>
      <c r="W887" s="243">
        <v>-9999</v>
      </c>
      <c r="X887" s="223">
        <v>-9999</v>
      </c>
      <c r="Y887" s="223"/>
      <c r="Z887" s="223" t="s">
        <v>67</v>
      </c>
      <c r="AA887" s="441">
        <v>6727</v>
      </c>
      <c r="AB887" s="243">
        <v>0.93</v>
      </c>
      <c r="AC887" s="223">
        <v>-9999</v>
      </c>
      <c r="AD887" s="223">
        <v>100</v>
      </c>
      <c r="AE887" s="404" t="s">
        <v>1959</v>
      </c>
      <c r="AF887" s="223">
        <v>1</v>
      </c>
      <c r="AG887" s="223" t="s">
        <v>1070</v>
      </c>
      <c r="AH887" s="223" t="s">
        <v>876</v>
      </c>
      <c r="AI887" s="223" t="s">
        <v>1066</v>
      </c>
      <c r="AJ887" s="223">
        <v>-9999</v>
      </c>
      <c r="AK887" s="223" t="s">
        <v>626</v>
      </c>
      <c r="AL887" s="223" t="s">
        <v>1068</v>
      </c>
      <c r="AM887" s="223">
        <v>-9999</v>
      </c>
      <c r="AN887" s="223">
        <v>-9999</v>
      </c>
      <c r="AO887" s="223">
        <v>-9999</v>
      </c>
      <c r="AP887" s="223">
        <v>-9999</v>
      </c>
      <c r="AQ887" s="223" t="s">
        <v>631</v>
      </c>
      <c r="AR887" s="223">
        <v>0</v>
      </c>
      <c r="AS887" s="223">
        <v>-9999</v>
      </c>
      <c r="AT887" s="223">
        <v>-9999</v>
      </c>
      <c r="AU887" s="223">
        <v>0</v>
      </c>
      <c r="AV887" s="223">
        <v>-9999</v>
      </c>
      <c r="AW887" s="223">
        <v>-9999</v>
      </c>
      <c r="AX887" s="223">
        <v>0</v>
      </c>
      <c r="AY887" s="223">
        <v>-9999</v>
      </c>
      <c r="AZ887" s="223">
        <v>-9999</v>
      </c>
      <c r="BA887" s="223">
        <v>-9999</v>
      </c>
      <c r="BB887" s="223" t="s">
        <v>631</v>
      </c>
      <c r="BC887" s="223">
        <v>-9999</v>
      </c>
      <c r="BD887" s="223">
        <v>-9999</v>
      </c>
      <c r="BE887" s="223">
        <v>-9999</v>
      </c>
      <c r="BF887" s="223">
        <v>-9999</v>
      </c>
      <c r="BG887" s="223">
        <v>-9999</v>
      </c>
      <c r="BH887" s="223">
        <v>-9999</v>
      </c>
      <c r="BI887" s="223" t="s">
        <v>84</v>
      </c>
      <c r="BJ887" s="223">
        <v>-9999</v>
      </c>
      <c r="BK887" s="223">
        <v>-9999</v>
      </c>
      <c r="BL887" s="223">
        <v>-9999</v>
      </c>
      <c r="BM887" s="223">
        <v>-9999</v>
      </c>
      <c r="BN887" s="223">
        <v>-9999</v>
      </c>
      <c r="BO887" s="223">
        <v>-9999</v>
      </c>
      <c r="BP887" s="223">
        <v>-9999</v>
      </c>
      <c r="BQ887" s="223">
        <v>-9999</v>
      </c>
      <c r="BR887" s="223">
        <v>-9999</v>
      </c>
      <c r="BS887" s="242">
        <v>-9999</v>
      </c>
      <c r="BT887" s="223">
        <v>-9999</v>
      </c>
      <c r="BU887" s="223">
        <v>-9999</v>
      </c>
      <c r="BV887" s="223">
        <v>-9999</v>
      </c>
      <c r="BW887" s="223"/>
      <c r="BX887" s="223">
        <v>-9999</v>
      </c>
      <c r="BY887" s="223">
        <v>-9999</v>
      </c>
      <c r="BZ887" s="223">
        <v>-9999</v>
      </c>
      <c r="CA887" s="332">
        <v>-9999</v>
      </c>
      <c r="CB887" s="443" t="s">
        <v>1572</v>
      </c>
      <c r="CC887" s="240">
        <v>1</v>
      </c>
      <c r="CD887" s="240">
        <v>2</v>
      </c>
      <c r="CE887" s="292">
        <v>5.85</v>
      </c>
      <c r="CF887" s="292">
        <v>-9999</v>
      </c>
      <c r="CG887" s="242">
        <v>2</v>
      </c>
    </row>
    <row r="888" spans="1:85" s="23" customFormat="1" x14ac:dyDescent="0.2">
      <c r="A888" s="240" t="s">
        <v>366</v>
      </c>
      <c r="B888" s="223" t="s">
        <v>85</v>
      </c>
      <c r="C888" s="223" t="s">
        <v>362</v>
      </c>
      <c r="D888" s="223" t="s">
        <v>619</v>
      </c>
      <c r="E888" s="403" t="s">
        <v>1459</v>
      </c>
      <c r="F888" s="240">
        <v>2</v>
      </c>
      <c r="G888" s="240">
        <v>2</v>
      </c>
      <c r="H888" s="242">
        <v>4</v>
      </c>
      <c r="I888" s="245" t="s">
        <v>954</v>
      </c>
      <c r="J888" s="441">
        <v>1973</v>
      </c>
      <c r="K888" s="245" t="s">
        <v>1211</v>
      </c>
      <c r="L888" s="441">
        <v>1976</v>
      </c>
      <c r="M888" s="243">
        <v>12.3</v>
      </c>
      <c r="N888" s="223">
        <v>-9999</v>
      </c>
      <c r="O888" s="29"/>
      <c r="P888" s="243">
        <v>-9999</v>
      </c>
      <c r="Q888" s="223">
        <v>-9999</v>
      </c>
      <c r="R888" s="243"/>
      <c r="S888" s="223"/>
      <c r="T888" s="244">
        <f>+M888/G888</f>
        <v>6.15</v>
      </c>
      <c r="U888" s="223">
        <v>-9999</v>
      </c>
      <c r="V888" s="223"/>
      <c r="W888" s="243">
        <v>-9999</v>
      </c>
      <c r="X888" s="223">
        <v>-9999</v>
      </c>
      <c r="Y888" s="223"/>
      <c r="Z888" s="223" t="s">
        <v>67</v>
      </c>
      <c r="AA888" s="441">
        <v>6727</v>
      </c>
      <c r="AB888" s="243">
        <v>0.82</v>
      </c>
      <c r="AC888" s="223">
        <v>-9999</v>
      </c>
      <c r="AD888" s="223">
        <v>100</v>
      </c>
      <c r="AE888" s="404" t="s">
        <v>1959</v>
      </c>
      <c r="AF888" s="223">
        <v>1</v>
      </c>
      <c r="AG888" s="223" t="s">
        <v>1070</v>
      </c>
      <c r="AH888" s="223" t="s">
        <v>876</v>
      </c>
      <c r="AI888" s="223" t="s">
        <v>1066</v>
      </c>
      <c r="AJ888" s="223">
        <v>-9999</v>
      </c>
      <c r="AK888" s="223" t="s">
        <v>626</v>
      </c>
      <c r="AL888" s="223" t="s">
        <v>1069</v>
      </c>
      <c r="AM888" s="223">
        <v>-9999</v>
      </c>
      <c r="AN888" s="223">
        <v>-9999</v>
      </c>
      <c r="AO888" s="223">
        <v>-9999</v>
      </c>
      <c r="AP888" s="223">
        <v>-9999</v>
      </c>
      <c r="AQ888" s="223" t="s">
        <v>631</v>
      </c>
      <c r="AR888" s="223">
        <v>0</v>
      </c>
      <c r="AS888" s="223">
        <v>-9999</v>
      </c>
      <c r="AT888" s="223">
        <v>-9999</v>
      </c>
      <c r="AU888" s="223">
        <v>0</v>
      </c>
      <c r="AV888" s="223">
        <v>-9999</v>
      </c>
      <c r="AW888" s="223">
        <v>-9999</v>
      </c>
      <c r="AX888" s="223">
        <v>0</v>
      </c>
      <c r="AY888" s="223">
        <v>-9999</v>
      </c>
      <c r="AZ888" s="223">
        <v>-9999</v>
      </c>
      <c r="BA888" s="223">
        <v>-9999</v>
      </c>
      <c r="BB888" s="223" t="s">
        <v>631</v>
      </c>
      <c r="BC888" s="223">
        <v>-9999</v>
      </c>
      <c r="BD888" s="223">
        <v>-9999</v>
      </c>
      <c r="BE888" s="223">
        <v>-9999</v>
      </c>
      <c r="BF888" s="223">
        <v>-9999</v>
      </c>
      <c r="BG888" s="223">
        <v>-9999</v>
      </c>
      <c r="BH888" s="223">
        <v>-9999</v>
      </c>
      <c r="BI888" s="223" t="s">
        <v>84</v>
      </c>
      <c r="BJ888" s="223">
        <v>-9999</v>
      </c>
      <c r="BK888" s="223">
        <v>-9999</v>
      </c>
      <c r="BL888" s="223">
        <v>-9999</v>
      </c>
      <c r="BM888" s="223">
        <v>-9999</v>
      </c>
      <c r="BN888" s="223">
        <v>-9999</v>
      </c>
      <c r="BO888" s="223">
        <v>-9999</v>
      </c>
      <c r="BP888" s="223">
        <v>-9999</v>
      </c>
      <c r="BQ888" s="223">
        <v>-9999</v>
      </c>
      <c r="BR888" s="223">
        <v>-9999</v>
      </c>
      <c r="BS888" s="242">
        <v>-9999</v>
      </c>
      <c r="BT888" s="223">
        <v>-9999</v>
      </c>
      <c r="BU888" s="223">
        <v>-9999</v>
      </c>
      <c r="BV888" s="223">
        <v>-9999</v>
      </c>
      <c r="BW888" s="223"/>
      <c r="BX888" s="223">
        <v>-9999</v>
      </c>
      <c r="BY888" s="223">
        <v>-9999</v>
      </c>
      <c r="BZ888" s="223">
        <v>-9999</v>
      </c>
      <c r="CA888" s="332">
        <v>-9999</v>
      </c>
      <c r="CB888" s="443" t="s">
        <v>1572</v>
      </c>
      <c r="CC888" s="240">
        <v>2</v>
      </c>
      <c r="CD888" s="240">
        <v>2</v>
      </c>
      <c r="CE888" s="292">
        <v>6.15</v>
      </c>
      <c r="CF888" s="292">
        <v>-9999</v>
      </c>
      <c r="CG888" s="242">
        <v>4</v>
      </c>
    </row>
    <row r="889" spans="1:85" s="23" customFormat="1" x14ac:dyDescent="0.2">
      <c r="A889" s="240"/>
      <c r="B889" s="223"/>
      <c r="C889" s="223"/>
      <c r="D889" s="223"/>
      <c r="E889" s="240"/>
      <c r="F889" s="240"/>
      <c r="G889" s="240"/>
      <c r="H889" s="242"/>
      <c r="I889" s="245"/>
      <c r="J889" s="223"/>
      <c r="K889" s="245"/>
      <c r="L889" s="223"/>
      <c r="M889" s="243"/>
      <c r="N889" s="223"/>
      <c r="O889" s="29"/>
      <c r="P889" s="243"/>
      <c r="Q889" s="223"/>
      <c r="R889" s="243"/>
      <c r="S889" s="223"/>
      <c r="T889" s="244"/>
      <c r="U889" s="223"/>
      <c r="V889" s="223"/>
      <c r="W889" s="243"/>
      <c r="X889" s="223"/>
      <c r="Y889" s="223"/>
      <c r="Z889" s="223"/>
      <c r="AA889" s="441"/>
      <c r="AB889" s="243"/>
      <c r="AC889" s="223"/>
      <c r="AD889" s="223"/>
      <c r="AE889" s="223"/>
      <c r="AF889" s="223"/>
      <c r="AG889" s="223"/>
      <c r="AH889" s="223"/>
      <c r="AI889" s="223"/>
      <c r="AJ889" s="223"/>
      <c r="AK889" s="223"/>
      <c r="AL889" s="223"/>
      <c r="AM889" s="223"/>
      <c r="AN889" s="223"/>
      <c r="AO889" s="223"/>
      <c r="AP889" s="223"/>
      <c r="AQ889" s="223"/>
      <c r="AR889" s="223"/>
      <c r="AS889" s="223"/>
      <c r="AT889" s="223"/>
      <c r="AU889" s="223"/>
      <c r="AV889" s="223"/>
      <c r="AW889" s="223"/>
      <c r="AX889" s="223"/>
      <c r="AY889" s="223"/>
      <c r="AZ889" s="223"/>
      <c r="BA889" s="223"/>
      <c r="BB889" s="223"/>
      <c r="BC889" s="223"/>
      <c r="BD889" s="223"/>
      <c r="BE889" s="223"/>
      <c r="BF889" s="223"/>
      <c r="BG889" s="223"/>
      <c r="BH889" s="223"/>
      <c r="BI889" s="223"/>
      <c r="BJ889" s="223"/>
      <c r="BK889" s="223"/>
      <c r="BL889" s="223"/>
      <c r="BM889" s="223"/>
      <c r="BN889" s="223"/>
      <c r="BO889" s="223"/>
      <c r="BP889" s="223"/>
      <c r="BQ889" s="223"/>
      <c r="BR889" s="223"/>
      <c r="BS889" s="242"/>
      <c r="BT889" s="223"/>
      <c r="BU889" s="223"/>
      <c r="BV889" s="223"/>
      <c r="BW889" s="223"/>
      <c r="BX889" s="223"/>
      <c r="BY889" s="223"/>
      <c r="BZ889" s="223"/>
      <c r="CA889" s="332"/>
      <c r="CB889" s="446"/>
      <c r="CC889" s="240"/>
      <c r="CD889" s="240"/>
      <c r="CE889" s="292"/>
      <c r="CF889" s="292"/>
      <c r="CG889" s="242"/>
    </row>
    <row r="890" spans="1:85" s="23" customFormat="1" x14ac:dyDescent="0.2">
      <c r="A890" s="240" t="s">
        <v>366</v>
      </c>
      <c r="B890" s="223" t="s">
        <v>85</v>
      </c>
      <c r="C890" s="223" t="s">
        <v>363</v>
      </c>
      <c r="D890" s="223" t="s">
        <v>1255</v>
      </c>
      <c r="E890" s="404" t="s">
        <v>1460</v>
      </c>
      <c r="F890" s="240">
        <v>1</v>
      </c>
      <c r="G890" s="240">
        <v>2</v>
      </c>
      <c r="H890" s="242">
        <v>2</v>
      </c>
      <c r="I890" s="245" t="s">
        <v>954</v>
      </c>
      <c r="J890" s="441">
        <v>1973</v>
      </c>
      <c r="K890" s="245" t="s">
        <v>1211</v>
      </c>
      <c r="L890" s="441">
        <v>1974</v>
      </c>
      <c r="M890" s="243">
        <v>9.9</v>
      </c>
      <c r="N890" s="223">
        <v>-9999</v>
      </c>
      <c r="O890" s="29"/>
      <c r="P890" s="243">
        <v>-9999</v>
      </c>
      <c r="Q890" s="223">
        <v>-9999</v>
      </c>
      <c r="R890" s="243"/>
      <c r="S890" s="223"/>
      <c r="T890" s="244">
        <f>+M890/G890</f>
        <v>4.95</v>
      </c>
      <c r="U890" s="223">
        <v>-9999</v>
      </c>
      <c r="V890" s="223"/>
      <c r="W890" s="243">
        <v>-9999</v>
      </c>
      <c r="X890" s="223">
        <v>-9999</v>
      </c>
      <c r="Y890" s="223"/>
      <c r="Z890" s="223" t="s">
        <v>83</v>
      </c>
      <c r="AA890" s="442">
        <v>26909</v>
      </c>
      <c r="AB890" s="243">
        <v>1</v>
      </c>
      <c r="AC890" s="223">
        <v>-9999</v>
      </c>
      <c r="AD890" s="223">
        <v>100</v>
      </c>
      <c r="AE890" s="404" t="s">
        <v>1960</v>
      </c>
      <c r="AF890" s="223">
        <v>1</v>
      </c>
      <c r="AG890" s="223" t="s">
        <v>1070</v>
      </c>
      <c r="AH890" s="223" t="s">
        <v>876</v>
      </c>
      <c r="AI890" s="223" t="s">
        <v>1066</v>
      </c>
      <c r="AJ890" s="223">
        <v>-9999</v>
      </c>
      <c r="AK890" s="223" t="s">
        <v>626</v>
      </c>
      <c r="AL890" s="223" t="s">
        <v>1068</v>
      </c>
      <c r="AM890" s="223">
        <v>-9999</v>
      </c>
      <c r="AN890" s="223">
        <v>-9999</v>
      </c>
      <c r="AO890" s="223">
        <v>-9999</v>
      </c>
      <c r="AP890" s="223">
        <v>-9999</v>
      </c>
      <c r="AQ890" s="223" t="s">
        <v>631</v>
      </c>
      <c r="AR890" s="223">
        <v>0</v>
      </c>
      <c r="AS890" s="223">
        <v>-9999</v>
      </c>
      <c r="AT890" s="223">
        <v>-9999</v>
      </c>
      <c r="AU890" s="223">
        <v>0</v>
      </c>
      <c r="AV890" s="223">
        <v>-9999</v>
      </c>
      <c r="AW890" s="223">
        <v>-9999</v>
      </c>
      <c r="AX890" s="223">
        <v>0</v>
      </c>
      <c r="AY890" s="223">
        <v>-9999</v>
      </c>
      <c r="AZ890" s="223">
        <v>-9999</v>
      </c>
      <c r="BA890" s="223">
        <v>-9999</v>
      </c>
      <c r="BB890" s="223" t="s">
        <v>631</v>
      </c>
      <c r="BC890" s="223">
        <v>-9999</v>
      </c>
      <c r="BD890" s="223">
        <v>-9999</v>
      </c>
      <c r="BE890" s="223">
        <v>-9999</v>
      </c>
      <c r="BF890" s="223">
        <v>-9999</v>
      </c>
      <c r="BG890" s="223">
        <v>-9999</v>
      </c>
      <c r="BH890" s="223">
        <v>-9999</v>
      </c>
      <c r="BI890" s="223" t="s">
        <v>84</v>
      </c>
      <c r="BJ890" s="223">
        <v>-9999</v>
      </c>
      <c r="BK890" s="223">
        <v>-9999</v>
      </c>
      <c r="BL890" s="223">
        <v>-9999</v>
      </c>
      <c r="BM890" s="223">
        <v>-9999</v>
      </c>
      <c r="BN890" s="223">
        <v>-9999</v>
      </c>
      <c r="BO890" s="223">
        <v>-9999</v>
      </c>
      <c r="BP890" s="223">
        <v>-9999</v>
      </c>
      <c r="BQ890" s="223">
        <v>-9999</v>
      </c>
      <c r="BR890" s="223">
        <v>-9999</v>
      </c>
      <c r="BS890" s="242">
        <v>-9999</v>
      </c>
      <c r="BT890" s="223">
        <v>-9999</v>
      </c>
      <c r="BU890" s="223">
        <v>-9999</v>
      </c>
      <c r="BV890" s="223">
        <v>-9999</v>
      </c>
      <c r="BW890" s="223"/>
      <c r="BX890" s="223">
        <v>-9999</v>
      </c>
      <c r="BY890" s="223">
        <v>-9999</v>
      </c>
      <c r="BZ890" s="223">
        <v>-9999</v>
      </c>
      <c r="CA890" s="332">
        <v>-9999</v>
      </c>
      <c r="CB890" s="443" t="s">
        <v>1570</v>
      </c>
      <c r="CC890" s="240">
        <v>1</v>
      </c>
      <c r="CD890" s="240">
        <v>2</v>
      </c>
      <c r="CE890" s="292">
        <v>4.95</v>
      </c>
      <c r="CF890" s="292">
        <v>-9999</v>
      </c>
      <c r="CG890" s="242">
        <v>2</v>
      </c>
    </row>
    <row r="891" spans="1:85" s="23" customFormat="1" x14ac:dyDescent="0.2">
      <c r="A891" s="240" t="s">
        <v>366</v>
      </c>
      <c r="B891" s="223" t="s">
        <v>85</v>
      </c>
      <c r="C891" s="223" t="s">
        <v>365</v>
      </c>
      <c r="D891" s="223" t="s">
        <v>1255</v>
      </c>
      <c r="E891" s="404" t="s">
        <v>1460</v>
      </c>
      <c r="F891" s="240">
        <v>2</v>
      </c>
      <c r="G891" s="240">
        <v>2</v>
      </c>
      <c r="H891" s="242">
        <v>4</v>
      </c>
      <c r="I891" s="245" t="s">
        <v>954</v>
      </c>
      <c r="J891" s="441">
        <v>1973</v>
      </c>
      <c r="K891" s="245" t="s">
        <v>1211</v>
      </c>
      <c r="L891" s="441">
        <v>1976</v>
      </c>
      <c r="M891" s="243">
        <v>11.7</v>
      </c>
      <c r="N891" s="223">
        <v>-9999</v>
      </c>
      <c r="O891" s="29"/>
      <c r="P891" s="243">
        <v>-9999</v>
      </c>
      <c r="Q891" s="223">
        <v>-9999</v>
      </c>
      <c r="R891" s="243"/>
      <c r="S891" s="223"/>
      <c r="T891" s="244">
        <f>+M891/G891</f>
        <v>5.85</v>
      </c>
      <c r="U891" s="223">
        <v>-9999</v>
      </c>
      <c r="V891" s="223"/>
      <c r="W891" s="243">
        <v>-9999</v>
      </c>
      <c r="X891" s="223">
        <v>-9999</v>
      </c>
      <c r="Y891" s="223"/>
      <c r="Z891" s="223" t="s">
        <v>83</v>
      </c>
      <c r="AA891" s="442">
        <v>26909</v>
      </c>
      <c r="AB891" s="243">
        <v>0.88</v>
      </c>
      <c r="AC891" s="223">
        <v>-9999</v>
      </c>
      <c r="AD891" s="223">
        <v>100</v>
      </c>
      <c r="AE891" s="404" t="s">
        <v>1960</v>
      </c>
      <c r="AF891" s="223">
        <v>1</v>
      </c>
      <c r="AG891" s="223" t="s">
        <v>1070</v>
      </c>
      <c r="AH891" s="223" t="s">
        <v>876</v>
      </c>
      <c r="AI891" s="223" t="s">
        <v>1066</v>
      </c>
      <c r="AJ891" s="223">
        <v>-9999</v>
      </c>
      <c r="AK891" s="223" t="s">
        <v>626</v>
      </c>
      <c r="AL891" s="223" t="s">
        <v>1069</v>
      </c>
      <c r="AM891" s="223">
        <v>-9999</v>
      </c>
      <c r="AN891" s="223">
        <v>-9999</v>
      </c>
      <c r="AO891" s="223">
        <v>-9999</v>
      </c>
      <c r="AP891" s="223">
        <v>-9999</v>
      </c>
      <c r="AQ891" s="223" t="s">
        <v>631</v>
      </c>
      <c r="AR891" s="223">
        <v>0</v>
      </c>
      <c r="AS891" s="223">
        <v>-9999</v>
      </c>
      <c r="AT891" s="223">
        <v>-9999</v>
      </c>
      <c r="AU891" s="223">
        <v>0</v>
      </c>
      <c r="AV891" s="223">
        <v>-9999</v>
      </c>
      <c r="AW891" s="223">
        <v>-9999</v>
      </c>
      <c r="AX891" s="223">
        <v>0</v>
      </c>
      <c r="AY891" s="223">
        <v>-9999</v>
      </c>
      <c r="AZ891" s="223">
        <v>-9999</v>
      </c>
      <c r="BA891" s="223">
        <v>-9999</v>
      </c>
      <c r="BB891" s="223" t="s">
        <v>631</v>
      </c>
      <c r="BC891" s="223">
        <v>-9999</v>
      </c>
      <c r="BD891" s="223">
        <v>-9999</v>
      </c>
      <c r="BE891" s="223">
        <v>-9999</v>
      </c>
      <c r="BF891" s="223">
        <v>-9999</v>
      </c>
      <c r="BG891" s="223">
        <v>-9999</v>
      </c>
      <c r="BH891" s="223">
        <v>-9999</v>
      </c>
      <c r="BI891" s="223" t="s">
        <v>84</v>
      </c>
      <c r="BJ891" s="223">
        <v>-9999</v>
      </c>
      <c r="BK891" s="223">
        <v>-9999</v>
      </c>
      <c r="BL891" s="223">
        <v>-9999</v>
      </c>
      <c r="BM891" s="223">
        <v>-9999</v>
      </c>
      <c r="BN891" s="223">
        <v>-9999</v>
      </c>
      <c r="BO891" s="223">
        <v>-9999</v>
      </c>
      <c r="BP891" s="223">
        <v>-9999</v>
      </c>
      <c r="BQ891" s="223">
        <v>-9999</v>
      </c>
      <c r="BR891" s="223">
        <v>-9999</v>
      </c>
      <c r="BS891" s="242">
        <v>-9999</v>
      </c>
      <c r="BT891" s="223">
        <v>-9999</v>
      </c>
      <c r="BU891" s="223">
        <v>-9999</v>
      </c>
      <c r="BV891" s="223">
        <v>-9999</v>
      </c>
      <c r="BW891" s="223"/>
      <c r="BX891" s="223">
        <v>-9999</v>
      </c>
      <c r="BY891" s="223">
        <v>-9999</v>
      </c>
      <c r="BZ891" s="223">
        <v>-9999</v>
      </c>
      <c r="CA891" s="332">
        <v>-9999</v>
      </c>
      <c r="CB891" s="443" t="s">
        <v>1570</v>
      </c>
      <c r="CC891" s="240">
        <v>2</v>
      </c>
      <c r="CD891" s="240">
        <v>2</v>
      </c>
      <c r="CE891" s="292">
        <v>5.85</v>
      </c>
      <c r="CF891" s="292">
        <v>-9999</v>
      </c>
      <c r="CG891" s="242">
        <v>4</v>
      </c>
    </row>
    <row r="892" spans="1:85" s="23" customFormat="1" x14ac:dyDescent="0.2">
      <c r="A892" s="240"/>
      <c r="B892" s="223"/>
      <c r="C892" s="223"/>
      <c r="D892" s="223"/>
      <c r="E892" s="404"/>
      <c r="F892" s="240"/>
      <c r="G892" s="240"/>
      <c r="H892" s="242"/>
      <c r="I892" s="245"/>
      <c r="J892" s="223"/>
      <c r="K892" s="245"/>
      <c r="L892" s="223"/>
      <c r="M892" s="243"/>
      <c r="N892" s="223"/>
      <c r="O892" s="29"/>
      <c r="P892" s="243"/>
      <c r="Q892" s="223"/>
      <c r="R892" s="243"/>
      <c r="S892" s="223"/>
      <c r="T892" s="244"/>
      <c r="U892" s="223"/>
      <c r="V892" s="223"/>
      <c r="W892" s="243"/>
      <c r="X892" s="223"/>
      <c r="Y892" s="223"/>
      <c r="Z892" s="223"/>
      <c r="AA892" s="442"/>
      <c r="AB892" s="243"/>
      <c r="AC892" s="223"/>
      <c r="AD892" s="223"/>
      <c r="AE892" s="223"/>
      <c r="AF892" s="223"/>
      <c r="AG892" s="223"/>
      <c r="AH892" s="223"/>
      <c r="AI892" s="223"/>
      <c r="AJ892" s="223"/>
      <c r="AK892" s="223"/>
      <c r="AL892" s="223"/>
      <c r="AM892" s="223"/>
      <c r="AN892" s="223"/>
      <c r="AO892" s="223"/>
      <c r="AP892" s="223"/>
      <c r="AQ892" s="223"/>
      <c r="AR892" s="223"/>
      <c r="AS892" s="223"/>
      <c r="AT892" s="223"/>
      <c r="AU892" s="223"/>
      <c r="AV892" s="223"/>
      <c r="AW892" s="223"/>
      <c r="AX892" s="223"/>
      <c r="AY892" s="223"/>
      <c r="AZ892" s="223"/>
      <c r="BA892" s="223"/>
      <c r="BB892" s="223"/>
      <c r="BC892" s="223"/>
      <c r="BD892" s="223"/>
      <c r="BE892" s="223"/>
      <c r="BF892" s="223"/>
      <c r="BG892" s="223"/>
      <c r="BH892" s="223"/>
      <c r="BI892" s="223"/>
      <c r="BJ892" s="223"/>
      <c r="BK892" s="223"/>
      <c r="BL892" s="223"/>
      <c r="BM892" s="223"/>
      <c r="BN892" s="223"/>
      <c r="BO892" s="223"/>
      <c r="BP892" s="223"/>
      <c r="BQ892" s="223"/>
      <c r="BR892" s="223"/>
      <c r="BS892" s="242"/>
      <c r="BT892" s="223"/>
      <c r="BU892" s="223"/>
      <c r="BV892" s="223"/>
      <c r="BW892" s="223"/>
      <c r="BX892" s="223"/>
      <c r="BY892" s="223"/>
      <c r="BZ892" s="223"/>
      <c r="CA892" s="332"/>
      <c r="CB892" s="446"/>
      <c r="CC892" s="240"/>
      <c r="CD892" s="240"/>
      <c r="CE892" s="292"/>
      <c r="CF892" s="292"/>
      <c r="CG892" s="242"/>
    </row>
    <row r="893" spans="1:85" s="23" customFormat="1" x14ac:dyDescent="0.2">
      <c r="A893" s="240" t="s">
        <v>366</v>
      </c>
      <c r="B893" s="223" t="s">
        <v>85</v>
      </c>
      <c r="C893" s="223" t="s">
        <v>364</v>
      </c>
      <c r="D893" s="223" t="s">
        <v>1255</v>
      </c>
      <c r="E893" s="404" t="s">
        <v>1460</v>
      </c>
      <c r="F893" s="240">
        <v>1</v>
      </c>
      <c r="G893" s="240">
        <v>2</v>
      </c>
      <c r="H893" s="242">
        <v>2</v>
      </c>
      <c r="I893" s="245" t="s">
        <v>954</v>
      </c>
      <c r="J893" s="441">
        <v>1973</v>
      </c>
      <c r="K893" s="245" t="s">
        <v>1211</v>
      </c>
      <c r="L893" s="441">
        <v>1974</v>
      </c>
      <c r="M893" s="243">
        <v>8.3000000000000007</v>
      </c>
      <c r="N893" s="223">
        <v>-9999</v>
      </c>
      <c r="O893" s="29"/>
      <c r="P893" s="243">
        <v>-9999</v>
      </c>
      <c r="Q893" s="223">
        <v>-9999</v>
      </c>
      <c r="R893" s="243"/>
      <c r="S893" s="223"/>
      <c r="T893" s="244">
        <f>+M893/G893</f>
        <v>4.1500000000000004</v>
      </c>
      <c r="U893" s="223">
        <v>-9999</v>
      </c>
      <c r="V893" s="223"/>
      <c r="W893" s="243">
        <v>-9999</v>
      </c>
      <c r="X893" s="223">
        <v>-9999</v>
      </c>
      <c r="Y893" s="223"/>
      <c r="Z893" s="404" t="s">
        <v>1701</v>
      </c>
      <c r="AA893" s="442">
        <v>13455</v>
      </c>
      <c r="AB893" s="243">
        <v>1</v>
      </c>
      <c r="AC893" s="223">
        <v>-9999</v>
      </c>
      <c r="AD893" s="223">
        <v>100</v>
      </c>
      <c r="AE893" s="404" t="s">
        <v>1961</v>
      </c>
      <c r="AF893" s="223">
        <v>1</v>
      </c>
      <c r="AG893" s="223" t="s">
        <v>1070</v>
      </c>
      <c r="AH893" s="223" t="s">
        <v>876</v>
      </c>
      <c r="AI893" s="223" t="s">
        <v>1066</v>
      </c>
      <c r="AJ893" s="223">
        <v>-9999</v>
      </c>
      <c r="AK893" s="223" t="s">
        <v>626</v>
      </c>
      <c r="AL893" s="223" t="s">
        <v>1068</v>
      </c>
      <c r="AM893" s="223">
        <v>-9999</v>
      </c>
      <c r="AN893" s="223">
        <v>-9999</v>
      </c>
      <c r="AO893" s="223">
        <v>-9999</v>
      </c>
      <c r="AP893" s="223">
        <v>-9999</v>
      </c>
      <c r="AQ893" s="223" t="s">
        <v>631</v>
      </c>
      <c r="AR893" s="223">
        <v>0</v>
      </c>
      <c r="AS893" s="223">
        <v>-9999</v>
      </c>
      <c r="AT893" s="223">
        <v>-9999</v>
      </c>
      <c r="AU893" s="223">
        <v>0</v>
      </c>
      <c r="AV893" s="223">
        <v>-9999</v>
      </c>
      <c r="AW893" s="223">
        <v>-9999</v>
      </c>
      <c r="AX893" s="223">
        <v>0</v>
      </c>
      <c r="AY893" s="223">
        <v>-9999</v>
      </c>
      <c r="AZ893" s="223">
        <v>-9999</v>
      </c>
      <c r="BA893" s="223">
        <v>-9999</v>
      </c>
      <c r="BB893" s="223" t="s">
        <v>631</v>
      </c>
      <c r="BC893" s="223">
        <v>-9999</v>
      </c>
      <c r="BD893" s="223">
        <v>-9999</v>
      </c>
      <c r="BE893" s="223">
        <v>-9999</v>
      </c>
      <c r="BF893" s="223">
        <v>-9999</v>
      </c>
      <c r="BG893" s="223">
        <v>-9999</v>
      </c>
      <c r="BH893" s="223">
        <v>-9999</v>
      </c>
      <c r="BI893" s="223" t="s">
        <v>84</v>
      </c>
      <c r="BJ893" s="223">
        <v>-9999</v>
      </c>
      <c r="BK893" s="223">
        <v>-9999</v>
      </c>
      <c r="BL893" s="223">
        <v>-9999</v>
      </c>
      <c r="BM893" s="223">
        <v>-9999</v>
      </c>
      <c r="BN893" s="223">
        <v>-9999</v>
      </c>
      <c r="BO893" s="223">
        <v>-9999</v>
      </c>
      <c r="BP893" s="223">
        <v>-9999</v>
      </c>
      <c r="BQ893" s="223">
        <v>-9999</v>
      </c>
      <c r="BR893" s="223">
        <v>-9999</v>
      </c>
      <c r="BS893" s="242">
        <v>-9999</v>
      </c>
      <c r="BT893" s="223">
        <v>-9999</v>
      </c>
      <c r="BU893" s="223">
        <v>-9999</v>
      </c>
      <c r="BV893" s="223">
        <v>-9999</v>
      </c>
      <c r="BW893" s="223"/>
      <c r="BX893" s="223">
        <v>-9999</v>
      </c>
      <c r="BY893" s="223">
        <v>-9999</v>
      </c>
      <c r="BZ893" s="223">
        <v>-9999</v>
      </c>
      <c r="CA893" s="332">
        <v>-9999</v>
      </c>
      <c r="CB893" s="443" t="s">
        <v>1570</v>
      </c>
      <c r="CC893" s="240">
        <v>1</v>
      </c>
      <c r="CD893" s="240">
        <v>2</v>
      </c>
      <c r="CE893" s="292">
        <v>4.1500000000000004</v>
      </c>
      <c r="CF893" s="292">
        <v>-9999</v>
      </c>
      <c r="CG893" s="242">
        <v>2</v>
      </c>
    </row>
    <row r="894" spans="1:85" s="23" customFormat="1" x14ac:dyDescent="0.2">
      <c r="A894" s="240" t="s">
        <v>366</v>
      </c>
      <c r="B894" s="223" t="s">
        <v>85</v>
      </c>
      <c r="C894" s="223" t="s">
        <v>364</v>
      </c>
      <c r="D894" s="223" t="s">
        <v>1255</v>
      </c>
      <c r="E894" s="404" t="s">
        <v>1460</v>
      </c>
      <c r="F894" s="240">
        <v>2</v>
      </c>
      <c r="G894" s="240">
        <v>2</v>
      </c>
      <c r="H894" s="242">
        <v>4</v>
      </c>
      <c r="I894" s="245" t="s">
        <v>954</v>
      </c>
      <c r="J894" s="441">
        <v>1973</v>
      </c>
      <c r="K894" s="245" t="s">
        <v>1211</v>
      </c>
      <c r="L894" s="441">
        <v>1976</v>
      </c>
      <c r="M894" s="243">
        <v>13</v>
      </c>
      <c r="N894" s="223">
        <v>-9999</v>
      </c>
      <c r="O894" s="29"/>
      <c r="P894" s="243">
        <v>-9999</v>
      </c>
      <c r="Q894" s="223">
        <v>-9999</v>
      </c>
      <c r="R894" s="243"/>
      <c r="S894" s="223"/>
      <c r="T894" s="244">
        <f>+M894/G894</f>
        <v>6.5</v>
      </c>
      <c r="U894" s="223">
        <v>-9999</v>
      </c>
      <c r="V894" s="223"/>
      <c r="W894" s="243">
        <v>-9999</v>
      </c>
      <c r="X894" s="223">
        <v>-9999</v>
      </c>
      <c r="Y894" s="223"/>
      <c r="Z894" s="404" t="s">
        <v>1701</v>
      </c>
      <c r="AA894" s="442">
        <v>13455</v>
      </c>
      <c r="AB894" s="243">
        <v>0.85</v>
      </c>
      <c r="AC894" s="223">
        <v>-9999</v>
      </c>
      <c r="AD894" s="223">
        <v>100</v>
      </c>
      <c r="AE894" s="404" t="s">
        <v>1961</v>
      </c>
      <c r="AF894" s="223">
        <v>1</v>
      </c>
      <c r="AG894" s="223" t="s">
        <v>1070</v>
      </c>
      <c r="AH894" s="223" t="s">
        <v>876</v>
      </c>
      <c r="AI894" s="223" t="s">
        <v>1066</v>
      </c>
      <c r="AJ894" s="223">
        <v>-9999</v>
      </c>
      <c r="AK894" s="223" t="s">
        <v>626</v>
      </c>
      <c r="AL894" s="223" t="s">
        <v>1069</v>
      </c>
      <c r="AM894" s="223">
        <v>-9999</v>
      </c>
      <c r="AN894" s="223">
        <v>-9999</v>
      </c>
      <c r="AO894" s="223">
        <v>-9999</v>
      </c>
      <c r="AP894" s="223">
        <v>-9999</v>
      </c>
      <c r="AQ894" s="223" t="s">
        <v>631</v>
      </c>
      <c r="AR894" s="223">
        <v>0</v>
      </c>
      <c r="AS894" s="223">
        <v>-9999</v>
      </c>
      <c r="AT894" s="223">
        <v>-9999</v>
      </c>
      <c r="AU894" s="223">
        <v>0</v>
      </c>
      <c r="AV894" s="223">
        <v>-9999</v>
      </c>
      <c r="AW894" s="223">
        <v>-9999</v>
      </c>
      <c r="AX894" s="223">
        <v>0</v>
      </c>
      <c r="AY894" s="223">
        <v>-9999</v>
      </c>
      <c r="AZ894" s="223">
        <v>-9999</v>
      </c>
      <c r="BA894" s="223">
        <v>-9999</v>
      </c>
      <c r="BB894" s="223" t="s">
        <v>631</v>
      </c>
      <c r="BC894" s="223">
        <v>-9999</v>
      </c>
      <c r="BD894" s="223">
        <v>-9999</v>
      </c>
      <c r="BE894" s="223">
        <v>-9999</v>
      </c>
      <c r="BF894" s="223">
        <v>-9999</v>
      </c>
      <c r="BG894" s="223">
        <v>-9999</v>
      </c>
      <c r="BH894" s="223">
        <v>-9999</v>
      </c>
      <c r="BI894" s="223" t="s">
        <v>84</v>
      </c>
      <c r="BJ894" s="223">
        <v>-9999</v>
      </c>
      <c r="BK894" s="223">
        <v>-9999</v>
      </c>
      <c r="BL894" s="223">
        <v>-9999</v>
      </c>
      <c r="BM894" s="223">
        <v>-9999</v>
      </c>
      <c r="BN894" s="223">
        <v>-9999</v>
      </c>
      <c r="BO894" s="223">
        <v>-9999</v>
      </c>
      <c r="BP894" s="223">
        <v>-9999</v>
      </c>
      <c r="BQ894" s="223">
        <v>-9999</v>
      </c>
      <c r="BR894" s="223">
        <v>-9999</v>
      </c>
      <c r="BS894" s="242">
        <v>-9999</v>
      </c>
      <c r="BT894" s="223">
        <v>-9999</v>
      </c>
      <c r="BU894" s="223">
        <v>-9999</v>
      </c>
      <c r="BV894" s="223">
        <v>-9999</v>
      </c>
      <c r="BW894" s="223"/>
      <c r="BX894" s="223">
        <v>-9999</v>
      </c>
      <c r="BY894" s="223">
        <v>-9999</v>
      </c>
      <c r="BZ894" s="223">
        <v>-9999</v>
      </c>
      <c r="CA894" s="332">
        <v>-9999</v>
      </c>
      <c r="CB894" s="443" t="s">
        <v>1570</v>
      </c>
      <c r="CC894" s="240">
        <v>2</v>
      </c>
      <c r="CD894" s="240">
        <v>2</v>
      </c>
      <c r="CE894" s="292">
        <v>6.5</v>
      </c>
      <c r="CF894" s="292">
        <v>-9999</v>
      </c>
      <c r="CG894" s="242">
        <v>4</v>
      </c>
    </row>
    <row r="895" spans="1:85" s="23" customFormat="1" x14ac:dyDescent="0.2">
      <c r="A895" s="240"/>
      <c r="B895" s="223"/>
      <c r="C895" s="223"/>
      <c r="D895" s="223"/>
      <c r="E895" s="404"/>
      <c r="F895" s="240"/>
      <c r="G895" s="240"/>
      <c r="H895" s="242"/>
      <c r="I895" s="245"/>
      <c r="J895" s="223"/>
      <c r="K895" s="245"/>
      <c r="L895" s="223"/>
      <c r="M895" s="243"/>
      <c r="N895" s="223"/>
      <c r="O895" s="29"/>
      <c r="P895" s="243"/>
      <c r="Q895" s="223"/>
      <c r="R895" s="243"/>
      <c r="S895" s="223"/>
      <c r="T895" s="244"/>
      <c r="U895" s="223"/>
      <c r="V895" s="223"/>
      <c r="W895" s="243"/>
      <c r="X895" s="223"/>
      <c r="Y895" s="223"/>
      <c r="Z895" s="223"/>
      <c r="AA895" s="442"/>
      <c r="AB895" s="243"/>
      <c r="AC895" s="223"/>
      <c r="AD895" s="223"/>
      <c r="AE895" s="449"/>
      <c r="AF895" s="223"/>
      <c r="AG895" s="223"/>
      <c r="AH895" s="223"/>
      <c r="AI895" s="223"/>
      <c r="AJ895" s="223"/>
      <c r="AK895" s="223"/>
      <c r="AL895" s="223"/>
      <c r="AM895" s="223"/>
      <c r="AN895" s="223"/>
      <c r="AO895" s="223"/>
      <c r="AP895" s="223"/>
      <c r="AQ895" s="223"/>
      <c r="AR895" s="223"/>
      <c r="AS895" s="223"/>
      <c r="AT895" s="223"/>
      <c r="AU895" s="223"/>
      <c r="AV895" s="223"/>
      <c r="AW895" s="223">
        <v>-9999</v>
      </c>
      <c r="AX895" s="223"/>
      <c r="AY895" s="223"/>
      <c r="AZ895" s="223"/>
      <c r="BA895" s="223"/>
      <c r="BB895" s="223"/>
      <c r="BC895" s="223"/>
      <c r="BD895" s="223"/>
      <c r="BE895" s="223"/>
      <c r="BF895" s="223"/>
      <c r="BG895" s="223"/>
      <c r="BH895" s="223"/>
      <c r="BI895" s="223"/>
      <c r="BJ895" s="223"/>
      <c r="BK895" s="223"/>
      <c r="BL895" s="223"/>
      <c r="BM895" s="223"/>
      <c r="BN895" s="223"/>
      <c r="BO895" s="223"/>
      <c r="BP895" s="223"/>
      <c r="BQ895" s="223"/>
      <c r="BR895" s="223"/>
      <c r="BS895" s="242">
        <v>-9999</v>
      </c>
      <c r="BT895" s="223"/>
      <c r="BU895" s="223"/>
      <c r="BV895" s="223"/>
      <c r="BW895" s="223"/>
      <c r="BX895" s="223"/>
      <c r="BY895" s="223"/>
      <c r="BZ895" s="223"/>
      <c r="CA895" s="332"/>
      <c r="CB895" s="446"/>
      <c r="CC895" s="240"/>
      <c r="CD895" s="240"/>
      <c r="CE895" s="292"/>
      <c r="CF895" s="292"/>
      <c r="CG895" s="242"/>
    </row>
    <row r="896" spans="1:85" s="23" customFormat="1" x14ac:dyDescent="0.2">
      <c r="A896" s="240" t="s">
        <v>366</v>
      </c>
      <c r="B896" s="223" t="s">
        <v>85</v>
      </c>
      <c r="C896" s="223" t="s">
        <v>365</v>
      </c>
      <c r="D896" s="223" t="s">
        <v>1255</v>
      </c>
      <c r="E896" s="404" t="s">
        <v>1460</v>
      </c>
      <c r="F896" s="240">
        <v>1</v>
      </c>
      <c r="G896" s="240">
        <v>2</v>
      </c>
      <c r="H896" s="242">
        <v>2</v>
      </c>
      <c r="I896" s="245" t="s">
        <v>954</v>
      </c>
      <c r="J896" s="441">
        <v>1973</v>
      </c>
      <c r="K896" s="245" t="s">
        <v>1211</v>
      </c>
      <c r="L896" s="441">
        <v>1974</v>
      </c>
      <c r="M896" s="243">
        <v>5.8</v>
      </c>
      <c r="N896" s="223">
        <v>-9999</v>
      </c>
      <c r="O896" s="29"/>
      <c r="P896" s="243">
        <v>-9999</v>
      </c>
      <c r="Q896" s="223">
        <v>-9999</v>
      </c>
      <c r="R896" s="243"/>
      <c r="S896" s="223"/>
      <c r="T896" s="244">
        <f>+M896/G896</f>
        <v>2.9</v>
      </c>
      <c r="U896" s="223">
        <v>-9999</v>
      </c>
      <c r="V896" s="223"/>
      <c r="W896" s="243">
        <v>-9999</v>
      </c>
      <c r="X896" s="223">
        <v>-9999</v>
      </c>
      <c r="Y896" s="223"/>
      <c r="Z896" s="223" t="s">
        <v>67</v>
      </c>
      <c r="AA896" s="441">
        <v>6727</v>
      </c>
      <c r="AB896" s="243">
        <v>1</v>
      </c>
      <c r="AC896" s="223">
        <v>-9999</v>
      </c>
      <c r="AD896" s="223">
        <v>100</v>
      </c>
      <c r="AE896" s="404" t="s">
        <v>1959</v>
      </c>
      <c r="AF896" s="223">
        <v>1</v>
      </c>
      <c r="AG896" s="223" t="s">
        <v>1070</v>
      </c>
      <c r="AH896" s="223" t="s">
        <v>876</v>
      </c>
      <c r="AI896" s="223" t="s">
        <v>1066</v>
      </c>
      <c r="AJ896" s="223">
        <v>-9999</v>
      </c>
      <c r="AK896" s="223" t="s">
        <v>626</v>
      </c>
      <c r="AL896" s="223" t="s">
        <v>1068</v>
      </c>
      <c r="AM896" s="223">
        <v>-9999</v>
      </c>
      <c r="AN896" s="223">
        <v>-9999</v>
      </c>
      <c r="AO896" s="223">
        <v>-9999</v>
      </c>
      <c r="AP896" s="223">
        <v>-9999</v>
      </c>
      <c r="AQ896" s="223" t="s">
        <v>631</v>
      </c>
      <c r="AR896" s="223">
        <v>0</v>
      </c>
      <c r="AS896" s="223">
        <v>-9999</v>
      </c>
      <c r="AT896" s="223">
        <v>-9999</v>
      </c>
      <c r="AU896" s="223">
        <v>0</v>
      </c>
      <c r="AV896" s="223">
        <v>-9999</v>
      </c>
      <c r="AW896" s="223">
        <v>-9999</v>
      </c>
      <c r="AX896" s="223">
        <v>0</v>
      </c>
      <c r="AY896" s="223">
        <v>-9999</v>
      </c>
      <c r="AZ896" s="223">
        <v>-9999</v>
      </c>
      <c r="BA896" s="223">
        <v>-9999</v>
      </c>
      <c r="BB896" s="223" t="s">
        <v>631</v>
      </c>
      <c r="BC896" s="223">
        <v>-9999</v>
      </c>
      <c r="BD896" s="223">
        <v>-9999</v>
      </c>
      <c r="BE896" s="223">
        <v>-9999</v>
      </c>
      <c r="BF896" s="223">
        <v>-9999</v>
      </c>
      <c r="BG896" s="223">
        <v>-9999</v>
      </c>
      <c r="BH896" s="223">
        <v>-9999</v>
      </c>
      <c r="BI896" s="223" t="s">
        <v>84</v>
      </c>
      <c r="BJ896" s="223">
        <v>-9999</v>
      </c>
      <c r="BK896" s="223">
        <v>-9999</v>
      </c>
      <c r="BL896" s="223">
        <v>-9999</v>
      </c>
      <c r="BM896" s="223">
        <v>-9999</v>
      </c>
      <c r="BN896" s="223">
        <v>-9999</v>
      </c>
      <c r="BO896" s="223">
        <v>-9999</v>
      </c>
      <c r="BP896" s="223">
        <v>-9999</v>
      </c>
      <c r="BQ896" s="223">
        <v>-9999</v>
      </c>
      <c r="BR896" s="223">
        <v>-9999</v>
      </c>
      <c r="BS896" s="242">
        <v>-9999</v>
      </c>
      <c r="BT896" s="223">
        <v>-9999</v>
      </c>
      <c r="BU896" s="223">
        <v>-9999</v>
      </c>
      <c r="BV896" s="223">
        <v>-9999</v>
      </c>
      <c r="BW896" s="223"/>
      <c r="BX896" s="223">
        <v>-9999</v>
      </c>
      <c r="BY896" s="223">
        <v>-9999</v>
      </c>
      <c r="BZ896" s="223">
        <v>-9999</v>
      </c>
      <c r="CA896" s="332">
        <v>-9999</v>
      </c>
      <c r="CB896" s="443" t="s">
        <v>1570</v>
      </c>
      <c r="CC896" s="240">
        <v>1</v>
      </c>
      <c r="CD896" s="240">
        <v>2</v>
      </c>
      <c r="CE896" s="292">
        <v>2.9</v>
      </c>
      <c r="CF896" s="292">
        <v>-9999</v>
      </c>
      <c r="CG896" s="242">
        <v>2</v>
      </c>
    </row>
    <row r="897" spans="1:1873" s="23" customFormat="1" x14ac:dyDescent="0.2">
      <c r="A897" s="240" t="s">
        <v>366</v>
      </c>
      <c r="B897" s="223" t="s">
        <v>85</v>
      </c>
      <c r="C897" s="223" t="s">
        <v>365</v>
      </c>
      <c r="D897" s="223" t="s">
        <v>1255</v>
      </c>
      <c r="E897" s="404" t="s">
        <v>1460</v>
      </c>
      <c r="F897" s="240">
        <v>2</v>
      </c>
      <c r="G897" s="240">
        <v>2</v>
      </c>
      <c r="H897" s="242">
        <v>4</v>
      </c>
      <c r="I897" s="245" t="s">
        <v>954</v>
      </c>
      <c r="J897" s="441">
        <v>1973</v>
      </c>
      <c r="K897" s="245" t="s">
        <v>1211</v>
      </c>
      <c r="L897" s="441">
        <v>1976</v>
      </c>
      <c r="M897" s="243">
        <v>9.1999999999999993</v>
      </c>
      <c r="N897" s="223">
        <v>-9999</v>
      </c>
      <c r="O897" s="29"/>
      <c r="P897" s="243">
        <v>-9999</v>
      </c>
      <c r="Q897" s="223">
        <v>-9999</v>
      </c>
      <c r="R897" s="243"/>
      <c r="S897" s="223"/>
      <c r="T897" s="244">
        <f>+M897/G897</f>
        <v>4.5999999999999996</v>
      </c>
      <c r="U897" s="223">
        <v>-9999</v>
      </c>
      <c r="V897" s="223"/>
      <c r="W897" s="243">
        <v>-9999</v>
      </c>
      <c r="X897" s="223">
        <v>-9999</v>
      </c>
      <c r="Y897" s="223"/>
      <c r="Z897" s="223" t="s">
        <v>67</v>
      </c>
      <c r="AA897" s="441">
        <v>6727</v>
      </c>
      <c r="AB897" s="243">
        <v>0.93</v>
      </c>
      <c r="AC897" s="223">
        <v>-9999</v>
      </c>
      <c r="AD897" s="223">
        <v>100</v>
      </c>
      <c r="AE897" s="404" t="s">
        <v>1959</v>
      </c>
      <c r="AF897" s="223">
        <v>1</v>
      </c>
      <c r="AG897" s="223" t="s">
        <v>1070</v>
      </c>
      <c r="AH897" s="223" t="s">
        <v>876</v>
      </c>
      <c r="AI897" s="223" t="s">
        <v>1066</v>
      </c>
      <c r="AJ897" s="223">
        <v>-9999</v>
      </c>
      <c r="AK897" s="223" t="s">
        <v>626</v>
      </c>
      <c r="AL897" s="223" t="s">
        <v>1069</v>
      </c>
      <c r="AM897" s="223">
        <v>-9999</v>
      </c>
      <c r="AN897" s="223">
        <v>-9999</v>
      </c>
      <c r="AO897" s="223">
        <v>-9999</v>
      </c>
      <c r="AP897" s="223">
        <v>-9999</v>
      </c>
      <c r="AQ897" s="223" t="s">
        <v>631</v>
      </c>
      <c r="AR897" s="223">
        <v>0</v>
      </c>
      <c r="AS897" s="223">
        <v>-9999</v>
      </c>
      <c r="AT897" s="223">
        <v>-9999</v>
      </c>
      <c r="AU897" s="223">
        <v>0</v>
      </c>
      <c r="AV897" s="223">
        <v>-9999</v>
      </c>
      <c r="AW897" s="223">
        <v>-9999</v>
      </c>
      <c r="AX897" s="223">
        <v>0</v>
      </c>
      <c r="AY897" s="223">
        <v>-9999</v>
      </c>
      <c r="AZ897" s="223">
        <v>-9999</v>
      </c>
      <c r="BA897" s="223">
        <v>-9999</v>
      </c>
      <c r="BB897" s="223" t="s">
        <v>631</v>
      </c>
      <c r="BC897" s="223">
        <v>-9999</v>
      </c>
      <c r="BD897" s="223">
        <v>-9999</v>
      </c>
      <c r="BE897" s="223">
        <v>-9999</v>
      </c>
      <c r="BF897" s="223">
        <v>-9999</v>
      </c>
      <c r="BG897" s="223">
        <v>-9999</v>
      </c>
      <c r="BH897" s="223">
        <v>-9999</v>
      </c>
      <c r="BI897" s="223" t="s">
        <v>84</v>
      </c>
      <c r="BJ897" s="223">
        <v>-9999</v>
      </c>
      <c r="BK897" s="223">
        <v>-9999</v>
      </c>
      <c r="BL897" s="223">
        <v>-9999</v>
      </c>
      <c r="BM897" s="223">
        <v>-9999</v>
      </c>
      <c r="BN897" s="223">
        <v>-9999</v>
      </c>
      <c r="BO897" s="223">
        <v>-9999</v>
      </c>
      <c r="BP897" s="223">
        <v>-9999</v>
      </c>
      <c r="BQ897" s="223">
        <v>-9999</v>
      </c>
      <c r="BR897" s="223">
        <v>-9999</v>
      </c>
      <c r="BS897" s="242">
        <v>-9999</v>
      </c>
      <c r="BT897" s="223">
        <v>-9999</v>
      </c>
      <c r="BU897" s="223">
        <v>-9999</v>
      </c>
      <c r="BV897" s="223">
        <v>-9999</v>
      </c>
      <c r="BW897" s="223"/>
      <c r="BX897" s="223">
        <v>-9999</v>
      </c>
      <c r="BY897" s="223">
        <v>-9999</v>
      </c>
      <c r="BZ897" s="223">
        <v>-9999</v>
      </c>
      <c r="CA897" s="332">
        <v>-9999</v>
      </c>
      <c r="CB897" s="443" t="s">
        <v>1570</v>
      </c>
      <c r="CC897" s="240">
        <v>2</v>
      </c>
      <c r="CD897" s="240">
        <v>2</v>
      </c>
      <c r="CE897" s="292">
        <v>4.5999999999999996</v>
      </c>
      <c r="CF897" s="292">
        <v>-9999</v>
      </c>
      <c r="CG897" s="242">
        <v>4</v>
      </c>
    </row>
    <row r="898" spans="1:1873" s="23" customFormat="1" x14ac:dyDescent="0.2">
      <c r="A898" s="29"/>
      <c r="B898" s="29"/>
      <c r="C898" s="71"/>
      <c r="D898" s="29"/>
      <c r="E898" s="66"/>
      <c r="F898" s="66"/>
      <c r="G898" s="29"/>
      <c r="H898" s="30"/>
      <c r="I898" s="29"/>
      <c r="J898" s="112"/>
      <c r="K898" s="112"/>
      <c r="L898" s="29"/>
      <c r="M898" s="31"/>
      <c r="N898" s="31"/>
      <c r="O898" s="29"/>
      <c r="P898" s="31"/>
      <c r="Q898" s="29"/>
      <c r="R898" s="31"/>
      <c r="S898" s="29"/>
      <c r="T898" s="31"/>
      <c r="U898" s="29"/>
      <c r="V898" s="29"/>
      <c r="W898" s="31"/>
      <c r="X898" s="29"/>
      <c r="Y898" s="29"/>
      <c r="Z898" s="29"/>
      <c r="AA898" s="29"/>
      <c r="AB898" s="31"/>
      <c r="AC898" s="71"/>
      <c r="AD898" s="71"/>
      <c r="AE898" s="71"/>
      <c r="AF898" s="29"/>
      <c r="AG898" s="29"/>
      <c r="AH898" s="29"/>
      <c r="AI898" s="29"/>
      <c r="AJ898" s="29"/>
      <c r="AK898" s="29"/>
      <c r="AL898" s="29"/>
      <c r="AM898" s="29"/>
      <c r="AN898" s="29"/>
      <c r="AO898" s="29"/>
      <c r="AP898" s="29"/>
      <c r="AQ898" s="29"/>
      <c r="AR898" s="29"/>
      <c r="AS898" s="29"/>
      <c r="AT898" s="29"/>
      <c r="AU898" s="29"/>
      <c r="AV898" s="29"/>
      <c r="AW898" s="29"/>
      <c r="AX898" s="29"/>
      <c r="AY898" s="29"/>
      <c r="AZ898" s="29"/>
      <c r="BA898" s="29"/>
      <c r="BB898" s="29"/>
      <c r="BC898" s="29"/>
      <c r="BD898" s="29"/>
      <c r="BE898" s="29"/>
      <c r="BF898" s="29"/>
      <c r="BG898" s="29"/>
      <c r="BH898" s="29"/>
      <c r="BI898" s="29"/>
      <c r="BJ898" s="29"/>
      <c r="BK898" s="29"/>
      <c r="BL898" s="29"/>
      <c r="BM898" s="29"/>
      <c r="BN898" s="29"/>
      <c r="BO898" s="29"/>
      <c r="BP898" s="29"/>
      <c r="BQ898" s="29"/>
      <c r="BR898" s="29"/>
      <c r="BS898" s="30"/>
      <c r="BT898" s="29"/>
      <c r="BU898" s="29"/>
      <c r="BV898" s="29"/>
      <c r="BW898" s="29"/>
      <c r="BX898" s="29"/>
      <c r="BY898" s="29"/>
      <c r="BZ898" s="29"/>
      <c r="CA898" s="98"/>
      <c r="CC898" s="66"/>
      <c r="CD898" s="29"/>
      <c r="CE898" s="342" t="s">
        <v>1576</v>
      </c>
      <c r="CF898" s="342" t="s">
        <v>1575</v>
      </c>
      <c r="CG898" s="30"/>
    </row>
    <row r="899" spans="1:1873" s="23" customFormat="1" x14ac:dyDescent="0.2">
      <c r="A899" s="223" t="s">
        <v>367</v>
      </c>
      <c r="B899" s="223" t="s">
        <v>82</v>
      </c>
      <c r="C899" s="223" t="s">
        <v>368</v>
      </c>
      <c r="D899" s="223" t="s">
        <v>1402</v>
      </c>
      <c r="E899" s="404" t="s">
        <v>1461</v>
      </c>
      <c r="F899" s="241">
        <v>1</v>
      </c>
      <c r="G899" s="223">
        <v>1</v>
      </c>
      <c r="H899" s="242">
        <v>1</v>
      </c>
      <c r="I899" s="404" t="s">
        <v>954</v>
      </c>
      <c r="J899" s="450">
        <v>1985</v>
      </c>
      <c r="K899" s="450" t="s">
        <v>842</v>
      </c>
      <c r="L899" s="223">
        <v>1986</v>
      </c>
      <c r="M899" s="243">
        <v>6.5</v>
      </c>
      <c r="N899" s="223">
        <v>-9999</v>
      </c>
      <c r="O899" s="29"/>
      <c r="P899" s="243">
        <f>+M899</f>
        <v>6.5</v>
      </c>
      <c r="Q899" s="223">
        <v>-9999</v>
      </c>
      <c r="R899" s="243"/>
      <c r="S899" s="223"/>
      <c r="T899" s="244">
        <f>+M899</f>
        <v>6.5</v>
      </c>
      <c r="U899" s="223">
        <v>-9999</v>
      </c>
      <c r="V899" s="223"/>
      <c r="W899" s="243">
        <v>6.5</v>
      </c>
      <c r="X899" s="223">
        <v>-9999</v>
      </c>
      <c r="Y899" s="223"/>
      <c r="Z899" s="449" t="s">
        <v>657</v>
      </c>
      <c r="AA899" s="442">
        <v>111111</v>
      </c>
      <c r="AB899" s="243">
        <v>-9999</v>
      </c>
      <c r="AC899" s="223">
        <v>-9999</v>
      </c>
      <c r="AD899" s="223">
        <v>62.4</v>
      </c>
      <c r="AE899" s="404" t="s">
        <v>1959</v>
      </c>
      <c r="AF899" s="223">
        <v>3</v>
      </c>
      <c r="AG899" s="223">
        <v>8</v>
      </c>
      <c r="AH899" s="223" t="s">
        <v>876</v>
      </c>
      <c r="AI899" s="223">
        <v>-9999</v>
      </c>
      <c r="AJ899" s="223">
        <v>-9999</v>
      </c>
      <c r="AK899" s="223">
        <v>-9999</v>
      </c>
      <c r="AL899" s="223">
        <v>-9999</v>
      </c>
      <c r="AM899" s="223">
        <v>-9999</v>
      </c>
      <c r="AN899" s="223">
        <v>-9999</v>
      </c>
      <c r="AO899" s="223">
        <v>-9999</v>
      </c>
      <c r="AP899" s="223">
        <v>-9999</v>
      </c>
      <c r="AQ899" s="223">
        <v>-9999</v>
      </c>
      <c r="AR899" s="223">
        <v>-9999</v>
      </c>
      <c r="AS899" s="223">
        <v>-9999</v>
      </c>
      <c r="AT899" s="223">
        <v>-9999</v>
      </c>
      <c r="AU899" s="223">
        <v>-9999</v>
      </c>
      <c r="AV899" s="223">
        <v>-9999</v>
      </c>
      <c r="AW899" s="223">
        <v>-9999</v>
      </c>
      <c r="AX899" s="223">
        <v>-9999</v>
      </c>
      <c r="AY899" s="223">
        <v>-9999</v>
      </c>
      <c r="AZ899" s="223">
        <v>-9999</v>
      </c>
      <c r="BA899" s="223">
        <v>-9999</v>
      </c>
      <c r="BB899" s="223" t="s">
        <v>626</v>
      </c>
      <c r="BC899" s="223" t="s">
        <v>369</v>
      </c>
      <c r="BD899" s="223">
        <v>-9999</v>
      </c>
      <c r="BE899" s="223" t="s">
        <v>370</v>
      </c>
      <c r="BF899" s="223">
        <v>-9999</v>
      </c>
      <c r="BG899" s="223">
        <v>-9999</v>
      </c>
      <c r="BH899" s="223">
        <v>-9999</v>
      </c>
      <c r="BI899" s="223">
        <v>-9999</v>
      </c>
      <c r="BJ899" s="223">
        <v>-9999</v>
      </c>
      <c r="BK899" s="223">
        <v>-9999</v>
      </c>
      <c r="BL899" s="223">
        <v>-9999</v>
      </c>
      <c r="BM899" s="223">
        <v>-9999</v>
      </c>
      <c r="BN899" s="223">
        <v>-9999</v>
      </c>
      <c r="BO899" s="223">
        <v>-9999</v>
      </c>
      <c r="BP899" s="223">
        <v>-9999</v>
      </c>
      <c r="BQ899" s="223">
        <v>-9999</v>
      </c>
      <c r="BR899" s="223">
        <v>-9999</v>
      </c>
      <c r="BS899" s="242">
        <v>-9999</v>
      </c>
      <c r="BT899" s="223">
        <v>-9999</v>
      </c>
      <c r="BU899" s="223">
        <v>-9999</v>
      </c>
      <c r="BV899" s="223">
        <v>-9999</v>
      </c>
      <c r="BW899" s="223"/>
      <c r="BX899" s="223">
        <v>-9999</v>
      </c>
      <c r="BY899" s="223">
        <v>-9999</v>
      </c>
      <c r="BZ899" s="223">
        <v>-9999</v>
      </c>
      <c r="CA899" s="332">
        <v>-9999</v>
      </c>
      <c r="CB899" s="247"/>
      <c r="CC899" s="241">
        <v>1</v>
      </c>
      <c r="CD899" s="223">
        <v>1</v>
      </c>
      <c r="CE899" s="292">
        <v>6.5</v>
      </c>
      <c r="CF899" s="292">
        <v>6.5</v>
      </c>
      <c r="CG899" s="242">
        <v>1</v>
      </c>
    </row>
    <row r="900" spans="1:1873" s="205" customFormat="1" x14ac:dyDescent="0.2">
      <c r="A900" s="283" t="s">
        <v>367</v>
      </c>
      <c r="B900" s="249" t="s">
        <v>82</v>
      </c>
      <c r="C900" s="249" t="s">
        <v>368</v>
      </c>
      <c r="D900" s="249" t="s">
        <v>1402</v>
      </c>
      <c r="E900" s="249" t="s">
        <v>1461</v>
      </c>
      <c r="F900" s="250">
        <v>2</v>
      </c>
      <c r="G900" s="249">
        <v>1</v>
      </c>
      <c r="H900" s="251">
        <v>2</v>
      </c>
      <c r="I900" s="249" t="s">
        <v>954</v>
      </c>
      <c r="J900" s="554">
        <v>1985</v>
      </c>
      <c r="K900" s="554" t="s">
        <v>842</v>
      </c>
      <c r="L900" s="249">
        <v>1987</v>
      </c>
      <c r="M900" s="253">
        <v>11.7</v>
      </c>
      <c r="N900" s="249">
        <v>-9999</v>
      </c>
      <c r="O900" s="18"/>
      <c r="P900" s="253">
        <f>+M900+M899</f>
        <v>18.2</v>
      </c>
      <c r="Q900" s="249">
        <v>-9999</v>
      </c>
      <c r="R900" s="253"/>
      <c r="S900" s="249"/>
      <c r="T900" s="284">
        <f>+(T899+M900)/H900</f>
        <v>9.1</v>
      </c>
      <c r="U900" s="249">
        <v>-9999</v>
      </c>
      <c r="V900" s="249"/>
      <c r="W900" s="253">
        <v>11.7</v>
      </c>
      <c r="X900" s="249">
        <v>-9999</v>
      </c>
      <c r="Y900" s="249"/>
      <c r="Z900" s="423" t="s">
        <v>657</v>
      </c>
      <c r="AA900" s="447">
        <v>111111</v>
      </c>
      <c r="AB900" s="253">
        <v>-9999</v>
      </c>
      <c r="AC900" s="249">
        <v>-9999</v>
      </c>
      <c r="AD900" s="249">
        <v>62.4</v>
      </c>
      <c r="AE900" s="249" t="s">
        <v>1959</v>
      </c>
      <c r="AF900" s="249">
        <v>3</v>
      </c>
      <c r="AG900" s="249">
        <v>8</v>
      </c>
      <c r="AH900" s="249" t="s">
        <v>876</v>
      </c>
      <c r="AI900" s="249">
        <v>-9999</v>
      </c>
      <c r="AJ900" s="249">
        <v>-9999</v>
      </c>
      <c r="AK900" s="249">
        <v>-9999</v>
      </c>
      <c r="AL900" s="249">
        <v>-9999</v>
      </c>
      <c r="AM900" s="249">
        <v>-9999</v>
      </c>
      <c r="AN900" s="249">
        <v>-9999</v>
      </c>
      <c r="AO900" s="249">
        <v>-9999</v>
      </c>
      <c r="AP900" s="249">
        <v>-9999</v>
      </c>
      <c r="AQ900" s="249">
        <v>-9999</v>
      </c>
      <c r="AR900" s="249">
        <v>-9999</v>
      </c>
      <c r="AS900" s="249">
        <v>-9999</v>
      </c>
      <c r="AT900" s="249">
        <v>-9999</v>
      </c>
      <c r="AU900" s="249">
        <v>-9999</v>
      </c>
      <c r="AV900" s="249">
        <v>-9999</v>
      </c>
      <c r="AW900" s="249">
        <v>-9999</v>
      </c>
      <c r="AX900" s="249">
        <v>-9999</v>
      </c>
      <c r="AY900" s="249">
        <v>-9999</v>
      </c>
      <c r="AZ900" s="249">
        <v>-9999</v>
      </c>
      <c r="BA900" s="249">
        <v>-9999</v>
      </c>
      <c r="BB900" s="249" t="s">
        <v>626</v>
      </c>
      <c r="BC900" s="249" t="s">
        <v>369</v>
      </c>
      <c r="BD900" s="249">
        <v>-9999</v>
      </c>
      <c r="BE900" s="249" t="s">
        <v>370</v>
      </c>
      <c r="BF900" s="249">
        <v>-9999</v>
      </c>
      <c r="BG900" s="249">
        <v>-9999</v>
      </c>
      <c r="BH900" s="249">
        <v>-9999</v>
      </c>
      <c r="BI900" s="249">
        <v>-9999</v>
      </c>
      <c r="BJ900" s="249">
        <v>-9999</v>
      </c>
      <c r="BK900" s="249">
        <v>-9999</v>
      </c>
      <c r="BL900" s="249">
        <v>-9999</v>
      </c>
      <c r="BM900" s="249">
        <v>-9999</v>
      </c>
      <c r="BN900" s="249">
        <v>-9999</v>
      </c>
      <c r="BO900" s="249">
        <v>-9999</v>
      </c>
      <c r="BP900" s="249">
        <v>-9999</v>
      </c>
      <c r="BQ900" s="249">
        <v>-9999</v>
      </c>
      <c r="BR900" s="249">
        <v>-9999</v>
      </c>
      <c r="BS900" s="251">
        <v>-9999</v>
      </c>
      <c r="BT900" s="249">
        <v>-9999</v>
      </c>
      <c r="BU900" s="249">
        <v>-9999</v>
      </c>
      <c r="BV900" s="249">
        <v>-9999</v>
      </c>
      <c r="BW900" s="249"/>
      <c r="BX900" s="249">
        <v>-9999</v>
      </c>
      <c r="BY900" s="249">
        <v>-9999</v>
      </c>
      <c r="BZ900" s="249">
        <v>-9999</v>
      </c>
      <c r="CA900" s="331">
        <v>-9999</v>
      </c>
      <c r="CB900" s="254"/>
      <c r="CC900" s="250">
        <v>2</v>
      </c>
      <c r="CD900" s="249">
        <v>1</v>
      </c>
      <c r="CE900" s="395">
        <v>9.1</v>
      </c>
      <c r="CF900" s="99">
        <v>11.7</v>
      </c>
      <c r="CG900" s="209">
        <v>2</v>
      </c>
      <c r="CH900" s="437" t="s">
        <v>1757</v>
      </c>
      <c r="CI900" s="13"/>
      <c r="CJ900" s="13"/>
      <c r="CK900" s="13"/>
      <c r="CL900" s="13"/>
      <c r="CM900" s="13"/>
      <c r="CN900" s="13"/>
      <c r="CO900" s="13"/>
      <c r="CP900" s="13"/>
      <c r="CQ900" s="13"/>
      <c r="CR900" s="13"/>
      <c r="CS900" s="13"/>
      <c r="CT900" s="13"/>
      <c r="CU900" s="13"/>
      <c r="CV900" s="13"/>
      <c r="CW900" s="13"/>
      <c r="CX900" s="13"/>
      <c r="CY900" s="13"/>
      <c r="CZ900" s="13"/>
      <c r="DA900" s="13"/>
      <c r="DB900" s="13"/>
      <c r="DC900" s="13"/>
      <c r="DD900" s="13"/>
      <c r="DE900" s="13"/>
      <c r="DF900" s="13"/>
      <c r="DG900" s="13"/>
      <c r="DH900" s="13"/>
      <c r="DI900" s="13"/>
      <c r="DJ900" s="13"/>
      <c r="DK900" s="13"/>
      <c r="DL900" s="13"/>
      <c r="DM900" s="13"/>
      <c r="DN900" s="13"/>
      <c r="DO900" s="13"/>
      <c r="DP900" s="13"/>
      <c r="DQ900" s="13"/>
      <c r="DR900" s="13"/>
      <c r="DS900" s="13"/>
      <c r="DT900" s="13"/>
      <c r="DU900" s="13"/>
      <c r="DV900" s="13"/>
      <c r="DW900" s="13"/>
      <c r="DX900" s="13"/>
      <c r="DY900" s="13"/>
      <c r="DZ900" s="13"/>
      <c r="EA900" s="13"/>
      <c r="EB900" s="13"/>
      <c r="EC900" s="13"/>
      <c r="ED900" s="13"/>
      <c r="EE900" s="13"/>
      <c r="EF900" s="13"/>
      <c r="EG900" s="13"/>
      <c r="EH900" s="13"/>
      <c r="EI900" s="13"/>
      <c r="EJ900" s="13"/>
      <c r="EK900" s="13"/>
      <c r="EL900" s="13"/>
      <c r="EM900" s="13"/>
      <c r="EN900" s="13"/>
      <c r="EO900" s="13"/>
      <c r="EP900" s="13"/>
      <c r="EQ900" s="13"/>
      <c r="ER900" s="13"/>
      <c r="ES900" s="13"/>
      <c r="ET900" s="13"/>
      <c r="EU900" s="13"/>
      <c r="EV900" s="13"/>
      <c r="EW900" s="13"/>
      <c r="EX900" s="13"/>
      <c r="EY900" s="13"/>
      <c r="EZ900" s="13"/>
      <c r="FA900" s="13"/>
      <c r="FB900" s="13"/>
      <c r="FC900" s="13"/>
      <c r="FD900" s="13"/>
      <c r="FE900" s="13"/>
      <c r="FF900" s="13"/>
      <c r="FG900" s="13"/>
      <c r="FH900" s="13"/>
      <c r="FI900" s="13"/>
      <c r="FJ900" s="13"/>
      <c r="FK900" s="13"/>
      <c r="FL900" s="13"/>
      <c r="FM900" s="13"/>
      <c r="FN900" s="13"/>
      <c r="FO900" s="13"/>
      <c r="FP900" s="13"/>
      <c r="FQ900" s="13"/>
      <c r="FR900" s="13"/>
      <c r="FS900" s="13"/>
      <c r="FT900" s="13"/>
      <c r="FU900" s="13"/>
      <c r="FV900" s="13"/>
      <c r="FW900" s="13"/>
      <c r="FX900" s="13"/>
      <c r="FY900" s="13"/>
      <c r="FZ900" s="13"/>
      <c r="GA900" s="13"/>
      <c r="GB900" s="13"/>
      <c r="GC900" s="13"/>
      <c r="GD900" s="13"/>
      <c r="GE900" s="13"/>
      <c r="GF900" s="13"/>
      <c r="GG900" s="13"/>
      <c r="GH900" s="13"/>
      <c r="GI900" s="13"/>
      <c r="GJ900" s="13"/>
      <c r="GK900" s="13"/>
      <c r="GL900" s="13"/>
      <c r="GM900" s="13"/>
      <c r="GN900" s="13"/>
      <c r="GO900" s="13"/>
      <c r="GP900" s="13"/>
      <c r="GQ900" s="13"/>
      <c r="GR900" s="13"/>
      <c r="GS900" s="13"/>
      <c r="GT900" s="13"/>
      <c r="GU900" s="13"/>
      <c r="GV900" s="13"/>
      <c r="GW900" s="13"/>
      <c r="GX900" s="13"/>
      <c r="GY900" s="13"/>
      <c r="GZ900" s="13"/>
      <c r="HA900" s="13"/>
      <c r="HB900" s="13"/>
      <c r="HC900" s="13"/>
      <c r="HD900" s="13"/>
      <c r="HE900" s="13"/>
      <c r="HF900" s="13"/>
      <c r="HG900" s="13"/>
      <c r="HH900" s="13"/>
      <c r="HI900" s="13"/>
      <c r="HJ900" s="13"/>
      <c r="HK900" s="13"/>
      <c r="HL900" s="13"/>
      <c r="HM900" s="13"/>
      <c r="HN900" s="13"/>
      <c r="HO900" s="13"/>
      <c r="HP900" s="13"/>
      <c r="HQ900" s="13"/>
      <c r="HR900" s="13"/>
      <c r="HS900" s="13"/>
      <c r="HT900" s="13"/>
      <c r="HU900" s="13"/>
      <c r="HV900" s="13"/>
      <c r="HW900" s="13"/>
      <c r="HX900" s="13"/>
      <c r="HY900" s="13"/>
      <c r="HZ900" s="13"/>
      <c r="IA900" s="13"/>
      <c r="IB900" s="13"/>
      <c r="IC900" s="13"/>
      <c r="ID900" s="13"/>
      <c r="IE900" s="13"/>
      <c r="IF900" s="13"/>
      <c r="IG900" s="13"/>
      <c r="IH900" s="13"/>
      <c r="II900" s="13"/>
      <c r="IJ900" s="13"/>
      <c r="IK900" s="13"/>
      <c r="IL900" s="13"/>
      <c r="IM900" s="13"/>
      <c r="IN900" s="13"/>
      <c r="IO900" s="13"/>
      <c r="IP900" s="13"/>
      <c r="IQ900" s="13"/>
      <c r="IR900" s="13"/>
      <c r="IS900" s="13"/>
      <c r="IT900" s="13"/>
      <c r="IU900" s="13"/>
      <c r="IV900" s="13"/>
      <c r="IW900" s="13"/>
      <c r="IX900" s="13"/>
      <c r="IY900" s="13"/>
      <c r="IZ900" s="13"/>
      <c r="JA900" s="13"/>
      <c r="JB900" s="13"/>
      <c r="JC900" s="13"/>
      <c r="JD900" s="13"/>
      <c r="JE900" s="13"/>
      <c r="JF900" s="13"/>
      <c r="JG900" s="13"/>
      <c r="JH900" s="13"/>
      <c r="JI900" s="13"/>
      <c r="JJ900" s="13"/>
      <c r="JK900" s="13"/>
      <c r="JL900" s="13"/>
      <c r="JM900" s="13"/>
      <c r="JN900" s="13"/>
      <c r="JO900" s="13"/>
      <c r="JP900" s="13"/>
      <c r="JQ900" s="13"/>
      <c r="JR900" s="13"/>
      <c r="JS900" s="13"/>
      <c r="JT900" s="13"/>
      <c r="JU900" s="13"/>
      <c r="JV900" s="13"/>
      <c r="JW900" s="13"/>
      <c r="JX900" s="13"/>
      <c r="JY900" s="13"/>
      <c r="JZ900" s="13"/>
      <c r="KA900" s="13"/>
      <c r="KB900" s="13"/>
      <c r="KC900" s="13"/>
      <c r="KD900" s="13"/>
      <c r="KE900" s="13"/>
      <c r="KF900" s="13"/>
      <c r="KG900" s="13"/>
      <c r="KH900" s="13"/>
      <c r="KI900" s="13"/>
      <c r="KJ900" s="13"/>
      <c r="KK900" s="13"/>
      <c r="KL900" s="13"/>
      <c r="KM900" s="13"/>
      <c r="KN900" s="13"/>
      <c r="KO900" s="13"/>
      <c r="KP900" s="13"/>
      <c r="KQ900" s="13"/>
      <c r="KR900" s="13"/>
      <c r="KS900" s="13"/>
      <c r="KT900" s="13"/>
      <c r="KU900" s="13"/>
      <c r="KV900" s="13"/>
      <c r="KW900" s="13"/>
      <c r="KX900" s="13"/>
      <c r="KY900" s="13"/>
      <c r="KZ900" s="13"/>
      <c r="LA900" s="13"/>
      <c r="LB900" s="13"/>
      <c r="LC900" s="13"/>
      <c r="LD900" s="13"/>
      <c r="LE900" s="13"/>
      <c r="LF900" s="13"/>
      <c r="LG900" s="13"/>
      <c r="LH900" s="13"/>
      <c r="LI900" s="13"/>
      <c r="LJ900" s="13"/>
      <c r="LK900" s="13"/>
      <c r="LL900" s="13"/>
      <c r="LM900" s="13"/>
      <c r="LN900" s="13"/>
      <c r="LO900" s="13"/>
      <c r="LP900" s="13"/>
      <c r="LQ900" s="13"/>
      <c r="LR900" s="13"/>
      <c r="LS900" s="13"/>
      <c r="LT900" s="13"/>
      <c r="LU900" s="13"/>
      <c r="LV900" s="13"/>
      <c r="LW900" s="13"/>
      <c r="LX900" s="13"/>
      <c r="LY900" s="13"/>
      <c r="LZ900" s="13"/>
      <c r="MA900" s="13"/>
      <c r="MB900" s="13"/>
      <c r="MC900" s="13"/>
      <c r="MD900" s="13"/>
      <c r="ME900" s="13"/>
      <c r="MF900" s="13"/>
      <c r="MG900" s="13"/>
      <c r="MH900" s="13"/>
      <c r="MI900" s="13"/>
      <c r="MJ900" s="13"/>
      <c r="MK900" s="13"/>
      <c r="ML900" s="13"/>
      <c r="MM900" s="13"/>
      <c r="MN900" s="13"/>
      <c r="MO900" s="13"/>
      <c r="MP900" s="13"/>
      <c r="MQ900" s="13"/>
      <c r="MR900" s="13"/>
      <c r="MS900" s="13"/>
      <c r="MT900" s="13"/>
      <c r="MU900" s="13"/>
      <c r="MV900" s="13"/>
      <c r="MW900" s="13"/>
      <c r="MX900" s="13"/>
      <c r="MY900" s="13"/>
      <c r="MZ900" s="13"/>
      <c r="NA900" s="13"/>
      <c r="NB900" s="13"/>
      <c r="NC900" s="13"/>
      <c r="ND900" s="13"/>
      <c r="NE900" s="13"/>
      <c r="NF900" s="13"/>
      <c r="NG900" s="13"/>
      <c r="NH900" s="13"/>
      <c r="NI900" s="13"/>
      <c r="NJ900" s="13"/>
      <c r="NK900" s="13"/>
      <c r="NL900" s="13"/>
      <c r="NM900" s="13"/>
      <c r="NN900" s="13"/>
      <c r="NO900" s="13"/>
      <c r="NP900" s="13"/>
      <c r="NQ900" s="13"/>
      <c r="NR900" s="13"/>
      <c r="NS900" s="13"/>
      <c r="NT900" s="13"/>
      <c r="NU900" s="13"/>
      <c r="NV900" s="13"/>
      <c r="NW900" s="13"/>
      <c r="NX900" s="13"/>
      <c r="NY900" s="13"/>
      <c r="NZ900" s="13"/>
      <c r="OA900" s="13"/>
      <c r="OB900" s="13"/>
      <c r="OC900" s="13"/>
      <c r="OD900" s="13"/>
      <c r="OE900" s="13"/>
      <c r="OF900" s="13"/>
      <c r="OG900" s="13"/>
      <c r="OH900" s="13"/>
      <c r="OI900" s="13"/>
      <c r="OJ900" s="13"/>
      <c r="OK900" s="13"/>
      <c r="OL900" s="13"/>
      <c r="OM900" s="13"/>
      <c r="ON900" s="13"/>
      <c r="OO900" s="13"/>
      <c r="OP900" s="13"/>
      <c r="OQ900" s="13"/>
      <c r="OR900" s="13"/>
      <c r="OS900" s="13"/>
      <c r="OT900" s="13"/>
      <c r="OU900" s="13"/>
      <c r="OV900" s="13"/>
      <c r="OW900" s="13"/>
      <c r="OX900" s="13"/>
      <c r="OY900" s="13"/>
      <c r="OZ900" s="13"/>
      <c r="PA900" s="13"/>
      <c r="PB900" s="13"/>
      <c r="PC900" s="13"/>
      <c r="PD900" s="13"/>
      <c r="PE900" s="13"/>
      <c r="PF900" s="13"/>
      <c r="PG900" s="13"/>
      <c r="PH900" s="13"/>
      <c r="PI900" s="13"/>
      <c r="PJ900" s="13"/>
      <c r="PK900" s="13"/>
      <c r="PL900" s="13"/>
      <c r="PM900" s="13"/>
      <c r="PN900" s="13"/>
      <c r="PO900" s="13"/>
      <c r="PP900" s="13"/>
      <c r="PQ900" s="13"/>
      <c r="PR900" s="13"/>
      <c r="PS900" s="13"/>
      <c r="PT900" s="13"/>
      <c r="PU900" s="13"/>
      <c r="PV900" s="13"/>
      <c r="PW900" s="13"/>
      <c r="PX900" s="13"/>
      <c r="PY900" s="13"/>
      <c r="PZ900" s="13"/>
      <c r="QA900" s="13"/>
      <c r="QB900" s="13"/>
      <c r="QC900" s="13"/>
      <c r="QD900" s="13"/>
      <c r="QE900" s="13"/>
      <c r="QF900" s="13"/>
      <c r="QG900" s="13"/>
      <c r="QH900" s="13"/>
      <c r="QI900" s="13"/>
      <c r="QJ900" s="13"/>
      <c r="QK900" s="13"/>
      <c r="QL900" s="13"/>
      <c r="QM900" s="13"/>
      <c r="QN900" s="13"/>
      <c r="QO900" s="13"/>
      <c r="QP900" s="13"/>
      <c r="QQ900" s="13"/>
      <c r="QR900" s="13"/>
      <c r="QS900" s="13"/>
      <c r="QT900" s="13"/>
      <c r="QU900" s="13"/>
      <c r="QV900" s="13"/>
      <c r="QW900" s="13"/>
      <c r="QX900" s="13"/>
      <c r="QY900" s="13"/>
      <c r="QZ900" s="13"/>
      <c r="RA900" s="13"/>
      <c r="RB900" s="13"/>
      <c r="RC900" s="13"/>
      <c r="RD900" s="13"/>
      <c r="RE900" s="13"/>
      <c r="RF900" s="13"/>
      <c r="RG900" s="13"/>
      <c r="RH900" s="13"/>
      <c r="RI900" s="13"/>
      <c r="RJ900" s="13"/>
      <c r="RK900" s="13"/>
      <c r="RL900" s="13"/>
      <c r="RM900" s="13"/>
      <c r="RN900" s="13"/>
      <c r="RO900" s="13"/>
      <c r="RP900" s="13"/>
      <c r="RQ900" s="13"/>
      <c r="RR900" s="13"/>
      <c r="RS900" s="13"/>
      <c r="RT900" s="13"/>
      <c r="RU900" s="13"/>
      <c r="RV900" s="13"/>
      <c r="RW900" s="13"/>
      <c r="RX900" s="13"/>
      <c r="RY900" s="13"/>
      <c r="RZ900" s="13"/>
      <c r="SA900" s="13"/>
      <c r="SB900" s="13"/>
      <c r="SC900" s="13"/>
      <c r="SD900" s="13"/>
      <c r="SE900" s="13"/>
      <c r="SF900" s="13"/>
      <c r="SG900" s="13"/>
      <c r="SH900" s="13"/>
      <c r="SI900" s="13"/>
      <c r="SJ900" s="13"/>
      <c r="SK900" s="13"/>
      <c r="SL900" s="13"/>
      <c r="SM900" s="13"/>
      <c r="SN900" s="13"/>
      <c r="SO900" s="13"/>
      <c r="SP900" s="13"/>
      <c r="SQ900" s="13"/>
      <c r="SR900" s="13"/>
      <c r="SS900" s="13"/>
      <c r="ST900" s="13"/>
      <c r="SU900" s="13"/>
      <c r="SV900" s="13"/>
      <c r="SW900" s="13"/>
      <c r="SX900" s="13"/>
      <c r="SY900" s="13"/>
      <c r="SZ900" s="13"/>
      <c r="TA900" s="13"/>
      <c r="TB900" s="13"/>
      <c r="TC900" s="13"/>
      <c r="TD900" s="13"/>
      <c r="TE900" s="13"/>
      <c r="TF900" s="13"/>
      <c r="TG900" s="13"/>
      <c r="TH900" s="13"/>
      <c r="TI900" s="13"/>
      <c r="TJ900" s="13"/>
      <c r="TK900" s="13"/>
      <c r="TL900" s="13"/>
      <c r="TM900" s="13"/>
      <c r="TN900" s="13"/>
      <c r="TO900" s="13"/>
      <c r="TP900" s="13"/>
      <c r="TQ900" s="13"/>
      <c r="TR900" s="13"/>
      <c r="TS900" s="13"/>
      <c r="TT900" s="13"/>
      <c r="TU900" s="13"/>
      <c r="TV900" s="13"/>
      <c r="TW900" s="13"/>
      <c r="TX900" s="13"/>
      <c r="TY900" s="13"/>
      <c r="TZ900" s="13"/>
      <c r="UA900" s="13"/>
      <c r="UB900" s="13"/>
      <c r="UC900" s="13"/>
      <c r="UD900" s="13"/>
      <c r="UE900" s="13"/>
      <c r="UF900" s="13"/>
      <c r="UG900" s="13"/>
      <c r="UH900" s="13"/>
      <c r="UI900" s="13"/>
      <c r="UJ900" s="13"/>
      <c r="UK900" s="13"/>
      <c r="UL900" s="13"/>
      <c r="UM900" s="13"/>
      <c r="UN900" s="13"/>
      <c r="UO900" s="13"/>
      <c r="UP900" s="13"/>
      <c r="UQ900" s="13"/>
      <c r="UR900" s="13"/>
      <c r="US900" s="13"/>
      <c r="UT900" s="13"/>
      <c r="UU900" s="13"/>
      <c r="UV900" s="13"/>
      <c r="UW900" s="13"/>
      <c r="UX900" s="13"/>
      <c r="UY900" s="13"/>
      <c r="UZ900" s="13"/>
      <c r="VA900" s="13"/>
      <c r="VB900" s="13"/>
      <c r="VC900" s="13"/>
      <c r="VD900" s="13"/>
      <c r="VE900" s="13"/>
      <c r="VF900" s="13"/>
      <c r="VG900" s="13"/>
      <c r="VH900" s="13"/>
      <c r="VI900" s="13"/>
      <c r="VJ900" s="13"/>
      <c r="VK900" s="13"/>
      <c r="VL900" s="13"/>
      <c r="VM900" s="13"/>
      <c r="VN900" s="13"/>
      <c r="VO900" s="13"/>
      <c r="VP900" s="13"/>
      <c r="VQ900" s="13"/>
      <c r="VR900" s="13"/>
      <c r="VS900" s="13"/>
      <c r="VT900" s="13"/>
      <c r="VU900" s="13"/>
      <c r="VV900" s="13"/>
      <c r="VW900" s="13"/>
      <c r="VX900" s="13"/>
      <c r="VY900" s="13"/>
      <c r="VZ900" s="13"/>
      <c r="WA900" s="13"/>
      <c r="WB900" s="13"/>
      <c r="WC900" s="13"/>
      <c r="WD900" s="13"/>
      <c r="WE900" s="13"/>
      <c r="WF900" s="13"/>
      <c r="WG900" s="13"/>
      <c r="WH900" s="13"/>
      <c r="WI900" s="13"/>
      <c r="WJ900" s="13"/>
      <c r="WK900" s="13"/>
      <c r="WL900" s="13"/>
      <c r="WM900" s="13"/>
      <c r="WN900" s="13"/>
      <c r="WO900" s="13"/>
      <c r="WP900" s="13"/>
      <c r="WQ900" s="13"/>
      <c r="WR900" s="13"/>
      <c r="WS900" s="13"/>
      <c r="WT900" s="13"/>
      <c r="WU900" s="13"/>
      <c r="WV900" s="13"/>
      <c r="WW900" s="13"/>
      <c r="WX900" s="13"/>
      <c r="WY900" s="13"/>
      <c r="WZ900" s="13"/>
      <c r="XA900" s="13"/>
      <c r="XB900" s="13"/>
      <c r="XC900" s="13"/>
      <c r="XD900" s="13"/>
      <c r="XE900" s="13"/>
      <c r="XF900" s="13"/>
      <c r="XG900" s="13"/>
      <c r="XH900" s="13"/>
      <c r="XI900" s="13"/>
      <c r="XJ900" s="13"/>
      <c r="XK900" s="13"/>
      <c r="XL900" s="13"/>
      <c r="XM900" s="13"/>
      <c r="XN900" s="13"/>
      <c r="XO900" s="13"/>
      <c r="XP900" s="13"/>
      <c r="XQ900" s="13"/>
      <c r="XR900" s="13"/>
      <c r="XS900" s="13"/>
      <c r="XT900" s="13"/>
      <c r="XU900" s="13"/>
      <c r="XV900" s="13"/>
      <c r="XW900" s="13"/>
      <c r="XX900" s="13"/>
      <c r="XY900" s="13"/>
      <c r="XZ900" s="13"/>
      <c r="YA900" s="13"/>
      <c r="YB900" s="13"/>
      <c r="YC900" s="13"/>
      <c r="YD900" s="13"/>
      <c r="YE900" s="13"/>
      <c r="YF900" s="13"/>
      <c r="YG900" s="13"/>
      <c r="YH900" s="13"/>
      <c r="YI900" s="13"/>
      <c r="YJ900" s="13"/>
      <c r="YK900" s="13"/>
      <c r="YL900" s="13"/>
      <c r="YM900" s="13"/>
      <c r="YN900" s="13"/>
      <c r="YO900" s="13"/>
      <c r="YP900" s="13"/>
      <c r="YQ900" s="13"/>
      <c r="YR900" s="13"/>
      <c r="YS900" s="13"/>
      <c r="YT900" s="13"/>
      <c r="YU900" s="13"/>
      <c r="YV900" s="13"/>
      <c r="YW900" s="13"/>
      <c r="YX900" s="13"/>
      <c r="YY900" s="13"/>
      <c r="YZ900" s="13"/>
      <c r="ZA900" s="13"/>
      <c r="ZB900" s="13"/>
      <c r="ZC900" s="13"/>
      <c r="ZD900" s="13"/>
      <c r="ZE900" s="13"/>
      <c r="ZF900" s="13"/>
      <c r="ZG900" s="13"/>
      <c r="ZH900" s="13"/>
      <c r="ZI900" s="13"/>
      <c r="ZJ900" s="13"/>
      <c r="ZK900" s="13"/>
      <c r="ZL900" s="13"/>
      <c r="ZM900" s="13"/>
      <c r="ZN900" s="13"/>
      <c r="ZO900" s="13"/>
      <c r="ZP900" s="13"/>
      <c r="ZQ900" s="13"/>
      <c r="ZR900" s="13"/>
      <c r="ZS900" s="13"/>
      <c r="ZT900" s="13"/>
      <c r="ZU900" s="13"/>
      <c r="ZV900" s="13"/>
      <c r="ZW900" s="13"/>
      <c r="ZX900" s="13"/>
      <c r="ZY900" s="13"/>
      <c r="ZZ900" s="13"/>
      <c r="AAA900" s="13"/>
      <c r="AAB900" s="13"/>
      <c r="AAC900" s="13"/>
      <c r="AAD900" s="13"/>
      <c r="AAE900" s="13"/>
      <c r="AAF900" s="13"/>
      <c r="AAG900" s="13"/>
      <c r="AAH900" s="13"/>
      <c r="AAI900" s="13"/>
      <c r="AAJ900" s="13"/>
      <c r="AAK900" s="13"/>
      <c r="AAL900" s="13"/>
      <c r="AAM900" s="13"/>
      <c r="AAN900" s="13"/>
      <c r="AAO900" s="13"/>
      <c r="AAP900" s="13"/>
      <c r="AAQ900" s="13"/>
      <c r="AAR900" s="13"/>
      <c r="AAS900" s="13"/>
      <c r="AAT900" s="13"/>
      <c r="AAU900" s="13"/>
      <c r="AAV900" s="13"/>
      <c r="AAW900" s="13"/>
      <c r="AAX900" s="13"/>
      <c r="AAY900" s="13"/>
      <c r="AAZ900" s="13"/>
      <c r="ABA900" s="13"/>
      <c r="ABB900" s="13"/>
      <c r="ABC900" s="13"/>
      <c r="ABD900" s="13"/>
      <c r="ABE900" s="13"/>
      <c r="ABF900" s="13"/>
      <c r="ABG900" s="13"/>
      <c r="ABH900" s="13"/>
      <c r="ABI900" s="13"/>
      <c r="ABJ900" s="13"/>
      <c r="ABK900" s="13"/>
      <c r="ABL900" s="13"/>
      <c r="ABM900" s="13"/>
      <c r="ABN900" s="13"/>
      <c r="ABO900" s="13"/>
      <c r="ABP900" s="13"/>
      <c r="ABQ900" s="13"/>
      <c r="ABR900" s="13"/>
      <c r="ABS900" s="13"/>
      <c r="ABT900" s="13"/>
      <c r="ABU900" s="13"/>
      <c r="ABV900" s="13"/>
      <c r="ABW900" s="13"/>
      <c r="ABX900" s="13"/>
      <c r="ABY900" s="13"/>
      <c r="ABZ900" s="13"/>
      <c r="ACA900" s="13"/>
      <c r="ACB900" s="13"/>
      <c r="ACC900" s="13"/>
      <c r="ACD900" s="13"/>
      <c r="ACE900" s="13"/>
      <c r="ACF900" s="13"/>
      <c r="ACG900" s="13"/>
      <c r="ACH900" s="13"/>
      <c r="ACI900" s="13"/>
      <c r="ACJ900" s="13"/>
      <c r="ACK900" s="13"/>
      <c r="ACL900" s="13"/>
      <c r="ACM900" s="13"/>
      <c r="ACN900" s="13"/>
      <c r="ACO900" s="13"/>
      <c r="ACP900" s="13"/>
      <c r="ACQ900" s="13"/>
      <c r="ACR900" s="13"/>
      <c r="ACS900" s="13"/>
      <c r="ACT900" s="13"/>
      <c r="ACU900" s="13"/>
      <c r="ACV900" s="13"/>
      <c r="ACW900" s="13"/>
      <c r="ACX900" s="13"/>
      <c r="ACY900" s="13"/>
      <c r="ACZ900" s="13"/>
      <c r="ADA900" s="13"/>
      <c r="ADB900" s="13"/>
      <c r="ADC900" s="13"/>
      <c r="ADD900" s="13"/>
      <c r="ADE900" s="13"/>
      <c r="ADF900" s="13"/>
      <c r="ADG900" s="13"/>
      <c r="ADH900" s="13"/>
      <c r="ADI900" s="13"/>
      <c r="ADJ900" s="13"/>
      <c r="ADK900" s="13"/>
      <c r="ADL900" s="13"/>
      <c r="ADM900" s="13"/>
      <c r="ADN900" s="13"/>
      <c r="ADO900" s="13"/>
      <c r="ADP900" s="13"/>
      <c r="ADQ900" s="13"/>
      <c r="ADR900" s="13"/>
      <c r="ADS900" s="13"/>
      <c r="ADT900" s="13"/>
      <c r="ADU900" s="13"/>
      <c r="ADV900" s="13"/>
      <c r="ADW900" s="13"/>
      <c r="ADX900" s="13"/>
      <c r="ADY900" s="13"/>
      <c r="ADZ900" s="13"/>
      <c r="AEA900" s="13"/>
      <c r="AEB900" s="13"/>
      <c r="AEC900" s="13"/>
      <c r="AED900" s="13"/>
      <c r="AEE900" s="13"/>
      <c r="AEF900" s="13"/>
      <c r="AEG900" s="13"/>
      <c r="AEH900" s="13"/>
      <c r="AEI900" s="13"/>
      <c r="AEJ900" s="13"/>
      <c r="AEK900" s="13"/>
      <c r="AEL900" s="13"/>
      <c r="AEM900" s="13"/>
      <c r="AEN900" s="13"/>
      <c r="AEO900" s="13"/>
      <c r="AEP900" s="13"/>
      <c r="AEQ900" s="13"/>
      <c r="AER900" s="13"/>
      <c r="AES900" s="13"/>
      <c r="AET900" s="13"/>
      <c r="AEU900" s="13"/>
      <c r="AEV900" s="13"/>
      <c r="AEW900" s="13"/>
      <c r="AEX900" s="13"/>
      <c r="AEY900" s="13"/>
      <c r="AEZ900" s="13"/>
      <c r="AFA900" s="13"/>
      <c r="AFB900" s="13"/>
      <c r="AFC900" s="13"/>
      <c r="AFD900" s="13"/>
      <c r="AFE900" s="13"/>
      <c r="AFF900" s="13"/>
      <c r="AFG900" s="13"/>
      <c r="AFH900" s="13"/>
      <c r="AFI900" s="13"/>
      <c r="AFJ900" s="13"/>
      <c r="AFK900" s="13"/>
      <c r="AFL900" s="13"/>
      <c r="AFM900" s="13"/>
      <c r="AFN900" s="13"/>
      <c r="AFO900" s="13"/>
      <c r="AFP900" s="13"/>
      <c r="AFQ900" s="13"/>
      <c r="AFR900" s="13"/>
      <c r="AFS900" s="13"/>
      <c r="AFT900" s="13"/>
      <c r="AFU900" s="13"/>
      <c r="AFV900" s="13"/>
      <c r="AFW900" s="13"/>
      <c r="AFX900" s="13"/>
      <c r="AFY900" s="13"/>
      <c r="AFZ900" s="13"/>
      <c r="AGA900" s="13"/>
      <c r="AGB900" s="13"/>
      <c r="AGC900" s="13"/>
      <c r="AGD900" s="13"/>
      <c r="AGE900" s="13"/>
      <c r="AGF900" s="13"/>
      <c r="AGG900" s="13"/>
      <c r="AGH900" s="13"/>
      <c r="AGI900" s="13"/>
      <c r="AGJ900" s="13"/>
      <c r="AGK900" s="13"/>
      <c r="AGL900" s="13"/>
      <c r="AGM900" s="13"/>
      <c r="AGN900" s="13"/>
      <c r="AGO900" s="13"/>
      <c r="AGP900" s="13"/>
      <c r="AGQ900" s="13"/>
      <c r="AGR900" s="13"/>
      <c r="AGS900" s="13"/>
      <c r="AGT900" s="13"/>
      <c r="AGU900" s="13"/>
      <c r="AGV900" s="13"/>
      <c r="AGW900" s="13"/>
      <c r="AGX900" s="13"/>
      <c r="AGY900" s="13"/>
      <c r="AGZ900" s="13"/>
      <c r="AHA900" s="13"/>
      <c r="AHB900" s="13"/>
      <c r="AHC900" s="13"/>
      <c r="AHD900" s="13"/>
      <c r="AHE900" s="13"/>
      <c r="AHF900" s="13"/>
      <c r="AHG900" s="13"/>
      <c r="AHH900" s="13"/>
      <c r="AHI900" s="13"/>
      <c r="AHJ900" s="13"/>
      <c r="AHK900" s="13"/>
      <c r="AHL900" s="13"/>
      <c r="AHM900" s="13"/>
      <c r="AHN900" s="13"/>
      <c r="AHO900" s="13"/>
      <c r="AHP900" s="13"/>
      <c r="AHQ900" s="13"/>
      <c r="AHR900" s="13"/>
      <c r="AHS900" s="13"/>
      <c r="AHT900" s="13"/>
      <c r="AHU900" s="13"/>
      <c r="AHV900" s="13"/>
      <c r="AHW900" s="13"/>
      <c r="AHX900" s="13"/>
      <c r="AHY900" s="13"/>
      <c r="AHZ900" s="13"/>
      <c r="AIA900" s="13"/>
      <c r="AIB900" s="13"/>
      <c r="AIC900" s="13"/>
      <c r="AID900" s="13"/>
      <c r="AIE900" s="13"/>
      <c r="AIF900" s="13"/>
      <c r="AIG900" s="13"/>
      <c r="AIH900" s="13"/>
      <c r="AII900" s="13"/>
      <c r="AIJ900" s="13"/>
      <c r="AIK900" s="13"/>
      <c r="AIL900" s="13"/>
      <c r="AIM900" s="13"/>
      <c r="AIN900" s="13"/>
      <c r="AIO900" s="13"/>
      <c r="AIP900" s="13"/>
      <c r="AIQ900" s="13"/>
      <c r="AIR900" s="13"/>
      <c r="AIS900" s="13"/>
      <c r="AIT900" s="13"/>
      <c r="AIU900" s="13"/>
      <c r="AIV900" s="13"/>
      <c r="AIW900" s="13"/>
      <c r="AIX900" s="13"/>
      <c r="AIY900" s="13"/>
      <c r="AIZ900" s="13"/>
      <c r="AJA900" s="13"/>
      <c r="AJB900" s="13"/>
      <c r="AJC900" s="13"/>
      <c r="AJD900" s="13"/>
      <c r="AJE900" s="13"/>
      <c r="AJF900" s="13"/>
      <c r="AJG900" s="13"/>
      <c r="AJH900" s="13"/>
      <c r="AJI900" s="13"/>
      <c r="AJJ900" s="13"/>
      <c r="AJK900" s="13"/>
      <c r="AJL900" s="13"/>
      <c r="AJM900" s="13"/>
      <c r="AJN900" s="13"/>
      <c r="AJO900" s="13"/>
      <c r="AJP900" s="13"/>
      <c r="AJQ900" s="13"/>
      <c r="AJR900" s="13"/>
      <c r="AJS900" s="13"/>
      <c r="AJT900" s="13"/>
      <c r="AJU900" s="13"/>
      <c r="AJV900" s="13"/>
      <c r="AJW900" s="13"/>
      <c r="AJX900" s="13"/>
      <c r="AJY900" s="13"/>
      <c r="AJZ900" s="13"/>
      <c r="AKA900" s="13"/>
      <c r="AKB900" s="13"/>
      <c r="AKC900" s="13"/>
      <c r="AKD900" s="13"/>
      <c r="AKE900" s="13"/>
      <c r="AKF900" s="13"/>
      <c r="AKG900" s="13"/>
      <c r="AKH900" s="13"/>
      <c r="AKI900" s="13"/>
      <c r="AKJ900" s="13"/>
      <c r="AKK900" s="13"/>
      <c r="AKL900" s="13"/>
      <c r="AKM900" s="13"/>
      <c r="AKN900" s="13"/>
      <c r="AKO900" s="13"/>
      <c r="AKP900" s="13"/>
      <c r="AKQ900" s="13"/>
      <c r="AKR900" s="13"/>
      <c r="AKS900" s="13"/>
      <c r="AKT900" s="13"/>
      <c r="AKU900" s="13"/>
      <c r="AKV900" s="13"/>
      <c r="AKW900" s="13"/>
      <c r="AKX900" s="13"/>
      <c r="AKY900" s="13"/>
      <c r="AKZ900" s="13"/>
      <c r="ALA900" s="13"/>
      <c r="ALB900" s="13"/>
      <c r="ALC900" s="13"/>
      <c r="ALD900" s="13"/>
      <c r="ALE900" s="13"/>
      <c r="ALF900" s="13"/>
      <c r="ALG900" s="13"/>
      <c r="ALH900" s="13"/>
      <c r="ALI900" s="13"/>
      <c r="ALJ900" s="13"/>
      <c r="ALK900" s="13"/>
      <c r="ALL900" s="13"/>
      <c r="ALM900" s="13"/>
      <c r="ALN900" s="13"/>
      <c r="ALO900" s="13"/>
      <c r="ALP900" s="13"/>
      <c r="ALQ900" s="13"/>
      <c r="ALR900" s="13"/>
      <c r="ALS900" s="13"/>
      <c r="ALT900" s="13"/>
      <c r="ALU900" s="13"/>
      <c r="ALV900" s="13"/>
      <c r="ALW900" s="13"/>
      <c r="ALX900" s="13"/>
      <c r="ALY900" s="13"/>
      <c r="ALZ900" s="13"/>
      <c r="AMA900" s="13"/>
      <c r="AMB900" s="13"/>
      <c r="AMC900" s="13"/>
      <c r="AMD900" s="13"/>
      <c r="AME900" s="13"/>
      <c r="AMF900" s="13"/>
      <c r="AMG900" s="13"/>
      <c r="AMH900" s="13"/>
      <c r="AMI900" s="13"/>
      <c r="AMJ900" s="13"/>
      <c r="AMK900" s="13"/>
      <c r="AML900" s="13"/>
      <c r="AMM900" s="13"/>
      <c r="AMN900" s="13"/>
      <c r="AMO900" s="13"/>
      <c r="AMP900" s="13"/>
      <c r="AMQ900" s="13"/>
      <c r="AMR900" s="13"/>
      <c r="AMS900" s="13"/>
      <c r="AMT900" s="13"/>
      <c r="AMU900" s="13"/>
      <c r="AMV900" s="13"/>
      <c r="AMW900" s="13"/>
      <c r="AMX900" s="13"/>
      <c r="AMY900" s="13"/>
      <c r="AMZ900" s="13"/>
      <c r="ANA900" s="13"/>
      <c r="ANB900" s="13"/>
      <c r="ANC900" s="13"/>
      <c r="AND900" s="13"/>
      <c r="ANE900" s="13"/>
      <c r="ANF900" s="13"/>
      <c r="ANG900" s="13"/>
      <c r="ANH900" s="13"/>
      <c r="ANI900" s="13"/>
      <c r="ANJ900" s="13"/>
      <c r="ANK900" s="13"/>
      <c r="ANL900" s="13"/>
      <c r="ANM900" s="13"/>
      <c r="ANN900" s="13"/>
      <c r="ANO900" s="13"/>
      <c r="ANP900" s="13"/>
      <c r="ANQ900" s="13"/>
      <c r="ANR900" s="13"/>
      <c r="ANS900" s="13"/>
      <c r="ANT900" s="13"/>
      <c r="ANU900" s="13"/>
      <c r="ANV900" s="13"/>
      <c r="ANW900" s="13"/>
      <c r="ANX900" s="13"/>
      <c r="ANY900" s="13"/>
      <c r="ANZ900" s="13"/>
      <c r="AOA900" s="13"/>
      <c r="AOB900" s="13"/>
      <c r="AOC900" s="13"/>
      <c r="AOD900" s="13"/>
      <c r="AOE900" s="13"/>
      <c r="AOF900" s="13"/>
      <c r="AOG900" s="13"/>
      <c r="AOH900" s="13"/>
      <c r="AOI900" s="13"/>
      <c r="AOJ900" s="13"/>
      <c r="AOK900" s="13"/>
      <c r="AOL900" s="13"/>
      <c r="AOM900" s="13"/>
      <c r="AON900" s="13"/>
      <c r="AOO900" s="13"/>
      <c r="AOP900" s="13"/>
      <c r="AOQ900" s="13"/>
      <c r="AOR900" s="13"/>
      <c r="AOS900" s="13"/>
      <c r="AOT900" s="13"/>
      <c r="AOU900" s="13"/>
      <c r="AOV900" s="13"/>
      <c r="AOW900" s="13"/>
      <c r="AOX900" s="13"/>
      <c r="AOY900" s="13"/>
      <c r="AOZ900" s="13"/>
      <c r="APA900" s="13"/>
      <c r="APB900" s="13"/>
      <c r="APC900" s="13"/>
      <c r="APD900" s="13"/>
      <c r="APE900" s="13"/>
      <c r="APF900" s="13"/>
      <c r="APG900" s="13"/>
      <c r="APH900" s="13"/>
      <c r="API900" s="13"/>
      <c r="APJ900" s="13"/>
      <c r="APK900" s="13"/>
      <c r="APL900" s="13"/>
      <c r="APM900" s="13"/>
      <c r="APN900" s="13"/>
      <c r="APO900" s="13"/>
      <c r="APP900" s="13"/>
      <c r="APQ900" s="13"/>
      <c r="APR900" s="13"/>
      <c r="APS900" s="13"/>
      <c r="APT900" s="13"/>
      <c r="APU900" s="13"/>
      <c r="APV900" s="13"/>
      <c r="APW900" s="13"/>
      <c r="APX900" s="13"/>
      <c r="APY900" s="13"/>
      <c r="APZ900" s="13"/>
      <c r="AQA900" s="13"/>
      <c r="AQB900" s="13"/>
      <c r="AQC900" s="13"/>
      <c r="AQD900" s="13"/>
      <c r="AQE900" s="13"/>
      <c r="AQF900" s="13"/>
      <c r="AQG900" s="13"/>
      <c r="AQH900" s="13"/>
      <c r="AQI900" s="13"/>
      <c r="AQJ900" s="13"/>
      <c r="AQK900" s="13"/>
      <c r="AQL900" s="13"/>
      <c r="AQM900" s="13"/>
      <c r="AQN900" s="13"/>
      <c r="AQO900" s="13"/>
      <c r="AQP900" s="13"/>
      <c r="AQQ900" s="13"/>
      <c r="AQR900" s="13"/>
      <c r="AQS900" s="13"/>
      <c r="AQT900" s="13"/>
      <c r="AQU900" s="13"/>
      <c r="AQV900" s="13"/>
      <c r="AQW900" s="13"/>
      <c r="AQX900" s="13"/>
      <c r="AQY900" s="13"/>
      <c r="AQZ900" s="13"/>
      <c r="ARA900" s="13"/>
      <c r="ARB900" s="13"/>
      <c r="ARC900" s="13"/>
      <c r="ARD900" s="13"/>
      <c r="ARE900" s="13"/>
      <c r="ARF900" s="13"/>
      <c r="ARG900" s="13"/>
      <c r="ARH900" s="13"/>
      <c r="ARI900" s="13"/>
      <c r="ARJ900" s="13"/>
      <c r="ARK900" s="13"/>
      <c r="ARL900" s="13"/>
      <c r="ARM900" s="13"/>
      <c r="ARN900" s="13"/>
      <c r="ARO900" s="13"/>
      <c r="ARP900" s="13"/>
      <c r="ARQ900" s="13"/>
      <c r="ARR900" s="13"/>
      <c r="ARS900" s="13"/>
      <c r="ART900" s="13"/>
      <c r="ARU900" s="13"/>
      <c r="ARV900" s="13"/>
      <c r="ARW900" s="13"/>
      <c r="ARX900" s="13"/>
      <c r="ARY900" s="13"/>
      <c r="ARZ900" s="13"/>
      <c r="ASA900" s="13"/>
      <c r="ASB900" s="13"/>
      <c r="ASC900" s="13"/>
      <c r="ASD900" s="13"/>
      <c r="ASE900" s="13"/>
      <c r="ASF900" s="13"/>
      <c r="ASG900" s="13"/>
      <c r="ASH900" s="13"/>
      <c r="ASI900" s="13"/>
      <c r="ASJ900" s="13"/>
      <c r="ASK900" s="13"/>
      <c r="ASL900" s="13"/>
      <c r="ASM900" s="13"/>
      <c r="ASN900" s="13"/>
      <c r="ASO900" s="13"/>
      <c r="ASP900" s="13"/>
      <c r="ASQ900" s="13"/>
      <c r="ASR900" s="13"/>
      <c r="ASS900" s="13"/>
      <c r="AST900" s="13"/>
      <c r="ASU900" s="13"/>
      <c r="ASV900" s="13"/>
      <c r="ASW900" s="13"/>
      <c r="ASX900" s="13"/>
      <c r="ASY900" s="13"/>
      <c r="ASZ900" s="13"/>
      <c r="ATA900" s="13"/>
      <c r="ATB900" s="13"/>
      <c r="ATC900" s="13"/>
      <c r="ATD900" s="13"/>
      <c r="ATE900" s="13"/>
      <c r="ATF900" s="13"/>
      <c r="ATG900" s="13"/>
      <c r="ATH900" s="13"/>
      <c r="ATI900" s="13"/>
      <c r="ATJ900" s="13"/>
      <c r="ATK900" s="13"/>
      <c r="ATL900" s="13"/>
      <c r="ATM900" s="13"/>
      <c r="ATN900" s="13"/>
      <c r="ATO900" s="13"/>
      <c r="ATP900" s="13"/>
      <c r="ATQ900" s="13"/>
      <c r="ATR900" s="13"/>
      <c r="ATS900" s="13"/>
      <c r="ATT900" s="13"/>
      <c r="ATU900" s="13"/>
      <c r="ATV900" s="13"/>
      <c r="ATW900" s="13"/>
      <c r="ATX900" s="13"/>
      <c r="ATY900" s="13"/>
      <c r="ATZ900" s="13"/>
      <c r="AUA900" s="13"/>
      <c r="AUB900" s="13"/>
      <c r="AUC900" s="13"/>
      <c r="AUD900" s="13"/>
      <c r="AUE900" s="13"/>
      <c r="AUF900" s="13"/>
      <c r="AUG900" s="13"/>
      <c r="AUH900" s="13"/>
      <c r="AUI900" s="13"/>
      <c r="AUJ900" s="13"/>
      <c r="AUK900" s="13"/>
      <c r="AUL900" s="13"/>
      <c r="AUM900" s="13"/>
      <c r="AUN900" s="13"/>
      <c r="AUO900" s="13"/>
      <c r="AUP900" s="13"/>
      <c r="AUQ900" s="13"/>
      <c r="AUR900" s="13"/>
      <c r="AUS900" s="13"/>
      <c r="AUT900" s="13"/>
      <c r="AUU900" s="13"/>
      <c r="AUV900" s="13"/>
      <c r="AUW900" s="13"/>
      <c r="AUX900" s="13"/>
      <c r="AUY900" s="13"/>
      <c r="AUZ900" s="13"/>
      <c r="AVA900" s="13"/>
      <c r="AVB900" s="13"/>
      <c r="AVC900" s="13"/>
      <c r="AVD900" s="13"/>
      <c r="AVE900" s="13"/>
      <c r="AVF900" s="13"/>
      <c r="AVG900" s="13"/>
      <c r="AVH900" s="13"/>
      <c r="AVI900" s="13"/>
      <c r="AVJ900" s="13"/>
      <c r="AVK900" s="13"/>
      <c r="AVL900" s="13"/>
      <c r="AVM900" s="13"/>
      <c r="AVN900" s="13"/>
      <c r="AVO900" s="13"/>
      <c r="AVP900" s="13"/>
      <c r="AVQ900" s="13"/>
      <c r="AVR900" s="13"/>
      <c r="AVS900" s="13"/>
      <c r="AVT900" s="13"/>
      <c r="AVU900" s="13"/>
      <c r="AVV900" s="13"/>
      <c r="AVW900" s="13"/>
      <c r="AVX900" s="13"/>
      <c r="AVY900" s="13"/>
      <c r="AVZ900" s="13"/>
      <c r="AWA900" s="13"/>
      <c r="AWB900" s="13"/>
      <c r="AWC900" s="13"/>
      <c r="AWD900" s="13"/>
      <c r="AWE900" s="13"/>
      <c r="AWF900" s="13"/>
      <c r="AWG900" s="13"/>
      <c r="AWH900" s="13"/>
      <c r="AWI900" s="13"/>
      <c r="AWJ900" s="13"/>
      <c r="AWK900" s="13"/>
      <c r="AWL900" s="13"/>
      <c r="AWM900" s="13"/>
      <c r="AWN900" s="13"/>
      <c r="AWO900" s="13"/>
      <c r="AWP900" s="13"/>
      <c r="AWQ900" s="13"/>
      <c r="AWR900" s="13"/>
      <c r="AWS900" s="13"/>
      <c r="AWT900" s="13"/>
      <c r="AWU900" s="13"/>
      <c r="AWV900" s="13"/>
      <c r="AWW900" s="13"/>
      <c r="AWX900" s="13"/>
      <c r="AWY900" s="13"/>
      <c r="AWZ900" s="13"/>
      <c r="AXA900" s="13"/>
      <c r="AXB900" s="13"/>
      <c r="AXC900" s="13"/>
      <c r="AXD900" s="13"/>
      <c r="AXE900" s="13"/>
      <c r="AXF900" s="13"/>
      <c r="AXG900" s="13"/>
      <c r="AXH900" s="13"/>
      <c r="AXI900" s="13"/>
      <c r="AXJ900" s="13"/>
      <c r="AXK900" s="13"/>
      <c r="AXL900" s="13"/>
      <c r="AXM900" s="13"/>
      <c r="AXN900" s="13"/>
      <c r="AXO900" s="13"/>
      <c r="AXP900" s="13"/>
      <c r="AXQ900" s="13"/>
      <c r="AXR900" s="13"/>
      <c r="AXS900" s="13"/>
      <c r="AXT900" s="13"/>
      <c r="AXU900" s="13"/>
      <c r="AXV900" s="13"/>
      <c r="AXW900" s="13"/>
      <c r="AXX900" s="13"/>
      <c r="AXY900" s="13"/>
      <c r="AXZ900" s="13"/>
      <c r="AYA900" s="13"/>
      <c r="AYB900" s="13"/>
      <c r="AYC900" s="13"/>
      <c r="AYD900" s="13"/>
      <c r="AYE900" s="13"/>
      <c r="AYF900" s="13"/>
      <c r="AYG900" s="13"/>
      <c r="AYH900" s="13"/>
      <c r="AYI900" s="13"/>
      <c r="AYJ900" s="13"/>
      <c r="AYK900" s="13"/>
      <c r="AYL900" s="13"/>
      <c r="AYM900" s="13"/>
      <c r="AYN900" s="13"/>
      <c r="AYO900" s="13"/>
      <c r="AYP900" s="13"/>
      <c r="AYQ900" s="13"/>
      <c r="AYR900" s="13"/>
      <c r="AYS900" s="13"/>
      <c r="AYT900" s="13"/>
      <c r="AYU900" s="13"/>
      <c r="AYV900" s="13"/>
      <c r="AYW900" s="13"/>
      <c r="AYX900" s="13"/>
      <c r="AYY900" s="13"/>
      <c r="AYZ900" s="13"/>
      <c r="AZA900" s="13"/>
      <c r="AZB900" s="13"/>
      <c r="AZC900" s="13"/>
      <c r="AZD900" s="13"/>
      <c r="AZE900" s="13"/>
      <c r="AZF900" s="13"/>
      <c r="AZG900" s="13"/>
      <c r="AZH900" s="13"/>
      <c r="AZI900" s="13"/>
      <c r="AZJ900" s="13"/>
      <c r="AZK900" s="13"/>
      <c r="AZL900" s="13"/>
      <c r="AZM900" s="13"/>
      <c r="AZN900" s="13"/>
      <c r="AZO900" s="13"/>
      <c r="AZP900" s="13"/>
      <c r="AZQ900" s="13"/>
      <c r="AZR900" s="13"/>
      <c r="AZS900" s="13"/>
      <c r="AZT900" s="13"/>
      <c r="AZU900" s="13"/>
      <c r="AZV900" s="13"/>
      <c r="AZW900" s="13"/>
      <c r="AZX900" s="13"/>
      <c r="AZY900" s="13"/>
      <c r="AZZ900" s="13"/>
      <c r="BAA900" s="13"/>
      <c r="BAB900" s="13"/>
      <c r="BAC900" s="13"/>
      <c r="BAD900" s="13"/>
      <c r="BAE900" s="13"/>
      <c r="BAF900" s="13"/>
      <c r="BAG900" s="13"/>
      <c r="BAH900" s="13"/>
      <c r="BAI900" s="13"/>
      <c r="BAJ900" s="13"/>
      <c r="BAK900" s="13"/>
      <c r="BAL900" s="13"/>
      <c r="BAM900" s="13"/>
      <c r="BAN900" s="13"/>
      <c r="BAO900" s="13"/>
      <c r="BAP900" s="13"/>
      <c r="BAQ900" s="13"/>
      <c r="BAR900" s="13"/>
      <c r="BAS900" s="13"/>
      <c r="BAT900" s="13"/>
      <c r="BAU900" s="13"/>
      <c r="BAV900" s="13"/>
      <c r="BAW900" s="13"/>
      <c r="BAX900" s="13"/>
      <c r="BAY900" s="13"/>
      <c r="BAZ900" s="13"/>
      <c r="BBA900" s="13"/>
      <c r="BBB900" s="13"/>
      <c r="BBC900" s="13"/>
      <c r="BBD900" s="13"/>
      <c r="BBE900" s="13"/>
      <c r="BBF900" s="13"/>
      <c r="BBG900" s="13"/>
      <c r="BBH900" s="13"/>
      <c r="BBI900" s="13"/>
      <c r="BBJ900" s="13"/>
      <c r="BBK900" s="13"/>
      <c r="BBL900" s="13"/>
      <c r="BBM900" s="13"/>
      <c r="BBN900" s="13"/>
      <c r="BBO900" s="13"/>
      <c r="BBP900" s="13"/>
      <c r="BBQ900" s="13"/>
      <c r="BBR900" s="13"/>
      <c r="BBS900" s="13"/>
      <c r="BBT900" s="13"/>
      <c r="BBU900" s="13"/>
      <c r="BBV900" s="13"/>
      <c r="BBW900" s="13"/>
      <c r="BBX900" s="13"/>
      <c r="BBY900" s="13"/>
      <c r="BBZ900" s="13"/>
      <c r="BCA900" s="13"/>
      <c r="BCB900" s="13"/>
      <c r="BCC900" s="13"/>
      <c r="BCD900" s="13"/>
      <c r="BCE900" s="13"/>
      <c r="BCF900" s="13"/>
      <c r="BCG900" s="13"/>
      <c r="BCH900" s="13"/>
      <c r="BCI900" s="13"/>
      <c r="BCJ900" s="13"/>
      <c r="BCK900" s="13"/>
      <c r="BCL900" s="13"/>
      <c r="BCM900" s="13"/>
      <c r="BCN900" s="13"/>
      <c r="BCO900" s="13"/>
      <c r="BCP900" s="13"/>
      <c r="BCQ900" s="13"/>
      <c r="BCR900" s="13"/>
      <c r="BCS900" s="13"/>
      <c r="BCT900" s="13"/>
      <c r="BCU900" s="13"/>
      <c r="BCV900" s="13"/>
      <c r="BCW900" s="13"/>
      <c r="BCX900" s="13"/>
      <c r="BCY900" s="13"/>
      <c r="BCZ900" s="13"/>
      <c r="BDA900" s="13"/>
      <c r="BDB900" s="13"/>
      <c r="BDC900" s="13"/>
      <c r="BDD900" s="13"/>
      <c r="BDE900" s="13"/>
      <c r="BDF900" s="13"/>
      <c r="BDG900" s="13"/>
      <c r="BDH900" s="13"/>
      <c r="BDI900" s="13"/>
      <c r="BDJ900" s="13"/>
      <c r="BDK900" s="13"/>
      <c r="BDL900" s="13"/>
      <c r="BDM900" s="13"/>
      <c r="BDN900" s="13"/>
      <c r="BDO900" s="13"/>
      <c r="BDP900" s="13"/>
      <c r="BDQ900" s="13"/>
      <c r="BDR900" s="13"/>
      <c r="BDS900" s="13"/>
      <c r="BDT900" s="13"/>
      <c r="BDU900" s="13"/>
      <c r="BDV900" s="13"/>
      <c r="BDW900" s="13"/>
      <c r="BDX900" s="13"/>
      <c r="BDY900" s="13"/>
      <c r="BDZ900" s="13"/>
      <c r="BEA900" s="13"/>
      <c r="BEB900" s="13"/>
      <c r="BEC900" s="13"/>
      <c r="BED900" s="13"/>
      <c r="BEE900" s="13"/>
      <c r="BEF900" s="13"/>
      <c r="BEG900" s="13"/>
      <c r="BEH900" s="13"/>
      <c r="BEI900" s="13"/>
      <c r="BEJ900" s="13"/>
      <c r="BEK900" s="13"/>
      <c r="BEL900" s="13"/>
      <c r="BEM900" s="13"/>
      <c r="BEN900" s="13"/>
      <c r="BEO900" s="13"/>
      <c r="BEP900" s="13"/>
      <c r="BEQ900" s="13"/>
      <c r="BER900" s="13"/>
      <c r="BES900" s="13"/>
      <c r="BET900" s="13"/>
      <c r="BEU900" s="13"/>
      <c r="BEV900" s="13"/>
      <c r="BEW900" s="13"/>
      <c r="BEX900" s="13"/>
      <c r="BEY900" s="13"/>
      <c r="BEZ900" s="13"/>
      <c r="BFA900" s="13"/>
      <c r="BFB900" s="13"/>
      <c r="BFC900" s="13"/>
      <c r="BFD900" s="13"/>
      <c r="BFE900" s="13"/>
      <c r="BFF900" s="13"/>
      <c r="BFG900" s="13"/>
      <c r="BFH900" s="13"/>
      <c r="BFI900" s="13"/>
      <c r="BFJ900" s="13"/>
      <c r="BFK900" s="13"/>
      <c r="BFL900" s="13"/>
      <c r="BFM900" s="13"/>
      <c r="BFN900" s="13"/>
      <c r="BFO900" s="13"/>
      <c r="BFP900" s="13"/>
      <c r="BFQ900" s="13"/>
      <c r="BFR900" s="13"/>
      <c r="BFS900" s="13"/>
      <c r="BFT900" s="13"/>
      <c r="BFU900" s="13"/>
      <c r="BFV900" s="13"/>
      <c r="BFW900" s="13"/>
      <c r="BFX900" s="13"/>
      <c r="BFY900" s="13"/>
      <c r="BFZ900" s="13"/>
      <c r="BGA900" s="13"/>
      <c r="BGB900" s="13"/>
      <c r="BGC900" s="13"/>
      <c r="BGD900" s="13"/>
      <c r="BGE900" s="13"/>
      <c r="BGF900" s="13"/>
      <c r="BGG900" s="13"/>
      <c r="BGH900" s="13"/>
      <c r="BGI900" s="13"/>
      <c r="BGJ900" s="13"/>
      <c r="BGK900" s="13"/>
      <c r="BGL900" s="13"/>
      <c r="BGM900" s="13"/>
      <c r="BGN900" s="13"/>
      <c r="BGO900" s="13"/>
      <c r="BGP900" s="13"/>
      <c r="BGQ900" s="13"/>
      <c r="BGR900" s="13"/>
      <c r="BGS900" s="13"/>
      <c r="BGT900" s="13"/>
      <c r="BGU900" s="13"/>
      <c r="BGV900" s="13"/>
      <c r="BGW900" s="13"/>
      <c r="BGX900" s="13"/>
      <c r="BGY900" s="13"/>
      <c r="BGZ900" s="13"/>
      <c r="BHA900" s="13"/>
      <c r="BHB900" s="13"/>
      <c r="BHC900" s="13"/>
      <c r="BHD900" s="13"/>
      <c r="BHE900" s="13"/>
      <c r="BHF900" s="13"/>
      <c r="BHG900" s="13"/>
      <c r="BHH900" s="13"/>
      <c r="BHI900" s="13"/>
      <c r="BHJ900" s="13"/>
      <c r="BHK900" s="13"/>
      <c r="BHL900" s="13"/>
      <c r="BHM900" s="13"/>
      <c r="BHN900" s="13"/>
      <c r="BHO900" s="13"/>
      <c r="BHP900" s="13"/>
      <c r="BHQ900" s="13"/>
      <c r="BHR900" s="13"/>
      <c r="BHS900" s="13"/>
      <c r="BHT900" s="13"/>
      <c r="BHU900" s="13"/>
      <c r="BHV900" s="13"/>
      <c r="BHW900" s="13"/>
      <c r="BHX900" s="13"/>
      <c r="BHY900" s="13"/>
      <c r="BHZ900" s="13"/>
      <c r="BIA900" s="13"/>
      <c r="BIB900" s="13"/>
      <c r="BIC900" s="13"/>
      <c r="BID900" s="13"/>
      <c r="BIE900" s="13"/>
      <c r="BIF900" s="13"/>
      <c r="BIG900" s="13"/>
      <c r="BIH900" s="13"/>
      <c r="BII900" s="13"/>
      <c r="BIJ900" s="13"/>
      <c r="BIK900" s="13"/>
      <c r="BIL900" s="13"/>
      <c r="BIM900" s="13"/>
      <c r="BIN900" s="13"/>
      <c r="BIO900" s="13"/>
      <c r="BIP900" s="13"/>
      <c r="BIQ900" s="13"/>
      <c r="BIR900" s="13"/>
      <c r="BIS900" s="13"/>
      <c r="BIT900" s="13"/>
      <c r="BIU900" s="13"/>
      <c r="BIV900" s="13"/>
      <c r="BIW900" s="13"/>
      <c r="BIX900" s="13"/>
      <c r="BIY900" s="13"/>
      <c r="BIZ900" s="13"/>
      <c r="BJA900" s="13"/>
      <c r="BJB900" s="13"/>
      <c r="BJC900" s="13"/>
      <c r="BJD900" s="13"/>
      <c r="BJE900" s="13"/>
      <c r="BJF900" s="13"/>
      <c r="BJG900" s="13"/>
      <c r="BJH900" s="13"/>
      <c r="BJI900" s="13"/>
      <c r="BJJ900" s="13"/>
      <c r="BJK900" s="13"/>
      <c r="BJL900" s="13"/>
      <c r="BJM900" s="13"/>
      <c r="BJN900" s="13"/>
      <c r="BJO900" s="13"/>
      <c r="BJP900" s="13"/>
      <c r="BJQ900" s="13"/>
      <c r="BJR900" s="13"/>
      <c r="BJS900" s="13"/>
      <c r="BJT900" s="13"/>
      <c r="BJU900" s="13"/>
      <c r="BJV900" s="13"/>
      <c r="BJW900" s="13"/>
      <c r="BJX900" s="13"/>
      <c r="BJY900" s="13"/>
      <c r="BJZ900" s="13"/>
      <c r="BKA900" s="13"/>
      <c r="BKB900" s="13"/>
      <c r="BKC900" s="13"/>
      <c r="BKD900" s="13"/>
      <c r="BKE900" s="13"/>
      <c r="BKF900" s="13"/>
      <c r="BKG900" s="13"/>
      <c r="BKH900" s="13"/>
      <c r="BKI900" s="13"/>
      <c r="BKJ900" s="13"/>
      <c r="BKK900" s="13"/>
      <c r="BKL900" s="13"/>
      <c r="BKM900" s="13"/>
      <c r="BKN900" s="13"/>
      <c r="BKO900" s="13"/>
      <c r="BKP900" s="13"/>
      <c r="BKQ900" s="13"/>
      <c r="BKR900" s="13"/>
      <c r="BKS900" s="13"/>
      <c r="BKT900" s="13"/>
      <c r="BKU900" s="13"/>
      <c r="BKV900" s="13"/>
      <c r="BKW900" s="13"/>
      <c r="BKX900" s="13"/>
      <c r="BKY900" s="13"/>
      <c r="BKZ900" s="13"/>
      <c r="BLA900" s="13"/>
      <c r="BLB900" s="13"/>
      <c r="BLC900" s="13"/>
      <c r="BLD900" s="13"/>
      <c r="BLE900" s="13"/>
      <c r="BLF900" s="13"/>
      <c r="BLG900" s="13"/>
      <c r="BLH900" s="13"/>
      <c r="BLI900" s="13"/>
      <c r="BLJ900" s="13"/>
      <c r="BLK900" s="13"/>
      <c r="BLL900" s="13"/>
      <c r="BLM900" s="13"/>
      <c r="BLN900" s="13"/>
      <c r="BLO900" s="13"/>
      <c r="BLP900" s="13"/>
      <c r="BLQ900" s="13"/>
      <c r="BLR900" s="13"/>
      <c r="BLS900" s="13"/>
      <c r="BLT900" s="13"/>
      <c r="BLU900" s="13"/>
      <c r="BLV900" s="13"/>
      <c r="BLW900" s="13"/>
      <c r="BLX900" s="13"/>
      <c r="BLY900" s="13"/>
      <c r="BLZ900" s="13"/>
      <c r="BMA900" s="13"/>
      <c r="BMB900" s="13"/>
      <c r="BMC900" s="13"/>
      <c r="BMD900" s="13"/>
      <c r="BME900" s="13"/>
      <c r="BMF900" s="13"/>
      <c r="BMG900" s="13"/>
      <c r="BMH900" s="13"/>
      <c r="BMI900" s="13"/>
      <c r="BMJ900" s="13"/>
      <c r="BMK900" s="13"/>
      <c r="BML900" s="13"/>
      <c r="BMM900" s="13"/>
      <c r="BMN900" s="13"/>
      <c r="BMO900" s="13"/>
      <c r="BMP900" s="13"/>
      <c r="BMQ900" s="13"/>
      <c r="BMR900" s="13"/>
      <c r="BMS900" s="13"/>
      <c r="BMT900" s="13"/>
      <c r="BMU900" s="13"/>
      <c r="BMV900" s="13"/>
      <c r="BMW900" s="13"/>
      <c r="BMX900" s="13"/>
      <c r="BMY900" s="13"/>
      <c r="BMZ900" s="13"/>
      <c r="BNA900" s="13"/>
      <c r="BNB900" s="13"/>
      <c r="BNC900" s="13"/>
      <c r="BND900" s="13"/>
      <c r="BNE900" s="13"/>
      <c r="BNF900" s="13"/>
      <c r="BNG900" s="13"/>
      <c r="BNH900" s="13"/>
      <c r="BNI900" s="13"/>
      <c r="BNJ900" s="13"/>
      <c r="BNK900" s="13"/>
      <c r="BNL900" s="13"/>
      <c r="BNM900" s="13"/>
      <c r="BNN900" s="13"/>
      <c r="BNO900" s="13"/>
      <c r="BNP900" s="13"/>
      <c r="BNQ900" s="13"/>
      <c r="BNR900" s="13"/>
      <c r="BNS900" s="13"/>
      <c r="BNT900" s="13"/>
      <c r="BNU900" s="13"/>
      <c r="BNV900" s="13"/>
      <c r="BNW900" s="13"/>
      <c r="BNX900" s="13"/>
      <c r="BNY900" s="13"/>
      <c r="BNZ900" s="13"/>
      <c r="BOA900" s="13"/>
      <c r="BOB900" s="13"/>
      <c r="BOC900" s="13"/>
      <c r="BOD900" s="13"/>
      <c r="BOE900" s="13"/>
      <c r="BOF900" s="13"/>
      <c r="BOG900" s="13"/>
      <c r="BOH900" s="13"/>
      <c r="BOI900" s="13"/>
      <c r="BOJ900" s="13"/>
      <c r="BOK900" s="13"/>
      <c r="BOL900" s="13"/>
      <c r="BOM900" s="13"/>
      <c r="BON900" s="13"/>
      <c r="BOO900" s="13"/>
      <c r="BOP900" s="13"/>
      <c r="BOQ900" s="13"/>
      <c r="BOR900" s="13"/>
      <c r="BOS900" s="13"/>
      <c r="BOT900" s="13"/>
      <c r="BOU900" s="13"/>
      <c r="BOV900" s="13"/>
      <c r="BOW900" s="13"/>
      <c r="BOX900" s="13"/>
      <c r="BOY900" s="13"/>
      <c r="BOZ900" s="13"/>
      <c r="BPA900" s="13"/>
      <c r="BPB900" s="13"/>
      <c r="BPC900" s="13"/>
      <c r="BPD900" s="13"/>
      <c r="BPE900" s="13"/>
      <c r="BPF900" s="13"/>
      <c r="BPG900" s="13"/>
      <c r="BPH900" s="13"/>
      <c r="BPI900" s="13"/>
      <c r="BPJ900" s="13"/>
      <c r="BPK900" s="13"/>
      <c r="BPL900" s="13"/>
      <c r="BPM900" s="13"/>
      <c r="BPN900" s="13"/>
      <c r="BPO900" s="13"/>
      <c r="BPP900" s="13"/>
      <c r="BPQ900" s="13"/>
      <c r="BPR900" s="13"/>
      <c r="BPS900" s="13"/>
      <c r="BPT900" s="13"/>
      <c r="BPU900" s="13"/>
      <c r="BPV900" s="13"/>
      <c r="BPW900" s="13"/>
      <c r="BPX900" s="13"/>
      <c r="BPY900" s="13"/>
      <c r="BPZ900" s="13"/>
      <c r="BQA900" s="13"/>
      <c r="BQB900" s="13"/>
      <c r="BQC900" s="13"/>
      <c r="BQD900" s="13"/>
      <c r="BQE900" s="13"/>
      <c r="BQF900" s="13"/>
      <c r="BQG900" s="13"/>
      <c r="BQH900" s="13"/>
      <c r="BQI900" s="13"/>
      <c r="BQJ900" s="13"/>
      <c r="BQK900" s="13"/>
      <c r="BQL900" s="13"/>
      <c r="BQM900" s="13"/>
      <c r="BQN900" s="13"/>
      <c r="BQO900" s="13"/>
      <c r="BQP900" s="13"/>
      <c r="BQQ900" s="13"/>
      <c r="BQR900" s="13"/>
      <c r="BQS900" s="13"/>
      <c r="BQT900" s="13"/>
      <c r="BQU900" s="13"/>
      <c r="BQV900" s="13"/>
      <c r="BQW900" s="13"/>
      <c r="BQX900" s="13"/>
      <c r="BQY900" s="13"/>
      <c r="BQZ900" s="13"/>
      <c r="BRA900" s="13"/>
      <c r="BRB900" s="13"/>
      <c r="BRC900" s="13"/>
      <c r="BRD900" s="13"/>
      <c r="BRE900" s="13"/>
      <c r="BRF900" s="13"/>
      <c r="BRG900" s="13"/>
      <c r="BRH900" s="13"/>
      <c r="BRI900" s="13"/>
      <c r="BRJ900" s="13"/>
      <c r="BRK900" s="13"/>
      <c r="BRL900" s="13"/>
      <c r="BRM900" s="13"/>
      <c r="BRN900" s="13"/>
      <c r="BRO900" s="13"/>
      <c r="BRP900" s="13"/>
      <c r="BRQ900" s="13"/>
      <c r="BRR900" s="13"/>
      <c r="BRS900" s="13"/>
      <c r="BRT900" s="13"/>
      <c r="BRU900" s="13"/>
      <c r="BRV900" s="13"/>
      <c r="BRW900" s="13"/>
      <c r="BRX900" s="13"/>
      <c r="BRY900" s="13"/>
      <c r="BRZ900" s="13"/>
      <c r="BSA900" s="13"/>
      <c r="BSB900" s="13"/>
      <c r="BSC900" s="13"/>
      <c r="BSD900" s="13"/>
      <c r="BSE900" s="13"/>
      <c r="BSF900" s="13"/>
      <c r="BSG900" s="13"/>
      <c r="BSH900" s="13"/>
      <c r="BSI900" s="13"/>
      <c r="BSJ900" s="13"/>
      <c r="BSK900" s="13"/>
      <c r="BSL900" s="13"/>
      <c r="BSM900" s="13"/>
      <c r="BSN900" s="13"/>
      <c r="BSO900" s="13"/>
      <c r="BSP900" s="13"/>
      <c r="BSQ900" s="13"/>
      <c r="BSR900" s="13"/>
      <c r="BSS900" s="13"/>
      <c r="BST900" s="13"/>
      <c r="BSU900" s="13"/>
      <c r="BSV900" s="13"/>
      <c r="BSW900" s="13"/>
      <c r="BSX900" s="13"/>
      <c r="BSY900" s="13"/>
      <c r="BSZ900" s="13"/>
      <c r="BTA900" s="13"/>
    </row>
    <row r="901" spans="1:1873" s="23" customFormat="1" x14ac:dyDescent="0.2">
      <c r="A901" s="223" t="s">
        <v>367</v>
      </c>
      <c r="B901" s="223" t="s">
        <v>82</v>
      </c>
      <c r="C901" s="223" t="s">
        <v>368</v>
      </c>
      <c r="D901" s="223" t="s">
        <v>1402</v>
      </c>
      <c r="E901" s="404" t="s">
        <v>1461</v>
      </c>
      <c r="F901" s="241">
        <v>3</v>
      </c>
      <c r="G901" s="223">
        <v>1</v>
      </c>
      <c r="H901" s="242">
        <v>3</v>
      </c>
      <c r="I901" s="404" t="s">
        <v>954</v>
      </c>
      <c r="J901" s="450">
        <v>1985</v>
      </c>
      <c r="K901" s="450" t="s">
        <v>842</v>
      </c>
      <c r="L901" s="223">
        <v>1988</v>
      </c>
      <c r="M901" s="243">
        <v>11.2</v>
      </c>
      <c r="N901" s="223">
        <v>-9999</v>
      </c>
      <c r="O901" s="29"/>
      <c r="P901" s="243">
        <f>+P900+M901</f>
        <v>29.4</v>
      </c>
      <c r="Q901" s="223">
        <v>-9999</v>
      </c>
      <c r="R901" s="243"/>
      <c r="S901" s="223"/>
      <c r="T901" s="244">
        <f>+(T900+M901)/H901</f>
        <v>6.7666666666666657</v>
      </c>
      <c r="U901" s="223">
        <v>-9999</v>
      </c>
      <c r="V901" s="223"/>
      <c r="W901" s="243">
        <v>11.2</v>
      </c>
      <c r="X901" s="223">
        <v>-9999</v>
      </c>
      <c r="Y901" s="223"/>
      <c r="Z901" s="449" t="s">
        <v>657</v>
      </c>
      <c r="AA901" s="442">
        <v>111111</v>
      </c>
      <c r="AB901" s="243">
        <v>-9999</v>
      </c>
      <c r="AC901" s="223">
        <v>-9999</v>
      </c>
      <c r="AD901" s="223">
        <v>62.4</v>
      </c>
      <c r="AE901" s="404" t="s">
        <v>1959</v>
      </c>
      <c r="AF901" s="223">
        <v>3</v>
      </c>
      <c r="AG901" s="223">
        <v>8</v>
      </c>
      <c r="AH901" s="223" t="s">
        <v>876</v>
      </c>
      <c r="AI901" s="223">
        <v>-9999</v>
      </c>
      <c r="AJ901" s="223">
        <v>-9999</v>
      </c>
      <c r="AK901" s="223">
        <v>-9999</v>
      </c>
      <c r="AL901" s="223">
        <v>-9999</v>
      </c>
      <c r="AM901" s="223">
        <v>-9999</v>
      </c>
      <c r="AN901" s="223">
        <v>-9999</v>
      </c>
      <c r="AO901" s="223">
        <v>-9999</v>
      </c>
      <c r="AP901" s="223">
        <v>-9999</v>
      </c>
      <c r="AQ901" s="223">
        <v>-9999</v>
      </c>
      <c r="AR901" s="223">
        <v>-9999</v>
      </c>
      <c r="AS901" s="223">
        <v>-9999</v>
      </c>
      <c r="AT901" s="223">
        <v>-9999</v>
      </c>
      <c r="AU901" s="223">
        <v>-9999</v>
      </c>
      <c r="AV901" s="223">
        <v>-9999</v>
      </c>
      <c r="AW901" s="223">
        <v>-9999</v>
      </c>
      <c r="AX901" s="223">
        <v>-9999</v>
      </c>
      <c r="AY901" s="223">
        <v>-9999</v>
      </c>
      <c r="AZ901" s="223">
        <v>-9999</v>
      </c>
      <c r="BA901" s="223">
        <v>-9999</v>
      </c>
      <c r="BB901" s="223" t="s">
        <v>626</v>
      </c>
      <c r="BC901" s="223" t="s">
        <v>369</v>
      </c>
      <c r="BD901" s="223">
        <v>-9999</v>
      </c>
      <c r="BE901" s="223" t="s">
        <v>370</v>
      </c>
      <c r="BF901" s="223">
        <v>-9999</v>
      </c>
      <c r="BG901" s="223">
        <v>-9999</v>
      </c>
      <c r="BH901" s="223">
        <v>-9999</v>
      </c>
      <c r="BI901" s="223">
        <v>-9999</v>
      </c>
      <c r="BJ901" s="223">
        <v>-9999</v>
      </c>
      <c r="BK901" s="223">
        <v>-9999</v>
      </c>
      <c r="BL901" s="223">
        <v>-9999</v>
      </c>
      <c r="BM901" s="223">
        <v>-9999</v>
      </c>
      <c r="BN901" s="223">
        <v>-9999</v>
      </c>
      <c r="BO901" s="223">
        <v>-9999</v>
      </c>
      <c r="BP901" s="223">
        <v>-9999</v>
      </c>
      <c r="BQ901" s="223">
        <v>-9999</v>
      </c>
      <c r="BR901" s="223">
        <v>-9999</v>
      </c>
      <c r="BS901" s="242">
        <v>-9999</v>
      </c>
      <c r="BT901" s="223">
        <v>-9999</v>
      </c>
      <c r="BU901" s="223">
        <v>-9999</v>
      </c>
      <c r="BV901" s="223">
        <v>-9999</v>
      </c>
      <c r="BW901" s="223"/>
      <c r="BX901" s="223">
        <v>-9999</v>
      </c>
      <c r="BY901" s="223">
        <v>-9999</v>
      </c>
      <c r="BZ901" s="223">
        <v>-9999</v>
      </c>
      <c r="CA901" s="332">
        <v>-9999</v>
      </c>
      <c r="CB901" s="247"/>
      <c r="CC901" s="241">
        <v>3</v>
      </c>
      <c r="CD901" s="223">
        <v>1</v>
      </c>
      <c r="CE901" s="292">
        <v>6.7666666666666657</v>
      </c>
      <c r="CF901" s="292">
        <v>11.2</v>
      </c>
      <c r="CG901" s="242">
        <v>3</v>
      </c>
    </row>
    <row r="902" spans="1:1873" s="23" customFormat="1" x14ac:dyDescent="0.2">
      <c r="A902" s="223" t="s">
        <v>367</v>
      </c>
      <c r="B902" s="223" t="s">
        <v>82</v>
      </c>
      <c r="C902" s="223" t="s">
        <v>368</v>
      </c>
      <c r="D902" s="223" t="s">
        <v>1402</v>
      </c>
      <c r="E902" s="404" t="s">
        <v>1461</v>
      </c>
      <c r="F902" s="241">
        <v>4</v>
      </c>
      <c r="G902" s="223">
        <v>1</v>
      </c>
      <c r="H902" s="242">
        <v>4</v>
      </c>
      <c r="I902" s="404" t="s">
        <v>954</v>
      </c>
      <c r="J902" s="450">
        <v>1985</v>
      </c>
      <c r="K902" s="450" t="s">
        <v>842</v>
      </c>
      <c r="L902" s="223">
        <v>1989</v>
      </c>
      <c r="M902" s="243">
        <v>2.4</v>
      </c>
      <c r="N902" s="223">
        <v>-9999</v>
      </c>
      <c r="O902" s="29"/>
      <c r="P902" s="243">
        <f>+P901+M902</f>
        <v>31.799999999999997</v>
      </c>
      <c r="Q902" s="223">
        <v>-9999</v>
      </c>
      <c r="R902" s="243"/>
      <c r="S902" s="223"/>
      <c r="T902" s="244">
        <f>+(T901+M902)/H902</f>
        <v>2.2916666666666665</v>
      </c>
      <c r="U902" s="223">
        <v>-9999</v>
      </c>
      <c r="V902" s="223"/>
      <c r="W902" s="243">
        <v>2.4</v>
      </c>
      <c r="X902" s="223">
        <v>-9999</v>
      </c>
      <c r="Y902" s="223"/>
      <c r="Z902" s="449" t="s">
        <v>657</v>
      </c>
      <c r="AA902" s="442">
        <v>111111</v>
      </c>
      <c r="AB902" s="243">
        <v>-9999</v>
      </c>
      <c r="AC902" s="223">
        <v>-9999</v>
      </c>
      <c r="AD902" s="223">
        <v>62.4</v>
      </c>
      <c r="AE902" s="404" t="s">
        <v>1959</v>
      </c>
      <c r="AF902" s="223">
        <v>3</v>
      </c>
      <c r="AG902" s="223">
        <v>8</v>
      </c>
      <c r="AH902" s="223" t="s">
        <v>876</v>
      </c>
      <c r="AI902" s="223">
        <v>-9999</v>
      </c>
      <c r="AJ902" s="223">
        <v>-9999</v>
      </c>
      <c r="AK902" s="223">
        <v>-9999</v>
      </c>
      <c r="AL902" s="223">
        <v>-9999</v>
      </c>
      <c r="AM902" s="223">
        <v>-9999</v>
      </c>
      <c r="AN902" s="223">
        <v>-9999</v>
      </c>
      <c r="AO902" s="223">
        <v>-9999</v>
      </c>
      <c r="AP902" s="223">
        <v>-9999</v>
      </c>
      <c r="AQ902" s="223">
        <v>-9999</v>
      </c>
      <c r="AR902" s="223">
        <v>-9999</v>
      </c>
      <c r="AS902" s="223">
        <v>-9999</v>
      </c>
      <c r="AT902" s="223">
        <v>-9999</v>
      </c>
      <c r="AU902" s="223">
        <v>-9999</v>
      </c>
      <c r="AV902" s="223">
        <v>-9999</v>
      </c>
      <c r="AW902" s="223">
        <v>-9999</v>
      </c>
      <c r="AX902" s="223">
        <v>-9999</v>
      </c>
      <c r="AY902" s="223">
        <v>-9999</v>
      </c>
      <c r="AZ902" s="223">
        <v>-9999</v>
      </c>
      <c r="BA902" s="223">
        <v>-9999</v>
      </c>
      <c r="BB902" s="223" t="s">
        <v>626</v>
      </c>
      <c r="BC902" s="223" t="s">
        <v>369</v>
      </c>
      <c r="BD902" s="223">
        <v>-9999</v>
      </c>
      <c r="BE902" s="223" t="s">
        <v>370</v>
      </c>
      <c r="BF902" s="223">
        <v>-9999</v>
      </c>
      <c r="BG902" s="223">
        <v>-9999</v>
      </c>
      <c r="BH902" s="223">
        <v>-9999</v>
      </c>
      <c r="BI902" s="223">
        <v>-9999</v>
      </c>
      <c r="BJ902" s="223">
        <v>-9999</v>
      </c>
      <c r="BK902" s="223">
        <v>-9999</v>
      </c>
      <c r="BL902" s="223">
        <v>-9999</v>
      </c>
      <c r="BM902" s="223">
        <v>-9999</v>
      </c>
      <c r="BN902" s="223">
        <v>-9999</v>
      </c>
      <c r="BO902" s="223">
        <v>-9999</v>
      </c>
      <c r="BP902" s="223">
        <v>-9999</v>
      </c>
      <c r="BQ902" s="223">
        <v>-9999</v>
      </c>
      <c r="BR902" s="223">
        <v>-9999</v>
      </c>
      <c r="BS902" s="242">
        <v>-9999</v>
      </c>
      <c r="BT902" s="223">
        <v>-9999</v>
      </c>
      <c r="BU902" s="223">
        <v>-9999</v>
      </c>
      <c r="BV902" s="223">
        <v>-9999</v>
      </c>
      <c r="BW902" s="223"/>
      <c r="BX902" s="223">
        <v>-9999</v>
      </c>
      <c r="BY902" s="223">
        <v>-9999</v>
      </c>
      <c r="BZ902" s="223">
        <v>-9999</v>
      </c>
      <c r="CA902" s="332">
        <v>-9999</v>
      </c>
      <c r="CB902" s="247"/>
      <c r="CC902" s="241">
        <v>4</v>
      </c>
      <c r="CD902" s="223">
        <v>1</v>
      </c>
      <c r="CE902" s="292">
        <v>2.2916666666666665</v>
      </c>
      <c r="CF902" s="292">
        <v>2.4</v>
      </c>
      <c r="CG902" s="242">
        <v>4</v>
      </c>
    </row>
    <row r="903" spans="1:1873" s="23" customFormat="1" x14ac:dyDescent="0.2">
      <c r="A903" s="223"/>
      <c r="B903" s="223"/>
      <c r="C903" s="223"/>
      <c r="D903" s="223"/>
      <c r="E903" s="223"/>
      <c r="F903" s="241"/>
      <c r="G903" s="223"/>
      <c r="H903" s="242"/>
      <c r="I903" s="404"/>
      <c r="J903" s="450"/>
      <c r="K903" s="450"/>
      <c r="L903" s="223"/>
      <c r="M903" s="243"/>
      <c r="N903" s="223"/>
      <c r="O903" s="29"/>
      <c r="P903" s="243"/>
      <c r="Q903" s="223"/>
      <c r="R903" s="243"/>
      <c r="S903" s="223"/>
      <c r="T903" s="244"/>
      <c r="U903" s="223"/>
      <c r="V903" s="223"/>
      <c r="W903" s="243"/>
      <c r="X903" s="223"/>
      <c r="Y903" s="223"/>
      <c r="Z903" s="449"/>
      <c r="AA903" s="442"/>
      <c r="AB903" s="243"/>
      <c r="AC903" s="223"/>
      <c r="AD903" s="223"/>
      <c r="AE903" s="223"/>
      <c r="AF903" s="223"/>
      <c r="AG903" s="223"/>
      <c r="AH903" s="223"/>
      <c r="AI903" s="223"/>
      <c r="AJ903" s="223"/>
      <c r="AK903" s="223"/>
      <c r="AL903" s="223"/>
      <c r="AM903" s="223"/>
      <c r="AN903" s="223"/>
      <c r="AO903" s="223"/>
      <c r="AP903" s="223"/>
      <c r="AQ903" s="223"/>
      <c r="AR903" s="223"/>
      <c r="AS903" s="223"/>
      <c r="AT903" s="223"/>
      <c r="AU903" s="223"/>
      <c r="AV903" s="223"/>
      <c r="AW903" s="223"/>
      <c r="AX903" s="223"/>
      <c r="AY903" s="223"/>
      <c r="AZ903" s="223"/>
      <c r="BA903" s="223"/>
      <c r="BB903" s="223"/>
      <c r="BC903" s="223"/>
      <c r="BD903" s="223"/>
      <c r="BE903" s="223"/>
      <c r="BF903" s="223"/>
      <c r="BG903" s="223"/>
      <c r="BH903" s="223"/>
      <c r="BI903" s="223"/>
      <c r="BJ903" s="223"/>
      <c r="BK903" s="223"/>
      <c r="BL903" s="223"/>
      <c r="BM903" s="223"/>
      <c r="BN903" s="223"/>
      <c r="BO903" s="223"/>
      <c r="BP903" s="223"/>
      <c r="BQ903" s="223"/>
      <c r="BR903" s="223"/>
      <c r="BS903" s="242">
        <v>-9999</v>
      </c>
      <c r="BT903" s="223"/>
      <c r="BU903" s="223"/>
      <c r="BV903" s="223"/>
      <c r="BW903" s="223"/>
      <c r="BX903" s="223"/>
      <c r="BY903" s="223"/>
      <c r="BZ903" s="223"/>
      <c r="CA903" s="332"/>
      <c r="CB903" s="247"/>
      <c r="CC903" s="241"/>
      <c r="CD903" s="223"/>
      <c r="CE903" s="342" t="s">
        <v>1576</v>
      </c>
      <c r="CF903" s="342" t="s">
        <v>1575</v>
      </c>
      <c r="CG903" s="242"/>
    </row>
    <row r="904" spans="1:1873" s="23" customFormat="1" x14ac:dyDescent="0.2">
      <c r="A904" s="223" t="s">
        <v>367</v>
      </c>
      <c r="B904" s="223" t="s">
        <v>82</v>
      </c>
      <c r="C904" s="223" t="s">
        <v>368</v>
      </c>
      <c r="D904" s="223" t="s">
        <v>619</v>
      </c>
      <c r="E904" s="404" t="s">
        <v>1462</v>
      </c>
      <c r="F904" s="241">
        <v>1</v>
      </c>
      <c r="G904" s="223">
        <v>1</v>
      </c>
      <c r="H904" s="242">
        <v>1</v>
      </c>
      <c r="I904" s="404" t="s">
        <v>954</v>
      </c>
      <c r="J904" s="450">
        <v>1985</v>
      </c>
      <c r="K904" s="450" t="s">
        <v>842</v>
      </c>
      <c r="L904" s="223">
        <v>1986</v>
      </c>
      <c r="M904" s="243">
        <v>4.3</v>
      </c>
      <c r="N904" s="223">
        <v>-9999</v>
      </c>
      <c r="O904" s="29"/>
      <c r="P904" s="243">
        <f>+M904</f>
        <v>4.3</v>
      </c>
      <c r="Q904" s="223">
        <v>-9999</v>
      </c>
      <c r="R904" s="243"/>
      <c r="S904" s="223"/>
      <c r="T904" s="244">
        <f>+M904</f>
        <v>4.3</v>
      </c>
      <c r="U904" s="223">
        <v>-9999</v>
      </c>
      <c r="V904" s="223"/>
      <c r="W904" s="243">
        <v>4.3</v>
      </c>
      <c r="X904" s="223">
        <v>-9999</v>
      </c>
      <c r="Y904" s="223"/>
      <c r="Z904" s="449" t="s">
        <v>657</v>
      </c>
      <c r="AA904" s="442">
        <v>111111</v>
      </c>
      <c r="AB904" s="243">
        <v>-9999</v>
      </c>
      <c r="AC904" s="223">
        <v>-9999</v>
      </c>
      <c r="AD904" s="223">
        <v>62.4</v>
      </c>
      <c r="AE904" s="404" t="s">
        <v>1959</v>
      </c>
      <c r="AF904" s="223">
        <v>3</v>
      </c>
      <c r="AG904" s="223">
        <v>8</v>
      </c>
      <c r="AH904" s="223" t="s">
        <v>876</v>
      </c>
      <c r="AI904" s="223">
        <v>-9999</v>
      </c>
      <c r="AJ904" s="223">
        <v>-9999</v>
      </c>
      <c r="AK904" s="223">
        <v>-9999</v>
      </c>
      <c r="AL904" s="223">
        <v>-9999</v>
      </c>
      <c r="AM904" s="223">
        <v>-9999</v>
      </c>
      <c r="AN904" s="223">
        <v>-9999</v>
      </c>
      <c r="AO904" s="223">
        <v>-9999</v>
      </c>
      <c r="AP904" s="223">
        <v>-9999</v>
      </c>
      <c r="AQ904" s="223">
        <v>-9999</v>
      </c>
      <c r="AR904" s="223">
        <v>-9999</v>
      </c>
      <c r="AS904" s="223">
        <v>-9999</v>
      </c>
      <c r="AT904" s="223">
        <v>-9999</v>
      </c>
      <c r="AU904" s="223">
        <v>-9999</v>
      </c>
      <c r="AV904" s="223">
        <v>-9999</v>
      </c>
      <c r="AW904" s="223">
        <v>-9999</v>
      </c>
      <c r="AX904" s="223">
        <v>-9999</v>
      </c>
      <c r="AY904" s="223">
        <v>-9999</v>
      </c>
      <c r="AZ904" s="223">
        <v>-9999</v>
      </c>
      <c r="BA904" s="223">
        <v>-9999</v>
      </c>
      <c r="BB904" s="223" t="s">
        <v>626</v>
      </c>
      <c r="BC904" s="223" t="s">
        <v>369</v>
      </c>
      <c r="BD904" s="223">
        <v>-9999</v>
      </c>
      <c r="BE904" s="223" t="s">
        <v>370</v>
      </c>
      <c r="BF904" s="223">
        <v>-9999</v>
      </c>
      <c r="BG904" s="223">
        <v>-9999</v>
      </c>
      <c r="BH904" s="223">
        <v>-9999</v>
      </c>
      <c r="BI904" s="223">
        <v>-9999</v>
      </c>
      <c r="BJ904" s="223">
        <v>-9999</v>
      </c>
      <c r="BK904" s="223">
        <v>-9999</v>
      </c>
      <c r="BL904" s="223">
        <v>-9999</v>
      </c>
      <c r="BM904" s="223">
        <v>-9999</v>
      </c>
      <c r="BN904" s="223">
        <v>-9999</v>
      </c>
      <c r="BO904" s="223">
        <v>-9999</v>
      </c>
      <c r="BP904" s="223">
        <v>-9999</v>
      </c>
      <c r="BQ904" s="223">
        <v>-9999</v>
      </c>
      <c r="BR904" s="223">
        <v>-9999</v>
      </c>
      <c r="BS904" s="242">
        <v>-9999</v>
      </c>
      <c r="BT904" s="223">
        <v>-9999</v>
      </c>
      <c r="BU904" s="223">
        <v>-9999</v>
      </c>
      <c r="BV904" s="223">
        <v>-9999</v>
      </c>
      <c r="BW904" s="223"/>
      <c r="BX904" s="223">
        <v>-9999</v>
      </c>
      <c r="BY904" s="223">
        <v>-9999</v>
      </c>
      <c r="BZ904" s="223">
        <v>-9999</v>
      </c>
      <c r="CA904" s="332">
        <v>-9999</v>
      </c>
      <c r="CB904" s="247"/>
      <c r="CC904" s="241">
        <v>1</v>
      </c>
      <c r="CD904" s="223">
        <v>1</v>
      </c>
      <c r="CE904" s="292">
        <v>4.3</v>
      </c>
      <c r="CF904" s="292">
        <v>4.3</v>
      </c>
      <c r="CG904" s="242">
        <v>1</v>
      </c>
    </row>
    <row r="905" spans="1:1873" s="203" customFormat="1" x14ac:dyDescent="0.2">
      <c r="A905" s="403" t="s">
        <v>367</v>
      </c>
      <c r="B905" s="223" t="s">
        <v>82</v>
      </c>
      <c r="C905" s="223" t="s">
        <v>368</v>
      </c>
      <c r="D905" s="223" t="s">
        <v>619</v>
      </c>
      <c r="E905" s="404" t="s">
        <v>1462</v>
      </c>
      <c r="F905" s="241">
        <v>2</v>
      </c>
      <c r="G905" s="223">
        <v>1</v>
      </c>
      <c r="H905" s="242">
        <v>2</v>
      </c>
      <c r="I905" s="404" t="s">
        <v>954</v>
      </c>
      <c r="J905" s="450">
        <v>1985</v>
      </c>
      <c r="K905" s="450" t="s">
        <v>842</v>
      </c>
      <c r="L905" s="223">
        <v>1987</v>
      </c>
      <c r="M905" s="243">
        <v>8.3000000000000007</v>
      </c>
      <c r="N905" s="223">
        <v>-9999</v>
      </c>
      <c r="O905" s="29"/>
      <c r="P905" s="243">
        <f>+M905+M904</f>
        <v>12.600000000000001</v>
      </c>
      <c r="Q905" s="223">
        <v>-9999</v>
      </c>
      <c r="R905" s="243"/>
      <c r="S905" s="223"/>
      <c r="T905" s="244">
        <f>+(T904+M905)/H905</f>
        <v>6.3000000000000007</v>
      </c>
      <c r="U905" s="223">
        <v>-9999</v>
      </c>
      <c r="V905" s="223"/>
      <c r="W905" s="243">
        <v>8.3000000000000007</v>
      </c>
      <c r="X905" s="223">
        <v>-9999</v>
      </c>
      <c r="Y905" s="223"/>
      <c r="Z905" s="449" t="s">
        <v>657</v>
      </c>
      <c r="AA905" s="442">
        <v>111111</v>
      </c>
      <c r="AB905" s="243">
        <v>-9999</v>
      </c>
      <c r="AC905" s="223">
        <v>-9999</v>
      </c>
      <c r="AD905" s="223">
        <v>62.4</v>
      </c>
      <c r="AE905" s="404" t="s">
        <v>1959</v>
      </c>
      <c r="AF905" s="223">
        <v>3</v>
      </c>
      <c r="AG905" s="223">
        <v>8</v>
      </c>
      <c r="AH905" s="223" t="s">
        <v>876</v>
      </c>
      <c r="AI905" s="223">
        <v>-9999</v>
      </c>
      <c r="AJ905" s="223">
        <v>-9999</v>
      </c>
      <c r="AK905" s="223">
        <v>-9999</v>
      </c>
      <c r="AL905" s="223">
        <v>-9999</v>
      </c>
      <c r="AM905" s="223">
        <v>-9999</v>
      </c>
      <c r="AN905" s="223">
        <v>-9999</v>
      </c>
      <c r="AO905" s="223">
        <v>-9999</v>
      </c>
      <c r="AP905" s="223">
        <v>-9999</v>
      </c>
      <c r="AQ905" s="223">
        <v>-9999</v>
      </c>
      <c r="AR905" s="223">
        <v>-9999</v>
      </c>
      <c r="AS905" s="223">
        <v>-9999</v>
      </c>
      <c r="AT905" s="223">
        <v>-9999</v>
      </c>
      <c r="AU905" s="223">
        <v>-9999</v>
      </c>
      <c r="AV905" s="223">
        <v>-9999</v>
      </c>
      <c r="AW905" s="223">
        <v>-9999</v>
      </c>
      <c r="AX905" s="223">
        <v>-9999</v>
      </c>
      <c r="AY905" s="223">
        <v>-9999</v>
      </c>
      <c r="AZ905" s="223">
        <v>-9999</v>
      </c>
      <c r="BA905" s="223">
        <v>-9999</v>
      </c>
      <c r="BB905" s="223" t="s">
        <v>626</v>
      </c>
      <c r="BC905" s="223" t="s">
        <v>369</v>
      </c>
      <c r="BD905" s="223">
        <v>-9999</v>
      </c>
      <c r="BE905" s="223" t="s">
        <v>370</v>
      </c>
      <c r="BF905" s="223">
        <v>-9999</v>
      </c>
      <c r="BG905" s="223">
        <v>-9999</v>
      </c>
      <c r="BH905" s="223">
        <v>-9999</v>
      </c>
      <c r="BI905" s="223">
        <v>-9999</v>
      </c>
      <c r="BJ905" s="223">
        <v>-9999</v>
      </c>
      <c r="BK905" s="223">
        <v>-9999</v>
      </c>
      <c r="BL905" s="223">
        <v>-9999</v>
      </c>
      <c r="BM905" s="223">
        <v>-9999</v>
      </c>
      <c r="BN905" s="223">
        <v>-9999</v>
      </c>
      <c r="BO905" s="223">
        <v>-9999</v>
      </c>
      <c r="BP905" s="223">
        <v>-9999</v>
      </c>
      <c r="BQ905" s="223">
        <v>-9999</v>
      </c>
      <c r="BR905" s="223">
        <v>-9999</v>
      </c>
      <c r="BS905" s="242">
        <v>-9999</v>
      </c>
      <c r="BT905" s="223">
        <v>-9999</v>
      </c>
      <c r="BU905" s="223">
        <v>-9999</v>
      </c>
      <c r="BV905" s="223">
        <v>-9999</v>
      </c>
      <c r="BW905" s="223"/>
      <c r="BX905" s="223">
        <v>-9999</v>
      </c>
      <c r="BY905" s="223">
        <v>-9999</v>
      </c>
      <c r="BZ905" s="223">
        <v>-9999</v>
      </c>
      <c r="CA905" s="332">
        <v>-9999</v>
      </c>
      <c r="CB905" s="247"/>
      <c r="CC905" s="241">
        <v>2</v>
      </c>
      <c r="CD905" s="223">
        <v>1</v>
      </c>
      <c r="CE905" s="394">
        <v>6.3000000000000007</v>
      </c>
      <c r="CF905" s="292">
        <v>8.3000000000000007</v>
      </c>
      <c r="CG905" s="206">
        <v>2</v>
      </c>
      <c r="CH905" s="438" t="s">
        <v>1757</v>
      </c>
      <c r="CI905" s="23"/>
      <c r="CJ905" s="23"/>
      <c r="CK905" s="23"/>
      <c r="CL905" s="23"/>
      <c r="CM905" s="23"/>
      <c r="CN905" s="23"/>
      <c r="CO905" s="23"/>
      <c r="CP905" s="23"/>
      <c r="CQ905" s="23"/>
      <c r="CR905" s="23"/>
      <c r="CS905" s="23"/>
      <c r="CT905" s="23"/>
      <c r="CU905" s="23"/>
      <c r="CV905" s="23"/>
      <c r="CW905" s="23"/>
      <c r="CX905" s="23"/>
      <c r="CY905" s="23"/>
      <c r="CZ905" s="23"/>
      <c r="DA905" s="23"/>
      <c r="DB905" s="23"/>
      <c r="DC905" s="23"/>
      <c r="DD905" s="23"/>
      <c r="DE905" s="23"/>
      <c r="DF905" s="23"/>
      <c r="DG905" s="23"/>
      <c r="DH905" s="23"/>
      <c r="DI905" s="23"/>
      <c r="DJ905" s="23"/>
      <c r="DK905" s="23"/>
      <c r="DL905" s="23"/>
      <c r="DM905" s="23"/>
      <c r="DN905" s="23"/>
      <c r="DO905" s="23"/>
      <c r="DP905" s="23"/>
      <c r="DQ905" s="23"/>
      <c r="DR905" s="23"/>
      <c r="DS905" s="23"/>
      <c r="DT905" s="23"/>
      <c r="DU905" s="23"/>
      <c r="DV905" s="23"/>
      <c r="DW905" s="23"/>
      <c r="DX905" s="23"/>
      <c r="DY905" s="23"/>
      <c r="DZ905" s="23"/>
      <c r="EA905" s="23"/>
      <c r="EB905" s="23"/>
      <c r="EC905" s="23"/>
      <c r="ED905" s="23"/>
      <c r="EE905" s="23"/>
      <c r="EF905" s="23"/>
      <c r="EG905" s="23"/>
      <c r="EH905" s="23"/>
      <c r="EI905" s="23"/>
      <c r="EJ905" s="23"/>
      <c r="EK905" s="23"/>
      <c r="EL905" s="23"/>
      <c r="EM905" s="23"/>
      <c r="EN905" s="23"/>
      <c r="EO905" s="23"/>
      <c r="EP905" s="23"/>
      <c r="EQ905" s="23"/>
      <c r="ER905" s="23"/>
      <c r="ES905" s="23"/>
      <c r="ET905" s="23"/>
      <c r="EU905" s="23"/>
      <c r="EV905" s="23"/>
      <c r="EW905" s="23"/>
      <c r="EX905" s="23"/>
      <c r="EY905" s="23"/>
      <c r="EZ905" s="23"/>
      <c r="FA905" s="23"/>
      <c r="FB905" s="23"/>
      <c r="FC905" s="23"/>
      <c r="FD905" s="23"/>
      <c r="FE905" s="23"/>
      <c r="FF905" s="23"/>
      <c r="FG905" s="23"/>
      <c r="FH905" s="23"/>
      <c r="FI905" s="23"/>
      <c r="FJ905" s="23"/>
      <c r="FK905" s="23"/>
      <c r="FL905" s="23"/>
      <c r="FM905" s="23"/>
      <c r="FN905" s="23"/>
      <c r="FO905" s="23"/>
      <c r="FP905" s="23"/>
      <c r="FQ905" s="23"/>
      <c r="FR905" s="23"/>
      <c r="FS905" s="23"/>
      <c r="FT905" s="23"/>
      <c r="FU905" s="23"/>
      <c r="FV905" s="23"/>
      <c r="FW905" s="23"/>
      <c r="FX905" s="23"/>
      <c r="FY905" s="23"/>
      <c r="FZ905" s="23"/>
      <c r="GA905" s="23"/>
      <c r="GB905" s="23"/>
      <c r="GC905" s="23"/>
      <c r="GD905" s="23"/>
      <c r="GE905" s="23"/>
      <c r="GF905" s="23"/>
      <c r="GG905" s="23"/>
      <c r="GH905" s="23"/>
      <c r="GI905" s="23"/>
      <c r="GJ905" s="23"/>
      <c r="GK905" s="23"/>
      <c r="GL905" s="23"/>
      <c r="GM905" s="23"/>
      <c r="GN905" s="23"/>
      <c r="GO905" s="23"/>
      <c r="GP905" s="23"/>
      <c r="GQ905" s="23"/>
      <c r="GR905" s="23"/>
      <c r="GS905" s="23"/>
      <c r="GT905" s="23"/>
      <c r="GU905" s="23"/>
      <c r="GV905" s="23"/>
      <c r="GW905" s="23"/>
      <c r="GX905" s="23"/>
      <c r="GY905" s="23"/>
      <c r="GZ905" s="23"/>
      <c r="HA905" s="23"/>
      <c r="HB905" s="23"/>
      <c r="HC905" s="23"/>
      <c r="HD905" s="23"/>
      <c r="HE905" s="23"/>
      <c r="HF905" s="23"/>
      <c r="HG905" s="23"/>
      <c r="HH905" s="23"/>
      <c r="HI905" s="23"/>
      <c r="HJ905" s="23"/>
      <c r="HK905" s="23"/>
      <c r="HL905" s="23"/>
      <c r="HM905" s="23"/>
      <c r="HN905" s="23"/>
      <c r="HO905" s="23"/>
      <c r="HP905" s="23"/>
      <c r="HQ905" s="23"/>
      <c r="HR905" s="23"/>
      <c r="HS905" s="23"/>
      <c r="HT905" s="23"/>
      <c r="HU905" s="23"/>
      <c r="HV905" s="23"/>
      <c r="HW905" s="23"/>
      <c r="HX905" s="23"/>
      <c r="HY905" s="23"/>
      <c r="HZ905" s="23"/>
      <c r="IA905" s="23"/>
      <c r="IB905" s="23"/>
      <c r="IC905" s="23"/>
      <c r="ID905" s="23"/>
      <c r="IE905" s="23"/>
      <c r="IF905" s="23"/>
      <c r="IG905" s="23"/>
      <c r="IH905" s="23"/>
      <c r="II905" s="23"/>
      <c r="IJ905" s="23"/>
      <c r="IK905" s="23"/>
      <c r="IL905" s="23"/>
      <c r="IM905" s="23"/>
      <c r="IN905" s="23"/>
      <c r="IO905" s="23"/>
      <c r="IP905" s="23"/>
      <c r="IQ905" s="23"/>
      <c r="IR905" s="23"/>
      <c r="IS905" s="23"/>
      <c r="IT905" s="23"/>
      <c r="IU905" s="23"/>
      <c r="IV905" s="23"/>
      <c r="IW905" s="23"/>
      <c r="IX905" s="23"/>
      <c r="IY905" s="23"/>
      <c r="IZ905" s="23"/>
      <c r="JA905" s="23"/>
      <c r="JB905" s="23"/>
      <c r="JC905" s="23"/>
      <c r="JD905" s="23"/>
      <c r="JE905" s="23"/>
      <c r="JF905" s="23"/>
      <c r="JG905" s="23"/>
      <c r="JH905" s="23"/>
      <c r="JI905" s="23"/>
      <c r="JJ905" s="23"/>
      <c r="JK905" s="23"/>
      <c r="JL905" s="23"/>
      <c r="JM905" s="23"/>
      <c r="JN905" s="23"/>
      <c r="JO905" s="23"/>
      <c r="JP905" s="23"/>
      <c r="JQ905" s="23"/>
      <c r="JR905" s="23"/>
      <c r="JS905" s="23"/>
      <c r="JT905" s="23"/>
      <c r="JU905" s="23"/>
      <c r="JV905" s="23"/>
      <c r="JW905" s="23"/>
      <c r="JX905" s="23"/>
      <c r="JY905" s="23"/>
      <c r="JZ905" s="23"/>
      <c r="KA905" s="23"/>
      <c r="KB905" s="23"/>
      <c r="KC905" s="23"/>
      <c r="KD905" s="23"/>
      <c r="KE905" s="23"/>
      <c r="KF905" s="23"/>
      <c r="KG905" s="23"/>
      <c r="KH905" s="23"/>
      <c r="KI905" s="23"/>
      <c r="KJ905" s="23"/>
      <c r="KK905" s="23"/>
      <c r="KL905" s="23"/>
      <c r="KM905" s="23"/>
      <c r="KN905" s="23"/>
      <c r="KO905" s="23"/>
      <c r="KP905" s="23"/>
      <c r="KQ905" s="23"/>
      <c r="KR905" s="23"/>
      <c r="KS905" s="23"/>
      <c r="KT905" s="23"/>
      <c r="KU905" s="23"/>
      <c r="KV905" s="23"/>
      <c r="KW905" s="23"/>
      <c r="KX905" s="23"/>
      <c r="KY905" s="23"/>
      <c r="KZ905" s="23"/>
      <c r="LA905" s="23"/>
      <c r="LB905" s="23"/>
      <c r="LC905" s="23"/>
      <c r="LD905" s="23"/>
      <c r="LE905" s="23"/>
      <c r="LF905" s="23"/>
      <c r="LG905" s="23"/>
      <c r="LH905" s="23"/>
      <c r="LI905" s="23"/>
      <c r="LJ905" s="23"/>
      <c r="LK905" s="23"/>
      <c r="LL905" s="23"/>
      <c r="LM905" s="23"/>
      <c r="LN905" s="23"/>
      <c r="LO905" s="23"/>
      <c r="LP905" s="23"/>
      <c r="LQ905" s="23"/>
      <c r="LR905" s="23"/>
      <c r="LS905" s="23"/>
      <c r="LT905" s="23"/>
      <c r="LU905" s="23"/>
      <c r="LV905" s="23"/>
      <c r="LW905" s="23"/>
      <c r="LX905" s="23"/>
      <c r="LY905" s="23"/>
      <c r="LZ905" s="23"/>
      <c r="MA905" s="23"/>
      <c r="MB905" s="23"/>
      <c r="MC905" s="23"/>
      <c r="MD905" s="23"/>
      <c r="ME905" s="23"/>
      <c r="MF905" s="23"/>
      <c r="MG905" s="23"/>
      <c r="MH905" s="23"/>
      <c r="MI905" s="23"/>
      <c r="MJ905" s="23"/>
      <c r="MK905" s="23"/>
      <c r="ML905" s="23"/>
      <c r="MM905" s="23"/>
      <c r="MN905" s="23"/>
      <c r="MO905" s="23"/>
      <c r="MP905" s="23"/>
      <c r="MQ905" s="23"/>
      <c r="MR905" s="23"/>
      <c r="MS905" s="23"/>
      <c r="MT905" s="23"/>
      <c r="MU905" s="23"/>
      <c r="MV905" s="23"/>
      <c r="MW905" s="23"/>
      <c r="MX905" s="23"/>
      <c r="MY905" s="23"/>
      <c r="MZ905" s="23"/>
      <c r="NA905" s="23"/>
      <c r="NB905" s="23"/>
      <c r="NC905" s="23"/>
      <c r="ND905" s="23"/>
      <c r="NE905" s="23"/>
      <c r="NF905" s="23"/>
      <c r="NG905" s="23"/>
      <c r="NH905" s="23"/>
      <c r="NI905" s="23"/>
      <c r="NJ905" s="23"/>
      <c r="NK905" s="23"/>
      <c r="NL905" s="23"/>
      <c r="NM905" s="23"/>
      <c r="NN905" s="23"/>
      <c r="NO905" s="23"/>
      <c r="NP905" s="23"/>
      <c r="NQ905" s="23"/>
      <c r="NR905" s="23"/>
      <c r="NS905" s="23"/>
      <c r="NT905" s="23"/>
      <c r="NU905" s="23"/>
      <c r="NV905" s="23"/>
      <c r="NW905" s="23"/>
      <c r="NX905" s="23"/>
      <c r="NY905" s="23"/>
      <c r="NZ905" s="23"/>
      <c r="OA905" s="23"/>
      <c r="OB905" s="23"/>
      <c r="OC905" s="23"/>
      <c r="OD905" s="23"/>
      <c r="OE905" s="23"/>
      <c r="OF905" s="23"/>
      <c r="OG905" s="23"/>
      <c r="OH905" s="23"/>
      <c r="OI905" s="23"/>
      <c r="OJ905" s="23"/>
      <c r="OK905" s="23"/>
      <c r="OL905" s="23"/>
      <c r="OM905" s="23"/>
      <c r="ON905" s="23"/>
      <c r="OO905" s="23"/>
      <c r="OP905" s="23"/>
      <c r="OQ905" s="23"/>
      <c r="OR905" s="23"/>
      <c r="OS905" s="23"/>
      <c r="OT905" s="23"/>
      <c r="OU905" s="23"/>
      <c r="OV905" s="23"/>
      <c r="OW905" s="23"/>
      <c r="OX905" s="23"/>
      <c r="OY905" s="23"/>
      <c r="OZ905" s="23"/>
      <c r="PA905" s="23"/>
      <c r="PB905" s="23"/>
      <c r="PC905" s="23"/>
      <c r="PD905" s="23"/>
      <c r="PE905" s="23"/>
      <c r="PF905" s="23"/>
      <c r="PG905" s="23"/>
      <c r="PH905" s="23"/>
      <c r="PI905" s="23"/>
      <c r="PJ905" s="23"/>
      <c r="PK905" s="23"/>
      <c r="PL905" s="23"/>
      <c r="PM905" s="23"/>
      <c r="PN905" s="23"/>
      <c r="PO905" s="23"/>
      <c r="PP905" s="23"/>
      <c r="PQ905" s="23"/>
      <c r="PR905" s="23"/>
      <c r="PS905" s="23"/>
      <c r="PT905" s="23"/>
      <c r="PU905" s="23"/>
      <c r="PV905" s="23"/>
      <c r="PW905" s="23"/>
      <c r="PX905" s="23"/>
      <c r="PY905" s="23"/>
      <c r="PZ905" s="23"/>
      <c r="QA905" s="23"/>
      <c r="QB905" s="23"/>
      <c r="QC905" s="23"/>
      <c r="QD905" s="23"/>
      <c r="QE905" s="23"/>
      <c r="QF905" s="23"/>
      <c r="QG905" s="23"/>
      <c r="QH905" s="23"/>
      <c r="QI905" s="23"/>
      <c r="QJ905" s="23"/>
      <c r="QK905" s="23"/>
      <c r="QL905" s="23"/>
      <c r="QM905" s="23"/>
      <c r="QN905" s="23"/>
      <c r="QO905" s="23"/>
      <c r="QP905" s="23"/>
      <c r="QQ905" s="23"/>
      <c r="QR905" s="23"/>
      <c r="QS905" s="23"/>
      <c r="QT905" s="23"/>
      <c r="QU905" s="23"/>
      <c r="QV905" s="23"/>
      <c r="QW905" s="23"/>
      <c r="QX905" s="23"/>
      <c r="QY905" s="23"/>
      <c r="QZ905" s="23"/>
      <c r="RA905" s="23"/>
      <c r="RB905" s="23"/>
      <c r="RC905" s="23"/>
      <c r="RD905" s="23"/>
      <c r="RE905" s="23"/>
      <c r="RF905" s="23"/>
      <c r="RG905" s="23"/>
      <c r="RH905" s="23"/>
      <c r="RI905" s="23"/>
      <c r="RJ905" s="23"/>
      <c r="RK905" s="23"/>
      <c r="RL905" s="23"/>
      <c r="RM905" s="23"/>
      <c r="RN905" s="23"/>
      <c r="RO905" s="23"/>
      <c r="RP905" s="23"/>
      <c r="RQ905" s="23"/>
      <c r="RR905" s="23"/>
      <c r="RS905" s="23"/>
      <c r="RT905" s="23"/>
      <c r="RU905" s="23"/>
      <c r="RV905" s="23"/>
      <c r="RW905" s="23"/>
      <c r="RX905" s="23"/>
      <c r="RY905" s="23"/>
      <c r="RZ905" s="23"/>
      <c r="SA905" s="23"/>
      <c r="SB905" s="23"/>
      <c r="SC905" s="23"/>
      <c r="SD905" s="23"/>
      <c r="SE905" s="23"/>
      <c r="SF905" s="23"/>
      <c r="SG905" s="23"/>
      <c r="SH905" s="23"/>
      <c r="SI905" s="23"/>
      <c r="SJ905" s="23"/>
      <c r="SK905" s="23"/>
      <c r="SL905" s="23"/>
      <c r="SM905" s="23"/>
      <c r="SN905" s="23"/>
      <c r="SO905" s="23"/>
      <c r="SP905" s="23"/>
      <c r="SQ905" s="23"/>
      <c r="SR905" s="23"/>
      <c r="SS905" s="23"/>
      <c r="ST905" s="23"/>
      <c r="SU905" s="23"/>
      <c r="SV905" s="23"/>
      <c r="SW905" s="23"/>
      <c r="SX905" s="23"/>
      <c r="SY905" s="23"/>
      <c r="SZ905" s="23"/>
      <c r="TA905" s="23"/>
      <c r="TB905" s="23"/>
      <c r="TC905" s="23"/>
      <c r="TD905" s="23"/>
      <c r="TE905" s="23"/>
      <c r="TF905" s="23"/>
      <c r="TG905" s="23"/>
      <c r="TH905" s="23"/>
      <c r="TI905" s="23"/>
      <c r="TJ905" s="23"/>
      <c r="TK905" s="23"/>
      <c r="TL905" s="23"/>
      <c r="TM905" s="23"/>
      <c r="TN905" s="23"/>
      <c r="TO905" s="23"/>
      <c r="TP905" s="23"/>
      <c r="TQ905" s="23"/>
      <c r="TR905" s="23"/>
      <c r="TS905" s="23"/>
      <c r="TT905" s="23"/>
      <c r="TU905" s="23"/>
      <c r="TV905" s="23"/>
      <c r="TW905" s="23"/>
      <c r="TX905" s="23"/>
      <c r="TY905" s="23"/>
      <c r="TZ905" s="23"/>
      <c r="UA905" s="23"/>
      <c r="UB905" s="23"/>
      <c r="UC905" s="23"/>
      <c r="UD905" s="23"/>
      <c r="UE905" s="23"/>
      <c r="UF905" s="23"/>
      <c r="UG905" s="23"/>
      <c r="UH905" s="23"/>
      <c r="UI905" s="23"/>
      <c r="UJ905" s="23"/>
      <c r="UK905" s="23"/>
      <c r="UL905" s="23"/>
      <c r="UM905" s="23"/>
      <c r="UN905" s="23"/>
      <c r="UO905" s="23"/>
      <c r="UP905" s="23"/>
      <c r="UQ905" s="23"/>
      <c r="UR905" s="23"/>
      <c r="US905" s="23"/>
      <c r="UT905" s="23"/>
      <c r="UU905" s="23"/>
      <c r="UV905" s="23"/>
      <c r="UW905" s="23"/>
      <c r="UX905" s="23"/>
      <c r="UY905" s="23"/>
      <c r="UZ905" s="23"/>
      <c r="VA905" s="23"/>
      <c r="VB905" s="23"/>
      <c r="VC905" s="23"/>
      <c r="VD905" s="23"/>
      <c r="VE905" s="23"/>
      <c r="VF905" s="23"/>
      <c r="VG905" s="23"/>
      <c r="VH905" s="23"/>
      <c r="VI905" s="23"/>
      <c r="VJ905" s="23"/>
      <c r="VK905" s="23"/>
      <c r="VL905" s="23"/>
      <c r="VM905" s="23"/>
      <c r="VN905" s="23"/>
      <c r="VO905" s="23"/>
      <c r="VP905" s="23"/>
      <c r="VQ905" s="23"/>
      <c r="VR905" s="23"/>
      <c r="VS905" s="23"/>
      <c r="VT905" s="23"/>
      <c r="VU905" s="23"/>
      <c r="VV905" s="23"/>
      <c r="VW905" s="23"/>
      <c r="VX905" s="23"/>
      <c r="VY905" s="23"/>
      <c r="VZ905" s="23"/>
      <c r="WA905" s="23"/>
      <c r="WB905" s="23"/>
      <c r="WC905" s="23"/>
      <c r="WD905" s="23"/>
      <c r="WE905" s="23"/>
      <c r="WF905" s="23"/>
      <c r="WG905" s="23"/>
      <c r="WH905" s="23"/>
      <c r="WI905" s="23"/>
      <c r="WJ905" s="23"/>
      <c r="WK905" s="23"/>
      <c r="WL905" s="23"/>
      <c r="WM905" s="23"/>
      <c r="WN905" s="23"/>
      <c r="WO905" s="23"/>
      <c r="WP905" s="23"/>
      <c r="WQ905" s="23"/>
      <c r="WR905" s="23"/>
      <c r="WS905" s="23"/>
      <c r="WT905" s="23"/>
      <c r="WU905" s="23"/>
      <c r="WV905" s="23"/>
      <c r="WW905" s="23"/>
      <c r="WX905" s="23"/>
      <c r="WY905" s="23"/>
      <c r="WZ905" s="23"/>
      <c r="XA905" s="23"/>
      <c r="XB905" s="23"/>
      <c r="XC905" s="23"/>
      <c r="XD905" s="23"/>
      <c r="XE905" s="23"/>
      <c r="XF905" s="23"/>
      <c r="XG905" s="23"/>
      <c r="XH905" s="23"/>
      <c r="XI905" s="23"/>
      <c r="XJ905" s="23"/>
      <c r="XK905" s="23"/>
      <c r="XL905" s="23"/>
      <c r="XM905" s="23"/>
      <c r="XN905" s="23"/>
      <c r="XO905" s="23"/>
      <c r="XP905" s="23"/>
      <c r="XQ905" s="23"/>
      <c r="XR905" s="23"/>
      <c r="XS905" s="23"/>
      <c r="XT905" s="23"/>
      <c r="XU905" s="23"/>
      <c r="XV905" s="23"/>
      <c r="XW905" s="23"/>
      <c r="XX905" s="23"/>
      <c r="XY905" s="23"/>
      <c r="XZ905" s="23"/>
      <c r="YA905" s="23"/>
      <c r="YB905" s="23"/>
      <c r="YC905" s="23"/>
      <c r="YD905" s="23"/>
      <c r="YE905" s="23"/>
      <c r="YF905" s="23"/>
      <c r="YG905" s="23"/>
      <c r="YH905" s="23"/>
      <c r="YI905" s="23"/>
      <c r="YJ905" s="23"/>
      <c r="YK905" s="23"/>
      <c r="YL905" s="23"/>
      <c r="YM905" s="23"/>
      <c r="YN905" s="23"/>
      <c r="YO905" s="23"/>
      <c r="YP905" s="23"/>
      <c r="YQ905" s="23"/>
      <c r="YR905" s="23"/>
      <c r="YS905" s="23"/>
      <c r="YT905" s="23"/>
      <c r="YU905" s="23"/>
      <c r="YV905" s="23"/>
      <c r="YW905" s="23"/>
      <c r="YX905" s="23"/>
      <c r="YY905" s="23"/>
      <c r="YZ905" s="23"/>
      <c r="ZA905" s="23"/>
      <c r="ZB905" s="23"/>
      <c r="ZC905" s="23"/>
      <c r="ZD905" s="23"/>
      <c r="ZE905" s="23"/>
      <c r="ZF905" s="23"/>
      <c r="ZG905" s="23"/>
      <c r="ZH905" s="23"/>
      <c r="ZI905" s="23"/>
      <c r="ZJ905" s="23"/>
      <c r="ZK905" s="23"/>
      <c r="ZL905" s="23"/>
      <c r="ZM905" s="23"/>
      <c r="ZN905" s="23"/>
      <c r="ZO905" s="23"/>
      <c r="ZP905" s="23"/>
      <c r="ZQ905" s="23"/>
      <c r="ZR905" s="23"/>
      <c r="ZS905" s="23"/>
      <c r="ZT905" s="23"/>
      <c r="ZU905" s="23"/>
      <c r="ZV905" s="23"/>
      <c r="ZW905" s="23"/>
      <c r="ZX905" s="23"/>
      <c r="ZY905" s="23"/>
      <c r="ZZ905" s="23"/>
      <c r="AAA905" s="23"/>
      <c r="AAB905" s="23"/>
      <c r="AAC905" s="23"/>
      <c r="AAD905" s="23"/>
      <c r="AAE905" s="23"/>
      <c r="AAF905" s="23"/>
      <c r="AAG905" s="23"/>
      <c r="AAH905" s="23"/>
      <c r="AAI905" s="23"/>
      <c r="AAJ905" s="23"/>
      <c r="AAK905" s="23"/>
      <c r="AAL905" s="23"/>
      <c r="AAM905" s="23"/>
      <c r="AAN905" s="23"/>
      <c r="AAO905" s="23"/>
      <c r="AAP905" s="23"/>
      <c r="AAQ905" s="23"/>
      <c r="AAR905" s="23"/>
      <c r="AAS905" s="23"/>
      <c r="AAT905" s="23"/>
      <c r="AAU905" s="23"/>
      <c r="AAV905" s="23"/>
      <c r="AAW905" s="23"/>
      <c r="AAX905" s="23"/>
      <c r="AAY905" s="23"/>
      <c r="AAZ905" s="23"/>
      <c r="ABA905" s="23"/>
      <c r="ABB905" s="23"/>
      <c r="ABC905" s="23"/>
      <c r="ABD905" s="23"/>
      <c r="ABE905" s="23"/>
      <c r="ABF905" s="23"/>
      <c r="ABG905" s="23"/>
      <c r="ABH905" s="23"/>
      <c r="ABI905" s="23"/>
      <c r="ABJ905" s="23"/>
      <c r="ABK905" s="23"/>
      <c r="ABL905" s="23"/>
      <c r="ABM905" s="23"/>
      <c r="ABN905" s="23"/>
      <c r="ABO905" s="23"/>
      <c r="ABP905" s="23"/>
      <c r="ABQ905" s="23"/>
      <c r="ABR905" s="23"/>
      <c r="ABS905" s="23"/>
      <c r="ABT905" s="23"/>
      <c r="ABU905" s="23"/>
      <c r="ABV905" s="23"/>
      <c r="ABW905" s="23"/>
      <c r="ABX905" s="23"/>
      <c r="ABY905" s="23"/>
      <c r="ABZ905" s="23"/>
      <c r="ACA905" s="23"/>
      <c r="ACB905" s="23"/>
      <c r="ACC905" s="23"/>
      <c r="ACD905" s="23"/>
      <c r="ACE905" s="23"/>
      <c r="ACF905" s="23"/>
      <c r="ACG905" s="23"/>
      <c r="ACH905" s="23"/>
      <c r="ACI905" s="23"/>
      <c r="ACJ905" s="23"/>
      <c r="ACK905" s="23"/>
      <c r="ACL905" s="23"/>
      <c r="ACM905" s="23"/>
      <c r="ACN905" s="23"/>
      <c r="ACO905" s="23"/>
      <c r="ACP905" s="23"/>
      <c r="ACQ905" s="23"/>
      <c r="ACR905" s="23"/>
      <c r="ACS905" s="23"/>
      <c r="ACT905" s="23"/>
      <c r="ACU905" s="23"/>
      <c r="ACV905" s="23"/>
      <c r="ACW905" s="23"/>
      <c r="ACX905" s="23"/>
      <c r="ACY905" s="23"/>
      <c r="ACZ905" s="23"/>
      <c r="ADA905" s="23"/>
      <c r="ADB905" s="23"/>
      <c r="ADC905" s="23"/>
      <c r="ADD905" s="23"/>
      <c r="ADE905" s="23"/>
      <c r="ADF905" s="23"/>
      <c r="ADG905" s="23"/>
      <c r="ADH905" s="23"/>
      <c r="ADI905" s="23"/>
      <c r="ADJ905" s="23"/>
      <c r="ADK905" s="23"/>
      <c r="ADL905" s="23"/>
      <c r="ADM905" s="23"/>
      <c r="ADN905" s="23"/>
      <c r="ADO905" s="23"/>
      <c r="ADP905" s="23"/>
      <c r="ADQ905" s="23"/>
      <c r="ADR905" s="23"/>
      <c r="ADS905" s="23"/>
      <c r="ADT905" s="23"/>
      <c r="ADU905" s="23"/>
      <c r="ADV905" s="23"/>
      <c r="ADW905" s="23"/>
      <c r="ADX905" s="23"/>
      <c r="ADY905" s="23"/>
      <c r="ADZ905" s="23"/>
      <c r="AEA905" s="23"/>
      <c r="AEB905" s="23"/>
      <c r="AEC905" s="23"/>
      <c r="AED905" s="23"/>
      <c r="AEE905" s="23"/>
      <c r="AEF905" s="23"/>
      <c r="AEG905" s="23"/>
      <c r="AEH905" s="23"/>
      <c r="AEI905" s="23"/>
      <c r="AEJ905" s="23"/>
      <c r="AEK905" s="23"/>
      <c r="AEL905" s="23"/>
      <c r="AEM905" s="23"/>
      <c r="AEN905" s="23"/>
      <c r="AEO905" s="23"/>
      <c r="AEP905" s="23"/>
      <c r="AEQ905" s="23"/>
      <c r="AER905" s="23"/>
      <c r="AES905" s="23"/>
      <c r="AET905" s="23"/>
      <c r="AEU905" s="23"/>
      <c r="AEV905" s="23"/>
      <c r="AEW905" s="23"/>
      <c r="AEX905" s="23"/>
      <c r="AEY905" s="23"/>
      <c r="AEZ905" s="23"/>
      <c r="AFA905" s="23"/>
      <c r="AFB905" s="23"/>
      <c r="AFC905" s="23"/>
      <c r="AFD905" s="23"/>
      <c r="AFE905" s="23"/>
      <c r="AFF905" s="23"/>
      <c r="AFG905" s="23"/>
      <c r="AFH905" s="23"/>
      <c r="AFI905" s="23"/>
      <c r="AFJ905" s="23"/>
      <c r="AFK905" s="23"/>
      <c r="AFL905" s="23"/>
      <c r="AFM905" s="23"/>
      <c r="AFN905" s="23"/>
      <c r="AFO905" s="23"/>
      <c r="AFP905" s="23"/>
      <c r="AFQ905" s="23"/>
      <c r="AFR905" s="23"/>
      <c r="AFS905" s="23"/>
      <c r="AFT905" s="23"/>
      <c r="AFU905" s="23"/>
      <c r="AFV905" s="23"/>
      <c r="AFW905" s="23"/>
      <c r="AFX905" s="23"/>
      <c r="AFY905" s="23"/>
      <c r="AFZ905" s="23"/>
      <c r="AGA905" s="23"/>
      <c r="AGB905" s="23"/>
      <c r="AGC905" s="23"/>
      <c r="AGD905" s="23"/>
      <c r="AGE905" s="23"/>
      <c r="AGF905" s="23"/>
      <c r="AGG905" s="23"/>
      <c r="AGH905" s="23"/>
      <c r="AGI905" s="23"/>
      <c r="AGJ905" s="23"/>
      <c r="AGK905" s="23"/>
      <c r="AGL905" s="23"/>
      <c r="AGM905" s="23"/>
      <c r="AGN905" s="23"/>
      <c r="AGO905" s="23"/>
      <c r="AGP905" s="23"/>
      <c r="AGQ905" s="23"/>
      <c r="AGR905" s="23"/>
      <c r="AGS905" s="23"/>
      <c r="AGT905" s="23"/>
      <c r="AGU905" s="23"/>
      <c r="AGV905" s="23"/>
      <c r="AGW905" s="23"/>
      <c r="AGX905" s="23"/>
      <c r="AGY905" s="23"/>
      <c r="AGZ905" s="23"/>
      <c r="AHA905" s="23"/>
      <c r="AHB905" s="23"/>
      <c r="AHC905" s="23"/>
      <c r="AHD905" s="23"/>
      <c r="AHE905" s="23"/>
      <c r="AHF905" s="23"/>
      <c r="AHG905" s="23"/>
      <c r="AHH905" s="23"/>
      <c r="AHI905" s="23"/>
      <c r="AHJ905" s="23"/>
      <c r="AHK905" s="23"/>
      <c r="AHL905" s="23"/>
      <c r="AHM905" s="23"/>
      <c r="AHN905" s="23"/>
      <c r="AHO905" s="23"/>
      <c r="AHP905" s="23"/>
      <c r="AHQ905" s="23"/>
      <c r="AHR905" s="23"/>
      <c r="AHS905" s="23"/>
      <c r="AHT905" s="23"/>
      <c r="AHU905" s="23"/>
      <c r="AHV905" s="23"/>
      <c r="AHW905" s="23"/>
      <c r="AHX905" s="23"/>
      <c r="AHY905" s="23"/>
      <c r="AHZ905" s="23"/>
      <c r="AIA905" s="23"/>
      <c r="AIB905" s="23"/>
      <c r="AIC905" s="23"/>
      <c r="AID905" s="23"/>
      <c r="AIE905" s="23"/>
      <c r="AIF905" s="23"/>
      <c r="AIG905" s="23"/>
      <c r="AIH905" s="23"/>
      <c r="AII905" s="23"/>
      <c r="AIJ905" s="23"/>
      <c r="AIK905" s="23"/>
      <c r="AIL905" s="23"/>
      <c r="AIM905" s="23"/>
      <c r="AIN905" s="23"/>
      <c r="AIO905" s="23"/>
      <c r="AIP905" s="23"/>
      <c r="AIQ905" s="23"/>
      <c r="AIR905" s="23"/>
      <c r="AIS905" s="23"/>
      <c r="AIT905" s="23"/>
      <c r="AIU905" s="23"/>
      <c r="AIV905" s="23"/>
      <c r="AIW905" s="23"/>
      <c r="AIX905" s="23"/>
      <c r="AIY905" s="23"/>
      <c r="AIZ905" s="23"/>
      <c r="AJA905" s="23"/>
      <c r="AJB905" s="23"/>
      <c r="AJC905" s="23"/>
      <c r="AJD905" s="23"/>
      <c r="AJE905" s="23"/>
      <c r="AJF905" s="23"/>
      <c r="AJG905" s="23"/>
      <c r="AJH905" s="23"/>
      <c r="AJI905" s="23"/>
      <c r="AJJ905" s="23"/>
      <c r="AJK905" s="23"/>
      <c r="AJL905" s="23"/>
      <c r="AJM905" s="23"/>
      <c r="AJN905" s="23"/>
      <c r="AJO905" s="23"/>
      <c r="AJP905" s="23"/>
      <c r="AJQ905" s="23"/>
      <c r="AJR905" s="23"/>
      <c r="AJS905" s="23"/>
      <c r="AJT905" s="23"/>
      <c r="AJU905" s="23"/>
      <c r="AJV905" s="23"/>
      <c r="AJW905" s="23"/>
      <c r="AJX905" s="23"/>
      <c r="AJY905" s="23"/>
      <c r="AJZ905" s="23"/>
      <c r="AKA905" s="23"/>
      <c r="AKB905" s="23"/>
      <c r="AKC905" s="23"/>
      <c r="AKD905" s="23"/>
      <c r="AKE905" s="23"/>
      <c r="AKF905" s="23"/>
      <c r="AKG905" s="23"/>
      <c r="AKH905" s="23"/>
      <c r="AKI905" s="23"/>
      <c r="AKJ905" s="23"/>
      <c r="AKK905" s="23"/>
      <c r="AKL905" s="23"/>
      <c r="AKM905" s="23"/>
      <c r="AKN905" s="23"/>
      <c r="AKO905" s="23"/>
      <c r="AKP905" s="23"/>
      <c r="AKQ905" s="23"/>
      <c r="AKR905" s="23"/>
      <c r="AKS905" s="23"/>
      <c r="AKT905" s="23"/>
      <c r="AKU905" s="23"/>
      <c r="AKV905" s="23"/>
      <c r="AKW905" s="23"/>
      <c r="AKX905" s="23"/>
      <c r="AKY905" s="23"/>
      <c r="AKZ905" s="23"/>
      <c r="ALA905" s="23"/>
      <c r="ALB905" s="23"/>
      <c r="ALC905" s="23"/>
      <c r="ALD905" s="23"/>
      <c r="ALE905" s="23"/>
      <c r="ALF905" s="23"/>
      <c r="ALG905" s="23"/>
      <c r="ALH905" s="23"/>
      <c r="ALI905" s="23"/>
      <c r="ALJ905" s="23"/>
      <c r="ALK905" s="23"/>
      <c r="ALL905" s="23"/>
      <c r="ALM905" s="23"/>
      <c r="ALN905" s="23"/>
      <c r="ALO905" s="23"/>
      <c r="ALP905" s="23"/>
      <c r="ALQ905" s="23"/>
      <c r="ALR905" s="23"/>
      <c r="ALS905" s="23"/>
      <c r="ALT905" s="23"/>
      <c r="ALU905" s="23"/>
      <c r="ALV905" s="23"/>
      <c r="ALW905" s="23"/>
      <c r="ALX905" s="23"/>
      <c r="ALY905" s="23"/>
      <c r="ALZ905" s="23"/>
      <c r="AMA905" s="23"/>
      <c r="AMB905" s="23"/>
      <c r="AMC905" s="23"/>
      <c r="AMD905" s="23"/>
      <c r="AME905" s="23"/>
      <c r="AMF905" s="23"/>
      <c r="AMG905" s="23"/>
      <c r="AMH905" s="23"/>
      <c r="AMI905" s="23"/>
      <c r="AMJ905" s="23"/>
      <c r="AMK905" s="23"/>
      <c r="AML905" s="23"/>
      <c r="AMM905" s="23"/>
      <c r="AMN905" s="23"/>
      <c r="AMO905" s="23"/>
      <c r="AMP905" s="23"/>
      <c r="AMQ905" s="23"/>
      <c r="AMR905" s="23"/>
      <c r="AMS905" s="23"/>
      <c r="AMT905" s="23"/>
      <c r="AMU905" s="23"/>
      <c r="AMV905" s="23"/>
      <c r="AMW905" s="23"/>
      <c r="AMX905" s="23"/>
      <c r="AMY905" s="23"/>
      <c r="AMZ905" s="23"/>
      <c r="ANA905" s="23"/>
      <c r="ANB905" s="23"/>
      <c r="ANC905" s="23"/>
      <c r="AND905" s="23"/>
      <c r="ANE905" s="23"/>
      <c r="ANF905" s="23"/>
      <c r="ANG905" s="23"/>
      <c r="ANH905" s="23"/>
      <c r="ANI905" s="23"/>
      <c r="ANJ905" s="23"/>
      <c r="ANK905" s="23"/>
      <c r="ANL905" s="23"/>
      <c r="ANM905" s="23"/>
      <c r="ANN905" s="23"/>
      <c r="ANO905" s="23"/>
      <c r="ANP905" s="23"/>
      <c r="ANQ905" s="23"/>
      <c r="ANR905" s="23"/>
      <c r="ANS905" s="23"/>
      <c r="ANT905" s="23"/>
      <c r="ANU905" s="23"/>
      <c r="ANV905" s="23"/>
      <c r="ANW905" s="23"/>
      <c r="ANX905" s="23"/>
      <c r="ANY905" s="23"/>
      <c r="ANZ905" s="23"/>
      <c r="AOA905" s="23"/>
      <c r="AOB905" s="23"/>
      <c r="AOC905" s="23"/>
      <c r="AOD905" s="23"/>
      <c r="AOE905" s="23"/>
      <c r="AOF905" s="23"/>
      <c r="AOG905" s="23"/>
      <c r="AOH905" s="23"/>
      <c r="AOI905" s="23"/>
      <c r="AOJ905" s="23"/>
      <c r="AOK905" s="23"/>
      <c r="AOL905" s="23"/>
      <c r="AOM905" s="23"/>
      <c r="AON905" s="23"/>
      <c r="AOO905" s="23"/>
      <c r="AOP905" s="23"/>
      <c r="AOQ905" s="23"/>
      <c r="AOR905" s="23"/>
      <c r="AOS905" s="23"/>
      <c r="AOT905" s="23"/>
      <c r="AOU905" s="23"/>
      <c r="AOV905" s="23"/>
      <c r="AOW905" s="23"/>
      <c r="AOX905" s="23"/>
      <c r="AOY905" s="23"/>
      <c r="AOZ905" s="23"/>
      <c r="APA905" s="23"/>
      <c r="APB905" s="23"/>
      <c r="APC905" s="23"/>
      <c r="APD905" s="23"/>
      <c r="APE905" s="23"/>
      <c r="APF905" s="23"/>
      <c r="APG905" s="23"/>
      <c r="APH905" s="23"/>
      <c r="API905" s="23"/>
      <c r="APJ905" s="23"/>
      <c r="APK905" s="23"/>
      <c r="APL905" s="23"/>
      <c r="APM905" s="23"/>
      <c r="APN905" s="23"/>
      <c r="APO905" s="23"/>
      <c r="APP905" s="23"/>
      <c r="APQ905" s="23"/>
      <c r="APR905" s="23"/>
      <c r="APS905" s="23"/>
      <c r="APT905" s="23"/>
      <c r="APU905" s="23"/>
      <c r="APV905" s="23"/>
      <c r="APW905" s="23"/>
      <c r="APX905" s="23"/>
      <c r="APY905" s="23"/>
      <c r="APZ905" s="23"/>
      <c r="AQA905" s="23"/>
      <c r="AQB905" s="23"/>
      <c r="AQC905" s="23"/>
      <c r="AQD905" s="23"/>
      <c r="AQE905" s="23"/>
      <c r="AQF905" s="23"/>
      <c r="AQG905" s="23"/>
      <c r="AQH905" s="23"/>
      <c r="AQI905" s="23"/>
      <c r="AQJ905" s="23"/>
      <c r="AQK905" s="23"/>
      <c r="AQL905" s="23"/>
      <c r="AQM905" s="23"/>
      <c r="AQN905" s="23"/>
      <c r="AQO905" s="23"/>
      <c r="AQP905" s="23"/>
      <c r="AQQ905" s="23"/>
      <c r="AQR905" s="23"/>
      <c r="AQS905" s="23"/>
      <c r="AQT905" s="23"/>
      <c r="AQU905" s="23"/>
      <c r="AQV905" s="23"/>
      <c r="AQW905" s="23"/>
      <c r="AQX905" s="23"/>
      <c r="AQY905" s="23"/>
      <c r="AQZ905" s="23"/>
      <c r="ARA905" s="23"/>
      <c r="ARB905" s="23"/>
      <c r="ARC905" s="23"/>
      <c r="ARD905" s="23"/>
      <c r="ARE905" s="23"/>
      <c r="ARF905" s="23"/>
      <c r="ARG905" s="23"/>
      <c r="ARH905" s="23"/>
      <c r="ARI905" s="23"/>
      <c r="ARJ905" s="23"/>
      <c r="ARK905" s="23"/>
      <c r="ARL905" s="23"/>
      <c r="ARM905" s="23"/>
      <c r="ARN905" s="23"/>
      <c r="ARO905" s="23"/>
      <c r="ARP905" s="23"/>
      <c r="ARQ905" s="23"/>
      <c r="ARR905" s="23"/>
      <c r="ARS905" s="23"/>
      <c r="ART905" s="23"/>
      <c r="ARU905" s="23"/>
      <c r="ARV905" s="23"/>
      <c r="ARW905" s="23"/>
      <c r="ARX905" s="23"/>
      <c r="ARY905" s="23"/>
      <c r="ARZ905" s="23"/>
      <c r="ASA905" s="23"/>
      <c r="ASB905" s="23"/>
      <c r="ASC905" s="23"/>
      <c r="ASD905" s="23"/>
      <c r="ASE905" s="23"/>
      <c r="ASF905" s="23"/>
      <c r="ASG905" s="23"/>
      <c r="ASH905" s="23"/>
      <c r="ASI905" s="23"/>
      <c r="ASJ905" s="23"/>
      <c r="ASK905" s="23"/>
      <c r="ASL905" s="23"/>
      <c r="ASM905" s="23"/>
      <c r="ASN905" s="23"/>
      <c r="ASO905" s="23"/>
      <c r="ASP905" s="23"/>
      <c r="ASQ905" s="23"/>
      <c r="ASR905" s="23"/>
      <c r="ASS905" s="23"/>
      <c r="AST905" s="23"/>
      <c r="ASU905" s="23"/>
      <c r="ASV905" s="23"/>
      <c r="ASW905" s="23"/>
      <c r="ASX905" s="23"/>
      <c r="ASY905" s="23"/>
      <c r="ASZ905" s="23"/>
      <c r="ATA905" s="23"/>
      <c r="ATB905" s="23"/>
      <c r="ATC905" s="23"/>
      <c r="ATD905" s="23"/>
      <c r="ATE905" s="23"/>
      <c r="ATF905" s="23"/>
      <c r="ATG905" s="23"/>
      <c r="ATH905" s="23"/>
      <c r="ATI905" s="23"/>
      <c r="ATJ905" s="23"/>
      <c r="ATK905" s="23"/>
      <c r="ATL905" s="23"/>
      <c r="ATM905" s="23"/>
      <c r="ATN905" s="23"/>
      <c r="ATO905" s="23"/>
      <c r="ATP905" s="23"/>
      <c r="ATQ905" s="23"/>
      <c r="ATR905" s="23"/>
      <c r="ATS905" s="23"/>
      <c r="ATT905" s="23"/>
      <c r="ATU905" s="23"/>
      <c r="ATV905" s="23"/>
      <c r="ATW905" s="23"/>
      <c r="ATX905" s="23"/>
      <c r="ATY905" s="23"/>
      <c r="ATZ905" s="23"/>
      <c r="AUA905" s="23"/>
      <c r="AUB905" s="23"/>
      <c r="AUC905" s="23"/>
      <c r="AUD905" s="23"/>
      <c r="AUE905" s="23"/>
      <c r="AUF905" s="23"/>
      <c r="AUG905" s="23"/>
      <c r="AUH905" s="23"/>
      <c r="AUI905" s="23"/>
      <c r="AUJ905" s="23"/>
      <c r="AUK905" s="23"/>
      <c r="AUL905" s="23"/>
      <c r="AUM905" s="23"/>
      <c r="AUN905" s="23"/>
      <c r="AUO905" s="23"/>
      <c r="AUP905" s="23"/>
      <c r="AUQ905" s="23"/>
      <c r="AUR905" s="23"/>
      <c r="AUS905" s="23"/>
      <c r="AUT905" s="23"/>
      <c r="AUU905" s="23"/>
      <c r="AUV905" s="23"/>
      <c r="AUW905" s="23"/>
      <c r="AUX905" s="23"/>
      <c r="AUY905" s="23"/>
      <c r="AUZ905" s="23"/>
      <c r="AVA905" s="23"/>
      <c r="AVB905" s="23"/>
      <c r="AVC905" s="23"/>
      <c r="AVD905" s="23"/>
      <c r="AVE905" s="23"/>
      <c r="AVF905" s="23"/>
      <c r="AVG905" s="23"/>
      <c r="AVH905" s="23"/>
      <c r="AVI905" s="23"/>
      <c r="AVJ905" s="23"/>
      <c r="AVK905" s="23"/>
      <c r="AVL905" s="23"/>
      <c r="AVM905" s="23"/>
      <c r="AVN905" s="23"/>
      <c r="AVO905" s="23"/>
      <c r="AVP905" s="23"/>
      <c r="AVQ905" s="23"/>
      <c r="AVR905" s="23"/>
      <c r="AVS905" s="23"/>
      <c r="AVT905" s="23"/>
      <c r="AVU905" s="23"/>
      <c r="AVV905" s="23"/>
      <c r="AVW905" s="23"/>
      <c r="AVX905" s="23"/>
      <c r="AVY905" s="23"/>
      <c r="AVZ905" s="23"/>
      <c r="AWA905" s="23"/>
      <c r="AWB905" s="23"/>
      <c r="AWC905" s="23"/>
      <c r="AWD905" s="23"/>
      <c r="AWE905" s="23"/>
      <c r="AWF905" s="23"/>
      <c r="AWG905" s="23"/>
      <c r="AWH905" s="23"/>
      <c r="AWI905" s="23"/>
      <c r="AWJ905" s="23"/>
      <c r="AWK905" s="23"/>
      <c r="AWL905" s="23"/>
      <c r="AWM905" s="23"/>
      <c r="AWN905" s="23"/>
      <c r="AWO905" s="23"/>
      <c r="AWP905" s="23"/>
      <c r="AWQ905" s="23"/>
      <c r="AWR905" s="23"/>
      <c r="AWS905" s="23"/>
      <c r="AWT905" s="23"/>
      <c r="AWU905" s="23"/>
      <c r="AWV905" s="23"/>
      <c r="AWW905" s="23"/>
      <c r="AWX905" s="23"/>
      <c r="AWY905" s="23"/>
      <c r="AWZ905" s="23"/>
      <c r="AXA905" s="23"/>
      <c r="AXB905" s="23"/>
      <c r="AXC905" s="23"/>
      <c r="AXD905" s="23"/>
      <c r="AXE905" s="23"/>
      <c r="AXF905" s="23"/>
      <c r="AXG905" s="23"/>
      <c r="AXH905" s="23"/>
      <c r="AXI905" s="23"/>
      <c r="AXJ905" s="23"/>
      <c r="AXK905" s="23"/>
      <c r="AXL905" s="23"/>
      <c r="AXM905" s="23"/>
      <c r="AXN905" s="23"/>
      <c r="AXO905" s="23"/>
      <c r="AXP905" s="23"/>
      <c r="AXQ905" s="23"/>
      <c r="AXR905" s="23"/>
      <c r="AXS905" s="23"/>
      <c r="AXT905" s="23"/>
      <c r="AXU905" s="23"/>
      <c r="AXV905" s="23"/>
      <c r="AXW905" s="23"/>
      <c r="AXX905" s="23"/>
      <c r="AXY905" s="23"/>
      <c r="AXZ905" s="23"/>
      <c r="AYA905" s="23"/>
      <c r="AYB905" s="23"/>
      <c r="AYC905" s="23"/>
      <c r="AYD905" s="23"/>
      <c r="AYE905" s="23"/>
      <c r="AYF905" s="23"/>
      <c r="AYG905" s="23"/>
      <c r="AYH905" s="23"/>
      <c r="AYI905" s="23"/>
      <c r="AYJ905" s="23"/>
      <c r="AYK905" s="23"/>
      <c r="AYL905" s="23"/>
      <c r="AYM905" s="23"/>
      <c r="AYN905" s="23"/>
      <c r="AYO905" s="23"/>
      <c r="AYP905" s="23"/>
      <c r="AYQ905" s="23"/>
      <c r="AYR905" s="23"/>
      <c r="AYS905" s="23"/>
      <c r="AYT905" s="23"/>
      <c r="AYU905" s="23"/>
      <c r="AYV905" s="23"/>
      <c r="AYW905" s="23"/>
      <c r="AYX905" s="23"/>
      <c r="AYY905" s="23"/>
      <c r="AYZ905" s="23"/>
      <c r="AZA905" s="23"/>
      <c r="AZB905" s="23"/>
      <c r="AZC905" s="23"/>
      <c r="AZD905" s="23"/>
      <c r="AZE905" s="23"/>
      <c r="AZF905" s="23"/>
      <c r="AZG905" s="23"/>
      <c r="AZH905" s="23"/>
      <c r="AZI905" s="23"/>
      <c r="AZJ905" s="23"/>
      <c r="AZK905" s="23"/>
      <c r="AZL905" s="23"/>
      <c r="AZM905" s="23"/>
      <c r="AZN905" s="23"/>
      <c r="AZO905" s="23"/>
      <c r="AZP905" s="23"/>
      <c r="AZQ905" s="23"/>
      <c r="AZR905" s="23"/>
      <c r="AZS905" s="23"/>
      <c r="AZT905" s="23"/>
      <c r="AZU905" s="23"/>
      <c r="AZV905" s="23"/>
      <c r="AZW905" s="23"/>
      <c r="AZX905" s="23"/>
      <c r="AZY905" s="23"/>
      <c r="AZZ905" s="23"/>
      <c r="BAA905" s="23"/>
      <c r="BAB905" s="23"/>
      <c r="BAC905" s="23"/>
      <c r="BAD905" s="23"/>
      <c r="BAE905" s="23"/>
      <c r="BAF905" s="23"/>
      <c r="BAG905" s="23"/>
      <c r="BAH905" s="23"/>
      <c r="BAI905" s="23"/>
      <c r="BAJ905" s="23"/>
      <c r="BAK905" s="23"/>
      <c r="BAL905" s="23"/>
      <c r="BAM905" s="23"/>
      <c r="BAN905" s="23"/>
      <c r="BAO905" s="23"/>
      <c r="BAP905" s="23"/>
      <c r="BAQ905" s="23"/>
      <c r="BAR905" s="23"/>
      <c r="BAS905" s="23"/>
      <c r="BAT905" s="23"/>
      <c r="BAU905" s="23"/>
      <c r="BAV905" s="23"/>
      <c r="BAW905" s="23"/>
      <c r="BAX905" s="23"/>
      <c r="BAY905" s="23"/>
      <c r="BAZ905" s="23"/>
      <c r="BBA905" s="23"/>
      <c r="BBB905" s="23"/>
      <c r="BBC905" s="23"/>
      <c r="BBD905" s="23"/>
      <c r="BBE905" s="23"/>
      <c r="BBF905" s="23"/>
      <c r="BBG905" s="23"/>
      <c r="BBH905" s="23"/>
      <c r="BBI905" s="23"/>
      <c r="BBJ905" s="23"/>
      <c r="BBK905" s="23"/>
      <c r="BBL905" s="23"/>
      <c r="BBM905" s="23"/>
      <c r="BBN905" s="23"/>
      <c r="BBO905" s="23"/>
      <c r="BBP905" s="23"/>
      <c r="BBQ905" s="23"/>
      <c r="BBR905" s="23"/>
      <c r="BBS905" s="23"/>
      <c r="BBT905" s="23"/>
      <c r="BBU905" s="23"/>
      <c r="BBV905" s="23"/>
      <c r="BBW905" s="23"/>
      <c r="BBX905" s="23"/>
      <c r="BBY905" s="23"/>
      <c r="BBZ905" s="23"/>
      <c r="BCA905" s="23"/>
      <c r="BCB905" s="23"/>
      <c r="BCC905" s="23"/>
      <c r="BCD905" s="23"/>
      <c r="BCE905" s="23"/>
      <c r="BCF905" s="23"/>
      <c r="BCG905" s="23"/>
      <c r="BCH905" s="23"/>
      <c r="BCI905" s="23"/>
      <c r="BCJ905" s="23"/>
      <c r="BCK905" s="23"/>
      <c r="BCL905" s="23"/>
      <c r="BCM905" s="23"/>
      <c r="BCN905" s="23"/>
      <c r="BCO905" s="23"/>
      <c r="BCP905" s="23"/>
      <c r="BCQ905" s="23"/>
      <c r="BCR905" s="23"/>
      <c r="BCS905" s="23"/>
      <c r="BCT905" s="23"/>
      <c r="BCU905" s="23"/>
      <c r="BCV905" s="23"/>
      <c r="BCW905" s="23"/>
      <c r="BCX905" s="23"/>
      <c r="BCY905" s="23"/>
      <c r="BCZ905" s="23"/>
      <c r="BDA905" s="23"/>
      <c r="BDB905" s="23"/>
      <c r="BDC905" s="23"/>
      <c r="BDD905" s="23"/>
      <c r="BDE905" s="23"/>
      <c r="BDF905" s="23"/>
      <c r="BDG905" s="23"/>
      <c r="BDH905" s="23"/>
      <c r="BDI905" s="23"/>
      <c r="BDJ905" s="23"/>
      <c r="BDK905" s="23"/>
      <c r="BDL905" s="23"/>
      <c r="BDM905" s="23"/>
      <c r="BDN905" s="23"/>
      <c r="BDO905" s="23"/>
      <c r="BDP905" s="23"/>
      <c r="BDQ905" s="23"/>
      <c r="BDR905" s="23"/>
      <c r="BDS905" s="23"/>
      <c r="BDT905" s="23"/>
      <c r="BDU905" s="23"/>
      <c r="BDV905" s="23"/>
      <c r="BDW905" s="23"/>
      <c r="BDX905" s="23"/>
      <c r="BDY905" s="23"/>
      <c r="BDZ905" s="23"/>
      <c r="BEA905" s="23"/>
      <c r="BEB905" s="23"/>
      <c r="BEC905" s="23"/>
      <c r="BED905" s="23"/>
      <c r="BEE905" s="23"/>
      <c r="BEF905" s="23"/>
      <c r="BEG905" s="23"/>
      <c r="BEH905" s="23"/>
      <c r="BEI905" s="23"/>
      <c r="BEJ905" s="23"/>
      <c r="BEK905" s="23"/>
      <c r="BEL905" s="23"/>
      <c r="BEM905" s="23"/>
      <c r="BEN905" s="23"/>
      <c r="BEO905" s="23"/>
      <c r="BEP905" s="23"/>
      <c r="BEQ905" s="23"/>
      <c r="BER905" s="23"/>
      <c r="BES905" s="23"/>
      <c r="BET905" s="23"/>
      <c r="BEU905" s="23"/>
      <c r="BEV905" s="23"/>
      <c r="BEW905" s="23"/>
      <c r="BEX905" s="23"/>
      <c r="BEY905" s="23"/>
      <c r="BEZ905" s="23"/>
      <c r="BFA905" s="23"/>
      <c r="BFB905" s="23"/>
      <c r="BFC905" s="23"/>
      <c r="BFD905" s="23"/>
      <c r="BFE905" s="23"/>
      <c r="BFF905" s="23"/>
      <c r="BFG905" s="23"/>
      <c r="BFH905" s="23"/>
      <c r="BFI905" s="23"/>
      <c r="BFJ905" s="23"/>
      <c r="BFK905" s="23"/>
      <c r="BFL905" s="23"/>
      <c r="BFM905" s="23"/>
      <c r="BFN905" s="23"/>
      <c r="BFO905" s="23"/>
      <c r="BFP905" s="23"/>
      <c r="BFQ905" s="23"/>
      <c r="BFR905" s="23"/>
      <c r="BFS905" s="23"/>
      <c r="BFT905" s="23"/>
      <c r="BFU905" s="23"/>
      <c r="BFV905" s="23"/>
      <c r="BFW905" s="23"/>
      <c r="BFX905" s="23"/>
      <c r="BFY905" s="23"/>
      <c r="BFZ905" s="23"/>
      <c r="BGA905" s="23"/>
      <c r="BGB905" s="23"/>
      <c r="BGC905" s="23"/>
      <c r="BGD905" s="23"/>
      <c r="BGE905" s="23"/>
      <c r="BGF905" s="23"/>
      <c r="BGG905" s="23"/>
      <c r="BGH905" s="23"/>
      <c r="BGI905" s="23"/>
      <c r="BGJ905" s="23"/>
      <c r="BGK905" s="23"/>
      <c r="BGL905" s="23"/>
      <c r="BGM905" s="23"/>
      <c r="BGN905" s="23"/>
      <c r="BGO905" s="23"/>
      <c r="BGP905" s="23"/>
      <c r="BGQ905" s="23"/>
      <c r="BGR905" s="23"/>
      <c r="BGS905" s="23"/>
      <c r="BGT905" s="23"/>
      <c r="BGU905" s="23"/>
      <c r="BGV905" s="23"/>
      <c r="BGW905" s="23"/>
      <c r="BGX905" s="23"/>
      <c r="BGY905" s="23"/>
      <c r="BGZ905" s="23"/>
      <c r="BHA905" s="23"/>
      <c r="BHB905" s="23"/>
      <c r="BHC905" s="23"/>
      <c r="BHD905" s="23"/>
      <c r="BHE905" s="23"/>
      <c r="BHF905" s="23"/>
      <c r="BHG905" s="23"/>
      <c r="BHH905" s="23"/>
      <c r="BHI905" s="23"/>
      <c r="BHJ905" s="23"/>
      <c r="BHK905" s="23"/>
      <c r="BHL905" s="23"/>
      <c r="BHM905" s="23"/>
      <c r="BHN905" s="23"/>
      <c r="BHO905" s="23"/>
      <c r="BHP905" s="23"/>
      <c r="BHQ905" s="23"/>
      <c r="BHR905" s="23"/>
      <c r="BHS905" s="23"/>
      <c r="BHT905" s="23"/>
      <c r="BHU905" s="23"/>
      <c r="BHV905" s="23"/>
      <c r="BHW905" s="23"/>
      <c r="BHX905" s="23"/>
      <c r="BHY905" s="23"/>
      <c r="BHZ905" s="23"/>
      <c r="BIA905" s="23"/>
      <c r="BIB905" s="23"/>
      <c r="BIC905" s="23"/>
      <c r="BID905" s="23"/>
      <c r="BIE905" s="23"/>
      <c r="BIF905" s="23"/>
      <c r="BIG905" s="23"/>
      <c r="BIH905" s="23"/>
      <c r="BII905" s="23"/>
      <c r="BIJ905" s="23"/>
      <c r="BIK905" s="23"/>
      <c r="BIL905" s="23"/>
      <c r="BIM905" s="23"/>
      <c r="BIN905" s="23"/>
      <c r="BIO905" s="23"/>
      <c r="BIP905" s="23"/>
      <c r="BIQ905" s="23"/>
      <c r="BIR905" s="23"/>
      <c r="BIS905" s="23"/>
      <c r="BIT905" s="23"/>
      <c r="BIU905" s="23"/>
      <c r="BIV905" s="23"/>
      <c r="BIW905" s="23"/>
      <c r="BIX905" s="23"/>
      <c r="BIY905" s="23"/>
      <c r="BIZ905" s="23"/>
      <c r="BJA905" s="23"/>
      <c r="BJB905" s="23"/>
      <c r="BJC905" s="23"/>
      <c r="BJD905" s="23"/>
      <c r="BJE905" s="23"/>
      <c r="BJF905" s="23"/>
      <c r="BJG905" s="23"/>
      <c r="BJH905" s="23"/>
      <c r="BJI905" s="23"/>
      <c r="BJJ905" s="23"/>
      <c r="BJK905" s="23"/>
      <c r="BJL905" s="23"/>
      <c r="BJM905" s="23"/>
      <c r="BJN905" s="23"/>
      <c r="BJO905" s="23"/>
      <c r="BJP905" s="23"/>
      <c r="BJQ905" s="23"/>
      <c r="BJR905" s="23"/>
      <c r="BJS905" s="23"/>
      <c r="BJT905" s="23"/>
      <c r="BJU905" s="23"/>
      <c r="BJV905" s="23"/>
      <c r="BJW905" s="23"/>
      <c r="BJX905" s="23"/>
      <c r="BJY905" s="23"/>
      <c r="BJZ905" s="23"/>
      <c r="BKA905" s="23"/>
      <c r="BKB905" s="23"/>
      <c r="BKC905" s="23"/>
      <c r="BKD905" s="23"/>
      <c r="BKE905" s="23"/>
      <c r="BKF905" s="23"/>
      <c r="BKG905" s="23"/>
      <c r="BKH905" s="23"/>
      <c r="BKI905" s="23"/>
      <c r="BKJ905" s="23"/>
      <c r="BKK905" s="23"/>
      <c r="BKL905" s="23"/>
      <c r="BKM905" s="23"/>
      <c r="BKN905" s="23"/>
      <c r="BKO905" s="23"/>
      <c r="BKP905" s="23"/>
      <c r="BKQ905" s="23"/>
      <c r="BKR905" s="23"/>
      <c r="BKS905" s="23"/>
      <c r="BKT905" s="23"/>
      <c r="BKU905" s="23"/>
      <c r="BKV905" s="23"/>
      <c r="BKW905" s="23"/>
      <c r="BKX905" s="23"/>
      <c r="BKY905" s="23"/>
      <c r="BKZ905" s="23"/>
      <c r="BLA905" s="23"/>
      <c r="BLB905" s="23"/>
      <c r="BLC905" s="23"/>
      <c r="BLD905" s="23"/>
      <c r="BLE905" s="23"/>
      <c r="BLF905" s="23"/>
      <c r="BLG905" s="23"/>
      <c r="BLH905" s="23"/>
      <c r="BLI905" s="23"/>
      <c r="BLJ905" s="23"/>
      <c r="BLK905" s="23"/>
      <c r="BLL905" s="23"/>
      <c r="BLM905" s="23"/>
      <c r="BLN905" s="23"/>
      <c r="BLO905" s="23"/>
      <c r="BLP905" s="23"/>
      <c r="BLQ905" s="23"/>
      <c r="BLR905" s="23"/>
      <c r="BLS905" s="23"/>
      <c r="BLT905" s="23"/>
      <c r="BLU905" s="23"/>
      <c r="BLV905" s="23"/>
      <c r="BLW905" s="23"/>
      <c r="BLX905" s="23"/>
      <c r="BLY905" s="23"/>
      <c r="BLZ905" s="23"/>
      <c r="BMA905" s="23"/>
      <c r="BMB905" s="23"/>
      <c r="BMC905" s="23"/>
      <c r="BMD905" s="23"/>
      <c r="BME905" s="23"/>
      <c r="BMF905" s="23"/>
      <c r="BMG905" s="23"/>
      <c r="BMH905" s="23"/>
      <c r="BMI905" s="23"/>
      <c r="BMJ905" s="23"/>
      <c r="BMK905" s="23"/>
      <c r="BML905" s="23"/>
      <c r="BMM905" s="23"/>
      <c r="BMN905" s="23"/>
      <c r="BMO905" s="23"/>
      <c r="BMP905" s="23"/>
      <c r="BMQ905" s="23"/>
      <c r="BMR905" s="23"/>
      <c r="BMS905" s="23"/>
      <c r="BMT905" s="23"/>
      <c r="BMU905" s="23"/>
      <c r="BMV905" s="23"/>
      <c r="BMW905" s="23"/>
      <c r="BMX905" s="23"/>
      <c r="BMY905" s="23"/>
      <c r="BMZ905" s="23"/>
      <c r="BNA905" s="23"/>
      <c r="BNB905" s="23"/>
      <c r="BNC905" s="23"/>
      <c r="BND905" s="23"/>
      <c r="BNE905" s="23"/>
      <c r="BNF905" s="23"/>
      <c r="BNG905" s="23"/>
      <c r="BNH905" s="23"/>
      <c r="BNI905" s="23"/>
      <c r="BNJ905" s="23"/>
      <c r="BNK905" s="23"/>
      <c r="BNL905" s="23"/>
      <c r="BNM905" s="23"/>
      <c r="BNN905" s="23"/>
      <c r="BNO905" s="23"/>
      <c r="BNP905" s="23"/>
      <c r="BNQ905" s="23"/>
      <c r="BNR905" s="23"/>
      <c r="BNS905" s="23"/>
      <c r="BNT905" s="23"/>
      <c r="BNU905" s="23"/>
      <c r="BNV905" s="23"/>
      <c r="BNW905" s="23"/>
      <c r="BNX905" s="23"/>
      <c r="BNY905" s="23"/>
      <c r="BNZ905" s="23"/>
      <c r="BOA905" s="23"/>
      <c r="BOB905" s="23"/>
      <c r="BOC905" s="23"/>
      <c r="BOD905" s="23"/>
      <c r="BOE905" s="23"/>
      <c r="BOF905" s="23"/>
      <c r="BOG905" s="23"/>
      <c r="BOH905" s="23"/>
      <c r="BOI905" s="23"/>
      <c r="BOJ905" s="23"/>
      <c r="BOK905" s="23"/>
      <c r="BOL905" s="23"/>
      <c r="BOM905" s="23"/>
      <c r="BON905" s="23"/>
      <c r="BOO905" s="23"/>
      <c r="BOP905" s="23"/>
      <c r="BOQ905" s="23"/>
      <c r="BOR905" s="23"/>
      <c r="BOS905" s="23"/>
      <c r="BOT905" s="23"/>
      <c r="BOU905" s="23"/>
      <c r="BOV905" s="23"/>
      <c r="BOW905" s="23"/>
      <c r="BOX905" s="23"/>
      <c r="BOY905" s="23"/>
      <c r="BOZ905" s="23"/>
      <c r="BPA905" s="23"/>
      <c r="BPB905" s="23"/>
      <c r="BPC905" s="23"/>
      <c r="BPD905" s="23"/>
      <c r="BPE905" s="23"/>
      <c r="BPF905" s="23"/>
      <c r="BPG905" s="23"/>
      <c r="BPH905" s="23"/>
      <c r="BPI905" s="23"/>
      <c r="BPJ905" s="23"/>
      <c r="BPK905" s="23"/>
      <c r="BPL905" s="23"/>
      <c r="BPM905" s="23"/>
      <c r="BPN905" s="23"/>
      <c r="BPO905" s="23"/>
      <c r="BPP905" s="23"/>
      <c r="BPQ905" s="23"/>
      <c r="BPR905" s="23"/>
      <c r="BPS905" s="23"/>
      <c r="BPT905" s="23"/>
      <c r="BPU905" s="23"/>
      <c r="BPV905" s="23"/>
      <c r="BPW905" s="23"/>
      <c r="BPX905" s="23"/>
      <c r="BPY905" s="23"/>
      <c r="BPZ905" s="23"/>
      <c r="BQA905" s="23"/>
      <c r="BQB905" s="23"/>
      <c r="BQC905" s="23"/>
      <c r="BQD905" s="23"/>
      <c r="BQE905" s="23"/>
      <c r="BQF905" s="23"/>
      <c r="BQG905" s="23"/>
      <c r="BQH905" s="23"/>
      <c r="BQI905" s="23"/>
      <c r="BQJ905" s="23"/>
      <c r="BQK905" s="23"/>
      <c r="BQL905" s="23"/>
      <c r="BQM905" s="23"/>
      <c r="BQN905" s="23"/>
      <c r="BQO905" s="23"/>
      <c r="BQP905" s="23"/>
      <c r="BQQ905" s="23"/>
      <c r="BQR905" s="23"/>
      <c r="BQS905" s="23"/>
      <c r="BQT905" s="23"/>
      <c r="BQU905" s="23"/>
      <c r="BQV905" s="23"/>
      <c r="BQW905" s="23"/>
      <c r="BQX905" s="23"/>
      <c r="BQY905" s="23"/>
      <c r="BQZ905" s="23"/>
      <c r="BRA905" s="23"/>
      <c r="BRB905" s="23"/>
      <c r="BRC905" s="23"/>
      <c r="BRD905" s="23"/>
      <c r="BRE905" s="23"/>
      <c r="BRF905" s="23"/>
      <c r="BRG905" s="23"/>
      <c r="BRH905" s="23"/>
      <c r="BRI905" s="23"/>
      <c r="BRJ905" s="23"/>
      <c r="BRK905" s="23"/>
      <c r="BRL905" s="23"/>
      <c r="BRM905" s="23"/>
      <c r="BRN905" s="23"/>
      <c r="BRO905" s="23"/>
      <c r="BRP905" s="23"/>
      <c r="BRQ905" s="23"/>
      <c r="BRR905" s="23"/>
      <c r="BRS905" s="23"/>
      <c r="BRT905" s="23"/>
      <c r="BRU905" s="23"/>
      <c r="BRV905" s="23"/>
      <c r="BRW905" s="23"/>
      <c r="BRX905" s="23"/>
      <c r="BRY905" s="23"/>
      <c r="BRZ905" s="23"/>
      <c r="BSA905" s="23"/>
      <c r="BSB905" s="23"/>
      <c r="BSC905" s="23"/>
      <c r="BSD905" s="23"/>
      <c r="BSE905" s="23"/>
      <c r="BSF905" s="23"/>
      <c r="BSG905" s="23"/>
      <c r="BSH905" s="23"/>
      <c r="BSI905" s="23"/>
      <c r="BSJ905" s="23"/>
      <c r="BSK905" s="23"/>
      <c r="BSL905" s="23"/>
      <c r="BSM905" s="23"/>
      <c r="BSN905" s="23"/>
      <c r="BSO905" s="23"/>
      <c r="BSP905" s="23"/>
      <c r="BSQ905" s="23"/>
      <c r="BSR905" s="23"/>
      <c r="BSS905" s="23"/>
      <c r="BST905" s="23"/>
      <c r="BSU905" s="23"/>
      <c r="BSV905" s="23"/>
      <c r="BSW905" s="23"/>
      <c r="BSX905" s="23"/>
      <c r="BSY905" s="23"/>
      <c r="BSZ905" s="23"/>
      <c r="BTA905" s="23"/>
    </row>
    <row r="906" spans="1:1873" s="23" customFormat="1" x14ac:dyDescent="0.2">
      <c r="A906" s="223" t="s">
        <v>367</v>
      </c>
      <c r="B906" s="223" t="s">
        <v>82</v>
      </c>
      <c r="C906" s="223" t="s">
        <v>368</v>
      </c>
      <c r="D906" s="223" t="s">
        <v>619</v>
      </c>
      <c r="E906" s="404" t="s">
        <v>1462</v>
      </c>
      <c r="F906" s="241">
        <v>3</v>
      </c>
      <c r="G906" s="223">
        <v>1</v>
      </c>
      <c r="H906" s="242">
        <v>3</v>
      </c>
      <c r="I906" s="404" t="s">
        <v>954</v>
      </c>
      <c r="J906" s="450">
        <v>1985</v>
      </c>
      <c r="K906" s="450" t="s">
        <v>842</v>
      </c>
      <c r="L906" s="223">
        <v>1988</v>
      </c>
      <c r="M906" s="243">
        <v>10</v>
      </c>
      <c r="N906" s="223">
        <v>-9999</v>
      </c>
      <c r="O906" s="29"/>
      <c r="P906" s="243">
        <f>+P905+M906</f>
        <v>22.6</v>
      </c>
      <c r="Q906" s="223">
        <v>-9999</v>
      </c>
      <c r="R906" s="243"/>
      <c r="S906" s="223"/>
      <c r="T906" s="244">
        <f>+(T905+M906)/H906</f>
        <v>5.4333333333333336</v>
      </c>
      <c r="U906" s="223">
        <v>-9999</v>
      </c>
      <c r="V906" s="223"/>
      <c r="W906" s="243">
        <v>10</v>
      </c>
      <c r="X906" s="223">
        <v>-9999</v>
      </c>
      <c r="Y906" s="223"/>
      <c r="Z906" s="449" t="s">
        <v>657</v>
      </c>
      <c r="AA906" s="442">
        <v>111111</v>
      </c>
      <c r="AB906" s="243">
        <v>-9999</v>
      </c>
      <c r="AC906" s="223">
        <v>-9999</v>
      </c>
      <c r="AD906" s="223">
        <v>62.4</v>
      </c>
      <c r="AE906" s="404" t="s">
        <v>1959</v>
      </c>
      <c r="AF906" s="223">
        <v>3</v>
      </c>
      <c r="AG906" s="223">
        <v>8</v>
      </c>
      <c r="AH906" s="223" t="s">
        <v>876</v>
      </c>
      <c r="AI906" s="223">
        <v>-9999</v>
      </c>
      <c r="AJ906" s="223">
        <v>-9999</v>
      </c>
      <c r="AK906" s="223">
        <v>-9999</v>
      </c>
      <c r="AL906" s="223">
        <v>-9999</v>
      </c>
      <c r="AM906" s="223">
        <v>-9999</v>
      </c>
      <c r="AN906" s="223">
        <v>-9999</v>
      </c>
      <c r="AO906" s="223">
        <v>-9999</v>
      </c>
      <c r="AP906" s="223">
        <v>-9999</v>
      </c>
      <c r="AQ906" s="223">
        <v>-9999</v>
      </c>
      <c r="AR906" s="223">
        <v>-9999</v>
      </c>
      <c r="AS906" s="223">
        <v>-9999</v>
      </c>
      <c r="AT906" s="223">
        <v>-9999</v>
      </c>
      <c r="AU906" s="223">
        <v>-9999</v>
      </c>
      <c r="AV906" s="223">
        <v>-9999</v>
      </c>
      <c r="AW906" s="223">
        <v>-9999</v>
      </c>
      <c r="AX906" s="223">
        <v>-9999</v>
      </c>
      <c r="AY906" s="223">
        <v>-9999</v>
      </c>
      <c r="AZ906" s="223">
        <v>-9999</v>
      </c>
      <c r="BA906" s="223">
        <v>-9999</v>
      </c>
      <c r="BB906" s="223" t="s">
        <v>626</v>
      </c>
      <c r="BC906" s="223" t="s">
        <v>369</v>
      </c>
      <c r="BD906" s="223">
        <v>-9999</v>
      </c>
      <c r="BE906" s="223" t="s">
        <v>370</v>
      </c>
      <c r="BF906" s="223">
        <v>-9999</v>
      </c>
      <c r="BG906" s="223">
        <v>-9999</v>
      </c>
      <c r="BH906" s="223">
        <v>-9999</v>
      </c>
      <c r="BI906" s="223">
        <v>-9999</v>
      </c>
      <c r="BJ906" s="223">
        <v>-9999</v>
      </c>
      <c r="BK906" s="223">
        <v>-9999</v>
      </c>
      <c r="BL906" s="223">
        <v>-9999</v>
      </c>
      <c r="BM906" s="223">
        <v>-9999</v>
      </c>
      <c r="BN906" s="223">
        <v>-9999</v>
      </c>
      <c r="BO906" s="223">
        <v>-9999</v>
      </c>
      <c r="BP906" s="223">
        <v>-9999</v>
      </c>
      <c r="BQ906" s="223">
        <v>-9999</v>
      </c>
      <c r="BR906" s="223">
        <v>-9999</v>
      </c>
      <c r="BS906" s="242">
        <v>-9999</v>
      </c>
      <c r="BT906" s="223">
        <v>-9999</v>
      </c>
      <c r="BU906" s="223">
        <v>-9999</v>
      </c>
      <c r="BV906" s="223">
        <v>-9999</v>
      </c>
      <c r="BW906" s="223"/>
      <c r="BX906" s="223">
        <v>-9999</v>
      </c>
      <c r="BY906" s="223">
        <v>-9999</v>
      </c>
      <c r="BZ906" s="223">
        <v>-9999</v>
      </c>
      <c r="CA906" s="332">
        <v>-9999</v>
      </c>
      <c r="CB906" s="247"/>
      <c r="CC906" s="241">
        <v>3</v>
      </c>
      <c r="CD906" s="223">
        <v>1</v>
      </c>
      <c r="CE906" s="292">
        <v>5.4333333333333336</v>
      </c>
      <c r="CF906" s="292">
        <v>10</v>
      </c>
      <c r="CG906" s="242">
        <v>3</v>
      </c>
    </row>
    <row r="907" spans="1:1873" s="23" customFormat="1" x14ac:dyDescent="0.2">
      <c r="A907" s="223" t="s">
        <v>367</v>
      </c>
      <c r="B907" s="223" t="s">
        <v>82</v>
      </c>
      <c r="C907" s="223" t="s">
        <v>368</v>
      </c>
      <c r="D907" s="223" t="s">
        <v>619</v>
      </c>
      <c r="E907" s="404" t="s">
        <v>1462</v>
      </c>
      <c r="F907" s="241">
        <v>4</v>
      </c>
      <c r="G907" s="223">
        <v>1</v>
      </c>
      <c r="H907" s="242">
        <v>4</v>
      </c>
      <c r="I907" s="404" t="s">
        <v>954</v>
      </c>
      <c r="J907" s="450">
        <v>1985</v>
      </c>
      <c r="K907" s="450" t="s">
        <v>842</v>
      </c>
      <c r="L907" s="223">
        <v>1989</v>
      </c>
      <c r="M907" s="243">
        <v>1.7</v>
      </c>
      <c r="N907" s="223">
        <v>-9999</v>
      </c>
      <c r="O907" s="29"/>
      <c r="P907" s="243">
        <f>+P906+M907</f>
        <v>24.3</v>
      </c>
      <c r="Q907" s="223">
        <v>-9999</v>
      </c>
      <c r="R907" s="243"/>
      <c r="S907" s="223"/>
      <c r="T907" s="244">
        <f>+(T906+M907)/H907</f>
        <v>1.7833333333333334</v>
      </c>
      <c r="U907" s="223">
        <v>-9999</v>
      </c>
      <c r="V907" s="223"/>
      <c r="W907" s="243">
        <v>1.7</v>
      </c>
      <c r="X907" s="223">
        <v>-9999</v>
      </c>
      <c r="Y907" s="223"/>
      <c r="Z907" s="449" t="s">
        <v>657</v>
      </c>
      <c r="AA907" s="442">
        <v>111111</v>
      </c>
      <c r="AB907" s="243">
        <v>-9999</v>
      </c>
      <c r="AC907" s="223">
        <v>-9999</v>
      </c>
      <c r="AD907" s="223">
        <v>62.4</v>
      </c>
      <c r="AE907" s="404" t="s">
        <v>1959</v>
      </c>
      <c r="AF907" s="223">
        <v>3</v>
      </c>
      <c r="AG907" s="223">
        <v>8</v>
      </c>
      <c r="AH907" s="223" t="s">
        <v>876</v>
      </c>
      <c r="AI907" s="223">
        <v>-9999</v>
      </c>
      <c r="AJ907" s="223">
        <v>-9999</v>
      </c>
      <c r="AK907" s="223">
        <v>-9999</v>
      </c>
      <c r="AL907" s="223">
        <v>-9999</v>
      </c>
      <c r="AM907" s="223">
        <v>-9999</v>
      </c>
      <c r="AN907" s="223">
        <v>-9999</v>
      </c>
      <c r="AO907" s="223">
        <v>-9999</v>
      </c>
      <c r="AP907" s="223">
        <v>-9999</v>
      </c>
      <c r="AQ907" s="223">
        <v>-9999</v>
      </c>
      <c r="AR907" s="223">
        <v>-9999</v>
      </c>
      <c r="AS907" s="223">
        <v>-9999</v>
      </c>
      <c r="AT907" s="223">
        <v>-9999</v>
      </c>
      <c r="AU907" s="223">
        <v>-9999</v>
      </c>
      <c r="AV907" s="223">
        <v>-9999</v>
      </c>
      <c r="AW907" s="223">
        <v>-9999</v>
      </c>
      <c r="AX907" s="223">
        <v>-9999</v>
      </c>
      <c r="AY907" s="223">
        <v>-9999</v>
      </c>
      <c r="AZ907" s="223">
        <v>-9999</v>
      </c>
      <c r="BA907" s="223">
        <v>-9999</v>
      </c>
      <c r="BB907" s="223" t="s">
        <v>626</v>
      </c>
      <c r="BC907" s="223" t="s">
        <v>369</v>
      </c>
      <c r="BD907" s="223">
        <v>-9999</v>
      </c>
      <c r="BE907" s="223" t="s">
        <v>370</v>
      </c>
      <c r="BF907" s="223">
        <v>-9999</v>
      </c>
      <c r="BG907" s="223">
        <v>-9999</v>
      </c>
      <c r="BH907" s="223">
        <v>-9999</v>
      </c>
      <c r="BI907" s="223">
        <v>-9999</v>
      </c>
      <c r="BJ907" s="223">
        <v>-9999</v>
      </c>
      <c r="BK907" s="223">
        <v>-9999</v>
      </c>
      <c r="BL907" s="223">
        <v>-9999</v>
      </c>
      <c r="BM907" s="223">
        <v>-9999</v>
      </c>
      <c r="BN907" s="223">
        <v>-9999</v>
      </c>
      <c r="BO907" s="223">
        <v>-9999</v>
      </c>
      <c r="BP907" s="223">
        <v>-9999</v>
      </c>
      <c r="BQ907" s="223">
        <v>-9999</v>
      </c>
      <c r="BR907" s="223">
        <v>-9999</v>
      </c>
      <c r="BS907" s="242">
        <v>-9999</v>
      </c>
      <c r="BT907" s="223">
        <v>-9999</v>
      </c>
      <c r="BU907" s="223">
        <v>-9999</v>
      </c>
      <c r="BV907" s="223">
        <v>-9999</v>
      </c>
      <c r="BW907" s="223"/>
      <c r="BX907" s="223">
        <v>-9999</v>
      </c>
      <c r="BY907" s="223">
        <v>-9999</v>
      </c>
      <c r="BZ907" s="223">
        <v>-9999</v>
      </c>
      <c r="CA907" s="332">
        <v>-9999</v>
      </c>
      <c r="CB907" s="247"/>
      <c r="CC907" s="241">
        <v>4</v>
      </c>
      <c r="CD907" s="223">
        <v>1</v>
      </c>
      <c r="CE907" s="292">
        <v>1.7833333333333334</v>
      </c>
      <c r="CF907" s="292">
        <v>1.7</v>
      </c>
      <c r="CG907" s="242">
        <v>4</v>
      </c>
    </row>
    <row r="908" spans="1:1873" s="23" customFormat="1" x14ac:dyDescent="0.2">
      <c r="A908" s="29"/>
      <c r="B908" s="29"/>
      <c r="C908" s="71"/>
      <c r="D908" s="29"/>
      <c r="E908" s="66"/>
      <c r="F908" s="66"/>
      <c r="G908" s="29"/>
      <c r="H908" s="30"/>
      <c r="I908" s="29"/>
      <c r="J908" s="112"/>
      <c r="K908" s="112"/>
      <c r="L908" s="29"/>
      <c r="M908" s="31"/>
      <c r="N908" s="31"/>
      <c r="O908" s="29"/>
      <c r="P908" s="31"/>
      <c r="Q908" s="29"/>
      <c r="R908" s="31"/>
      <c r="S908" s="29"/>
      <c r="T908" s="31"/>
      <c r="U908" s="29"/>
      <c r="V908" s="29"/>
      <c r="W908" s="31"/>
      <c r="X908" s="29"/>
      <c r="Y908" s="29"/>
      <c r="Z908" s="29"/>
      <c r="AA908" s="29"/>
      <c r="AB908" s="31"/>
      <c r="AC908" s="71"/>
      <c r="AD908" s="71"/>
      <c r="AE908" s="71"/>
      <c r="AF908" s="29"/>
      <c r="AG908" s="29"/>
      <c r="AH908" s="29"/>
      <c r="AI908" s="29"/>
      <c r="AJ908" s="29"/>
      <c r="AK908" s="29"/>
      <c r="AL908" s="29"/>
      <c r="AM908" s="29"/>
      <c r="AN908" s="29"/>
      <c r="AO908" s="29"/>
      <c r="AP908" s="29"/>
      <c r="AQ908" s="29"/>
      <c r="AR908" s="29"/>
      <c r="AS908" s="29"/>
      <c r="AT908" s="29"/>
      <c r="AU908" s="29"/>
      <c r="AV908" s="29"/>
      <c r="AW908" s="29"/>
      <c r="AX908" s="29"/>
      <c r="AY908" s="29"/>
      <c r="AZ908" s="29"/>
      <c r="BA908" s="29"/>
      <c r="BB908" s="29"/>
      <c r="BC908" s="29"/>
      <c r="BD908" s="29"/>
      <c r="BE908" s="29"/>
      <c r="BF908" s="29"/>
      <c r="BG908" s="29"/>
      <c r="BH908" s="29"/>
      <c r="BI908" s="29"/>
      <c r="BJ908" s="29"/>
      <c r="BK908" s="29"/>
      <c r="BL908" s="29"/>
      <c r="BM908" s="29"/>
      <c r="BN908" s="29"/>
      <c r="BO908" s="29"/>
      <c r="BP908" s="29"/>
      <c r="BQ908" s="29"/>
      <c r="BR908" s="29"/>
      <c r="BS908" s="30"/>
      <c r="BT908" s="29"/>
      <c r="BU908" s="29"/>
      <c r="BV908" s="29"/>
      <c r="BW908" s="29"/>
      <c r="BX908" s="29"/>
      <c r="BY908" s="29"/>
      <c r="BZ908" s="29"/>
      <c r="CA908" s="98"/>
      <c r="CC908" s="66"/>
      <c r="CD908" s="29"/>
      <c r="CE908" s="342" t="s">
        <v>1658</v>
      </c>
      <c r="CF908" s="342" t="s">
        <v>1575</v>
      </c>
      <c r="CG908" s="30"/>
    </row>
    <row r="909" spans="1:1873" s="2" customFormat="1" x14ac:dyDescent="0.2">
      <c r="A909" s="240" t="s">
        <v>813</v>
      </c>
      <c r="B909" s="240" t="s">
        <v>814</v>
      </c>
      <c r="C909" s="240" t="s">
        <v>815</v>
      </c>
      <c r="D909" s="240" t="s">
        <v>619</v>
      </c>
      <c r="E909" s="305" t="s">
        <v>1463</v>
      </c>
      <c r="F909" s="305">
        <v>1</v>
      </c>
      <c r="G909" s="240">
        <v>5</v>
      </c>
      <c r="H909" s="451">
        <v>5</v>
      </c>
      <c r="I909" s="240" t="s">
        <v>621</v>
      </c>
      <c r="J909" s="240">
        <v>2000</v>
      </c>
      <c r="K909" s="240" t="s">
        <v>856</v>
      </c>
      <c r="L909" s="240">
        <v>2005</v>
      </c>
      <c r="M909" s="421">
        <v>-9999</v>
      </c>
      <c r="N909" s="451">
        <v>-9999</v>
      </c>
      <c r="O909" s="1"/>
      <c r="P909" s="421">
        <v>30.47</v>
      </c>
      <c r="Q909" s="451">
        <v>-9999</v>
      </c>
      <c r="R909" s="421"/>
      <c r="S909" s="451"/>
      <c r="T909" s="452">
        <f>P909/G909</f>
        <v>6.0939999999999994</v>
      </c>
      <c r="U909" s="451">
        <v>-9999</v>
      </c>
      <c r="V909" s="451"/>
      <c r="W909" s="421">
        <v>-9999</v>
      </c>
      <c r="X909" s="451">
        <v>-9999</v>
      </c>
      <c r="Y909" s="451"/>
      <c r="Z909" s="240" t="s">
        <v>793</v>
      </c>
      <c r="AA909" s="453">
        <v>10000</v>
      </c>
      <c r="AB909" s="421">
        <v>0.9</v>
      </c>
      <c r="AC909" s="421">
        <v>0.35</v>
      </c>
      <c r="AD909" s="451">
        <v>70</v>
      </c>
      <c r="AE909" s="403" t="s">
        <v>1958</v>
      </c>
      <c r="AF909" s="240">
        <v>5</v>
      </c>
      <c r="AG909" s="451">
        <v>-9999</v>
      </c>
      <c r="AH909" s="240" t="s">
        <v>1083</v>
      </c>
      <c r="AI909" s="240" t="s">
        <v>825</v>
      </c>
      <c r="AJ909" s="451">
        <v>-9999</v>
      </c>
      <c r="AK909" s="451">
        <v>-9999</v>
      </c>
      <c r="AL909" s="451">
        <v>-9999</v>
      </c>
      <c r="AM909" s="451">
        <v>-9999</v>
      </c>
      <c r="AN909" s="240" t="s">
        <v>626</v>
      </c>
      <c r="AO909" s="240" t="s">
        <v>1085</v>
      </c>
      <c r="AP909" s="240" t="s">
        <v>816</v>
      </c>
      <c r="AQ909" s="240" t="s">
        <v>631</v>
      </c>
      <c r="AR909" s="240">
        <v>0</v>
      </c>
      <c r="AS909" s="240">
        <v>-9999</v>
      </c>
      <c r="AT909" s="240">
        <v>-9999</v>
      </c>
      <c r="AU909" s="240">
        <v>0</v>
      </c>
      <c r="AV909" s="240">
        <v>-9999</v>
      </c>
      <c r="AW909" s="240"/>
      <c r="AX909" s="240">
        <v>0</v>
      </c>
      <c r="AY909" s="240">
        <v>-9999</v>
      </c>
      <c r="AZ909" s="240">
        <v>-9999</v>
      </c>
      <c r="BA909" s="240">
        <v>-9999</v>
      </c>
      <c r="BB909" s="240" t="s">
        <v>626</v>
      </c>
      <c r="BC909" s="240" t="s">
        <v>1084</v>
      </c>
      <c r="BD909" s="240"/>
      <c r="BE909" s="240">
        <v>-9999</v>
      </c>
      <c r="BF909" s="240">
        <v>-9999</v>
      </c>
      <c r="BG909" s="240">
        <v>-9999</v>
      </c>
      <c r="BH909" s="240">
        <v>-9999</v>
      </c>
      <c r="BI909" s="240" t="s">
        <v>225</v>
      </c>
      <c r="BJ909" s="223">
        <v>-9999</v>
      </c>
      <c r="BK909" s="223">
        <v>-9999</v>
      </c>
      <c r="BL909" s="421">
        <v>6.83</v>
      </c>
      <c r="BM909" s="223">
        <v>-9999</v>
      </c>
      <c r="BN909" s="223">
        <v>-9999</v>
      </c>
      <c r="BO909" s="223">
        <v>-9999</v>
      </c>
      <c r="BP909" s="223">
        <v>-9999</v>
      </c>
      <c r="BQ909" s="223">
        <v>-9999</v>
      </c>
      <c r="BR909" s="421">
        <v>5.32</v>
      </c>
      <c r="BS909" s="242">
        <v>-9999</v>
      </c>
      <c r="BT909" s="223">
        <v>-9999</v>
      </c>
      <c r="BU909" s="223">
        <v>-9999</v>
      </c>
      <c r="BV909" s="223">
        <v>-9999</v>
      </c>
      <c r="BW909" s="223"/>
      <c r="BX909" s="223">
        <v>-9999</v>
      </c>
      <c r="BY909" s="223">
        <v>-9999</v>
      </c>
      <c r="BZ909" s="223">
        <v>-9999</v>
      </c>
      <c r="CA909" s="332">
        <v>-9999</v>
      </c>
      <c r="CB909" s="446" t="s">
        <v>1407</v>
      </c>
      <c r="CC909" s="305">
        <v>1</v>
      </c>
      <c r="CD909" s="240" t="s">
        <v>815</v>
      </c>
      <c r="CE909" s="290">
        <v>6.0939999999999994</v>
      </c>
      <c r="CF909" s="290">
        <v>-9999</v>
      </c>
      <c r="CG909" s="451">
        <v>5</v>
      </c>
    </row>
    <row r="910" spans="1:1873" s="2" customFormat="1" x14ac:dyDescent="0.2">
      <c r="A910" s="240" t="s">
        <v>813</v>
      </c>
      <c r="B910" s="240" t="s">
        <v>814</v>
      </c>
      <c r="C910" s="403" t="s">
        <v>1649</v>
      </c>
      <c r="D910" s="240" t="s">
        <v>619</v>
      </c>
      <c r="E910" s="305" t="s">
        <v>1467</v>
      </c>
      <c r="F910" s="305">
        <v>1</v>
      </c>
      <c r="G910" s="240">
        <v>5</v>
      </c>
      <c r="H910" s="451">
        <v>5</v>
      </c>
      <c r="I910" s="240" t="s">
        <v>621</v>
      </c>
      <c r="J910" s="240">
        <v>2000</v>
      </c>
      <c r="K910" s="240" t="s">
        <v>856</v>
      </c>
      <c r="L910" s="240">
        <v>2005</v>
      </c>
      <c r="M910" s="421">
        <v>-9999</v>
      </c>
      <c r="N910" s="451">
        <v>-9999</v>
      </c>
      <c r="O910" s="1"/>
      <c r="P910" s="421">
        <v>33.04</v>
      </c>
      <c r="Q910" s="451">
        <v>-9999</v>
      </c>
      <c r="R910" s="421"/>
      <c r="S910" s="451"/>
      <c r="T910" s="452">
        <f>P910/G910</f>
        <v>6.6079999999999997</v>
      </c>
      <c r="U910" s="451">
        <v>-9999</v>
      </c>
      <c r="V910" s="451"/>
      <c r="W910" s="421">
        <v>-9999</v>
      </c>
      <c r="X910" s="451">
        <v>-9999</v>
      </c>
      <c r="Y910" s="451"/>
      <c r="Z910" s="240" t="s">
        <v>793</v>
      </c>
      <c r="AA910" s="453">
        <v>10000</v>
      </c>
      <c r="AB910" s="421">
        <v>0.88600000000000001</v>
      </c>
      <c r="AC910" s="421">
        <v>0.35</v>
      </c>
      <c r="AD910" s="451">
        <v>70</v>
      </c>
      <c r="AE910" s="403" t="s">
        <v>1958</v>
      </c>
      <c r="AF910" s="240">
        <v>5</v>
      </c>
      <c r="AG910" s="451">
        <v>-9999</v>
      </c>
      <c r="AH910" s="240" t="s">
        <v>1083</v>
      </c>
      <c r="AI910" s="240" t="s">
        <v>825</v>
      </c>
      <c r="AJ910" s="451">
        <v>-9999</v>
      </c>
      <c r="AK910" s="451">
        <v>-9999</v>
      </c>
      <c r="AL910" s="451">
        <v>-9999</v>
      </c>
      <c r="AM910" s="451">
        <v>-9999</v>
      </c>
      <c r="AN910" s="240" t="s">
        <v>626</v>
      </c>
      <c r="AO910" s="240" t="s">
        <v>1085</v>
      </c>
      <c r="AP910" s="240" t="s">
        <v>816</v>
      </c>
      <c r="AQ910" s="240" t="s">
        <v>631</v>
      </c>
      <c r="AR910" s="240">
        <v>0</v>
      </c>
      <c r="AS910" s="240">
        <v>-9999</v>
      </c>
      <c r="AT910" s="240">
        <v>-9999</v>
      </c>
      <c r="AU910" s="240">
        <v>0</v>
      </c>
      <c r="AV910" s="240">
        <v>-9999</v>
      </c>
      <c r="AW910" s="240"/>
      <c r="AX910" s="240">
        <v>0</v>
      </c>
      <c r="AY910" s="240">
        <v>-9999</v>
      </c>
      <c r="AZ910" s="240">
        <v>-9999</v>
      </c>
      <c r="BA910" s="240">
        <v>-9999</v>
      </c>
      <c r="BB910" s="240" t="s">
        <v>626</v>
      </c>
      <c r="BC910" s="240" t="s">
        <v>1084</v>
      </c>
      <c r="BD910" s="240"/>
      <c r="BE910" s="240">
        <v>-9999</v>
      </c>
      <c r="BF910" s="240">
        <v>-9999</v>
      </c>
      <c r="BG910" s="240">
        <v>-9999</v>
      </c>
      <c r="BH910" s="240">
        <v>-9999</v>
      </c>
      <c r="BI910" s="240" t="s">
        <v>225</v>
      </c>
      <c r="BJ910" s="223">
        <v>-9999</v>
      </c>
      <c r="BK910" s="223">
        <v>-9999</v>
      </c>
      <c r="BL910" s="421">
        <v>7.16</v>
      </c>
      <c r="BM910" s="223">
        <v>-9999</v>
      </c>
      <c r="BN910" s="223">
        <v>-9999</v>
      </c>
      <c r="BO910" s="223">
        <v>-9999</v>
      </c>
      <c r="BP910" s="223">
        <v>-9999</v>
      </c>
      <c r="BQ910" s="223">
        <v>-9999</v>
      </c>
      <c r="BR910" s="421">
        <v>6.77</v>
      </c>
      <c r="BS910" s="242">
        <v>-9999</v>
      </c>
      <c r="BT910" s="223">
        <v>-9999</v>
      </c>
      <c r="BU910" s="223">
        <v>-9999</v>
      </c>
      <c r="BV910" s="223">
        <v>-9999</v>
      </c>
      <c r="BW910" s="223"/>
      <c r="BX910" s="223">
        <v>-9999</v>
      </c>
      <c r="BY910" s="223">
        <v>-9999</v>
      </c>
      <c r="BZ910" s="223">
        <v>-9999</v>
      </c>
      <c r="CA910" s="332">
        <v>-9999</v>
      </c>
      <c r="CB910" s="446" t="s">
        <v>1407</v>
      </c>
      <c r="CC910" s="305">
        <v>1</v>
      </c>
      <c r="CD910" s="403" t="s">
        <v>1649</v>
      </c>
      <c r="CE910" s="290">
        <v>6.6079999999999997</v>
      </c>
      <c r="CF910" s="290">
        <v>-9999</v>
      </c>
      <c r="CG910" s="451">
        <v>5</v>
      </c>
    </row>
    <row r="911" spans="1:1873" s="204" customFormat="1" x14ac:dyDescent="0.2">
      <c r="A911" s="283" t="s">
        <v>813</v>
      </c>
      <c r="B911" s="283" t="s">
        <v>814</v>
      </c>
      <c r="C911" s="283" t="s">
        <v>817</v>
      </c>
      <c r="D911" s="283" t="s">
        <v>619</v>
      </c>
      <c r="E911" s="306" t="s">
        <v>1464</v>
      </c>
      <c r="F911" s="306">
        <v>1</v>
      </c>
      <c r="G911" s="283">
        <v>5</v>
      </c>
      <c r="H911" s="454">
        <v>5</v>
      </c>
      <c r="I911" s="283" t="s">
        <v>621</v>
      </c>
      <c r="J911" s="283">
        <v>2000</v>
      </c>
      <c r="K911" s="283" t="s">
        <v>856</v>
      </c>
      <c r="L911" s="283">
        <v>2005</v>
      </c>
      <c r="M911" s="426">
        <v>-9999</v>
      </c>
      <c r="N911" s="454">
        <v>-9999</v>
      </c>
      <c r="O911" s="8"/>
      <c r="P911" s="426">
        <v>53.27</v>
      </c>
      <c r="Q911" s="454">
        <v>-9999</v>
      </c>
      <c r="R911" s="426"/>
      <c r="S911" s="454"/>
      <c r="T911" s="566">
        <f>P911/G911</f>
        <v>10.654</v>
      </c>
      <c r="U911" s="454">
        <v>-9999</v>
      </c>
      <c r="V911" s="454"/>
      <c r="W911" s="426">
        <v>-9999</v>
      </c>
      <c r="X911" s="454">
        <v>-9999</v>
      </c>
      <c r="Y911" s="454"/>
      <c r="Z911" s="283" t="s">
        <v>793</v>
      </c>
      <c r="AA911" s="455">
        <v>10000</v>
      </c>
      <c r="AB911" s="426">
        <v>0.99299999999999999</v>
      </c>
      <c r="AC911" s="426">
        <v>0.35</v>
      </c>
      <c r="AD911" s="454">
        <v>70</v>
      </c>
      <c r="AE911" s="283" t="s">
        <v>1958</v>
      </c>
      <c r="AF911" s="283">
        <v>5</v>
      </c>
      <c r="AG911" s="454">
        <v>-9999</v>
      </c>
      <c r="AH911" s="283" t="s">
        <v>1083</v>
      </c>
      <c r="AI911" s="283" t="s">
        <v>825</v>
      </c>
      <c r="AJ911" s="454">
        <v>-9999</v>
      </c>
      <c r="AK911" s="454">
        <v>-9999</v>
      </c>
      <c r="AL911" s="454">
        <v>-9999</v>
      </c>
      <c r="AM911" s="454">
        <v>-9999</v>
      </c>
      <c r="AN911" s="283" t="s">
        <v>626</v>
      </c>
      <c r="AO911" s="283" t="s">
        <v>1085</v>
      </c>
      <c r="AP911" s="283" t="s">
        <v>816</v>
      </c>
      <c r="AQ911" s="283" t="s">
        <v>631</v>
      </c>
      <c r="AR911" s="283">
        <v>0</v>
      </c>
      <c r="AS911" s="283">
        <v>-9999</v>
      </c>
      <c r="AT911" s="283">
        <v>-9999</v>
      </c>
      <c r="AU911" s="283">
        <v>0</v>
      </c>
      <c r="AV911" s="283">
        <v>-9999</v>
      </c>
      <c r="AW911" s="283"/>
      <c r="AX911" s="283">
        <v>0</v>
      </c>
      <c r="AY911" s="283">
        <v>-9999</v>
      </c>
      <c r="AZ911" s="283">
        <v>-9999</v>
      </c>
      <c r="BA911" s="283">
        <v>-9999</v>
      </c>
      <c r="BB911" s="283" t="s">
        <v>626</v>
      </c>
      <c r="BC911" s="283" t="s">
        <v>1084</v>
      </c>
      <c r="BD911" s="283"/>
      <c r="BE911" s="283">
        <v>-9999</v>
      </c>
      <c r="BF911" s="283">
        <v>-9999</v>
      </c>
      <c r="BG911" s="283">
        <v>-9999</v>
      </c>
      <c r="BH911" s="283">
        <v>-9999</v>
      </c>
      <c r="BI911" s="283" t="s">
        <v>225</v>
      </c>
      <c r="BJ911" s="249">
        <v>-9999</v>
      </c>
      <c r="BK911" s="249">
        <v>-9999</v>
      </c>
      <c r="BL911" s="426">
        <v>8.01</v>
      </c>
      <c r="BM911" s="249">
        <v>-9999</v>
      </c>
      <c r="BN911" s="249">
        <v>-9999</v>
      </c>
      <c r="BO911" s="249">
        <v>-9999</v>
      </c>
      <c r="BP911" s="249">
        <v>-9999</v>
      </c>
      <c r="BQ911" s="249">
        <v>-9999</v>
      </c>
      <c r="BR911" s="426">
        <v>6.97</v>
      </c>
      <c r="BS911" s="251">
        <v>-9999</v>
      </c>
      <c r="BT911" s="249">
        <v>-9999</v>
      </c>
      <c r="BU911" s="249">
        <v>-9999</v>
      </c>
      <c r="BV911" s="249">
        <v>-9999</v>
      </c>
      <c r="BW911" s="249"/>
      <c r="BX911" s="249">
        <v>-9999</v>
      </c>
      <c r="BY911" s="249">
        <v>-9999</v>
      </c>
      <c r="BZ911" s="249">
        <v>-9999</v>
      </c>
      <c r="CA911" s="331">
        <v>-9999</v>
      </c>
      <c r="CB911" s="439" t="s">
        <v>1407</v>
      </c>
      <c r="CC911" s="306">
        <v>1</v>
      </c>
      <c r="CD911" s="283" t="s">
        <v>817</v>
      </c>
      <c r="CE911" s="398">
        <v>10.654</v>
      </c>
      <c r="CF911" s="138">
        <v>-9999</v>
      </c>
      <c r="CG911" s="460">
        <v>5</v>
      </c>
      <c r="CH911" s="440" t="s">
        <v>1757</v>
      </c>
      <c r="CI911" s="9"/>
      <c r="CJ911" s="9"/>
      <c r="CK911" s="9"/>
      <c r="CL911" s="9"/>
      <c r="CM911" s="9"/>
      <c r="CN911" s="9"/>
      <c r="CO911" s="9"/>
      <c r="CP911" s="9"/>
      <c r="CQ911" s="9"/>
      <c r="CR911" s="9"/>
      <c r="CS911" s="9"/>
      <c r="CT911" s="9"/>
      <c r="CU911" s="9"/>
      <c r="CV911" s="9"/>
      <c r="CW911" s="9"/>
      <c r="CX911" s="9"/>
      <c r="CY911" s="9"/>
      <c r="CZ911" s="9"/>
      <c r="DA911" s="9"/>
      <c r="DB911" s="9"/>
      <c r="DC911" s="9"/>
      <c r="DD911" s="9"/>
      <c r="DE911" s="9"/>
      <c r="DF911" s="9"/>
      <c r="DG911" s="9"/>
      <c r="DH911" s="9"/>
      <c r="DI911" s="9"/>
      <c r="DJ911" s="9"/>
      <c r="DK911" s="9"/>
      <c r="DL911" s="9"/>
      <c r="DM911" s="9"/>
      <c r="DN911" s="9"/>
      <c r="DO911" s="9"/>
      <c r="DP911" s="9"/>
      <c r="DQ911" s="9"/>
      <c r="DR911" s="9"/>
      <c r="DS911" s="9"/>
      <c r="DT911" s="9"/>
      <c r="DU911" s="9"/>
      <c r="DV911" s="9"/>
      <c r="DW911" s="9"/>
      <c r="DX911" s="9"/>
      <c r="DY911" s="9"/>
      <c r="DZ911" s="9"/>
      <c r="EA911" s="9"/>
      <c r="EB911" s="9"/>
      <c r="EC911" s="9"/>
      <c r="ED911" s="9"/>
      <c r="EE911" s="9"/>
      <c r="EF911" s="9"/>
      <c r="EG911" s="9"/>
      <c r="EH911" s="9"/>
      <c r="EI911" s="9"/>
      <c r="EJ911" s="9"/>
      <c r="EK911" s="9"/>
      <c r="EL911" s="9"/>
      <c r="EM911" s="9"/>
      <c r="EN911" s="9"/>
      <c r="EO911" s="9"/>
      <c r="EP911" s="9"/>
      <c r="EQ911" s="9"/>
      <c r="ER911" s="9"/>
      <c r="ES911" s="9"/>
      <c r="ET911" s="9"/>
      <c r="EU911" s="9"/>
      <c r="EV911" s="9"/>
      <c r="EW911" s="9"/>
      <c r="EX911" s="9"/>
      <c r="EY911" s="9"/>
      <c r="EZ911" s="9"/>
      <c r="FA911" s="9"/>
      <c r="FB911" s="9"/>
      <c r="FC911" s="9"/>
      <c r="FD911" s="9"/>
      <c r="FE911" s="9"/>
      <c r="FF911" s="9"/>
      <c r="FG911" s="9"/>
      <c r="FH911" s="9"/>
      <c r="FI911" s="9"/>
      <c r="FJ911" s="9"/>
      <c r="FK911" s="9"/>
      <c r="FL911" s="9"/>
      <c r="FM911" s="9"/>
      <c r="FN911" s="9"/>
      <c r="FO911" s="9"/>
      <c r="FP911" s="9"/>
      <c r="FQ911" s="9"/>
      <c r="FR911" s="9"/>
      <c r="FS911" s="9"/>
      <c r="FT911" s="9"/>
      <c r="FU911" s="9"/>
      <c r="FV911" s="9"/>
      <c r="FW911" s="9"/>
      <c r="FX911" s="9"/>
      <c r="FY911" s="9"/>
      <c r="FZ911" s="9"/>
      <c r="GA911" s="9"/>
      <c r="GB911" s="9"/>
      <c r="GC911" s="9"/>
      <c r="GD911" s="9"/>
      <c r="GE911" s="9"/>
      <c r="GF911" s="9"/>
      <c r="GG911" s="9"/>
      <c r="GH911" s="9"/>
      <c r="GI911" s="9"/>
      <c r="GJ911" s="9"/>
      <c r="GK911" s="9"/>
      <c r="GL911" s="9"/>
      <c r="GM911" s="9"/>
      <c r="GN911" s="9"/>
      <c r="GO911" s="9"/>
      <c r="GP911" s="9"/>
      <c r="GQ911" s="9"/>
      <c r="GR911" s="9"/>
      <c r="GS911" s="9"/>
      <c r="GT911" s="9"/>
      <c r="GU911" s="9"/>
      <c r="GV911" s="9"/>
      <c r="GW911" s="9"/>
      <c r="GX911" s="9"/>
      <c r="GY911" s="9"/>
      <c r="GZ911" s="9"/>
      <c r="HA911" s="9"/>
      <c r="HB911" s="9"/>
      <c r="HC911" s="9"/>
      <c r="HD911" s="9"/>
      <c r="HE911" s="9"/>
      <c r="HF911" s="9"/>
      <c r="HG911" s="9"/>
      <c r="HH911" s="9"/>
      <c r="HI911" s="9"/>
      <c r="HJ911" s="9"/>
      <c r="HK911" s="9"/>
      <c r="HL911" s="9"/>
      <c r="HM911" s="9"/>
      <c r="HN911" s="9"/>
      <c r="HO911" s="9"/>
      <c r="HP911" s="9"/>
      <c r="HQ911" s="9"/>
      <c r="HR911" s="9"/>
      <c r="HS911" s="9"/>
      <c r="HT911" s="9"/>
      <c r="HU911" s="9"/>
      <c r="HV911" s="9"/>
      <c r="HW911" s="9"/>
      <c r="HX911" s="9"/>
      <c r="HY911" s="9"/>
      <c r="HZ911" s="9"/>
      <c r="IA911" s="9"/>
      <c r="IB911" s="9"/>
      <c r="IC911" s="9"/>
      <c r="ID911" s="9"/>
      <c r="IE911" s="9"/>
      <c r="IF911" s="9"/>
      <c r="IG911" s="9"/>
      <c r="IH911" s="9"/>
      <c r="II911" s="9"/>
      <c r="IJ911" s="9"/>
      <c r="IK911" s="9"/>
      <c r="IL911" s="9"/>
      <c r="IM911" s="9"/>
      <c r="IN911" s="9"/>
      <c r="IO911" s="9"/>
      <c r="IP911" s="9"/>
      <c r="IQ911" s="9"/>
      <c r="IR911" s="9"/>
      <c r="IS911" s="9"/>
      <c r="IT911" s="9"/>
      <c r="IU911" s="9"/>
      <c r="IV911" s="9"/>
      <c r="IW911" s="9"/>
      <c r="IX911" s="9"/>
      <c r="IY911" s="9"/>
      <c r="IZ911" s="9"/>
      <c r="JA911" s="9"/>
      <c r="JB911" s="9"/>
      <c r="JC911" s="9"/>
      <c r="JD911" s="9"/>
      <c r="JE911" s="9"/>
      <c r="JF911" s="9"/>
      <c r="JG911" s="9"/>
      <c r="JH911" s="9"/>
      <c r="JI911" s="9"/>
      <c r="JJ911" s="9"/>
      <c r="JK911" s="9"/>
      <c r="JL911" s="9"/>
      <c r="JM911" s="9"/>
      <c r="JN911" s="9"/>
      <c r="JO911" s="9"/>
      <c r="JP911" s="9"/>
      <c r="JQ911" s="9"/>
      <c r="JR911" s="9"/>
      <c r="JS911" s="9"/>
      <c r="JT911" s="9"/>
      <c r="JU911" s="9"/>
      <c r="JV911" s="9"/>
      <c r="JW911" s="9"/>
      <c r="JX911" s="9"/>
      <c r="JY911" s="9"/>
      <c r="JZ911" s="9"/>
      <c r="KA911" s="9"/>
      <c r="KB911" s="9"/>
      <c r="KC911" s="9"/>
      <c r="KD911" s="9"/>
      <c r="KE911" s="9"/>
      <c r="KF911" s="9"/>
      <c r="KG911" s="9"/>
      <c r="KH911" s="9"/>
      <c r="KI911" s="9"/>
      <c r="KJ911" s="9"/>
      <c r="KK911" s="9"/>
      <c r="KL911" s="9"/>
      <c r="KM911" s="9"/>
      <c r="KN911" s="9"/>
      <c r="KO911" s="9"/>
      <c r="KP911" s="9"/>
      <c r="KQ911" s="9"/>
      <c r="KR911" s="9"/>
      <c r="KS911" s="9"/>
      <c r="KT911" s="9"/>
      <c r="KU911" s="9"/>
      <c r="KV911" s="9"/>
      <c r="KW911" s="9"/>
      <c r="KX911" s="9"/>
      <c r="KY911" s="9"/>
      <c r="KZ911" s="9"/>
      <c r="LA911" s="9"/>
      <c r="LB911" s="9"/>
      <c r="LC911" s="9"/>
      <c r="LD911" s="9"/>
      <c r="LE911" s="9"/>
      <c r="LF911" s="9"/>
      <c r="LG911" s="9"/>
      <c r="LH911" s="9"/>
      <c r="LI911" s="9"/>
      <c r="LJ911" s="9"/>
      <c r="LK911" s="9"/>
      <c r="LL911" s="9"/>
      <c r="LM911" s="9"/>
      <c r="LN911" s="9"/>
      <c r="LO911" s="9"/>
      <c r="LP911" s="9"/>
      <c r="LQ911" s="9"/>
      <c r="LR911" s="9"/>
      <c r="LS911" s="9"/>
      <c r="LT911" s="9"/>
      <c r="LU911" s="9"/>
      <c r="LV911" s="9"/>
      <c r="LW911" s="9"/>
      <c r="LX911" s="9"/>
      <c r="LY911" s="9"/>
      <c r="LZ911" s="9"/>
      <c r="MA911" s="9"/>
      <c r="MB911" s="9"/>
      <c r="MC911" s="9"/>
      <c r="MD911" s="9"/>
      <c r="ME911" s="9"/>
      <c r="MF911" s="9"/>
      <c r="MG911" s="9"/>
      <c r="MH911" s="9"/>
      <c r="MI911" s="9"/>
      <c r="MJ911" s="9"/>
      <c r="MK911" s="9"/>
      <c r="ML911" s="9"/>
      <c r="MM911" s="9"/>
      <c r="MN911" s="9"/>
      <c r="MO911" s="9"/>
      <c r="MP911" s="9"/>
      <c r="MQ911" s="9"/>
      <c r="MR911" s="9"/>
      <c r="MS911" s="9"/>
      <c r="MT911" s="9"/>
      <c r="MU911" s="9"/>
      <c r="MV911" s="9"/>
      <c r="MW911" s="9"/>
      <c r="MX911" s="9"/>
      <c r="MY911" s="9"/>
      <c r="MZ911" s="9"/>
      <c r="NA911" s="9"/>
      <c r="NB911" s="9"/>
      <c r="NC911" s="9"/>
      <c r="ND911" s="9"/>
      <c r="NE911" s="9"/>
      <c r="NF911" s="9"/>
      <c r="NG911" s="9"/>
      <c r="NH911" s="9"/>
      <c r="NI911" s="9"/>
      <c r="NJ911" s="9"/>
      <c r="NK911" s="9"/>
      <c r="NL911" s="9"/>
      <c r="NM911" s="9"/>
      <c r="NN911" s="9"/>
      <c r="NO911" s="9"/>
      <c r="NP911" s="9"/>
      <c r="NQ911" s="9"/>
      <c r="NR911" s="9"/>
      <c r="NS911" s="9"/>
      <c r="NT911" s="9"/>
      <c r="NU911" s="9"/>
      <c r="NV911" s="9"/>
      <c r="NW911" s="9"/>
      <c r="NX911" s="9"/>
      <c r="NY911" s="9"/>
      <c r="NZ911" s="9"/>
      <c r="OA911" s="9"/>
      <c r="OB911" s="9"/>
      <c r="OC911" s="9"/>
      <c r="OD911" s="9"/>
      <c r="OE911" s="9"/>
      <c r="OF911" s="9"/>
      <c r="OG911" s="9"/>
      <c r="OH911" s="9"/>
      <c r="OI911" s="9"/>
      <c r="OJ911" s="9"/>
      <c r="OK911" s="9"/>
      <c r="OL911" s="9"/>
      <c r="OM911" s="9"/>
      <c r="ON911" s="9"/>
      <c r="OO911" s="9"/>
      <c r="OP911" s="9"/>
      <c r="OQ911" s="9"/>
      <c r="OR911" s="9"/>
      <c r="OS911" s="9"/>
      <c r="OT911" s="9"/>
      <c r="OU911" s="9"/>
      <c r="OV911" s="9"/>
      <c r="OW911" s="9"/>
      <c r="OX911" s="9"/>
      <c r="OY911" s="9"/>
      <c r="OZ911" s="9"/>
      <c r="PA911" s="9"/>
      <c r="PB911" s="9"/>
      <c r="PC911" s="9"/>
      <c r="PD911" s="9"/>
      <c r="PE911" s="9"/>
      <c r="PF911" s="9"/>
      <c r="PG911" s="9"/>
      <c r="PH911" s="9"/>
      <c r="PI911" s="9"/>
      <c r="PJ911" s="9"/>
      <c r="PK911" s="9"/>
      <c r="PL911" s="9"/>
      <c r="PM911" s="9"/>
      <c r="PN911" s="9"/>
      <c r="PO911" s="9"/>
      <c r="PP911" s="9"/>
      <c r="PQ911" s="9"/>
      <c r="PR911" s="9"/>
      <c r="PS911" s="9"/>
      <c r="PT911" s="9"/>
      <c r="PU911" s="9"/>
      <c r="PV911" s="9"/>
      <c r="PW911" s="9"/>
      <c r="PX911" s="9"/>
      <c r="PY911" s="9"/>
      <c r="PZ911" s="9"/>
      <c r="QA911" s="9"/>
      <c r="QB911" s="9"/>
      <c r="QC911" s="9"/>
      <c r="QD911" s="9"/>
      <c r="QE911" s="9"/>
      <c r="QF911" s="9"/>
      <c r="QG911" s="9"/>
      <c r="QH911" s="9"/>
      <c r="QI911" s="9"/>
      <c r="QJ911" s="9"/>
      <c r="QK911" s="9"/>
      <c r="QL911" s="9"/>
      <c r="QM911" s="9"/>
      <c r="QN911" s="9"/>
      <c r="QO911" s="9"/>
      <c r="QP911" s="9"/>
      <c r="QQ911" s="9"/>
      <c r="QR911" s="9"/>
      <c r="QS911" s="9"/>
      <c r="QT911" s="9"/>
      <c r="QU911" s="9"/>
      <c r="QV911" s="9"/>
      <c r="QW911" s="9"/>
      <c r="QX911" s="9"/>
      <c r="QY911" s="9"/>
      <c r="QZ911" s="9"/>
      <c r="RA911" s="9"/>
      <c r="RB911" s="9"/>
      <c r="RC911" s="9"/>
      <c r="RD911" s="9"/>
      <c r="RE911" s="9"/>
      <c r="RF911" s="9"/>
      <c r="RG911" s="9"/>
      <c r="RH911" s="9"/>
      <c r="RI911" s="9"/>
      <c r="RJ911" s="9"/>
      <c r="RK911" s="9"/>
      <c r="RL911" s="9"/>
      <c r="RM911" s="9"/>
      <c r="RN911" s="9"/>
      <c r="RO911" s="9"/>
      <c r="RP911" s="9"/>
      <c r="RQ911" s="9"/>
      <c r="RR911" s="9"/>
      <c r="RS911" s="9"/>
      <c r="RT911" s="9"/>
      <c r="RU911" s="9"/>
      <c r="RV911" s="9"/>
      <c r="RW911" s="9"/>
      <c r="RX911" s="9"/>
      <c r="RY911" s="9"/>
      <c r="RZ911" s="9"/>
      <c r="SA911" s="9"/>
      <c r="SB911" s="9"/>
      <c r="SC911" s="9"/>
      <c r="SD911" s="9"/>
      <c r="SE911" s="9"/>
      <c r="SF911" s="9"/>
      <c r="SG911" s="9"/>
      <c r="SH911" s="9"/>
      <c r="SI911" s="9"/>
      <c r="SJ911" s="9"/>
      <c r="SK911" s="9"/>
      <c r="SL911" s="9"/>
      <c r="SM911" s="9"/>
      <c r="SN911" s="9"/>
      <c r="SO911" s="9"/>
      <c r="SP911" s="9"/>
      <c r="SQ911" s="9"/>
      <c r="SR911" s="9"/>
      <c r="SS911" s="9"/>
      <c r="ST911" s="9"/>
      <c r="SU911" s="9"/>
      <c r="SV911" s="9"/>
      <c r="SW911" s="9"/>
      <c r="SX911" s="9"/>
      <c r="SY911" s="9"/>
      <c r="SZ911" s="9"/>
      <c r="TA911" s="9"/>
      <c r="TB911" s="9"/>
      <c r="TC911" s="9"/>
      <c r="TD911" s="9"/>
      <c r="TE911" s="9"/>
      <c r="TF911" s="9"/>
      <c r="TG911" s="9"/>
      <c r="TH911" s="9"/>
      <c r="TI911" s="9"/>
      <c r="TJ911" s="9"/>
      <c r="TK911" s="9"/>
      <c r="TL911" s="9"/>
      <c r="TM911" s="9"/>
      <c r="TN911" s="9"/>
      <c r="TO911" s="9"/>
      <c r="TP911" s="9"/>
      <c r="TQ911" s="9"/>
      <c r="TR911" s="9"/>
      <c r="TS911" s="9"/>
      <c r="TT911" s="9"/>
      <c r="TU911" s="9"/>
      <c r="TV911" s="9"/>
      <c r="TW911" s="9"/>
      <c r="TX911" s="9"/>
      <c r="TY911" s="9"/>
      <c r="TZ911" s="9"/>
      <c r="UA911" s="9"/>
      <c r="UB911" s="9"/>
      <c r="UC911" s="9"/>
      <c r="UD911" s="9"/>
      <c r="UE911" s="9"/>
      <c r="UF911" s="9"/>
      <c r="UG911" s="9"/>
      <c r="UH911" s="9"/>
      <c r="UI911" s="9"/>
      <c r="UJ911" s="9"/>
      <c r="UK911" s="9"/>
      <c r="UL911" s="9"/>
      <c r="UM911" s="9"/>
      <c r="UN911" s="9"/>
      <c r="UO911" s="9"/>
      <c r="UP911" s="9"/>
      <c r="UQ911" s="9"/>
      <c r="UR911" s="9"/>
      <c r="US911" s="9"/>
      <c r="UT911" s="9"/>
      <c r="UU911" s="9"/>
      <c r="UV911" s="9"/>
      <c r="UW911" s="9"/>
      <c r="UX911" s="9"/>
      <c r="UY911" s="9"/>
      <c r="UZ911" s="9"/>
      <c r="VA911" s="9"/>
      <c r="VB911" s="9"/>
      <c r="VC911" s="9"/>
      <c r="VD911" s="9"/>
      <c r="VE911" s="9"/>
      <c r="VF911" s="9"/>
      <c r="VG911" s="9"/>
      <c r="VH911" s="9"/>
      <c r="VI911" s="9"/>
      <c r="VJ911" s="9"/>
      <c r="VK911" s="9"/>
      <c r="VL911" s="9"/>
      <c r="VM911" s="9"/>
      <c r="VN911" s="9"/>
      <c r="VO911" s="9"/>
      <c r="VP911" s="9"/>
      <c r="VQ911" s="9"/>
      <c r="VR911" s="9"/>
      <c r="VS911" s="9"/>
      <c r="VT911" s="9"/>
      <c r="VU911" s="9"/>
      <c r="VV911" s="9"/>
      <c r="VW911" s="9"/>
      <c r="VX911" s="9"/>
      <c r="VY911" s="9"/>
      <c r="VZ911" s="9"/>
      <c r="WA911" s="9"/>
      <c r="WB911" s="9"/>
      <c r="WC911" s="9"/>
      <c r="WD911" s="9"/>
      <c r="WE911" s="9"/>
      <c r="WF911" s="9"/>
      <c r="WG911" s="9"/>
      <c r="WH911" s="9"/>
      <c r="WI911" s="9"/>
      <c r="WJ911" s="9"/>
      <c r="WK911" s="9"/>
      <c r="WL911" s="9"/>
      <c r="WM911" s="9"/>
      <c r="WN911" s="9"/>
      <c r="WO911" s="9"/>
      <c r="WP911" s="9"/>
      <c r="WQ911" s="9"/>
      <c r="WR911" s="9"/>
      <c r="WS911" s="9"/>
      <c r="WT911" s="9"/>
      <c r="WU911" s="9"/>
      <c r="WV911" s="9"/>
      <c r="WW911" s="9"/>
      <c r="WX911" s="9"/>
      <c r="WY911" s="9"/>
      <c r="WZ911" s="9"/>
      <c r="XA911" s="9"/>
      <c r="XB911" s="9"/>
      <c r="XC911" s="9"/>
      <c r="XD911" s="9"/>
      <c r="XE911" s="9"/>
      <c r="XF911" s="9"/>
      <c r="XG911" s="9"/>
      <c r="XH911" s="9"/>
      <c r="XI911" s="9"/>
      <c r="XJ911" s="9"/>
      <c r="XK911" s="9"/>
      <c r="XL911" s="9"/>
      <c r="XM911" s="9"/>
      <c r="XN911" s="9"/>
      <c r="XO911" s="9"/>
      <c r="XP911" s="9"/>
      <c r="XQ911" s="9"/>
      <c r="XR911" s="9"/>
      <c r="XS911" s="9"/>
      <c r="XT911" s="9"/>
      <c r="XU911" s="9"/>
      <c r="XV911" s="9"/>
      <c r="XW911" s="9"/>
      <c r="XX911" s="9"/>
      <c r="XY911" s="9"/>
      <c r="XZ911" s="9"/>
      <c r="YA911" s="9"/>
      <c r="YB911" s="9"/>
      <c r="YC911" s="9"/>
      <c r="YD911" s="9"/>
      <c r="YE911" s="9"/>
      <c r="YF911" s="9"/>
      <c r="YG911" s="9"/>
      <c r="YH911" s="9"/>
      <c r="YI911" s="9"/>
      <c r="YJ911" s="9"/>
      <c r="YK911" s="9"/>
      <c r="YL911" s="9"/>
      <c r="YM911" s="9"/>
      <c r="YN911" s="9"/>
      <c r="YO911" s="9"/>
      <c r="YP911" s="9"/>
      <c r="YQ911" s="9"/>
      <c r="YR911" s="9"/>
      <c r="YS911" s="9"/>
      <c r="YT911" s="9"/>
      <c r="YU911" s="9"/>
      <c r="YV911" s="9"/>
      <c r="YW911" s="9"/>
      <c r="YX911" s="9"/>
      <c r="YY911" s="9"/>
      <c r="YZ911" s="9"/>
      <c r="ZA911" s="9"/>
      <c r="ZB911" s="9"/>
      <c r="ZC911" s="9"/>
      <c r="ZD911" s="9"/>
      <c r="ZE911" s="9"/>
      <c r="ZF911" s="9"/>
      <c r="ZG911" s="9"/>
      <c r="ZH911" s="9"/>
      <c r="ZI911" s="9"/>
      <c r="ZJ911" s="9"/>
      <c r="ZK911" s="9"/>
      <c r="ZL911" s="9"/>
      <c r="ZM911" s="9"/>
      <c r="ZN911" s="9"/>
      <c r="ZO911" s="9"/>
      <c r="ZP911" s="9"/>
      <c r="ZQ911" s="9"/>
      <c r="ZR911" s="9"/>
      <c r="ZS911" s="9"/>
      <c r="ZT911" s="9"/>
      <c r="ZU911" s="9"/>
      <c r="ZV911" s="9"/>
      <c r="ZW911" s="9"/>
      <c r="ZX911" s="9"/>
      <c r="ZY911" s="9"/>
      <c r="ZZ911" s="9"/>
      <c r="AAA911" s="9"/>
      <c r="AAB911" s="9"/>
      <c r="AAC911" s="9"/>
      <c r="AAD911" s="9"/>
      <c r="AAE911" s="9"/>
      <c r="AAF911" s="9"/>
      <c r="AAG911" s="9"/>
      <c r="AAH911" s="9"/>
      <c r="AAI911" s="9"/>
      <c r="AAJ911" s="9"/>
      <c r="AAK911" s="9"/>
      <c r="AAL911" s="9"/>
      <c r="AAM911" s="9"/>
      <c r="AAN911" s="9"/>
      <c r="AAO911" s="9"/>
      <c r="AAP911" s="9"/>
      <c r="AAQ911" s="9"/>
      <c r="AAR911" s="9"/>
      <c r="AAS911" s="9"/>
      <c r="AAT911" s="9"/>
      <c r="AAU911" s="9"/>
      <c r="AAV911" s="9"/>
      <c r="AAW911" s="9"/>
      <c r="AAX911" s="9"/>
      <c r="AAY911" s="9"/>
      <c r="AAZ911" s="9"/>
      <c r="ABA911" s="9"/>
      <c r="ABB911" s="9"/>
      <c r="ABC911" s="9"/>
      <c r="ABD911" s="9"/>
      <c r="ABE911" s="9"/>
      <c r="ABF911" s="9"/>
      <c r="ABG911" s="9"/>
      <c r="ABH911" s="9"/>
      <c r="ABI911" s="9"/>
      <c r="ABJ911" s="9"/>
      <c r="ABK911" s="9"/>
      <c r="ABL911" s="9"/>
      <c r="ABM911" s="9"/>
      <c r="ABN911" s="9"/>
      <c r="ABO911" s="9"/>
      <c r="ABP911" s="9"/>
      <c r="ABQ911" s="9"/>
      <c r="ABR911" s="9"/>
      <c r="ABS911" s="9"/>
      <c r="ABT911" s="9"/>
      <c r="ABU911" s="9"/>
      <c r="ABV911" s="9"/>
      <c r="ABW911" s="9"/>
      <c r="ABX911" s="9"/>
      <c r="ABY911" s="9"/>
      <c r="ABZ911" s="9"/>
      <c r="ACA911" s="9"/>
      <c r="ACB911" s="9"/>
      <c r="ACC911" s="9"/>
      <c r="ACD911" s="9"/>
      <c r="ACE911" s="9"/>
      <c r="ACF911" s="9"/>
      <c r="ACG911" s="9"/>
      <c r="ACH911" s="9"/>
      <c r="ACI911" s="9"/>
      <c r="ACJ911" s="9"/>
      <c r="ACK911" s="9"/>
      <c r="ACL911" s="9"/>
      <c r="ACM911" s="9"/>
      <c r="ACN911" s="9"/>
      <c r="ACO911" s="9"/>
      <c r="ACP911" s="9"/>
      <c r="ACQ911" s="9"/>
      <c r="ACR911" s="9"/>
      <c r="ACS911" s="9"/>
      <c r="ACT911" s="9"/>
      <c r="ACU911" s="9"/>
      <c r="ACV911" s="9"/>
      <c r="ACW911" s="9"/>
      <c r="ACX911" s="9"/>
      <c r="ACY911" s="9"/>
      <c r="ACZ911" s="9"/>
      <c r="ADA911" s="9"/>
      <c r="ADB911" s="9"/>
      <c r="ADC911" s="9"/>
      <c r="ADD911" s="9"/>
      <c r="ADE911" s="9"/>
      <c r="ADF911" s="9"/>
      <c r="ADG911" s="9"/>
      <c r="ADH911" s="9"/>
      <c r="ADI911" s="9"/>
      <c r="ADJ911" s="9"/>
      <c r="ADK911" s="9"/>
      <c r="ADL911" s="9"/>
      <c r="ADM911" s="9"/>
      <c r="ADN911" s="9"/>
      <c r="ADO911" s="9"/>
      <c r="ADP911" s="9"/>
      <c r="ADQ911" s="9"/>
      <c r="ADR911" s="9"/>
      <c r="ADS911" s="9"/>
      <c r="ADT911" s="9"/>
      <c r="ADU911" s="9"/>
      <c r="ADV911" s="9"/>
      <c r="ADW911" s="9"/>
      <c r="ADX911" s="9"/>
      <c r="ADY911" s="9"/>
      <c r="ADZ911" s="9"/>
      <c r="AEA911" s="9"/>
      <c r="AEB911" s="9"/>
      <c r="AEC911" s="9"/>
      <c r="AED911" s="9"/>
      <c r="AEE911" s="9"/>
      <c r="AEF911" s="9"/>
      <c r="AEG911" s="9"/>
      <c r="AEH911" s="9"/>
      <c r="AEI911" s="9"/>
      <c r="AEJ911" s="9"/>
      <c r="AEK911" s="9"/>
      <c r="AEL911" s="9"/>
      <c r="AEM911" s="9"/>
      <c r="AEN911" s="9"/>
      <c r="AEO911" s="9"/>
      <c r="AEP911" s="9"/>
      <c r="AEQ911" s="9"/>
      <c r="AER911" s="9"/>
      <c r="AES911" s="9"/>
      <c r="AET911" s="9"/>
      <c r="AEU911" s="9"/>
      <c r="AEV911" s="9"/>
      <c r="AEW911" s="9"/>
      <c r="AEX911" s="9"/>
      <c r="AEY911" s="9"/>
      <c r="AEZ911" s="9"/>
      <c r="AFA911" s="9"/>
      <c r="AFB911" s="9"/>
      <c r="AFC911" s="9"/>
      <c r="AFD911" s="9"/>
      <c r="AFE911" s="9"/>
      <c r="AFF911" s="9"/>
      <c r="AFG911" s="9"/>
      <c r="AFH911" s="9"/>
      <c r="AFI911" s="9"/>
      <c r="AFJ911" s="9"/>
      <c r="AFK911" s="9"/>
      <c r="AFL911" s="9"/>
      <c r="AFM911" s="9"/>
      <c r="AFN911" s="9"/>
      <c r="AFO911" s="9"/>
      <c r="AFP911" s="9"/>
      <c r="AFQ911" s="9"/>
      <c r="AFR911" s="9"/>
      <c r="AFS911" s="9"/>
      <c r="AFT911" s="9"/>
      <c r="AFU911" s="9"/>
      <c r="AFV911" s="9"/>
      <c r="AFW911" s="9"/>
      <c r="AFX911" s="9"/>
      <c r="AFY911" s="9"/>
      <c r="AFZ911" s="9"/>
      <c r="AGA911" s="9"/>
      <c r="AGB911" s="9"/>
      <c r="AGC911" s="9"/>
      <c r="AGD911" s="9"/>
      <c r="AGE911" s="9"/>
      <c r="AGF911" s="9"/>
      <c r="AGG911" s="9"/>
      <c r="AGH911" s="9"/>
      <c r="AGI911" s="9"/>
      <c r="AGJ911" s="9"/>
      <c r="AGK911" s="9"/>
      <c r="AGL911" s="9"/>
      <c r="AGM911" s="9"/>
      <c r="AGN911" s="9"/>
      <c r="AGO911" s="9"/>
      <c r="AGP911" s="9"/>
      <c r="AGQ911" s="9"/>
      <c r="AGR911" s="9"/>
      <c r="AGS911" s="9"/>
      <c r="AGT911" s="9"/>
      <c r="AGU911" s="9"/>
      <c r="AGV911" s="9"/>
      <c r="AGW911" s="9"/>
      <c r="AGX911" s="9"/>
      <c r="AGY911" s="9"/>
      <c r="AGZ911" s="9"/>
      <c r="AHA911" s="9"/>
      <c r="AHB911" s="9"/>
      <c r="AHC911" s="9"/>
      <c r="AHD911" s="9"/>
      <c r="AHE911" s="9"/>
      <c r="AHF911" s="9"/>
      <c r="AHG911" s="9"/>
      <c r="AHH911" s="9"/>
      <c r="AHI911" s="9"/>
      <c r="AHJ911" s="9"/>
      <c r="AHK911" s="9"/>
      <c r="AHL911" s="9"/>
      <c r="AHM911" s="9"/>
      <c r="AHN911" s="9"/>
      <c r="AHO911" s="9"/>
      <c r="AHP911" s="9"/>
      <c r="AHQ911" s="9"/>
      <c r="AHR911" s="9"/>
      <c r="AHS911" s="9"/>
      <c r="AHT911" s="9"/>
      <c r="AHU911" s="9"/>
      <c r="AHV911" s="9"/>
      <c r="AHW911" s="9"/>
      <c r="AHX911" s="9"/>
      <c r="AHY911" s="9"/>
      <c r="AHZ911" s="9"/>
      <c r="AIA911" s="9"/>
      <c r="AIB911" s="9"/>
      <c r="AIC911" s="9"/>
      <c r="AID911" s="9"/>
      <c r="AIE911" s="9"/>
      <c r="AIF911" s="9"/>
      <c r="AIG911" s="9"/>
      <c r="AIH911" s="9"/>
      <c r="AII911" s="9"/>
      <c r="AIJ911" s="9"/>
      <c r="AIK911" s="9"/>
      <c r="AIL911" s="9"/>
      <c r="AIM911" s="9"/>
      <c r="AIN911" s="9"/>
      <c r="AIO911" s="9"/>
      <c r="AIP911" s="9"/>
      <c r="AIQ911" s="9"/>
      <c r="AIR911" s="9"/>
      <c r="AIS911" s="9"/>
      <c r="AIT911" s="9"/>
      <c r="AIU911" s="9"/>
      <c r="AIV911" s="9"/>
      <c r="AIW911" s="9"/>
      <c r="AIX911" s="9"/>
      <c r="AIY911" s="9"/>
      <c r="AIZ911" s="9"/>
      <c r="AJA911" s="9"/>
      <c r="AJB911" s="9"/>
      <c r="AJC911" s="9"/>
      <c r="AJD911" s="9"/>
      <c r="AJE911" s="9"/>
      <c r="AJF911" s="9"/>
      <c r="AJG911" s="9"/>
      <c r="AJH911" s="9"/>
      <c r="AJI911" s="9"/>
      <c r="AJJ911" s="9"/>
      <c r="AJK911" s="9"/>
      <c r="AJL911" s="9"/>
      <c r="AJM911" s="9"/>
      <c r="AJN911" s="9"/>
      <c r="AJO911" s="9"/>
      <c r="AJP911" s="9"/>
      <c r="AJQ911" s="9"/>
      <c r="AJR911" s="9"/>
      <c r="AJS911" s="9"/>
      <c r="AJT911" s="9"/>
      <c r="AJU911" s="9"/>
      <c r="AJV911" s="9"/>
      <c r="AJW911" s="9"/>
      <c r="AJX911" s="9"/>
      <c r="AJY911" s="9"/>
      <c r="AJZ911" s="9"/>
      <c r="AKA911" s="9"/>
      <c r="AKB911" s="9"/>
      <c r="AKC911" s="9"/>
      <c r="AKD911" s="9"/>
      <c r="AKE911" s="9"/>
      <c r="AKF911" s="9"/>
      <c r="AKG911" s="9"/>
      <c r="AKH911" s="9"/>
      <c r="AKI911" s="9"/>
      <c r="AKJ911" s="9"/>
      <c r="AKK911" s="9"/>
      <c r="AKL911" s="9"/>
      <c r="AKM911" s="9"/>
      <c r="AKN911" s="9"/>
      <c r="AKO911" s="9"/>
      <c r="AKP911" s="9"/>
      <c r="AKQ911" s="9"/>
      <c r="AKR911" s="9"/>
      <c r="AKS911" s="9"/>
      <c r="AKT911" s="9"/>
      <c r="AKU911" s="9"/>
      <c r="AKV911" s="9"/>
      <c r="AKW911" s="9"/>
      <c r="AKX911" s="9"/>
      <c r="AKY911" s="9"/>
      <c r="AKZ911" s="9"/>
      <c r="ALA911" s="9"/>
      <c r="ALB911" s="9"/>
      <c r="ALC911" s="9"/>
      <c r="ALD911" s="9"/>
      <c r="ALE911" s="9"/>
      <c r="ALF911" s="9"/>
      <c r="ALG911" s="9"/>
      <c r="ALH911" s="9"/>
      <c r="ALI911" s="9"/>
      <c r="ALJ911" s="9"/>
      <c r="ALK911" s="9"/>
      <c r="ALL911" s="9"/>
      <c r="ALM911" s="9"/>
      <c r="ALN911" s="9"/>
      <c r="ALO911" s="9"/>
      <c r="ALP911" s="9"/>
      <c r="ALQ911" s="9"/>
      <c r="ALR911" s="9"/>
      <c r="ALS911" s="9"/>
      <c r="ALT911" s="9"/>
      <c r="ALU911" s="9"/>
      <c r="ALV911" s="9"/>
      <c r="ALW911" s="9"/>
      <c r="ALX911" s="9"/>
      <c r="ALY911" s="9"/>
      <c r="ALZ911" s="9"/>
      <c r="AMA911" s="9"/>
      <c r="AMB911" s="9"/>
      <c r="AMC911" s="9"/>
      <c r="AMD911" s="9"/>
      <c r="AME911" s="9"/>
      <c r="AMF911" s="9"/>
      <c r="AMG911" s="9"/>
      <c r="AMH911" s="9"/>
      <c r="AMI911" s="9"/>
      <c r="AMJ911" s="9"/>
      <c r="AMK911" s="9"/>
      <c r="AML911" s="9"/>
      <c r="AMM911" s="9"/>
      <c r="AMN911" s="9"/>
      <c r="AMO911" s="9"/>
      <c r="AMP911" s="9"/>
      <c r="AMQ911" s="9"/>
      <c r="AMR911" s="9"/>
      <c r="AMS911" s="9"/>
      <c r="AMT911" s="9"/>
      <c r="AMU911" s="9"/>
      <c r="AMV911" s="9"/>
      <c r="AMW911" s="9"/>
      <c r="AMX911" s="9"/>
      <c r="AMY911" s="9"/>
      <c r="AMZ911" s="9"/>
      <c r="ANA911" s="9"/>
      <c r="ANB911" s="9"/>
      <c r="ANC911" s="9"/>
      <c r="AND911" s="9"/>
      <c r="ANE911" s="9"/>
      <c r="ANF911" s="9"/>
      <c r="ANG911" s="9"/>
      <c r="ANH911" s="9"/>
      <c r="ANI911" s="9"/>
      <c r="ANJ911" s="9"/>
      <c r="ANK911" s="9"/>
      <c r="ANL911" s="9"/>
      <c r="ANM911" s="9"/>
      <c r="ANN911" s="9"/>
      <c r="ANO911" s="9"/>
      <c r="ANP911" s="9"/>
      <c r="ANQ911" s="9"/>
      <c r="ANR911" s="9"/>
      <c r="ANS911" s="9"/>
      <c r="ANT911" s="9"/>
      <c r="ANU911" s="9"/>
      <c r="ANV911" s="9"/>
      <c r="ANW911" s="9"/>
      <c r="ANX911" s="9"/>
      <c r="ANY911" s="9"/>
      <c r="ANZ911" s="9"/>
      <c r="AOA911" s="9"/>
      <c r="AOB911" s="9"/>
      <c r="AOC911" s="9"/>
      <c r="AOD911" s="9"/>
      <c r="AOE911" s="9"/>
      <c r="AOF911" s="9"/>
      <c r="AOG911" s="9"/>
      <c r="AOH911" s="9"/>
      <c r="AOI911" s="9"/>
      <c r="AOJ911" s="9"/>
      <c r="AOK911" s="9"/>
      <c r="AOL911" s="9"/>
      <c r="AOM911" s="9"/>
      <c r="AON911" s="9"/>
      <c r="AOO911" s="9"/>
      <c r="AOP911" s="9"/>
      <c r="AOQ911" s="9"/>
      <c r="AOR911" s="9"/>
      <c r="AOS911" s="9"/>
      <c r="AOT911" s="9"/>
      <c r="AOU911" s="9"/>
      <c r="AOV911" s="9"/>
      <c r="AOW911" s="9"/>
      <c r="AOX911" s="9"/>
      <c r="AOY911" s="9"/>
      <c r="AOZ911" s="9"/>
      <c r="APA911" s="9"/>
      <c r="APB911" s="9"/>
      <c r="APC911" s="9"/>
      <c r="APD911" s="9"/>
      <c r="APE911" s="9"/>
      <c r="APF911" s="9"/>
      <c r="APG911" s="9"/>
      <c r="APH911" s="9"/>
      <c r="API911" s="9"/>
      <c r="APJ911" s="9"/>
      <c r="APK911" s="9"/>
      <c r="APL911" s="9"/>
      <c r="APM911" s="9"/>
      <c r="APN911" s="9"/>
      <c r="APO911" s="9"/>
      <c r="APP911" s="9"/>
      <c r="APQ911" s="9"/>
      <c r="APR911" s="9"/>
      <c r="APS911" s="9"/>
      <c r="APT911" s="9"/>
      <c r="APU911" s="9"/>
      <c r="APV911" s="9"/>
      <c r="APW911" s="9"/>
      <c r="APX911" s="9"/>
      <c r="APY911" s="9"/>
      <c r="APZ911" s="9"/>
      <c r="AQA911" s="9"/>
      <c r="AQB911" s="9"/>
      <c r="AQC911" s="9"/>
      <c r="AQD911" s="9"/>
      <c r="AQE911" s="9"/>
      <c r="AQF911" s="9"/>
      <c r="AQG911" s="9"/>
      <c r="AQH911" s="9"/>
      <c r="AQI911" s="9"/>
      <c r="AQJ911" s="9"/>
      <c r="AQK911" s="9"/>
      <c r="AQL911" s="9"/>
      <c r="AQM911" s="9"/>
      <c r="AQN911" s="9"/>
      <c r="AQO911" s="9"/>
      <c r="AQP911" s="9"/>
      <c r="AQQ911" s="9"/>
      <c r="AQR911" s="9"/>
      <c r="AQS911" s="9"/>
      <c r="AQT911" s="9"/>
      <c r="AQU911" s="9"/>
      <c r="AQV911" s="9"/>
      <c r="AQW911" s="9"/>
      <c r="AQX911" s="9"/>
      <c r="AQY911" s="9"/>
      <c r="AQZ911" s="9"/>
      <c r="ARA911" s="9"/>
      <c r="ARB911" s="9"/>
      <c r="ARC911" s="9"/>
      <c r="ARD911" s="9"/>
      <c r="ARE911" s="9"/>
      <c r="ARF911" s="9"/>
      <c r="ARG911" s="9"/>
      <c r="ARH911" s="9"/>
      <c r="ARI911" s="9"/>
      <c r="ARJ911" s="9"/>
      <c r="ARK911" s="9"/>
      <c r="ARL911" s="9"/>
      <c r="ARM911" s="9"/>
      <c r="ARN911" s="9"/>
      <c r="ARO911" s="9"/>
      <c r="ARP911" s="9"/>
      <c r="ARQ911" s="9"/>
      <c r="ARR911" s="9"/>
      <c r="ARS911" s="9"/>
      <c r="ART911" s="9"/>
      <c r="ARU911" s="9"/>
      <c r="ARV911" s="9"/>
      <c r="ARW911" s="9"/>
      <c r="ARX911" s="9"/>
      <c r="ARY911" s="9"/>
      <c r="ARZ911" s="9"/>
      <c r="ASA911" s="9"/>
      <c r="ASB911" s="9"/>
      <c r="ASC911" s="9"/>
      <c r="ASD911" s="9"/>
      <c r="ASE911" s="9"/>
      <c r="ASF911" s="9"/>
      <c r="ASG911" s="9"/>
      <c r="ASH911" s="9"/>
      <c r="ASI911" s="9"/>
      <c r="ASJ911" s="9"/>
      <c r="ASK911" s="9"/>
      <c r="ASL911" s="9"/>
      <c r="ASM911" s="9"/>
      <c r="ASN911" s="9"/>
      <c r="ASO911" s="9"/>
      <c r="ASP911" s="9"/>
      <c r="ASQ911" s="9"/>
      <c r="ASR911" s="9"/>
      <c r="ASS911" s="9"/>
      <c r="AST911" s="9"/>
      <c r="ASU911" s="9"/>
      <c r="ASV911" s="9"/>
      <c r="ASW911" s="9"/>
      <c r="ASX911" s="9"/>
      <c r="ASY911" s="9"/>
      <c r="ASZ911" s="9"/>
      <c r="ATA911" s="9"/>
      <c r="ATB911" s="9"/>
      <c r="ATC911" s="9"/>
      <c r="ATD911" s="9"/>
      <c r="ATE911" s="9"/>
      <c r="ATF911" s="9"/>
      <c r="ATG911" s="9"/>
      <c r="ATH911" s="9"/>
      <c r="ATI911" s="9"/>
      <c r="ATJ911" s="9"/>
      <c r="ATK911" s="9"/>
      <c r="ATL911" s="9"/>
      <c r="ATM911" s="9"/>
      <c r="ATN911" s="9"/>
      <c r="ATO911" s="9"/>
      <c r="ATP911" s="9"/>
      <c r="ATQ911" s="9"/>
      <c r="ATR911" s="9"/>
      <c r="ATS911" s="9"/>
      <c r="ATT911" s="9"/>
      <c r="ATU911" s="9"/>
      <c r="ATV911" s="9"/>
      <c r="ATW911" s="9"/>
      <c r="ATX911" s="9"/>
      <c r="ATY911" s="9"/>
      <c r="ATZ911" s="9"/>
      <c r="AUA911" s="9"/>
      <c r="AUB911" s="9"/>
      <c r="AUC911" s="9"/>
      <c r="AUD911" s="9"/>
      <c r="AUE911" s="9"/>
      <c r="AUF911" s="9"/>
      <c r="AUG911" s="9"/>
      <c r="AUH911" s="9"/>
      <c r="AUI911" s="9"/>
      <c r="AUJ911" s="9"/>
      <c r="AUK911" s="9"/>
      <c r="AUL911" s="9"/>
      <c r="AUM911" s="9"/>
      <c r="AUN911" s="9"/>
      <c r="AUO911" s="9"/>
      <c r="AUP911" s="9"/>
      <c r="AUQ911" s="9"/>
      <c r="AUR911" s="9"/>
      <c r="AUS911" s="9"/>
      <c r="AUT911" s="9"/>
      <c r="AUU911" s="9"/>
      <c r="AUV911" s="9"/>
      <c r="AUW911" s="9"/>
      <c r="AUX911" s="9"/>
      <c r="AUY911" s="9"/>
      <c r="AUZ911" s="9"/>
      <c r="AVA911" s="9"/>
      <c r="AVB911" s="9"/>
      <c r="AVC911" s="9"/>
      <c r="AVD911" s="9"/>
      <c r="AVE911" s="9"/>
      <c r="AVF911" s="9"/>
      <c r="AVG911" s="9"/>
      <c r="AVH911" s="9"/>
      <c r="AVI911" s="9"/>
      <c r="AVJ911" s="9"/>
      <c r="AVK911" s="9"/>
      <c r="AVL911" s="9"/>
      <c r="AVM911" s="9"/>
      <c r="AVN911" s="9"/>
      <c r="AVO911" s="9"/>
      <c r="AVP911" s="9"/>
      <c r="AVQ911" s="9"/>
      <c r="AVR911" s="9"/>
      <c r="AVS911" s="9"/>
      <c r="AVT911" s="9"/>
      <c r="AVU911" s="9"/>
      <c r="AVV911" s="9"/>
      <c r="AVW911" s="9"/>
      <c r="AVX911" s="9"/>
      <c r="AVY911" s="9"/>
      <c r="AVZ911" s="9"/>
      <c r="AWA911" s="9"/>
      <c r="AWB911" s="9"/>
      <c r="AWC911" s="9"/>
      <c r="AWD911" s="9"/>
      <c r="AWE911" s="9"/>
      <c r="AWF911" s="9"/>
      <c r="AWG911" s="9"/>
      <c r="AWH911" s="9"/>
      <c r="AWI911" s="9"/>
      <c r="AWJ911" s="9"/>
      <c r="AWK911" s="9"/>
      <c r="AWL911" s="9"/>
      <c r="AWM911" s="9"/>
      <c r="AWN911" s="9"/>
      <c r="AWO911" s="9"/>
      <c r="AWP911" s="9"/>
      <c r="AWQ911" s="9"/>
      <c r="AWR911" s="9"/>
      <c r="AWS911" s="9"/>
      <c r="AWT911" s="9"/>
      <c r="AWU911" s="9"/>
      <c r="AWV911" s="9"/>
      <c r="AWW911" s="9"/>
      <c r="AWX911" s="9"/>
      <c r="AWY911" s="9"/>
      <c r="AWZ911" s="9"/>
      <c r="AXA911" s="9"/>
      <c r="AXB911" s="9"/>
      <c r="AXC911" s="9"/>
      <c r="AXD911" s="9"/>
      <c r="AXE911" s="9"/>
      <c r="AXF911" s="9"/>
      <c r="AXG911" s="9"/>
      <c r="AXH911" s="9"/>
      <c r="AXI911" s="9"/>
      <c r="AXJ911" s="9"/>
      <c r="AXK911" s="9"/>
      <c r="AXL911" s="9"/>
      <c r="AXM911" s="9"/>
      <c r="AXN911" s="9"/>
      <c r="AXO911" s="9"/>
      <c r="AXP911" s="9"/>
      <c r="AXQ911" s="9"/>
      <c r="AXR911" s="9"/>
      <c r="AXS911" s="9"/>
      <c r="AXT911" s="9"/>
      <c r="AXU911" s="9"/>
      <c r="AXV911" s="9"/>
      <c r="AXW911" s="9"/>
      <c r="AXX911" s="9"/>
      <c r="AXY911" s="9"/>
      <c r="AXZ911" s="9"/>
      <c r="AYA911" s="9"/>
      <c r="AYB911" s="9"/>
      <c r="AYC911" s="9"/>
      <c r="AYD911" s="9"/>
      <c r="AYE911" s="9"/>
      <c r="AYF911" s="9"/>
      <c r="AYG911" s="9"/>
      <c r="AYH911" s="9"/>
      <c r="AYI911" s="9"/>
      <c r="AYJ911" s="9"/>
      <c r="AYK911" s="9"/>
      <c r="AYL911" s="9"/>
      <c r="AYM911" s="9"/>
      <c r="AYN911" s="9"/>
      <c r="AYO911" s="9"/>
      <c r="AYP911" s="9"/>
      <c r="AYQ911" s="9"/>
      <c r="AYR911" s="9"/>
      <c r="AYS911" s="9"/>
      <c r="AYT911" s="9"/>
      <c r="AYU911" s="9"/>
      <c r="AYV911" s="9"/>
      <c r="AYW911" s="9"/>
      <c r="AYX911" s="9"/>
      <c r="AYY911" s="9"/>
      <c r="AYZ911" s="9"/>
      <c r="AZA911" s="9"/>
      <c r="AZB911" s="9"/>
      <c r="AZC911" s="9"/>
      <c r="AZD911" s="9"/>
      <c r="AZE911" s="9"/>
      <c r="AZF911" s="9"/>
      <c r="AZG911" s="9"/>
      <c r="AZH911" s="9"/>
      <c r="AZI911" s="9"/>
      <c r="AZJ911" s="9"/>
      <c r="AZK911" s="9"/>
      <c r="AZL911" s="9"/>
      <c r="AZM911" s="9"/>
      <c r="AZN911" s="9"/>
      <c r="AZO911" s="9"/>
      <c r="AZP911" s="9"/>
      <c r="AZQ911" s="9"/>
      <c r="AZR911" s="9"/>
      <c r="AZS911" s="9"/>
      <c r="AZT911" s="9"/>
      <c r="AZU911" s="9"/>
      <c r="AZV911" s="9"/>
      <c r="AZW911" s="9"/>
      <c r="AZX911" s="9"/>
      <c r="AZY911" s="9"/>
      <c r="AZZ911" s="9"/>
      <c r="BAA911" s="9"/>
      <c r="BAB911" s="9"/>
      <c r="BAC911" s="9"/>
      <c r="BAD911" s="9"/>
      <c r="BAE911" s="9"/>
      <c r="BAF911" s="9"/>
      <c r="BAG911" s="9"/>
      <c r="BAH911" s="9"/>
      <c r="BAI911" s="9"/>
      <c r="BAJ911" s="9"/>
      <c r="BAK911" s="9"/>
      <c r="BAL911" s="9"/>
      <c r="BAM911" s="9"/>
      <c r="BAN911" s="9"/>
      <c r="BAO911" s="9"/>
      <c r="BAP911" s="9"/>
      <c r="BAQ911" s="9"/>
      <c r="BAR911" s="9"/>
      <c r="BAS911" s="9"/>
      <c r="BAT911" s="9"/>
      <c r="BAU911" s="9"/>
      <c r="BAV911" s="9"/>
      <c r="BAW911" s="9"/>
      <c r="BAX911" s="9"/>
      <c r="BAY911" s="9"/>
      <c r="BAZ911" s="9"/>
      <c r="BBA911" s="9"/>
      <c r="BBB911" s="9"/>
      <c r="BBC911" s="9"/>
      <c r="BBD911" s="9"/>
      <c r="BBE911" s="9"/>
      <c r="BBF911" s="9"/>
      <c r="BBG911" s="9"/>
      <c r="BBH911" s="9"/>
      <c r="BBI911" s="9"/>
      <c r="BBJ911" s="9"/>
      <c r="BBK911" s="9"/>
      <c r="BBL911" s="9"/>
      <c r="BBM911" s="9"/>
      <c r="BBN911" s="9"/>
      <c r="BBO911" s="9"/>
      <c r="BBP911" s="9"/>
      <c r="BBQ911" s="9"/>
      <c r="BBR911" s="9"/>
      <c r="BBS911" s="9"/>
      <c r="BBT911" s="9"/>
      <c r="BBU911" s="9"/>
      <c r="BBV911" s="9"/>
      <c r="BBW911" s="9"/>
      <c r="BBX911" s="9"/>
      <c r="BBY911" s="9"/>
      <c r="BBZ911" s="9"/>
      <c r="BCA911" s="9"/>
      <c r="BCB911" s="9"/>
      <c r="BCC911" s="9"/>
      <c r="BCD911" s="9"/>
      <c r="BCE911" s="9"/>
      <c r="BCF911" s="9"/>
      <c r="BCG911" s="9"/>
      <c r="BCH911" s="9"/>
      <c r="BCI911" s="9"/>
      <c r="BCJ911" s="9"/>
      <c r="BCK911" s="9"/>
      <c r="BCL911" s="9"/>
      <c r="BCM911" s="9"/>
      <c r="BCN911" s="9"/>
      <c r="BCO911" s="9"/>
      <c r="BCP911" s="9"/>
      <c r="BCQ911" s="9"/>
      <c r="BCR911" s="9"/>
      <c r="BCS911" s="9"/>
      <c r="BCT911" s="9"/>
      <c r="BCU911" s="9"/>
      <c r="BCV911" s="9"/>
      <c r="BCW911" s="9"/>
      <c r="BCX911" s="9"/>
      <c r="BCY911" s="9"/>
      <c r="BCZ911" s="9"/>
      <c r="BDA911" s="9"/>
      <c r="BDB911" s="9"/>
      <c r="BDC911" s="9"/>
      <c r="BDD911" s="9"/>
      <c r="BDE911" s="9"/>
      <c r="BDF911" s="9"/>
      <c r="BDG911" s="9"/>
      <c r="BDH911" s="9"/>
      <c r="BDI911" s="9"/>
      <c r="BDJ911" s="9"/>
      <c r="BDK911" s="9"/>
      <c r="BDL911" s="9"/>
      <c r="BDM911" s="9"/>
      <c r="BDN911" s="9"/>
      <c r="BDO911" s="9"/>
      <c r="BDP911" s="9"/>
      <c r="BDQ911" s="9"/>
      <c r="BDR911" s="9"/>
      <c r="BDS911" s="9"/>
      <c r="BDT911" s="9"/>
      <c r="BDU911" s="9"/>
      <c r="BDV911" s="9"/>
      <c r="BDW911" s="9"/>
      <c r="BDX911" s="9"/>
      <c r="BDY911" s="9"/>
      <c r="BDZ911" s="9"/>
      <c r="BEA911" s="9"/>
      <c r="BEB911" s="9"/>
      <c r="BEC911" s="9"/>
      <c r="BED911" s="9"/>
      <c r="BEE911" s="9"/>
      <c r="BEF911" s="9"/>
      <c r="BEG911" s="9"/>
      <c r="BEH911" s="9"/>
      <c r="BEI911" s="9"/>
      <c r="BEJ911" s="9"/>
      <c r="BEK911" s="9"/>
      <c r="BEL911" s="9"/>
      <c r="BEM911" s="9"/>
      <c r="BEN911" s="9"/>
      <c r="BEO911" s="9"/>
      <c r="BEP911" s="9"/>
      <c r="BEQ911" s="9"/>
      <c r="BER911" s="9"/>
      <c r="BES911" s="9"/>
      <c r="BET911" s="9"/>
      <c r="BEU911" s="9"/>
      <c r="BEV911" s="9"/>
      <c r="BEW911" s="9"/>
      <c r="BEX911" s="9"/>
      <c r="BEY911" s="9"/>
      <c r="BEZ911" s="9"/>
      <c r="BFA911" s="9"/>
      <c r="BFB911" s="9"/>
      <c r="BFC911" s="9"/>
      <c r="BFD911" s="9"/>
      <c r="BFE911" s="9"/>
      <c r="BFF911" s="9"/>
      <c r="BFG911" s="9"/>
      <c r="BFH911" s="9"/>
      <c r="BFI911" s="9"/>
      <c r="BFJ911" s="9"/>
      <c r="BFK911" s="9"/>
      <c r="BFL911" s="9"/>
      <c r="BFM911" s="9"/>
      <c r="BFN911" s="9"/>
      <c r="BFO911" s="9"/>
      <c r="BFP911" s="9"/>
      <c r="BFQ911" s="9"/>
      <c r="BFR911" s="9"/>
      <c r="BFS911" s="9"/>
      <c r="BFT911" s="9"/>
      <c r="BFU911" s="9"/>
      <c r="BFV911" s="9"/>
      <c r="BFW911" s="9"/>
      <c r="BFX911" s="9"/>
      <c r="BFY911" s="9"/>
      <c r="BFZ911" s="9"/>
      <c r="BGA911" s="9"/>
      <c r="BGB911" s="9"/>
      <c r="BGC911" s="9"/>
      <c r="BGD911" s="9"/>
      <c r="BGE911" s="9"/>
      <c r="BGF911" s="9"/>
      <c r="BGG911" s="9"/>
      <c r="BGH911" s="9"/>
      <c r="BGI911" s="9"/>
      <c r="BGJ911" s="9"/>
      <c r="BGK911" s="9"/>
      <c r="BGL911" s="9"/>
      <c r="BGM911" s="9"/>
      <c r="BGN911" s="9"/>
      <c r="BGO911" s="9"/>
      <c r="BGP911" s="9"/>
      <c r="BGQ911" s="9"/>
      <c r="BGR911" s="9"/>
      <c r="BGS911" s="9"/>
      <c r="BGT911" s="9"/>
      <c r="BGU911" s="9"/>
      <c r="BGV911" s="9"/>
      <c r="BGW911" s="9"/>
      <c r="BGX911" s="9"/>
      <c r="BGY911" s="9"/>
      <c r="BGZ911" s="9"/>
      <c r="BHA911" s="9"/>
      <c r="BHB911" s="9"/>
      <c r="BHC911" s="9"/>
      <c r="BHD911" s="9"/>
      <c r="BHE911" s="9"/>
      <c r="BHF911" s="9"/>
      <c r="BHG911" s="9"/>
      <c r="BHH911" s="9"/>
      <c r="BHI911" s="9"/>
      <c r="BHJ911" s="9"/>
      <c r="BHK911" s="9"/>
      <c r="BHL911" s="9"/>
      <c r="BHM911" s="9"/>
      <c r="BHN911" s="9"/>
      <c r="BHO911" s="9"/>
      <c r="BHP911" s="9"/>
      <c r="BHQ911" s="9"/>
      <c r="BHR911" s="9"/>
      <c r="BHS911" s="9"/>
      <c r="BHT911" s="9"/>
      <c r="BHU911" s="9"/>
      <c r="BHV911" s="9"/>
      <c r="BHW911" s="9"/>
      <c r="BHX911" s="9"/>
      <c r="BHY911" s="9"/>
      <c r="BHZ911" s="9"/>
      <c r="BIA911" s="9"/>
      <c r="BIB911" s="9"/>
      <c r="BIC911" s="9"/>
      <c r="BID911" s="9"/>
      <c r="BIE911" s="9"/>
      <c r="BIF911" s="9"/>
      <c r="BIG911" s="9"/>
      <c r="BIH911" s="9"/>
      <c r="BII911" s="9"/>
      <c r="BIJ911" s="9"/>
      <c r="BIK911" s="9"/>
      <c r="BIL911" s="9"/>
      <c r="BIM911" s="9"/>
      <c r="BIN911" s="9"/>
      <c r="BIO911" s="9"/>
      <c r="BIP911" s="9"/>
      <c r="BIQ911" s="9"/>
      <c r="BIR911" s="9"/>
      <c r="BIS911" s="9"/>
      <c r="BIT911" s="9"/>
      <c r="BIU911" s="9"/>
      <c r="BIV911" s="9"/>
      <c r="BIW911" s="9"/>
      <c r="BIX911" s="9"/>
      <c r="BIY911" s="9"/>
      <c r="BIZ911" s="9"/>
      <c r="BJA911" s="9"/>
      <c r="BJB911" s="9"/>
      <c r="BJC911" s="9"/>
      <c r="BJD911" s="9"/>
      <c r="BJE911" s="9"/>
      <c r="BJF911" s="9"/>
      <c r="BJG911" s="9"/>
      <c r="BJH911" s="9"/>
      <c r="BJI911" s="9"/>
      <c r="BJJ911" s="9"/>
      <c r="BJK911" s="9"/>
      <c r="BJL911" s="9"/>
      <c r="BJM911" s="9"/>
      <c r="BJN911" s="9"/>
      <c r="BJO911" s="9"/>
      <c r="BJP911" s="9"/>
      <c r="BJQ911" s="9"/>
      <c r="BJR911" s="9"/>
      <c r="BJS911" s="9"/>
      <c r="BJT911" s="9"/>
      <c r="BJU911" s="9"/>
      <c r="BJV911" s="9"/>
      <c r="BJW911" s="9"/>
      <c r="BJX911" s="9"/>
      <c r="BJY911" s="9"/>
      <c r="BJZ911" s="9"/>
      <c r="BKA911" s="9"/>
      <c r="BKB911" s="9"/>
      <c r="BKC911" s="9"/>
      <c r="BKD911" s="9"/>
      <c r="BKE911" s="9"/>
      <c r="BKF911" s="9"/>
      <c r="BKG911" s="9"/>
      <c r="BKH911" s="9"/>
      <c r="BKI911" s="9"/>
      <c r="BKJ911" s="9"/>
      <c r="BKK911" s="9"/>
      <c r="BKL911" s="9"/>
      <c r="BKM911" s="9"/>
      <c r="BKN911" s="9"/>
      <c r="BKO911" s="9"/>
      <c r="BKP911" s="9"/>
      <c r="BKQ911" s="9"/>
      <c r="BKR911" s="9"/>
      <c r="BKS911" s="9"/>
      <c r="BKT911" s="9"/>
      <c r="BKU911" s="9"/>
      <c r="BKV911" s="9"/>
      <c r="BKW911" s="9"/>
      <c r="BKX911" s="9"/>
      <c r="BKY911" s="9"/>
      <c r="BKZ911" s="9"/>
      <c r="BLA911" s="9"/>
      <c r="BLB911" s="9"/>
      <c r="BLC911" s="9"/>
      <c r="BLD911" s="9"/>
      <c r="BLE911" s="9"/>
      <c r="BLF911" s="9"/>
      <c r="BLG911" s="9"/>
      <c r="BLH911" s="9"/>
      <c r="BLI911" s="9"/>
      <c r="BLJ911" s="9"/>
      <c r="BLK911" s="9"/>
      <c r="BLL911" s="9"/>
      <c r="BLM911" s="9"/>
      <c r="BLN911" s="9"/>
      <c r="BLO911" s="9"/>
      <c r="BLP911" s="9"/>
      <c r="BLQ911" s="9"/>
      <c r="BLR911" s="9"/>
      <c r="BLS911" s="9"/>
      <c r="BLT911" s="9"/>
      <c r="BLU911" s="9"/>
      <c r="BLV911" s="9"/>
      <c r="BLW911" s="9"/>
      <c r="BLX911" s="9"/>
      <c r="BLY911" s="9"/>
      <c r="BLZ911" s="9"/>
      <c r="BMA911" s="9"/>
      <c r="BMB911" s="9"/>
      <c r="BMC911" s="9"/>
      <c r="BMD911" s="9"/>
      <c r="BME911" s="9"/>
      <c r="BMF911" s="9"/>
      <c r="BMG911" s="9"/>
      <c r="BMH911" s="9"/>
      <c r="BMI911" s="9"/>
      <c r="BMJ911" s="9"/>
      <c r="BMK911" s="9"/>
      <c r="BML911" s="9"/>
      <c r="BMM911" s="9"/>
      <c r="BMN911" s="9"/>
      <c r="BMO911" s="9"/>
      <c r="BMP911" s="9"/>
      <c r="BMQ911" s="9"/>
      <c r="BMR911" s="9"/>
      <c r="BMS911" s="9"/>
      <c r="BMT911" s="9"/>
      <c r="BMU911" s="9"/>
      <c r="BMV911" s="9"/>
      <c r="BMW911" s="9"/>
      <c r="BMX911" s="9"/>
      <c r="BMY911" s="9"/>
      <c r="BMZ911" s="9"/>
      <c r="BNA911" s="9"/>
      <c r="BNB911" s="9"/>
      <c r="BNC911" s="9"/>
      <c r="BND911" s="9"/>
      <c r="BNE911" s="9"/>
      <c r="BNF911" s="9"/>
      <c r="BNG911" s="9"/>
      <c r="BNH911" s="9"/>
      <c r="BNI911" s="9"/>
      <c r="BNJ911" s="9"/>
      <c r="BNK911" s="9"/>
      <c r="BNL911" s="9"/>
      <c r="BNM911" s="9"/>
      <c r="BNN911" s="9"/>
      <c r="BNO911" s="9"/>
      <c r="BNP911" s="9"/>
      <c r="BNQ911" s="9"/>
      <c r="BNR911" s="9"/>
      <c r="BNS911" s="9"/>
      <c r="BNT911" s="9"/>
      <c r="BNU911" s="9"/>
      <c r="BNV911" s="9"/>
      <c r="BNW911" s="9"/>
      <c r="BNX911" s="9"/>
      <c r="BNY911" s="9"/>
      <c r="BNZ911" s="9"/>
      <c r="BOA911" s="9"/>
      <c r="BOB911" s="9"/>
      <c r="BOC911" s="9"/>
      <c r="BOD911" s="9"/>
      <c r="BOE911" s="9"/>
      <c r="BOF911" s="9"/>
      <c r="BOG911" s="9"/>
      <c r="BOH911" s="9"/>
      <c r="BOI911" s="9"/>
      <c r="BOJ911" s="9"/>
      <c r="BOK911" s="9"/>
      <c r="BOL911" s="9"/>
      <c r="BOM911" s="9"/>
      <c r="BON911" s="9"/>
      <c r="BOO911" s="9"/>
      <c r="BOP911" s="9"/>
      <c r="BOQ911" s="9"/>
      <c r="BOR911" s="9"/>
      <c r="BOS911" s="9"/>
      <c r="BOT911" s="9"/>
      <c r="BOU911" s="9"/>
      <c r="BOV911" s="9"/>
      <c r="BOW911" s="9"/>
      <c r="BOX911" s="9"/>
      <c r="BOY911" s="9"/>
      <c r="BOZ911" s="9"/>
      <c r="BPA911" s="9"/>
      <c r="BPB911" s="9"/>
      <c r="BPC911" s="9"/>
      <c r="BPD911" s="9"/>
      <c r="BPE911" s="9"/>
      <c r="BPF911" s="9"/>
      <c r="BPG911" s="9"/>
      <c r="BPH911" s="9"/>
      <c r="BPI911" s="9"/>
      <c r="BPJ911" s="9"/>
      <c r="BPK911" s="9"/>
      <c r="BPL911" s="9"/>
      <c r="BPM911" s="9"/>
      <c r="BPN911" s="9"/>
      <c r="BPO911" s="9"/>
      <c r="BPP911" s="9"/>
      <c r="BPQ911" s="9"/>
      <c r="BPR911" s="9"/>
      <c r="BPS911" s="9"/>
      <c r="BPT911" s="9"/>
      <c r="BPU911" s="9"/>
      <c r="BPV911" s="9"/>
      <c r="BPW911" s="9"/>
      <c r="BPX911" s="9"/>
      <c r="BPY911" s="9"/>
      <c r="BPZ911" s="9"/>
      <c r="BQA911" s="9"/>
      <c r="BQB911" s="9"/>
      <c r="BQC911" s="9"/>
      <c r="BQD911" s="9"/>
      <c r="BQE911" s="9"/>
      <c r="BQF911" s="9"/>
      <c r="BQG911" s="9"/>
      <c r="BQH911" s="9"/>
      <c r="BQI911" s="9"/>
      <c r="BQJ911" s="9"/>
      <c r="BQK911" s="9"/>
      <c r="BQL911" s="9"/>
      <c r="BQM911" s="9"/>
      <c r="BQN911" s="9"/>
      <c r="BQO911" s="9"/>
      <c r="BQP911" s="9"/>
      <c r="BQQ911" s="9"/>
      <c r="BQR911" s="9"/>
      <c r="BQS911" s="9"/>
      <c r="BQT911" s="9"/>
      <c r="BQU911" s="9"/>
      <c r="BQV911" s="9"/>
      <c r="BQW911" s="9"/>
      <c r="BQX911" s="9"/>
      <c r="BQY911" s="9"/>
      <c r="BQZ911" s="9"/>
      <c r="BRA911" s="9"/>
      <c r="BRB911" s="9"/>
      <c r="BRC911" s="9"/>
      <c r="BRD911" s="9"/>
      <c r="BRE911" s="9"/>
      <c r="BRF911" s="9"/>
      <c r="BRG911" s="9"/>
      <c r="BRH911" s="9"/>
      <c r="BRI911" s="9"/>
      <c r="BRJ911" s="9"/>
      <c r="BRK911" s="9"/>
      <c r="BRL911" s="9"/>
      <c r="BRM911" s="9"/>
      <c r="BRN911" s="9"/>
      <c r="BRO911" s="9"/>
      <c r="BRP911" s="9"/>
      <c r="BRQ911" s="9"/>
      <c r="BRR911" s="9"/>
      <c r="BRS911" s="9"/>
      <c r="BRT911" s="9"/>
      <c r="BRU911" s="9"/>
      <c r="BRV911" s="9"/>
      <c r="BRW911" s="9"/>
      <c r="BRX911" s="9"/>
      <c r="BRY911" s="9"/>
      <c r="BRZ911" s="9"/>
      <c r="BSA911" s="9"/>
      <c r="BSB911" s="9"/>
      <c r="BSC911" s="9"/>
      <c r="BSD911" s="9"/>
      <c r="BSE911" s="9"/>
      <c r="BSF911" s="9"/>
      <c r="BSG911" s="9"/>
      <c r="BSH911" s="9"/>
      <c r="BSI911" s="9"/>
      <c r="BSJ911" s="9"/>
      <c r="BSK911" s="9"/>
      <c r="BSL911" s="9"/>
      <c r="BSM911" s="9"/>
      <c r="BSN911" s="9"/>
      <c r="BSO911" s="9"/>
      <c r="BSP911" s="9"/>
      <c r="BSQ911" s="9"/>
      <c r="BSR911" s="9"/>
      <c r="BSS911" s="9"/>
      <c r="BST911" s="9"/>
      <c r="BSU911" s="9"/>
      <c r="BSV911" s="9"/>
      <c r="BSW911" s="9"/>
      <c r="BSX911" s="9"/>
      <c r="BSY911" s="9"/>
      <c r="BSZ911" s="9"/>
      <c r="BTA911" s="9"/>
    </row>
    <row r="912" spans="1:1873" s="204" customFormat="1" x14ac:dyDescent="0.2">
      <c r="A912" s="283" t="s">
        <v>813</v>
      </c>
      <c r="B912" s="283" t="s">
        <v>814</v>
      </c>
      <c r="C912" s="456">
        <v>2059</v>
      </c>
      <c r="D912" s="283" t="s">
        <v>619</v>
      </c>
      <c r="E912" s="306" t="s">
        <v>1465</v>
      </c>
      <c r="F912" s="306">
        <v>1</v>
      </c>
      <c r="G912" s="283">
        <v>5</v>
      </c>
      <c r="H912" s="454">
        <v>5</v>
      </c>
      <c r="I912" s="283" t="s">
        <v>621</v>
      </c>
      <c r="J912" s="283">
        <v>2000</v>
      </c>
      <c r="K912" s="283" t="s">
        <v>856</v>
      </c>
      <c r="L912" s="283">
        <v>2005</v>
      </c>
      <c r="M912" s="426">
        <v>-9999</v>
      </c>
      <c r="N912" s="454">
        <v>-9999</v>
      </c>
      <c r="O912" s="8"/>
      <c r="P912" s="426">
        <v>57.76</v>
      </c>
      <c r="Q912" s="454">
        <v>-9999</v>
      </c>
      <c r="R912" s="426"/>
      <c r="S912" s="454"/>
      <c r="T912" s="566">
        <f>P912/G912</f>
        <v>11.552</v>
      </c>
      <c r="U912" s="454">
        <v>-9999</v>
      </c>
      <c r="V912" s="454"/>
      <c r="W912" s="426">
        <v>-9999</v>
      </c>
      <c r="X912" s="454">
        <v>-9999</v>
      </c>
      <c r="Y912" s="454"/>
      <c r="Z912" s="283" t="s">
        <v>793</v>
      </c>
      <c r="AA912" s="455">
        <v>10000</v>
      </c>
      <c r="AB912" s="426">
        <v>0.90300000000000002</v>
      </c>
      <c r="AC912" s="426">
        <v>0.35</v>
      </c>
      <c r="AD912" s="454">
        <v>70</v>
      </c>
      <c r="AE912" s="283" t="s">
        <v>1958</v>
      </c>
      <c r="AF912" s="283">
        <v>5</v>
      </c>
      <c r="AG912" s="454">
        <v>-9999</v>
      </c>
      <c r="AH912" s="283" t="s">
        <v>1083</v>
      </c>
      <c r="AI912" s="283" t="s">
        <v>825</v>
      </c>
      <c r="AJ912" s="454">
        <v>-9999</v>
      </c>
      <c r="AK912" s="454">
        <v>-9999</v>
      </c>
      <c r="AL912" s="454">
        <v>-9999</v>
      </c>
      <c r="AM912" s="454">
        <v>-9999</v>
      </c>
      <c r="AN912" s="283" t="s">
        <v>626</v>
      </c>
      <c r="AO912" s="283" t="s">
        <v>1085</v>
      </c>
      <c r="AP912" s="283" t="s">
        <v>816</v>
      </c>
      <c r="AQ912" s="283" t="s">
        <v>631</v>
      </c>
      <c r="AR912" s="283">
        <v>0</v>
      </c>
      <c r="AS912" s="283">
        <v>-9999</v>
      </c>
      <c r="AT912" s="283">
        <v>-9999</v>
      </c>
      <c r="AU912" s="283">
        <v>0</v>
      </c>
      <c r="AV912" s="283">
        <v>-9999</v>
      </c>
      <c r="AW912" s="283"/>
      <c r="AX912" s="283">
        <v>0</v>
      </c>
      <c r="AY912" s="283">
        <v>-9999</v>
      </c>
      <c r="AZ912" s="283">
        <v>-9999</v>
      </c>
      <c r="BA912" s="283">
        <v>-9999</v>
      </c>
      <c r="BB912" s="283" t="s">
        <v>626</v>
      </c>
      <c r="BC912" s="283" t="s">
        <v>1084</v>
      </c>
      <c r="BD912" s="283"/>
      <c r="BE912" s="283">
        <v>-9999</v>
      </c>
      <c r="BF912" s="283">
        <v>-9999</v>
      </c>
      <c r="BG912" s="283">
        <v>-9999</v>
      </c>
      <c r="BH912" s="283">
        <v>-9999</v>
      </c>
      <c r="BI912" s="283" t="s">
        <v>225</v>
      </c>
      <c r="BJ912" s="249">
        <v>-9999</v>
      </c>
      <c r="BK912" s="249">
        <v>-9999</v>
      </c>
      <c r="BL912" s="426">
        <v>9.1199999999999992</v>
      </c>
      <c r="BM912" s="249">
        <v>-9999</v>
      </c>
      <c r="BN912" s="249">
        <v>-9999</v>
      </c>
      <c r="BO912" s="249">
        <v>-9999</v>
      </c>
      <c r="BP912" s="249">
        <v>-9999</v>
      </c>
      <c r="BQ912" s="249">
        <v>-9999</v>
      </c>
      <c r="BR912" s="426">
        <v>7.57</v>
      </c>
      <c r="BS912" s="251">
        <v>-9999</v>
      </c>
      <c r="BT912" s="249">
        <v>-9999</v>
      </c>
      <c r="BU912" s="249">
        <v>-9999</v>
      </c>
      <c r="BV912" s="249">
        <v>-9999</v>
      </c>
      <c r="BW912" s="249"/>
      <c r="BX912" s="249">
        <v>-9999</v>
      </c>
      <c r="BY912" s="249">
        <v>-9999</v>
      </c>
      <c r="BZ912" s="249">
        <v>-9999</v>
      </c>
      <c r="CA912" s="331">
        <v>-9999</v>
      </c>
      <c r="CB912" s="439" t="s">
        <v>1407</v>
      </c>
      <c r="CC912" s="306">
        <v>1</v>
      </c>
      <c r="CD912" s="456">
        <v>2059</v>
      </c>
      <c r="CE912" s="398">
        <v>11.552</v>
      </c>
      <c r="CF912" s="138">
        <v>-9999</v>
      </c>
      <c r="CG912" s="460">
        <v>5</v>
      </c>
      <c r="CH912" s="440" t="s">
        <v>1757</v>
      </c>
      <c r="CI912" s="9"/>
      <c r="CJ912" s="9"/>
      <c r="CK912" s="9"/>
      <c r="CL912" s="9"/>
      <c r="CM912" s="9"/>
      <c r="CN912" s="9"/>
      <c r="CO912" s="9"/>
      <c r="CP912" s="9"/>
      <c r="CQ912" s="9"/>
      <c r="CR912" s="9"/>
      <c r="CS912" s="9"/>
      <c r="CT912" s="9"/>
      <c r="CU912" s="9"/>
      <c r="CV912" s="9"/>
      <c r="CW912" s="9"/>
      <c r="CX912" s="9"/>
      <c r="CY912" s="9"/>
      <c r="CZ912" s="9"/>
      <c r="DA912" s="9"/>
      <c r="DB912" s="9"/>
      <c r="DC912" s="9"/>
      <c r="DD912" s="9"/>
      <c r="DE912" s="9"/>
      <c r="DF912" s="9"/>
      <c r="DG912" s="9"/>
      <c r="DH912" s="9"/>
      <c r="DI912" s="9"/>
      <c r="DJ912" s="9"/>
      <c r="DK912" s="9"/>
      <c r="DL912" s="9"/>
      <c r="DM912" s="9"/>
      <c r="DN912" s="9"/>
      <c r="DO912" s="9"/>
      <c r="DP912" s="9"/>
      <c r="DQ912" s="9"/>
      <c r="DR912" s="9"/>
      <c r="DS912" s="9"/>
      <c r="DT912" s="9"/>
      <c r="DU912" s="9"/>
      <c r="DV912" s="9"/>
      <c r="DW912" s="9"/>
      <c r="DX912" s="9"/>
      <c r="DY912" s="9"/>
      <c r="DZ912" s="9"/>
      <c r="EA912" s="9"/>
      <c r="EB912" s="9"/>
      <c r="EC912" s="9"/>
      <c r="ED912" s="9"/>
      <c r="EE912" s="9"/>
      <c r="EF912" s="9"/>
      <c r="EG912" s="9"/>
      <c r="EH912" s="9"/>
      <c r="EI912" s="9"/>
      <c r="EJ912" s="9"/>
      <c r="EK912" s="9"/>
      <c r="EL912" s="9"/>
      <c r="EM912" s="9"/>
      <c r="EN912" s="9"/>
      <c r="EO912" s="9"/>
      <c r="EP912" s="9"/>
      <c r="EQ912" s="9"/>
      <c r="ER912" s="9"/>
      <c r="ES912" s="9"/>
      <c r="ET912" s="9"/>
      <c r="EU912" s="9"/>
      <c r="EV912" s="9"/>
      <c r="EW912" s="9"/>
      <c r="EX912" s="9"/>
      <c r="EY912" s="9"/>
      <c r="EZ912" s="9"/>
      <c r="FA912" s="9"/>
      <c r="FB912" s="9"/>
      <c r="FC912" s="9"/>
      <c r="FD912" s="9"/>
      <c r="FE912" s="9"/>
      <c r="FF912" s="9"/>
      <c r="FG912" s="9"/>
      <c r="FH912" s="9"/>
      <c r="FI912" s="9"/>
      <c r="FJ912" s="9"/>
      <c r="FK912" s="9"/>
      <c r="FL912" s="9"/>
      <c r="FM912" s="9"/>
      <c r="FN912" s="9"/>
      <c r="FO912" s="9"/>
      <c r="FP912" s="9"/>
      <c r="FQ912" s="9"/>
      <c r="FR912" s="9"/>
      <c r="FS912" s="9"/>
      <c r="FT912" s="9"/>
      <c r="FU912" s="9"/>
      <c r="FV912" s="9"/>
      <c r="FW912" s="9"/>
      <c r="FX912" s="9"/>
      <c r="FY912" s="9"/>
      <c r="FZ912" s="9"/>
      <c r="GA912" s="9"/>
      <c r="GB912" s="9"/>
      <c r="GC912" s="9"/>
      <c r="GD912" s="9"/>
      <c r="GE912" s="9"/>
      <c r="GF912" s="9"/>
      <c r="GG912" s="9"/>
      <c r="GH912" s="9"/>
      <c r="GI912" s="9"/>
      <c r="GJ912" s="9"/>
      <c r="GK912" s="9"/>
      <c r="GL912" s="9"/>
      <c r="GM912" s="9"/>
      <c r="GN912" s="9"/>
      <c r="GO912" s="9"/>
      <c r="GP912" s="9"/>
      <c r="GQ912" s="9"/>
      <c r="GR912" s="9"/>
      <c r="GS912" s="9"/>
      <c r="GT912" s="9"/>
      <c r="GU912" s="9"/>
      <c r="GV912" s="9"/>
      <c r="GW912" s="9"/>
      <c r="GX912" s="9"/>
      <c r="GY912" s="9"/>
      <c r="GZ912" s="9"/>
      <c r="HA912" s="9"/>
      <c r="HB912" s="9"/>
      <c r="HC912" s="9"/>
      <c r="HD912" s="9"/>
      <c r="HE912" s="9"/>
      <c r="HF912" s="9"/>
      <c r="HG912" s="9"/>
      <c r="HH912" s="9"/>
      <c r="HI912" s="9"/>
      <c r="HJ912" s="9"/>
      <c r="HK912" s="9"/>
      <c r="HL912" s="9"/>
      <c r="HM912" s="9"/>
      <c r="HN912" s="9"/>
      <c r="HO912" s="9"/>
      <c r="HP912" s="9"/>
      <c r="HQ912" s="9"/>
      <c r="HR912" s="9"/>
      <c r="HS912" s="9"/>
      <c r="HT912" s="9"/>
      <c r="HU912" s="9"/>
      <c r="HV912" s="9"/>
      <c r="HW912" s="9"/>
      <c r="HX912" s="9"/>
      <c r="HY912" s="9"/>
      <c r="HZ912" s="9"/>
      <c r="IA912" s="9"/>
      <c r="IB912" s="9"/>
      <c r="IC912" s="9"/>
      <c r="ID912" s="9"/>
      <c r="IE912" s="9"/>
      <c r="IF912" s="9"/>
      <c r="IG912" s="9"/>
      <c r="IH912" s="9"/>
      <c r="II912" s="9"/>
      <c r="IJ912" s="9"/>
      <c r="IK912" s="9"/>
      <c r="IL912" s="9"/>
      <c r="IM912" s="9"/>
      <c r="IN912" s="9"/>
      <c r="IO912" s="9"/>
      <c r="IP912" s="9"/>
      <c r="IQ912" s="9"/>
      <c r="IR912" s="9"/>
      <c r="IS912" s="9"/>
      <c r="IT912" s="9"/>
      <c r="IU912" s="9"/>
      <c r="IV912" s="9"/>
      <c r="IW912" s="9"/>
      <c r="IX912" s="9"/>
      <c r="IY912" s="9"/>
      <c r="IZ912" s="9"/>
      <c r="JA912" s="9"/>
      <c r="JB912" s="9"/>
      <c r="JC912" s="9"/>
      <c r="JD912" s="9"/>
      <c r="JE912" s="9"/>
      <c r="JF912" s="9"/>
      <c r="JG912" s="9"/>
      <c r="JH912" s="9"/>
      <c r="JI912" s="9"/>
      <c r="JJ912" s="9"/>
      <c r="JK912" s="9"/>
      <c r="JL912" s="9"/>
      <c r="JM912" s="9"/>
      <c r="JN912" s="9"/>
      <c r="JO912" s="9"/>
      <c r="JP912" s="9"/>
      <c r="JQ912" s="9"/>
      <c r="JR912" s="9"/>
      <c r="JS912" s="9"/>
      <c r="JT912" s="9"/>
      <c r="JU912" s="9"/>
      <c r="JV912" s="9"/>
      <c r="JW912" s="9"/>
      <c r="JX912" s="9"/>
      <c r="JY912" s="9"/>
      <c r="JZ912" s="9"/>
      <c r="KA912" s="9"/>
      <c r="KB912" s="9"/>
      <c r="KC912" s="9"/>
      <c r="KD912" s="9"/>
      <c r="KE912" s="9"/>
      <c r="KF912" s="9"/>
      <c r="KG912" s="9"/>
      <c r="KH912" s="9"/>
      <c r="KI912" s="9"/>
      <c r="KJ912" s="9"/>
      <c r="KK912" s="9"/>
      <c r="KL912" s="9"/>
      <c r="KM912" s="9"/>
      <c r="KN912" s="9"/>
      <c r="KO912" s="9"/>
      <c r="KP912" s="9"/>
      <c r="KQ912" s="9"/>
      <c r="KR912" s="9"/>
      <c r="KS912" s="9"/>
      <c r="KT912" s="9"/>
      <c r="KU912" s="9"/>
      <c r="KV912" s="9"/>
      <c r="KW912" s="9"/>
      <c r="KX912" s="9"/>
      <c r="KY912" s="9"/>
      <c r="KZ912" s="9"/>
      <c r="LA912" s="9"/>
      <c r="LB912" s="9"/>
      <c r="LC912" s="9"/>
      <c r="LD912" s="9"/>
      <c r="LE912" s="9"/>
      <c r="LF912" s="9"/>
      <c r="LG912" s="9"/>
      <c r="LH912" s="9"/>
      <c r="LI912" s="9"/>
      <c r="LJ912" s="9"/>
      <c r="LK912" s="9"/>
      <c r="LL912" s="9"/>
      <c r="LM912" s="9"/>
      <c r="LN912" s="9"/>
      <c r="LO912" s="9"/>
      <c r="LP912" s="9"/>
      <c r="LQ912" s="9"/>
      <c r="LR912" s="9"/>
      <c r="LS912" s="9"/>
      <c r="LT912" s="9"/>
      <c r="LU912" s="9"/>
      <c r="LV912" s="9"/>
      <c r="LW912" s="9"/>
      <c r="LX912" s="9"/>
      <c r="LY912" s="9"/>
      <c r="LZ912" s="9"/>
      <c r="MA912" s="9"/>
      <c r="MB912" s="9"/>
      <c r="MC912" s="9"/>
      <c r="MD912" s="9"/>
      <c r="ME912" s="9"/>
      <c r="MF912" s="9"/>
      <c r="MG912" s="9"/>
      <c r="MH912" s="9"/>
      <c r="MI912" s="9"/>
      <c r="MJ912" s="9"/>
      <c r="MK912" s="9"/>
      <c r="ML912" s="9"/>
      <c r="MM912" s="9"/>
      <c r="MN912" s="9"/>
      <c r="MO912" s="9"/>
      <c r="MP912" s="9"/>
      <c r="MQ912" s="9"/>
      <c r="MR912" s="9"/>
      <c r="MS912" s="9"/>
      <c r="MT912" s="9"/>
      <c r="MU912" s="9"/>
      <c r="MV912" s="9"/>
      <c r="MW912" s="9"/>
      <c r="MX912" s="9"/>
      <c r="MY912" s="9"/>
      <c r="MZ912" s="9"/>
      <c r="NA912" s="9"/>
      <c r="NB912" s="9"/>
      <c r="NC912" s="9"/>
      <c r="ND912" s="9"/>
      <c r="NE912" s="9"/>
      <c r="NF912" s="9"/>
      <c r="NG912" s="9"/>
      <c r="NH912" s="9"/>
      <c r="NI912" s="9"/>
      <c r="NJ912" s="9"/>
      <c r="NK912" s="9"/>
      <c r="NL912" s="9"/>
      <c r="NM912" s="9"/>
      <c r="NN912" s="9"/>
      <c r="NO912" s="9"/>
      <c r="NP912" s="9"/>
      <c r="NQ912" s="9"/>
      <c r="NR912" s="9"/>
      <c r="NS912" s="9"/>
      <c r="NT912" s="9"/>
      <c r="NU912" s="9"/>
      <c r="NV912" s="9"/>
      <c r="NW912" s="9"/>
      <c r="NX912" s="9"/>
      <c r="NY912" s="9"/>
      <c r="NZ912" s="9"/>
      <c r="OA912" s="9"/>
      <c r="OB912" s="9"/>
      <c r="OC912" s="9"/>
      <c r="OD912" s="9"/>
      <c r="OE912" s="9"/>
      <c r="OF912" s="9"/>
      <c r="OG912" s="9"/>
      <c r="OH912" s="9"/>
      <c r="OI912" s="9"/>
      <c r="OJ912" s="9"/>
      <c r="OK912" s="9"/>
      <c r="OL912" s="9"/>
      <c r="OM912" s="9"/>
      <c r="ON912" s="9"/>
      <c r="OO912" s="9"/>
      <c r="OP912" s="9"/>
      <c r="OQ912" s="9"/>
      <c r="OR912" s="9"/>
      <c r="OS912" s="9"/>
      <c r="OT912" s="9"/>
      <c r="OU912" s="9"/>
      <c r="OV912" s="9"/>
      <c r="OW912" s="9"/>
      <c r="OX912" s="9"/>
      <c r="OY912" s="9"/>
      <c r="OZ912" s="9"/>
      <c r="PA912" s="9"/>
      <c r="PB912" s="9"/>
      <c r="PC912" s="9"/>
      <c r="PD912" s="9"/>
      <c r="PE912" s="9"/>
      <c r="PF912" s="9"/>
      <c r="PG912" s="9"/>
      <c r="PH912" s="9"/>
      <c r="PI912" s="9"/>
      <c r="PJ912" s="9"/>
      <c r="PK912" s="9"/>
      <c r="PL912" s="9"/>
      <c r="PM912" s="9"/>
      <c r="PN912" s="9"/>
      <c r="PO912" s="9"/>
      <c r="PP912" s="9"/>
      <c r="PQ912" s="9"/>
      <c r="PR912" s="9"/>
      <c r="PS912" s="9"/>
      <c r="PT912" s="9"/>
      <c r="PU912" s="9"/>
      <c r="PV912" s="9"/>
      <c r="PW912" s="9"/>
      <c r="PX912" s="9"/>
      <c r="PY912" s="9"/>
      <c r="PZ912" s="9"/>
      <c r="QA912" s="9"/>
      <c r="QB912" s="9"/>
      <c r="QC912" s="9"/>
      <c r="QD912" s="9"/>
      <c r="QE912" s="9"/>
      <c r="QF912" s="9"/>
      <c r="QG912" s="9"/>
      <c r="QH912" s="9"/>
      <c r="QI912" s="9"/>
      <c r="QJ912" s="9"/>
      <c r="QK912" s="9"/>
      <c r="QL912" s="9"/>
      <c r="QM912" s="9"/>
      <c r="QN912" s="9"/>
      <c r="QO912" s="9"/>
      <c r="QP912" s="9"/>
      <c r="QQ912" s="9"/>
      <c r="QR912" s="9"/>
      <c r="QS912" s="9"/>
      <c r="QT912" s="9"/>
      <c r="QU912" s="9"/>
      <c r="QV912" s="9"/>
      <c r="QW912" s="9"/>
      <c r="QX912" s="9"/>
      <c r="QY912" s="9"/>
      <c r="QZ912" s="9"/>
      <c r="RA912" s="9"/>
      <c r="RB912" s="9"/>
      <c r="RC912" s="9"/>
      <c r="RD912" s="9"/>
      <c r="RE912" s="9"/>
      <c r="RF912" s="9"/>
      <c r="RG912" s="9"/>
      <c r="RH912" s="9"/>
      <c r="RI912" s="9"/>
      <c r="RJ912" s="9"/>
      <c r="RK912" s="9"/>
      <c r="RL912" s="9"/>
      <c r="RM912" s="9"/>
      <c r="RN912" s="9"/>
      <c r="RO912" s="9"/>
      <c r="RP912" s="9"/>
      <c r="RQ912" s="9"/>
      <c r="RR912" s="9"/>
      <c r="RS912" s="9"/>
      <c r="RT912" s="9"/>
      <c r="RU912" s="9"/>
      <c r="RV912" s="9"/>
      <c r="RW912" s="9"/>
      <c r="RX912" s="9"/>
      <c r="RY912" s="9"/>
      <c r="RZ912" s="9"/>
      <c r="SA912" s="9"/>
      <c r="SB912" s="9"/>
      <c r="SC912" s="9"/>
      <c r="SD912" s="9"/>
      <c r="SE912" s="9"/>
      <c r="SF912" s="9"/>
      <c r="SG912" s="9"/>
      <c r="SH912" s="9"/>
      <c r="SI912" s="9"/>
      <c r="SJ912" s="9"/>
      <c r="SK912" s="9"/>
      <c r="SL912" s="9"/>
      <c r="SM912" s="9"/>
      <c r="SN912" s="9"/>
      <c r="SO912" s="9"/>
      <c r="SP912" s="9"/>
      <c r="SQ912" s="9"/>
      <c r="SR912" s="9"/>
      <c r="SS912" s="9"/>
      <c r="ST912" s="9"/>
      <c r="SU912" s="9"/>
      <c r="SV912" s="9"/>
      <c r="SW912" s="9"/>
      <c r="SX912" s="9"/>
      <c r="SY912" s="9"/>
      <c r="SZ912" s="9"/>
      <c r="TA912" s="9"/>
      <c r="TB912" s="9"/>
      <c r="TC912" s="9"/>
      <c r="TD912" s="9"/>
      <c r="TE912" s="9"/>
      <c r="TF912" s="9"/>
      <c r="TG912" s="9"/>
      <c r="TH912" s="9"/>
      <c r="TI912" s="9"/>
      <c r="TJ912" s="9"/>
      <c r="TK912" s="9"/>
      <c r="TL912" s="9"/>
      <c r="TM912" s="9"/>
      <c r="TN912" s="9"/>
      <c r="TO912" s="9"/>
      <c r="TP912" s="9"/>
      <c r="TQ912" s="9"/>
      <c r="TR912" s="9"/>
      <c r="TS912" s="9"/>
      <c r="TT912" s="9"/>
      <c r="TU912" s="9"/>
      <c r="TV912" s="9"/>
      <c r="TW912" s="9"/>
      <c r="TX912" s="9"/>
      <c r="TY912" s="9"/>
      <c r="TZ912" s="9"/>
      <c r="UA912" s="9"/>
      <c r="UB912" s="9"/>
      <c r="UC912" s="9"/>
      <c r="UD912" s="9"/>
      <c r="UE912" s="9"/>
      <c r="UF912" s="9"/>
      <c r="UG912" s="9"/>
      <c r="UH912" s="9"/>
      <c r="UI912" s="9"/>
      <c r="UJ912" s="9"/>
      <c r="UK912" s="9"/>
      <c r="UL912" s="9"/>
      <c r="UM912" s="9"/>
      <c r="UN912" s="9"/>
      <c r="UO912" s="9"/>
      <c r="UP912" s="9"/>
      <c r="UQ912" s="9"/>
      <c r="UR912" s="9"/>
      <c r="US912" s="9"/>
      <c r="UT912" s="9"/>
      <c r="UU912" s="9"/>
      <c r="UV912" s="9"/>
      <c r="UW912" s="9"/>
      <c r="UX912" s="9"/>
      <c r="UY912" s="9"/>
      <c r="UZ912" s="9"/>
      <c r="VA912" s="9"/>
      <c r="VB912" s="9"/>
      <c r="VC912" s="9"/>
      <c r="VD912" s="9"/>
      <c r="VE912" s="9"/>
      <c r="VF912" s="9"/>
      <c r="VG912" s="9"/>
      <c r="VH912" s="9"/>
      <c r="VI912" s="9"/>
      <c r="VJ912" s="9"/>
      <c r="VK912" s="9"/>
      <c r="VL912" s="9"/>
      <c r="VM912" s="9"/>
      <c r="VN912" s="9"/>
      <c r="VO912" s="9"/>
      <c r="VP912" s="9"/>
      <c r="VQ912" s="9"/>
      <c r="VR912" s="9"/>
      <c r="VS912" s="9"/>
      <c r="VT912" s="9"/>
      <c r="VU912" s="9"/>
      <c r="VV912" s="9"/>
      <c r="VW912" s="9"/>
      <c r="VX912" s="9"/>
      <c r="VY912" s="9"/>
      <c r="VZ912" s="9"/>
      <c r="WA912" s="9"/>
      <c r="WB912" s="9"/>
      <c r="WC912" s="9"/>
      <c r="WD912" s="9"/>
      <c r="WE912" s="9"/>
      <c r="WF912" s="9"/>
      <c r="WG912" s="9"/>
      <c r="WH912" s="9"/>
      <c r="WI912" s="9"/>
      <c r="WJ912" s="9"/>
      <c r="WK912" s="9"/>
      <c r="WL912" s="9"/>
      <c r="WM912" s="9"/>
      <c r="WN912" s="9"/>
      <c r="WO912" s="9"/>
      <c r="WP912" s="9"/>
      <c r="WQ912" s="9"/>
      <c r="WR912" s="9"/>
      <c r="WS912" s="9"/>
      <c r="WT912" s="9"/>
      <c r="WU912" s="9"/>
      <c r="WV912" s="9"/>
      <c r="WW912" s="9"/>
      <c r="WX912" s="9"/>
      <c r="WY912" s="9"/>
      <c r="WZ912" s="9"/>
      <c r="XA912" s="9"/>
      <c r="XB912" s="9"/>
      <c r="XC912" s="9"/>
      <c r="XD912" s="9"/>
      <c r="XE912" s="9"/>
      <c r="XF912" s="9"/>
      <c r="XG912" s="9"/>
      <c r="XH912" s="9"/>
      <c r="XI912" s="9"/>
      <c r="XJ912" s="9"/>
      <c r="XK912" s="9"/>
      <c r="XL912" s="9"/>
      <c r="XM912" s="9"/>
      <c r="XN912" s="9"/>
      <c r="XO912" s="9"/>
      <c r="XP912" s="9"/>
      <c r="XQ912" s="9"/>
      <c r="XR912" s="9"/>
      <c r="XS912" s="9"/>
      <c r="XT912" s="9"/>
      <c r="XU912" s="9"/>
      <c r="XV912" s="9"/>
      <c r="XW912" s="9"/>
      <c r="XX912" s="9"/>
      <c r="XY912" s="9"/>
      <c r="XZ912" s="9"/>
      <c r="YA912" s="9"/>
      <c r="YB912" s="9"/>
      <c r="YC912" s="9"/>
      <c r="YD912" s="9"/>
      <c r="YE912" s="9"/>
      <c r="YF912" s="9"/>
      <c r="YG912" s="9"/>
      <c r="YH912" s="9"/>
      <c r="YI912" s="9"/>
      <c r="YJ912" s="9"/>
      <c r="YK912" s="9"/>
      <c r="YL912" s="9"/>
      <c r="YM912" s="9"/>
      <c r="YN912" s="9"/>
      <c r="YO912" s="9"/>
      <c r="YP912" s="9"/>
      <c r="YQ912" s="9"/>
      <c r="YR912" s="9"/>
      <c r="YS912" s="9"/>
      <c r="YT912" s="9"/>
      <c r="YU912" s="9"/>
      <c r="YV912" s="9"/>
      <c r="YW912" s="9"/>
      <c r="YX912" s="9"/>
      <c r="YY912" s="9"/>
      <c r="YZ912" s="9"/>
      <c r="ZA912" s="9"/>
      <c r="ZB912" s="9"/>
      <c r="ZC912" s="9"/>
      <c r="ZD912" s="9"/>
      <c r="ZE912" s="9"/>
      <c r="ZF912" s="9"/>
      <c r="ZG912" s="9"/>
      <c r="ZH912" s="9"/>
      <c r="ZI912" s="9"/>
      <c r="ZJ912" s="9"/>
      <c r="ZK912" s="9"/>
      <c r="ZL912" s="9"/>
      <c r="ZM912" s="9"/>
      <c r="ZN912" s="9"/>
      <c r="ZO912" s="9"/>
      <c r="ZP912" s="9"/>
      <c r="ZQ912" s="9"/>
      <c r="ZR912" s="9"/>
      <c r="ZS912" s="9"/>
      <c r="ZT912" s="9"/>
      <c r="ZU912" s="9"/>
      <c r="ZV912" s="9"/>
      <c r="ZW912" s="9"/>
      <c r="ZX912" s="9"/>
      <c r="ZY912" s="9"/>
      <c r="ZZ912" s="9"/>
      <c r="AAA912" s="9"/>
      <c r="AAB912" s="9"/>
      <c r="AAC912" s="9"/>
      <c r="AAD912" s="9"/>
      <c r="AAE912" s="9"/>
      <c r="AAF912" s="9"/>
      <c r="AAG912" s="9"/>
      <c r="AAH912" s="9"/>
      <c r="AAI912" s="9"/>
      <c r="AAJ912" s="9"/>
      <c r="AAK912" s="9"/>
      <c r="AAL912" s="9"/>
      <c r="AAM912" s="9"/>
      <c r="AAN912" s="9"/>
      <c r="AAO912" s="9"/>
      <c r="AAP912" s="9"/>
      <c r="AAQ912" s="9"/>
      <c r="AAR912" s="9"/>
      <c r="AAS912" s="9"/>
      <c r="AAT912" s="9"/>
      <c r="AAU912" s="9"/>
      <c r="AAV912" s="9"/>
      <c r="AAW912" s="9"/>
      <c r="AAX912" s="9"/>
      <c r="AAY912" s="9"/>
      <c r="AAZ912" s="9"/>
      <c r="ABA912" s="9"/>
      <c r="ABB912" s="9"/>
      <c r="ABC912" s="9"/>
      <c r="ABD912" s="9"/>
      <c r="ABE912" s="9"/>
      <c r="ABF912" s="9"/>
      <c r="ABG912" s="9"/>
      <c r="ABH912" s="9"/>
      <c r="ABI912" s="9"/>
      <c r="ABJ912" s="9"/>
      <c r="ABK912" s="9"/>
      <c r="ABL912" s="9"/>
      <c r="ABM912" s="9"/>
      <c r="ABN912" s="9"/>
      <c r="ABO912" s="9"/>
      <c r="ABP912" s="9"/>
      <c r="ABQ912" s="9"/>
      <c r="ABR912" s="9"/>
      <c r="ABS912" s="9"/>
      <c r="ABT912" s="9"/>
      <c r="ABU912" s="9"/>
      <c r="ABV912" s="9"/>
      <c r="ABW912" s="9"/>
      <c r="ABX912" s="9"/>
      <c r="ABY912" s="9"/>
      <c r="ABZ912" s="9"/>
      <c r="ACA912" s="9"/>
      <c r="ACB912" s="9"/>
      <c r="ACC912" s="9"/>
      <c r="ACD912" s="9"/>
      <c r="ACE912" s="9"/>
      <c r="ACF912" s="9"/>
      <c r="ACG912" s="9"/>
      <c r="ACH912" s="9"/>
      <c r="ACI912" s="9"/>
      <c r="ACJ912" s="9"/>
      <c r="ACK912" s="9"/>
      <c r="ACL912" s="9"/>
      <c r="ACM912" s="9"/>
      <c r="ACN912" s="9"/>
      <c r="ACO912" s="9"/>
      <c r="ACP912" s="9"/>
      <c r="ACQ912" s="9"/>
      <c r="ACR912" s="9"/>
      <c r="ACS912" s="9"/>
      <c r="ACT912" s="9"/>
      <c r="ACU912" s="9"/>
      <c r="ACV912" s="9"/>
      <c r="ACW912" s="9"/>
      <c r="ACX912" s="9"/>
      <c r="ACY912" s="9"/>
      <c r="ACZ912" s="9"/>
      <c r="ADA912" s="9"/>
      <c r="ADB912" s="9"/>
      <c r="ADC912" s="9"/>
      <c r="ADD912" s="9"/>
      <c r="ADE912" s="9"/>
      <c r="ADF912" s="9"/>
      <c r="ADG912" s="9"/>
      <c r="ADH912" s="9"/>
      <c r="ADI912" s="9"/>
      <c r="ADJ912" s="9"/>
      <c r="ADK912" s="9"/>
      <c r="ADL912" s="9"/>
      <c r="ADM912" s="9"/>
      <c r="ADN912" s="9"/>
      <c r="ADO912" s="9"/>
      <c r="ADP912" s="9"/>
      <c r="ADQ912" s="9"/>
      <c r="ADR912" s="9"/>
      <c r="ADS912" s="9"/>
      <c r="ADT912" s="9"/>
      <c r="ADU912" s="9"/>
      <c r="ADV912" s="9"/>
      <c r="ADW912" s="9"/>
      <c r="ADX912" s="9"/>
      <c r="ADY912" s="9"/>
      <c r="ADZ912" s="9"/>
      <c r="AEA912" s="9"/>
      <c r="AEB912" s="9"/>
      <c r="AEC912" s="9"/>
      <c r="AED912" s="9"/>
      <c r="AEE912" s="9"/>
      <c r="AEF912" s="9"/>
      <c r="AEG912" s="9"/>
      <c r="AEH912" s="9"/>
      <c r="AEI912" s="9"/>
      <c r="AEJ912" s="9"/>
      <c r="AEK912" s="9"/>
      <c r="AEL912" s="9"/>
      <c r="AEM912" s="9"/>
      <c r="AEN912" s="9"/>
      <c r="AEO912" s="9"/>
      <c r="AEP912" s="9"/>
      <c r="AEQ912" s="9"/>
      <c r="AER912" s="9"/>
      <c r="AES912" s="9"/>
      <c r="AET912" s="9"/>
      <c r="AEU912" s="9"/>
      <c r="AEV912" s="9"/>
      <c r="AEW912" s="9"/>
      <c r="AEX912" s="9"/>
      <c r="AEY912" s="9"/>
      <c r="AEZ912" s="9"/>
      <c r="AFA912" s="9"/>
      <c r="AFB912" s="9"/>
      <c r="AFC912" s="9"/>
      <c r="AFD912" s="9"/>
      <c r="AFE912" s="9"/>
      <c r="AFF912" s="9"/>
      <c r="AFG912" s="9"/>
      <c r="AFH912" s="9"/>
      <c r="AFI912" s="9"/>
      <c r="AFJ912" s="9"/>
      <c r="AFK912" s="9"/>
      <c r="AFL912" s="9"/>
      <c r="AFM912" s="9"/>
      <c r="AFN912" s="9"/>
      <c r="AFO912" s="9"/>
      <c r="AFP912" s="9"/>
      <c r="AFQ912" s="9"/>
      <c r="AFR912" s="9"/>
      <c r="AFS912" s="9"/>
      <c r="AFT912" s="9"/>
      <c r="AFU912" s="9"/>
      <c r="AFV912" s="9"/>
      <c r="AFW912" s="9"/>
      <c r="AFX912" s="9"/>
      <c r="AFY912" s="9"/>
      <c r="AFZ912" s="9"/>
      <c r="AGA912" s="9"/>
      <c r="AGB912" s="9"/>
      <c r="AGC912" s="9"/>
      <c r="AGD912" s="9"/>
      <c r="AGE912" s="9"/>
      <c r="AGF912" s="9"/>
      <c r="AGG912" s="9"/>
      <c r="AGH912" s="9"/>
      <c r="AGI912" s="9"/>
      <c r="AGJ912" s="9"/>
      <c r="AGK912" s="9"/>
      <c r="AGL912" s="9"/>
      <c r="AGM912" s="9"/>
      <c r="AGN912" s="9"/>
      <c r="AGO912" s="9"/>
      <c r="AGP912" s="9"/>
      <c r="AGQ912" s="9"/>
      <c r="AGR912" s="9"/>
      <c r="AGS912" s="9"/>
      <c r="AGT912" s="9"/>
      <c r="AGU912" s="9"/>
      <c r="AGV912" s="9"/>
      <c r="AGW912" s="9"/>
      <c r="AGX912" s="9"/>
      <c r="AGY912" s="9"/>
      <c r="AGZ912" s="9"/>
      <c r="AHA912" s="9"/>
      <c r="AHB912" s="9"/>
      <c r="AHC912" s="9"/>
      <c r="AHD912" s="9"/>
      <c r="AHE912" s="9"/>
      <c r="AHF912" s="9"/>
      <c r="AHG912" s="9"/>
      <c r="AHH912" s="9"/>
      <c r="AHI912" s="9"/>
      <c r="AHJ912" s="9"/>
      <c r="AHK912" s="9"/>
      <c r="AHL912" s="9"/>
      <c r="AHM912" s="9"/>
      <c r="AHN912" s="9"/>
      <c r="AHO912" s="9"/>
      <c r="AHP912" s="9"/>
      <c r="AHQ912" s="9"/>
      <c r="AHR912" s="9"/>
      <c r="AHS912" s="9"/>
      <c r="AHT912" s="9"/>
      <c r="AHU912" s="9"/>
      <c r="AHV912" s="9"/>
      <c r="AHW912" s="9"/>
      <c r="AHX912" s="9"/>
      <c r="AHY912" s="9"/>
      <c r="AHZ912" s="9"/>
      <c r="AIA912" s="9"/>
      <c r="AIB912" s="9"/>
      <c r="AIC912" s="9"/>
      <c r="AID912" s="9"/>
      <c r="AIE912" s="9"/>
      <c r="AIF912" s="9"/>
      <c r="AIG912" s="9"/>
      <c r="AIH912" s="9"/>
      <c r="AII912" s="9"/>
      <c r="AIJ912" s="9"/>
      <c r="AIK912" s="9"/>
      <c r="AIL912" s="9"/>
      <c r="AIM912" s="9"/>
      <c r="AIN912" s="9"/>
      <c r="AIO912" s="9"/>
      <c r="AIP912" s="9"/>
      <c r="AIQ912" s="9"/>
      <c r="AIR912" s="9"/>
      <c r="AIS912" s="9"/>
      <c r="AIT912" s="9"/>
      <c r="AIU912" s="9"/>
      <c r="AIV912" s="9"/>
      <c r="AIW912" s="9"/>
      <c r="AIX912" s="9"/>
      <c r="AIY912" s="9"/>
      <c r="AIZ912" s="9"/>
      <c r="AJA912" s="9"/>
      <c r="AJB912" s="9"/>
      <c r="AJC912" s="9"/>
      <c r="AJD912" s="9"/>
      <c r="AJE912" s="9"/>
      <c r="AJF912" s="9"/>
      <c r="AJG912" s="9"/>
      <c r="AJH912" s="9"/>
      <c r="AJI912" s="9"/>
      <c r="AJJ912" s="9"/>
      <c r="AJK912" s="9"/>
      <c r="AJL912" s="9"/>
      <c r="AJM912" s="9"/>
      <c r="AJN912" s="9"/>
      <c r="AJO912" s="9"/>
      <c r="AJP912" s="9"/>
      <c r="AJQ912" s="9"/>
      <c r="AJR912" s="9"/>
      <c r="AJS912" s="9"/>
      <c r="AJT912" s="9"/>
      <c r="AJU912" s="9"/>
      <c r="AJV912" s="9"/>
      <c r="AJW912" s="9"/>
      <c r="AJX912" s="9"/>
      <c r="AJY912" s="9"/>
      <c r="AJZ912" s="9"/>
      <c r="AKA912" s="9"/>
      <c r="AKB912" s="9"/>
      <c r="AKC912" s="9"/>
      <c r="AKD912" s="9"/>
      <c r="AKE912" s="9"/>
      <c r="AKF912" s="9"/>
      <c r="AKG912" s="9"/>
      <c r="AKH912" s="9"/>
      <c r="AKI912" s="9"/>
      <c r="AKJ912" s="9"/>
      <c r="AKK912" s="9"/>
      <c r="AKL912" s="9"/>
      <c r="AKM912" s="9"/>
      <c r="AKN912" s="9"/>
      <c r="AKO912" s="9"/>
      <c r="AKP912" s="9"/>
      <c r="AKQ912" s="9"/>
      <c r="AKR912" s="9"/>
      <c r="AKS912" s="9"/>
      <c r="AKT912" s="9"/>
      <c r="AKU912" s="9"/>
      <c r="AKV912" s="9"/>
      <c r="AKW912" s="9"/>
      <c r="AKX912" s="9"/>
      <c r="AKY912" s="9"/>
      <c r="AKZ912" s="9"/>
      <c r="ALA912" s="9"/>
      <c r="ALB912" s="9"/>
      <c r="ALC912" s="9"/>
      <c r="ALD912" s="9"/>
      <c r="ALE912" s="9"/>
      <c r="ALF912" s="9"/>
      <c r="ALG912" s="9"/>
      <c r="ALH912" s="9"/>
      <c r="ALI912" s="9"/>
      <c r="ALJ912" s="9"/>
      <c r="ALK912" s="9"/>
      <c r="ALL912" s="9"/>
      <c r="ALM912" s="9"/>
      <c r="ALN912" s="9"/>
      <c r="ALO912" s="9"/>
      <c r="ALP912" s="9"/>
      <c r="ALQ912" s="9"/>
      <c r="ALR912" s="9"/>
      <c r="ALS912" s="9"/>
      <c r="ALT912" s="9"/>
      <c r="ALU912" s="9"/>
      <c r="ALV912" s="9"/>
      <c r="ALW912" s="9"/>
      <c r="ALX912" s="9"/>
      <c r="ALY912" s="9"/>
      <c r="ALZ912" s="9"/>
      <c r="AMA912" s="9"/>
      <c r="AMB912" s="9"/>
      <c r="AMC912" s="9"/>
      <c r="AMD912" s="9"/>
      <c r="AME912" s="9"/>
      <c r="AMF912" s="9"/>
      <c r="AMG912" s="9"/>
      <c r="AMH912" s="9"/>
      <c r="AMI912" s="9"/>
      <c r="AMJ912" s="9"/>
      <c r="AMK912" s="9"/>
      <c r="AML912" s="9"/>
      <c r="AMM912" s="9"/>
      <c r="AMN912" s="9"/>
      <c r="AMO912" s="9"/>
      <c r="AMP912" s="9"/>
      <c r="AMQ912" s="9"/>
      <c r="AMR912" s="9"/>
      <c r="AMS912" s="9"/>
      <c r="AMT912" s="9"/>
      <c r="AMU912" s="9"/>
      <c r="AMV912" s="9"/>
      <c r="AMW912" s="9"/>
      <c r="AMX912" s="9"/>
      <c r="AMY912" s="9"/>
      <c r="AMZ912" s="9"/>
      <c r="ANA912" s="9"/>
      <c r="ANB912" s="9"/>
      <c r="ANC912" s="9"/>
      <c r="AND912" s="9"/>
      <c r="ANE912" s="9"/>
      <c r="ANF912" s="9"/>
      <c r="ANG912" s="9"/>
      <c r="ANH912" s="9"/>
      <c r="ANI912" s="9"/>
      <c r="ANJ912" s="9"/>
      <c r="ANK912" s="9"/>
      <c r="ANL912" s="9"/>
      <c r="ANM912" s="9"/>
      <c r="ANN912" s="9"/>
      <c r="ANO912" s="9"/>
      <c r="ANP912" s="9"/>
      <c r="ANQ912" s="9"/>
      <c r="ANR912" s="9"/>
      <c r="ANS912" s="9"/>
      <c r="ANT912" s="9"/>
      <c r="ANU912" s="9"/>
      <c r="ANV912" s="9"/>
      <c r="ANW912" s="9"/>
      <c r="ANX912" s="9"/>
      <c r="ANY912" s="9"/>
      <c r="ANZ912" s="9"/>
      <c r="AOA912" s="9"/>
      <c r="AOB912" s="9"/>
      <c r="AOC912" s="9"/>
      <c r="AOD912" s="9"/>
      <c r="AOE912" s="9"/>
      <c r="AOF912" s="9"/>
      <c r="AOG912" s="9"/>
      <c r="AOH912" s="9"/>
      <c r="AOI912" s="9"/>
      <c r="AOJ912" s="9"/>
      <c r="AOK912" s="9"/>
      <c r="AOL912" s="9"/>
      <c r="AOM912" s="9"/>
      <c r="AON912" s="9"/>
      <c r="AOO912" s="9"/>
      <c r="AOP912" s="9"/>
      <c r="AOQ912" s="9"/>
      <c r="AOR912" s="9"/>
      <c r="AOS912" s="9"/>
      <c r="AOT912" s="9"/>
      <c r="AOU912" s="9"/>
      <c r="AOV912" s="9"/>
      <c r="AOW912" s="9"/>
      <c r="AOX912" s="9"/>
      <c r="AOY912" s="9"/>
      <c r="AOZ912" s="9"/>
      <c r="APA912" s="9"/>
      <c r="APB912" s="9"/>
      <c r="APC912" s="9"/>
      <c r="APD912" s="9"/>
      <c r="APE912" s="9"/>
      <c r="APF912" s="9"/>
      <c r="APG912" s="9"/>
      <c r="APH912" s="9"/>
      <c r="API912" s="9"/>
      <c r="APJ912" s="9"/>
      <c r="APK912" s="9"/>
      <c r="APL912" s="9"/>
      <c r="APM912" s="9"/>
      <c r="APN912" s="9"/>
      <c r="APO912" s="9"/>
      <c r="APP912" s="9"/>
      <c r="APQ912" s="9"/>
      <c r="APR912" s="9"/>
      <c r="APS912" s="9"/>
      <c r="APT912" s="9"/>
      <c r="APU912" s="9"/>
      <c r="APV912" s="9"/>
      <c r="APW912" s="9"/>
      <c r="APX912" s="9"/>
      <c r="APY912" s="9"/>
      <c r="APZ912" s="9"/>
      <c r="AQA912" s="9"/>
      <c r="AQB912" s="9"/>
      <c r="AQC912" s="9"/>
      <c r="AQD912" s="9"/>
      <c r="AQE912" s="9"/>
      <c r="AQF912" s="9"/>
      <c r="AQG912" s="9"/>
      <c r="AQH912" s="9"/>
      <c r="AQI912" s="9"/>
      <c r="AQJ912" s="9"/>
      <c r="AQK912" s="9"/>
      <c r="AQL912" s="9"/>
      <c r="AQM912" s="9"/>
      <c r="AQN912" s="9"/>
      <c r="AQO912" s="9"/>
      <c r="AQP912" s="9"/>
      <c r="AQQ912" s="9"/>
      <c r="AQR912" s="9"/>
      <c r="AQS912" s="9"/>
      <c r="AQT912" s="9"/>
      <c r="AQU912" s="9"/>
      <c r="AQV912" s="9"/>
      <c r="AQW912" s="9"/>
      <c r="AQX912" s="9"/>
      <c r="AQY912" s="9"/>
      <c r="AQZ912" s="9"/>
      <c r="ARA912" s="9"/>
      <c r="ARB912" s="9"/>
      <c r="ARC912" s="9"/>
      <c r="ARD912" s="9"/>
      <c r="ARE912" s="9"/>
      <c r="ARF912" s="9"/>
      <c r="ARG912" s="9"/>
      <c r="ARH912" s="9"/>
      <c r="ARI912" s="9"/>
      <c r="ARJ912" s="9"/>
      <c r="ARK912" s="9"/>
      <c r="ARL912" s="9"/>
      <c r="ARM912" s="9"/>
      <c r="ARN912" s="9"/>
      <c r="ARO912" s="9"/>
      <c r="ARP912" s="9"/>
      <c r="ARQ912" s="9"/>
      <c r="ARR912" s="9"/>
      <c r="ARS912" s="9"/>
      <c r="ART912" s="9"/>
      <c r="ARU912" s="9"/>
      <c r="ARV912" s="9"/>
      <c r="ARW912" s="9"/>
      <c r="ARX912" s="9"/>
      <c r="ARY912" s="9"/>
      <c r="ARZ912" s="9"/>
      <c r="ASA912" s="9"/>
      <c r="ASB912" s="9"/>
      <c r="ASC912" s="9"/>
      <c r="ASD912" s="9"/>
      <c r="ASE912" s="9"/>
      <c r="ASF912" s="9"/>
      <c r="ASG912" s="9"/>
      <c r="ASH912" s="9"/>
      <c r="ASI912" s="9"/>
      <c r="ASJ912" s="9"/>
      <c r="ASK912" s="9"/>
      <c r="ASL912" s="9"/>
      <c r="ASM912" s="9"/>
      <c r="ASN912" s="9"/>
      <c r="ASO912" s="9"/>
      <c r="ASP912" s="9"/>
      <c r="ASQ912" s="9"/>
      <c r="ASR912" s="9"/>
      <c r="ASS912" s="9"/>
      <c r="AST912" s="9"/>
      <c r="ASU912" s="9"/>
      <c r="ASV912" s="9"/>
      <c r="ASW912" s="9"/>
      <c r="ASX912" s="9"/>
      <c r="ASY912" s="9"/>
      <c r="ASZ912" s="9"/>
      <c r="ATA912" s="9"/>
      <c r="ATB912" s="9"/>
      <c r="ATC912" s="9"/>
      <c r="ATD912" s="9"/>
      <c r="ATE912" s="9"/>
      <c r="ATF912" s="9"/>
      <c r="ATG912" s="9"/>
      <c r="ATH912" s="9"/>
      <c r="ATI912" s="9"/>
      <c r="ATJ912" s="9"/>
      <c r="ATK912" s="9"/>
      <c r="ATL912" s="9"/>
      <c r="ATM912" s="9"/>
      <c r="ATN912" s="9"/>
      <c r="ATO912" s="9"/>
      <c r="ATP912" s="9"/>
      <c r="ATQ912" s="9"/>
      <c r="ATR912" s="9"/>
      <c r="ATS912" s="9"/>
      <c r="ATT912" s="9"/>
      <c r="ATU912" s="9"/>
      <c r="ATV912" s="9"/>
      <c r="ATW912" s="9"/>
      <c r="ATX912" s="9"/>
      <c r="ATY912" s="9"/>
      <c r="ATZ912" s="9"/>
      <c r="AUA912" s="9"/>
      <c r="AUB912" s="9"/>
      <c r="AUC912" s="9"/>
      <c r="AUD912" s="9"/>
      <c r="AUE912" s="9"/>
      <c r="AUF912" s="9"/>
      <c r="AUG912" s="9"/>
      <c r="AUH912" s="9"/>
      <c r="AUI912" s="9"/>
      <c r="AUJ912" s="9"/>
      <c r="AUK912" s="9"/>
      <c r="AUL912" s="9"/>
      <c r="AUM912" s="9"/>
      <c r="AUN912" s="9"/>
      <c r="AUO912" s="9"/>
      <c r="AUP912" s="9"/>
      <c r="AUQ912" s="9"/>
      <c r="AUR912" s="9"/>
      <c r="AUS912" s="9"/>
      <c r="AUT912" s="9"/>
      <c r="AUU912" s="9"/>
      <c r="AUV912" s="9"/>
      <c r="AUW912" s="9"/>
      <c r="AUX912" s="9"/>
      <c r="AUY912" s="9"/>
      <c r="AUZ912" s="9"/>
      <c r="AVA912" s="9"/>
      <c r="AVB912" s="9"/>
      <c r="AVC912" s="9"/>
      <c r="AVD912" s="9"/>
      <c r="AVE912" s="9"/>
      <c r="AVF912" s="9"/>
      <c r="AVG912" s="9"/>
      <c r="AVH912" s="9"/>
      <c r="AVI912" s="9"/>
      <c r="AVJ912" s="9"/>
      <c r="AVK912" s="9"/>
      <c r="AVL912" s="9"/>
      <c r="AVM912" s="9"/>
      <c r="AVN912" s="9"/>
      <c r="AVO912" s="9"/>
      <c r="AVP912" s="9"/>
      <c r="AVQ912" s="9"/>
      <c r="AVR912" s="9"/>
      <c r="AVS912" s="9"/>
      <c r="AVT912" s="9"/>
      <c r="AVU912" s="9"/>
      <c r="AVV912" s="9"/>
      <c r="AVW912" s="9"/>
      <c r="AVX912" s="9"/>
      <c r="AVY912" s="9"/>
      <c r="AVZ912" s="9"/>
      <c r="AWA912" s="9"/>
      <c r="AWB912" s="9"/>
      <c r="AWC912" s="9"/>
      <c r="AWD912" s="9"/>
      <c r="AWE912" s="9"/>
      <c r="AWF912" s="9"/>
      <c r="AWG912" s="9"/>
      <c r="AWH912" s="9"/>
      <c r="AWI912" s="9"/>
      <c r="AWJ912" s="9"/>
      <c r="AWK912" s="9"/>
      <c r="AWL912" s="9"/>
      <c r="AWM912" s="9"/>
      <c r="AWN912" s="9"/>
      <c r="AWO912" s="9"/>
      <c r="AWP912" s="9"/>
      <c r="AWQ912" s="9"/>
      <c r="AWR912" s="9"/>
      <c r="AWS912" s="9"/>
      <c r="AWT912" s="9"/>
      <c r="AWU912" s="9"/>
      <c r="AWV912" s="9"/>
      <c r="AWW912" s="9"/>
      <c r="AWX912" s="9"/>
      <c r="AWY912" s="9"/>
      <c r="AWZ912" s="9"/>
      <c r="AXA912" s="9"/>
      <c r="AXB912" s="9"/>
      <c r="AXC912" s="9"/>
      <c r="AXD912" s="9"/>
      <c r="AXE912" s="9"/>
      <c r="AXF912" s="9"/>
      <c r="AXG912" s="9"/>
      <c r="AXH912" s="9"/>
      <c r="AXI912" s="9"/>
      <c r="AXJ912" s="9"/>
      <c r="AXK912" s="9"/>
      <c r="AXL912" s="9"/>
      <c r="AXM912" s="9"/>
      <c r="AXN912" s="9"/>
      <c r="AXO912" s="9"/>
      <c r="AXP912" s="9"/>
      <c r="AXQ912" s="9"/>
      <c r="AXR912" s="9"/>
      <c r="AXS912" s="9"/>
      <c r="AXT912" s="9"/>
      <c r="AXU912" s="9"/>
      <c r="AXV912" s="9"/>
      <c r="AXW912" s="9"/>
      <c r="AXX912" s="9"/>
      <c r="AXY912" s="9"/>
      <c r="AXZ912" s="9"/>
      <c r="AYA912" s="9"/>
      <c r="AYB912" s="9"/>
      <c r="AYC912" s="9"/>
      <c r="AYD912" s="9"/>
      <c r="AYE912" s="9"/>
      <c r="AYF912" s="9"/>
      <c r="AYG912" s="9"/>
      <c r="AYH912" s="9"/>
      <c r="AYI912" s="9"/>
      <c r="AYJ912" s="9"/>
      <c r="AYK912" s="9"/>
      <c r="AYL912" s="9"/>
      <c r="AYM912" s="9"/>
      <c r="AYN912" s="9"/>
      <c r="AYO912" s="9"/>
      <c r="AYP912" s="9"/>
      <c r="AYQ912" s="9"/>
      <c r="AYR912" s="9"/>
      <c r="AYS912" s="9"/>
      <c r="AYT912" s="9"/>
      <c r="AYU912" s="9"/>
      <c r="AYV912" s="9"/>
      <c r="AYW912" s="9"/>
      <c r="AYX912" s="9"/>
      <c r="AYY912" s="9"/>
      <c r="AYZ912" s="9"/>
      <c r="AZA912" s="9"/>
      <c r="AZB912" s="9"/>
      <c r="AZC912" s="9"/>
      <c r="AZD912" s="9"/>
      <c r="AZE912" s="9"/>
      <c r="AZF912" s="9"/>
      <c r="AZG912" s="9"/>
      <c r="AZH912" s="9"/>
      <c r="AZI912" s="9"/>
      <c r="AZJ912" s="9"/>
      <c r="AZK912" s="9"/>
      <c r="AZL912" s="9"/>
      <c r="AZM912" s="9"/>
      <c r="AZN912" s="9"/>
      <c r="AZO912" s="9"/>
      <c r="AZP912" s="9"/>
      <c r="AZQ912" s="9"/>
      <c r="AZR912" s="9"/>
      <c r="AZS912" s="9"/>
      <c r="AZT912" s="9"/>
      <c r="AZU912" s="9"/>
      <c r="AZV912" s="9"/>
      <c r="AZW912" s="9"/>
      <c r="AZX912" s="9"/>
      <c r="AZY912" s="9"/>
      <c r="AZZ912" s="9"/>
      <c r="BAA912" s="9"/>
      <c r="BAB912" s="9"/>
      <c r="BAC912" s="9"/>
      <c r="BAD912" s="9"/>
      <c r="BAE912" s="9"/>
      <c r="BAF912" s="9"/>
      <c r="BAG912" s="9"/>
      <c r="BAH912" s="9"/>
      <c r="BAI912" s="9"/>
      <c r="BAJ912" s="9"/>
      <c r="BAK912" s="9"/>
      <c r="BAL912" s="9"/>
      <c r="BAM912" s="9"/>
      <c r="BAN912" s="9"/>
      <c r="BAO912" s="9"/>
      <c r="BAP912" s="9"/>
      <c r="BAQ912" s="9"/>
      <c r="BAR912" s="9"/>
      <c r="BAS912" s="9"/>
      <c r="BAT912" s="9"/>
      <c r="BAU912" s="9"/>
      <c r="BAV912" s="9"/>
      <c r="BAW912" s="9"/>
      <c r="BAX912" s="9"/>
      <c r="BAY912" s="9"/>
      <c r="BAZ912" s="9"/>
      <c r="BBA912" s="9"/>
      <c r="BBB912" s="9"/>
      <c r="BBC912" s="9"/>
      <c r="BBD912" s="9"/>
      <c r="BBE912" s="9"/>
      <c r="BBF912" s="9"/>
      <c r="BBG912" s="9"/>
      <c r="BBH912" s="9"/>
      <c r="BBI912" s="9"/>
      <c r="BBJ912" s="9"/>
      <c r="BBK912" s="9"/>
      <c r="BBL912" s="9"/>
      <c r="BBM912" s="9"/>
      <c r="BBN912" s="9"/>
      <c r="BBO912" s="9"/>
      <c r="BBP912" s="9"/>
      <c r="BBQ912" s="9"/>
      <c r="BBR912" s="9"/>
      <c r="BBS912" s="9"/>
      <c r="BBT912" s="9"/>
      <c r="BBU912" s="9"/>
      <c r="BBV912" s="9"/>
      <c r="BBW912" s="9"/>
      <c r="BBX912" s="9"/>
      <c r="BBY912" s="9"/>
      <c r="BBZ912" s="9"/>
      <c r="BCA912" s="9"/>
      <c r="BCB912" s="9"/>
      <c r="BCC912" s="9"/>
      <c r="BCD912" s="9"/>
      <c r="BCE912" s="9"/>
      <c r="BCF912" s="9"/>
      <c r="BCG912" s="9"/>
      <c r="BCH912" s="9"/>
      <c r="BCI912" s="9"/>
      <c r="BCJ912" s="9"/>
      <c r="BCK912" s="9"/>
      <c r="BCL912" s="9"/>
      <c r="BCM912" s="9"/>
      <c r="BCN912" s="9"/>
      <c r="BCO912" s="9"/>
      <c r="BCP912" s="9"/>
      <c r="BCQ912" s="9"/>
      <c r="BCR912" s="9"/>
      <c r="BCS912" s="9"/>
      <c r="BCT912" s="9"/>
      <c r="BCU912" s="9"/>
      <c r="BCV912" s="9"/>
      <c r="BCW912" s="9"/>
      <c r="BCX912" s="9"/>
      <c r="BCY912" s="9"/>
      <c r="BCZ912" s="9"/>
      <c r="BDA912" s="9"/>
      <c r="BDB912" s="9"/>
      <c r="BDC912" s="9"/>
      <c r="BDD912" s="9"/>
      <c r="BDE912" s="9"/>
      <c r="BDF912" s="9"/>
      <c r="BDG912" s="9"/>
      <c r="BDH912" s="9"/>
      <c r="BDI912" s="9"/>
      <c r="BDJ912" s="9"/>
      <c r="BDK912" s="9"/>
      <c r="BDL912" s="9"/>
      <c r="BDM912" s="9"/>
      <c r="BDN912" s="9"/>
      <c r="BDO912" s="9"/>
      <c r="BDP912" s="9"/>
      <c r="BDQ912" s="9"/>
      <c r="BDR912" s="9"/>
      <c r="BDS912" s="9"/>
      <c r="BDT912" s="9"/>
      <c r="BDU912" s="9"/>
      <c r="BDV912" s="9"/>
      <c r="BDW912" s="9"/>
      <c r="BDX912" s="9"/>
      <c r="BDY912" s="9"/>
      <c r="BDZ912" s="9"/>
      <c r="BEA912" s="9"/>
      <c r="BEB912" s="9"/>
      <c r="BEC912" s="9"/>
      <c r="BED912" s="9"/>
      <c r="BEE912" s="9"/>
      <c r="BEF912" s="9"/>
      <c r="BEG912" s="9"/>
      <c r="BEH912" s="9"/>
      <c r="BEI912" s="9"/>
      <c r="BEJ912" s="9"/>
      <c r="BEK912" s="9"/>
      <c r="BEL912" s="9"/>
      <c r="BEM912" s="9"/>
      <c r="BEN912" s="9"/>
      <c r="BEO912" s="9"/>
      <c r="BEP912" s="9"/>
      <c r="BEQ912" s="9"/>
      <c r="BER912" s="9"/>
      <c r="BES912" s="9"/>
      <c r="BET912" s="9"/>
      <c r="BEU912" s="9"/>
      <c r="BEV912" s="9"/>
      <c r="BEW912" s="9"/>
      <c r="BEX912" s="9"/>
      <c r="BEY912" s="9"/>
      <c r="BEZ912" s="9"/>
      <c r="BFA912" s="9"/>
      <c r="BFB912" s="9"/>
      <c r="BFC912" s="9"/>
      <c r="BFD912" s="9"/>
      <c r="BFE912" s="9"/>
      <c r="BFF912" s="9"/>
      <c r="BFG912" s="9"/>
      <c r="BFH912" s="9"/>
      <c r="BFI912" s="9"/>
      <c r="BFJ912" s="9"/>
      <c r="BFK912" s="9"/>
      <c r="BFL912" s="9"/>
      <c r="BFM912" s="9"/>
      <c r="BFN912" s="9"/>
      <c r="BFO912" s="9"/>
      <c r="BFP912" s="9"/>
      <c r="BFQ912" s="9"/>
      <c r="BFR912" s="9"/>
      <c r="BFS912" s="9"/>
      <c r="BFT912" s="9"/>
      <c r="BFU912" s="9"/>
      <c r="BFV912" s="9"/>
      <c r="BFW912" s="9"/>
      <c r="BFX912" s="9"/>
      <c r="BFY912" s="9"/>
      <c r="BFZ912" s="9"/>
      <c r="BGA912" s="9"/>
      <c r="BGB912" s="9"/>
      <c r="BGC912" s="9"/>
      <c r="BGD912" s="9"/>
      <c r="BGE912" s="9"/>
      <c r="BGF912" s="9"/>
      <c r="BGG912" s="9"/>
      <c r="BGH912" s="9"/>
      <c r="BGI912" s="9"/>
      <c r="BGJ912" s="9"/>
      <c r="BGK912" s="9"/>
      <c r="BGL912" s="9"/>
      <c r="BGM912" s="9"/>
      <c r="BGN912" s="9"/>
      <c r="BGO912" s="9"/>
      <c r="BGP912" s="9"/>
      <c r="BGQ912" s="9"/>
      <c r="BGR912" s="9"/>
      <c r="BGS912" s="9"/>
      <c r="BGT912" s="9"/>
      <c r="BGU912" s="9"/>
      <c r="BGV912" s="9"/>
      <c r="BGW912" s="9"/>
      <c r="BGX912" s="9"/>
      <c r="BGY912" s="9"/>
      <c r="BGZ912" s="9"/>
      <c r="BHA912" s="9"/>
      <c r="BHB912" s="9"/>
      <c r="BHC912" s="9"/>
      <c r="BHD912" s="9"/>
      <c r="BHE912" s="9"/>
      <c r="BHF912" s="9"/>
      <c r="BHG912" s="9"/>
      <c r="BHH912" s="9"/>
      <c r="BHI912" s="9"/>
      <c r="BHJ912" s="9"/>
      <c r="BHK912" s="9"/>
      <c r="BHL912" s="9"/>
      <c r="BHM912" s="9"/>
      <c r="BHN912" s="9"/>
      <c r="BHO912" s="9"/>
      <c r="BHP912" s="9"/>
      <c r="BHQ912" s="9"/>
      <c r="BHR912" s="9"/>
      <c r="BHS912" s="9"/>
      <c r="BHT912" s="9"/>
      <c r="BHU912" s="9"/>
      <c r="BHV912" s="9"/>
      <c r="BHW912" s="9"/>
      <c r="BHX912" s="9"/>
      <c r="BHY912" s="9"/>
      <c r="BHZ912" s="9"/>
      <c r="BIA912" s="9"/>
      <c r="BIB912" s="9"/>
      <c r="BIC912" s="9"/>
      <c r="BID912" s="9"/>
      <c r="BIE912" s="9"/>
      <c r="BIF912" s="9"/>
      <c r="BIG912" s="9"/>
      <c r="BIH912" s="9"/>
      <c r="BII912" s="9"/>
      <c r="BIJ912" s="9"/>
      <c r="BIK912" s="9"/>
      <c r="BIL912" s="9"/>
      <c r="BIM912" s="9"/>
      <c r="BIN912" s="9"/>
      <c r="BIO912" s="9"/>
      <c r="BIP912" s="9"/>
      <c r="BIQ912" s="9"/>
      <c r="BIR912" s="9"/>
      <c r="BIS912" s="9"/>
      <c r="BIT912" s="9"/>
      <c r="BIU912" s="9"/>
      <c r="BIV912" s="9"/>
      <c r="BIW912" s="9"/>
      <c r="BIX912" s="9"/>
      <c r="BIY912" s="9"/>
      <c r="BIZ912" s="9"/>
      <c r="BJA912" s="9"/>
      <c r="BJB912" s="9"/>
      <c r="BJC912" s="9"/>
      <c r="BJD912" s="9"/>
      <c r="BJE912" s="9"/>
      <c r="BJF912" s="9"/>
      <c r="BJG912" s="9"/>
      <c r="BJH912" s="9"/>
      <c r="BJI912" s="9"/>
      <c r="BJJ912" s="9"/>
      <c r="BJK912" s="9"/>
      <c r="BJL912" s="9"/>
      <c r="BJM912" s="9"/>
      <c r="BJN912" s="9"/>
      <c r="BJO912" s="9"/>
      <c r="BJP912" s="9"/>
      <c r="BJQ912" s="9"/>
      <c r="BJR912" s="9"/>
      <c r="BJS912" s="9"/>
      <c r="BJT912" s="9"/>
      <c r="BJU912" s="9"/>
      <c r="BJV912" s="9"/>
      <c r="BJW912" s="9"/>
      <c r="BJX912" s="9"/>
      <c r="BJY912" s="9"/>
      <c r="BJZ912" s="9"/>
      <c r="BKA912" s="9"/>
      <c r="BKB912" s="9"/>
      <c r="BKC912" s="9"/>
      <c r="BKD912" s="9"/>
      <c r="BKE912" s="9"/>
      <c r="BKF912" s="9"/>
      <c r="BKG912" s="9"/>
      <c r="BKH912" s="9"/>
      <c r="BKI912" s="9"/>
      <c r="BKJ912" s="9"/>
      <c r="BKK912" s="9"/>
      <c r="BKL912" s="9"/>
      <c r="BKM912" s="9"/>
      <c r="BKN912" s="9"/>
      <c r="BKO912" s="9"/>
      <c r="BKP912" s="9"/>
      <c r="BKQ912" s="9"/>
      <c r="BKR912" s="9"/>
      <c r="BKS912" s="9"/>
      <c r="BKT912" s="9"/>
      <c r="BKU912" s="9"/>
      <c r="BKV912" s="9"/>
      <c r="BKW912" s="9"/>
      <c r="BKX912" s="9"/>
      <c r="BKY912" s="9"/>
      <c r="BKZ912" s="9"/>
      <c r="BLA912" s="9"/>
      <c r="BLB912" s="9"/>
      <c r="BLC912" s="9"/>
      <c r="BLD912" s="9"/>
      <c r="BLE912" s="9"/>
      <c r="BLF912" s="9"/>
      <c r="BLG912" s="9"/>
      <c r="BLH912" s="9"/>
      <c r="BLI912" s="9"/>
      <c r="BLJ912" s="9"/>
      <c r="BLK912" s="9"/>
      <c r="BLL912" s="9"/>
      <c r="BLM912" s="9"/>
      <c r="BLN912" s="9"/>
      <c r="BLO912" s="9"/>
      <c r="BLP912" s="9"/>
      <c r="BLQ912" s="9"/>
      <c r="BLR912" s="9"/>
      <c r="BLS912" s="9"/>
      <c r="BLT912" s="9"/>
      <c r="BLU912" s="9"/>
      <c r="BLV912" s="9"/>
      <c r="BLW912" s="9"/>
      <c r="BLX912" s="9"/>
      <c r="BLY912" s="9"/>
      <c r="BLZ912" s="9"/>
      <c r="BMA912" s="9"/>
      <c r="BMB912" s="9"/>
      <c r="BMC912" s="9"/>
      <c r="BMD912" s="9"/>
      <c r="BME912" s="9"/>
      <c r="BMF912" s="9"/>
      <c r="BMG912" s="9"/>
      <c r="BMH912" s="9"/>
      <c r="BMI912" s="9"/>
      <c r="BMJ912" s="9"/>
      <c r="BMK912" s="9"/>
      <c r="BML912" s="9"/>
      <c r="BMM912" s="9"/>
      <c r="BMN912" s="9"/>
      <c r="BMO912" s="9"/>
      <c r="BMP912" s="9"/>
      <c r="BMQ912" s="9"/>
      <c r="BMR912" s="9"/>
      <c r="BMS912" s="9"/>
      <c r="BMT912" s="9"/>
      <c r="BMU912" s="9"/>
      <c r="BMV912" s="9"/>
      <c r="BMW912" s="9"/>
      <c r="BMX912" s="9"/>
      <c r="BMY912" s="9"/>
      <c r="BMZ912" s="9"/>
      <c r="BNA912" s="9"/>
      <c r="BNB912" s="9"/>
      <c r="BNC912" s="9"/>
      <c r="BND912" s="9"/>
      <c r="BNE912" s="9"/>
      <c r="BNF912" s="9"/>
      <c r="BNG912" s="9"/>
      <c r="BNH912" s="9"/>
      <c r="BNI912" s="9"/>
      <c r="BNJ912" s="9"/>
      <c r="BNK912" s="9"/>
      <c r="BNL912" s="9"/>
      <c r="BNM912" s="9"/>
      <c r="BNN912" s="9"/>
      <c r="BNO912" s="9"/>
      <c r="BNP912" s="9"/>
      <c r="BNQ912" s="9"/>
      <c r="BNR912" s="9"/>
      <c r="BNS912" s="9"/>
      <c r="BNT912" s="9"/>
      <c r="BNU912" s="9"/>
      <c r="BNV912" s="9"/>
      <c r="BNW912" s="9"/>
      <c r="BNX912" s="9"/>
      <c r="BNY912" s="9"/>
      <c r="BNZ912" s="9"/>
      <c r="BOA912" s="9"/>
      <c r="BOB912" s="9"/>
      <c r="BOC912" s="9"/>
      <c r="BOD912" s="9"/>
      <c r="BOE912" s="9"/>
      <c r="BOF912" s="9"/>
      <c r="BOG912" s="9"/>
      <c r="BOH912" s="9"/>
      <c r="BOI912" s="9"/>
      <c r="BOJ912" s="9"/>
      <c r="BOK912" s="9"/>
      <c r="BOL912" s="9"/>
      <c r="BOM912" s="9"/>
      <c r="BON912" s="9"/>
      <c r="BOO912" s="9"/>
      <c r="BOP912" s="9"/>
      <c r="BOQ912" s="9"/>
      <c r="BOR912" s="9"/>
      <c r="BOS912" s="9"/>
      <c r="BOT912" s="9"/>
      <c r="BOU912" s="9"/>
      <c r="BOV912" s="9"/>
      <c r="BOW912" s="9"/>
      <c r="BOX912" s="9"/>
      <c r="BOY912" s="9"/>
      <c r="BOZ912" s="9"/>
      <c r="BPA912" s="9"/>
      <c r="BPB912" s="9"/>
      <c r="BPC912" s="9"/>
      <c r="BPD912" s="9"/>
      <c r="BPE912" s="9"/>
      <c r="BPF912" s="9"/>
      <c r="BPG912" s="9"/>
      <c r="BPH912" s="9"/>
      <c r="BPI912" s="9"/>
      <c r="BPJ912" s="9"/>
      <c r="BPK912" s="9"/>
      <c r="BPL912" s="9"/>
      <c r="BPM912" s="9"/>
      <c r="BPN912" s="9"/>
      <c r="BPO912" s="9"/>
      <c r="BPP912" s="9"/>
      <c r="BPQ912" s="9"/>
      <c r="BPR912" s="9"/>
      <c r="BPS912" s="9"/>
      <c r="BPT912" s="9"/>
      <c r="BPU912" s="9"/>
      <c r="BPV912" s="9"/>
      <c r="BPW912" s="9"/>
      <c r="BPX912" s="9"/>
      <c r="BPY912" s="9"/>
      <c r="BPZ912" s="9"/>
      <c r="BQA912" s="9"/>
      <c r="BQB912" s="9"/>
      <c r="BQC912" s="9"/>
      <c r="BQD912" s="9"/>
      <c r="BQE912" s="9"/>
      <c r="BQF912" s="9"/>
      <c r="BQG912" s="9"/>
      <c r="BQH912" s="9"/>
      <c r="BQI912" s="9"/>
      <c r="BQJ912" s="9"/>
      <c r="BQK912" s="9"/>
      <c r="BQL912" s="9"/>
      <c r="BQM912" s="9"/>
      <c r="BQN912" s="9"/>
      <c r="BQO912" s="9"/>
      <c r="BQP912" s="9"/>
      <c r="BQQ912" s="9"/>
      <c r="BQR912" s="9"/>
      <c r="BQS912" s="9"/>
      <c r="BQT912" s="9"/>
      <c r="BQU912" s="9"/>
      <c r="BQV912" s="9"/>
      <c r="BQW912" s="9"/>
      <c r="BQX912" s="9"/>
      <c r="BQY912" s="9"/>
      <c r="BQZ912" s="9"/>
      <c r="BRA912" s="9"/>
      <c r="BRB912" s="9"/>
      <c r="BRC912" s="9"/>
      <c r="BRD912" s="9"/>
      <c r="BRE912" s="9"/>
      <c r="BRF912" s="9"/>
      <c r="BRG912" s="9"/>
      <c r="BRH912" s="9"/>
      <c r="BRI912" s="9"/>
      <c r="BRJ912" s="9"/>
      <c r="BRK912" s="9"/>
      <c r="BRL912" s="9"/>
      <c r="BRM912" s="9"/>
      <c r="BRN912" s="9"/>
      <c r="BRO912" s="9"/>
      <c r="BRP912" s="9"/>
      <c r="BRQ912" s="9"/>
      <c r="BRR912" s="9"/>
      <c r="BRS912" s="9"/>
      <c r="BRT912" s="9"/>
      <c r="BRU912" s="9"/>
      <c r="BRV912" s="9"/>
      <c r="BRW912" s="9"/>
      <c r="BRX912" s="9"/>
      <c r="BRY912" s="9"/>
      <c r="BRZ912" s="9"/>
      <c r="BSA912" s="9"/>
      <c r="BSB912" s="9"/>
      <c r="BSC912" s="9"/>
      <c r="BSD912" s="9"/>
      <c r="BSE912" s="9"/>
      <c r="BSF912" s="9"/>
      <c r="BSG912" s="9"/>
      <c r="BSH912" s="9"/>
      <c r="BSI912" s="9"/>
      <c r="BSJ912" s="9"/>
      <c r="BSK912" s="9"/>
      <c r="BSL912" s="9"/>
      <c r="BSM912" s="9"/>
      <c r="BSN912" s="9"/>
      <c r="BSO912" s="9"/>
      <c r="BSP912" s="9"/>
      <c r="BSQ912" s="9"/>
      <c r="BSR912" s="9"/>
      <c r="BSS912" s="9"/>
      <c r="BST912" s="9"/>
      <c r="BSU912" s="9"/>
      <c r="BSV912" s="9"/>
      <c r="BSW912" s="9"/>
      <c r="BSX912" s="9"/>
      <c r="BSY912" s="9"/>
      <c r="BSZ912" s="9"/>
      <c r="BTA912" s="9"/>
    </row>
    <row r="913" spans="1:1873" s="204" customFormat="1" x14ac:dyDescent="0.2">
      <c r="A913" s="283" t="s">
        <v>813</v>
      </c>
      <c r="B913" s="283" t="s">
        <v>814</v>
      </c>
      <c r="C913" s="456">
        <v>1112</v>
      </c>
      <c r="D913" s="283" t="s">
        <v>619</v>
      </c>
      <c r="E913" s="306" t="s">
        <v>1466</v>
      </c>
      <c r="F913" s="306">
        <v>1</v>
      </c>
      <c r="G913" s="283">
        <v>5</v>
      </c>
      <c r="H913" s="454">
        <v>5</v>
      </c>
      <c r="I913" s="283" t="s">
        <v>621</v>
      </c>
      <c r="J913" s="283">
        <v>2000</v>
      </c>
      <c r="K913" s="283" t="s">
        <v>856</v>
      </c>
      <c r="L913" s="283">
        <v>2005</v>
      </c>
      <c r="M913" s="426">
        <v>-9999</v>
      </c>
      <c r="N913" s="454">
        <v>-9999</v>
      </c>
      <c r="O913" s="8"/>
      <c r="P913" s="426">
        <v>53.26</v>
      </c>
      <c r="Q913" s="454">
        <v>-9999</v>
      </c>
      <c r="R913" s="426"/>
      <c r="S913" s="454"/>
      <c r="T913" s="566">
        <f>P913/G913</f>
        <v>10.651999999999999</v>
      </c>
      <c r="U913" s="454">
        <v>-9999</v>
      </c>
      <c r="V913" s="454"/>
      <c r="W913" s="426">
        <v>-9999</v>
      </c>
      <c r="X913" s="454">
        <v>-9999</v>
      </c>
      <c r="Y913" s="454"/>
      <c r="Z913" s="283" t="s">
        <v>793</v>
      </c>
      <c r="AA913" s="455">
        <v>10000</v>
      </c>
      <c r="AB913" s="426">
        <v>0.83299999999999996</v>
      </c>
      <c r="AC913" s="426">
        <v>0.35</v>
      </c>
      <c r="AD913" s="454">
        <v>70</v>
      </c>
      <c r="AE913" s="283" t="s">
        <v>1958</v>
      </c>
      <c r="AF913" s="283">
        <v>5</v>
      </c>
      <c r="AG913" s="454">
        <v>-9999</v>
      </c>
      <c r="AH913" s="283" t="s">
        <v>1083</v>
      </c>
      <c r="AI913" s="283" t="s">
        <v>825</v>
      </c>
      <c r="AJ913" s="454">
        <v>-9999</v>
      </c>
      <c r="AK913" s="454">
        <v>-9999</v>
      </c>
      <c r="AL913" s="454">
        <v>-9999</v>
      </c>
      <c r="AM913" s="454">
        <v>-9999</v>
      </c>
      <c r="AN913" s="283" t="s">
        <v>626</v>
      </c>
      <c r="AO913" s="283" t="s">
        <v>1085</v>
      </c>
      <c r="AP913" s="283" t="s">
        <v>816</v>
      </c>
      <c r="AQ913" s="283" t="s">
        <v>631</v>
      </c>
      <c r="AR913" s="283">
        <v>0</v>
      </c>
      <c r="AS913" s="283">
        <v>-9999</v>
      </c>
      <c r="AT913" s="283">
        <v>-9999</v>
      </c>
      <c r="AU913" s="283">
        <v>0</v>
      </c>
      <c r="AV913" s="283">
        <v>-9999</v>
      </c>
      <c r="AW913" s="283"/>
      <c r="AX913" s="283">
        <v>0</v>
      </c>
      <c r="AY913" s="283">
        <v>-9999</v>
      </c>
      <c r="AZ913" s="283">
        <v>-9999</v>
      </c>
      <c r="BA913" s="283">
        <v>-9999</v>
      </c>
      <c r="BB913" s="283" t="s">
        <v>626</v>
      </c>
      <c r="BC913" s="283" t="s">
        <v>1084</v>
      </c>
      <c r="BD913" s="283"/>
      <c r="BE913" s="283">
        <v>-9999</v>
      </c>
      <c r="BF913" s="283">
        <v>-9999</v>
      </c>
      <c r="BG913" s="283">
        <v>-9999</v>
      </c>
      <c r="BH913" s="283">
        <v>-9999</v>
      </c>
      <c r="BI913" s="283" t="s">
        <v>225</v>
      </c>
      <c r="BJ913" s="249">
        <v>-9999</v>
      </c>
      <c r="BK913" s="249">
        <v>-9999</v>
      </c>
      <c r="BL913" s="426">
        <v>8.02</v>
      </c>
      <c r="BM913" s="249">
        <v>-9999</v>
      </c>
      <c r="BN913" s="249">
        <v>-9999</v>
      </c>
      <c r="BO913" s="249">
        <v>-9999</v>
      </c>
      <c r="BP913" s="249">
        <v>-9999</v>
      </c>
      <c r="BQ913" s="249">
        <v>-9999</v>
      </c>
      <c r="BR913" s="426">
        <v>6.96</v>
      </c>
      <c r="BS913" s="251">
        <v>-9999</v>
      </c>
      <c r="BT913" s="249">
        <v>-9999</v>
      </c>
      <c r="BU913" s="249">
        <v>-9999</v>
      </c>
      <c r="BV913" s="249">
        <v>-9999</v>
      </c>
      <c r="BW913" s="249"/>
      <c r="BX913" s="249">
        <v>-9999</v>
      </c>
      <c r="BY913" s="249">
        <v>-9999</v>
      </c>
      <c r="BZ913" s="249">
        <v>-9999</v>
      </c>
      <c r="CA913" s="331">
        <v>-9999</v>
      </c>
      <c r="CB913" s="439" t="s">
        <v>1407</v>
      </c>
      <c r="CC913" s="306">
        <v>1</v>
      </c>
      <c r="CD913" s="456">
        <v>1112</v>
      </c>
      <c r="CE913" s="398">
        <v>10.651999999999999</v>
      </c>
      <c r="CF913" s="138">
        <v>-9999</v>
      </c>
      <c r="CG913" s="460">
        <v>5</v>
      </c>
      <c r="CH913" s="440" t="s">
        <v>1757</v>
      </c>
      <c r="CI913" s="9"/>
      <c r="CJ913" s="9"/>
      <c r="CK913" s="9"/>
      <c r="CL913" s="9"/>
      <c r="CM913" s="9"/>
      <c r="CN913" s="9"/>
      <c r="CO913" s="9"/>
      <c r="CP913" s="9"/>
      <c r="CQ913" s="9"/>
      <c r="CR913" s="9"/>
      <c r="CS913" s="9"/>
      <c r="CT913" s="9"/>
      <c r="CU913" s="9"/>
      <c r="CV913" s="9"/>
      <c r="CW913" s="9"/>
      <c r="CX913" s="9"/>
      <c r="CY913" s="9"/>
      <c r="CZ913" s="9"/>
      <c r="DA913" s="9"/>
      <c r="DB913" s="9"/>
      <c r="DC913" s="9"/>
      <c r="DD913" s="9"/>
      <c r="DE913" s="9"/>
      <c r="DF913" s="9"/>
      <c r="DG913" s="9"/>
      <c r="DH913" s="9"/>
      <c r="DI913" s="9"/>
      <c r="DJ913" s="9"/>
      <c r="DK913" s="9"/>
      <c r="DL913" s="9"/>
      <c r="DM913" s="9"/>
      <c r="DN913" s="9"/>
      <c r="DO913" s="9"/>
      <c r="DP913" s="9"/>
      <c r="DQ913" s="9"/>
      <c r="DR913" s="9"/>
      <c r="DS913" s="9"/>
      <c r="DT913" s="9"/>
      <c r="DU913" s="9"/>
      <c r="DV913" s="9"/>
      <c r="DW913" s="9"/>
      <c r="DX913" s="9"/>
      <c r="DY913" s="9"/>
      <c r="DZ913" s="9"/>
      <c r="EA913" s="9"/>
      <c r="EB913" s="9"/>
      <c r="EC913" s="9"/>
      <c r="ED913" s="9"/>
      <c r="EE913" s="9"/>
      <c r="EF913" s="9"/>
      <c r="EG913" s="9"/>
      <c r="EH913" s="9"/>
      <c r="EI913" s="9"/>
      <c r="EJ913" s="9"/>
      <c r="EK913" s="9"/>
      <c r="EL913" s="9"/>
      <c r="EM913" s="9"/>
      <c r="EN913" s="9"/>
      <c r="EO913" s="9"/>
      <c r="EP913" s="9"/>
      <c r="EQ913" s="9"/>
      <c r="ER913" s="9"/>
      <c r="ES913" s="9"/>
      <c r="ET913" s="9"/>
      <c r="EU913" s="9"/>
      <c r="EV913" s="9"/>
      <c r="EW913" s="9"/>
      <c r="EX913" s="9"/>
      <c r="EY913" s="9"/>
      <c r="EZ913" s="9"/>
      <c r="FA913" s="9"/>
      <c r="FB913" s="9"/>
      <c r="FC913" s="9"/>
      <c r="FD913" s="9"/>
      <c r="FE913" s="9"/>
      <c r="FF913" s="9"/>
      <c r="FG913" s="9"/>
      <c r="FH913" s="9"/>
      <c r="FI913" s="9"/>
      <c r="FJ913" s="9"/>
      <c r="FK913" s="9"/>
      <c r="FL913" s="9"/>
      <c r="FM913" s="9"/>
      <c r="FN913" s="9"/>
      <c r="FO913" s="9"/>
      <c r="FP913" s="9"/>
      <c r="FQ913" s="9"/>
      <c r="FR913" s="9"/>
      <c r="FS913" s="9"/>
      <c r="FT913" s="9"/>
      <c r="FU913" s="9"/>
      <c r="FV913" s="9"/>
      <c r="FW913" s="9"/>
      <c r="FX913" s="9"/>
      <c r="FY913" s="9"/>
      <c r="FZ913" s="9"/>
      <c r="GA913" s="9"/>
      <c r="GB913" s="9"/>
      <c r="GC913" s="9"/>
      <c r="GD913" s="9"/>
      <c r="GE913" s="9"/>
      <c r="GF913" s="9"/>
      <c r="GG913" s="9"/>
      <c r="GH913" s="9"/>
      <c r="GI913" s="9"/>
      <c r="GJ913" s="9"/>
      <c r="GK913" s="9"/>
      <c r="GL913" s="9"/>
      <c r="GM913" s="9"/>
      <c r="GN913" s="9"/>
      <c r="GO913" s="9"/>
      <c r="GP913" s="9"/>
      <c r="GQ913" s="9"/>
      <c r="GR913" s="9"/>
      <c r="GS913" s="9"/>
      <c r="GT913" s="9"/>
      <c r="GU913" s="9"/>
      <c r="GV913" s="9"/>
      <c r="GW913" s="9"/>
      <c r="GX913" s="9"/>
      <c r="GY913" s="9"/>
      <c r="GZ913" s="9"/>
      <c r="HA913" s="9"/>
      <c r="HB913" s="9"/>
      <c r="HC913" s="9"/>
      <c r="HD913" s="9"/>
      <c r="HE913" s="9"/>
      <c r="HF913" s="9"/>
      <c r="HG913" s="9"/>
      <c r="HH913" s="9"/>
      <c r="HI913" s="9"/>
      <c r="HJ913" s="9"/>
      <c r="HK913" s="9"/>
      <c r="HL913" s="9"/>
      <c r="HM913" s="9"/>
      <c r="HN913" s="9"/>
      <c r="HO913" s="9"/>
      <c r="HP913" s="9"/>
      <c r="HQ913" s="9"/>
      <c r="HR913" s="9"/>
      <c r="HS913" s="9"/>
      <c r="HT913" s="9"/>
      <c r="HU913" s="9"/>
      <c r="HV913" s="9"/>
      <c r="HW913" s="9"/>
      <c r="HX913" s="9"/>
      <c r="HY913" s="9"/>
      <c r="HZ913" s="9"/>
      <c r="IA913" s="9"/>
      <c r="IB913" s="9"/>
      <c r="IC913" s="9"/>
      <c r="ID913" s="9"/>
      <c r="IE913" s="9"/>
      <c r="IF913" s="9"/>
      <c r="IG913" s="9"/>
      <c r="IH913" s="9"/>
      <c r="II913" s="9"/>
      <c r="IJ913" s="9"/>
      <c r="IK913" s="9"/>
      <c r="IL913" s="9"/>
      <c r="IM913" s="9"/>
      <c r="IN913" s="9"/>
      <c r="IO913" s="9"/>
      <c r="IP913" s="9"/>
      <c r="IQ913" s="9"/>
      <c r="IR913" s="9"/>
      <c r="IS913" s="9"/>
      <c r="IT913" s="9"/>
      <c r="IU913" s="9"/>
      <c r="IV913" s="9"/>
      <c r="IW913" s="9"/>
      <c r="IX913" s="9"/>
      <c r="IY913" s="9"/>
      <c r="IZ913" s="9"/>
      <c r="JA913" s="9"/>
      <c r="JB913" s="9"/>
      <c r="JC913" s="9"/>
      <c r="JD913" s="9"/>
      <c r="JE913" s="9"/>
      <c r="JF913" s="9"/>
      <c r="JG913" s="9"/>
      <c r="JH913" s="9"/>
      <c r="JI913" s="9"/>
      <c r="JJ913" s="9"/>
      <c r="JK913" s="9"/>
      <c r="JL913" s="9"/>
      <c r="JM913" s="9"/>
      <c r="JN913" s="9"/>
      <c r="JO913" s="9"/>
      <c r="JP913" s="9"/>
      <c r="JQ913" s="9"/>
      <c r="JR913" s="9"/>
      <c r="JS913" s="9"/>
      <c r="JT913" s="9"/>
      <c r="JU913" s="9"/>
      <c r="JV913" s="9"/>
      <c r="JW913" s="9"/>
      <c r="JX913" s="9"/>
      <c r="JY913" s="9"/>
      <c r="JZ913" s="9"/>
      <c r="KA913" s="9"/>
      <c r="KB913" s="9"/>
      <c r="KC913" s="9"/>
      <c r="KD913" s="9"/>
      <c r="KE913" s="9"/>
      <c r="KF913" s="9"/>
      <c r="KG913" s="9"/>
      <c r="KH913" s="9"/>
      <c r="KI913" s="9"/>
      <c r="KJ913" s="9"/>
      <c r="KK913" s="9"/>
      <c r="KL913" s="9"/>
      <c r="KM913" s="9"/>
      <c r="KN913" s="9"/>
      <c r="KO913" s="9"/>
      <c r="KP913" s="9"/>
      <c r="KQ913" s="9"/>
      <c r="KR913" s="9"/>
      <c r="KS913" s="9"/>
      <c r="KT913" s="9"/>
      <c r="KU913" s="9"/>
      <c r="KV913" s="9"/>
      <c r="KW913" s="9"/>
      <c r="KX913" s="9"/>
      <c r="KY913" s="9"/>
      <c r="KZ913" s="9"/>
      <c r="LA913" s="9"/>
      <c r="LB913" s="9"/>
      <c r="LC913" s="9"/>
      <c r="LD913" s="9"/>
      <c r="LE913" s="9"/>
      <c r="LF913" s="9"/>
      <c r="LG913" s="9"/>
      <c r="LH913" s="9"/>
      <c r="LI913" s="9"/>
      <c r="LJ913" s="9"/>
      <c r="LK913" s="9"/>
      <c r="LL913" s="9"/>
      <c r="LM913" s="9"/>
      <c r="LN913" s="9"/>
      <c r="LO913" s="9"/>
      <c r="LP913" s="9"/>
      <c r="LQ913" s="9"/>
      <c r="LR913" s="9"/>
      <c r="LS913" s="9"/>
      <c r="LT913" s="9"/>
      <c r="LU913" s="9"/>
      <c r="LV913" s="9"/>
      <c r="LW913" s="9"/>
      <c r="LX913" s="9"/>
      <c r="LY913" s="9"/>
      <c r="LZ913" s="9"/>
      <c r="MA913" s="9"/>
      <c r="MB913" s="9"/>
      <c r="MC913" s="9"/>
      <c r="MD913" s="9"/>
      <c r="ME913" s="9"/>
      <c r="MF913" s="9"/>
      <c r="MG913" s="9"/>
      <c r="MH913" s="9"/>
      <c r="MI913" s="9"/>
      <c r="MJ913" s="9"/>
      <c r="MK913" s="9"/>
      <c r="ML913" s="9"/>
      <c r="MM913" s="9"/>
      <c r="MN913" s="9"/>
      <c r="MO913" s="9"/>
      <c r="MP913" s="9"/>
      <c r="MQ913" s="9"/>
      <c r="MR913" s="9"/>
      <c r="MS913" s="9"/>
      <c r="MT913" s="9"/>
      <c r="MU913" s="9"/>
      <c r="MV913" s="9"/>
      <c r="MW913" s="9"/>
      <c r="MX913" s="9"/>
      <c r="MY913" s="9"/>
      <c r="MZ913" s="9"/>
      <c r="NA913" s="9"/>
      <c r="NB913" s="9"/>
      <c r="NC913" s="9"/>
      <c r="ND913" s="9"/>
      <c r="NE913" s="9"/>
      <c r="NF913" s="9"/>
      <c r="NG913" s="9"/>
      <c r="NH913" s="9"/>
      <c r="NI913" s="9"/>
      <c r="NJ913" s="9"/>
      <c r="NK913" s="9"/>
      <c r="NL913" s="9"/>
      <c r="NM913" s="9"/>
      <c r="NN913" s="9"/>
      <c r="NO913" s="9"/>
      <c r="NP913" s="9"/>
      <c r="NQ913" s="9"/>
      <c r="NR913" s="9"/>
      <c r="NS913" s="9"/>
      <c r="NT913" s="9"/>
      <c r="NU913" s="9"/>
      <c r="NV913" s="9"/>
      <c r="NW913" s="9"/>
      <c r="NX913" s="9"/>
      <c r="NY913" s="9"/>
      <c r="NZ913" s="9"/>
      <c r="OA913" s="9"/>
      <c r="OB913" s="9"/>
      <c r="OC913" s="9"/>
      <c r="OD913" s="9"/>
      <c r="OE913" s="9"/>
      <c r="OF913" s="9"/>
      <c r="OG913" s="9"/>
      <c r="OH913" s="9"/>
      <c r="OI913" s="9"/>
      <c r="OJ913" s="9"/>
      <c r="OK913" s="9"/>
      <c r="OL913" s="9"/>
      <c r="OM913" s="9"/>
      <c r="ON913" s="9"/>
      <c r="OO913" s="9"/>
      <c r="OP913" s="9"/>
      <c r="OQ913" s="9"/>
      <c r="OR913" s="9"/>
      <c r="OS913" s="9"/>
      <c r="OT913" s="9"/>
      <c r="OU913" s="9"/>
      <c r="OV913" s="9"/>
      <c r="OW913" s="9"/>
      <c r="OX913" s="9"/>
      <c r="OY913" s="9"/>
      <c r="OZ913" s="9"/>
      <c r="PA913" s="9"/>
      <c r="PB913" s="9"/>
      <c r="PC913" s="9"/>
      <c r="PD913" s="9"/>
      <c r="PE913" s="9"/>
      <c r="PF913" s="9"/>
      <c r="PG913" s="9"/>
      <c r="PH913" s="9"/>
      <c r="PI913" s="9"/>
      <c r="PJ913" s="9"/>
      <c r="PK913" s="9"/>
      <c r="PL913" s="9"/>
      <c r="PM913" s="9"/>
      <c r="PN913" s="9"/>
      <c r="PO913" s="9"/>
      <c r="PP913" s="9"/>
      <c r="PQ913" s="9"/>
      <c r="PR913" s="9"/>
      <c r="PS913" s="9"/>
      <c r="PT913" s="9"/>
      <c r="PU913" s="9"/>
      <c r="PV913" s="9"/>
      <c r="PW913" s="9"/>
      <c r="PX913" s="9"/>
      <c r="PY913" s="9"/>
      <c r="PZ913" s="9"/>
      <c r="QA913" s="9"/>
      <c r="QB913" s="9"/>
      <c r="QC913" s="9"/>
      <c r="QD913" s="9"/>
      <c r="QE913" s="9"/>
      <c r="QF913" s="9"/>
      <c r="QG913" s="9"/>
      <c r="QH913" s="9"/>
      <c r="QI913" s="9"/>
      <c r="QJ913" s="9"/>
      <c r="QK913" s="9"/>
      <c r="QL913" s="9"/>
      <c r="QM913" s="9"/>
      <c r="QN913" s="9"/>
      <c r="QO913" s="9"/>
      <c r="QP913" s="9"/>
      <c r="QQ913" s="9"/>
      <c r="QR913" s="9"/>
      <c r="QS913" s="9"/>
      <c r="QT913" s="9"/>
      <c r="QU913" s="9"/>
      <c r="QV913" s="9"/>
      <c r="QW913" s="9"/>
      <c r="QX913" s="9"/>
      <c r="QY913" s="9"/>
      <c r="QZ913" s="9"/>
      <c r="RA913" s="9"/>
      <c r="RB913" s="9"/>
      <c r="RC913" s="9"/>
      <c r="RD913" s="9"/>
      <c r="RE913" s="9"/>
      <c r="RF913" s="9"/>
      <c r="RG913" s="9"/>
      <c r="RH913" s="9"/>
      <c r="RI913" s="9"/>
      <c r="RJ913" s="9"/>
      <c r="RK913" s="9"/>
      <c r="RL913" s="9"/>
      <c r="RM913" s="9"/>
      <c r="RN913" s="9"/>
      <c r="RO913" s="9"/>
      <c r="RP913" s="9"/>
      <c r="RQ913" s="9"/>
      <c r="RR913" s="9"/>
      <c r="RS913" s="9"/>
      <c r="RT913" s="9"/>
      <c r="RU913" s="9"/>
      <c r="RV913" s="9"/>
      <c r="RW913" s="9"/>
      <c r="RX913" s="9"/>
      <c r="RY913" s="9"/>
      <c r="RZ913" s="9"/>
      <c r="SA913" s="9"/>
      <c r="SB913" s="9"/>
      <c r="SC913" s="9"/>
      <c r="SD913" s="9"/>
      <c r="SE913" s="9"/>
      <c r="SF913" s="9"/>
      <c r="SG913" s="9"/>
      <c r="SH913" s="9"/>
      <c r="SI913" s="9"/>
      <c r="SJ913" s="9"/>
      <c r="SK913" s="9"/>
      <c r="SL913" s="9"/>
      <c r="SM913" s="9"/>
      <c r="SN913" s="9"/>
      <c r="SO913" s="9"/>
      <c r="SP913" s="9"/>
      <c r="SQ913" s="9"/>
      <c r="SR913" s="9"/>
      <c r="SS913" s="9"/>
      <c r="ST913" s="9"/>
      <c r="SU913" s="9"/>
      <c r="SV913" s="9"/>
      <c r="SW913" s="9"/>
      <c r="SX913" s="9"/>
      <c r="SY913" s="9"/>
      <c r="SZ913" s="9"/>
      <c r="TA913" s="9"/>
      <c r="TB913" s="9"/>
      <c r="TC913" s="9"/>
      <c r="TD913" s="9"/>
      <c r="TE913" s="9"/>
      <c r="TF913" s="9"/>
      <c r="TG913" s="9"/>
      <c r="TH913" s="9"/>
      <c r="TI913" s="9"/>
      <c r="TJ913" s="9"/>
      <c r="TK913" s="9"/>
      <c r="TL913" s="9"/>
      <c r="TM913" s="9"/>
      <c r="TN913" s="9"/>
      <c r="TO913" s="9"/>
      <c r="TP913" s="9"/>
      <c r="TQ913" s="9"/>
      <c r="TR913" s="9"/>
      <c r="TS913" s="9"/>
      <c r="TT913" s="9"/>
      <c r="TU913" s="9"/>
      <c r="TV913" s="9"/>
      <c r="TW913" s="9"/>
      <c r="TX913" s="9"/>
      <c r="TY913" s="9"/>
      <c r="TZ913" s="9"/>
      <c r="UA913" s="9"/>
      <c r="UB913" s="9"/>
      <c r="UC913" s="9"/>
      <c r="UD913" s="9"/>
      <c r="UE913" s="9"/>
      <c r="UF913" s="9"/>
      <c r="UG913" s="9"/>
      <c r="UH913" s="9"/>
      <c r="UI913" s="9"/>
      <c r="UJ913" s="9"/>
      <c r="UK913" s="9"/>
      <c r="UL913" s="9"/>
      <c r="UM913" s="9"/>
      <c r="UN913" s="9"/>
      <c r="UO913" s="9"/>
      <c r="UP913" s="9"/>
      <c r="UQ913" s="9"/>
      <c r="UR913" s="9"/>
      <c r="US913" s="9"/>
      <c r="UT913" s="9"/>
      <c r="UU913" s="9"/>
      <c r="UV913" s="9"/>
      <c r="UW913" s="9"/>
      <c r="UX913" s="9"/>
      <c r="UY913" s="9"/>
      <c r="UZ913" s="9"/>
      <c r="VA913" s="9"/>
      <c r="VB913" s="9"/>
      <c r="VC913" s="9"/>
      <c r="VD913" s="9"/>
      <c r="VE913" s="9"/>
      <c r="VF913" s="9"/>
      <c r="VG913" s="9"/>
      <c r="VH913" s="9"/>
      <c r="VI913" s="9"/>
      <c r="VJ913" s="9"/>
      <c r="VK913" s="9"/>
      <c r="VL913" s="9"/>
      <c r="VM913" s="9"/>
      <c r="VN913" s="9"/>
      <c r="VO913" s="9"/>
      <c r="VP913" s="9"/>
      <c r="VQ913" s="9"/>
      <c r="VR913" s="9"/>
      <c r="VS913" s="9"/>
      <c r="VT913" s="9"/>
      <c r="VU913" s="9"/>
      <c r="VV913" s="9"/>
      <c r="VW913" s="9"/>
      <c r="VX913" s="9"/>
      <c r="VY913" s="9"/>
      <c r="VZ913" s="9"/>
      <c r="WA913" s="9"/>
      <c r="WB913" s="9"/>
      <c r="WC913" s="9"/>
      <c r="WD913" s="9"/>
      <c r="WE913" s="9"/>
      <c r="WF913" s="9"/>
      <c r="WG913" s="9"/>
      <c r="WH913" s="9"/>
      <c r="WI913" s="9"/>
      <c r="WJ913" s="9"/>
      <c r="WK913" s="9"/>
      <c r="WL913" s="9"/>
      <c r="WM913" s="9"/>
      <c r="WN913" s="9"/>
      <c r="WO913" s="9"/>
      <c r="WP913" s="9"/>
      <c r="WQ913" s="9"/>
      <c r="WR913" s="9"/>
      <c r="WS913" s="9"/>
      <c r="WT913" s="9"/>
      <c r="WU913" s="9"/>
      <c r="WV913" s="9"/>
      <c r="WW913" s="9"/>
      <c r="WX913" s="9"/>
      <c r="WY913" s="9"/>
      <c r="WZ913" s="9"/>
      <c r="XA913" s="9"/>
      <c r="XB913" s="9"/>
      <c r="XC913" s="9"/>
      <c r="XD913" s="9"/>
      <c r="XE913" s="9"/>
      <c r="XF913" s="9"/>
      <c r="XG913" s="9"/>
      <c r="XH913" s="9"/>
      <c r="XI913" s="9"/>
      <c r="XJ913" s="9"/>
      <c r="XK913" s="9"/>
      <c r="XL913" s="9"/>
      <c r="XM913" s="9"/>
      <c r="XN913" s="9"/>
      <c r="XO913" s="9"/>
      <c r="XP913" s="9"/>
      <c r="XQ913" s="9"/>
      <c r="XR913" s="9"/>
      <c r="XS913" s="9"/>
      <c r="XT913" s="9"/>
      <c r="XU913" s="9"/>
      <c r="XV913" s="9"/>
      <c r="XW913" s="9"/>
      <c r="XX913" s="9"/>
      <c r="XY913" s="9"/>
      <c r="XZ913" s="9"/>
      <c r="YA913" s="9"/>
      <c r="YB913" s="9"/>
      <c r="YC913" s="9"/>
      <c r="YD913" s="9"/>
      <c r="YE913" s="9"/>
      <c r="YF913" s="9"/>
      <c r="YG913" s="9"/>
      <c r="YH913" s="9"/>
      <c r="YI913" s="9"/>
      <c r="YJ913" s="9"/>
      <c r="YK913" s="9"/>
      <c r="YL913" s="9"/>
      <c r="YM913" s="9"/>
      <c r="YN913" s="9"/>
      <c r="YO913" s="9"/>
      <c r="YP913" s="9"/>
      <c r="YQ913" s="9"/>
      <c r="YR913" s="9"/>
      <c r="YS913" s="9"/>
      <c r="YT913" s="9"/>
      <c r="YU913" s="9"/>
      <c r="YV913" s="9"/>
      <c r="YW913" s="9"/>
      <c r="YX913" s="9"/>
      <c r="YY913" s="9"/>
      <c r="YZ913" s="9"/>
      <c r="ZA913" s="9"/>
      <c r="ZB913" s="9"/>
      <c r="ZC913" s="9"/>
      <c r="ZD913" s="9"/>
      <c r="ZE913" s="9"/>
      <c r="ZF913" s="9"/>
      <c r="ZG913" s="9"/>
      <c r="ZH913" s="9"/>
      <c r="ZI913" s="9"/>
      <c r="ZJ913" s="9"/>
      <c r="ZK913" s="9"/>
      <c r="ZL913" s="9"/>
      <c r="ZM913" s="9"/>
      <c r="ZN913" s="9"/>
      <c r="ZO913" s="9"/>
      <c r="ZP913" s="9"/>
      <c r="ZQ913" s="9"/>
      <c r="ZR913" s="9"/>
      <c r="ZS913" s="9"/>
      <c r="ZT913" s="9"/>
      <c r="ZU913" s="9"/>
      <c r="ZV913" s="9"/>
      <c r="ZW913" s="9"/>
      <c r="ZX913" s="9"/>
      <c r="ZY913" s="9"/>
      <c r="ZZ913" s="9"/>
      <c r="AAA913" s="9"/>
      <c r="AAB913" s="9"/>
      <c r="AAC913" s="9"/>
      <c r="AAD913" s="9"/>
      <c r="AAE913" s="9"/>
      <c r="AAF913" s="9"/>
      <c r="AAG913" s="9"/>
      <c r="AAH913" s="9"/>
      <c r="AAI913" s="9"/>
      <c r="AAJ913" s="9"/>
      <c r="AAK913" s="9"/>
      <c r="AAL913" s="9"/>
      <c r="AAM913" s="9"/>
      <c r="AAN913" s="9"/>
      <c r="AAO913" s="9"/>
      <c r="AAP913" s="9"/>
      <c r="AAQ913" s="9"/>
      <c r="AAR913" s="9"/>
      <c r="AAS913" s="9"/>
      <c r="AAT913" s="9"/>
      <c r="AAU913" s="9"/>
      <c r="AAV913" s="9"/>
      <c r="AAW913" s="9"/>
      <c r="AAX913" s="9"/>
      <c r="AAY913" s="9"/>
      <c r="AAZ913" s="9"/>
      <c r="ABA913" s="9"/>
      <c r="ABB913" s="9"/>
      <c r="ABC913" s="9"/>
      <c r="ABD913" s="9"/>
      <c r="ABE913" s="9"/>
      <c r="ABF913" s="9"/>
      <c r="ABG913" s="9"/>
      <c r="ABH913" s="9"/>
      <c r="ABI913" s="9"/>
      <c r="ABJ913" s="9"/>
      <c r="ABK913" s="9"/>
      <c r="ABL913" s="9"/>
      <c r="ABM913" s="9"/>
      <c r="ABN913" s="9"/>
      <c r="ABO913" s="9"/>
      <c r="ABP913" s="9"/>
      <c r="ABQ913" s="9"/>
      <c r="ABR913" s="9"/>
      <c r="ABS913" s="9"/>
      <c r="ABT913" s="9"/>
      <c r="ABU913" s="9"/>
      <c r="ABV913" s="9"/>
      <c r="ABW913" s="9"/>
      <c r="ABX913" s="9"/>
      <c r="ABY913" s="9"/>
      <c r="ABZ913" s="9"/>
      <c r="ACA913" s="9"/>
      <c r="ACB913" s="9"/>
      <c r="ACC913" s="9"/>
      <c r="ACD913" s="9"/>
      <c r="ACE913" s="9"/>
      <c r="ACF913" s="9"/>
      <c r="ACG913" s="9"/>
      <c r="ACH913" s="9"/>
      <c r="ACI913" s="9"/>
      <c r="ACJ913" s="9"/>
      <c r="ACK913" s="9"/>
      <c r="ACL913" s="9"/>
      <c r="ACM913" s="9"/>
      <c r="ACN913" s="9"/>
      <c r="ACO913" s="9"/>
      <c r="ACP913" s="9"/>
      <c r="ACQ913" s="9"/>
      <c r="ACR913" s="9"/>
      <c r="ACS913" s="9"/>
      <c r="ACT913" s="9"/>
      <c r="ACU913" s="9"/>
      <c r="ACV913" s="9"/>
      <c r="ACW913" s="9"/>
      <c r="ACX913" s="9"/>
      <c r="ACY913" s="9"/>
      <c r="ACZ913" s="9"/>
      <c r="ADA913" s="9"/>
      <c r="ADB913" s="9"/>
      <c r="ADC913" s="9"/>
      <c r="ADD913" s="9"/>
      <c r="ADE913" s="9"/>
      <c r="ADF913" s="9"/>
      <c r="ADG913" s="9"/>
      <c r="ADH913" s="9"/>
      <c r="ADI913" s="9"/>
      <c r="ADJ913" s="9"/>
      <c r="ADK913" s="9"/>
      <c r="ADL913" s="9"/>
      <c r="ADM913" s="9"/>
      <c r="ADN913" s="9"/>
      <c r="ADO913" s="9"/>
      <c r="ADP913" s="9"/>
      <c r="ADQ913" s="9"/>
      <c r="ADR913" s="9"/>
      <c r="ADS913" s="9"/>
      <c r="ADT913" s="9"/>
      <c r="ADU913" s="9"/>
      <c r="ADV913" s="9"/>
      <c r="ADW913" s="9"/>
      <c r="ADX913" s="9"/>
      <c r="ADY913" s="9"/>
      <c r="ADZ913" s="9"/>
      <c r="AEA913" s="9"/>
      <c r="AEB913" s="9"/>
      <c r="AEC913" s="9"/>
      <c r="AED913" s="9"/>
      <c r="AEE913" s="9"/>
      <c r="AEF913" s="9"/>
      <c r="AEG913" s="9"/>
      <c r="AEH913" s="9"/>
      <c r="AEI913" s="9"/>
      <c r="AEJ913" s="9"/>
      <c r="AEK913" s="9"/>
      <c r="AEL913" s="9"/>
      <c r="AEM913" s="9"/>
      <c r="AEN913" s="9"/>
      <c r="AEO913" s="9"/>
      <c r="AEP913" s="9"/>
      <c r="AEQ913" s="9"/>
      <c r="AER913" s="9"/>
      <c r="AES913" s="9"/>
      <c r="AET913" s="9"/>
      <c r="AEU913" s="9"/>
      <c r="AEV913" s="9"/>
      <c r="AEW913" s="9"/>
      <c r="AEX913" s="9"/>
      <c r="AEY913" s="9"/>
      <c r="AEZ913" s="9"/>
      <c r="AFA913" s="9"/>
      <c r="AFB913" s="9"/>
      <c r="AFC913" s="9"/>
      <c r="AFD913" s="9"/>
      <c r="AFE913" s="9"/>
      <c r="AFF913" s="9"/>
      <c r="AFG913" s="9"/>
      <c r="AFH913" s="9"/>
      <c r="AFI913" s="9"/>
      <c r="AFJ913" s="9"/>
      <c r="AFK913" s="9"/>
      <c r="AFL913" s="9"/>
      <c r="AFM913" s="9"/>
      <c r="AFN913" s="9"/>
      <c r="AFO913" s="9"/>
      <c r="AFP913" s="9"/>
      <c r="AFQ913" s="9"/>
      <c r="AFR913" s="9"/>
      <c r="AFS913" s="9"/>
      <c r="AFT913" s="9"/>
      <c r="AFU913" s="9"/>
      <c r="AFV913" s="9"/>
      <c r="AFW913" s="9"/>
      <c r="AFX913" s="9"/>
      <c r="AFY913" s="9"/>
      <c r="AFZ913" s="9"/>
      <c r="AGA913" s="9"/>
      <c r="AGB913" s="9"/>
      <c r="AGC913" s="9"/>
      <c r="AGD913" s="9"/>
      <c r="AGE913" s="9"/>
      <c r="AGF913" s="9"/>
      <c r="AGG913" s="9"/>
      <c r="AGH913" s="9"/>
      <c r="AGI913" s="9"/>
      <c r="AGJ913" s="9"/>
      <c r="AGK913" s="9"/>
      <c r="AGL913" s="9"/>
      <c r="AGM913" s="9"/>
      <c r="AGN913" s="9"/>
      <c r="AGO913" s="9"/>
      <c r="AGP913" s="9"/>
      <c r="AGQ913" s="9"/>
      <c r="AGR913" s="9"/>
      <c r="AGS913" s="9"/>
      <c r="AGT913" s="9"/>
      <c r="AGU913" s="9"/>
      <c r="AGV913" s="9"/>
      <c r="AGW913" s="9"/>
      <c r="AGX913" s="9"/>
      <c r="AGY913" s="9"/>
      <c r="AGZ913" s="9"/>
      <c r="AHA913" s="9"/>
      <c r="AHB913" s="9"/>
      <c r="AHC913" s="9"/>
      <c r="AHD913" s="9"/>
      <c r="AHE913" s="9"/>
      <c r="AHF913" s="9"/>
      <c r="AHG913" s="9"/>
      <c r="AHH913" s="9"/>
      <c r="AHI913" s="9"/>
      <c r="AHJ913" s="9"/>
      <c r="AHK913" s="9"/>
      <c r="AHL913" s="9"/>
      <c r="AHM913" s="9"/>
      <c r="AHN913" s="9"/>
      <c r="AHO913" s="9"/>
      <c r="AHP913" s="9"/>
      <c r="AHQ913" s="9"/>
      <c r="AHR913" s="9"/>
      <c r="AHS913" s="9"/>
      <c r="AHT913" s="9"/>
      <c r="AHU913" s="9"/>
      <c r="AHV913" s="9"/>
      <c r="AHW913" s="9"/>
      <c r="AHX913" s="9"/>
      <c r="AHY913" s="9"/>
      <c r="AHZ913" s="9"/>
      <c r="AIA913" s="9"/>
      <c r="AIB913" s="9"/>
      <c r="AIC913" s="9"/>
      <c r="AID913" s="9"/>
      <c r="AIE913" s="9"/>
      <c r="AIF913" s="9"/>
      <c r="AIG913" s="9"/>
      <c r="AIH913" s="9"/>
      <c r="AII913" s="9"/>
      <c r="AIJ913" s="9"/>
      <c r="AIK913" s="9"/>
      <c r="AIL913" s="9"/>
      <c r="AIM913" s="9"/>
      <c r="AIN913" s="9"/>
      <c r="AIO913" s="9"/>
      <c r="AIP913" s="9"/>
      <c r="AIQ913" s="9"/>
      <c r="AIR913" s="9"/>
      <c r="AIS913" s="9"/>
      <c r="AIT913" s="9"/>
      <c r="AIU913" s="9"/>
      <c r="AIV913" s="9"/>
      <c r="AIW913" s="9"/>
      <c r="AIX913" s="9"/>
      <c r="AIY913" s="9"/>
      <c r="AIZ913" s="9"/>
      <c r="AJA913" s="9"/>
      <c r="AJB913" s="9"/>
      <c r="AJC913" s="9"/>
      <c r="AJD913" s="9"/>
      <c r="AJE913" s="9"/>
      <c r="AJF913" s="9"/>
      <c r="AJG913" s="9"/>
      <c r="AJH913" s="9"/>
      <c r="AJI913" s="9"/>
      <c r="AJJ913" s="9"/>
      <c r="AJK913" s="9"/>
      <c r="AJL913" s="9"/>
      <c r="AJM913" s="9"/>
      <c r="AJN913" s="9"/>
      <c r="AJO913" s="9"/>
      <c r="AJP913" s="9"/>
      <c r="AJQ913" s="9"/>
      <c r="AJR913" s="9"/>
      <c r="AJS913" s="9"/>
      <c r="AJT913" s="9"/>
      <c r="AJU913" s="9"/>
      <c r="AJV913" s="9"/>
      <c r="AJW913" s="9"/>
      <c r="AJX913" s="9"/>
      <c r="AJY913" s="9"/>
      <c r="AJZ913" s="9"/>
      <c r="AKA913" s="9"/>
      <c r="AKB913" s="9"/>
      <c r="AKC913" s="9"/>
      <c r="AKD913" s="9"/>
      <c r="AKE913" s="9"/>
      <c r="AKF913" s="9"/>
      <c r="AKG913" s="9"/>
      <c r="AKH913" s="9"/>
      <c r="AKI913" s="9"/>
      <c r="AKJ913" s="9"/>
      <c r="AKK913" s="9"/>
      <c r="AKL913" s="9"/>
      <c r="AKM913" s="9"/>
      <c r="AKN913" s="9"/>
      <c r="AKO913" s="9"/>
      <c r="AKP913" s="9"/>
      <c r="AKQ913" s="9"/>
      <c r="AKR913" s="9"/>
      <c r="AKS913" s="9"/>
      <c r="AKT913" s="9"/>
      <c r="AKU913" s="9"/>
      <c r="AKV913" s="9"/>
      <c r="AKW913" s="9"/>
      <c r="AKX913" s="9"/>
      <c r="AKY913" s="9"/>
      <c r="AKZ913" s="9"/>
      <c r="ALA913" s="9"/>
      <c r="ALB913" s="9"/>
      <c r="ALC913" s="9"/>
      <c r="ALD913" s="9"/>
      <c r="ALE913" s="9"/>
      <c r="ALF913" s="9"/>
      <c r="ALG913" s="9"/>
      <c r="ALH913" s="9"/>
      <c r="ALI913" s="9"/>
      <c r="ALJ913" s="9"/>
      <c r="ALK913" s="9"/>
      <c r="ALL913" s="9"/>
      <c r="ALM913" s="9"/>
      <c r="ALN913" s="9"/>
      <c r="ALO913" s="9"/>
      <c r="ALP913" s="9"/>
      <c r="ALQ913" s="9"/>
      <c r="ALR913" s="9"/>
      <c r="ALS913" s="9"/>
      <c r="ALT913" s="9"/>
      <c r="ALU913" s="9"/>
      <c r="ALV913" s="9"/>
      <c r="ALW913" s="9"/>
      <c r="ALX913" s="9"/>
      <c r="ALY913" s="9"/>
      <c r="ALZ913" s="9"/>
      <c r="AMA913" s="9"/>
      <c r="AMB913" s="9"/>
      <c r="AMC913" s="9"/>
      <c r="AMD913" s="9"/>
      <c r="AME913" s="9"/>
      <c r="AMF913" s="9"/>
      <c r="AMG913" s="9"/>
      <c r="AMH913" s="9"/>
      <c r="AMI913" s="9"/>
      <c r="AMJ913" s="9"/>
      <c r="AMK913" s="9"/>
      <c r="AML913" s="9"/>
      <c r="AMM913" s="9"/>
      <c r="AMN913" s="9"/>
      <c r="AMO913" s="9"/>
      <c r="AMP913" s="9"/>
      <c r="AMQ913" s="9"/>
      <c r="AMR913" s="9"/>
      <c r="AMS913" s="9"/>
      <c r="AMT913" s="9"/>
      <c r="AMU913" s="9"/>
      <c r="AMV913" s="9"/>
      <c r="AMW913" s="9"/>
      <c r="AMX913" s="9"/>
      <c r="AMY913" s="9"/>
      <c r="AMZ913" s="9"/>
      <c r="ANA913" s="9"/>
      <c r="ANB913" s="9"/>
      <c r="ANC913" s="9"/>
      <c r="AND913" s="9"/>
      <c r="ANE913" s="9"/>
      <c r="ANF913" s="9"/>
      <c r="ANG913" s="9"/>
      <c r="ANH913" s="9"/>
      <c r="ANI913" s="9"/>
      <c r="ANJ913" s="9"/>
      <c r="ANK913" s="9"/>
      <c r="ANL913" s="9"/>
      <c r="ANM913" s="9"/>
      <c r="ANN913" s="9"/>
      <c r="ANO913" s="9"/>
      <c r="ANP913" s="9"/>
      <c r="ANQ913" s="9"/>
      <c r="ANR913" s="9"/>
      <c r="ANS913" s="9"/>
      <c r="ANT913" s="9"/>
      <c r="ANU913" s="9"/>
      <c r="ANV913" s="9"/>
      <c r="ANW913" s="9"/>
      <c r="ANX913" s="9"/>
      <c r="ANY913" s="9"/>
      <c r="ANZ913" s="9"/>
      <c r="AOA913" s="9"/>
      <c r="AOB913" s="9"/>
      <c r="AOC913" s="9"/>
      <c r="AOD913" s="9"/>
      <c r="AOE913" s="9"/>
      <c r="AOF913" s="9"/>
      <c r="AOG913" s="9"/>
      <c r="AOH913" s="9"/>
      <c r="AOI913" s="9"/>
      <c r="AOJ913" s="9"/>
      <c r="AOK913" s="9"/>
      <c r="AOL913" s="9"/>
      <c r="AOM913" s="9"/>
      <c r="AON913" s="9"/>
      <c r="AOO913" s="9"/>
      <c r="AOP913" s="9"/>
      <c r="AOQ913" s="9"/>
      <c r="AOR913" s="9"/>
      <c r="AOS913" s="9"/>
      <c r="AOT913" s="9"/>
      <c r="AOU913" s="9"/>
      <c r="AOV913" s="9"/>
      <c r="AOW913" s="9"/>
      <c r="AOX913" s="9"/>
      <c r="AOY913" s="9"/>
      <c r="AOZ913" s="9"/>
      <c r="APA913" s="9"/>
      <c r="APB913" s="9"/>
      <c r="APC913" s="9"/>
      <c r="APD913" s="9"/>
      <c r="APE913" s="9"/>
      <c r="APF913" s="9"/>
      <c r="APG913" s="9"/>
      <c r="APH913" s="9"/>
      <c r="API913" s="9"/>
      <c r="APJ913" s="9"/>
      <c r="APK913" s="9"/>
      <c r="APL913" s="9"/>
      <c r="APM913" s="9"/>
      <c r="APN913" s="9"/>
      <c r="APO913" s="9"/>
      <c r="APP913" s="9"/>
      <c r="APQ913" s="9"/>
      <c r="APR913" s="9"/>
      <c r="APS913" s="9"/>
      <c r="APT913" s="9"/>
      <c r="APU913" s="9"/>
      <c r="APV913" s="9"/>
      <c r="APW913" s="9"/>
      <c r="APX913" s="9"/>
      <c r="APY913" s="9"/>
      <c r="APZ913" s="9"/>
      <c r="AQA913" s="9"/>
      <c r="AQB913" s="9"/>
      <c r="AQC913" s="9"/>
      <c r="AQD913" s="9"/>
      <c r="AQE913" s="9"/>
      <c r="AQF913" s="9"/>
      <c r="AQG913" s="9"/>
      <c r="AQH913" s="9"/>
      <c r="AQI913" s="9"/>
      <c r="AQJ913" s="9"/>
      <c r="AQK913" s="9"/>
      <c r="AQL913" s="9"/>
      <c r="AQM913" s="9"/>
      <c r="AQN913" s="9"/>
      <c r="AQO913" s="9"/>
      <c r="AQP913" s="9"/>
      <c r="AQQ913" s="9"/>
      <c r="AQR913" s="9"/>
      <c r="AQS913" s="9"/>
      <c r="AQT913" s="9"/>
      <c r="AQU913" s="9"/>
      <c r="AQV913" s="9"/>
      <c r="AQW913" s="9"/>
      <c r="AQX913" s="9"/>
      <c r="AQY913" s="9"/>
      <c r="AQZ913" s="9"/>
      <c r="ARA913" s="9"/>
      <c r="ARB913" s="9"/>
      <c r="ARC913" s="9"/>
      <c r="ARD913" s="9"/>
      <c r="ARE913" s="9"/>
      <c r="ARF913" s="9"/>
      <c r="ARG913" s="9"/>
      <c r="ARH913" s="9"/>
      <c r="ARI913" s="9"/>
      <c r="ARJ913" s="9"/>
      <c r="ARK913" s="9"/>
      <c r="ARL913" s="9"/>
      <c r="ARM913" s="9"/>
      <c r="ARN913" s="9"/>
      <c r="ARO913" s="9"/>
      <c r="ARP913" s="9"/>
      <c r="ARQ913" s="9"/>
      <c r="ARR913" s="9"/>
      <c r="ARS913" s="9"/>
      <c r="ART913" s="9"/>
      <c r="ARU913" s="9"/>
      <c r="ARV913" s="9"/>
      <c r="ARW913" s="9"/>
      <c r="ARX913" s="9"/>
      <c r="ARY913" s="9"/>
      <c r="ARZ913" s="9"/>
      <c r="ASA913" s="9"/>
      <c r="ASB913" s="9"/>
      <c r="ASC913" s="9"/>
      <c r="ASD913" s="9"/>
      <c r="ASE913" s="9"/>
      <c r="ASF913" s="9"/>
      <c r="ASG913" s="9"/>
      <c r="ASH913" s="9"/>
      <c r="ASI913" s="9"/>
      <c r="ASJ913" s="9"/>
      <c r="ASK913" s="9"/>
      <c r="ASL913" s="9"/>
      <c r="ASM913" s="9"/>
      <c r="ASN913" s="9"/>
      <c r="ASO913" s="9"/>
      <c r="ASP913" s="9"/>
      <c r="ASQ913" s="9"/>
      <c r="ASR913" s="9"/>
      <c r="ASS913" s="9"/>
      <c r="AST913" s="9"/>
      <c r="ASU913" s="9"/>
      <c r="ASV913" s="9"/>
      <c r="ASW913" s="9"/>
      <c r="ASX913" s="9"/>
      <c r="ASY913" s="9"/>
      <c r="ASZ913" s="9"/>
      <c r="ATA913" s="9"/>
      <c r="ATB913" s="9"/>
      <c r="ATC913" s="9"/>
      <c r="ATD913" s="9"/>
      <c r="ATE913" s="9"/>
      <c r="ATF913" s="9"/>
      <c r="ATG913" s="9"/>
      <c r="ATH913" s="9"/>
      <c r="ATI913" s="9"/>
      <c r="ATJ913" s="9"/>
      <c r="ATK913" s="9"/>
      <c r="ATL913" s="9"/>
      <c r="ATM913" s="9"/>
      <c r="ATN913" s="9"/>
      <c r="ATO913" s="9"/>
      <c r="ATP913" s="9"/>
      <c r="ATQ913" s="9"/>
      <c r="ATR913" s="9"/>
      <c r="ATS913" s="9"/>
      <c r="ATT913" s="9"/>
      <c r="ATU913" s="9"/>
      <c r="ATV913" s="9"/>
      <c r="ATW913" s="9"/>
      <c r="ATX913" s="9"/>
      <c r="ATY913" s="9"/>
      <c r="ATZ913" s="9"/>
      <c r="AUA913" s="9"/>
      <c r="AUB913" s="9"/>
      <c r="AUC913" s="9"/>
      <c r="AUD913" s="9"/>
      <c r="AUE913" s="9"/>
      <c r="AUF913" s="9"/>
      <c r="AUG913" s="9"/>
      <c r="AUH913" s="9"/>
      <c r="AUI913" s="9"/>
      <c r="AUJ913" s="9"/>
      <c r="AUK913" s="9"/>
      <c r="AUL913" s="9"/>
      <c r="AUM913" s="9"/>
      <c r="AUN913" s="9"/>
      <c r="AUO913" s="9"/>
      <c r="AUP913" s="9"/>
      <c r="AUQ913" s="9"/>
      <c r="AUR913" s="9"/>
      <c r="AUS913" s="9"/>
      <c r="AUT913" s="9"/>
      <c r="AUU913" s="9"/>
      <c r="AUV913" s="9"/>
      <c r="AUW913" s="9"/>
      <c r="AUX913" s="9"/>
      <c r="AUY913" s="9"/>
      <c r="AUZ913" s="9"/>
      <c r="AVA913" s="9"/>
      <c r="AVB913" s="9"/>
      <c r="AVC913" s="9"/>
      <c r="AVD913" s="9"/>
      <c r="AVE913" s="9"/>
      <c r="AVF913" s="9"/>
      <c r="AVG913" s="9"/>
      <c r="AVH913" s="9"/>
      <c r="AVI913" s="9"/>
      <c r="AVJ913" s="9"/>
      <c r="AVK913" s="9"/>
      <c r="AVL913" s="9"/>
      <c r="AVM913" s="9"/>
      <c r="AVN913" s="9"/>
      <c r="AVO913" s="9"/>
      <c r="AVP913" s="9"/>
      <c r="AVQ913" s="9"/>
      <c r="AVR913" s="9"/>
      <c r="AVS913" s="9"/>
      <c r="AVT913" s="9"/>
      <c r="AVU913" s="9"/>
      <c r="AVV913" s="9"/>
      <c r="AVW913" s="9"/>
      <c r="AVX913" s="9"/>
      <c r="AVY913" s="9"/>
      <c r="AVZ913" s="9"/>
      <c r="AWA913" s="9"/>
      <c r="AWB913" s="9"/>
      <c r="AWC913" s="9"/>
      <c r="AWD913" s="9"/>
      <c r="AWE913" s="9"/>
      <c r="AWF913" s="9"/>
      <c r="AWG913" s="9"/>
      <c r="AWH913" s="9"/>
      <c r="AWI913" s="9"/>
      <c r="AWJ913" s="9"/>
      <c r="AWK913" s="9"/>
      <c r="AWL913" s="9"/>
      <c r="AWM913" s="9"/>
      <c r="AWN913" s="9"/>
      <c r="AWO913" s="9"/>
      <c r="AWP913" s="9"/>
      <c r="AWQ913" s="9"/>
      <c r="AWR913" s="9"/>
      <c r="AWS913" s="9"/>
      <c r="AWT913" s="9"/>
      <c r="AWU913" s="9"/>
      <c r="AWV913" s="9"/>
      <c r="AWW913" s="9"/>
      <c r="AWX913" s="9"/>
      <c r="AWY913" s="9"/>
      <c r="AWZ913" s="9"/>
      <c r="AXA913" s="9"/>
      <c r="AXB913" s="9"/>
      <c r="AXC913" s="9"/>
      <c r="AXD913" s="9"/>
      <c r="AXE913" s="9"/>
      <c r="AXF913" s="9"/>
      <c r="AXG913" s="9"/>
      <c r="AXH913" s="9"/>
      <c r="AXI913" s="9"/>
      <c r="AXJ913" s="9"/>
      <c r="AXK913" s="9"/>
      <c r="AXL913" s="9"/>
      <c r="AXM913" s="9"/>
      <c r="AXN913" s="9"/>
      <c r="AXO913" s="9"/>
      <c r="AXP913" s="9"/>
      <c r="AXQ913" s="9"/>
      <c r="AXR913" s="9"/>
      <c r="AXS913" s="9"/>
      <c r="AXT913" s="9"/>
      <c r="AXU913" s="9"/>
      <c r="AXV913" s="9"/>
      <c r="AXW913" s="9"/>
      <c r="AXX913" s="9"/>
      <c r="AXY913" s="9"/>
      <c r="AXZ913" s="9"/>
      <c r="AYA913" s="9"/>
      <c r="AYB913" s="9"/>
      <c r="AYC913" s="9"/>
      <c r="AYD913" s="9"/>
      <c r="AYE913" s="9"/>
      <c r="AYF913" s="9"/>
      <c r="AYG913" s="9"/>
      <c r="AYH913" s="9"/>
      <c r="AYI913" s="9"/>
      <c r="AYJ913" s="9"/>
      <c r="AYK913" s="9"/>
      <c r="AYL913" s="9"/>
      <c r="AYM913" s="9"/>
      <c r="AYN913" s="9"/>
      <c r="AYO913" s="9"/>
      <c r="AYP913" s="9"/>
      <c r="AYQ913" s="9"/>
      <c r="AYR913" s="9"/>
      <c r="AYS913" s="9"/>
      <c r="AYT913" s="9"/>
      <c r="AYU913" s="9"/>
      <c r="AYV913" s="9"/>
      <c r="AYW913" s="9"/>
      <c r="AYX913" s="9"/>
      <c r="AYY913" s="9"/>
      <c r="AYZ913" s="9"/>
      <c r="AZA913" s="9"/>
      <c r="AZB913" s="9"/>
      <c r="AZC913" s="9"/>
      <c r="AZD913" s="9"/>
      <c r="AZE913" s="9"/>
      <c r="AZF913" s="9"/>
      <c r="AZG913" s="9"/>
      <c r="AZH913" s="9"/>
      <c r="AZI913" s="9"/>
      <c r="AZJ913" s="9"/>
      <c r="AZK913" s="9"/>
      <c r="AZL913" s="9"/>
      <c r="AZM913" s="9"/>
      <c r="AZN913" s="9"/>
      <c r="AZO913" s="9"/>
      <c r="AZP913" s="9"/>
      <c r="AZQ913" s="9"/>
      <c r="AZR913" s="9"/>
      <c r="AZS913" s="9"/>
      <c r="AZT913" s="9"/>
      <c r="AZU913" s="9"/>
      <c r="AZV913" s="9"/>
      <c r="AZW913" s="9"/>
      <c r="AZX913" s="9"/>
      <c r="AZY913" s="9"/>
      <c r="AZZ913" s="9"/>
      <c r="BAA913" s="9"/>
      <c r="BAB913" s="9"/>
      <c r="BAC913" s="9"/>
      <c r="BAD913" s="9"/>
      <c r="BAE913" s="9"/>
      <c r="BAF913" s="9"/>
      <c r="BAG913" s="9"/>
      <c r="BAH913" s="9"/>
      <c r="BAI913" s="9"/>
      <c r="BAJ913" s="9"/>
      <c r="BAK913" s="9"/>
      <c r="BAL913" s="9"/>
      <c r="BAM913" s="9"/>
      <c r="BAN913" s="9"/>
      <c r="BAO913" s="9"/>
      <c r="BAP913" s="9"/>
      <c r="BAQ913" s="9"/>
      <c r="BAR913" s="9"/>
      <c r="BAS913" s="9"/>
      <c r="BAT913" s="9"/>
      <c r="BAU913" s="9"/>
      <c r="BAV913" s="9"/>
      <c r="BAW913" s="9"/>
      <c r="BAX913" s="9"/>
      <c r="BAY913" s="9"/>
      <c r="BAZ913" s="9"/>
      <c r="BBA913" s="9"/>
      <c r="BBB913" s="9"/>
      <c r="BBC913" s="9"/>
      <c r="BBD913" s="9"/>
      <c r="BBE913" s="9"/>
      <c r="BBF913" s="9"/>
      <c r="BBG913" s="9"/>
      <c r="BBH913" s="9"/>
      <c r="BBI913" s="9"/>
      <c r="BBJ913" s="9"/>
      <c r="BBK913" s="9"/>
      <c r="BBL913" s="9"/>
      <c r="BBM913" s="9"/>
      <c r="BBN913" s="9"/>
      <c r="BBO913" s="9"/>
      <c r="BBP913" s="9"/>
      <c r="BBQ913" s="9"/>
      <c r="BBR913" s="9"/>
      <c r="BBS913" s="9"/>
      <c r="BBT913" s="9"/>
      <c r="BBU913" s="9"/>
      <c r="BBV913" s="9"/>
      <c r="BBW913" s="9"/>
      <c r="BBX913" s="9"/>
      <c r="BBY913" s="9"/>
      <c r="BBZ913" s="9"/>
      <c r="BCA913" s="9"/>
      <c r="BCB913" s="9"/>
      <c r="BCC913" s="9"/>
      <c r="BCD913" s="9"/>
      <c r="BCE913" s="9"/>
      <c r="BCF913" s="9"/>
      <c r="BCG913" s="9"/>
      <c r="BCH913" s="9"/>
      <c r="BCI913" s="9"/>
      <c r="BCJ913" s="9"/>
      <c r="BCK913" s="9"/>
      <c r="BCL913" s="9"/>
      <c r="BCM913" s="9"/>
      <c r="BCN913" s="9"/>
      <c r="BCO913" s="9"/>
      <c r="BCP913" s="9"/>
      <c r="BCQ913" s="9"/>
      <c r="BCR913" s="9"/>
      <c r="BCS913" s="9"/>
      <c r="BCT913" s="9"/>
      <c r="BCU913" s="9"/>
      <c r="BCV913" s="9"/>
      <c r="BCW913" s="9"/>
      <c r="BCX913" s="9"/>
      <c r="BCY913" s="9"/>
      <c r="BCZ913" s="9"/>
      <c r="BDA913" s="9"/>
      <c r="BDB913" s="9"/>
      <c r="BDC913" s="9"/>
      <c r="BDD913" s="9"/>
      <c r="BDE913" s="9"/>
      <c r="BDF913" s="9"/>
      <c r="BDG913" s="9"/>
      <c r="BDH913" s="9"/>
      <c r="BDI913" s="9"/>
      <c r="BDJ913" s="9"/>
      <c r="BDK913" s="9"/>
      <c r="BDL913" s="9"/>
      <c r="BDM913" s="9"/>
      <c r="BDN913" s="9"/>
      <c r="BDO913" s="9"/>
      <c r="BDP913" s="9"/>
      <c r="BDQ913" s="9"/>
      <c r="BDR913" s="9"/>
      <c r="BDS913" s="9"/>
      <c r="BDT913" s="9"/>
      <c r="BDU913" s="9"/>
      <c r="BDV913" s="9"/>
      <c r="BDW913" s="9"/>
      <c r="BDX913" s="9"/>
      <c r="BDY913" s="9"/>
      <c r="BDZ913" s="9"/>
      <c r="BEA913" s="9"/>
      <c r="BEB913" s="9"/>
      <c r="BEC913" s="9"/>
      <c r="BED913" s="9"/>
      <c r="BEE913" s="9"/>
      <c r="BEF913" s="9"/>
      <c r="BEG913" s="9"/>
      <c r="BEH913" s="9"/>
      <c r="BEI913" s="9"/>
      <c r="BEJ913" s="9"/>
      <c r="BEK913" s="9"/>
      <c r="BEL913" s="9"/>
      <c r="BEM913" s="9"/>
      <c r="BEN913" s="9"/>
      <c r="BEO913" s="9"/>
      <c r="BEP913" s="9"/>
      <c r="BEQ913" s="9"/>
      <c r="BER913" s="9"/>
      <c r="BES913" s="9"/>
      <c r="BET913" s="9"/>
      <c r="BEU913" s="9"/>
      <c r="BEV913" s="9"/>
      <c r="BEW913" s="9"/>
      <c r="BEX913" s="9"/>
      <c r="BEY913" s="9"/>
      <c r="BEZ913" s="9"/>
      <c r="BFA913" s="9"/>
      <c r="BFB913" s="9"/>
      <c r="BFC913" s="9"/>
      <c r="BFD913" s="9"/>
      <c r="BFE913" s="9"/>
      <c r="BFF913" s="9"/>
      <c r="BFG913" s="9"/>
      <c r="BFH913" s="9"/>
      <c r="BFI913" s="9"/>
      <c r="BFJ913" s="9"/>
      <c r="BFK913" s="9"/>
      <c r="BFL913" s="9"/>
      <c r="BFM913" s="9"/>
      <c r="BFN913" s="9"/>
      <c r="BFO913" s="9"/>
      <c r="BFP913" s="9"/>
      <c r="BFQ913" s="9"/>
      <c r="BFR913" s="9"/>
      <c r="BFS913" s="9"/>
      <c r="BFT913" s="9"/>
      <c r="BFU913" s="9"/>
      <c r="BFV913" s="9"/>
      <c r="BFW913" s="9"/>
      <c r="BFX913" s="9"/>
      <c r="BFY913" s="9"/>
      <c r="BFZ913" s="9"/>
      <c r="BGA913" s="9"/>
      <c r="BGB913" s="9"/>
      <c r="BGC913" s="9"/>
      <c r="BGD913" s="9"/>
      <c r="BGE913" s="9"/>
      <c r="BGF913" s="9"/>
      <c r="BGG913" s="9"/>
      <c r="BGH913" s="9"/>
      <c r="BGI913" s="9"/>
      <c r="BGJ913" s="9"/>
      <c r="BGK913" s="9"/>
      <c r="BGL913" s="9"/>
      <c r="BGM913" s="9"/>
      <c r="BGN913" s="9"/>
      <c r="BGO913" s="9"/>
      <c r="BGP913" s="9"/>
      <c r="BGQ913" s="9"/>
      <c r="BGR913" s="9"/>
      <c r="BGS913" s="9"/>
      <c r="BGT913" s="9"/>
      <c r="BGU913" s="9"/>
      <c r="BGV913" s="9"/>
      <c r="BGW913" s="9"/>
      <c r="BGX913" s="9"/>
      <c r="BGY913" s="9"/>
      <c r="BGZ913" s="9"/>
      <c r="BHA913" s="9"/>
      <c r="BHB913" s="9"/>
      <c r="BHC913" s="9"/>
      <c r="BHD913" s="9"/>
      <c r="BHE913" s="9"/>
      <c r="BHF913" s="9"/>
      <c r="BHG913" s="9"/>
      <c r="BHH913" s="9"/>
      <c r="BHI913" s="9"/>
      <c r="BHJ913" s="9"/>
      <c r="BHK913" s="9"/>
      <c r="BHL913" s="9"/>
      <c r="BHM913" s="9"/>
      <c r="BHN913" s="9"/>
      <c r="BHO913" s="9"/>
      <c r="BHP913" s="9"/>
      <c r="BHQ913" s="9"/>
      <c r="BHR913" s="9"/>
      <c r="BHS913" s="9"/>
      <c r="BHT913" s="9"/>
      <c r="BHU913" s="9"/>
      <c r="BHV913" s="9"/>
      <c r="BHW913" s="9"/>
      <c r="BHX913" s="9"/>
      <c r="BHY913" s="9"/>
      <c r="BHZ913" s="9"/>
      <c r="BIA913" s="9"/>
      <c r="BIB913" s="9"/>
      <c r="BIC913" s="9"/>
      <c r="BID913" s="9"/>
      <c r="BIE913" s="9"/>
      <c r="BIF913" s="9"/>
      <c r="BIG913" s="9"/>
      <c r="BIH913" s="9"/>
      <c r="BII913" s="9"/>
      <c r="BIJ913" s="9"/>
      <c r="BIK913" s="9"/>
      <c r="BIL913" s="9"/>
      <c r="BIM913" s="9"/>
      <c r="BIN913" s="9"/>
      <c r="BIO913" s="9"/>
      <c r="BIP913" s="9"/>
      <c r="BIQ913" s="9"/>
      <c r="BIR913" s="9"/>
      <c r="BIS913" s="9"/>
      <c r="BIT913" s="9"/>
      <c r="BIU913" s="9"/>
      <c r="BIV913" s="9"/>
      <c r="BIW913" s="9"/>
      <c r="BIX913" s="9"/>
      <c r="BIY913" s="9"/>
      <c r="BIZ913" s="9"/>
      <c r="BJA913" s="9"/>
      <c r="BJB913" s="9"/>
      <c r="BJC913" s="9"/>
      <c r="BJD913" s="9"/>
      <c r="BJE913" s="9"/>
      <c r="BJF913" s="9"/>
      <c r="BJG913" s="9"/>
      <c r="BJH913" s="9"/>
      <c r="BJI913" s="9"/>
      <c r="BJJ913" s="9"/>
      <c r="BJK913" s="9"/>
      <c r="BJL913" s="9"/>
      <c r="BJM913" s="9"/>
      <c r="BJN913" s="9"/>
      <c r="BJO913" s="9"/>
      <c r="BJP913" s="9"/>
      <c r="BJQ913" s="9"/>
      <c r="BJR913" s="9"/>
      <c r="BJS913" s="9"/>
      <c r="BJT913" s="9"/>
      <c r="BJU913" s="9"/>
      <c r="BJV913" s="9"/>
      <c r="BJW913" s="9"/>
      <c r="BJX913" s="9"/>
      <c r="BJY913" s="9"/>
      <c r="BJZ913" s="9"/>
      <c r="BKA913" s="9"/>
      <c r="BKB913" s="9"/>
      <c r="BKC913" s="9"/>
      <c r="BKD913" s="9"/>
      <c r="BKE913" s="9"/>
      <c r="BKF913" s="9"/>
      <c r="BKG913" s="9"/>
      <c r="BKH913" s="9"/>
      <c r="BKI913" s="9"/>
      <c r="BKJ913" s="9"/>
      <c r="BKK913" s="9"/>
      <c r="BKL913" s="9"/>
      <c r="BKM913" s="9"/>
      <c r="BKN913" s="9"/>
      <c r="BKO913" s="9"/>
      <c r="BKP913" s="9"/>
      <c r="BKQ913" s="9"/>
      <c r="BKR913" s="9"/>
      <c r="BKS913" s="9"/>
      <c r="BKT913" s="9"/>
      <c r="BKU913" s="9"/>
      <c r="BKV913" s="9"/>
      <c r="BKW913" s="9"/>
      <c r="BKX913" s="9"/>
      <c r="BKY913" s="9"/>
      <c r="BKZ913" s="9"/>
      <c r="BLA913" s="9"/>
      <c r="BLB913" s="9"/>
      <c r="BLC913" s="9"/>
      <c r="BLD913" s="9"/>
      <c r="BLE913" s="9"/>
      <c r="BLF913" s="9"/>
      <c r="BLG913" s="9"/>
      <c r="BLH913" s="9"/>
      <c r="BLI913" s="9"/>
      <c r="BLJ913" s="9"/>
      <c r="BLK913" s="9"/>
      <c r="BLL913" s="9"/>
      <c r="BLM913" s="9"/>
      <c r="BLN913" s="9"/>
      <c r="BLO913" s="9"/>
      <c r="BLP913" s="9"/>
      <c r="BLQ913" s="9"/>
      <c r="BLR913" s="9"/>
      <c r="BLS913" s="9"/>
      <c r="BLT913" s="9"/>
      <c r="BLU913" s="9"/>
      <c r="BLV913" s="9"/>
      <c r="BLW913" s="9"/>
      <c r="BLX913" s="9"/>
      <c r="BLY913" s="9"/>
      <c r="BLZ913" s="9"/>
      <c r="BMA913" s="9"/>
      <c r="BMB913" s="9"/>
      <c r="BMC913" s="9"/>
      <c r="BMD913" s="9"/>
      <c r="BME913" s="9"/>
      <c r="BMF913" s="9"/>
      <c r="BMG913" s="9"/>
      <c r="BMH913" s="9"/>
      <c r="BMI913" s="9"/>
      <c r="BMJ913" s="9"/>
      <c r="BMK913" s="9"/>
      <c r="BML913" s="9"/>
      <c r="BMM913" s="9"/>
      <c r="BMN913" s="9"/>
      <c r="BMO913" s="9"/>
      <c r="BMP913" s="9"/>
      <c r="BMQ913" s="9"/>
      <c r="BMR913" s="9"/>
      <c r="BMS913" s="9"/>
      <c r="BMT913" s="9"/>
      <c r="BMU913" s="9"/>
      <c r="BMV913" s="9"/>
      <c r="BMW913" s="9"/>
      <c r="BMX913" s="9"/>
      <c r="BMY913" s="9"/>
      <c r="BMZ913" s="9"/>
      <c r="BNA913" s="9"/>
      <c r="BNB913" s="9"/>
      <c r="BNC913" s="9"/>
      <c r="BND913" s="9"/>
      <c r="BNE913" s="9"/>
      <c r="BNF913" s="9"/>
      <c r="BNG913" s="9"/>
      <c r="BNH913" s="9"/>
      <c r="BNI913" s="9"/>
      <c r="BNJ913" s="9"/>
      <c r="BNK913" s="9"/>
      <c r="BNL913" s="9"/>
      <c r="BNM913" s="9"/>
      <c r="BNN913" s="9"/>
      <c r="BNO913" s="9"/>
      <c r="BNP913" s="9"/>
      <c r="BNQ913" s="9"/>
      <c r="BNR913" s="9"/>
      <c r="BNS913" s="9"/>
      <c r="BNT913" s="9"/>
      <c r="BNU913" s="9"/>
      <c r="BNV913" s="9"/>
      <c r="BNW913" s="9"/>
      <c r="BNX913" s="9"/>
      <c r="BNY913" s="9"/>
      <c r="BNZ913" s="9"/>
      <c r="BOA913" s="9"/>
      <c r="BOB913" s="9"/>
      <c r="BOC913" s="9"/>
      <c r="BOD913" s="9"/>
      <c r="BOE913" s="9"/>
      <c r="BOF913" s="9"/>
      <c r="BOG913" s="9"/>
      <c r="BOH913" s="9"/>
      <c r="BOI913" s="9"/>
      <c r="BOJ913" s="9"/>
      <c r="BOK913" s="9"/>
      <c r="BOL913" s="9"/>
      <c r="BOM913" s="9"/>
      <c r="BON913" s="9"/>
      <c r="BOO913" s="9"/>
      <c r="BOP913" s="9"/>
      <c r="BOQ913" s="9"/>
      <c r="BOR913" s="9"/>
      <c r="BOS913" s="9"/>
      <c r="BOT913" s="9"/>
      <c r="BOU913" s="9"/>
      <c r="BOV913" s="9"/>
      <c r="BOW913" s="9"/>
      <c r="BOX913" s="9"/>
      <c r="BOY913" s="9"/>
      <c r="BOZ913" s="9"/>
      <c r="BPA913" s="9"/>
      <c r="BPB913" s="9"/>
      <c r="BPC913" s="9"/>
      <c r="BPD913" s="9"/>
      <c r="BPE913" s="9"/>
      <c r="BPF913" s="9"/>
      <c r="BPG913" s="9"/>
      <c r="BPH913" s="9"/>
      <c r="BPI913" s="9"/>
      <c r="BPJ913" s="9"/>
      <c r="BPK913" s="9"/>
      <c r="BPL913" s="9"/>
      <c r="BPM913" s="9"/>
      <c r="BPN913" s="9"/>
      <c r="BPO913" s="9"/>
      <c r="BPP913" s="9"/>
      <c r="BPQ913" s="9"/>
      <c r="BPR913" s="9"/>
      <c r="BPS913" s="9"/>
      <c r="BPT913" s="9"/>
      <c r="BPU913" s="9"/>
      <c r="BPV913" s="9"/>
      <c r="BPW913" s="9"/>
      <c r="BPX913" s="9"/>
      <c r="BPY913" s="9"/>
      <c r="BPZ913" s="9"/>
      <c r="BQA913" s="9"/>
      <c r="BQB913" s="9"/>
      <c r="BQC913" s="9"/>
      <c r="BQD913" s="9"/>
      <c r="BQE913" s="9"/>
      <c r="BQF913" s="9"/>
      <c r="BQG913" s="9"/>
      <c r="BQH913" s="9"/>
      <c r="BQI913" s="9"/>
      <c r="BQJ913" s="9"/>
      <c r="BQK913" s="9"/>
      <c r="BQL913" s="9"/>
      <c r="BQM913" s="9"/>
      <c r="BQN913" s="9"/>
      <c r="BQO913" s="9"/>
      <c r="BQP913" s="9"/>
      <c r="BQQ913" s="9"/>
      <c r="BQR913" s="9"/>
      <c r="BQS913" s="9"/>
      <c r="BQT913" s="9"/>
      <c r="BQU913" s="9"/>
      <c r="BQV913" s="9"/>
      <c r="BQW913" s="9"/>
      <c r="BQX913" s="9"/>
      <c r="BQY913" s="9"/>
      <c r="BQZ913" s="9"/>
      <c r="BRA913" s="9"/>
      <c r="BRB913" s="9"/>
      <c r="BRC913" s="9"/>
      <c r="BRD913" s="9"/>
      <c r="BRE913" s="9"/>
      <c r="BRF913" s="9"/>
      <c r="BRG913" s="9"/>
      <c r="BRH913" s="9"/>
      <c r="BRI913" s="9"/>
      <c r="BRJ913" s="9"/>
      <c r="BRK913" s="9"/>
      <c r="BRL913" s="9"/>
      <c r="BRM913" s="9"/>
      <c r="BRN913" s="9"/>
      <c r="BRO913" s="9"/>
      <c r="BRP913" s="9"/>
      <c r="BRQ913" s="9"/>
      <c r="BRR913" s="9"/>
      <c r="BRS913" s="9"/>
      <c r="BRT913" s="9"/>
      <c r="BRU913" s="9"/>
      <c r="BRV913" s="9"/>
      <c r="BRW913" s="9"/>
      <c r="BRX913" s="9"/>
      <c r="BRY913" s="9"/>
      <c r="BRZ913" s="9"/>
      <c r="BSA913" s="9"/>
      <c r="BSB913" s="9"/>
      <c r="BSC913" s="9"/>
      <c r="BSD913" s="9"/>
      <c r="BSE913" s="9"/>
      <c r="BSF913" s="9"/>
      <c r="BSG913" s="9"/>
      <c r="BSH913" s="9"/>
      <c r="BSI913" s="9"/>
      <c r="BSJ913" s="9"/>
      <c r="BSK913" s="9"/>
      <c r="BSL913" s="9"/>
      <c r="BSM913" s="9"/>
      <c r="BSN913" s="9"/>
      <c r="BSO913" s="9"/>
      <c r="BSP913" s="9"/>
      <c r="BSQ913" s="9"/>
      <c r="BSR913" s="9"/>
      <c r="BSS913" s="9"/>
      <c r="BST913" s="9"/>
      <c r="BSU913" s="9"/>
      <c r="BSV913" s="9"/>
      <c r="BSW913" s="9"/>
      <c r="BSX913" s="9"/>
      <c r="BSY913" s="9"/>
      <c r="BSZ913" s="9"/>
      <c r="BTA913" s="9"/>
    </row>
    <row r="914" spans="1:1873" s="9" customFormat="1" x14ac:dyDescent="0.2">
      <c r="A914" s="8"/>
      <c r="B914" s="8"/>
      <c r="C914" s="567"/>
      <c r="D914" s="8"/>
      <c r="E914" s="15"/>
      <c r="F914" s="15"/>
      <c r="G914" s="8"/>
      <c r="H914" s="16"/>
      <c r="I914" s="8"/>
      <c r="J914" s="8"/>
      <c r="K914" s="8"/>
      <c r="L914" s="8"/>
      <c r="M914" s="17"/>
      <c r="N914" s="16"/>
      <c r="O914" s="8"/>
      <c r="P914" s="17"/>
      <c r="Q914" s="16"/>
      <c r="R914" s="17"/>
      <c r="S914" s="16"/>
      <c r="T914" s="17"/>
      <c r="U914" s="16"/>
      <c r="V914" s="16"/>
      <c r="W914" s="17"/>
      <c r="X914" s="16"/>
      <c r="Y914" s="16"/>
      <c r="Z914" s="8"/>
      <c r="AA914" s="137"/>
      <c r="AB914" s="17"/>
      <c r="AC914" s="16"/>
      <c r="AD914" s="16"/>
      <c r="AE914" s="8"/>
      <c r="AF914" s="8"/>
      <c r="AG914" s="16"/>
      <c r="AH914" s="8"/>
      <c r="AI914" s="8"/>
      <c r="AJ914" s="16"/>
      <c r="AK914" s="16"/>
      <c r="AL914" s="16"/>
      <c r="AM914" s="16"/>
      <c r="AN914" s="8"/>
      <c r="AO914" s="8"/>
      <c r="AP914" s="8"/>
      <c r="AQ914" s="8"/>
      <c r="AR914" s="8"/>
      <c r="AS914" s="8"/>
      <c r="AT914" s="8"/>
      <c r="AU914" s="8"/>
      <c r="AV914" s="8"/>
      <c r="AW914" s="8"/>
      <c r="AX914" s="8"/>
      <c r="AY914" s="8"/>
      <c r="AZ914" s="8"/>
      <c r="BA914" s="8"/>
      <c r="BB914" s="8"/>
      <c r="BC914" s="8"/>
      <c r="BD914" s="8"/>
      <c r="BE914" s="8"/>
      <c r="BF914" s="8"/>
      <c r="BG914" s="8"/>
      <c r="BH914" s="8"/>
      <c r="BI914" s="8"/>
      <c r="BJ914" s="18"/>
      <c r="BK914" s="18"/>
      <c r="BL914" s="17"/>
      <c r="BM914" s="18"/>
      <c r="BN914" s="18"/>
      <c r="BO914" s="18"/>
      <c r="BP914" s="18"/>
      <c r="BQ914" s="18"/>
      <c r="BR914" s="17"/>
      <c r="BS914" s="30"/>
      <c r="BT914" s="18"/>
      <c r="BU914" s="18"/>
      <c r="BV914" s="18"/>
      <c r="BW914" s="18"/>
      <c r="BX914" s="18"/>
      <c r="BY914" s="18"/>
      <c r="BZ914" s="18"/>
      <c r="CA914" s="73"/>
      <c r="CC914" s="15"/>
      <c r="CD914" s="8"/>
      <c r="CE914" s="342" t="s">
        <v>1659</v>
      </c>
      <c r="CF914" s="342" t="s">
        <v>1575</v>
      </c>
      <c r="CG914" s="16"/>
    </row>
    <row r="915" spans="1:1873" s="9" customFormat="1" x14ac:dyDescent="0.2">
      <c r="A915" s="283" t="s">
        <v>1476</v>
      </c>
      <c r="B915" s="283" t="s">
        <v>811</v>
      </c>
      <c r="C915" s="456" t="s">
        <v>1650</v>
      </c>
      <c r="D915" s="283" t="s">
        <v>619</v>
      </c>
      <c r="E915" s="306" t="s">
        <v>1462</v>
      </c>
      <c r="F915" s="306">
        <v>1</v>
      </c>
      <c r="G915" s="283">
        <v>8</v>
      </c>
      <c r="H915" s="454">
        <v>8</v>
      </c>
      <c r="I915" s="283" t="s">
        <v>621</v>
      </c>
      <c r="J915" s="283">
        <v>1998</v>
      </c>
      <c r="K915" s="283" t="s">
        <v>1001</v>
      </c>
      <c r="L915" s="283">
        <v>2005</v>
      </c>
      <c r="M915" s="426">
        <v>-9999</v>
      </c>
      <c r="N915" s="283">
        <v>-9999</v>
      </c>
      <c r="O915" s="8"/>
      <c r="P915" s="253">
        <v>92.3</v>
      </c>
      <c r="Q915" s="454">
        <v>-9999</v>
      </c>
      <c r="R915" s="426"/>
      <c r="S915" s="454"/>
      <c r="T915" s="566">
        <f t="shared" ref="T915:T922" si="92">+P915/G915</f>
        <v>11.5375</v>
      </c>
      <c r="U915" s="454">
        <v>-9999</v>
      </c>
      <c r="V915" s="454"/>
      <c r="W915" s="426">
        <v>-9999</v>
      </c>
      <c r="X915" s="454">
        <v>-9999</v>
      </c>
      <c r="Y915" s="454"/>
      <c r="Z915" s="283" t="s">
        <v>984</v>
      </c>
      <c r="AA915" s="455">
        <v>1667</v>
      </c>
      <c r="AB915" s="426">
        <v>0.9</v>
      </c>
      <c r="AC915" s="283">
        <v>-9999</v>
      </c>
      <c r="AD915" s="454">
        <v>96</v>
      </c>
      <c r="AE915" s="283" t="s">
        <v>1962</v>
      </c>
      <c r="AF915" s="283">
        <v>5</v>
      </c>
      <c r="AG915" s="454">
        <v>1</v>
      </c>
      <c r="AH915" s="283" t="s">
        <v>1034</v>
      </c>
      <c r="AI915" s="283" t="s">
        <v>1470</v>
      </c>
      <c r="AJ915" s="454">
        <v>-9999</v>
      </c>
      <c r="AK915" s="454">
        <v>-9999</v>
      </c>
      <c r="AL915" s="454" t="s">
        <v>1471</v>
      </c>
      <c r="AM915" s="454">
        <v>-9999</v>
      </c>
      <c r="AN915" s="283" t="s">
        <v>631</v>
      </c>
      <c r="AO915" s="454">
        <v>-9999</v>
      </c>
      <c r="AP915" s="454">
        <v>-9999</v>
      </c>
      <c r="AQ915" s="283" t="s">
        <v>631</v>
      </c>
      <c r="AR915" s="283">
        <v>0</v>
      </c>
      <c r="AS915" s="283">
        <v>-9999</v>
      </c>
      <c r="AT915" s="283">
        <v>-9999</v>
      </c>
      <c r="AU915" s="283">
        <v>0</v>
      </c>
      <c r="AV915" s="283">
        <v>-9999</v>
      </c>
      <c r="AW915" s="283"/>
      <c r="AX915" s="283">
        <v>0</v>
      </c>
      <c r="AY915" s="283">
        <v>-9999</v>
      </c>
      <c r="AZ915" s="283">
        <v>-9999</v>
      </c>
      <c r="BA915" s="283" t="s">
        <v>1474</v>
      </c>
      <c r="BB915" s="283" t="s">
        <v>631</v>
      </c>
      <c r="BC915" s="283">
        <v>-9999</v>
      </c>
      <c r="BD915" s="283">
        <v>-9999</v>
      </c>
      <c r="BE915" s="283">
        <v>-9999</v>
      </c>
      <c r="BF915" s="283" t="s">
        <v>120</v>
      </c>
      <c r="BG915" s="283" t="s">
        <v>577</v>
      </c>
      <c r="BH915" s="283">
        <v>-9999</v>
      </c>
      <c r="BI915" s="283" t="s">
        <v>1472</v>
      </c>
      <c r="BJ915" s="249">
        <v>21.7</v>
      </c>
      <c r="BK915" s="249">
        <v>1.9</v>
      </c>
      <c r="BL915" s="426">
        <v>17.100000000000001</v>
      </c>
      <c r="BM915" s="249">
        <v>0.4</v>
      </c>
      <c r="BN915" s="249">
        <v>18.899999999999999</v>
      </c>
      <c r="BO915" s="249">
        <v>1</v>
      </c>
      <c r="BP915" s="283">
        <v>-9999</v>
      </c>
      <c r="BQ915" s="283">
        <v>-9999</v>
      </c>
      <c r="BR915" s="283">
        <v>-9999</v>
      </c>
      <c r="BS915" s="283">
        <v>-9999</v>
      </c>
      <c r="BT915" s="283">
        <v>-9999</v>
      </c>
      <c r="BU915" s="249">
        <v>173.2</v>
      </c>
      <c r="BV915" s="249">
        <v>20.100000000000001</v>
      </c>
      <c r="BW915" s="249"/>
      <c r="BX915" s="283">
        <v>-9999</v>
      </c>
      <c r="BY915" s="283">
        <v>-9999</v>
      </c>
      <c r="BZ915" s="283">
        <v>-9999</v>
      </c>
      <c r="CA915" s="335" t="s">
        <v>825</v>
      </c>
      <c r="CB915" s="439" t="s">
        <v>1475</v>
      </c>
      <c r="CC915" s="306">
        <v>1</v>
      </c>
      <c r="CD915" s="456" t="s">
        <v>1650</v>
      </c>
      <c r="CE915" s="138">
        <v>11.5375</v>
      </c>
      <c r="CF915" s="138">
        <v>-9999</v>
      </c>
      <c r="CG915" s="460">
        <v>8</v>
      </c>
      <c r="CH915" s="9" t="s">
        <v>1757</v>
      </c>
    </row>
    <row r="916" spans="1:1873" s="312" customFormat="1" x14ac:dyDescent="0.2">
      <c r="A916" s="403" t="s">
        <v>1476</v>
      </c>
      <c r="B916" s="403" t="s">
        <v>811</v>
      </c>
      <c r="C916" s="457" t="s">
        <v>1651</v>
      </c>
      <c r="D916" s="403"/>
      <c r="E916" s="305" t="s">
        <v>1462</v>
      </c>
      <c r="F916" s="305">
        <v>1</v>
      </c>
      <c r="G916" s="403">
        <v>8</v>
      </c>
      <c r="H916" s="458">
        <v>8</v>
      </c>
      <c r="I916" s="403" t="s">
        <v>621</v>
      </c>
      <c r="J916" s="403">
        <v>1998</v>
      </c>
      <c r="K916" s="403" t="s">
        <v>1001</v>
      </c>
      <c r="L916" s="403">
        <v>2005</v>
      </c>
      <c r="M916" s="426">
        <v>-9999</v>
      </c>
      <c r="N916" s="283">
        <v>-9999</v>
      </c>
      <c r="O916" s="8"/>
      <c r="P916" s="406">
        <v>63.3</v>
      </c>
      <c r="Q916" s="458">
        <v>-9999</v>
      </c>
      <c r="R916" s="459"/>
      <c r="S916" s="458"/>
      <c r="T916" s="452">
        <f t="shared" si="92"/>
        <v>7.9124999999999996</v>
      </c>
      <c r="U916" s="458">
        <v>-9999</v>
      </c>
      <c r="V916" s="458"/>
      <c r="W916" s="459">
        <v>-9999</v>
      </c>
      <c r="X916" s="458">
        <v>-9999</v>
      </c>
      <c r="Y916" s="458"/>
      <c r="Z916" s="403" t="s">
        <v>984</v>
      </c>
      <c r="AA916" s="453">
        <v>1667</v>
      </c>
      <c r="AB916" s="459">
        <v>0.85</v>
      </c>
      <c r="AC916" s="403">
        <v>-9999</v>
      </c>
      <c r="AD916" s="458">
        <v>96</v>
      </c>
      <c r="AE916" s="403" t="s">
        <v>1962</v>
      </c>
      <c r="AF916" s="403">
        <v>5</v>
      </c>
      <c r="AG916" s="458">
        <v>1</v>
      </c>
      <c r="AH916" s="403" t="s">
        <v>1034</v>
      </c>
      <c r="AI916" s="403" t="s">
        <v>1470</v>
      </c>
      <c r="AJ916" s="458">
        <v>-9999</v>
      </c>
      <c r="AK916" s="458">
        <v>-9999</v>
      </c>
      <c r="AL916" s="458" t="s">
        <v>1471</v>
      </c>
      <c r="AM916" s="458">
        <v>-9999</v>
      </c>
      <c r="AN916" s="403" t="s">
        <v>631</v>
      </c>
      <c r="AO916" s="458">
        <v>-9999</v>
      </c>
      <c r="AP916" s="458">
        <v>-9999</v>
      </c>
      <c r="AQ916" s="403" t="s">
        <v>631</v>
      </c>
      <c r="AR916" s="403">
        <v>0</v>
      </c>
      <c r="AS916" s="403">
        <v>-9999</v>
      </c>
      <c r="AT916" s="403">
        <v>-9999</v>
      </c>
      <c r="AU916" s="403">
        <v>0</v>
      </c>
      <c r="AV916" s="403">
        <v>-9999</v>
      </c>
      <c r="AW916" s="403"/>
      <c r="AX916" s="403">
        <v>0</v>
      </c>
      <c r="AY916" s="403">
        <v>-9999</v>
      </c>
      <c r="AZ916" s="403">
        <v>-9999</v>
      </c>
      <c r="BA916" s="403" t="s">
        <v>631</v>
      </c>
      <c r="BB916" s="403" t="s">
        <v>631</v>
      </c>
      <c r="BC916" s="403">
        <v>-9999</v>
      </c>
      <c r="BD916" s="403">
        <v>-9999</v>
      </c>
      <c r="BE916" s="403">
        <v>-9999</v>
      </c>
      <c r="BF916" s="403" t="s">
        <v>120</v>
      </c>
      <c r="BG916" s="403" t="s">
        <v>577</v>
      </c>
      <c r="BH916" s="403">
        <v>-9999</v>
      </c>
      <c r="BI916" s="403" t="s">
        <v>1472</v>
      </c>
      <c r="BJ916" s="404">
        <v>21.7</v>
      </c>
      <c r="BK916" s="404">
        <v>1.9</v>
      </c>
      <c r="BL916" s="459">
        <v>17.100000000000001</v>
      </c>
      <c r="BM916" s="404">
        <v>0.4</v>
      </c>
      <c r="BN916" s="404">
        <v>18.899999999999999</v>
      </c>
      <c r="BO916" s="404">
        <v>1</v>
      </c>
      <c r="BP916" s="403">
        <v>-9999</v>
      </c>
      <c r="BQ916" s="403">
        <v>-9999</v>
      </c>
      <c r="BR916" s="403">
        <v>-9999</v>
      </c>
      <c r="BS916" s="403">
        <v>-9999</v>
      </c>
      <c r="BT916" s="403">
        <v>-9999</v>
      </c>
      <c r="BU916" s="404">
        <v>173.2</v>
      </c>
      <c r="BV916" s="404">
        <v>20.100000000000001</v>
      </c>
      <c r="BW916" s="404"/>
      <c r="BX916" s="403">
        <v>-9999</v>
      </c>
      <c r="BY916" s="403">
        <v>-9999</v>
      </c>
      <c r="BZ916" s="403">
        <v>-9999</v>
      </c>
      <c r="CA916" s="407" t="s">
        <v>825</v>
      </c>
      <c r="CB916" s="443" t="s">
        <v>1475</v>
      </c>
      <c r="CC916" s="305">
        <v>1</v>
      </c>
      <c r="CD916" s="457" t="s">
        <v>1651</v>
      </c>
      <c r="CE916" s="344">
        <v>7.9124999999999996</v>
      </c>
      <c r="CF916" s="344">
        <v>-9999</v>
      </c>
      <c r="CG916" s="458">
        <v>8</v>
      </c>
    </row>
    <row r="917" spans="1:1873" s="9" customFormat="1" x14ac:dyDescent="0.2">
      <c r="A917" s="283" t="s">
        <v>1476</v>
      </c>
      <c r="B917" s="283" t="s">
        <v>811</v>
      </c>
      <c r="C917" s="456" t="s">
        <v>1652</v>
      </c>
      <c r="D917" s="283" t="s">
        <v>619</v>
      </c>
      <c r="E917" s="306" t="s">
        <v>1462</v>
      </c>
      <c r="F917" s="306">
        <v>1</v>
      </c>
      <c r="G917" s="283">
        <v>8</v>
      </c>
      <c r="H917" s="454">
        <v>8</v>
      </c>
      <c r="I917" s="283" t="s">
        <v>621</v>
      </c>
      <c r="J917" s="283">
        <v>1998</v>
      </c>
      <c r="K917" s="283" t="s">
        <v>1001</v>
      </c>
      <c r="L917" s="283">
        <v>2005</v>
      </c>
      <c r="M917" s="426">
        <v>-9999</v>
      </c>
      <c r="N917" s="283">
        <v>-9999</v>
      </c>
      <c r="O917" s="8"/>
      <c r="P917" s="253">
        <v>78.3</v>
      </c>
      <c r="Q917" s="454">
        <v>-9999</v>
      </c>
      <c r="R917" s="426"/>
      <c r="S917" s="454"/>
      <c r="T917" s="566">
        <f t="shared" si="92"/>
        <v>9.7874999999999996</v>
      </c>
      <c r="U917" s="454">
        <v>-9999</v>
      </c>
      <c r="V917" s="454"/>
      <c r="W917" s="426">
        <v>-9999</v>
      </c>
      <c r="X917" s="454">
        <v>-9999</v>
      </c>
      <c r="Y917" s="454"/>
      <c r="Z917" s="283" t="s">
        <v>984</v>
      </c>
      <c r="AA917" s="455">
        <v>1667</v>
      </c>
      <c r="AB917" s="426">
        <v>1</v>
      </c>
      <c r="AC917" s="283">
        <v>-9999</v>
      </c>
      <c r="AD917" s="454">
        <v>96</v>
      </c>
      <c r="AE917" s="283" t="s">
        <v>1962</v>
      </c>
      <c r="AF917" s="283">
        <v>5</v>
      </c>
      <c r="AG917" s="454">
        <v>1</v>
      </c>
      <c r="AH917" s="283" t="s">
        <v>1034</v>
      </c>
      <c r="AI917" s="283" t="s">
        <v>1470</v>
      </c>
      <c r="AJ917" s="454">
        <v>-9999</v>
      </c>
      <c r="AK917" s="454">
        <v>-9999</v>
      </c>
      <c r="AL917" s="454" t="s">
        <v>1471</v>
      </c>
      <c r="AM917" s="454">
        <v>-9999</v>
      </c>
      <c r="AN917" s="283" t="s">
        <v>631</v>
      </c>
      <c r="AO917" s="454">
        <v>-9999</v>
      </c>
      <c r="AP917" s="454">
        <v>-9999</v>
      </c>
      <c r="AQ917" s="283" t="s">
        <v>631</v>
      </c>
      <c r="AR917" s="283">
        <v>0</v>
      </c>
      <c r="AS917" s="283">
        <v>-9999</v>
      </c>
      <c r="AT917" s="283">
        <v>-9999</v>
      </c>
      <c r="AU917" s="283">
        <v>0</v>
      </c>
      <c r="AV917" s="283">
        <v>-9999</v>
      </c>
      <c r="AW917" s="283"/>
      <c r="AX917" s="283">
        <v>0</v>
      </c>
      <c r="AY917" s="283">
        <v>-9999</v>
      </c>
      <c r="AZ917" s="283">
        <v>-9999</v>
      </c>
      <c r="BA917" s="283" t="s">
        <v>1474</v>
      </c>
      <c r="BB917" s="283" t="s">
        <v>631</v>
      </c>
      <c r="BC917" s="283">
        <v>-9999</v>
      </c>
      <c r="BD917" s="283">
        <v>-9999</v>
      </c>
      <c r="BE917" s="283">
        <v>-9999</v>
      </c>
      <c r="BF917" s="283" t="s">
        <v>120</v>
      </c>
      <c r="BG917" s="283" t="s">
        <v>577</v>
      </c>
      <c r="BH917" s="283">
        <v>-9999</v>
      </c>
      <c r="BI917" s="283" t="s">
        <v>1472</v>
      </c>
      <c r="BJ917" s="249">
        <v>14.5</v>
      </c>
      <c r="BK917" s="249">
        <v>1.3</v>
      </c>
      <c r="BL917" s="426">
        <v>16.399999999999999</v>
      </c>
      <c r="BM917" s="249">
        <v>0.3</v>
      </c>
      <c r="BN917" s="249">
        <v>15.6</v>
      </c>
      <c r="BO917" s="249">
        <v>0.6</v>
      </c>
      <c r="BP917" s="283">
        <v>-9999</v>
      </c>
      <c r="BQ917" s="283">
        <v>-9999</v>
      </c>
      <c r="BR917" s="283">
        <v>-9999</v>
      </c>
      <c r="BS917" s="283">
        <v>-9999</v>
      </c>
      <c r="BT917" s="283">
        <v>-9999</v>
      </c>
      <c r="BU917" s="249">
        <v>109.8</v>
      </c>
      <c r="BV917" s="249">
        <v>8.1</v>
      </c>
      <c r="BW917" s="249"/>
      <c r="BX917" s="283">
        <v>-9999</v>
      </c>
      <c r="BY917" s="283">
        <v>-9999</v>
      </c>
      <c r="BZ917" s="283">
        <v>-9999</v>
      </c>
      <c r="CA917" s="335" t="s">
        <v>825</v>
      </c>
      <c r="CB917" s="439" t="s">
        <v>1475</v>
      </c>
      <c r="CC917" s="306">
        <v>1</v>
      </c>
      <c r="CD917" s="456" t="s">
        <v>1652</v>
      </c>
      <c r="CE917" s="138">
        <v>9.7874999999999996</v>
      </c>
      <c r="CF917" s="138">
        <v>-9999</v>
      </c>
      <c r="CG917" s="460">
        <v>8</v>
      </c>
      <c r="CH917" s="9" t="s">
        <v>1757</v>
      </c>
    </row>
    <row r="918" spans="1:1873" s="312" customFormat="1" x14ac:dyDescent="0.2">
      <c r="A918" s="403" t="s">
        <v>1476</v>
      </c>
      <c r="B918" s="403" t="s">
        <v>811</v>
      </c>
      <c r="C918" s="457" t="s">
        <v>1653</v>
      </c>
      <c r="D918" s="403"/>
      <c r="E918" s="305" t="s">
        <v>1462</v>
      </c>
      <c r="F918" s="305">
        <v>1</v>
      </c>
      <c r="G918" s="403">
        <v>8</v>
      </c>
      <c r="H918" s="458">
        <v>8</v>
      </c>
      <c r="I918" s="403" t="s">
        <v>621</v>
      </c>
      <c r="J918" s="403">
        <v>1998</v>
      </c>
      <c r="K918" s="403" t="s">
        <v>1001</v>
      </c>
      <c r="L918" s="403">
        <v>2005</v>
      </c>
      <c r="M918" s="459">
        <v>-9999</v>
      </c>
      <c r="N918" s="403">
        <v>-9999</v>
      </c>
      <c r="O918" s="310"/>
      <c r="P918" s="406">
        <v>57.7</v>
      </c>
      <c r="Q918" s="458">
        <v>-9999</v>
      </c>
      <c r="R918" s="459"/>
      <c r="S918" s="458"/>
      <c r="T918" s="452">
        <f t="shared" si="92"/>
        <v>7.2125000000000004</v>
      </c>
      <c r="U918" s="458">
        <v>-9999</v>
      </c>
      <c r="V918" s="458"/>
      <c r="W918" s="459">
        <v>-9999</v>
      </c>
      <c r="X918" s="458">
        <v>-9999</v>
      </c>
      <c r="Y918" s="458"/>
      <c r="Z918" s="403" t="s">
        <v>984</v>
      </c>
      <c r="AA918" s="453">
        <v>1667</v>
      </c>
      <c r="AB918" s="459">
        <v>0.9</v>
      </c>
      <c r="AC918" s="403">
        <v>-9999</v>
      </c>
      <c r="AD918" s="458">
        <v>96</v>
      </c>
      <c r="AE918" s="403" t="s">
        <v>1962</v>
      </c>
      <c r="AF918" s="403">
        <v>5</v>
      </c>
      <c r="AG918" s="458">
        <v>1</v>
      </c>
      <c r="AH918" s="403" t="s">
        <v>1034</v>
      </c>
      <c r="AI918" s="403" t="s">
        <v>1470</v>
      </c>
      <c r="AJ918" s="458">
        <v>-9999</v>
      </c>
      <c r="AK918" s="458">
        <v>-9999</v>
      </c>
      <c r="AL918" s="458" t="s">
        <v>1471</v>
      </c>
      <c r="AM918" s="458">
        <v>-9999</v>
      </c>
      <c r="AN918" s="403" t="s">
        <v>631</v>
      </c>
      <c r="AO918" s="458">
        <v>-9999</v>
      </c>
      <c r="AP918" s="458">
        <v>-9999</v>
      </c>
      <c r="AQ918" s="403" t="s">
        <v>631</v>
      </c>
      <c r="AR918" s="403">
        <v>0</v>
      </c>
      <c r="AS918" s="403">
        <v>-9999</v>
      </c>
      <c r="AT918" s="403">
        <v>-9999</v>
      </c>
      <c r="AU918" s="403">
        <v>0</v>
      </c>
      <c r="AV918" s="403">
        <v>-9999</v>
      </c>
      <c r="AW918" s="403"/>
      <c r="AX918" s="403">
        <v>0</v>
      </c>
      <c r="AY918" s="403">
        <v>-9999</v>
      </c>
      <c r="AZ918" s="403">
        <v>-9999</v>
      </c>
      <c r="BA918" s="403" t="s">
        <v>631</v>
      </c>
      <c r="BB918" s="403" t="s">
        <v>631</v>
      </c>
      <c r="BC918" s="403">
        <v>-9999</v>
      </c>
      <c r="BD918" s="403">
        <v>-9999</v>
      </c>
      <c r="BE918" s="403">
        <v>-9999</v>
      </c>
      <c r="BF918" s="403" t="s">
        <v>120</v>
      </c>
      <c r="BG918" s="403" t="s">
        <v>577</v>
      </c>
      <c r="BH918" s="403">
        <v>-9999</v>
      </c>
      <c r="BI918" s="403" t="s">
        <v>1472</v>
      </c>
      <c r="BJ918" s="404">
        <v>14.5</v>
      </c>
      <c r="BK918" s="404">
        <v>1.3</v>
      </c>
      <c r="BL918" s="459">
        <v>16.399999999999999</v>
      </c>
      <c r="BM918" s="404">
        <v>0.3</v>
      </c>
      <c r="BN918" s="404">
        <v>15.6</v>
      </c>
      <c r="BO918" s="404">
        <v>0.6</v>
      </c>
      <c r="BP918" s="403">
        <v>-9999</v>
      </c>
      <c r="BQ918" s="403">
        <v>-9999</v>
      </c>
      <c r="BR918" s="403">
        <v>-9999</v>
      </c>
      <c r="BS918" s="403">
        <v>-9999</v>
      </c>
      <c r="BT918" s="403">
        <v>-9999</v>
      </c>
      <c r="BU918" s="404">
        <v>109.8</v>
      </c>
      <c r="BV918" s="404">
        <v>8.1</v>
      </c>
      <c r="BW918" s="404"/>
      <c r="BX918" s="403">
        <v>-9999</v>
      </c>
      <c r="BY918" s="403">
        <v>-9999</v>
      </c>
      <c r="BZ918" s="403">
        <v>-9999</v>
      </c>
      <c r="CA918" s="407" t="s">
        <v>825</v>
      </c>
      <c r="CB918" s="443" t="s">
        <v>1475</v>
      </c>
      <c r="CC918" s="305">
        <v>1</v>
      </c>
      <c r="CD918" s="457" t="s">
        <v>1653</v>
      </c>
      <c r="CE918" s="344">
        <v>7.2125000000000004</v>
      </c>
      <c r="CF918" s="344">
        <v>-9999</v>
      </c>
      <c r="CG918" s="458">
        <v>8</v>
      </c>
    </row>
    <row r="919" spans="1:1873" s="312" customFormat="1" x14ac:dyDescent="0.2">
      <c r="A919" s="403" t="s">
        <v>1476</v>
      </c>
      <c r="B919" s="403" t="s">
        <v>811</v>
      </c>
      <c r="C919" s="457" t="s">
        <v>1654</v>
      </c>
      <c r="D919" s="403"/>
      <c r="E919" s="305" t="s">
        <v>1467</v>
      </c>
      <c r="F919" s="403">
        <v>1</v>
      </c>
      <c r="G919" s="403">
        <v>8</v>
      </c>
      <c r="H919" s="458">
        <v>8</v>
      </c>
      <c r="I919" s="403" t="s">
        <v>621</v>
      </c>
      <c r="J919" s="403">
        <v>1998</v>
      </c>
      <c r="K919" s="403" t="s">
        <v>1001</v>
      </c>
      <c r="L919" s="403">
        <v>2005</v>
      </c>
      <c r="M919" s="459">
        <v>-9999</v>
      </c>
      <c r="N919" s="403">
        <v>-9999</v>
      </c>
      <c r="O919" s="310"/>
      <c r="P919" s="406">
        <v>26.122450000000001</v>
      </c>
      <c r="Q919" s="458">
        <v>-9999</v>
      </c>
      <c r="R919" s="459"/>
      <c r="S919" s="458"/>
      <c r="T919" s="452">
        <f t="shared" si="92"/>
        <v>3.2653062500000001</v>
      </c>
      <c r="U919" s="458">
        <v>-9999</v>
      </c>
      <c r="V919" s="458"/>
      <c r="W919" s="459">
        <v>-9999</v>
      </c>
      <c r="X919" s="458">
        <v>-9999</v>
      </c>
      <c r="Y919" s="458"/>
      <c r="Z919" s="403" t="s">
        <v>984</v>
      </c>
      <c r="AA919" s="453">
        <v>1667</v>
      </c>
      <c r="AB919" s="459">
        <v>0.55000000000000004</v>
      </c>
      <c r="AC919" s="403">
        <v>-9999</v>
      </c>
      <c r="AD919" s="458">
        <v>96</v>
      </c>
      <c r="AE919" s="403" t="s">
        <v>1962</v>
      </c>
      <c r="AF919" s="403">
        <v>5</v>
      </c>
      <c r="AG919" s="458">
        <v>1</v>
      </c>
      <c r="AH919" s="403" t="s">
        <v>1034</v>
      </c>
      <c r="AI919" s="403" t="s">
        <v>1470</v>
      </c>
      <c r="AJ919" s="458">
        <v>-9999</v>
      </c>
      <c r="AK919" s="458">
        <v>-9999</v>
      </c>
      <c r="AL919" s="458" t="s">
        <v>1471</v>
      </c>
      <c r="AM919" s="458">
        <v>-9999</v>
      </c>
      <c r="AN919" s="403" t="s">
        <v>631</v>
      </c>
      <c r="AO919" s="458">
        <v>-9999</v>
      </c>
      <c r="AP919" s="458">
        <v>-9999</v>
      </c>
      <c r="AQ919" s="403" t="s">
        <v>631</v>
      </c>
      <c r="AR919" s="403">
        <v>0</v>
      </c>
      <c r="AS919" s="403">
        <v>-9999</v>
      </c>
      <c r="AT919" s="403">
        <v>-9999</v>
      </c>
      <c r="AU919" s="403">
        <v>0</v>
      </c>
      <c r="AV919" s="403">
        <v>-9999</v>
      </c>
      <c r="AW919" s="403"/>
      <c r="AX919" s="403">
        <v>0</v>
      </c>
      <c r="AY919" s="403">
        <v>-9999</v>
      </c>
      <c r="AZ919" s="403">
        <v>-9999</v>
      </c>
      <c r="BA919" s="403" t="s">
        <v>1474</v>
      </c>
      <c r="BB919" s="403" t="s">
        <v>631</v>
      </c>
      <c r="BC919" s="403">
        <v>-9999</v>
      </c>
      <c r="BD919" s="403">
        <v>-9999</v>
      </c>
      <c r="BE919" s="403">
        <v>-9999</v>
      </c>
      <c r="BF919" s="403" t="s">
        <v>120</v>
      </c>
      <c r="BG919" s="403" t="s">
        <v>577</v>
      </c>
      <c r="BH919" s="403">
        <v>-9999</v>
      </c>
      <c r="BI919" s="403" t="s">
        <v>1472</v>
      </c>
      <c r="BJ919" s="404">
        <v>9.6</v>
      </c>
      <c r="BK919" s="404">
        <v>0.7</v>
      </c>
      <c r="BL919" s="459">
        <v>14.3</v>
      </c>
      <c r="BM919" s="404">
        <v>0.4</v>
      </c>
      <c r="BN919" s="404">
        <v>13.3</v>
      </c>
      <c r="BO919" s="404">
        <v>0.6</v>
      </c>
      <c r="BP919" s="403">
        <v>-9999</v>
      </c>
      <c r="BQ919" s="403">
        <v>-9999</v>
      </c>
      <c r="BR919" s="403">
        <v>-9999</v>
      </c>
      <c r="BS919" s="403">
        <v>-9999</v>
      </c>
      <c r="BT919" s="403">
        <v>-9999</v>
      </c>
      <c r="BU919" s="404">
        <v>71.900000000000006</v>
      </c>
      <c r="BV919" s="404">
        <v>8.8000000000000007</v>
      </c>
      <c r="BW919" s="404"/>
      <c r="BX919" s="403">
        <v>-9999</v>
      </c>
      <c r="BY919" s="403">
        <v>-9999</v>
      </c>
      <c r="BZ919" s="403">
        <v>-9999</v>
      </c>
      <c r="CA919" s="407" t="s">
        <v>825</v>
      </c>
      <c r="CB919" s="443" t="s">
        <v>1475</v>
      </c>
      <c r="CC919" s="403">
        <v>1</v>
      </c>
      <c r="CD919" s="457" t="s">
        <v>1654</v>
      </c>
      <c r="CE919" s="344">
        <v>3.2653062500000001</v>
      </c>
      <c r="CF919" s="344">
        <v>-9999</v>
      </c>
      <c r="CG919" s="458">
        <v>8</v>
      </c>
    </row>
    <row r="920" spans="1:1873" s="312" customFormat="1" x14ac:dyDescent="0.2">
      <c r="A920" s="403" t="s">
        <v>1476</v>
      </c>
      <c r="B920" s="403" t="s">
        <v>811</v>
      </c>
      <c r="C920" s="457" t="s">
        <v>1655</v>
      </c>
      <c r="D920" s="403" t="s">
        <v>619</v>
      </c>
      <c r="E920" s="305" t="s">
        <v>1467</v>
      </c>
      <c r="F920" s="403">
        <v>1</v>
      </c>
      <c r="G920" s="403">
        <v>8</v>
      </c>
      <c r="H920" s="458">
        <v>8</v>
      </c>
      <c r="I920" s="403" t="s">
        <v>621</v>
      </c>
      <c r="J920" s="403">
        <v>1998</v>
      </c>
      <c r="K920" s="403" t="s">
        <v>1001</v>
      </c>
      <c r="L920" s="403">
        <v>2005</v>
      </c>
      <c r="M920" s="459">
        <v>-9999</v>
      </c>
      <c r="N920" s="403">
        <v>-9999</v>
      </c>
      <c r="O920" s="310"/>
      <c r="P920" s="406">
        <v>31.428570000000001</v>
      </c>
      <c r="Q920" s="458">
        <v>-9999</v>
      </c>
      <c r="R920" s="459"/>
      <c r="S920" s="458"/>
      <c r="T920" s="452">
        <f t="shared" si="92"/>
        <v>3.9285712500000001</v>
      </c>
      <c r="U920" s="458">
        <v>-9999</v>
      </c>
      <c r="V920" s="458"/>
      <c r="W920" s="459">
        <v>-9999</v>
      </c>
      <c r="X920" s="458">
        <v>-9999</v>
      </c>
      <c r="Y920" s="458"/>
      <c r="Z920" s="403" t="s">
        <v>984</v>
      </c>
      <c r="AA920" s="453">
        <v>1667</v>
      </c>
      <c r="AB920" s="459">
        <v>0.55000000000000004</v>
      </c>
      <c r="AC920" s="403">
        <v>-9999</v>
      </c>
      <c r="AD920" s="458">
        <v>96</v>
      </c>
      <c r="AE920" s="403" t="s">
        <v>1962</v>
      </c>
      <c r="AF920" s="403">
        <v>5</v>
      </c>
      <c r="AG920" s="458">
        <v>1</v>
      </c>
      <c r="AH920" s="403" t="s">
        <v>1034</v>
      </c>
      <c r="AI920" s="403" t="s">
        <v>1470</v>
      </c>
      <c r="AJ920" s="458">
        <v>-9999</v>
      </c>
      <c r="AK920" s="458">
        <v>-9999</v>
      </c>
      <c r="AL920" s="458" t="s">
        <v>1471</v>
      </c>
      <c r="AM920" s="458">
        <v>-9999</v>
      </c>
      <c r="AN920" s="403" t="s">
        <v>631</v>
      </c>
      <c r="AO920" s="458">
        <v>-9999</v>
      </c>
      <c r="AP920" s="458">
        <v>-9999</v>
      </c>
      <c r="AQ920" s="403" t="s">
        <v>631</v>
      </c>
      <c r="AR920" s="403">
        <v>0</v>
      </c>
      <c r="AS920" s="403">
        <v>-9999</v>
      </c>
      <c r="AT920" s="403">
        <v>-9999</v>
      </c>
      <c r="AU920" s="403">
        <v>0</v>
      </c>
      <c r="AV920" s="403">
        <v>-9999</v>
      </c>
      <c r="AW920" s="403"/>
      <c r="AX920" s="403">
        <v>0</v>
      </c>
      <c r="AY920" s="403">
        <v>-9999</v>
      </c>
      <c r="AZ920" s="403">
        <v>-9999</v>
      </c>
      <c r="BA920" s="403" t="s">
        <v>631</v>
      </c>
      <c r="BB920" s="403" t="s">
        <v>631</v>
      </c>
      <c r="BC920" s="403">
        <v>-9999</v>
      </c>
      <c r="BD920" s="403">
        <v>-9999</v>
      </c>
      <c r="BE920" s="403">
        <v>-9999</v>
      </c>
      <c r="BF920" s="403" t="s">
        <v>120</v>
      </c>
      <c r="BG920" s="403" t="s">
        <v>577</v>
      </c>
      <c r="BH920" s="403">
        <v>-9999</v>
      </c>
      <c r="BI920" s="403" t="s">
        <v>1472</v>
      </c>
      <c r="BJ920" s="404">
        <v>9.6</v>
      </c>
      <c r="BK920" s="404">
        <v>0.7</v>
      </c>
      <c r="BL920" s="459">
        <v>14.3</v>
      </c>
      <c r="BM920" s="404">
        <v>0.4</v>
      </c>
      <c r="BN920" s="404">
        <v>13.3</v>
      </c>
      <c r="BO920" s="404">
        <v>0.6</v>
      </c>
      <c r="BP920" s="403">
        <v>-9999</v>
      </c>
      <c r="BQ920" s="403">
        <v>-9999</v>
      </c>
      <c r="BR920" s="403">
        <v>-9999</v>
      </c>
      <c r="BS920" s="403">
        <v>-9999</v>
      </c>
      <c r="BT920" s="403">
        <v>-9999</v>
      </c>
      <c r="BU920" s="404">
        <v>71.900000000000006</v>
      </c>
      <c r="BV920" s="404">
        <v>8.8000000000000007</v>
      </c>
      <c r="BW920" s="404"/>
      <c r="BX920" s="403">
        <v>-9999</v>
      </c>
      <c r="BY920" s="403">
        <v>-9999</v>
      </c>
      <c r="BZ920" s="403">
        <v>-9999</v>
      </c>
      <c r="CA920" s="407" t="s">
        <v>825</v>
      </c>
      <c r="CB920" s="443" t="s">
        <v>1475</v>
      </c>
      <c r="CC920" s="403">
        <v>1</v>
      </c>
      <c r="CD920" s="457" t="s">
        <v>1655</v>
      </c>
      <c r="CE920" s="344">
        <v>3.9285712500000001</v>
      </c>
      <c r="CF920" s="344">
        <v>-9999</v>
      </c>
      <c r="CG920" s="458">
        <v>8</v>
      </c>
    </row>
    <row r="921" spans="1:1873" s="312" customFormat="1" x14ac:dyDescent="0.2">
      <c r="A921" s="403" t="s">
        <v>1476</v>
      </c>
      <c r="B921" s="403" t="s">
        <v>811</v>
      </c>
      <c r="C921" s="457" t="s">
        <v>1656</v>
      </c>
      <c r="D921" s="403"/>
      <c r="E921" s="305" t="s">
        <v>1468</v>
      </c>
      <c r="F921" s="403">
        <v>1</v>
      </c>
      <c r="G921" s="403">
        <v>8</v>
      </c>
      <c r="H921" s="458">
        <v>8</v>
      </c>
      <c r="I921" s="403" t="s">
        <v>621</v>
      </c>
      <c r="J921" s="403">
        <v>1998</v>
      </c>
      <c r="K921" s="403" t="s">
        <v>1001</v>
      </c>
      <c r="L921" s="403">
        <v>2005</v>
      </c>
      <c r="M921" s="459">
        <v>-9999</v>
      </c>
      <c r="N921" s="403">
        <v>-9999</v>
      </c>
      <c r="O921" s="310"/>
      <c r="P921" s="406">
        <v>28.571429999999999</v>
      </c>
      <c r="Q921" s="458">
        <v>-9999</v>
      </c>
      <c r="R921" s="459"/>
      <c r="S921" s="458"/>
      <c r="T921" s="452">
        <f t="shared" si="92"/>
        <v>3.5714287499999999</v>
      </c>
      <c r="U921" s="458">
        <v>-9999</v>
      </c>
      <c r="V921" s="458"/>
      <c r="W921" s="459">
        <v>-9999</v>
      </c>
      <c r="X921" s="458">
        <v>-9999</v>
      </c>
      <c r="Y921" s="458"/>
      <c r="Z921" s="403" t="s">
        <v>984</v>
      </c>
      <c r="AA921" s="453">
        <v>1667</v>
      </c>
      <c r="AB921" s="459">
        <v>0.5</v>
      </c>
      <c r="AC921" s="403">
        <v>-9999</v>
      </c>
      <c r="AD921" s="458">
        <v>96</v>
      </c>
      <c r="AE921" s="403" t="s">
        <v>1962</v>
      </c>
      <c r="AF921" s="403">
        <v>5</v>
      </c>
      <c r="AG921" s="458">
        <v>1</v>
      </c>
      <c r="AH921" s="403" t="s">
        <v>1034</v>
      </c>
      <c r="AI921" s="403" t="s">
        <v>1470</v>
      </c>
      <c r="AJ921" s="458">
        <v>-9999</v>
      </c>
      <c r="AK921" s="458">
        <v>-9999</v>
      </c>
      <c r="AL921" s="458" t="s">
        <v>1471</v>
      </c>
      <c r="AM921" s="458">
        <v>-9999</v>
      </c>
      <c r="AN921" s="403" t="s">
        <v>631</v>
      </c>
      <c r="AO921" s="458">
        <v>-9999</v>
      </c>
      <c r="AP921" s="458">
        <v>-9999</v>
      </c>
      <c r="AQ921" s="403" t="s">
        <v>631</v>
      </c>
      <c r="AR921" s="403">
        <v>0</v>
      </c>
      <c r="AS921" s="403">
        <v>-9999</v>
      </c>
      <c r="AT921" s="403">
        <v>-9999</v>
      </c>
      <c r="AU921" s="403">
        <v>0</v>
      </c>
      <c r="AV921" s="403">
        <v>-9999</v>
      </c>
      <c r="AW921" s="403"/>
      <c r="AX921" s="403">
        <v>0</v>
      </c>
      <c r="AY921" s="403">
        <v>-9999</v>
      </c>
      <c r="AZ921" s="403">
        <v>-9999</v>
      </c>
      <c r="BA921" s="403" t="s">
        <v>1474</v>
      </c>
      <c r="BB921" s="403" t="s">
        <v>631</v>
      </c>
      <c r="BC921" s="403">
        <v>-9999</v>
      </c>
      <c r="BD921" s="403">
        <v>-9999</v>
      </c>
      <c r="BE921" s="403">
        <v>-9999</v>
      </c>
      <c r="BF921" s="403" t="s">
        <v>120</v>
      </c>
      <c r="BG921" s="403" t="s">
        <v>577</v>
      </c>
      <c r="BH921" s="403">
        <v>-9999</v>
      </c>
      <c r="BI921" s="403" t="s">
        <v>1472</v>
      </c>
      <c r="BJ921" s="404">
        <v>14.4</v>
      </c>
      <c r="BK921" s="404">
        <v>1.2</v>
      </c>
      <c r="BL921" s="459">
        <v>15.2</v>
      </c>
      <c r="BM921" s="404">
        <v>0.6</v>
      </c>
      <c r="BN921" s="404">
        <v>16.100000000000001</v>
      </c>
      <c r="BO921" s="404">
        <v>1.1000000000000001</v>
      </c>
      <c r="BP921" s="403">
        <v>-9999</v>
      </c>
      <c r="BQ921" s="403">
        <v>-9999</v>
      </c>
      <c r="BR921" s="403">
        <v>-9999</v>
      </c>
      <c r="BS921" s="403">
        <v>-9999</v>
      </c>
      <c r="BT921" s="403">
        <v>-9999</v>
      </c>
      <c r="BU921" s="404">
        <v>112.9</v>
      </c>
      <c r="BV921" s="404">
        <v>18.100000000000001</v>
      </c>
      <c r="BW921" s="404"/>
      <c r="BX921" s="403">
        <v>-9999</v>
      </c>
      <c r="BY921" s="403">
        <v>-9999</v>
      </c>
      <c r="BZ921" s="403">
        <v>-9999</v>
      </c>
      <c r="CA921" s="407" t="s">
        <v>825</v>
      </c>
      <c r="CB921" s="443" t="s">
        <v>1475</v>
      </c>
      <c r="CC921" s="403">
        <v>1</v>
      </c>
      <c r="CD921" s="457" t="s">
        <v>1656</v>
      </c>
      <c r="CE921" s="344">
        <v>3.5714287499999999</v>
      </c>
      <c r="CF921" s="344">
        <v>-9999</v>
      </c>
      <c r="CG921" s="458">
        <v>8</v>
      </c>
    </row>
    <row r="922" spans="1:1873" s="312" customFormat="1" x14ac:dyDescent="0.2">
      <c r="A922" s="403" t="s">
        <v>1476</v>
      </c>
      <c r="B922" s="403" t="s">
        <v>811</v>
      </c>
      <c r="C922" s="457" t="s">
        <v>1657</v>
      </c>
      <c r="D922" s="403" t="s">
        <v>619</v>
      </c>
      <c r="E922" s="305" t="s">
        <v>1468</v>
      </c>
      <c r="F922" s="403">
        <v>1</v>
      </c>
      <c r="G922" s="403">
        <v>8</v>
      </c>
      <c r="H922" s="458">
        <v>8</v>
      </c>
      <c r="I922" s="403" t="s">
        <v>621</v>
      </c>
      <c r="J922" s="403">
        <v>1998</v>
      </c>
      <c r="K922" s="403" t="s">
        <v>1001</v>
      </c>
      <c r="L922" s="403">
        <v>2005</v>
      </c>
      <c r="M922" s="459">
        <v>-9999</v>
      </c>
      <c r="N922" s="403">
        <v>-9999</v>
      </c>
      <c r="O922" s="310"/>
      <c r="P922" s="406">
        <v>57.959180000000003</v>
      </c>
      <c r="Q922" s="458">
        <v>-9999</v>
      </c>
      <c r="R922" s="459"/>
      <c r="S922" s="458"/>
      <c r="T922" s="452">
        <f t="shared" si="92"/>
        <v>7.2448975000000004</v>
      </c>
      <c r="U922" s="458">
        <v>-9999</v>
      </c>
      <c r="V922" s="458"/>
      <c r="W922" s="459">
        <v>-9999</v>
      </c>
      <c r="X922" s="458">
        <v>-9999</v>
      </c>
      <c r="Y922" s="458"/>
      <c r="Z922" s="403" t="s">
        <v>984</v>
      </c>
      <c r="AA922" s="453">
        <v>1667</v>
      </c>
      <c r="AB922" s="459">
        <v>0.5</v>
      </c>
      <c r="AC922" s="403">
        <v>-9999</v>
      </c>
      <c r="AD922" s="458">
        <v>96</v>
      </c>
      <c r="AE922" s="403" t="s">
        <v>1962</v>
      </c>
      <c r="AF922" s="403">
        <v>5</v>
      </c>
      <c r="AG922" s="458">
        <v>1</v>
      </c>
      <c r="AH922" s="403" t="s">
        <v>1034</v>
      </c>
      <c r="AI922" s="403" t="s">
        <v>1470</v>
      </c>
      <c r="AJ922" s="458">
        <v>-9999</v>
      </c>
      <c r="AK922" s="458">
        <v>-9999</v>
      </c>
      <c r="AL922" s="458" t="s">
        <v>1471</v>
      </c>
      <c r="AM922" s="458">
        <v>-9999</v>
      </c>
      <c r="AN922" s="403" t="s">
        <v>631</v>
      </c>
      <c r="AO922" s="458">
        <v>-9999</v>
      </c>
      <c r="AP922" s="458">
        <v>-9999</v>
      </c>
      <c r="AQ922" s="403" t="s">
        <v>631</v>
      </c>
      <c r="AR922" s="403">
        <v>0</v>
      </c>
      <c r="AS922" s="403">
        <v>-9999</v>
      </c>
      <c r="AT922" s="403">
        <v>-9999</v>
      </c>
      <c r="AU922" s="403">
        <v>0</v>
      </c>
      <c r="AV922" s="403">
        <v>-9999</v>
      </c>
      <c r="AW922" s="403"/>
      <c r="AX922" s="403">
        <v>0</v>
      </c>
      <c r="AY922" s="403">
        <v>-9999</v>
      </c>
      <c r="AZ922" s="403">
        <v>-9999</v>
      </c>
      <c r="BA922" s="403" t="s">
        <v>631</v>
      </c>
      <c r="BB922" s="403" t="s">
        <v>631</v>
      </c>
      <c r="BC922" s="403">
        <v>-9999</v>
      </c>
      <c r="BD922" s="403">
        <v>-9999</v>
      </c>
      <c r="BE922" s="403">
        <v>-9999</v>
      </c>
      <c r="BF922" s="403" t="s">
        <v>120</v>
      </c>
      <c r="BG922" s="403" t="s">
        <v>577</v>
      </c>
      <c r="BH922" s="403">
        <v>-9999</v>
      </c>
      <c r="BI922" s="403" t="s">
        <v>1472</v>
      </c>
      <c r="BJ922" s="404">
        <v>14.4</v>
      </c>
      <c r="BK922" s="404">
        <v>1.2</v>
      </c>
      <c r="BL922" s="459">
        <v>15.2</v>
      </c>
      <c r="BM922" s="404">
        <v>0.6</v>
      </c>
      <c r="BN922" s="404">
        <v>16.100000000000001</v>
      </c>
      <c r="BO922" s="404">
        <v>1.1000000000000001</v>
      </c>
      <c r="BP922" s="403">
        <v>-9999</v>
      </c>
      <c r="BQ922" s="403">
        <v>-9999</v>
      </c>
      <c r="BR922" s="403">
        <v>-9999</v>
      </c>
      <c r="BS922" s="403">
        <v>-9999</v>
      </c>
      <c r="BT922" s="403">
        <v>-9999</v>
      </c>
      <c r="BU922" s="404">
        <v>112.9</v>
      </c>
      <c r="BV922" s="404">
        <v>18.100000000000001</v>
      </c>
      <c r="BW922" s="404"/>
      <c r="BX922" s="403">
        <v>-9999</v>
      </c>
      <c r="BY922" s="403">
        <v>-9999</v>
      </c>
      <c r="BZ922" s="403">
        <v>-9999</v>
      </c>
      <c r="CA922" s="407" t="s">
        <v>825</v>
      </c>
      <c r="CB922" s="443" t="s">
        <v>1475</v>
      </c>
      <c r="CC922" s="403">
        <v>1</v>
      </c>
      <c r="CD922" s="457" t="s">
        <v>1657</v>
      </c>
      <c r="CE922" s="344">
        <v>7.2448975000000004</v>
      </c>
      <c r="CF922" s="344">
        <v>-9999</v>
      </c>
      <c r="CG922" s="458">
        <v>8</v>
      </c>
    </row>
    <row r="923" spans="1:1873" s="9" customFormat="1" x14ac:dyDescent="0.2">
      <c r="A923" s="8"/>
      <c r="B923" s="8"/>
      <c r="C923" s="309" t="s">
        <v>1473</v>
      </c>
      <c r="D923" s="8"/>
      <c r="E923" s="15"/>
      <c r="F923" s="15"/>
      <c r="G923" s="8"/>
      <c r="H923" s="16"/>
      <c r="I923" s="8"/>
      <c r="J923" s="8"/>
      <c r="K923" s="8"/>
      <c r="L923" s="8"/>
      <c r="M923" s="17"/>
      <c r="N923" s="16"/>
      <c r="O923" s="8"/>
      <c r="P923" s="17"/>
      <c r="Q923" s="16"/>
      <c r="R923" s="17"/>
      <c r="S923" s="16"/>
      <c r="T923" s="17"/>
      <c r="U923" s="16"/>
      <c r="V923" s="16"/>
      <c r="W923" s="17"/>
      <c r="X923" s="16"/>
      <c r="Y923" s="16"/>
      <c r="Z923" s="8"/>
      <c r="AA923" s="137"/>
      <c r="AB923" s="17"/>
      <c r="AC923" s="16"/>
      <c r="AD923" s="16"/>
      <c r="AE923" s="8"/>
      <c r="AF923" s="8"/>
      <c r="AG923" s="16"/>
      <c r="AH923" s="8"/>
      <c r="AI923" s="8"/>
      <c r="AJ923" s="16"/>
      <c r="AK923" s="16"/>
      <c r="AL923" s="16"/>
      <c r="AM923" s="16"/>
      <c r="AN923" s="8"/>
      <c r="AO923" s="8"/>
      <c r="AP923" s="8"/>
      <c r="AQ923" s="8"/>
      <c r="AR923" s="8"/>
      <c r="AS923" s="8"/>
      <c r="AT923" s="8"/>
      <c r="AU923" s="8"/>
      <c r="AV923" s="8"/>
      <c r="AW923" s="8"/>
      <c r="AX923" s="8"/>
      <c r="AY923" s="8"/>
      <c r="AZ923" s="8"/>
      <c r="BA923" s="8"/>
      <c r="BB923" s="8"/>
      <c r="BC923" s="8"/>
      <c r="BD923" s="8"/>
      <c r="BE923" s="8"/>
      <c r="BF923" s="8"/>
      <c r="BG923" s="8"/>
      <c r="BH923" s="8"/>
      <c r="BI923" s="8"/>
      <c r="BJ923" s="18"/>
      <c r="BK923" s="18"/>
      <c r="BL923" s="17"/>
      <c r="BM923" s="18"/>
      <c r="BN923" s="18"/>
      <c r="BO923" s="18"/>
      <c r="BP923" s="18"/>
      <c r="BQ923" s="18"/>
      <c r="BR923" s="17"/>
      <c r="BS923" s="30"/>
      <c r="BT923" s="18"/>
      <c r="BU923" s="18"/>
      <c r="BV923" s="18"/>
      <c r="BW923" s="18"/>
      <c r="BX923" s="18"/>
      <c r="BY923" s="18"/>
      <c r="BZ923" s="18"/>
      <c r="CA923" s="73"/>
      <c r="CC923" s="15"/>
      <c r="CD923" s="8"/>
      <c r="CE923" s="138"/>
      <c r="CF923" s="138"/>
      <c r="CG923" s="16"/>
    </row>
    <row r="924" spans="1:1873" s="61" customFormat="1" x14ac:dyDescent="0.2">
      <c r="A924" s="18" t="s">
        <v>1432</v>
      </c>
      <c r="B924" s="29"/>
      <c r="C924" s="71"/>
      <c r="D924" s="65"/>
      <c r="E924" s="66"/>
      <c r="F924" s="66"/>
      <c r="G924" s="65"/>
      <c r="H924" s="68"/>
      <c r="I924" s="65"/>
      <c r="J924" s="81"/>
      <c r="K924" s="81"/>
      <c r="L924" s="81"/>
      <c r="M924" s="67"/>
      <c r="N924" s="67"/>
      <c r="O924" s="65"/>
      <c r="P924" s="67"/>
      <c r="Q924" s="65"/>
      <c r="R924" s="67"/>
      <c r="S924" s="65"/>
      <c r="T924" s="67"/>
      <c r="U924" s="65"/>
      <c r="V924" s="65"/>
      <c r="W924" s="67"/>
      <c r="X924" s="65"/>
      <c r="Y924" s="65"/>
      <c r="Z924" s="65"/>
      <c r="AA924" s="65"/>
      <c r="AB924" s="67"/>
      <c r="AC924" s="71"/>
      <c r="AD924" s="71"/>
      <c r="AE924" s="71"/>
      <c r="AF924" s="65"/>
      <c r="AG924" s="65"/>
      <c r="AH924" s="65"/>
      <c r="AI924" s="65"/>
      <c r="AJ924" s="65"/>
      <c r="AK924" s="65"/>
      <c r="AL924" s="65"/>
      <c r="AM924" s="65"/>
      <c r="AN924" s="65"/>
      <c r="AO924" s="65"/>
      <c r="AP924" s="65"/>
      <c r="AQ924" s="65"/>
      <c r="AR924" s="65"/>
      <c r="AS924" s="65"/>
      <c r="AT924" s="65"/>
      <c r="AU924" s="65"/>
      <c r="AV924" s="65"/>
      <c r="AW924" s="65"/>
      <c r="AX924" s="65"/>
      <c r="AY924" s="65"/>
      <c r="AZ924" s="65"/>
      <c r="BA924" s="65"/>
      <c r="BB924" s="65"/>
      <c r="BC924" s="65"/>
      <c r="BD924" s="65"/>
      <c r="BE924" s="65"/>
      <c r="BF924" s="65"/>
      <c r="BG924" s="65"/>
      <c r="BH924" s="65"/>
      <c r="BI924" s="65"/>
      <c r="BJ924" s="65"/>
      <c r="BK924" s="65"/>
      <c r="BL924" s="65"/>
      <c r="BM924" s="65"/>
      <c r="BN924" s="65"/>
      <c r="BO924" s="65"/>
      <c r="BP924" s="65"/>
      <c r="BQ924" s="65"/>
      <c r="BR924" s="65"/>
      <c r="BS924" s="30"/>
      <c r="BT924" s="65"/>
      <c r="BU924" s="65"/>
      <c r="BV924" s="65"/>
      <c r="BW924" s="65"/>
      <c r="BX924" s="65"/>
      <c r="BY924" s="65"/>
      <c r="BZ924" s="65"/>
      <c r="CA924" s="69"/>
      <c r="CC924" s="66"/>
      <c r="CD924" s="65"/>
      <c r="CE924" s="342" t="s">
        <v>1576</v>
      </c>
      <c r="CF924" s="342" t="s">
        <v>1575</v>
      </c>
      <c r="CG924" s="68"/>
      <c r="CI924" s="301" t="s">
        <v>1589</v>
      </c>
    </row>
    <row r="925" spans="1:1873" s="23" customFormat="1" x14ac:dyDescent="0.2">
      <c r="A925" s="273" t="s">
        <v>754</v>
      </c>
      <c r="B925" s="273" t="s">
        <v>820</v>
      </c>
      <c r="C925" s="273" t="s">
        <v>1114</v>
      </c>
      <c r="D925" s="273" t="s">
        <v>619</v>
      </c>
      <c r="E925" s="273" t="s">
        <v>821</v>
      </c>
      <c r="F925" s="462">
        <v>1</v>
      </c>
      <c r="G925" s="273">
        <v>1</v>
      </c>
      <c r="H925" s="468">
        <v>1</v>
      </c>
      <c r="I925" s="273" t="s">
        <v>621</v>
      </c>
      <c r="J925" s="273">
        <v>1986</v>
      </c>
      <c r="K925" s="463" t="s">
        <v>1211</v>
      </c>
      <c r="L925" s="273">
        <v>1986</v>
      </c>
      <c r="M925" s="471">
        <v>3.9</v>
      </c>
      <c r="N925" s="471">
        <v>-9999</v>
      </c>
      <c r="O925" s="1"/>
      <c r="P925" s="414">
        <f>+W925</f>
        <v>3.9</v>
      </c>
      <c r="Q925" s="273">
        <v>-9999</v>
      </c>
      <c r="R925" s="471"/>
      <c r="S925" s="273"/>
      <c r="T925" s="471">
        <f>+P925/F925</f>
        <v>3.9</v>
      </c>
      <c r="U925" s="273">
        <v>-9999</v>
      </c>
      <c r="V925" s="273"/>
      <c r="W925" s="471">
        <v>3.9</v>
      </c>
      <c r="X925" s="468">
        <v>-9999</v>
      </c>
      <c r="Y925" s="468"/>
      <c r="Z925" s="273" t="s">
        <v>822</v>
      </c>
      <c r="AA925" s="385">
        <v>308642</v>
      </c>
      <c r="AB925" s="471">
        <v>0.96</v>
      </c>
      <c r="AC925" s="273">
        <v>-9999</v>
      </c>
      <c r="AD925" s="273">
        <v>100</v>
      </c>
      <c r="AE925" s="461" t="s">
        <v>1971</v>
      </c>
      <c r="AF925" s="273">
        <v>3</v>
      </c>
      <c r="AG925" s="273" t="s">
        <v>823</v>
      </c>
      <c r="AH925" s="273" t="s">
        <v>623</v>
      </c>
      <c r="AI925" s="273" t="s">
        <v>824</v>
      </c>
      <c r="AJ925" s="273" t="s">
        <v>825</v>
      </c>
      <c r="AK925" s="273" t="s">
        <v>625</v>
      </c>
      <c r="AL925" s="273" t="s">
        <v>653</v>
      </c>
      <c r="AM925" s="273">
        <v>-9999</v>
      </c>
      <c r="AN925" s="273" t="s">
        <v>626</v>
      </c>
      <c r="AO925" s="273" t="s">
        <v>826</v>
      </c>
      <c r="AP925" s="273" t="s">
        <v>827</v>
      </c>
      <c r="AQ925" s="273" t="s">
        <v>626</v>
      </c>
      <c r="AR925" s="273">
        <v>100</v>
      </c>
      <c r="AS925" s="273" t="s">
        <v>724</v>
      </c>
      <c r="AT925" s="273" t="s">
        <v>755</v>
      </c>
      <c r="AU925" s="273">
        <v>43</v>
      </c>
      <c r="AV925" s="273" t="s">
        <v>226</v>
      </c>
      <c r="AW925" s="273" t="s">
        <v>755</v>
      </c>
      <c r="AX925" s="273">
        <v>83</v>
      </c>
      <c r="AY925" s="273" t="s">
        <v>226</v>
      </c>
      <c r="AZ925" s="273" t="s">
        <v>755</v>
      </c>
      <c r="BA925" s="273" t="s">
        <v>725</v>
      </c>
      <c r="BB925" s="273" t="s">
        <v>626</v>
      </c>
      <c r="BC925" s="273" t="s">
        <v>829</v>
      </c>
      <c r="BD925" s="273" t="s">
        <v>830</v>
      </c>
      <c r="BE925" s="273"/>
      <c r="BF925" s="273">
        <v>-9999</v>
      </c>
      <c r="BG925" s="273">
        <v>-9999</v>
      </c>
      <c r="BH925" s="273">
        <v>-9999</v>
      </c>
      <c r="BI925" s="273" t="s">
        <v>1119</v>
      </c>
      <c r="BJ925" s="273">
        <v>-9999</v>
      </c>
      <c r="BK925" s="273">
        <v>-9999</v>
      </c>
      <c r="BL925" s="273">
        <v>-9999</v>
      </c>
      <c r="BM925" s="273">
        <v>-9999</v>
      </c>
      <c r="BN925" s="273">
        <v>-9999</v>
      </c>
      <c r="BO925" s="273">
        <v>-9999</v>
      </c>
      <c r="BP925" s="273">
        <v>-9999</v>
      </c>
      <c r="BQ925" s="273">
        <v>-9999</v>
      </c>
      <c r="BR925" s="468">
        <v>-9999</v>
      </c>
      <c r="BS925" s="468">
        <v>-9999</v>
      </c>
      <c r="BT925" s="273">
        <v>-9999</v>
      </c>
      <c r="BU925" s="468">
        <v>-9999</v>
      </c>
      <c r="BV925" s="468">
        <v>-9999</v>
      </c>
      <c r="BW925" s="468"/>
      <c r="BX925" s="273">
        <v>-9999</v>
      </c>
      <c r="BY925" s="273">
        <v>-9999</v>
      </c>
      <c r="BZ925" s="273">
        <v>-9999</v>
      </c>
      <c r="CA925" s="472">
        <v>-9999</v>
      </c>
      <c r="CB925" s="568" t="s">
        <v>1118</v>
      </c>
      <c r="CC925" s="462">
        <v>1</v>
      </c>
      <c r="CD925" s="273">
        <v>1</v>
      </c>
      <c r="CE925" s="292">
        <v>3.9</v>
      </c>
      <c r="CF925" s="292">
        <v>3.9</v>
      </c>
      <c r="CG925" s="93">
        <v>1</v>
      </c>
    </row>
    <row r="926" spans="1:1873" s="23" customFormat="1" x14ac:dyDescent="0.2">
      <c r="A926" s="273" t="s">
        <v>754</v>
      </c>
      <c r="B926" s="273" t="s">
        <v>820</v>
      </c>
      <c r="C926" s="273" t="s">
        <v>1114</v>
      </c>
      <c r="D926" s="273" t="s">
        <v>619</v>
      </c>
      <c r="E926" s="273" t="s">
        <v>821</v>
      </c>
      <c r="F926" s="462">
        <v>2</v>
      </c>
      <c r="G926" s="273">
        <v>1</v>
      </c>
      <c r="H926" s="468">
        <v>2</v>
      </c>
      <c r="I926" s="273" t="s">
        <v>621</v>
      </c>
      <c r="J926" s="273">
        <v>1986</v>
      </c>
      <c r="K926" s="463" t="s">
        <v>1211</v>
      </c>
      <c r="L926" s="273">
        <v>1987</v>
      </c>
      <c r="M926" s="471">
        <v>9.6</v>
      </c>
      <c r="N926" s="471">
        <v>-9999</v>
      </c>
      <c r="O926" s="1"/>
      <c r="P926" s="414">
        <f>+P925+W926</f>
        <v>13.5</v>
      </c>
      <c r="Q926" s="273">
        <v>-9999</v>
      </c>
      <c r="R926" s="471"/>
      <c r="S926" s="273"/>
      <c r="T926" s="471">
        <f>+P926/F926</f>
        <v>6.75</v>
      </c>
      <c r="U926" s="273">
        <v>-9999</v>
      </c>
      <c r="V926" s="273"/>
      <c r="W926" s="471">
        <v>9.6</v>
      </c>
      <c r="X926" s="468">
        <v>-9999</v>
      </c>
      <c r="Y926" s="468"/>
      <c r="Z926" s="273" t="s">
        <v>822</v>
      </c>
      <c r="AA926" s="385">
        <v>308642</v>
      </c>
      <c r="AB926" s="471">
        <v>0.96</v>
      </c>
      <c r="AC926" s="273">
        <v>-9999</v>
      </c>
      <c r="AD926" s="273">
        <v>100</v>
      </c>
      <c r="AE926" s="461" t="s">
        <v>1971</v>
      </c>
      <c r="AF926" s="273">
        <v>3</v>
      </c>
      <c r="AG926" s="273" t="s">
        <v>823</v>
      </c>
      <c r="AH926" s="273" t="s">
        <v>623</v>
      </c>
      <c r="AI926" s="273" t="s">
        <v>824</v>
      </c>
      <c r="AJ926" s="273" t="s">
        <v>825</v>
      </c>
      <c r="AK926" s="273" t="s">
        <v>625</v>
      </c>
      <c r="AL926" s="273" t="s">
        <v>653</v>
      </c>
      <c r="AM926" s="273">
        <v>-9999</v>
      </c>
      <c r="AN926" s="273" t="s">
        <v>626</v>
      </c>
      <c r="AO926" s="273" t="s">
        <v>826</v>
      </c>
      <c r="AP926" s="273" t="s">
        <v>827</v>
      </c>
      <c r="AQ926" s="273" t="s">
        <v>626</v>
      </c>
      <c r="AR926" s="273">
        <f>+AR925+0</f>
        <v>100</v>
      </c>
      <c r="AS926" s="273">
        <v>-9999</v>
      </c>
      <c r="AT926" s="273">
        <v>-9999</v>
      </c>
      <c r="AU926" s="273">
        <f>+AU925+0</f>
        <v>43</v>
      </c>
      <c r="AV926" s="273">
        <v>-9999</v>
      </c>
      <c r="AW926" s="273">
        <v>-9999</v>
      </c>
      <c r="AX926" s="273">
        <f>+AX925+0</f>
        <v>83</v>
      </c>
      <c r="AY926" s="273">
        <v>-9999</v>
      </c>
      <c r="AZ926" s="273">
        <v>-9999</v>
      </c>
      <c r="BA926" s="273" t="s">
        <v>725</v>
      </c>
      <c r="BB926" s="273" t="s">
        <v>626</v>
      </c>
      <c r="BC926" s="273" t="s">
        <v>829</v>
      </c>
      <c r="BD926" s="273" t="s">
        <v>830</v>
      </c>
      <c r="BE926" s="273"/>
      <c r="BF926" s="273">
        <v>-9999</v>
      </c>
      <c r="BG926" s="273">
        <v>-9999</v>
      </c>
      <c r="BH926" s="273">
        <v>-9999</v>
      </c>
      <c r="BI926" s="273" t="s">
        <v>1119</v>
      </c>
      <c r="BJ926" s="273">
        <v>-9999</v>
      </c>
      <c r="BK926" s="273">
        <v>-9999</v>
      </c>
      <c r="BL926" s="273">
        <v>-9999</v>
      </c>
      <c r="BM926" s="273">
        <v>-9999</v>
      </c>
      <c r="BN926" s="273">
        <v>-9999</v>
      </c>
      <c r="BO926" s="273">
        <v>-9999</v>
      </c>
      <c r="BP926" s="273">
        <v>-9999</v>
      </c>
      <c r="BQ926" s="273">
        <v>-9999</v>
      </c>
      <c r="BR926" s="468">
        <v>-9999</v>
      </c>
      <c r="BS926" s="468">
        <v>-9999</v>
      </c>
      <c r="BT926" s="273">
        <v>-9999</v>
      </c>
      <c r="BU926" s="468">
        <v>-9999</v>
      </c>
      <c r="BV926" s="468">
        <v>-9999</v>
      </c>
      <c r="BW926" s="468"/>
      <c r="BX926" s="273">
        <v>-9999</v>
      </c>
      <c r="BY926" s="273">
        <v>-9999</v>
      </c>
      <c r="BZ926" s="273">
        <v>-9999</v>
      </c>
      <c r="CA926" s="472">
        <v>-9999</v>
      </c>
      <c r="CB926" s="568" t="s">
        <v>1118</v>
      </c>
      <c r="CC926" s="462">
        <v>2</v>
      </c>
      <c r="CD926" s="273">
        <v>1</v>
      </c>
      <c r="CE926" s="292">
        <v>6.75</v>
      </c>
      <c r="CF926" s="292">
        <v>9.6</v>
      </c>
      <c r="CG926" s="93">
        <v>2</v>
      </c>
    </row>
    <row r="927" spans="1:1873" s="207" customFormat="1" x14ac:dyDescent="0.2">
      <c r="A927" s="461" t="s">
        <v>754</v>
      </c>
      <c r="B927" s="273" t="s">
        <v>820</v>
      </c>
      <c r="C927" s="273" t="s">
        <v>1114</v>
      </c>
      <c r="D927" s="273" t="s">
        <v>619</v>
      </c>
      <c r="E927" s="273" t="s">
        <v>821</v>
      </c>
      <c r="F927" s="273">
        <v>3</v>
      </c>
      <c r="G927" s="273">
        <v>1</v>
      </c>
      <c r="H927" s="468">
        <v>3</v>
      </c>
      <c r="I927" s="273" t="s">
        <v>621</v>
      </c>
      <c r="J927" s="273">
        <v>1986</v>
      </c>
      <c r="K927" s="463" t="s">
        <v>1211</v>
      </c>
      <c r="L927" s="273">
        <v>1988</v>
      </c>
      <c r="M927" s="471">
        <v>8.6</v>
      </c>
      <c r="N927" s="471">
        <v>-9999</v>
      </c>
      <c r="O927" s="1"/>
      <c r="P927" s="414">
        <f>+P926+W927</f>
        <v>22.1</v>
      </c>
      <c r="Q927" s="273">
        <v>-9999</v>
      </c>
      <c r="R927" s="471"/>
      <c r="S927" s="273"/>
      <c r="T927" s="471">
        <f>+P927/F927</f>
        <v>7.3666666666666671</v>
      </c>
      <c r="U927" s="273">
        <v>-9999</v>
      </c>
      <c r="V927" s="273"/>
      <c r="W927" s="471">
        <v>8.6</v>
      </c>
      <c r="X927" s="468">
        <v>-9999</v>
      </c>
      <c r="Y927" s="468"/>
      <c r="Z927" s="273" t="s">
        <v>822</v>
      </c>
      <c r="AA927" s="385">
        <v>308642</v>
      </c>
      <c r="AB927" s="471">
        <v>0.96</v>
      </c>
      <c r="AC927" s="273">
        <v>-9999</v>
      </c>
      <c r="AD927" s="273">
        <v>100</v>
      </c>
      <c r="AE927" s="461" t="s">
        <v>1971</v>
      </c>
      <c r="AF927" s="273">
        <v>3</v>
      </c>
      <c r="AG927" s="273" t="s">
        <v>823</v>
      </c>
      <c r="AH927" s="273" t="s">
        <v>623</v>
      </c>
      <c r="AI927" s="273" t="s">
        <v>824</v>
      </c>
      <c r="AJ927" s="273" t="s">
        <v>825</v>
      </c>
      <c r="AK927" s="273" t="s">
        <v>625</v>
      </c>
      <c r="AL927" s="273" t="s">
        <v>653</v>
      </c>
      <c r="AM927" s="273">
        <v>-9999</v>
      </c>
      <c r="AN927" s="273" t="s">
        <v>626</v>
      </c>
      <c r="AO927" s="273" t="s">
        <v>826</v>
      </c>
      <c r="AP927" s="273" t="s">
        <v>827</v>
      </c>
      <c r="AQ927" s="273" t="s">
        <v>626</v>
      </c>
      <c r="AR927" s="273">
        <f>+AR926+100</f>
        <v>200</v>
      </c>
      <c r="AS927" s="273" t="s">
        <v>1101</v>
      </c>
      <c r="AT927" s="273" t="s">
        <v>275</v>
      </c>
      <c r="AU927" s="273">
        <f>+AU926+0</f>
        <v>43</v>
      </c>
      <c r="AV927" s="273">
        <v>-9999</v>
      </c>
      <c r="AW927" s="273">
        <v>-9999</v>
      </c>
      <c r="AX927" s="273">
        <f>+AX926+0</f>
        <v>83</v>
      </c>
      <c r="AY927" s="273">
        <v>-9999</v>
      </c>
      <c r="AZ927" s="273">
        <v>-9999</v>
      </c>
      <c r="BA927" s="273" t="s">
        <v>725</v>
      </c>
      <c r="BB927" s="273" t="s">
        <v>626</v>
      </c>
      <c r="BC927" s="273" t="s">
        <v>829</v>
      </c>
      <c r="BD927" s="273" t="s">
        <v>830</v>
      </c>
      <c r="BE927" s="273"/>
      <c r="BF927" s="273">
        <v>-9999</v>
      </c>
      <c r="BG927" s="273">
        <v>-9999</v>
      </c>
      <c r="BH927" s="273">
        <v>-9999</v>
      </c>
      <c r="BI927" s="273" t="s">
        <v>1119</v>
      </c>
      <c r="BJ927" s="273">
        <v>-9999</v>
      </c>
      <c r="BK927" s="273">
        <v>-9999</v>
      </c>
      <c r="BL927" s="273">
        <v>-9999</v>
      </c>
      <c r="BM927" s="273">
        <v>-9999</v>
      </c>
      <c r="BN927" s="273">
        <v>-9999</v>
      </c>
      <c r="BO927" s="273">
        <v>-9999</v>
      </c>
      <c r="BP927" s="273">
        <v>-9999</v>
      </c>
      <c r="BQ927" s="273">
        <v>-9999</v>
      </c>
      <c r="BR927" s="468">
        <v>-9999</v>
      </c>
      <c r="BS927" s="468">
        <v>-9999</v>
      </c>
      <c r="BT927" s="273">
        <v>-9999</v>
      </c>
      <c r="BU927" s="468">
        <v>-9999</v>
      </c>
      <c r="BV927" s="468">
        <v>-9999</v>
      </c>
      <c r="BW927" s="468"/>
      <c r="BX927" s="273">
        <v>-9999</v>
      </c>
      <c r="BY927" s="273">
        <v>-9999</v>
      </c>
      <c r="BZ927" s="273">
        <v>-9999</v>
      </c>
      <c r="CA927" s="472">
        <v>-9999</v>
      </c>
      <c r="CB927" s="568" t="s">
        <v>1118</v>
      </c>
      <c r="CC927" s="273">
        <v>3</v>
      </c>
      <c r="CD927" s="273">
        <v>1</v>
      </c>
      <c r="CE927" s="394">
        <v>7.3666666666666671</v>
      </c>
      <c r="CF927" s="292">
        <v>8.6</v>
      </c>
      <c r="CG927" s="206">
        <v>3</v>
      </c>
      <c r="CH927" s="438" t="s">
        <v>1757</v>
      </c>
      <c r="CI927" s="23"/>
      <c r="CJ927" s="23"/>
      <c r="CK927" s="23"/>
      <c r="CL927" s="23"/>
      <c r="CM927" s="23"/>
      <c r="CN927" s="23"/>
      <c r="CO927" s="23"/>
      <c r="CP927" s="23"/>
      <c r="CQ927" s="23"/>
      <c r="CR927" s="23"/>
      <c r="CS927" s="23"/>
      <c r="CT927" s="23"/>
      <c r="CU927" s="23"/>
      <c r="CV927" s="23"/>
      <c r="CW927" s="23"/>
      <c r="CX927" s="23"/>
      <c r="CY927" s="23"/>
      <c r="CZ927" s="23"/>
      <c r="DA927" s="23"/>
      <c r="DB927" s="23"/>
      <c r="DC927" s="23"/>
      <c r="DD927" s="23"/>
      <c r="DE927" s="23"/>
      <c r="DF927" s="23"/>
      <c r="DG927" s="23"/>
      <c r="DH927" s="23"/>
      <c r="DI927" s="23"/>
      <c r="DJ927" s="23"/>
      <c r="DK927" s="23"/>
      <c r="DL927" s="23"/>
      <c r="DM927" s="23"/>
      <c r="DN927" s="23"/>
      <c r="DO927" s="23"/>
      <c r="DP927" s="23"/>
      <c r="DQ927" s="23"/>
      <c r="DR927" s="23"/>
      <c r="DS927" s="23"/>
      <c r="DT927" s="23"/>
      <c r="DU927" s="23"/>
      <c r="DV927" s="23"/>
      <c r="DW927" s="23"/>
      <c r="DX927" s="23"/>
      <c r="DY927" s="23"/>
      <c r="DZ927" s="23"/>
      <c r="EA927" s="23"/>
      <c r="EB927" s="23"/>
      <c r="EC927" s="23"/>
      <c r="ED927" s="23"/>
      <c r="EE927" s="23"/>
      <c r="EF927" s="23"/>
      <c r="EG927" s="23"/>
      <c r="EH927" s="23"/>
      <c r="EI927" s="23"/>
      <c r="EJ927" s="23"/>
      <c r="EK927" s="23"/>
      <c r="EL927" s="23"/>
      <c r="EM927" s="23"/>
      <c r="EN927" s="23"/>
      <c r="EO927" s="23"/>
      <c r="EP927" s="23"/>
      <c r="EQ927" s="23"/>
      <c r="ER927" s="23"/>
      <c r="ES927" s="23"/>
      <c r="ET927" s="23"/>
      <c r="EU927" s="23"/>
      <c r="EV927" s="23"/>
      <c r="EW927" s="23"/>
      <c r="EX927" s="23"/>
      <c r="EY927" s="23"/>
      <c r="EZ927" s="23"/>
      <c r="FA927" s="23"/>
      <c r="FB927" s="23"/>
      <c r="FC927" s="23"/>
      <c r="FD927" s="23"/>
      <c r="FE927" s="23"/>
      <c r="FF927" s="23"/>
      <c r="FG927" s="23"/>
      <c r="FH927" s="23"/>
      <c r="FI927" s="23"/>
      <c r="FJ927" s="23"/>
      <c r="FK927" s="23"/>
      <c r="FL927" s="23"/>
      <c r="FM927" s="23"/>
      <c r="FN927" s="23"/>
      <c r="FO927" s="23"/>
      <c r="FP927" s="23"/>
      <c r="FQ927" s="23"/>
      <c r="FR927" s="23"/>
      <c r="FS927" s="23"/>
      <c r="FT927" s="23"/>
      <c r="FU927" s="23"/>
      <c r="FV927" s="23"/>
      <c r="FW927" s="23"/>
      <c r="FX927" s="23"/>
      <c r="FY927" s="23"/>
      <c r="FZ927" s="23"/>
      <c r="GA927" s="23"/>
      <c r="GB927" s="23"/>
      <c r="GC927" s="23"/>
      <c r="GD927" s="23"/>
      <c r="GE927" s="23"/>
      <c r="GF927" s="23"/>
      <c r="GG927" s="23"/>
      <c r="GH927" s="23"/>
      <c r="GI927" s="23"/>
      <c r="GJ927" s="23"/>
      <c r="GK927" s="23"/>
      <c r="GL927" s="23"/>
      <c r="GM927" s="23"/>
      <c r="GN927" s="23"/>
      <c r="GO927" s="23"/>
      <c r="GP927" s="23"/>
      <c r="GQ927" s="23"/>
      <c r="GR927" s="23"/>
      <c r="GS927" s="23"/>
      <c r="GT927" s="23"/>
      <c r="GU927" s="23"/>
      <c r="GV927" s="23"/>
      <c r="GW927" s="23"/>
      <c r="GX927" s="23"/>
      <c r="GY927" s="23"/>
      <c r="GZ927" s="23"/>
      <c r="HA927" s="23"/>
      <c r="HB927" s="23"/>
      <c r="HC927" s="23"/>
      <c r="HD927" s="23"/>
      <c r="HE927" s="23"/>
      <c r="HF927" s="23"/>
      <c r="HG927" s="23"/>
      <c r="HH927" s="23"/>
      <c r="HI927" s="23"/>
      <c r="HJ927" s="23"/>
      <c r="HK927" s="23"/>
      <c r="HL927" s="23"/>
      <c r="HM927" s="23"/>
      <c r="HN927" s="23"/>
      <c r="HO927" s="23"/>
      <c r="HP927" s="23"/>
      <c r="HQ927" s="23"/>
      <c r="HR927" s="23"/>
      <c r="HS927" s="23"/>
      <c r="HT927" s="23"/>
      <c r="HU927" s="23"/>
      <c r="HV927" s="23"/>
      <c r="HW927" s="23"/>
      <c r="HX927" s="23"/>
      <c r="HY927" s="23"/>
      <c r="HZ927" s="23"/>
      <c r="IA927" s="23"/>
      <c r="IB927" s="23"/>
      <c r="IC927" s="23"/>
      <c r="ID927" s="23"/>
      <c r="IE927" s="23"/>
      <c r="IF927" s="23"/>
      <c r="IG927" s="23"/>
      <c r="IH927" s="23"/>
      <c r="II927" s="23"/>
      <c r="IJ927" s="23"/>
      <c r="IK927" s="23"/>
      <c r="IL927" s="23"/>
      <c r="IM927" s="23"/>
      <c r="IN927" s="23"/>
      <c r="IO927" s="23"/>
      <c r="IP927" s="23"/>
      <c r="IQ927" s="23"/>
      <c r="IR927" s="23"/>
      <c r="IS927" s="23"/>
      <c r="IT927" s="23"/>
      <c r="IU927" s="23"/>
      <c r="IV927" s="23"/>
      <c r="IW927" s="23"/>
      <c r="IX927" s="23"/>
      <c r="IY927" s="23"/>
      <c r="IZ927" s="23"/>
      <c r="JA927" s="23"/>
      <c r="JB927" s="23"/>
      <c r="JC927" s="23"/>
      <c r="JD927" s="23"/>
      <c r="JE927" s="23"/>
      <c r="JF927" s="23"/>
      <c r="JG927" s="23"/>
      <c r="JH927" s="23"/>
      <c r="JI927" s="23"/>
      <c r="JJ927" s="23"/>
      <c r="JK927" s="23"/>
      <c r="JL927" s="23"/>
      <c r="JM927" s="23"/>
      <c r="JN927" s="23"/>
      <c r="JO927" s="23"/>
      <c r="JP927" s="23"/>
      <c r="JQ927" s="23"/>
      <c r="JR927" s="23"/>
      <c r="JS927" s="23"/>
      <c r="JT927" s="23"/>
      <c r="JU927" s="23"/>
      <c r="JV927" s="23"/>
      <c r="JW927" s="23"/>
      <c r="JX927" s="23"/>
      <c r="JY927" s="23"/>
      <c r="JZ927" s="23"/>
      <c r="KA927" s="23"/>
      <c r="KB927" s="23"/>
      <c r="KC927" s="23"/>
      <c r="KD927" s="23"/>
      <c r="KE927" s="23"/>
      <c r="KF927" s="23"/>
      <c r="KG927" s="23"/>
      <c r="KH927" s="23"/>
      <c r="KI927" s="23"/>
      <c r="KJ927" s="23"/>
      <c r="KK927" s="23"/>
      <c r="KL927" s="23"/>
      <c r="KM927" s="23"/>
      <c r="KN927" s="23"/>
      <c r="KO927" s="23"/>
      <c r="KP927" s="23"/>
      <c r="KQ927" s="23"/>
      <c r="KR927" s="23"/>
      <c r="KS927" s="23"/>
      <c r="KT927" s="23"/>
      <c r="KU927" s="23"/>
      <c r="KV927" s="23"/>
      <c r="KW927" s="23"/>
      <c r="KX927" s="23"/>
      <c r="KY927" s="23"/>
      <c r="KZ927" s="23"/>
      <c r="LA927" s="23"/>
      <c r="LB927" s="23"/>
      <c r="LC927" s="23"/>
      <c r="LD927" s="23"/>
      <c r="LE927" s="23"/>
      <c r="LF927" s="23"/>
      <c r="LG927" s="23"/>
      <c r="LH927" s="23"/>
      <c r="LI927" s="23"/>
      <c r="LJ927" s="23"/>
      <c r="LK927" s="23"/>
      <c r="LL927" s="23"/>
      <c r="LM927" s="23"/>
      <c r="LN927" s="23"/>
      <c r="LO927" s="23"/>
      <c r="LP927" s="23"/>
      <c r="LQ927" s="23"/>
      <c r="LR927" s="23"/>
      <c r="LS927" s="23"/>
      <c r="LT927" s="23"/>
      <c r="LU927" s="23"/>
      <c r="LV927" s="23"/>
      <c r="LW927" s="23"/>
      <c r="LX927" s="23"/>
      <c r="LY927" s="23"/>
      <c r="LZ927" s="23"/>
      <c r="MA927" s="23"/>
      <c r="MB927" s="23"/>
      <c r="MC927" s="23"/>
      <c r="MD927" s="23"/>
      <c r="ME927" s="23"/>
      <c r="MF927" s="23"/>
      <c r="MG927" s="23"/>
      <c r="MH927" s="23"/>
      <c r="MI927" s="23"/>
      <c r="MJ927" s="23"/>
      <c r="MK927" s="23"/>
      <c r="ML927" s="23"/>
      <c r="MM927" s="23"/>
      <c r="MN927" s="23"/>
      <c r="MO927" s="23"/>
      <c r="MP927" s="23"/>
      <c r="MQ927" s="23"/>
      <c r="MR927" s="23"/>
      <c r="MS927" s="23"/>
      <c r="MT927" s="23"/>
      <c r="MU927" s="23"/>
      <c r="MV927" s="23"/>
      <c r="MW927" s="23"/>
      <c r="MX927" s="23"/>
      <c r="MY927" s="23"/>
      <c r="MZ927" s="23"/>
      <c r="NA927" s="23"/>
      <c r="NB927" s="23"/>
      <c r="NC927" s="23"/>
      <c r="ND927" s="23"/>
      <c r="NE927" s="23"/>
      <c r="NF927" s="23"/>
      <c r="NG927" s="23"/>
      <c r="NH927" s="23"/>
      <c r="NI927" s="23"/>
      <c r="NJ927" s="23"/>
      <c r="NK927" s="23"/>
      <c r="NL927" s="23"/>
      <c r="NM927" s="23"/>
      <c r="NN927" s="23"/>
      <c r="NO927" s="23"/>
      <c r="NP927" s="23"/>
      <c r="NQ927" s="23"/>
      <c r="NR927" s="23"/>
      <c r="NS927" s="23"/>
      <c r="NT927" s="23"/>
      <c r="NU927" s="23"/>
      <c r="NV927" s="23"/>
      <c r="NW927" s="23"/>
      <c r="NX927" s="23"/>
      <c r="NY927" s="23"/>
      <c r="NZ927" s="23"/>
      <c r="OA927" s="23"/>
      <c r="OB927" s="23"/>
      <c r="OC927" s="23"/>
      <c r="OD927" s="23"/>
      <c r="OE927" s="23"/>
      <c r="OF927" s="23"/>
      <c r="OG927" s="23"/>
      <c r="OH927" s="23"/>
      <c r="OI927" s="23"/>
      <c r="OJ927" s="23"/>
      <c r="OK927" s="23"/>
      <c r="OL927" s="23"/>
      <c r="OM927" s="23"/>
      <c r="ON927" s="23"/>
      <c r="OO927" s="23"/>
      <c r="OP927" s="23"/>
      <c r="OQ927" s="23"/>
      <c r="OR927" s="23"/>
      <c r="OS927" s="23"/>
      <c r="OT927" s="23"/>
      <c r="OU927" s="23"/>
      <c r="OV927" s="23"/>
      <c r="OW927" s="23"/>
      <c r="OX927" s="23"/>
      <c r="OY927" s="23"/>
      <c r="OZ927" s="23"/>
      <c r="PA927" s="23"/>
      <c r="PB927" s="23"/>
      <c r="PC927" s="23"/>
      <c r="PD927" s="23"/>
      <c r="PE927" s="23"/>
      <c r="PF927" s="23"/>
      <c r="PG927" s="23"/>
      <c r="PH927" s="23"/>
      <c r="PI927" s="23"/>
      <c r="PJ927" s="23"/>
      <c r="PK927" s="23"/>
      <c r="PL927" s="23"/>
      <c r="PM927" s="23"/>
      <c r="PN927" s="23"/>
      <c r="PO927" s="23"/>
      <c r="PP927" s="23"/>
      <c r="PQ927" s="23"/>
      <c r="PR927" s="23"/>
      <c r="PS927" s="23"/>
      <c r="PT927" s="23"/>
      <c r="PU927" s="23"/>
      <c r="PV927" s="23"/>
      <c r="PW927" s="23"/>
      <c r="PX927" s="23"/>
      <c r="PY927" s="23"/>
      <c r="PZ927" s="23"/>
      <c r="QA927" s="23"/>
      <c r="QB927" s="23"/>
      <c r="QC927" s="23"/>
      <c r="QD927" s="23"/>
      <c r="QE927" s="23"/>
      <c r="QF927" s="23"/>
      <c r="QG927" s="23"/>
      <c r="QH927" s="23"/>
      <c r="QI927" s="23"/>
      <c r="QJ927" s="23"/>
      <c r="QK927" s="23"/>
      <c r="QL927" s="23"/>
      <c r="QM927" s="23"/>
      <c r="QN927" s="23"/>
      <c r="QO927" s="23"/>
      <c r="QP927" s="23"/>
      <c r="QQ927" s="23"/>
      <c r="QR927" s="23"/>
      <c r="QS927" s="23"/>
      <c r="QT927" s="23"/>
      <c r="QU927" s="23"/>
      <c r="QV927" s="23"/>
      <c r="QW927" s="23"/>
      <c r="QX927" s="23"/>
      <c r="QY927" s="23"/>
      <c r="QZ927" s="23"/>
      <c r="RA927" s="23"/>
      <c r="RB927" s="23"/>
      <c r="RC927" s="23"/>
      <c r="RD927" s="23"/>
      <c r="RE927" s="23"/>
      <c r="RF927" s="23"/>
      <c r="RG927" s="23"/>
      <c r="RH927" s="23"/>
      <c r="RI927" s="23"/>
      <c r="RJ927" s="23"/>
      <c r="RK927" s="23"/>
      <c r="RL927" s="23"/>
      <c r="RM927" s="23"/>
      <c r="RN927" s="23"/>
      <c r="RO927" s="23"/>
      <c r="RP927" s="23"/>
      <c r="RQ927" s="23"/>
      <c r="RR927" s="23"/>
      <c r="RS927" s="23"/>
      <c r="RT927" s="23"/>
      <c r="RU927" s="23"/>
      <c r="RV927" s="23"/>
      <c r="RW927" s="23"/>
      <c r="RX927" s="23"/>
      <c r="RY927" s="23"/>
      <c r="RZ927" s="23"/>
      <c r="SA927" s="23"/>
      <c r="SB927" s="23"/>
      <c r="SC927" s="23"/>
      <c r="SD927" s="23"/>
      <c r="SE927" s="23"/>
      <c r="SF927" s="23"/>
      <c r="SG927" s="23"/>
      <c r="SH927" s="23"/>
      <c r="SI927" s="23"/>
      <c r="SJ927" s="23"/>
      <c r="SK927" s="23"/>
      <c r="SL927" s="23"/>
      <c r="SM927" s="23"/>
      <c r="SN927" s="23"/>
      <c r="SO927" s="23"/>
      <c r="SP927" s="23"/>
      <c r="SQ927" s="23"/>
      <c r="SR927" s="23"/>
      <c r="SS927" s="23"/>
      <c r="ST927" s="23"/>
      <c r="SU927" s="23"/>
      <c r="SV927" s="23"/>
      <c r="SW927" s="23"/>
      <c r="SX927" s="23"/>
      <c r="SY927" s="23"/>
      <c r="SZ927" s="23"/>
      <c r="TA927" s="23"/>
      <c r="TB927" s="23"/>
      <c r="TC927" s="23"/>
      <c r="TD927" s="23"/>
      <c r="TE927" s="23"/>
      <c r="TF927" s="23"/>
      <c r="TG927" s="23"/>
      <c r="TH927" s="23"/>
      <c r="TI927" s="23"/>
      <c r="TJ927" s="23"/>
      <c r="TK927" s="23"/>
      <c r="TL927" s="23"/>
      <c r="TM927" s="23"/>
      <c r="TN927" s="23"/>
      <c r="TO927" s="23"/>
      <c r="TP927" s="23"/>
      <c r="TQ927" s="23"/>
      <c r="TR927" s="23"/>
      <c r="TS927" s="23"/>
      <c r="TT927" s="23"/>
      <c r="TU927" s="23"/>
      <c r="TV927" s="23"/>
      <c r="TW927" s="23"/>
      <c r="TX927" s="23"/>
      <c r="TY927" s="23"/>
      <c r="TZ927" s="23"/>
      <c r="UA927" s="23"/>
      <c r="UB927" s="23"/>
      <c r="UC927" s="23"/>
      <c r="UD927" s="23"/>
      <c r="UE927" s="23"/>
      <c r="UF927" s="23"/>
      <c r="UG927" s="23"/>
      <c r="UH927" s="23"/>
      <c r="UI927" s="23"/>
      <c r="UJ927" s="23"/>
      <c r="UK927" s="23"/>
      <c r="UL927" s="23"/>
      <c r="UM927" s="23"/>
      <c r="UN927" s="23"/>
      <c r="UO927" s="23"/>
      <c r="UP927" s="23"/>
      <c r="UQ927" s="23"/>
      <c r="UR927" s="23"/>
      <c r="US927" s="23"/>
      <c r="UT927" s="23"/>
      <c r="UU927" s="23"/>
      <c r="UV927" s="23"/>
      <c r="UW927" s="23"/>
      <c r="UX927" s="23"/>
      <c r="UY927" s="23"/>
      <c r="UZ927" s="23"/>
      <c r="VA927" s="23"/>
      <c r="VB927" s="23"/>
      <c r="VC927" s="23"/>
      <c r="VD927" s="23"/>
      <c r="VE927" s="23"/>
      <c r="VF927" s="23"/>
      <c r="VG927" s="23"/>
      <c r="VH927" s="23"/>
      <c r="VI927" s="23"/>
      <c r="VJ927" s="23"/>
      <c r="VK927" s="23"/>
      <c r="VL927" s="23"/>
      <c r="VM927" s="23"/>
      <c r="VN927" s="23"/>
      <c r="VO927" s="23"/>
      <c r="VP927" s="23"/>
      <c r="VQ927" s="23"/>
      <c r="VR927" s="23"/>
      <c r="VS927" s="23"/>
      <c r="VT927" s="23"/>
      <c r="VU927" s="23"/>
      <c r="VV927" s="23"/>
      <c r="VW927" s="23"/>
      <c r="VX927" s="23"/>
      <c r="VY927" s="23"/>
      <c r="VZ927" s="23"/>
      <c r="WA927" s="23"/>
      <c r="WB927" s="23"/>
      <c r="WC927" s="23"/>
      <c r="WD927" s="23"/>
      <c r="WE927" s="23"/>
      <c r="WF927" s="23"/>
      <c r="WG927" s="23"/>
      <c r="WH927" s="23"/>
      <c r="WI927" s="23"/>
      <c r="WJ927" s="23"/>
      <c r="WK927" s="23"/>
      <c r="WL927" s="23"/>
      <c r="WM927" s="23"/>
      <c r="WN927" s="23"/>
      <c r="WO927" s="23"/>
      <c r="WP927" s="23"/>
      <c r="WQ927" s="23"/>
      <c r="WR927" s="23"/>
      <c r="WS927" s="23"/>
      <c r="WT927" s="23"/>
      <c r="WU927" s="23"/>
      <c r="WV927" s="23"/>
      <c r="WW927" s="23"/>
      <c r="WX927" s="23"/>
      <c r="WY927" s="23"/>
      <c r="WZ927" s="23"/>
      <c r="XA927" s="23"/>
      <c r="XB927" s="23"/>
      <c r="XC927" s="23"/>
      <c r="XD927" s="23"/>
      <c r="XE927" s="23"/>
      <c r="XF927" s="23"/>
      <c r="XG927" s="23"/>
      <c r="XH927" s="23"/>
      <c r="XI927" s="23"/>
      <c r="XJ927" s="23"/>
      <c r="XK927" s="23"/>
      <c r="XL927" s="23"/>
      <c r="XM927" s="23"/>
      <c r="XN927" s="23"/>
      <c r="XO927" s="23"/>
      <c r="XP927" s="23"/>
      <c r="XQ927" s="23"/>
      <c r="XR927" s="23"/>
      <c r="XS927" s="23"/>
      <c r="XT927" s="23"/>
      <c r="XU927" s="23"/>
      <c r="XV927" s="23"/>
      <c r="XW927" s="23"/>
      <c r="XX927" s="23"/>
      <c r="XY927" s="23"/>
      <c r="XZ927" s="23"/>
      <c r="YA927" s="23"/>
      <c r="YB927" s="23"/>
      <c r="YC927" s="23"/>
      <c r="YD927" s="23"/>
      <c r="YE927" s="23"/>
      <c r="YF927" s="23"/>
      <c r="YG927" s="23"/>
      <c r="YH927" s="23"/>
      <c r="YI927" s="23"/>
      <c r="YJ927" s="23"/>
      <c r="YK927" s="23"/>
      <c r="YL927" s="23"/>
      <c r="YM927" s="23"/>
      <c r="YN927" s="23"/>
      <c r="YO927" s="23"/>
      <c r="YP927" s="23"/>
      <c r="YQ927" s="23"/>
      <c r="YR927" s="23"/>
      <c r="YS927" s="23"/>
      <c r="YT927" s="23"/>
      <c r="YU927" s="23"/>
      <c r="YV927" s="23"/>
      <c r="YW927" s="23"/>
      <c r="YX927" s="23"/>
      <c r="YY927" s="23"/>
      <c r="YZ927" s="23"/>
      <c r="ZA927" s="23"/>
      <c r="ZB927" s="23"/>
      <c r="ZC927" s="23"/>
      <c r="ZD927" s="23"/>
      <c r="ZE927" s="23"/>
      <c r="ZF927" s="23"/>
      <c r="ZG927" s="23"/>
      <c r="ZH927" s="23"/>
      <c r="ZI927" s="23"/>
      <c r="ZJ927" s="23"/>
      <c r="ZK927" s="23"/>
      <c r="ZL927" s="23"/>
      <c r="ZM927" s="23"/>
      <c r="ZN927" s="23"/>
      <c r="ZO927" s="23"/>
      <c r="ZP927" s="23"/>
      <c r="ZQ927" s="23"/>
      <c r="ZR927" s="23"/>
      <c r="ZS927" s="23"/>
      <c r="ZT927" s="23"/>
      <c r="ZU927" s="23"/>
      <c r="ZV927" s="23"/>
      <c r="ZW927" s="23"/>
      <c r="ZX927" s="23"/>
      <c r="ZY927" s="23"/>
      <c r="ZZ927" s="23"/>
      <c r="AAA927" s="23"/>
      <c r="AAB927" s="23"/>
      <c r="AAC927" s="23"/>
      <c r="AAD927" s="23"/>
      <c r="AAE927" s="23"/>
      <c r="AAF927" s="23"/>
      <c r="AAG927" s="23"/>
      <c r="AAH927" s="23"/>
      <c r="AAI927" s="23"/>
      <c r="AAJ927" s="23"/>
      <c r="AAK927" s="23"/>
      <c r="AAL927" s="23"/>
      <c r="AAM927" s="23"/>
      <c r="AAN927" s="23"/>
      <c r="AAO927" s="23"/>
      <c r="AAP927" s="23"/>
      <c r="AAQ927" s="23"/>
      <c r="AAR927" s="23"/>
      <c r="AAS927" s="23"/>
      <c r="AAT927" s="23"/>
      <c r="AAU927" s="23"/>
      <c r="AAV927" s="23"/>
      <c r="AAW927" s="23"/>
      <c r="AAX927" s="23"/>
      <c r="AAY927" s="23"/>
      <c r="AAZ927" s="23"/>
      <c r="ABA927" s="23"/>
      <c r="ABB927" s="23"/>
      <c r="ABC927" s="23"/>
      <c r="ABD927" s="23"/>
      <c r="ABE927" s="23"/>
      <c r="ABF927" s="23"/>
      <c r="ABG927" s="23"/>
      <c r="ABH927" s="23"/>
      <c r="ABI927" s="23"/>
      <c r="ABJ927" s="23"/>
      <c r="ABK927" s="23"/>
      <c r="ABL927" s="23"/>
      <c r="ABM927" s="23"/>
      <c r="ABN927" s="23"/>
      <c r="ABO927" s="23"/>
      <c r="ABP927" s="23"/>
      <c r="ABQ927" s="23"/>
      <c r="ABR927" s="23"/>
      <c r="ABS927" s="23"/>
      <c r="ABT927" s="23"/>
      <c r="ABU927" s="23"/>
      <c r="ABV927" s="23"/>
      <c r="ABW927" s="23"/>
      <c r="ABX927" s="23"/>
      <c r="ABY927" s="23"/>
      <c r="ABZ927" s="23"/>
      <c r="ACA927" s="23"/>
      <c r="ACB927" s="23"/>
      <c r="ACC927" s="23"/>
      <c r="ACD927" s="23"/>
      <c r="ACE927" s="23"/>
      <c r="ACF927" s="23"/>
      <c r="ACG927" s="23"/>
      <c r="ACH927" s="23"/>
      <c r="ACI927" s="23"/>
      <c r="ACJ927" s="23"/>
      <c r="ACK927" s="23"/>
      <c r="ACL927" s="23"/>
      <c r="ACM927" s="23"/>
      <c r="ACN927" s="23"/>
      <c r="ACO927" s="23"/>
      <c r="ACP927" s="23"/>
      <c r="ACQ927" s="23"/>
      <c r="ACR927" s="23"/>
      <c r="ACS927" s="23"/>
      <c r="ACT927" s="23"/>
      <c r="ACU927" s="23"/>
      <c r="ACV927" s="23"/>
      <c r="ACW927" s="23"/>
      <c r="ACX927" s="23"/>
      <c r="ACY927" s="23"/>
      <c r="ACZ927" s="23"/>
      <c r="ADA927" s="23"/>
      <c r="ADB927" s="23"/>
      <c r="ADC927" s="23"/>
      <c r="ADD927" s="23"/>
      <c r="ADE927" s="23"/>
      <c r="ADF927" s="23"/>
      <c r="ADG927" s="23"/>
      <c r="ADH927" s="23"/>
      <c r="ADI927" s="23"/>
      <c r="ADJ927" s="23"/>
      <c r="ADK927" s="23"/>
      <c r="ADL927" s="23"/>
      <c r="ADM927" s="23"/>
      <c r="ADN927" s="23"/>
      <c r="ADO927" s="23"/>
      <c r="ADP927" s="23"/>
      <c r="ADQ927" s="23"/>
      <c r="ADR927" s="23"/>
      <c r="ADS927" s="23"/>
      <c r="ADT927" s="23"/>
      <c r="ADU927" s="23"/>
      <c r="ADV927" s="23"/>
      <c r="ADW927" s="23"/>
      <c r="ADX927" s="23"/>
      <c r="ADY927" s="23"/>
      <c r="ADZ927" s="23"/>
      <c r="AEA927" s="23"/>
      <c r="AEB927" s="23"/>
      <c r="AEC927" s="23"/>
      <c r="AED927" s="23"/>
      <c r="AEE927" s="23"/>
      <c r="AEF927" s="23"/>
      <c r="AEG927" s="23"/>
      <c r="AEH927" s="23"/>
      <c r="AEI927" s="23"/>
      <c r="AEJ927" s="23"/>
      <c r="AEK927" s="23"/>
      <c r="AEL927" s="23"/>
      <c r="AEM927" s="23"/>
      <c r="AEN927" s="23"/>
      <c r="AEO927" s="23"/>
      <c r="AEP927" s="23"/>
      <c r="AEQ927" s="23"/>
      <c r="AER927" s="23"/>
      <c r="AES927" s="23"/>
      <c r="AET927" s="23"/>
      <c r="AEU927" s="23"/>
      <c r="AEV927" s="23"/>
      <c r="AEW927" s="23"/>
      <c r="AEX927" s="23"/>
      <c r="AEY927" s="23"/>
      <c r="AEZ927" s="23"/>
      <c r="AFA927" s="23"/>
      <c r="AFB927" s="23"/>
      <c r="AFC927" s="23"/>
      <c r="AFD927" s="23"/>
      <c r="AFE927" s="23"/>
      <c r="AFF927" s="23"/>
      <c r="AFG927" s="23"/>
      <c r="AFH927" s="23"/>
      <c r="AFI927" s="23"/>
      <c r="AFJ927" s="23"/>
      <c r="AFK927" s="23"/>
      <c r="AFL927" s="23"/>
      <c r="AFM927" s="23"/>
      <c r="AFN927" s="23"/>
      <c r="AFO927" s="23"/>
      <c r="AFP927" s="23"/>
      <c r="AFQ927" s="23"/>
      <c r="AFR927" s="23"/>
      <c r="AFS927" s="23"/>
      <c r="AFT927" s="23"/>
      <c r="AFU927" s="23"/>
      <c r="AFV927" s="23"/>
      <c r="AFW927" s="23"/>
      <c r="AFX927" s="23"/>
      <c r="AFY927" s="23"/>
      <c r="AFZ927" s="23"/>
      <c r="AGA927" s="23"/>
      <c r="AGB927" s="23"/>
      <c r="AGC927" s="23"/>
      <c r="AGD927" s="23"/>
      <c r="AGE927" s="23"/>
      <c r="AGF927" s="23"/>
      <c r="AGG927" s="23"/>
      <c r="AGH927" s="23"/>
      <c r="AGI927" s="23"/>
      <c r="AGJ927" s="23"/>
      <c r="AGK927" s="23"/>
      <c r="AGL927" s="23"/>
      <c r="AGM927" s="23"/>
      <c r="AGN927" s="23"/>
      <c r="AGO927" s="23"/>
      <c r="AGP927" s="23"/>
      <c r="AGQ927" s="23"/>
      <c r="AGR927" s="23"/>
      <c r="AGS927" s="23"/>
      <c r="AGT927" s="23"/>
      <c r="AGU927" s="23"/>
      <c r="AGV927" s="23"/>
      <c r="AGW927" s="23"/>
      <c r="AGX927" s="23"/>
      <c r="AGY927" s="23"/>
      <c r="AGZ927" s="23"/>
      <c r="AHA927" s="23"/>
      <c r="AHB927" s="23"/>
      <c r="AHC927" s="23"/>
      <c r="AHD927" s="23"/>
      <c r="AHE927" s="23"/>
      <c r="AHF927" s="23"/>
      <c r="AHG927" s="23"/>
      <c r="AHH927" s="23"/>
      <c r="AHI927" s="23"/>
      <c r="AHJ927" s="23"/>
      <c r="AHK927" s="23"/>
      <c r="AHL927" s="23"/>
      <c r="AHM927" s="23"/>
      <c r="AHN927" s="23"/>
      <c r="AHO927" s="23"/>
      <c r="AHP927" s="23"/>
      <c r="AHQ927" s="23"/>
      <c r="AHR927" s="23"/>
      <c r="AHS927" s="23"/>
      <c r="AHT927" s="23"/>
      <c r="AHU927" s="23"/>
      <c r="AHV927" s="23"/>
      <c r="AHW927" s="23"/>
      <c r="AHX927" s="23"/>
      <c r="AHY927" s="23"/>
      <c r="AHZ927" s="23"/>
      <c r="AIA927" s="23"/>
      <c r="AIB927" s="23"/>
      <c r="AIC927" s="23"/>
      <c r="AID927" s="23"/>
      <c r="AIE927" s="23"/>
      <c r="AIF927" s="23"/>
      <c r="AIG927" s="23"/>
      <c r="AIH927" s="23"/>
      <c r="AII927" s="23"/>
      <c r="AIJ927" s="23"/>
      <c r="AIK927" s="23"/>
      <c r="AIL927" s="23"/>
      <c r="AIM927" s="23"/>
      <c r="AIN927" s="23"/>
      <c r="AIO927" s="23"/>
      <c r="AIP927" s="23"/>
      <c r="AIQ927" s="23"/>
      <c r="AIR927" s="23"/>
      <c r="AIS927" s="23"/>
      <c r="AIT927" s="23"/>
      <c r="AIU927" s="23"/>
      <c r="AIV927" s="23"/>
      <c r="AIW927" s="23"/>
      <c r="AIX927" s="23"/>
      <c r="AIY927" s="23"/>
      <c r="AIZ927" s="23"/>
      <c r="AJA927" s="23"/>
      <c r="AJB927" s="23"/>
      <c r="AJC927" s="23"/>
      <c r="AJD927" s="23"/>
      <c r="AJE927" s="23"/>
      <c r="AJF927" s="23"/>
      <c r="AJG927" s="23"/>
      <c r="AJH927" s="23"/>
      <c r="AJI927" s="23"/>
      <c r="AJJ927" s="23"/>
      <c r="AJK927" s="23"/>
      <c r="AJL927" s="23"/>
      <c r="AJM927" s="23"/>
      <c r="AJN927" s="23"/>
      <c r="AJO927" s="23"/>
      <c r="AJP927" s="23"/>
      <c r="AJQ927" s="23"/>
      <c r="AJR927" s="23"/>
      <c r="AJS927" s="23"/>
      <c r="AJT927" s="23"/>
      <c r="AJU927" s="23"/>
      <c r="AJV927" s="23"/>
      <c r="AJW927" s="23"/>
      <c r="AJX927" s="23"/>
      <c r="AJY927" s="23"/>
      <c r="AJZ927" s="23"/>
      <c r="AKA927" s="23"/>
      <c r="AKB927" s="23"/>
      <c r="AKC927" s="23"/>
      <c r="AKD927" s="23"/>
      <c r="AKE927" s="23"/>
      <c r="AKF927" s="23"/>
      <c r="AKG927" s="23"/>
      <c r="AKH927" s="23"/>
      <c r="AKI927" s="23"/>
      <c r="AKJ927" s="23"/>
      <c r="AKK927" s="23"/>
      <c r="AKL927" s="23"/>
      <c r="AKM927" s="23"/>
      <c r="AKN927" s="23"/>
      <c r="AKO927" s="23"/>
      <c r="AKP927" s="23"/>
      <c r="AKQ927" s="23"/>
      <c r="AKR927" s="23"/>
      <c r="AKS927" s="23"/>
      <c r="AKT927" s="23"/>
      <c r="AKU927" s="23"/>
      <c r="AKV927" s="23"/>
      <c r="AKW927" s="23"/>
      <c r="AKX927" s="23"/>
      <c r="AKY927" s="23"/>
      <c r="AKZ927" s="23"/>
      <c r="ALA927" s="23"/>
      <c r="ALB927" s="23"/>
      <c r="ALC927" s="23"/>
      <c r="ALD927" s="23"/>
      <c r="ALE927" s="23"/>
      <c r="ALF927" s="23"/>
      <c r="ALG927" s="23"/>
      <c r="ALH927" s="23"/>
      <c r="ALI927" s="23"/>
      <c r="ALJ927" s="23"/>
      <c r="ALK927" s="23"/>
      <c r="ALL927" s="23"/>
      <c r="ALM927" s="23"/>
      <c r="ALN927" s="23"/>
      <c r="ALO927" s="23"/>
      <c r="ALP927" s="23"/>
      <c r="ALQ927" s="23"/>
      <c r="ALR927" s="23"/>
      <c r="ALS927" s="23"/>
      <c r="ALT927" s="23"/>
      <c r="ALU927" s="23"/>
      <c r="ALV927" s="23"/>
      <c r="ALW927" s="23"/>
      <c r="ALX927" s="23"/>
      <c r="ALY927" s="23"/>
      <c r="ALZ927" s="23"/>
      <c r="AMA927" s="23"/>
      <c r="AMB927" s="23"/>
      <c r="AMC927" s="23"/>
      <c r="AMD927" s="23"/>
      <c r="AME927" s="23"/>
      <c r="AMF927" s="23"/>
      <c r="AMG927" s="23"/>
      <c r="AMH927" s="23"/>
      <c r="AMI927" s="23"/>
      <c r="AMJ927" s="23"/>
      <c r="AMK927" s="23"/>
      <c r="AML927" s="23"/>
      <c r="AMM927" s="23"/>
      <c r="AMN927" s="23"/>
      <c r="AMO927" s="23"/>
      <c r="AMP927" s="23"/>
      <c r="AMQ927" s="23"/>
      <c r="AMR927" s="23"/>
      <c r="AMS927" s="23"/>
      <c r="AMT927" s="23"/>
      <c r="AMU927" s="23"/>
      <c r="AMV927" s="23"/>
      <c r="AMW927" s="23"/>
      <c r="AMX927" s="23"/>
      <c r="AMY927" s="23"/>
      <c r="AMZ927" s="23"/>
      <c r="ANA927" s="23"/>
      <c r="ANB927" s="23"/>
      <c r="ANC927" s="23"/>
      <c r="AND927" s="23"/>
      <c r="ANE927" s="23"/>
      <c r="ANF927" s="23"/>
      <c r="ANG927" s="23"/>
      <c r="ANH927" s="23"/>
      <c r="ANI927" s="23"/>
      <c r="ANJ927" s="23"/>
      <c r="ANK927" s="23"/>
      <c r="ANL927" s="23"/>
      <c r="ANM927" s="23"/>
      <c r="ANN927" s="23"/>
      <c r="ANO927" s="23"/>
      <c r="ANP927" s="23"/>
      <c r="ANQ927" s="23"/>
      <c r="ANR927" s="23"/>
      <c r="ANS927" s="23"/>
      <c r="ANT927" s="23"/>
      <c r="ANU927" s="23"/>
      <c r="ANV927" s="23"/>
      <c r="ANW927" s="23"/>
      <c r="ANX927" s="23"/>
      <c r="ANY927" s="23"/>
      <c r="ANZ927" s="23"/>
      <c r="AOA927" s="23"/>
      <c r="AOB927" s="23"/>
      <c r="AOC927" s="23"/>
      <c r="AOD927" s="23"/>
      <c r="AOE927" s="23"/>
      <c r="AOF927" s="23"/>
      <c r="AOG927" s="23"/>
      <c r="AOH927" s="23"/>
      <c r="AOI927" s="23"/>
      <c r="AOJ927" s="23"/>
      <c r="AOK927" s="23"/>
      <c r="AOL927" s="23"/>
      <c r="AOM927" s="23"/>
      <c r="AON927" s="23"/>
      <c r="AOO927" s="23"/>
      <c r="AOP927" s="23"/>
      <c r="AOQ927" s="23"/>
      <c r="AOR927" s="23"/>
      <c r="AOS927" s="23"/>
      <c r="AOT927" s="23"/>
      <c r="AOU927" s="23"/>
      <c r="AOV927" s="23"/>
      <c r="AOW927" s="23"/>
      <c r="AOX927" s="23"/>
      <c r="AOY927" s="23"/>
      <c r="AOZ927" s="23"/>
      <c r="APA927" s="23"/>
      <c r="APB927" s="23"/>
      <c r="APC927" s="23"/>
      <c r="APD927" s="23"/>
      <c r="APE927" s="23"/>
      <c r="APF927" s="23"/>
      <c r="APG927" s="23"/>
      <c r="APH927" s="23"/>
      <c r="API927" s="23"/>
      <c r="APJ927" s="23"/>
      <c r="APK927" s="23"/>
      <c r="APL927" s="23"/>
      <c r="APM927" s="23"/>
      <c r="APN927" s="23"/>
      <c r="APO927" s="23"/>
      <c r="APP927" s="23"/>
      <c r="APQ927" s="23"/>
      <c r="APR927" s="23"/>
      <c r="APS927" s="23"/>
      <c r="APT927" s="23"/>
      <c r="APU927" s="23"/>
      <c r="APV927" s="23"/>
      <c r="APW927" s="23"/>
      <c r="APX927" s="23"/>
      <c r="APY927" s="23"/>
      <c r="APZ927" s="23"/>
      <c r="AQA927" s="23"/>
      <c r="AQB927" s="23"/>
      <c r="AQC927" s="23"/>
      <c r="AQD927" s="23"/>
      <c r="AQE927" s="23"/>
      <c r="AQF927" s="23"/>
      <c r="AQG927" s="23"/>
      <c r="AQH927" s="23"/>
      <c r="AQI927" s="23"/>
      <c r="AQJ927" s="23"/>
      <c r="AQK927" s="23"/>
      <c r="AQL927" s="23"/>
      <c r="AQM927" s="23"/>
      <c r="AQN927" s="23"/>
      <c r="AQO927" s="23"/>
      <c r="AQP927" s="23"/>
      <c r="AQQ927" s="23"/>
      <c r="AQR927" s="23"/>
      <c r="AQS927" s="23"/>
      <c r="AQT927" s="23"/>
      <c r="AQU927" s="23"/>
      <c r="AQV927" s="23"/>
      <c r="AQW927" s="23"/>
      <c r="AQX927" s="23"/>
      <c r="AQY927" s="23"/>
      <c r="AQZ927" s="23"/>
      <c r="ARA927" s="23"/>
      <c r="ARB927" s="23"/>
      <c r="ARC927" s="23"/>
      <c r="ARD927" s="23"/>
      <c r="ARE927" s="23"/>
      <c r="ARF927" s="23"/>
      <c r="ARG927" s="23"/>
      <c r="ARH927" s="23"/>
      <c r="ARI927" s="23"/>
      <c r="ARJ927" s="23"/>
      <c r="ARK927" s="23"/>
      <c r="ARL927" s="23"/>
      <c r="ARM927" s="23"/>
      <c r="ARN927" s="23"/>
      <c r="ARO927" s="23"/>
      <c r="ARP927" s="23"/>
      <c r="ARQ927" s="23"/>
      <c r="ARR927" s="23"/>
      <c r="ARS927" s="23"/>
      <c r="ART927" s="23"/>
      <c r="ARU927" s="23"/>
      <c r="ARV927" s="23"/>
      <c r="ARW927" s="23"/>
      <c r="ARX927" s="23"/>
      <c r="ARY927" s="23"/>
      <c r="ARZ927" s="23"/>
      <c r="ASA927" s="23"/>
      <c r="ASB927" s="23"/>
      <c r="ASC927" s="23"/>
      <c r="ASD927" s="23"/>
      <c r="ASE927" s="23"/>
      <c r="ASF927" s="23"/>
      <c r="ASG927" s="23"/>
      <c r="ASH927" s="23"/>
      <c r="ASI927" s="23"/>
      <c r="ASJ927" s="23"/>
      <c r="ASK927" s="23"/>
      <c r="ASL927" s="23"/>
      <c r="ASM927" s="23"/>
      <c r="ASN927" s="23"/>
      <c r="ASO927" s="23"/>
      <c r="ASP927" s="23"/>
      <c r="ASQ927" s="23"/>
      <c r="ASR927" s="23"/>
      <c r="ASS927" s="23"/>
      <c r="AST927" s="23"/>
      <c r="ASU927" s="23"/>
      <c r="ASV927" s="23"/>
      <c r="ASW927" s="23"/>
      <c r="ASX927" s="23"/>
      <c r="ASY927" s="23"/>
      <c r="ASZ927" s="23"/>
      <c r="ATA927" s="23"/>
      <c r="ATB927" s="23"/>
      <c r="ATC927" s="23"/>
      <c r="ATD927" s="23"/>
      <c r="ATE927" s="23"/>
      <c r="ATF927" s="23"/>
      <c r="ATG927" s="23"/>
      <c r="ATH927" s="23"/>
      <c r="ATI927" s="23"/>
      <c r="ATJ927" s="23"/>
      <c r="ATK927" s="23"/>
      <c r="ATL927" s="23"/>
      <c r="ATM927" s="23"/>
      <c r="ATN927" s="23"/>
      <c r="ATO927" s="23"/>
      <c r="ATP927" s="23"/>
      <c r="ATQ927" s="23"/>
      <c r="ATR927" s="23"/>
      <c r="ATS927" s="23"/>
      <c r="ATT927" s="23"/>
      <c r="ATU927" s="23"/>
      <c r="ATV927" s="23"/>
      <c r="ATW927" s="23"/>
      <c r="ATX927" s="23"/>
      <c r="ATY927" s="23"/>
      <c r="ATZ927" s="23"/>
      <c r="AUA927" s="23"/>
      <c r="AUB927" s="23"/>
      <c r="AUC927" s="23"/>
      <c r="AUD927" s="23"/>
      <c r="AUE927" s="23"/>
      <c r="AUF927" s="23"/>
      <c r="AUG927" s="23"/>
      <c r="AUH927" s="23"/>
      <c r="AUI927" s="23"/>
      <c r="AUJ927" s="23"/>
      <c r="AUK927" s="23"/>
      <c r="AUL927" s="23"/>
      <c r="AUM927" s="23"/>
      <c r="AUN927" s="23"/>
      <c r="AUO927" s="23"/>
      <c r="AUP927" s="23"/>
      <c r="AUQ927" s="23"/>
      <c r="AUR927" s="23"/>
      <c r="AUS927" s="23"/>
      <c r="AUT927" s="23"/>
      <c r="AUU927" s="23"/>
      <c r="AUV927" s="23"/>
      <c r="AUW927" s="23"/>
      <c r="AUX927" s="23"/>
      <c r="AUY927" s="23"/>
      <c r="AUZ927" s="23"/>
      <c r="AVA927" s="23"/>
      <c r="AVB927" s="23"/>
      <c r="AVC927" s="23"/>
      <c r="AVD927" s="23"/>
      <c r="AVE927" s="23"/>
      <c r="AVF927" s="23"/>
      <c r="AVG927" s="23"/>
      <c r="AVH927" s="23"/>
      <c r="AVI927" s="23"/>
      <c r="AVJ927" s="23"/>
      <c r="AVK927" s="23"/>
      <c r="AVL927" s="23"/>
      <c r="AVM927" s="23"/>
      <c r="AVN927" s="23"/>
      <c r="AVO927" s="23"/>
      <c r="AVP927" s="23"/>
      <c r="AVQ927" s="23"/>
      <c r="AVR927" s="23"/>
      <c r="AVS927" s="23"/>
      <c r="AVT927" s="23"/>
      <c r="AVU927" s="23"/>
      <c r="AVV927" s="23"/>
      <c r="AVW927" s="23"/>
      <c r="AVX927" s="23"/>
      <c r="AVY927" s="23"/>
      <c r="AVZ927" s="23"/>
      <c r="AWA927" s="23"/>
      <c r="AWB927" s="23"/>
      <c r="AWC927" s="23"/>
      <c r="AWD927" s="23"/>
      <c r="AWE927" s="23"/>
      <c r="AWF927" s="23"/>
      <c r="AWG927" s="23"/>
      <c r="AWH927" s="23"/>
      <c r="AWI927" s="23"/>
      <c r="AWJ927" s="23"/>
      <c r="AWK927" s="23"/>
      <c r="AWL927" s="23"/>
      <c r="AWM927" s="23"/>
      <c r="AWN927" s="23"/>
      <c r="AWO927" s="23"/>
      <c r="AWP927" s="23"/>
      <c r="AWQ927" s="23"/>
      <c r="AWR927" s="23"/>
      <c r="AWS927" s="23"/>
      <c r="AWT927" s="23"/>
      <c r="AWU927" s="23"/>
      <c r="AWV927" s="23"/>
      <c r="AWW927" s="23"/>
      <c r="AWX927" s="23"/>
      <c r="AWY927" s="23"/>
      <c r="AWZ927" s="23"/>
      <c r="AXA927" s="23"/>
      <c r="AXB927" s="23"/>
      <c r="AXC927" s="23"/>
      <c r="AXD927" s="23"/>
      <c r="AXE927" s="23"/>
      <c r="AXF927" s="23"/>
      <c r="AXG927" s="23"/>
      <c r="AXH927" s="23"/>
      <c r="AXI927" s="23"/>
      <c r="AXJ927" s="23"/>
      <c r="AXK927" s="23"/>
      <c r="AXL927" s="23"/>
      <c r="AXM927" s="23"/>
      <c r="AXN927" s="23"/>
      <c r="AXO927" s="23"/>
      <c r="AXP927" s="23"/>
      <c r="AXQ927" s="23"/>
      <c r="AXR927" s="23"/>
      <c r="AXS927" s="23"/>
      <c r="AXT927" s="23"/>
      <c r="AXU927" s="23"/>
      <c r="AXV927" s="23"/>
      <c r="AXW927" s="23"/>
      <c r="AXX927" s="23"/>
      <c r="AXY927" s="23"/>
      <c r="AXZ927" s="23"/>
      <c r="AYA927" s="23"/>
      <c r="AYB927" s="23"/>
      <c r="AYC927" s="23"/>
      <c r="AYD927" s="23"/>
      <c r="AYE927" s="23"/>
      <c r="AYF927" s="23"/>
      <c r="AYG927" s="23"/>
      <c r="AYH927" s="23"/>
      <c r="AYI927" s="23"/>
      <c r="AYJ927" s="23"/>
      <c r="AYK927" s="23"/>
      <c r="AYL927" s="23"/>
      <c r="AYM927" s="23"/>
      <c r="AYN927" s="23"/>
      <c r="AYO927" s="23"/>
      <c r="AYP927" s="23"/>
      <c r="AYQ927" s="23"/>
      <c r="AYR927" s="23"/>
      <c r="AYS927" s="23"/>
      <c r="AYT927" s="23"/>
      <c r="AYU927" s="23"/>
      <c r="AYV927" s="23"/>
      <c r="AYW927" s="23"/>
      <c r="AYX927" s="23"/>
      <c r="AYY927" s="23"/>
      <c r="AYZ927" s="23"/>
      <c r="AZA927" s="23"/>
      <c r="AZB927" s="23"/>
      <c r="AZC927" s="23"/>
      <c r="AZD927" s="23"/>
      <c r="AZE927" s="23"/>
      <c r="AZF927" s="23"/>
      <c r="AZG927" s="23"/>
      <c r="AZH927" s="23"/>
      <c r="AZI927" s="23"/>
      <c r="AZJ927" s="23"/>
      <c r="AZK927" s="23"/>
      <c r="AZL927" s="23"/>
      <c r="AZM927" s="23"/>
      <c r="AZN927" s="23"/>
      <c r="AZO927" s="23"/>
      <c r="AZP927" s="23"/>
      <c r="AZQ927" s="23"/>
      <c r="AZR927" s="23"/>
      <c r="AZS927" s="23"/>
      <c r="AZT927" s="23"/>
      <c r="AZU927" s="23"/>
      <c r="AZV927" s="23"/>
      <c r="AZW927" s="23"/>
      <c r="AZX927" s="23"/>
      <c r="AZY927" s="23"/>
      <c r="AZZ927" s="23"/>
      <c r="BAA927" s="23"/>
      <c r="BAB927" s="23"/>
      <c r="BAC927" s="23"/>
      <c r="BAD927" s="23"/>
      <c r="BAE927" s="23"/>
      <c r="BAF927" s="23"/>
      <c r="BAG927" s="23"/>
      <c r="BAH927" s="23"/>
      <c r="BAI927" s="23"/>
      <c r="BAJ927" s="23"/>
      <c r="BAK927" s="23"/>
      <c r="BAL927" s="23"/>
      <c r="BAM927" s="23"/>
      <c r="BAN927" s="23"/>
      <c r="BAO927" s="23"/>
      <c r="BAP927" s="23"/>
      <c r="BAQ927" s="23"/>
      <c r="BAR927" s="23"/>
      <c r="BAS927" s="23"/>
      <c r="BAT927" s="23"/>
      <c r="BAU927" s="23"/>
      <c r="BAV927" s="23"/>
      <c r="BAW927" s="23"/>
      <c r="BAX927" s="23"/>
      <c r="BAY927" s="23"/>
      <c r="BAZ927" s="23"/>
      <c r="BBA927" s="23"/>
      <c r="BBB927" s="23"/>
      <c r="BBC927" s="23"/>
      <c r="BBD927" s="23"/>
      <c r="BBE927" s="23"/>
      <c r="BBF927" s="23"/>
      <c r="BBG927" s="23"/>
      <c r="BBH927" s="23"/>
      <c r="BBI927" s="23"/>
      <c r="BBJ927" s="23"/>
      <c r="BBK927" s="23"/>
      <c r="BBL927" s="23"/>
      <c r="BBM927" s="23"/>
      <c r="BBN927" s="23"/>
      <c r="BBO927" s="23"/>
      <c r="BBP927" s="23"/>
      <c r="BBQ927" s="23"/>
      <c r="BBR927" s="23"/>
      <c r="BBS927" s="23"/>
      <c r="BBT927" s="23"/>
      <c r="BBU927" s="23"/>
      <c r="BBV927" s="23"/>
      <c r="BBW927" s="23"/>
      <c r="BBX927" s="23"/>
      <c r="BBY927" s="23"/>
      <c r="BBZ927" s="23"/>
      <c r="BCA927" s="23"/>
      <c r="BCB927" s="23"/>
      <c r="BCC927" s="23"/>
      <c r="BCD927" s="23"/>
      <c r="BCE927" s="23"/>
      <c r="BCF927" s="23"/>
      <c r="BCG927" s="23"/>
      <c r="BCH927" s="23"/>
      <c r="BCI927" s="23"/>
      <c r="BCJ927" s="23"/>
      <c r="BCK927" s="23"/>
      <c r="BCL927" s="23"/>
      <c r="BCM927" s="23"/>
      <c r="BCN927" s="23"/>
      <c r="BCO927" s="23"/>
      <c r="BCP927" s="23"/>
      <c r="BCQ927" s="23"/>
      <c r="BCR927" s="23"/>
      <c r="BCS927" s="23"/>
      <c r="BCT927" s="23"/>
      <c r="BCU927" s="23"/>
      <c r="BCV927" s="23"/>
      <c r="BCW927" s="23"/>
      <c r="BCX927" s="23"/>
      <c r="BCY927" s="23"/>
      <c r="BCZ927" s="23"/>
      <c r="BDA927" s="23"/>
      <c r="BDB927" s="23"/>
      <c r="BDC927" s="23"/>
      <c r="BDD927" s="23"/>
      <c r="BDE927" s="23"/>
      <c r="BDF927" s="23"/>
      <c r="BDG927" s="23"/>
      <c r="BDH927" s="23"/>
      <c r="BDI927" s="23"/>
      <c r="BDJ927" s="23"/>
      <c r="BDK927" s="23"/>
      <c r="BDL927" s="23"/>
      <c r="BDM927" s="23"/>
      <c r="BDN927" s="23"/>
      <c r="BDO927" s="23"/>
      <c r="BDP927" s="23"/>
      <c r="BDQ927" s="23"/>
      <c r="BDR927" s="23"/>
      <c r="BDS927" s="23"/>
      <c r="BDT927" s="23"/>
      <c r="BDU927" s="23"/>
      <c r="BDV927" s="23"/>
      <c r="BDW927" s="23"/>
      <c r="BDX927" s="23"/>
      <c r="BDY927" s="23"/>
      <c r="BDZ927" s="23"/>
      <c r="BEA927" s="23"/>
      <c r="BEB927" s="23"/>
      <c r="BEC927" s="23"/>
      <c r="BED927" s="23"/>
      <c r="BEE927" s="23"/>
      <c r="BEF927" s="23"/>
      <c r="BEG927" s="23"/>
      <c r="BEH927" s="23"/>
      <c r="BEI927" s="23"/>
      <c r="BEJ927" s="23"/>
      <c r="BEK927" s="23"/>
      <c r="BEL927" s="23"/>
      <c r="BEM927" s="23"/>
      <c r="BEN927" s="23"/>
      <c r="BEO927" s="23"/>
      <c r="BEP927" s="23"/>
      <c r="BEQ927" s="23"/>
      <c r="BER927" s="23"/>
      <c r="BES927" s="23"/>
      <c r="BET927" s="23"/>
      <c r="BEU927" s="23"/>
      <c r="BEV927" s="23"/>
      <c r="BEW927" s="23"/>
      <c r="BEX927" s="23"/>
      <c r="BEY927" s="23"/>
      <c r="BEZ927" s="23"/>
      <c r="BFA927" s="23"/>
      <c r="BFB927" s="23"/>
      <c r="BFC927" s="23"/>
      <c r="BFD927" s="23"/>
      <c r="BFE927" s="23"/>
      <c r="BFF927" s="23"/>
      <c r="BFG927" s="23"/>
      <c r="BFH927" s="23"/>
      <c r="BFI927" s="23"/>
      <c r="BFJ927" s="23"/>
      <c r="BFK927" s="23"/>
      <c r="BFL927" s="23"/>
      <c r="BFM927" s="23"/>
      <c r="BFN927" s="23"/>
      <c r="BFO927" s="23"/>
      <c r="BFP927" s="23"/>
      <c r="BFQ927" s="23"/>
      <c r="BFR927" s="23"/>
      <c r="BFS927" s="23"/>
      <c r="BFT927" s="23"/>
      <c r="BFU927" s="23"/>
      <c r="BFV927" s="23"/>
      <c r="BFW927" s="23"/>
      <c r="BFX927" s="23"/>
      <c r="BFY927" s="23"/>
      <c r="BFZ927" s="23"/>
      <c r="BGA927" s="23"/>
      <c r="BGB927" s="23"/>
      <c r="BGC927" s="23"/>
      <c r="BGD927" s="23"/>
      <c r="BGE927" s="23"/>
      <c r="BGF927" s="23"/>
      <c r="BGG927" s="23"/>
      <c r="BGH927" s="23"/>
      <c r="BGI927" s="23"/>
      <c r="BGJ927" s="23"/>
      <c r="BGK927" s="23"/>
      <c r="BGL927" s="23"/>
      <c r="BGM927" s="23"/>
      <c r="BGN927" s="23"/>
      <c r="BGO927" s="23"/>
      <c r="BGP927" s="23"/>
      <c r="BGQ927" s="23"/>
      <c r="BGR927" s="23"/>
      <c r="BGS927" s="23"/>
      <c r="BGT927" s="23"/>
      <c r="BGU927" s="23"/>
      <c r="BGV927" s="23"/>
      <c r="BGW927" s="23"/>
      <c r="BGX927" s="23"/>
      <c r="BGY927" s="23"/>
      <c r="BGZ927" s="23"/>
      <c r="BHA927" s="23"/>
      <c r="BHB927" s="23"/>
      <c r="BHC927" s="23"/>
      <c r="BHD927" s="23"/>
      <c r="BHE927" s="23"/>
      <c r="BHF927" s="23"/>
      <c r="BHG927" s="23"/>
      <c r="BHH927" s="23"/>
      <c r="BHI927" s="23"/>
      <c r="BHJ927" s="23"/>
      <c r="BHK927" s="23"/>
      <c r="BHL927" s="23"/>
      <c r="BHM927" s="23"/>
      <c r="BHN927" s="23"/>
      <c r="BHO927" s="23"/>
      <c r="BHP927" s="23"/>
      <c r="BHQ927" s="23"/>
      <c r="BHR927" s="23"/>
      <c r="BHS927" s="23"/>
      <c r="BHT927" s="23"/>
      <c r="BHU927" s="23"/>
      <c r="BHV927" s="23"/>
      <c r="BHW927" s="23"/>
      <c r="BHX927" s="23"/>
      <c r="BHY927" s="23"/>
      <c r="BHZ927" s="23"/>
      <c r="BIA927" s="23"/>
      <c r="BIB927" s="23"/>
      <c r="BIC927" s="23"/>
      <c r="BID927" s="23"/>
      <c r="BIE927" s="23"/>
      <c r="BIF927" s="23"/>
      <c r="BIG927" s="23"/>
      <c r="BIH927" s="23"/>
      <c r="BII927" s="23"/>
      <c r="BIJ927" s="23"/>
      <c r="BIK927" s="23"/>
      <c r="BIL927" s="23"/>
      <c r="BIM927" s="23"/>
      <c r="BIN927" s="23"/>
      <c r="BIO927" s="23"/>
      <c r="BIP927" s="23"/>
      <c r="BIQ927" s="23"/>
      <c r="BIR927" s="23"/>
      <c r="BIS927" s="23"/>
      <c r="BIT927" s="23"/>
      <c r="BIU927" s="23"/>
      <c r="BIV927" s="23"/>
      <c r="BIW927" s="23"/>
      <c r="BIX927" s="23"/>
      <c r="BIY927" s="23"/>
      <c r="BIZ927" s="23"/>
      <c r="BJA927" s="23"/>
      <c r="BJB927" s="23"/>
      <c r="BJC927" s="23"/>
      <c r="BJD927" s="23"/>
      <c r="BJE927" s="23"/>
      <c r="BJF927" s="23"/>
      <c r="BJG927" s="23"/>
      <c r="BJH927" s="23"/>
      <c r="BJI927" s="23"/>
      <c r="BJJ927" s="23"/>
      <c r="BJK927" s="23"/>
      <c r="BJL927" s="23"/>
      <c r="BJM927" s="23"/>
      <c r="BJN927" s="23"/>
      <c r="BJO927" s="23"/>
      <c r="BJP927" s="23"/>
      <c r="BJQ927" s="23"/>
      <c r="BJR927" s="23"/>
      <c r="BJS927" s="23"/>
      <c r="BJT927" s="23"/>
      <c r="BJU927" s="23"/>
      <c r="BJV927" s="23"/>
      <c r="BJW927" s="23"/>
      <c r="BJX927" s="23"/>
      <c r="BJY927" s="23"/>
      <c r="BJZ927" s="23"/>
      <c r="BKA927" s="23"/>
      <c r="BKB927" s="23"/>
      <c r="BKC927" s="23"/>
      <c r="BKD927" s="23"/>
      <c r="BKE927" s="23"/>
      <c r="BKF927" s="23"/>
      <c r="BKG927" s="23"/>
      <c r="BKH927" s="23"/>
      <c r="BKI927" s="23"/>
      <c r="BKJ927" s="23"/>
      <c r="BKK927" s="23"/>
      <c r="BKL927" s="23"/>
      <c r="BKM927" s="23"/>
      <c r="BKN927" s="23"/>
      <c r="BKO927" s="23"/>
      <c r="BKP927" s="23"/>
      <c r="BKQ927" s="23"/>
      <c r="BKR927" s="23"/>
      <c r="BKS927" s="23"/>
      <c r="BKT927" s="23"/>
      <c r="BKU927" s="23"/>
      <c r="BKV927" s="23"/>
      <c r="BKW927" s="23"/>
      <c r="BKX927" s="23"/>
      <c r="BKY927" s="23"/>
      <c r="BKZ927" s="23"/>
      <c r="BLA927" s="23"/>
      <c r="BLB927" s="23"/>
      <c r="BLC927" s="23"/>
      <c r="BLD927" s="23"/>
      <c r="BLE927" s="23"/>
      <c r="BLF927" s="23"/>
      <c r="BLG927" s="23"/>
      <c r="BLH927" s="23"/>
      <c r="BLI927" s="23"/>
      <c r="BLJ927" s="23"/>
      <c r="BLK927" s="23"/>
      <c r="BLL927" s="23"/>
      <c r="BLM927" s="23"/>
      <c r="BLN927" s="23"/>
      <c r="BLO927" s="23"/>
      <c r="BLP927" s="23"/>
      <c r="BLQ927" s="23"/>
      <c r="BLR927" s="23"/>
      <c r="BLS927" s="23"/>
      <c r="BLT927" s="23"/>
      <c r="BLU927" s="23"/>
      <c r="BLV927" s="23"/>
      <c r="BLW927" s="23"/>
      <c r="BLX927" s="23"/>
      <c r="BLY927" s="23"/>
      <c r="BLZ927" s="23"/>
      <c r="BMA927" s="23"/>
      <c r="BMB927" s="23"/>
      <c r="BMC927" s="23"/>
      <c r="BMD927" s="23"/>
      <c r="BME927" s="23"/>
      <c r="BMF927" s="23"/>
      <c r="BMG927" s="23"/>
      <c r="BMH927" s="23"/>
      <c r="BMI927" s="23"/>
      <c r="BMJ927" s="23"/>
      <c r="BMK927" s="23"/>
      <c r="BML927" s="23"/>
      <c r="BMM927" s="23"/>
      <c r="BMN927" s="23"/>
      <c r="BMO927" s="23"/>
      <c r="BMP927" s="23"/>
      <c r="BMQ927" s="23"/>
      <c r="BMR927" s="23"/>
      <c r="BMS927" s="23"/>
      <c r="BMT927" s="23"/>
      <c r="BMU927" s="23"/>
      <c r="BMV927" s="23"/>
      <c r="BMW927" s="23"/>
      <c r="BMX927" s="23"/>
      <c r="BMY927" s="23"/>
      <c r="BMZ927" s="23"/>
      <c r="BNA927" s="23"/>
      <c r="BNB927" s="23"/>
      <c r="BNC927" s="23"/>
      <c r="BND927" s="23"/>
      <c r="BNE927" s="23"/>
      <c r="BNF927" s="23"/>
      <c r="BNG927" s="23"/>
      <c r="BNH927" s="23"/>
      <c r="BNI927" s="23"/>
      <c r="BNJ927" s="23"/>
      <c r="BNK927" s="23"/>
      <c r="BNL927" s="23"/>
      <c r="BNM927" s="23"/>
      <c r="BNN927" s="23"/>
      <c r="BNO927" s="23"/>
      <c r="BNP927" s="23"/>
      <c r="BNQ927" s="23"/>
      <c r="BNR927" s="23"/>
      <c r="BNS927" s="23"/>
      <c r="BNT927" s="23"/>
      <c r="BNU927" s="23"/>
      <c r="BNV927" s="23"/>
      <c r="BNW927" s="23"/>
      <c r="BNX927" s="23"/>
      <c r="BNY927" s="23"/>
      <c r="BNZ927" s="23"/>
      <c r="BOA927" s="23"/>
      <c r="BOB927" s="23"/>
      <c r="BOC927" s="23"/>
      <c r="BOD927" s="23"/>
      <c r="BOE927" s="23"/>
      <c r="BOF927" s="23"/>
      <c r="BOG927" s="23"/>
      <c r="BOH927" s="23"/>
      <c r="BOI927" s="23"/>
      <c r="BOJ927" s="23"/>
      <c r="BOK927" s="23"/>
      <c r="BOL927" s="23"/>
      <c r="BOM927" s="23"/>
      <c r="BON927" s="23"/>
      <c r="BOO927" s="23"/>
      <c r="BOP927" s="23"/>
      <c r="BOQ927" s="23"/>
      <c r="BOR927" s="23"/>
      <c r="BOS927" s="23"/>
      <c r="BOT927" s="23"/>
      <c r="BOU927" s="23"/>
      <c r="BOV927" s="23"/>
      <c r="BOW927" s="23"/>
      <c r="BOX927" s="23"/>
      <c r="BOY927" s="23"/>
      <c r="BOZ927" s="23"/>
      <c r="BPA927" s="23"/>
      <c r="BPB927" s="23"/>
      <c r="BPC927" s="23"/>
      <c r="BPD927" s="23"/>
      <c r="BPE927" s="23"/>
      <c r="BPF927" s="23"/>
      <c r="BPG927" s="23"/>
      <c r="BPH927" s="23"/>
      <c r="BPI927" s="23"/>
      <c r="BPJ927" s="23"/>
      <c r="BPK927" s="23"/>
      <c r="BPL927" s="23"/>
      <c r="BPM927" s="23"/>
      <c r="BPN927" s="23"/>
      <c r="BPO927" s="23"/>
      <c r="BPP927" s="23"/>
      <c r="BPQ927" s="23"/>
      <c r="BPR927" s="23"/>
      <c r="BPS927" s="23"/>
      <c r="BPT927" s="23"/>
      <c r="BPU927" s="23"/>
      <c r="BPV927" s="23"/>
      <c r="BPW927" s="23"/>
      <c r="BPX927" s="23"/>
      <c r="BPY927" s="23"/>
      <c r="BPZ927" s="23"/>
      <c r="BQA927" s="23"/>
      <c r="BQB927" s="23"/>
      <c r="BQC927" s="23"/>
      <c r="BQD927" s="23"/>
      <c r="BQE927" s="23"/>
      <c r="BQF927" s="23"/>
      <c r="BQG927" s="23"/>
      <c r="BQH927" s="23"/>
      <c r="BQI927" s="23"/>
      <c r="BQJ927" s="23"/>
      <c r="BQK927" s="23"/>
      <c r="BQL927" s="23"/>
      <c r="BQM927" s="23"/>
      <c r="BQN927" s="23"/>
      <c r="BQO927" s="23"/>
      <c r="BQP927" s="23"/>
      <c r="BQQ927" s="23"/>
      <c r="BQR927" s="23"/>
      <c r="BQS927" s="23"/>
      <c r="BQT927" s="23"/>
      <c r="BQU927" s="23"/>
      <c r="BQV927" s="23"/>
      <c r="BQW927" s="23"/>
      <c r="BQX927" s="23"/>
      <c r="BQY927" s="23"/>
      <c r="BQZ927" s="23"/>
      <c r="BRA927" s="23"/>
      <c r="BRB927" s="23"/>
      <c r="BRC927" s="23"/>
      <c r="BRD927" s="23"/>
      <c r="BRE927" s="23"/>
      <c r="BRF927" s="23"/>
      <c r="BRG927" s="23"/>
      <c r="BRH927" s="23"/>
      <c r="BRI927" s="23"/>
      <c r="BRJ927" s="23"/>
      <c r="BRK927" s="23"/>
      <c r="BRL927" s="23"/>
      <c r="BRM927" s="23"/>
      <c r="BRN927" s="23"/>
      <c r="BRO927" s="23"/>
      <c r="BRP927" s="23"/>
      <c r="BRQ927" s="23"/>
      <c r="BRR927" s="23"/>
      <c r="BRS927" s="23"/>
      <c r="BRT927" s="23"/>
      <c r="BRU927" s="23"/>
      <c r="BRV927" s="23"/>
      <c r="BRW927" s="23"/>
      <c r="BRX927" s="23"/>
      <c r="BRY927" s="23"/>
      <c r="BRZ927" s="23"/>
      <c r="BSA927" s="23"/>
      <c r="BSB927" s="23"/>
      <c r="BSC927" s="23"/>
      <c r="BSD927" s="23"/>
      <c r="BSE927" s="23"/>
      <c r="BSF927" s="23"/>
      <c r="BSG927" s="23"/>
      <c r="BSH927" s="23"/>
      <c r="BSI927" s="23"/>
      <c r="BSJ927" s="23"/>
      <c r="BSK927" s="23"/>
      <c r="BSL927" s="23"/>
      <c r="BSM927" s="23"/>
      <c r="BSN927" s="23"/>
      <c r="BSO927" s="23"/>
      <c r="BSP927" s="23"/>
      <c r="BSQ927" s="23"/>
      <c r="BSR927" s="23"/>
      <c r="BSS927" s="23"/>
      <c r="BST927" s="23"/>
      <c r="BSU927" s="23"/>
      <c r="BSV927" s="23"/>
      <c r="BSW927" s="23"/>
      <c r="BSX927" s="23"/>
      <c r="BSY927" s="23"/>
      <c r="BSZ927" s="23"/>
      <c r="BTA927" s="23"/>
    </row>
    <row r="928" spans="1:1873" s="23" customFormat="1" x14ac:dyDescent="0.2">
      <c r="A928" s="273" t="s">
        <v>754</v>
      </c>
      <c r="B928" s="273" t="s">
        <v>820</v>
      </c>
      <c r="C928" s="273" t="s">
        <v>1114</v>
      </c>
      <c r="D928" s="273" t="s">
        <v>619</v>
      </c>
      <c r="E928" s="273" t="s">
        <v>821</v>
      </c>
      <c r="F928" s="462">
        <v>4</v>
      </c>
      <c r="G928" s="273">
        <v>1</v>
      </c>
      <c r="H928" s="468">
        <v>4</v>
      </c>
      <c r="I928" s="273" t="s">
        <v>621</v>
      </c>
      <c r="J928" s="273">
        <v>1986</v>
      </c>
      <c r="K928" s="463" t="s">
        <v>1211</v>
      </c>
      <c r="L928" s="273">
        <v>1989</v>
      </c>
      <c r="M928" s="471">
        <v>7</v>
      </c>
      <c r="N928" s="471">
        <v>-9999</v>
      </c>
      <c r="O928" s="1"/>
      <c r="P928" s="414">
        <f>+P927+W928</f>
        <v>29.1</v>
      </c>
      <c r="Q928" s="273">
        <v>-9999</v>
      </c>
      <c r="R928" s="471"/>
      <c r="S928" s="273"/>
      <c r="T928" s="471">
        <f>+P928/F928</f>
        <v>7.2750000000000004</v>
      </c>
      <c r="U928" s="273">
        <v>-9999</v>
      </c>
      <c r="V928" s="273"/>
      <c r="W928" s="471">
        <v>7</v>
      </c>
      <c r="X928" s="468">
        <v>-9999</v>
      </c>
      <c r="Y928" s="468"/>
      <c r="Z928" s="273" t="s">
        <v>822</v>
      </c>
      <c r="AA928" s="385">
        <v>308642</v>
      </c>
      <c r="AB928" s="471">
        <v>0.96</v>
      </c>
      <c r="AC928" s="273">
        <v>-9999</v>
      </c>
      <c r="AD928" s="273">
        <v>100</v>
      </c>
      <c r="AE928" s="461" t="s">
        <v>1971</v>
      </c>
      <c r="AF928" s="273">
        <v>3</v>
      </c>
      <c r="AG928" s="273" t="s">
        <v>823</v>
      </c>
      <c r="AH928" s="273" t="s">
        <v>623</v>
      </c>
      <c r="AI928" s="273" t="s">
        <v>824</v>
      </c>
      <c r="AJ928" s="273" t="s">
        <v>825</v>
      </c>
      <c r="AK928" s="273" t="s">
        <v>625</v>
      </c>
      <c r="AL928" s="273" t="s">
        <v>653</v>
      </c>
      <c r="AM928" s="273">
        <v>-9999</v>
      </c>
      <c r="AN928" s="273" t="s">
        <v>626</v>
      </c>
      <c r="AO928" s="273" t="s">
        <v>826</v>
      </c>
      <c r="AP928" s="273" t="s">
        <v>827</v>
      </c>
      <c r="AQ928" s="273" t="s">
        <v>626</v>
      </c>
      <c r="AR928" s="273">
        <f>+AR927+0</f>
        <v>200</v>
      </c>
      <c r="AS928" s="273">
        <v>-9999</v>
      </c>
      <c r="AT928" s="273">
        <v>-9999</v>
      </c>
      <c r="AU928" s="273">
        <f>+AU927+0</f>
        <v>43</v>
      </c>
      <c r="AV928" s="273">
        <v>-9999</v>
      </c>
      <c r="AW928" s="273">
        <v>-9999</v>
      </c>
      <c r="AX928" s="273">
        <f>+AX927+0</f>
        <v>83</v>
      </c>
      <c r="AY928" s="273">
        <v>-9999</v>
      </c>
      <c r="AZ928" s="273">
        <v>-9999</v>
      </c>
      <c r="BA928" s="273" t="s">
        <v>725</v>
      </c>
      <c r="BB928" s="273" t="s">
        <v>626</v>
      </c>
      <c r="BC928" s="273" t="s">
        <v>829</v>
      </c>
      <c r="BD928" s="273" t="s">
        <v>830</v>
      </c>
      <c r="BE928" s="273"/>
      <c r="BF928" s="273">
        <v>-9999</v>
      </c>
      <c r="BG928" s="273">
        <v>-9999</v>
      </c>
      <c r="BH928" s="273">
        <v>-9999</v>
      </c>
      <c r="BI928" s="273" t="s">
        <v>1119</v>
      </c>
      <c r="BJ928" s="273">
        <v>-9999</v>
      </c>
      <c r="BK928" s="273">
        <v>-9999</v>
      </c>
      <c r="BL928" s="273">
        <v>-9999</v>
      </c>
      <c r="BM928" s="273">
        <v>-9999</v>
      </c>
      <c r="BN928" s="273">
        <v>-9999</v>
      </c>
      <c r="BO928" s="273">
        <v>-9999</v>
      </c>
      <c r="BP928" s="273">
        <v>-9999</v>
      </c>
      <c r="BQ928" s="273">
        <v>-9999</v>
      </c>
      <c r="BR928" s="468">
        <v>-9999</v>
      </c>
      <c r="BS928" s="468">
        <v>-9999</v>
      </c>
      <c r="BT928" s="273">
        <v>-9999</v>
      </c>
      <c r="BU928" s="468">
        <v>-9999</v>
      </c>
      <c r="BV928" s="468">
        <v>-9999</v>
      </c>
      <c r="BW928" s="468"/>
      <c r="BX928" s="273">
        <v>-9999</v>
      </c>
      <c r="BY928" s="273">
        <v>-9999</v>
      </c>
      <c r="BZ928" s="273">
        <v>-9999</v>
      </c>
      <c r="CA928" s="472">
        <v>-9999</v>
      </c>
      <c r="CB928" s="568" t="s">
        <v>1118</v>
      </c>
      <c r="CC928" s="462">
        <v>4</v>
      </c>
      <c r="CD928" s="273">
        <v>1</v>
      </c>
      <c r="CE928" s="292">
        <v>7.2750000000000004</v>
      </c>
      <c r="CF928" s="292">
        <v>7</v>
      </c>
      <c r="CG928" s="93">
        <v>4</v>
      </c>
    </row>
    <row r="929" spans="1:1873" s="23" customFormat="1" x14ac:dyDescent="0.2">
      <c r="A929" s="273" t="s">
        <v>754</v>
      </c>
      <c r="B929" s="273" t="s">
        <v>820</v>
      </c>
      <c r="C929" s="273" t="s">
        <v>1114</v>
      </c>
      <c r="D929" s="273" t="s">
        <v>619</v>
      </c>
      <c r="E929" s="273" t="s">
        <v>821</v>
      </c>
      <c r="F929" s="462">
        <v>5</v>
      </c>
      <c r="G929" s="273">
        <v>1</v>
      </c>
      <c r="H929" s="468">
        <v>5</v>
      </c>
      <c r="I929" s="273" t="s">
        <v>621</v>
      </c>
      <c r="J929" s="273">
        <v>1986</v>
      </c>
      <c r="K929" s="463" t="s">
        <v>1211</v>
      </c>
      <c r="L929" s="273">
        <v>1990</v>
      </c>
      <c r="M929" s="471">
        <v>5.9</v>
      </c>
      <c r="N929" s="471">
        <v>-9999</v>
      </c>
      <c r="O929" s="1"/>
      <c r="P929" s="414">
        <f>+P928+W929</f>
        <v>35</v>
      </c>
      <c r="Q929" s="273">
        <v>-9999</v>
      </c>
      <c r="R929" s="471"/>
      <c r="S929" s="273"/>
      <c r="T929" s="471">
        <f>+P929/F929</f>
        <v>7</v>
      </c>
      <c r="U929" s="273">
        <v>-9999</v>
      </c>
      <c r="V929" s="273"/>
      <c r="W929" s="471">
        <v>5.9</v>
      </c>
      <c r="X929" s="468">
        <v>-9999</v>
      </c>
      <c r="Y929" s="468"/>
      <c r="Z929" s="273" t="s">
        <v>822</v>
      </c>
      <c r="AA929" s="385">
        <v>308642</v>
      </c>
      <c r="AB929" s="471">
        <v>0.96</v>
      </c>
      <c r="AC929" s="273">
        <v>-9999</v>
      </c>
      <c r="AD929" s="273">
        <v>100</v>
      </c>
      <c r="AE929" s="461" t="s">
        <v>1971</v>
      </c>
      <c r="AF929" s="273">
        <v>3</v>
      </c>
      <c r="AG929" s="273" t="s">
        <v>823</v>
      </c>
      <c r="AH929" s="273" t="s">
        <v>623</v>
      </c>
      <c r="AI929" s="273" t="s">
        <v>824</v>
      </c>
      <c r="AJ929" s="273" t="s">
        <v>825</v>
      </c>
      <c r="AK929" s="273" t="s">
        <v>625</v>
      </c>
      <c r="AL929" s="273" t="s">
        <v>653</v>
      </c>
      <c r="AM929" s="273">
        <v>-9999</v>
      </c>
      <c r="AN929" s="273" t="s">
        <v>626</v>
      </c>
      <c r="AO929" s="273" t="s">
        <v>826</v>
      </c>
      <c r="AP929" s="273" t="s">
        <v>827</v>
      </c>
      <c r="AQ929" s="273" t="s">
        <v>626</v>
      </c>
      <c r="AR929" s="273">
        <f>+AR928+0</f>
        <v>200</v>
      </c>
      <c r="AS929" s="273">
        <v>-9999</v>
      </c>
      <c r="AT929" s="273">
        <v>-9999</v>
      </c>
      <c r="AU929" s="273">
        <f>+AU928+0</f>
        <v>43</v>
      </c>
      <c r="AV929" s="273">
        <v>-9999</v>
      </c>
      <c r="AW929" s="273">
        <v>-9999</v>
      </c>
      <c r="AX929" s="273">
        <f>+AX928+0</f>
        <v>83</v>
      </c>
      <c r="AY929" s="273">
        <v>-9999</v>
      </c>
      <c r="AZ929" s="273">
        <v>-9999</v>
      </c>
      <c r="BA929" s="273" t="s">
        <v>725</v>
      </c>
      <c r="BB929" s="273" t="s">
        <v>626</v>
      </c>
      <c r="BC929" s="273" t="s">
        <v>829</v>
      </c>
      <c r="BD929" s="273" t="s">
        <v>830</v>
      </c>
      <c r="BE929" s="273"/>
      <c r="BF929" s="273">
        <v>-9999</v>
      </c>
      <c r="BG929" s="273">
        <v>-9999</v>
      </c>
      <c r="BH929" s="273">
        <v>-9999</v>
      </c>
      <c r="BI929" s="273" t="s">
        <v>1119</v>
      </c>
      <c r="BJ929" s="273">
        <v>-9999</v>
      </c>
      <c r="BK929" s="273">
        <v>-9999</v>
      </c>
      <c r="BL929" s="273">
        <v>-9999</v>
      </c>
      <c r="BM929" s="273">
        <v>-9999</v>
      </c>
      <c r="BN929" s="273">
        <v>-9999</v>
      </c>
      <c r="BO929" s="273">
        <v>-9999</v>
      </c>
      <c r="BP929" s="273">
        <v>-9999</v>
      </c>
      <c r="BQ929" s="273">
        <v>-9999</v>
      </c>
      <c r="BR929" s="468">
        <v>-9999</v>
      </c>
      <c r="BS929" s="468">
        <v>-9999</v>
      </c>
      <c r="BT929" s="273">
        <v>-9999</v>
      </c>
      <c r="BU929" s="468">
        <v>-9999</v>
      </c>
      <c r="BV929" s="468">
        <v>-9999</v>
      </c>
      <c r="BW929" s="468"/>
      <c r="BX929" s="273">
        <v>-9999</v>
      </c>
      <c r="BY929" s="273">
        <v>-9999</v>
      </c>
      <c r="BZ929" s="273">
        <v>-9999</v>
      </c>
      <c r="CA929" s="472">
        <v>-9999</v>
      </c>
      <c r="CB929" s="568" t="s">
        <v>1118</v>
      </c>
      <c r="CC929" s="462">
        <v>5</v>
      </c>
      <c r="CD929" s="273">
        <v>1</v>
      </c>
      <c r="CE929" s="292">
        <v>7</v>
      </c>
      <c r="CF929" s="292">
        <v>5.9</v>
      </c>
      <c r="CG929" s="93">
        <v>5</v>
      </c>
    </row>
    <row r="930" spans="1:1873" s="23" customFormat="1" x14ac:dyDescent="0.2">
      <c r="A930" s="273"/>
      <c r="B930" s="273"/>
      <c r="C930" s="273"/>
      <c r="D930" s="273"/>
      <c r="E930" s="273"/>
      <c r="F930" s="462"/>
      <c r="G930" s="273"/>
      <c r="H930" s="468"/>
      <c r="I930" s="273"/>
      <c r="J930" s="273"/>
      <c r="K930" s="273"/>
      <c r="L930" s="273"/>
      <c r="M930" s="471"/>
      <c r="N930" s="471"/>
      <c r="O930" s="1"/>
      <c r="P930" s="414"/>
      <c r="Q930" s="273"/>
      <c r="R930" s="471"/>
      <c r="S930" s="273"/>
      <c r="T930" s="471"/>
      <c r="U930" s="273"/>
      <c r="V930" s="273"/>
      <c r="W930" s="471"/>
      <c r="X930" s="468"/>
      <c r="Y930" s="468"/>
      <c r="Z930" s="273"/>
      <c r="AA930" s="273"/>
      <c r="AB930" s="471"/>
      <c r="AC930" s="273"/>
      <c r="AD930" s="273"/>
      <c r="AE930" s="273"/>
      <c r="AF930" s="273"/>
      <c r="AG930" s="273"/>
      <c r="AH930" s="273"/>
      <c r="AI930" s="273"/>
      <c r="AJ930" s="273"/>
      <c r="AK930" s="273"/>
      <c r="AL930" s="273"/>
      <c r="AM930" s="273"/>
      <c r="AN930" s="273"/>
      <c r="AO930" s="273"/>
      <c r="AP930" s="273"/>
      <c r="AQ930" s="273"/>
      <c r="AR930" s="273"/>
      <c r="AS930" s="273"/>
      <c r="AT930" s="273"/>
      <c r="AU930" s="273"/>
      <c r="AV930" s="273"/>
      <c r="AW930" s="273"/>
      <c r="AX930" s="273"/>
      <c r="AY930" s="273"/>
      <c r="AZ930" s="273"/>
      <c r="BA930" s="273"/>
      <c r="BB930" s="273"/>
      <c r="BC930" s="273"/>
      <c r="BD930" s="273"/>
      <c r="BE930" s="273"/>
      <c r="BF930" s="273"/>
      <c r="BG930" s="273"/>
      <c r="BH930" s="273"/>
      <c r="BI930" s="273"/>
      <c r="BJ930" s="273"/>
      <c r="BK930" s="273"/>
      <c r="BL930" s="273"/>
      <c r="BM930" s="273"/>
      <c r="BN930" s="273"/>
      <c r="BO930" s="273"/>
      <c r="BP930" s="273"/>
      <c r="BQ930" s="273"/>
      <c r="BR930" s="468"/>
      <c r="BS930" s="468"/>
      <c r="BT930" s="273"/>
      <c r="BU930" s="468"/>
      <c r="BV930" s="468"/>
      <c r="BW930" s="468"/>
      <c r="BX930" s="273"/>
      <c r="BY930" s="273"/>
      <c r="BZ930" s="273"/>
      <c r="CA930" s="472"/>
      <c r="CB930" s="568"/>
      <c r="CC930" s="462"/>
      <c r="CD930" s="273"/>
      <c r="CE930" s="342" t="s">
        <v>1576</v>
      </c>
      <c r="CF930" s="342" t="s">
        <v>1575</v>
      </c>
      <c r="CG930" s="93"/>
    </row>
    <row r="931" spans="1:1873" s="23" customFormat="1" x14ac:dyDescent="0.2">
      <c r="A931" s="273" t="s">
        <v>754</v>
      </c>
      <c r="B931" s="273" t="s">
        <v>820</v>
      </c>
      <c r="C931" s="273" t="s">
        <v>1115</v>
      </c>
      <c r="D931" s="273" t="s">
        <v>619</v>
      </c>
      <c r="E931" s="273" t="s">
        <v>821</v>
      </c>
      <c r="F931" s="462">
        <v>1</v>
      </c>
      <c r="G931" s="273">
        <v>1</v>
      </c>
      <c r="H931" s="468">
        <v>1</v>
      </c>
      <c r="I931" s="273" t="s">
        <v>621</v>
      </c>
      <c r="J931" s="273">
        <v>1986</v>
      </c>
      <c r="K931" s="463" t="s">
        <v>1211</v>
      </c>
      <c r="L931" s="273">
        <v>1986</v>
      </c>
      <c r="M931" s="471">
        <v>3.1</v>
      </c>
      <c r="N931" s="471">
        <v>-9999</v>
      </c>
      <c r="O931" s="1"/>
      <c r="P931" s="414">
        <f>+W931</f>
        <v>3.1</v>
      </c>
      <c r="Q931" s="273">
        <v>-9999</v>
      </c>
      <c r="R931" s="471"/>
      <c r="S931" s="273"/>
      <c r="T931" s="471">
        <f>+P931/F931</f>
        <v>3.1</v>
      </c>
      <c r="U931" s="273">
        <v>-9999</v>
      </c>
      <c r="V931" s="273"/>
      <c r="W931" s="471">
        <v>3.1</v>
      </c>
      <c r="X931" s="468">
        <v>-9999</v>
      </c>
      <c r="Y931" s="468"/>
      <c r="Z931" s="273" t="s">
        <v>622</v>
      </c>
      <c r="AA931" s="385">
        <v>111111</v>
      </c>
      <c r="AB931" s="471">
        <v>0.96</v>
      </c>
      <c r="AC931" s="273">
        <v>-9999</v>
      </c>
      <c r="AD931" s="385">
        <v>175</v>
      </c>
      <c r="AE931" s="461" t="s">
        <v>1971</v>
      </c>
      <c r="AF931" s="273">
        <v>3</v>
      </c>
      <c r="AG931" s="273" t="s">
        <v>823</v>
      </c>
      <c r="AH931" s="273" t="s">
        <v>623</v>
      </c>
      <c r="AI931" s="273" t="s">
        <v>824</v>
      </c>
      <c r="AJ931" s="273" t="s">
        <v>825</v>
      </c>
      <c r="AK931" s="273" t="s">
        <v>625</v>
      </c>
      <c r="AL931" s="273" t="s">
        <v>653</v>
      </c>
      <c r="AM931" s="273">
        <v>-9999</v>
      </c>
      <c r="AN931" s="273" t="s">
        <v>626</v>
      </c>
      <c r="AO931" s="273" t="s">
        <v>826</v>
      </c>
      <c r="AP931" s="273" t="s">
        <v>827</v>
      </c>
      <c r="AQ931" s="273" t="s">
        <v>626</v>
      </c>
      <c r="AR931" s="273">
        <v>100</v>
      </c>
      <c r="AS931" s="273" t="s">
        <v>724</v>
      </c>
      <c r="AT931" s="273" t="s">
        <v>755</v>
      </c>
      <c r="AU931" s="273">
        <v>43</v>
      </c>
      <c r="AV931" s="273" t="s">
        <v>226</v>
      </c>
      <c r="AW931" s="273" t="s">
        <v>755</v>
      </c>
      <c r="AX931" s="273">
        <v>83</v>
      </c>
      <c r="AY931" s="273" t="s">
        <v>226</v>
      </c>
      <c r="AZ931" s="273" t="s">
        <v>755</v>
      </c>
      <c r="BA931" s="273" t="s">
        <v>725</v>
      </c>
      <c r="BB931" s="273" t="s">
        <v>626</v>
      </c>
      <c r="BC931" s="273" t="s">
        <v>829</v>
      </c>
      <c r="BD931" s="273" t="s">
        <v>830</v>
      </c>
      <c r="BE931" s="273"/>
      <c r="BF931" s="273">
        <v>-9999</v>
      </c>
      <c r="BG931" s="273">
        <v>-9999</v>
      </c>
      <c r="BH931" s="273">
        <v>-9999</v>
      </c>
      <c r="BI931" s="273" t="s">
        <v>1119</v>
      </c>
      <c r="BJ931" s="273">
        <v>-9999</v>
      </c>
      <c r="BK931" s="273">
        <v>-9999</v>
      </c>
      <c r="BL931" s="273">
        <v>-9999</v>
      </c>
      <c r="BM931" s="273">
        <v>-9999</v>
      </c>
      <c r="BN931" s="273">
        <v>-9999</v>
      </c>
      <c r="BO931" s="273">
        <v>-9999</v>
      </c>
      <c r="BP931" s="273">
        <v>-9999</v>
      </c>
      <c r="BQ931" s="273">
        <v>-9999</v>
      </c>
      <c r="BR931" s="468">
        <v>-9999</v>
      </c>
      <c r="BS931" s="468">
        <v>-9999</v>
      </c>
      <c r="BT931" s="273">
        <v>-9999</v>
      </c>
      <c r="BU931" s="468">
        <v>-9999</v>
      </c>
      <c r="BV931" s="468">
        <v>-9999</v>
      </c>
      <c r="BW931" s="468"/>
      <c r="BX931" s="273">
        <v>-9999</v>
      </c>
      <c r="BY931" s="273">
        <v>-9999</v>
      </c>
      <c r="BZ931" s="273">
        <v>-9999</v>
      </c>
      <c r="CA931" s="472">
        <v>-9999</v>
      </c>
      <c r="CB931" s="568" t="s">
        <v>1118</v>
      </c>
      <c r="CC931" s="462">
        <v>1</v>
      </c>
      <c r="CD931" s="273">
        <v>1</v>
      </c>
      <c r="CE931" s="292">
        <v>3.1</v>
      </c>
      <c r="CF931" s="292">
        <v>3.1</v>
      </c>
      <c r="CG931" s="93">
        <v>1</v>
      </c>
    </row>
    <row r="932" spans="1:1873" s="23" customFormat="1" x14ac:dyDescent="0.2">
      <c r="A932" s="273" t="s">
        <v>754</v>
      </c>
      <c r="B932" s="273" t="s">
        <v>820</v>
      </c>
      <c r="C932" s="273" t="s">
        <v>1115</v>
      </c>
      <c r="D932" s="273" t="s">
        <v>619</v>
      </c>
      <c r="E932" s="273" t="s">
        <v>821</v>
      </c>
      <c r="F932" s="462">
        <v>2</v>
      </c>
      <c r="G932" s="273">
        <v>1</v>
      </c>
      <c r="H932" s="468">
        <v>2</v>
      </c>
      <c r="I932" s="273" t="s">
        <v>621</v>
      </c>
      <c r="J932" s="273">
        <v>1986</v>
      </c>
      <c r="K932" s="463" t="s">
        <v>1211</v>
      </c>
      <c r="L932" s="273">
        <v>1987</v>
      </c>
      <c r="M932" s="471">
        <v>8.6999999999999993</v>
      </c>
      <c r="N932" s="471">
        <v>-9999</v>
      </c>
      <c r="O932" s="1"/>
      <c r="P932" s="414">
        <f>+P931+W932</f>
        <v>11.799999999999999</v>
      </c>
      <c r="Q932" s="273">
        <v>-9999</v>
      </c>
      <c r="R932" s="471"/>
      <c r="S932" s="273"/>
      <c r="T932" s="471">
        <f>+P932/F932</f>
        <v>5.8999999999999995</v>
      </c>
      <c r="U932" s="273">
        <v>-9999</v>
      </c>
      <c r="V932" s="273"/>
      <c r="W932" s="471">
        <v>8.6999999999999993</v>
      </c>
      <c r="X932" s="468">
        <v>-9999</v>
      </c>
      <c r="Y932" s="468"/>
      <c r="Z932" s="273" t="s">
        <v>622</v>
      </c>
      <c r="AA932" s="385">
        <v>111111</v>
      </c>
      <c r="AB932" s="471">
        <v>0.96</v>
      </c>
      <c r="AC932" s="273">
        <v>-9999</v>
      </c>
      <c r="AD932" s="385">
        <v>175</v>
      </c>
      <c r="AE932" s="461" t="s">
        <v>1971</v>
      </c>
      <c r="AF932" s="273">
        <v>3</v>
      </c>
      <c r="AG932" s="273" t="s">
        <v>823</v>
      </c>
      <c r="AH932" s="273" t="s">
        <v>623</v>
      </c>
      <c r="AI932" s="273" t="s">
        <v>824</v>
      </c>
      <c r="AJ932" s="273" t="s">
        <v>825</v>
      </c>
      <c r="AK932" s="273" t="s">
        <v>625</v>
      </c>
      <c r="AL932" s="273" t="s">
        <v>653</v>
      </c>
      <c r="AM932" s="273">
        <v>-9999</v>
      </c>
      <c r="AN932" s="273" t="s">
        <v>626</v>
      </c>
      <c r="AO932" s="273" t="s">
        <v>826</v>
      </c>
      <c r="AP932" s="273" t="s">
        <v>827</v>
      </c>
      <c r="AQ932" s="273" t="s">
        <v>626</v>
      </c>
      <c r="AR932" s="273">
        <f>+AR931+0</f>
        <v>100</v>
      </c>
      <c r="AS932" s="273">
        <v>-9999</v>
      </c>
      <c r="AT932" s="273">
        <v>-9999</v>
      </c>
      <c r="AU932" s="273">
        <f>+AU931+0</f>
        <v>43</v>
      </c>
      <c r="AV932" s="273">
        <v>-9999</v>
      </c>
      <c r="AW932" s="273">
        <v>-9999</v>
      </c>
      <c r="AX932" s="273">
        <f>+AX931+0</f>
        <v>83</v>
      </c>
      <c r="AY932" s="273">
        <v>-9999</v>
      </c>
      <c r="AZ932" s="273">
        <v>-9999</v>
      </c>
      <c r="BA932" s="273" t="s">
        <v>725</v>
      </c>
      <c r="BB932" s="273" t="s">
        <v>626</v>
      </c>
      <c r="BC932" s="273" t="s">
        <v>829</v>
      </c>
      <c r="BD932" s="273" t="s">
        <v>830</v>
      </c>
      <c r="BE932" s="273"/>
      <c r="BF932" s="273">
        <v>-9999</v>
      </c>
      <c r="BG932" s="273">
        <v>-9999</v>
      </c>
      <c r="BH932" s="273">
        <v>-9999</v>
      </c>
      <c r="BI932" s="273" t="s">
        <v>1119</v>
      </c>
      <c r="BJ932" s="273">
        <v>-9999</v>
      </c>
      <c r="BK932" s="273">
        <v>-9999</v>
      </c>
      <c r="BL932" s="273">
        <v>-9999</v>
      </c>
      <c r="BM932" s="273">
        <v>-9999</v>
      </c>
      <c r="BN932" s="273">
        <v>-9999</v>
      </c>
      <c r="BO932" s="273">
        <v>-9999</v>
      </c>
      <c r="BP932" s="273">
        <v>-9999</v>
      </c>
      <c r="BQ932" s="273">
        <v>-9999</v>
      </c>
      <c r="BR932" s="468">
        <v>-9999</v>
      </c>
      <c r="BS932" s="468">
        <v>-9999</v>
      </c>
      <c r="BT932" s="273">
        <v>-9999</v>
      </c>
      <c r="BU932" s="468">
        <v>-9999</v>
      </c>
      <c r="BV932" s="468">
        <v>-9999</v>
      </c>
      <c r="BW932" s="468"/>
      <c r="BX932" s="273">
        <v>-9999</v>
      </c>
      <c r="BY932" s="273">
        <v>-9999</v>
      </c>
      <c r="BZ932" s="273">
        <v>-9999</v>
      </c>
      <c r="CA932" s="472">
        <v>-9999</v>
      </c>
      <c r="CB932" s="568" t="s">
        <v>1118</v>
      </c>
      <c r="CC932" s="462">
        <v>2</v>
      </c>
      <c r="CD932" s="273">
        <v>1</v>
      </c>
      <c r="CE932" s="292">
        <v>5.8999999999999995</v>
      </c>
      <c r="CF932" s="292">
        <v>8.6999999999999993</v>
      </c>
      <c r="CG932" s="93">
        <v>2</v>
      </c>
    </row>
    <row r="933" spans="1:1873" s="148" customFormat="1" x14ac:dyDescent="0.2">
      <c r="A933" s="273" t="s">
        <v>754</v>
      </c>
      <c r="B933" s="273" t="s">
        <v>820</v>
      </c>
      <c r="C933" s="273" t="s">
        <v>1115</v>
      </c>
      <c r="D933" s="273" t="s">
        <v>619</v>
      </c>
      <c r="E933" s="273" t="s">
        <v>821</v>
      </c>
      <c r="F933" s="273">
        <v>3</v>
      </c>
      <c r="G933" s="273">
        <v>1</v>
      </c>
      <c r="H933" s="468">
        <v>3</v>
      </c>
      <c r="I933" s="273" t="s">
        <v>621</v>
      </c>
      <c r="J933" s="273">
        <v>1986</v>
      </c>
      <c r="K933" s="463" t="s">
        <v>1211</v>
      </c>
      <c r="L933" s="273">
        <v>1988</v>
      </c>
      <c r="M933" s="471">
        <v>7.9</v>
      </c>
      <c r="N933" s="471">
        <v>-9999</v>
      </c>
      <c r="O933" s="1"/>
      <c r="P933" s="414">
        <f>+P932+W933</f>
        <v>19.7</v>
      </c>
      <c r="Q933" s="273">
        <v>-9999</v>
      </c>
      <c r="R933" s="471"/>
      <c r="S933" s="273"/>
      <c r="T933" s="471">
        <f>+P933/F933</f>
        <v>6.5666666666666664</v>
      </c>
      <c r="U933" s="273">
        <v>-9999</v>
      </c>
      <c r="V933" s="273"/>
      <c r="W933" s="471">
        <v>7.9</v>
      </c>
      <c r="X933" s="468">
        <v>-9999</v>
      </c>
      <c r="Y933" s="468"/>
      <c r="Z933" s="273" t="s">
        <v>622</v>
      </c>
      <c r="AA933" s="385">
        <v>111111</v>
      </c>
      <c r="AB933" s="471">
        <v>0.96</v>
      </c>
      <c r="AC933" s="273">
        <v>-9999</v>
      </c>
      <c r="AD933" s="385">
        <v>175</v>
      </c>
      <c r="AE933" s="461" t="s">
        <v>1971</v>
      </c>
      <c r="AF933" s="273">
        <v>3</v>
      </c>
      <c r="AG933" s="273" t="s">
        <v>823</v>
      </c>
      <c r="AH933" s="273" t="s">
        <v>623</v>
      </c>
      <c r="AI933" s="273" t="s">
        <v>824</v>
      </c>
      <c r="AJ933" s="273" t="s">
        <v>825</v>
      </c>
      <c r="AK933" s="273" t="s">
        <v>625</v>
      </c>
      <c r="AL933" s="273" t="s">
        <v>653</v>
      </c>
      <c r="AM933" s="273">
        <v>-9999</v>
      </c>
      <c r="AN933" s="273" t="s">
        <v>626</v>
      </c>
      <c r="AO933" s="273" t="s">
        <v>826</v>
      </c>
      <c r="AP933" s="273" t="s">
        <v>827</v>
      </c>
      <c r="AQ933" s="273" t="s">
        <v>626</v>
      </c>
      <c r="AR933" s="273">
        <f>+AR932+100</f>
        <v>200</v>
      </c>
      <c r="AS933" s="273" t="s">
        <v>1101</v>
      </c>
      <c r="AT933" s="273" t="s">
        <v>275</v>
      </c>
      <c r="AU933" s="273">
        <f>+AU932+0</f>
        <v>43</v>
      </c>
      <c r="AV933" s="273">
        <v>-9999</v>
      </c>
      <c r="AW933" s="273">
        <v>-9999</v>
      </c>
      <c r="AX933" s="273">
        <f>+AX932+0</f>
        <v>83</v>
      </c>
      <c r="AY933" s="273">
        <v>-9999</v>
      </c>
      <c r="AZ933" s="273">
        <v>-9999</v>
      </c>
      <c r="BA933" s="273" t="s">
        <v>725</v>
      </c>
      <c r="BB933" s="273" t="s">
        <v>626</v>
      </c>
      <c r="BC933" s="273" t="s">
        <v>829</v>
      </c>
      <c r="BD933" s="273" t="s">
        <v>830</v>
      </c>
      <c r="BE933" s="273"/>
      <c r="BF933" s="273">
        <v>-9999</v>
      </c>
      <c r="BG933" s="273">
        <v>-9999</v>
      </c>
      <c r="BH933" s="273">
        <v>-9999</v>
      </c>
      <c r="BI933" s="273" t="s">
        <v>1119</v>
      </c>
      <c r="BJ933" s="273">
        <v>-9999</v>
      </c>
      <c r="BK933" s="273">
        <v>-9999</v>
      </c>
      <c r="BL933" s="273">
        <v>-9999</v>
      </c>
      <c r="BM933" s="273">
        <v>-9999</v>
      </c>
      <c r="BN933" s="273">
        <v>-9999</v>
      </c>
      <c r="BO933" s="273">
        <v>-9999</v>
      </c>
      <c r="BP933" s="273">
        <v>-9999</v>
      </c>
      <c r="BQ933" s="273">
        <v>-9999</v>
      </c>
      <c r="BR933" s="468">
        <v>-9999</v>
      </c>
      <c r="BS933" s="468">
        <v>-9999</v>
      </c>
      <c r="BT933" s="273">
        <v>-9999</v>
      </c>
      <c r="BU933" s="468">
        <v>-9999</v>
      </c>
      <c r="BV933" s="468">
        <v>-9999</v>
      </c>
      <c r="BW933" s="468"/>
      <c r="BX933" s="273">
        <v>-9999</v>
      </c>
      <c r="BY933" s="273">
        <v>-9999</v>
      </c>
      <c r="BZ933" s="273">
        <v>-9999</v>
      </c>
      <c r="CA933" s="472">
        <v>-9999</v>
      </c>
      <c r="CB933" s="568" t="s">
        <v>1118</v>
      </c>
      <c r="CC933" s="273">
        <v>3</v>
      </c>
      <c r="CD933" s="273">
        <v>1</v>
      </c>
      <c r="CE933" s="394">
        <v>6.5666666666666664</v>
      </c>
      <c r="CF933" s="292">
        <v>7.9</v>
      </c>
      <c r="CG933" s="93">
        <v>3</v>
      </c>
      <c r="CH933" s="477"/>
      <c r="CI933" s="23"/>
      <c r="CJ933" s="23"/>
      <c r="CK933" s="23"/>
      <c r="CL933" s="23"/>
      <c r="CM933" s="23"/>
      <c r="CN933" s="23"/>
      <c r="CO933" s="23"/>
      <c r="CP933" s="23"/>
      <c r="CQ933" s="23"/>
      <c r="CR933" s="23"/>
      <c r="CS933" s="23"/>
      <c r="CT933" s="23"/>
      <c r="CU933" s="23"/>
      <c r="CV933" s="23"/>
      <c r="CW933" s="23"/>
      <c r="CX933" s="23"/>
      <c r="CY933" s="23"/>
      <c r="CZ933" s="23"/>
      <c r="DA933" s="23"/>
      <c r="DB933" s="23"/>
      <c r="DC933" s="23"/>
      <c r="DD933" s="23"/>
      <c r="DE933" s="23"/>
      <c r="DF933" s="23"/>
      <c r="DG933" s="23"/>
      <c r="DH933" s="23"/>
      <c r="DI933" s="23"/>
      <c r="DJ933" s="23"/>
      <c r="DK933" s="23"/>
      <c r="DL933" s="23"/>
      <c r="DM933" s="23"/>
      <c r="DN933" s="23"/>
      <c r="DO933" s="23"/>
      <c r="DP933" s="23"/>
      <c r="DQ933" s="23"/>
      <c r="DR933" s="23"/>
      <c r="DS933" s="23"/>
      <c r="DT933" s="23"/>
      <c r="DU933" s="23"/>
      <c r="DV933" s="23"/>
      <c r="DW933" s="23"/>
      <c r="DX933" s="23"/>
      <c r="DY933" s="23"/>
      <c r="DZ933" s="23"/>
      <c r="EA933" s="23"/>
      <c r="EB933" s="23"/>
      <c r="EC933" s="23"/>
      <c r="ED933" s="23"/>
      <c r="EE933" s="23"/>
      <c r="EF933" s="23"/>
      <c r="EG933" s="23"/>
      <c r="EH933" s="23"/>
      <c r="EI933" s="23"/>
      <c r="EJ933" s="23"/>
      <c r="EK933" s="23"/>
      <c r="EL933" s="23"/>
      <c r="EM933" s="23"/>
      <c r="EN933" s="23"/>
      <c r="EO933" s="23"/>
      <c r="EP933" s="23"/>
      <c r="EQ933" s="23"/>
      <c r="ER933" s="23"/>
      <c r="ES933" s="23"/>
      <c r="ET933" s="23"/>
      <c r="EU933" s="23"/>
      <c r="EV933" s="23"/>
      <c r="EW933" s="23"/>
      <c r="EX933" s="23"/>
      <c r="EY933" s="23"/>
      <c r="EZ933" s="23"/>
      <c r="FA933" s="23"/>
      <c r="FB933" s="23"/>
      <c r="FC933" s="23"/>
      <c r="FD933" s="23"/>
      <c r="FE933" s="23"/>
      <c r="FF933" s="23"/>
      <c r="FG933" s="23"/>
      <c r="FH933" s="23"/>
      <c r="FI933" s="23"/>
      <c r="FJ933" s="23"/>
      <c r="FK933" s="23"/>
      <c r="FL933" s="23"/>
      <c r="FM933" s="23"/>
      <c r="FN933" s="23"/>
      <c r="FO933" s="23"/>
      <c r="FP933" s="23"/>
      <c r="FQ933" s="23"/>
      <c r="FR933" s="23"/>
      <c r="FS933" s="23"/>
      <c r="FT933" s="23"/>
      <c r="FU933" s="23"/>
      <c r="FV933" s="23"/>
      <c r="FW933" s="23"/>
      <c r="FX933" s="23"/>
      <c r="FY933" s="23"/>
      <c r="FZ933" s="23"/>
      <c r="GA933" s="23"/>
      <c r="GB933" s="23"/>
      <c r="GC933" s="23"/>
      <c r="GD933" s="23"/>
      <c r="GE933" s="23"/>
      <c r="GF933" s="23"/>
      <c r="GG933" s="23"/>
      <c r="GH933" s="23"/>
      <c r="GI933" s="23"/>
      <c r="GJ933" s="23"/>
      <c r="GK933" s="23"/>
      <c r="GL933" s="23"/>
      <c r="GM933" s="23"/>
      <c r="GN933" s="23"/>
      <c r="GO933" s="23"/>
      <c r="GP933" s="23"/>
      <c r="GQ933" s="23"/>
      <c r="GR933" s="23"/>
      <c r="GS933" s="23"/>
      <c r="GT933" s="23"/>
      <c r="GU933" s="23"/>
      <c r="GV933" s="23"/>
      <c r="GW933" s="23"/>
      <c r="GX933" s="23"/>
      <c r="GY933" s="23"/>
      <c r="GZ933" s="23"/>
      <c r="HA933" s="23"/>
      <c r="HB933" s="23"/>
      <c r="HC933" s="23"/>
      <c r="HD933" s="23"/>
      <c r="HE933" s="23"/>
      <c r="HF933" s="23"/>
      <c r="HG933" s="23"/>
      <c r="HH933" s="23"/>
      <c r="HI933" s="23"/>
      <c r="HJ933" s="23"/>
      <c r="HK933" s="23"/>
      <c r="HL933" s="23"/>
      <c r="HM933" s="23"/>
      <c r="HN933" s="23"/>
      <c r="HO933" s="23"/>
      <c r="HP933" s="23"/>
      <c r="HQ933" s="23"/>
      <c r="HR933" s="23"/>
      <c r="HS933" s="23"/>
      <c r="HT933" s="23"/>
      <c r="HU933" s="23"/>
      <c r="HV933" s="23"/>
      <c r="HW933" s="23"/>
      <c r="HX933" s="23"/>
      <c r="HY933" s="23"/>
      <c r="HZ933" s="23"/>
      <c r="IA933" s="23"/>
      <c r="IB933" s="23"/>
      <c r="IC933" s="23"/>
      <c r="ID933" s="23"/>
      <c r="IE933" s="23"/>
      <c r="IF933" s="23"/>
      <c r="IG933" s="23"/>
      <c r="IH933" s="23"/>
      <c r="II933" s="23"/>
      <c r="IJ933" s="23"/>
      <c r="IK933" s="23"/>
      <c r="IL933" s="23"/>
      <c r="IM933" s="23"/>
      <c r="IN933" s="23"/>
      <c r="IO933" s="23"/>
      <c r="IP933" s="23"/>
      <c r="IQ933" s="23"/>
      <c r="IR933" s="23"/>
      <c r="IS933" s="23"/>
      <c r="IT933" s="23"/>
      <c r="IU933" s="23"/>
      <c r="IV933" s="23"/>
      <c r="IW933" s="23"/>
      <c r="IX933" s="23"/>
      <c r="IY933" s="23"/>
      <c r="IZ933" s="23"/>
      <c r="JA933" s="23"/>
      <c r="JB933" s="23"/>
      <c r="JC933" s="23"/>
      <c r="JD933" s="23"/>
      <c r="JE933" s="23"/>
      <c r="JF933" s="23"/>
      <c r="JG933" s="23"/>
      <c r="JH933" s="23"/>
      <c r="JI933" s="23"/>
      <c r="JJ933" s="23"/>
      <c r="JK933" s="23"/>
      <c r="JL933" s="23"/>
      <c r="JM933" s="23"/>
      <c r="JN933" s="23"/>
      <c r="JO933" s="23"/>
      <c r="JP933" s="23"/>
      <c r="JQ933" s="23"/>
      <c r="JR933" s="23"/>
      <c r="JS933" s="23"/>
      <c r="JT933" s="23"/>
      <c r="JU933" s="23"/>
      <c r="JV933" s="23"/>
      <c r="JW933" s="23"/>
      <c r="JX933" s="23"/>
      <c r="JY933" s="23"/>
      <c r="JZ933" s="23"/>
      <c r="KA933" s="23"/>
      <c r="KB933" s="23"/>
      <c r="KC933" s="23"/>
      <c r="KD933" s="23"/>
      <c r="KE933" s="23"/>
      <c r="KF933" s="23"/>
      <c r="KG933" s="23"/>
      <c r="KH933" s="23"/>
      <c r="KI933" s="23"/>
      <c r="KJ933" s="23"/>
      <c r="KK933" s="23"/>
      <c r="KL933" s="23"/>
      <c r="KM933" s="23"/>
      <c r="KN933" s="23"/>
      <c r="KO933" s="23"/>
      <c r="KP933" s="23"/>
      <c r="KQ933" s="23"/>
      <c r="KR933" s="23"/>
      <c r="KS933" s="23"/>
      <c r="KT933" s="23"/>
      <c r="KU933" s="23"/>
      <c r="KV933" s="23"/>
      <c r="KW933" s="23"/>
      <c r="KX933" s="23"/>
      <c r="KY933" s="23"/>
      <c r="KZ933" s="23"/>
      <c r="LA933" s="23"/>
      <c r="LB933" s="23"/>
      <c r="LC933" s="23"/>
      <c r="LD933" s="23"/>
      <c r="LE933" s="23"/>
      <c r="LF933" s="23"/>
      <c r="LG933" s="23"/>
      <c r="LH933" s="23"/>
      <c r="LI933" s="23"/>
      <c r="LJ933" s="23"/>
      <c r="LK933" s="23"/>
      <c r="LL933" s="23"/>
      <c r="LM933" s="23"/>
      <c r="LN933" s="23"/>
      <c r="LO933" s="23"/>
      <c r="LP933" s="23"/>
      <c r="LQ933" s="23"/>
      <c r="LR933" s="23"/>
      <c r="LS933" s="23"/>
      <c r="LT933" s="23"/>
      <c r="LU933" s="23"/>
      <c r="LV933" s="23"/>
      <c r="LW933" s="23"/>
      <c r="LX933" s="23"/>
      <c r="LY933" s="23"/>
      <c r="LZ933" s="23"/>
      <c r="MA933" s="23"/>
      <c r="MB933" s="23"/>
      <c r="MC933" s="23"/>
      <c r="MD933" s="23"/>
      <c r="ME933" s="23"/>
      <c r="MF933" s="23"/>
      <c r="MG933" s="23"/>
      <c r="MH933" s="23"/>
      <c r="MI933" s="23"/>
      <c r="MJ933" s="23"/>
      <c r="MK933" s="23"/>
      <c r="ML933" s="23"/>
      <c r="MM933" s="23"/>
      <c r="MN933" s="23"/>
      <c r="MO933" s="23"/>
      <c r="MP933" s="23"/>
      <c r="MQ933" s="23"/>
      <c r="MR933" s="23"/>
      <c r="MS933" s="23"/>
      <c r="MT933" s="23"/>
      <c r="MU933" s="23"/>
      <c r="MV933" s="23"/>
      <c r="MW933" s="23"/>
      <c r="MX933" s="23"/>
      <c r="MY933" s="23"/>
      <c r="MZ933" s="23"/>
      <c r="NA933" s="23"/>
      <c r="NB933" s="23"/>
      <c r="NC933" s="23"/>
      <c r="ND933" s="23"/>
      <c r="NE933" s="23"/>
      <c r="NF933" s="23"/>
      <c r="NG933" s="23"/>
      <c r="NH933" s="23"/>
      <c r="NI933" s="23"/>
      <c r="NJ933" s="23"/>
      <c r="NK933" s="23"/>
      <c r="NL933" s="23"/>
      <c r="NM933" s="23"/>
      <c r="NN933" s="23"/>
      <c r="NO933" s="23"/>
      <c r="NP933" s="23"/>
      <c r="NQ933" s="23"/>
      <c r="NR933" s="23"/>
      <c r="NS933" s="23"/>
      <c r="NT933" s="23"/>
      <c r="NU933" s="23"/>
      <c r="NV933" s="23"/>
      <c r="NW933" s="23"/>
      <c r="NX933" s="23"/>
      <c r="NY933" s="23"/>
      <c r="NZ933" s="23"/>
      <c r="OA933" s="23"/>
      <c r="OB933" s="23"/>
      <c r="OC933" s="23"/>
      <c r="OD933" s="23"/>
      <c r="OE933" s="23"/>
      <c r="OF933" s="23"/>
      <c r="OG933" s="23"/>
      <c r="OH933" s="23"/>
      <c r="OI933" s="23"/>
      <c r="OJ933" s="23"/>
      <c r="OK933" s="23"/>
      <c r="OL933" s="23"/>
      <c r="OM933" s="23"/>
      <c r="ON933" s="23"/>
      <c r="OO933" s="23"/>
      <c r="OP933" s="23"/>
      <c r="OQ933" s="23"/>
      <c r="OR933" s="23"/>
      <c r="OS933" s="23"/>
      <c r="OT933" s="23"/>
      <c r="OU933" s="23"/>
      <c r="OV933" s="23"/>
      <c r="OW933" s="23"/>
      <c r="OX933" s="23"/>
      <c r="OY933" s="23"/>
      <c r="OZ933" s="23"/>
      <c r="PA933" s="23"/>
      <c r="PB933" s="23"/>
      <c r="PC933" s="23"/>
      <c r="PD933" s="23"/>
      <c r="PE933" s="23"/>
      <c r="PF933" s="23"/>
      <c r="PG933" s="23"/>
      <c r="PH933" s="23"/>
      <c r="PI933" s="23"/>
      <c r="PJ933" s="23"/>
      <c r="PK933" s="23"/>
      <c r="PL933" s="23"/>
      <c r="PM933" s="23"/>
      <c r="PN933" s="23"/>
      <c r="PO933" s="23"/>
      <c r="PP933" s="23"/>
      <c r="PQ933" s="23"/>
      <c r="PR933" s="23"/>
      <c r="PS933" s="23"/>
      <c r="PT933" s="23"/>
      <c r="PU933" s="23"/>
      <c r="PV933" s="23"/>
      <c r="PW933" s="23"/>
      <c r="PX933" s="23"/>
      <c r="PY933" s="23"/>
      <c r="PZ933" s="23"/>
      <c r="QA933" s="23"/>
      <c r="QB933" s="23"/>
      <c r="QC933" s="23"/>
      <c r="QD933" s="23"/>
      <c r="QE933" s="23"/>
      <c r="QF933" s="23"/>
      <c r="QG933" s="23"/>
      <c r="QH933" s="23"/>
      <c r="QI933" s="23"/>
      <c r="QJ933" s="23"/>
      <c r="QK933" s="23"/>
      <c r="QL933" s="23"/>
      <c r="QM933" s="23"/>
      <c r="QN933" s="23"/>
      <c r="QO933" s="23"/>
      <c r="QP933" s="23"/>
      <c r="QQ933" s="23"/>
      <c r="QR933" s="23"/>
      <c r="QS933" s="23"/>
      <c r="QT933" s="23"/>
      <c r="QU933" s="23"/>
      <c r="QV933" s="23"/>
      <c r="QW933" s="23"/>
      <c r="QX933" s="23"/>
      <c r="QY933" s="23"/>
      <c r="QZ933" s="23"/>
      <c r="RA933" s="23"/>
      <c r="RB933" s="23"/>
      <c r="RC933" s="23"/>
      <c r="RD933" s="23"/>
      <c r="RE933" s="23"/>
      <c r="RF933" s="23"/>
      <c r="RG933" s="23"/>
      <c r="RH933" s="23"/>
      <c r="RI933" s="23"/>
      <c r="RJ933" s="23"/>
      <c r="RK933" s="23"/>
      <c r="RL933" s="23"/>
      <c r="RM933" s="23"/>
      <c r="RN933" s="23"/>
      <c r="RO933" s="23"/>
      <c r="RP933" s="23"/>
      <c r="RQ933" s="23"/>
      <c r="RR933" s="23"/>
      <c r="RS933" s="23"/>
      <c r="RT933" s="23"/>
      <c r="RU933" s="23"/>
      <c r="RV933" s="23"/>
      <c r="RW933" s="23"/>
      <c r="RX933" s="23"/>
      <c r="RY933" s="23"/>
      <c r="RZ933" s="23"/>
      <c r="SA933" s="23"/>
      <c r="SB933" s="23"/>
      <c r="SC933" s="23"/>
      <c r="SD933" s="23"/>
      <c r="SE933" s="23"/>
      <c r="SF933" s="23"/>
      <c r="SG933" s="23"/>
      <c r="SH933" s="23"/>
      <c r="SI933" s="23"/>
      <c r="SJ933" s="23"/>
      <c r="SK933" s="23"/>
      <c r="SL933" s="23"/>
      <c r="SM933" s="23"/>
      <c r="SN933" s="23"/>
      <c r="SO933" s="23"/>
      <c r="SP933" s="23"/>
      <c r="SQ933" s="23"/>
      <c r="SR933" s="23"/>
      <c r="SS933" s="23"/>
      <c r="ST933" s="23"/>
      <c r="SU933" s="23"/>
      <c r="SV933" s="23"/>
      <c r="SW933" s="23"/>
      <c r="SX933" s="23"/>
      <c r="SY933" s="23"/>
      <c r="SZ933" s="23"/>
      <c r="TA933" s="23"/>
      <c r="TB933" s="23"/>
      <c r="TC933" s="23"/>
      <c r="TD933" s="23"/>
      <c r="TE933" s="23"/>
      <c r="TF933" s="23"/>
      <c r="TG933" s="23"/>
      <c r="TH933" s="23"/>
      <c r="TI933" s="23"/>
      <c r="TJ933" s="23"/>
      <c r="TK933" s="23"/>
      <c r="TL933" s="23"/>
      <c r="TM933" s="23"/>
      <c r="TN933" s="23"/>
      <c r="TO933" s="23"/>
      <c r="TP933" s="23"/>
      <c r="TQ933" s="23"/>
      <c r="TR933" s="23"/>
      <c r="TS933" s="23"/>
      <c r="TT933" s="23"/>
      <c r="TU933" s="23"/>
      <c r="TV933" s="23"/>
      <c r="TW933" s="23"/>
      <c r="TX933" s="23"/>
      <c r="TY933" s="23"/>
      <c r="TZ933" s="23"/>
      <c r="UA933" s="23"/>
      <c r="UB933" s="23"/>
      <c r="UC933" s="23"/>
      <c r="UD933" s="23"/>
      <c r="UE933" s="23"/>
      <c r="UF933" s="23"/>
      <c r="UG933" s="23"/>
      <c r="UH933" s="23"/>
      <c r="UI933" s="23"/>
      <c r="UJ933" s="23"/>
      <c r="UK933" s="23"/>
      <c r="UL933" s="23"/>
      <c r="UM933" s="23"/>
      <c r="UN933" s="23"/>
      <c r="UO933" s="23"/>
      <c r="UP933" s="23"/>
      <c r="UQ933" s="23"/>
      <c r="UR933" s="23"/>
      <c r="US933" s="23"/>
      <c r="UT933" s="23"/>
      <c r="UU933" s="23"/>
      <c r="UV933" s="23"/>
      <c r="UW933" s="23"/>
      <c r="UX933" s="23"/>
      <c r="UY933" s="23"/>
      <c r="UZ933" s="23"/>
      <c r="VA933" s="23"/>
      <c r="VB933" s="23"/>
      <c r="VC933" s="23"/>
      <c r="VD933" s="23"/>
      <c r="VE933" s="23"/>
      <c r="VF933" s="23"/>
      <c r="VG933" s="23"/>
      <c r="VH933" s="23"/>
      <c r="VI933" s="23"/>
      <c r="VJ933" s="23"/>
      <c r="VK933" s="23"/>
      <c r="VL933" s="23"/>
      <c r="VM933" s="23"/>
      <c r="VN933" s="23"/>
      <c r="VO933" s="23"/>
      <c r="VP933" s="23"/>
      <c r="VQ933" s="23"/>
      <c r="VR933" s="23"/>
      <c r="VS933" s="23"/>
      <c r="VT933" s="23"/>
      <c r="VU933" s="23"/>
      <c r="VV933" s="23"/>
      <c r="VW933" s="23"/>
      <c r="VX933" s="23"/>
      <c r="VY933" s="23"/>
      <c r="VZ933" s="23"/>
      <c r="WA933" s="23"/>
      <c r="WB933" s="23"/>
      <c r="WC933" s="23"/>
      <c r="WD933" s="23"/>
      <c r="WE933" s="23"/>
      <c r="WF933" s="23"/>
      <c r="WG933" s="23"/>
      <c r="WH933" s="23"/>
      <c r="WI933" s="23"/>
      <c r="WJ933" s="23"/>
      <c r="WK933" s="23"/>
      <c r="WL933" s="23"/>
      <c r="WM933" s="23"/>
      <c r="WN933" s="23"/>
      <c r="WO933" s="23"/>
      <c r="WP933" s="23"/>
      <c r="WQ933" s="23"/>
      <c r="WR933" s="23"/>
      <c r="WS933" s="23"/>
      <c r="WT933" s="23"/>
      <c r="WU933" s="23"/>
      <c r="WV933" s="23"/>
      <c r="WW933" s="23"/>
      <c r="WX933" s="23"/>
      <c r="WY933" s="23"/>
      <c r="WZ933" s="23"/>
      <c r="XA933" s="23"/>
      <c r="XB933" s="23"/>
      <c r="XC933" s="23"/>
      <c r="XD933" s="23"/>
      <c r="XE933" s="23"/>
      <c r="XF933" s="23"/>
      <c r="XG933" s="23"/>
      <c r="XH933" s="23"/>
      <c r="XI933" s="23"/>
      <c r="XJ933" s="23"/>
      <c r="XK933" s="23"/>
      <c r="XL933" s="23"/>
      <c r="XM933" s="23"/>
      <c r="XN933" s="23"/>
      <c r="XO933" s="23"/>
      <c r="XP933" s="23"/>
      <c r="XQ933" s="23"/>
      <c r="XR933" s="23"/>
      <c r="XS933" s="23"/>
      <c r="XT933" s="23"/>
      <c r="XU933" s="23"/>
      <c r="XV933" s="23"/>
      <c r="XW933" s="23"/>
      <c r="XX933" s="23"/>
      <c r="XY933" s="23"/>
      <c r="XZ933" s="23"/>
      <c r="YA933" s="23"/>
      <c r="YB933" s="23"/>
      <c r="YC933" s="23"/>
      <c r="YD933" s="23"/>
      <c r="YE933" s="23"/>
      <c r="YF933" s="23"/>
      <c r="YG933" s="23"/>
      <c r="YH933" s="23"/>
      <c r="YI933" s="23"/>
      <c r="YJ933" s="23"/>
      <c r="YK933" s="23"/>
      <c r="YL933" s="23"/>
      <c r="YM933" s="23"/>
      <c r="YN933" s="23"/>
      <c r="YO933" s="23"/>
      <c r="YP933" s="23"/>
      <c r="YQ933" s="23"/>
      <c r="YR933" s="23"/>
      <c r="YS933" s="23"/>
      <c r="YT933" s="23"/>
      <c r="YU933" s="23"/>
      <c r="YV933" s="23"/>
      <c r="YW933" s="23"/>
      <c r="YX933" s="23"/>
      <c r="YY933" s="23"/>
      <c r="YZ933" s="23"/>
      <c r="ZA933" s="23"/>
      <c r="ZB933" s="23"/>
      <c r="ZC933" s="23"/>
      <c r="ZD933" s="23"/>
      <c r="ZE933" s="23"/>
      <c r="ZF933" s="23"/>
      <c r="ZG933" s="23"/>
      <c r="ZH933" s="23"/>
      <c r="ZI933" s="23"/>
      <c r="ZJ933" s="23"/>
      <c r="ZK933" s="23"/>
      <c r="ZL933" s="23"/>
      <c r="ZM933" s="23"/>
      <c r="ZN933" s="23"/>
      <c r="ZO933" s="23"/>
      <c r="ZP933" s="23"/>
      <c r="ZQ933" s="23"/>
      <c r="ZR933" s="23"/>
      <c r="ZS933" s="23"/>
      <c r="ZT933" s="23"/>
      <c r="ZU933" s="23"/>
      <c r="ZV933" s="23"/>
      <c r="ZW933" s="23"/>
      <c r="ZX933" s="23"/>
      <c r="ZY933" s="23"/>
      <c r="ZZ933" s="23"/>
      <c r="AAA933" s="23"/>
      <c r="AAB933" s="23"/>
      <c r="AAC933" s="23"/>
      <c r="AAD933" s="23"/>
      <c r="AAE933" s="23"/>
      <c r="AAF933" s="23"/>
      <c r="AAG933" s="23"/>
      <c r="AAH933" s="23"/>
      <c r="AAI933" s="23"/>
      <c r="AAJ933" s="23"/>
      <c r="AAK933" s="23"/>
      <c r="AAL933" s="23"/>
      <c r="AAM933" s="23"/>
      <c r="AAN933" s="23"/>
      <c r="AAO933" s="23"/>
      <c r="AAP933" s="23"/>
      <c r="AAQ933" s="23"/>
      <c r="AAR933" s="23"/>
      <c r="AAS933" s="23"/>
      <c r="AAT933" s="23"/>
      <c r="AAU933" s="23"/>
      <c r="AAV933" s="23"/>
      <c r="AAW933" s="23"/>
      <c r="AAX933" s="23"/>
      <c r="AAY933" s="23"/>
      <c r="AAZ933" s="23"/>
      <c r="ABA933" s="23"/>
      <c r="ABB933" s="23"/>
      <c r="ABC933" s="23"/>
      <c r="ABD933" s="23"/>
      <c r="ABE933" s="23"/>
      <c r="ABF933" s="23"/>
      <c r="ABG933" s="23"/>
      <c r="ABH933" s="23"/>
      <c r="ABI933" s="23"/>
      <c r="ABJ933" s="23"/>
      <c r="ABK933" s="23"/>
      <c r="ABL933" s="23"/>
      <c r="ABM933" s="23"/>
      <c r="ABN933" s="23"/>
      <c r="ABO933" s="23"/>
      <c r="ABP933" s="23"/>
      <c r="ABQ933" s="23"/>
      <c r="ABR933" s="23"/>
      <c r="ABS933" s="23"/>
      <c r="ABT933" s="23"/>
      <c r="ABU933" s="23"/>
      <c r="ABV933" s="23"/>
      <c r="ABW933" s="23"/>
      <c r="ABX933" s="23"/>
      <c r="ABY933" s="23"/>
      <c r="ABZ933" s="23"/>
      <c r="ACA933" s="23"/>
      <c r="ACB933" s="23"/>
      <c r="ACC933" s="23"/>
      <c r="ACD933" s="23"/>
      <c r="ACE933" s="23"/>
      <c r="ACF933" s="23"/>
      <c r="ACG933" s="23"/>
      <c r="ACH933" s="23"/>
      <c r="ACI933" s="23"/>
      <c r="ACJ933" s="23"/>
      <c r="ACK933" s="23"/>
      <c r="ACL933" s="23"/>
      <c r="ACM933" s="23"/>
      <c r="ACN933" s="23"/>
      <c r="ACO933" s="23"/>
      <c r="ACP933" s="23"/>
      <c r="ACQ933" s="23"/>
      <c r="ACR933" s="23"/>
      <c r="ACS933" s="23"/>
      <c r="ACT933" s="23"/>
      <c r="ACU933" s="23"/>
      <c r="ACV933" s="23"/>
      <c r="ACW933" s="23"/>
      <c r="ACX933" s="23"/>
      <c r="ACY933" s="23"/>
      <c r="ACZ933" s="23"/>
      <c r="ADA933" s="23"/>
      <c r="ADB933" s="23"/>
      <c r="ADC933" s="23"/>
      <c r="ADD933" s="23"/>
      <c r="ADE933" s="23"/>
      <c r="ADF933" s="23"/>
      <c r="ADG933" s="23"/>
      <c r="ADH933" s="23"/>
      <c r="ADI933" s="23"/>
      <c r="ADJ933" s="23"/>
      <c r="ADK933" s="23"/>
      <c r="ADL933" s="23"/>
      <c r="ADM933" s="23"/>
      <c r="ADN933" s="23"/>
      <c r="ADO933" s="23"/>
      <c r="ADP933" s="23"/>
      <c r="ADQ933" s="23"/>
      <c r="ADR933" s="23"/>
      <c r="ADS933" s="23"/>
      <c r="ADT933" s="23"/>
      <c r="ADU933" s="23"/>
      <c r="ADV933" s="23"/>
      <c r="ADW933" s="23"/>
      <c r="ADX933" s="23"/>
      <c r="ADY933" s="23"/>
      <c r="ADZ933" s="23"/>
      <c r="AEA933" s="23"/>
      <c r="AEB933" s="23"/>
      <c r="AEC933" s="23"/>
      <c r="AED933" s="23"/>
      <c r="AEE933" s="23"/>
      <c r="AEF933" s="23"/>
      <c r="AEG933" s="23"/>
      <c r="AEH933" s="23"/>
      <c r="AEI933" s="23"/>
      <c r="AEJ933" s="23"/>
      <c r="AEK933" s="23"/>
      <c r="AEL933" s="23"/>
      <c r="AEM933" s="23"/>
      <c r="AEN933" s="23"/>
      <c r="AEO933" s="23"/>
      <c r="AEP933" s="23"/>
      <c r="AEQ933" s="23"/>
      <c r="AER933" s="23"/>
      <c r="AES933" s="23"/>
      <c r="AET933" s="23"/>
      <c r="AEU933" s="23"/>
      <c r="AEV933" s="23"/>
      <c r="AEW933" s="23"/>
      <c r="AEX933" s="23"/>
      <c r="AEY933" s="23"/>
      <c r="AEZ933" s="23"/>
      <c r="AFA933" s="23"/>
      <c r="AFB933" s="23"/>
      <c r="AFC933" s="23"/>
      <c r="AFD933" s="23"/>
      <c r="AFE933" s="23"/>
      <c r="AFF933" s="23"/>
      <c r="AFG933" s="23"/>
      <c r="AFH933" s="23"/>
      <c r="AFI933" s="23"/>
      <c r="AFJ933" s="23"/>
      <c r="AFK933" s="23"/>
      <c r="AFL933" s="23"/>
      <c r="AFM933" s="23"/>
      <c r="AFN933" s="23"/>
      <c r="AFO933" s="23"/>
      <c r="AFP933" s="23"/>
      <c r="AFQ933" s="23"/>
      <c r="AFR933" s="23"/>
      <c r="AFS933" s="23"/>
      <c r="AFT933" s="23"/>
      <c r="AFU933" s="23"/>
      <c r="AFV933" s="23"/>
      <c r="AFW933" s="23"/>
      <c r="AFX933" s="23"/>
      <c r="AFY933" s="23"/>
      <c r="AFZ933" s="23"/>
      <c r="AGA933" s="23"/>
      <c r="AGB933" s="23"/>
      <c r="AGC933" s="23"/>
      <c r="AGD933" s="23"/>
      <c r="AGE933" s="23"/>
      <c r="AGF933" s="23"/>
      <c r="AGG933" s="23"/>
      <c r="AGH933" s="23"/>
      <c r="AGI933" s="23"/>
      <c r="AGJ933" s="23"/>
      <c r="AGK933" s="23"/>
      <c r="AGL933" s="23"/>
      <c r="AGM933" s="23"/>
      <c r="AGN933" s="23"/>
      <c r="AGO933" s="23"/>
      <c r="AGP933" s="23"/>
      <c r="AGQ933" s="23"/>
      <c r="AGR933" s="23"/>
      <c r="AGS933" s="23"/>
      <c r="AGT933" s="23"/>
      <c r="AGU933" s="23"/>
      <c r="AGV933" s="23"/>
      <c r="AGW933" s="23"/>
      <c r="AGX933" s="23"/>
      <c r="AGY933" s="23"/>
      <c r="AGZ933" s="23"/>
      <c r="AHA933" s="23"/>
      <c r="AHB933" s="23"/>
      <c r="AHC933" s="23"/>
      <c r="AHD933" s="23"/>
      <c r="AHE933" s="23"/>
      <c r="AHF933" s="23"/>
      <c r="AHG933" s="23"/>
      <c r="AHH933" s="23"/>
      <c r="AHI933" s="23"/>
      <c r="AHJ933" s="23"/>
      <c r="AHK933" s="23"/>
      <c r="AHL933" s="23"/>
      <c r="AHM933" s="23"/>
      <c r="AHN933" s="23"/>
      <c r="AHO933" s="23"/>
      <c r="AHP933" s="23"/>
      <c r="AHQ933" s="23"/>
      <c r="AHR933" s="23"/>
      <c r="AHS933" s="23"/>
      <c r="AHT933" s="23"/>
      <c r="AHU933" s="23"/>
      <c r="AHV933" s="23"/>
      <c r="AHW933" s="23"/>
      <c r="AHX933" s="23"/>
      <c r="AHY933" s="23"/>
      <c r="AHZ933" s="23"/>
      <c r="AIA933" s="23"/>
      <c r="AIB933" s="23"/>
      <c r="AIC933" s="23"/>
      <c r="AID933" s="23"/>
      <c r="AIE933" s="23"/>
      <c r="AIF933" s="23"/>
      <c r="AIG933" s="23"/>
      <c r="AIH933" s="23"/>
      <c r="AII933" s="23"/>
      <c r="AIJ933" s="23"/>
      <c r="AIK933" s="23"/>
      <c r="AIL933" s="23"/>
      <c r="AIM933" s="23"/>
      <c r="AIN933" s="23"/>
      <c r="AIO933" s="23"/>
      <c r="AIP933" s="23"/>
      <c r="AIQ933" s="23"/>
      <c r="AIR933" s="23"/>
      <c r="AIS933" s="23"/>
      <c r="AIT933" s="23"/>
      <c r="AIU933" s="23"/>
      <c r="AIV933" s="23"/>
      <c r="AIW933" s="23"/>
      <c r="AIX933" s="23"/>
      <c r="AIY933" s="23"/>
      <c r="AIZ933" s="23"/>
      <c r="AJA933" s="23"/>
      <c r="AJB933" s="23"/>
      <c r="AJC933" s="23"/>
      <c r="AJD933" s="23"/>
      <c r="AJE933" s="23"/>
      <c r="AJF933" s="23"/>
      <c r="AJG933" s="23"/>
      <c r="AJH933" s="23"/>
      <c r="AJI933" s="23"/>
      <c r="AJJ933" s="23"/>
      <c r="AJK933" s="23"/>
      <c r="AJL933" s="23"/>
      <c r="AJM933" s="23"/>
      <c r="AJN933" s="23"/>
      <c r="AJO933" s="23"/>
      <c r="AJP933" s="23"/>
      <c r="AJQ933" s="23"/>
      <c r="AJR933" s="23"/>
      <c r="AJS933" s="23"/>
      <c r="AJT933" s="23"/>
      <c r="AJU933" s="23"/>
      <c r="AJV933" s="23"/>
      <c r="AJW933" s="23"/>
      <c r="AJX933" s="23"/>
      <c r="AJY933" s="23"/>
      <c r="AJZ933" s="23"/>
      <c r="AKA933" s="23"/>
      <c r="AKB933" s="23"/>
      <c r="AKC933" s="23"/>
      <c r="AKD933" s="23"/>
      <c r="AKE933" s="23"/>
      <c r="AKF933" s="23"/>
      <c r="AKG933" s="23"/>
      <c r="AKH933" s="23"/>
      <c r="AKI933" s="23"/>
      <c r="AKJ933" s="23"/>
      <c r="AKK933" s="23"/>
      <c r="AKL933" s="23"/>
      <c r="AKM933" s="23"/>
      <c r="AKN933" s="23"/>
      <c r="AKO933" s="23"/>
      <c r="AKP933" s="23"/>
      <c r="AKQ933" s="23"/>
      <c r="AKR933" s="23"/>
      <c r="AKS933" s="23"/>
      <c r="AKT933" s="23"/>
      <c r="AKU933" s="23"/>
      <c r="AKV933" s="23"/>
      <c r="AKW933" s="23"/>
      <c r="AKX933" s="23"/>
      <c r="AKY933" s="23"/>
      <c r="AKZ933" s="23"/>
      <c r="ALA933" s="23"/>
      <c r="ALB933" s="23"/>
      <c r="ALC933" s="23"/>
      <c r="ALD933" s="23"/>
      <c r="ALE933" s="23"/>
      <c r="ALF933" s="23"/>
      <c r="ALG933" s="23"/>
      <c r="ALH933" s="23"/>
      <c r="ALI933" s="23"/>
      <c r="ALJ933" s="23"/>
      <c r="ALK933" s="23"/>
      <c r="ALL933" s="23"/>
      <c r="ALM933" s="23"/>
      <c r="ALN933" s="23"/>
      <c r="ALO933" s="23"/>
      <c r="ALP933" s="23"/>
      <c r="ALQ933" s="23"/>
      <c r="ALR933" s="23"/>
      <c r="ALS933" s="23"/>
      <c r="ALT933" s="23"/>
      <c r="ALU933" s="23"/>
      <c r="ALV933" s="23"/>
      <c r="ALW933" s="23"/>
      <c r="ALX933" s="23"/>
      <c r="ALY933" s="23"/>
      <c r="ALZ933" s="23"/>
      <c r="AMA933" s="23"/>
      <c r="AMB933" s="23"/>
      <c r="AMC933" s="23"/>
      <c r="AMD933" s="23"/>
      <c r="AME933" s="23"/>
      <c r="AMF933" s="23"/>
      <c r="AMG933" s="23"/>
      <c r="AMH933" s="23"/>
      <c r="AMI933" s="23"/>
      <c r="AMJ933" s="23"/>
      <c r="AMK933" s="23"/>
      <c r="AML933" s="23"/>
      <c r="AMM933" s="23"/>
      <c r="AMN933" s="23"/>
      <c r="AMO933" s="23"/>
      <c r="AMP933" s="23"/>
      <c r="AMQ933" s="23"/>
      <c r="AMR933" s="23"/>
      <c r="AMS933" s="23"/>
      <c r="AMT933" s="23"/>
      <c r="AMU933" s="23"/>
      <c r="AMV933" s="23"/>
      <c r="AMW933" s="23"/>
      <c r="AMX933" s="23"/>
      <c r="AMY933" s="23"/>
      <c r="AMZ933" s="23"/>
      <c r="ANA933" s="23"/>
      <c r="ANB933" s="23"/>
      <c r="ANC933" s="23"/>
      <c r="AND933" s="23"/>
      <c r="ANE933" s="23"/>
      <c r="ANF933" s="23"/>
      <c r="ANG933" s="23"/>
      <c r="ANH933" s="23"/>
      <c r="ANI933" s="23"/>
      <c r="ANJ933" s="23"/>
      <c r="ANK933" s="23"/>
      <c r="ANL933" s="23"/>
      <c r="ANM933" s="23"/>
      <c r="ANN933" s="23"/>
      <c r="ANO933" s="23"/>
      <c r="ANP933" s="23"/>
      <c r="ANQ933" s="23"/>
      <c r="ANR933" s="23"/>
      <c r="ANS933" s="23"/>
      <c r="ANT933" s="23"/>
      <c r="ANU933" s="23"/>
      <c r="ANV933" s="23"/>
      <c r="ANW933" s="23"/>
      <c r="ANX933" s="23"/>
      <c r="ANY933" s="23"/>
      <c r="ANZ933" s="23"/>
      <c r="AOA933" s="23"/>
      <c r="AOB933" s="23"/>
      <c r="AOC933" s="23"/>
      <c r="AOD933" s="23"/>
      <c r="AOE933" s="23"/>
      <c r="AOF933" s="23"/>
      <c r="AOG933" s="23"/>
      <c r="AOH933" s="23"/>
      <c r="AOI933" s="23"/>
      <c r="AOJ933" s="23"/>
      <c r="AOK933" s="23"/>
      <c r="AOL933" s="23"/>
      <c r="AOM933" s="23"/>
      <c r="AON933" s="23"/>
      <c r="AOO933" s="23"/>
      <c r="AOP933" s="23"/>
      <c r="AOQ933" s="23"/>
      <c r="AOR933" s="23"/>
      <c r="AOS933" s="23"/>
      <c r="AOT933" s="23"/>
      <c r="AOU933" s="23"/>
      <c r="AOV933" s="23"/>
      <c r="AOW933" s="23"/>
      <c r="AOX933" s="23"/>
      <c r="AOY933" s="23"/>
      <c r="AOZ933" s="23"/>
      <c r="APA933" s="23"/>
      <c r="APB933" s="23"/>
      <c r="APC933" s="23"/>
      <c r="APD933" s="23"/>
      <c r="APE933" s="23"/>
      <c r="APF933" s="23"/>
      <c r="APG933" s="23"/>
      <c r="APH933" s="23"/>
      <c r="API933" s="23"/>
      <c r="APJ933" s="23"/>
      <c r="APK933" s="23"/>
      <c r="APL933" s="23"/>
      <c r="APM933" s="23"/>
      <c r="APN933" s="23"/>
      <c r="APO933" s="23"/>
      <c r="APP933" s="23"/>
      <c r="APQ933" s="23"/>
      <c r="APR933" s="23"/>
      <c r="APS933" s="23"/>
      <c r="APT933" s="23"/>
      <c r="APU933" s="23"/>
      <c r="APV933" s="23"/>
      <c r="APW933" s="23"/>
      <c r="APX933" s="23"/>
      <c r="APY933" s="23"/>
      <c r="APZ933" s="23"/>
      <c r="AQA933" s="23"/>
      <c r="AQB933" s="23"/>
      <c r="AQC933" s="23"/>
      <c r="AQD933" s="23"/>
      <c r="AQE933" s="23"/>
      <c r="AQF933" s="23"/>
      <c r="AQG933" s="23"/>
      <c r="AQH933" s="23"/>
      <c r="AQI933" s="23"/>
      <c r="AQJ933" s="23"/>
      <c r="AQK933" s="23"/>
      <c r="AQL933" s="23"/>
      <c r="AQM933" s="23"/>
      <c r="AQN933" s="23"/>
      <c r="AQO933" s="23"/>
      <c r="AQP933" s="23"/>
      <c r="AQQ933" s="23"/>
      <c r="AQR933" s="23"/>
      <c r="AQS933" s="23"/>
      <c r="AQT933" s="23"/>
      <c r="AQU933" s="23"/>
      <c r="AQV933" s="23"/>
      <c r="AQW933" s="23"/>
      <c r="AQX933" s="23"/>
      <c r="AQY933" s="23"/>
      <c r="AQZ933" s="23"/>
      <c r="ARA933" s="23"/>
      <c r="ARB933" s="23"/>
      <c r="ARC933" s="23"/>
      <c r="ARD933" s="23"/>
      <c r="ARE933" s="23"/>
      <c r="ARF933" s="23"/>
      <c r="ARG933" s="23"/>
      <c r="ARH933" s="23"/>
      <c r="ARI933" s="23"/>
      <c r="ARJ933" s="23"/>
      <c r="ARK933" s="23"/>
      <c r="ARL933" s="23"/>
      <c r="ARM933" s="23"/>
      <c r="ARN933" s="23"/>
      <c r="ARO933" s="23"/>
      <c r="ARP933" s="23"/>
      <c r="ARQ933" s="23"/>
      <c r="ARR933" s="23"/>
      <c r="ARS933" s="23"/>
      <c r="ART933" s="23"/>
      <c r="ARU933" s="23"/>
      <c r="ARV933" s="23"/>
      <c r="ARW933" s="23"/>
      <c r="ARX933" s="23"/>
      <c r="ARY933" s="23"/>
      <c r="ARZ933" s="23"/>
      <c r="ASA933" s="23"/>
      <c r="ASB933" s="23"/>
      <c r="ASC933" s="23"/>
      <c r="ASD933" s="23"/>
      <c r="ASE933" s="23"/>
      <c r="ASF933" s="23"/>
      <c r="ASG933" s="23"/>
      <c r="ASH933" s="23"/>
      <c r="ASI933" s="23"/>
      <c r="ASJ933" s="23"/>
      <c r="ASK933" s="23"/>
      <c r="ASL933" s="23"/>
      <c r="ASM933" s="23"/>
      <c r="ASN933" s="23"/>
      <c r="ASO933" s="23"/>
      <c r="ASP933" s="23"/>
      <c r="ASQ933" s="23"/>
      <c r="ASR933" s="23"/>
      <c r="ASS933" s="23"/>
      <c r="AST933" s="23"/>
      <c r="ASU933" s="23"/>
      <c r="ASV933" s="23"/>
      <c r="ASW933" s="23"/>
      <c r="ASX933" s="23"/>
      <c r="ASY933" s="23"/>
      <c r="ASZ933" s="23"/>
      <c r="ATA933" s="23"/>
      <c r="ATB933" s="23"/>
      <c r="ATC933" s="23"/>
      <c r="ATD933" s="23"/>
      <c r="ATE933" s="23"/>
      <c r="ATF933" s="23"/>
      <c r="ATG933" s="23"/>
      <c r="ATH933" s="23"/>
      <c r="ATI933" s="23"/>
      <c r="ATJ933" s="23"/>
      <c r="ATK933" s="23"/>
      <c r="ATL933" s="23"/>
      <c r="ATM933" s="23"/>
      <c r="ATN933" s="23"/>
      <c r="ATO933" s="23"/>
      <c r="ATP933" s="23"/>
      <c r="ATQ933" s="23"/>
      <c r="ATR933" s="23"/>
      <c r="ATS933" s="23"/>
      <c r="ATT933" s="23"/>
      <c r="ATU933" s="23"/>
      <c r="ATV933" s="23"/>
      <c r="ATW933" s="23"/>
      <c r="ATX933" s="23"/>
      <c r="ATY933" s="23"/>
      <c r="ATZ933" s="23"/>
      <c r="AUA933" s="23"/>
      <c r="AUB933" s="23"/>
      <c r="AUC933" s="23"/>
      <c r="AUD933" s="23"/>
      <c r="AUE933" s="23"/>
      <c r="AUF933" s="23"/>
      <c r="AUG933" s="23"/>
      <c r="AUH933" s="23"/>
      <c r="AUI933" s="23"/>
      <c r="AUJ933" s="23"/>
      <c r="AUK933" s="23"/>
      <c r="AUL933" s="23"/>
      <c r="AUM933" s="23"/>
      <c r="AUN933" s="23"/>
      <c r="AUO933" s="23"/>
      <c r="AUP933" s="23"/>
      <c r="AUQ933" s="23"/>
      <c r="AUR933" s="23"/>
      <c r="AUS933" s="23"/>
      <c r="AUT933" s="23"/>
      <c r="AUU933" s="23"/>
      <c r="AUV933" s="23"/>
      <c r="AUW933" s="23"/>
      <c r="AUX933" s="23"/>
      <c r="AUY933" s="23"/>
      <c r="AUZ933" s="23"/>
      <c r="AVA933" s="23"/>
      <c r="AVB933" s="23"/>
      <c r="AVC933" s="23"/>
      <c r="AVD933" s="23"/>
      <c r="AVE933" s="23"/>
      <c r="AVF933" s="23"/>
      <c r="AVG933" s="23"/>
      <c r="AVH933" s="23"/>
      <c r="AVI933" s="23"/>
      <c r="AVJ933" s="23"/>
      <c r="AVK933" s="23"/>
      <c r="AVL933" s="23"/>
      <c r="AVM933" s="23"/>
      <c r="AVN933" s="23"/>
      <c r="AVO933" s="23"/>
      <c r="AVP933" s="23"/>
      <c r="AVQ933" s="23"/>
      <c r="AVR933" s="23"/>
      <c r="AVS933" s="23"/>
      <c r="AVT933" s="23"/>
      <c r="AVU933" s="23"/>
      <c r="AVV933" s="23"/>
      <c r="AVW933" s="23"/>
      <c r="AVX933" s="23"/>
      <c r="AVY933" s="23"/>
      <c r="AVZ933" s="23"/>
      <c r="AWA933" s="23"/>
      <c r="AWB933" s="23"/>
      <c r="AWC933" s="23"/>
      <c r="AWD933" s="23"/>
      <c r="AWE933" s="23"/>
      <c r="AWF933" s="23"/>
      <c r="AWG933" s="23"/>
      <c r="AWH933" s="23"/>
      <c r="AWI933" s="23"/>
      <c r="AWJ933" s="23"/>
      <c r="AWK933" s="23"/>
      <c r="AWL933" s="23"/>
      <c r="AWM933" s="23"/>
      <c r="AWN933" s="23"/>
      <c r="AWO933" s="23"/>
      <c r="AWP933" s="23"/>
      <c r="AWQ933" s="23"/>
      <c r="AWR933" s="23"/>
      <c r="AWS933" s="23"/>
      <c r="AWT933" s="23"/>
      <c r="AWU933" s="23"/>
      <c r="AWV933" s="23"/>
      <c r="AWW933" s="23"/>
      <c r="AWX933" s="23"/>
      <c r="AWY933" s="23"/>
      <c r="AWZ933" s="23"/>
      <c r="AXA933" s="23"/>
      <c r="AXB933" s="23"/>
      <c r="AXC933" s="23"/>
      <c r="AXD933" s="23"/>
      <c r="AXE933" s="23"/>
      <c r="AXF933" s="23"/>
      <c r="AXG933" s="23"/>
      <c r="AXH933" s="23"/>
      <c r="AXI933" s="23"/>
      <c r="AXJ933" s="23"/>
      <c r="AXK933" s="23"/>
      <c r="AXL933" s="23"/>
      <c r="AXM933" s="23"/>
      <c r="AXN933" s="23"/>
      <c r="AXO933" s="23"/>
      <c r="AXP933" s="23"/>
      <c r="AXQ933" s="23"/>
      <c r="AXR933" s="23"/>
      <c r="AXS933" s="23"/>
      <c r="AXT933" s="23"/>
      <c r="AXU933" s="23"/>
      <c r="AXV933" s="23"/>
      <c r="AXW933" s="23"/>
      <c r="AXX933" s="23"/>
      <c r="AXY933" s="23"/>
      <c r="AXZ933" s="23"/>
      <c r="AYA933" s="23"/>
      <c r="AYB933" s="23"/>
      <c r="AYC933" s="23"/>
      <c r="AYD933" s="23"/>
      <c r="AYE933" s="23"/>
      <c r="AYF933" s="23"/>
      <c r="AYG933" s="23"/>
      <c r="AYH933" s="23"/>
      <c r="AYI933" s="23"/>
      <c r="AYJ933" s="23"/>
      <c r="AYK933" s="23"/>
      <c r="AYL933" s="23"/>
      <c r="AYM933" s="23"/>
      <c r="AYN933" s="23"/>
      <c r="AYO933" s="23"/>
      <c r="AYP933" s="23"/>
      <c r="AYQ933" s="23"/>
      <c r="AYR933" s="23"/>
      <c r="AYS933" s="23"/>
      <c r="AYT933" s="23"/>
      <c r="AYU933" s="23"/>
      <c r="AYV933" s="23"/>
      <c r="AYW933" s="23"/>
      <c r="AYX933" s="23"/>
      <c r="AYY933" s="23"/>
      <c r="AYZ933" s="23"/>
      <c r="AZA933" s="23"/>
      <c r="AZB933" s="23"/>
      <c r="AZC933" s="23"/>
      <c r="AZD933" s="23"/>
      <c r="AZE933" s="23"/>
      <c r="AZF933" s="23"/>
      <c r="AZG933" s="23"/>
      <c r="AZH933" s="23"/>
      <c r="AZI933" s="23"/>
      <c r="AZJ933" s="23"/>
      <c r="AZK933" s="23"/>
      <c r="AZL933" s="23"/>
      <c r="AZM933" s="23"/>
      <c r="AZN933" s="23"/>
      <c r="AZO933" s="23"/>
      <c r="AZP933" s="23"/>
      <c r="AZQ933" s="23"/>
      <c r="AZR933" s="23"/>
      <c r="AZS933" s="23"/>
      <c r="AZT933" s="23"/>
      <c r="AZU933" s="23"/>
      <c r="AZV933" s="23"/>
      <c r="AZW933" s="23"/>
      <c r="AZX933" s="23"/>
      <c r="AZY933" s="23"/>
      <c r="AZZ933" s="23"/>
      <c r="BAA933" s="23"/>
      <c r="BAB933" s="23"/>
      <c r="BAC933" s="23"/>
      <c r="BAD933" s="23"/>
      <c r="BAE933" s="23"/>
      <c r="BAF933" s="23"/>
      <c r="BAG933" s="23"/>
      <c r="BAH933" s="23"/>
      <c r="BAI933" s="23"/>
      <c r="BAJ933" s="23"/>
      <c r="BAK933" s="23"/>
      <c r="BAL933" s="23"/>
      <c r="BAM933" s="23"/>
      <c r="BAN933" s="23"/>
      <c r="BAO933" s="23"/>
      <c r="BAP933" s="23"/>
      <c r="BAQ933" s="23"/>
      <c r="BAR933" s="23"/>
      <c r="BAS933" s="23"/>
      <c r="BAT933" s="23"/>
      <c r="BAU933" s="23"/>
      <c r="BAV933" s="23"/>
      <c r="BAW933" s="23"/>
      <c r="BAX933" s="23"/>
      <c r="BAY933" s="23"/>
      <c r="BAZ933" s="23"/>
      <c r="BBA933" s="23"/>
      <c r="BBB933" s="23"/>
      <c r="BBC933" s="23"/>
      <c r="BBD933" s="23"/>
      <c r="BBE933" s="23"/>
      <c r="BBF933" s="23"/>
      <c r="BBG933" s="23"/>
      <c r="BBH933" s="23"/>
      <c r="BBI933" s="23"/>
      <c r="BBJ933" s="23"/>
      <c r="BBK933" s="23"/>
      <c r="BBL933" s="23"/>
      <c r="BBM933" s="23"/>
      <c r="BBN933" s="23"/>
      <c r="BBO933" s="23"/>
      <c r="BBP933" s="23"/>
      <c r="BBQ933" s="23"/>
      <c r="BBR933" s="23"/>
      <c r="BBS933" s="23"/>
      <c r="BBT933" s="23"/>
      <c r="BBU933" s="23"/>
      <c r="BBV933" s="23"/>
      <c r="BBW933" s="23"/>
      <c r="BBX933" s="23"/>
      <c r="BBY933" s="23"/>
      <c r="BBZ933" s="23"/>
      <c r="BCA933" s="23"/>
      <c r="BCB933" s="23"/>
      <c r="BCC933" s="23"/>
      <c r="BCD933" s="23"/>
      <c r="BCE933" s="23"/>
      <c r="BCF933" s="23"/>
      <c r="BCG933" s="23"/>
      <c r="BCH933" s="23"/>
      <c r="BCI933" s="23"/>
      <c r="BCJ933" s="23"/>
      <c r="BCK933" s="23"/>
      <c r="BCL933" s="23"/>
      <c r="BCM933" s="23"/>
      <c r="BCN933" s="23"/>
      <c r="BCO933" s="23"/>
      <c r="BCP933" s="23"/>
      <c r="BCQ933" s="23"/>
      <c r="BCR933" s="23"/>
      <c r="BCS933" s="23"/>
      <c r="BCT933" s="23"/>
      <c r="BCU933" s="23"/>
      <c r="BCV933" s="23"/>
      <c r="BCW933" s="23"/>
      <c r="BCX933" s="23"/>
      <c r="BCY933" s="23"/>
      <c r="BCZ933" s="23"/>
      <c r="BDA933" s="23"/>
      <c r="BDB933" s="23"/>
      <c r="BDC933" s="23"/>
      <c r="BDD933" s="23"/>
      <c r="BDE933" s="23"/>
      <c r="BDF933" s="23"/>
      <c r="BDG933" s="23"/>
      <c r="BDH933" s="23"/>
      <c r="BDI933" s="23"/>
      <c r="BDJ933" s="23"/>
      <c r="BDK933" s="23"/>
      <c r="BDL933" s="23"/>
      <c r="BDM933" s="23"/>
      <c r="BDN933" s="23"/>
      <c r="BDO933" s="23"/>
      <c r="BDP933" s="23"/>
      <c r="BDQ933" s="23"/>
      <c r="BDR933" s="23"/>
      <c r="BDS933" s="23"/>
      <c r="BDT933" s="23"/>
      <c r="BDU933" s="23"/>
      <c r="BDV933" s="23"/>
      <c r="BDW933" s="23"/>
      <c r="BDX933" s="23"/>
      <c r="BDY933" s="23"/>
      <c r="BDZ933" s="23"/>
      <c r="BEA933" s="23"/>
      <c r="BEB933" s="23"/>
      <c r="BEC933" s="23"/>
      <c r="BED933" s="23"/>
      <c r="BEE933" s="23"/>
      <c r="BEF933" s="23"/>
      <c r="BEG933" s="23"/>
      <c r="BEH933" s="23"/>
      <c r="BEI933" s="23"/>
      <c r="BEJ933" s="23"/>
      <c r="BEK933" s="23"/>
      <c r="BEL933" s="23"/>
      <c r="BEM933" s="23"/>
      <c r="BEN933" s="23"/>
      <c r="BEO933" s="23"/>
      <c r="BEP933" s="23"/>
      <c r="BEQ933" s="23"/>
      <c r="BER933" s="23"/>
      <c r="BES933" s="23"/>
      <c r="BET933" s="23"/>
      <c r="BEU933" s="23"/>
      <c r="BEV933" s="23"/>
      <c r="BEW933" s="23"/>
      <c r="BEX933" s="23"/>
      <c r="BEY933" s="23"/>
      <c r="BEZ933" s="23"/>
      <c r="BFA933" s="23"/>
      <c r="BFB933" s="23"/>
      <c r="BFC933" s="23"/>
      <c r="BFD933" s="23"/>
      <c r="BFE933" s="23"/>
      <c r="BFF933" s="23"/>
      <c r="BFG933" s="23"/>
      <c r="BFH933" s="23"/>
      <c r="BFI933" s="23"/>
      <c r="BFJ933" s="23"/>
      <c r="BFK933" s="23"/>
      <c r="BFL933" s="23"/>
      <c r="BFM933" s="23"/>
      <c r="BFN933" s="23"/>
      <c r="BFO933" s="23"/>
      <c r="BFP933" s="23"/>
      <c r="BFQ933" s="23"/>
      <c r="BFR933" s="23"/>
      <c r="BFS933" s="23"/>
      <c r="BFT933" s="23"/>
      <c r="BFU933" s="23"/>
      <c r="BFV933" s="23"/>
      <c r="BFW933" s="23"/>
      <c r="BFX933" s="23"/>
      <c r="BFY933" s="23"/>
      <c r="BFZ933" s="23"/>
      <c r="BGA933" s="23"/>
      <c r="BGB933" s="23"/>
      <c r="BGC933" s="23"/>
      <c r="BGD933" s="23"/>
      <c r="BGE933" s="23"/>
      <c r="BGF933" s="23"/>
      <c r="BGG933" s="23"/>
      <c r="BGH933" s="23"/>
      <c r="BGI933" s="23"/>
      <c r="BGJ933" s="23"/>
      <c r="BGK933" s="23"/>
      <c r="BGL933" s="23"/>
      <c r="BGM933" s="23"/>
      <c r="BGN933" s="23"/>
      <c r="BGO933" s="23"/>
      <c r="BGP933" s="23"/>
      <c r="BGQ933" s="23"/>
      <c r="BGR933" s="23"/>
      <c r="BGS933" s="23"/>
      <c r="BGT933" s="23"/>
      <c r="BGU933" s="23"/>
      <c r="BGV933" s="23"/>
      <c r="BGW933" s="23"/>
      <c r="BGX933" s="23"/>
      <c r="BGY933" s="23"/>
      <c r="BGZ933" s="23"/>
      <c r="BHA933" s="23"/>
      <c r="BHB933" s="23"/>
      <c r="BHC933" s="23"/>
      <c r="BHD933" s="23"/>
      <c r="BHE933" s="23"/>
      <c r="BHF933" s="23"/>
      <c r="BHG933" s="23"/>
      <c r="BHH933" s="23"/>
      <c r="BHI933" s="23"/>
      <c r="BHJ933" s="23"/>
      <c r="BHK933" s="23"/>
      <c r="BHL933" s="23"/>
      <c r="BHM933" s="23"/>
      <c r="BHN933" s="23"/>
      <c r="BHO933" s="23"/>
      <c r="BHP933" s="23"/>
      <c r="BHQ933" s="23"/>
      <c r="BHR933" s="23"/>
      <c r="BHS933" s="23"/>
      <c r="BHT933" s="23"/>
      <c r="BHU933" s="23"/>
      <c r="BHV933" s="23"/>
      <c r="BHW933" s="23"/>
      <c r="BHX933" s="23"/>
      <c r="BHY933" s="23"/>
      <c r="BHZ933" s="23"/>
      <c r="BIA933" s="23"/>
      <c r="BIB933" s="23"/>
      <c r="BIC933" s="23"/>
      <c r="BID933" s="23"/>
      <c r="BIE933" s="23"/>
      <c r="BIF933" s="23"/>
      <c r="BIG933" s="23"/>
      <c r="BIH933" s="23"/>
      <c r="BII933" s="23"/>
      <c r="BIJ933" s="23"/>
      <c r="BIK933" s="23"/>
      <c r="BIL933" s="23"/>
      <c r="BIM933" s="23"/>
      <c r="BIN933" s="23"/>
      <c r="BIO933" s="23"/>
      <c r="BIP933" s="23"/>
      <c r="BIQ933" s="23"/>
      <c r="BIR933" s="23"/>
      <c r="BIS933" s="23"/>
      <c r="BIT933" s="23"/>
      <c r="BIU933" s="23"/>
      <c r="BIV933" s="23"/>
      <c r="BIW933" s="23"/>
      <c r="BIX933" s="23"/>
      <c r="BIY933" s="23"/>
      <c r="BIZ933" s="23"/>
      <c r="BJA933" s="23"/>
      <c r="BJB933" s="23"/>
      <c r="BJC933" s="23"/>
      <c r="BJD933" s="23"/>
      <c r="BJE933" s="23"/>
      <c r="BJF933" s="23"/>
      <c r="BJG933" s="23"/>
      <c r="BJH933" s="23"/>
      <c r="BJI933" s="23"/>
      <c r="BJJ933" s="23"/>
      <c r="BJK933" s="23"/>
      <c r="BJL933" s="23"/>
      <c r="BJM933" s="23"/>
      <c r="BJN933" s="23"/>
      <c r="BJO933" s="23"/>
      <c r="BJP933" s="23"/>
      <c r="BJQ933" s="23"/>
      <c r="BJR933" s="23"/>
      <c r="BJS933" s="23"/>
      <c r="BJT933" s="23"/>
      <c r="BJU933" s="23"/>
      <c r="BJV933" s="23"/>
      <c r="BJW933" s="23"/>
      <c r="BJX933" s="23"/>
      <c r="BJY933" s="23"/>
      <c r="BJZ933" s="23"/>
      <c r="BKA933" s="23"/>
      <c r="BKB933" s="23"/>
      <c r="BKC933" s="23"/>
      <c r="BKD933" s="23"/>
      <c r="BKE933" s="23"/>
      <c r="BKF933" s="23"/>
      <c r="BKG933" s="23"/>
      <c r="BKH933" s="23"/>
      <c r="BKI933" s="23"/>
      <c r="BKJ933" s="23"/>
      <c r="BKK933" s="23"/>
      <c r="BKL933" s="23"/>
      <c r="BKM933" s="23"/>
      <c r="BKN933" s="23"/>
      <c r="BKO933" s="23"/>
      <c r="BKP933" s="23"/>
      <c r="BKQ933" s="23"/>
      <c r="BKR933" s="23"/>
      <c r="BKS933" s="23"/>
      <c r="BKT933" s="23"/>
      <c r="BKU933" s="23"/>
      <c r="BKV933" s="23"/>
      <c r="BKW933" s="23"/>
      <c r="BKX933" s="23"/>
      <c r="BKY933" s="23"/>
      <c r="BKZ933" s="23"/>
      <c r="BLA933" s="23"/>
      <c r="BLB933" s="23"/>
      <c r="BLC933" s="23"/>
      <c r="BLD933" s="23"/>
      <c r="BLE933" s="23"/>
      <c r="BLF933" s="23"/>
      <c r="BLG933" s="23"/>
      <c r="BLH933" s="23"/>
      <c r="BLI933" s="23"/>
      <c r="BLJ933" s="23"/>
      <c r="BLK933" s="23"/>
      <c r="BLL933" s="23"/>
      <c r="BLM933" s="23"/>
      <c r="BLN933" s="23"/>
      <c r="BLO933" s="23"/>
      <c r="BLP933" s="23"/>
      <c r="BLQ933" s="23"/>
      <c r="BLR933" s="23"/>
      <c r="BLS933" s="23"/>
      <c r="BLT933" s="23"/>
      <c r="BLU933" s="23"/>
      <c r="BLV933" s="23"/>
      <c r="BLW933" s="23"/>
      <c r="BLX933" s="23"/>
      <c r="BLY933" s="23"/>
      <c r="BLZ933" s="23"/>
      <c r="BMA933" s="23"/>
      <c r="BMB933" s="23"/>
      <c r="BMC933" s="23"/>
      <c r="BMD933" s="23"/>
      <c r="BME933" s="23"/>
      <c r="BMF933" s="23"/>
      <c r="BMG933" s="23"/>
      <c r="BMH933" s="23"/>
      <c r="BMI933" s="23"/>
      <c r="BMJ933" s="23"/>
      <c r="BMK933" s="23"/>
      <c r="BML933" s="23"/>
      <c r="BMM933" s="23"/>
      <c r="BMN933" s="23"/>
      <c r="BMO933" s="23"/>
      <c r="BMP933" s="23"/>
      <c r="BMQ933" s="23"/>
      <c r="BMR933" s="23"/>
      <c r="BMS933" s="23"/>
      <c r="BMT933" s="23"/>
      <c r="BMU933" s="23"/>
      <c r="BMV933" s="23"/>
      <c r="BMW933" s="23"/>
      <c r="BMX933" s="23"/>
      <c r="BMY933" s="23"/>
      <c r="BMZ933" s="23"/>
      <c r="BNA933" s="23"/>
      <c r="BNB933" s="23"/>
      <c r="BNC933" s="23"/>
      <c r="BND933" s="23"/>
      <c r="BNE933" s="23"/>
      <c r="BNF933" s="23"/>
      <c r="BNG933" s="23"/>
      <c r="BNH933" s="23"/>
      <c r="BNI933" s="23"/>
      <c r="BNJ933" s="23"/>
      <c r="BNK933" s="23"/>
      <c r="BNL933" s="23"/>
      <c r="BNM933" s="23"/>
      <c r="BNN933" s="23"/>
      <c r="BNO933" s="23"/>
      <c r="BNP933" s="23"/>
      <c r="BNQ933" s="23"/>
      <c r="BNR933" s="23"/>
      <c r="BNS933" s="23"/>
      <c r="BNT933" s="23"/>
      <c r="BNU933" s="23"/>
      <c r="BNV933" s="23"/>
      <c r="BNW933" s="23"/>
      <c r="BNX933" s="23"/>
      <c r="BNY933" s="23"/>
      <c r="BNZ933" s="23"/>
      <c r="BOA933" s="23"/>
      <c r="BOB933" s="23"/>
      <c r="BOC933" s="23"/>
      <c r="BOD933" s="23"/>
      <c r="BOE933" s="23"/>
      <c r="BOF933" s="23"/>
      <c r="BOG933" s="23"/>
      <c r="BOH933" s="23"/>
      <c r="BOI933" s="23"/>
      <c r="BOJ933" s="23"/>
      <c r="BOK933" s="23"/>
      <c r="BOL933" s="23"/>
      <c r="BOM933" s="23"/>
      <c r="BON933" s="23"/>
      <c r="BOO933" s="23"/>
      <c r="BOP933" s="23"/>
      <c r="BOQ933" s="23"/>
      <c r="BOR933" s="23"/>
      <c r="BOS933" s="23"/>
      <c r="BOT933" s="23"/>
      <c r="BOU933" s="23"/>
      <c r="BOV933" s="23"/>
      <c r="BOW933" s="23"/>
      <c r="BOX933" s="23"/>
      <c r="BOY933" s="23"/>
      <c r="BOZ933" s="23"/>
      <c r="BPA933" s="23"/>
      <c r="BPB933" s="23"/>
      <c r="BPC933" s="23"/>
      <c r="BPD933" s="23"/>
      <c r="BPE933" s="23"/>
      <c r="BPF933" s="23"/>
      <c r="BPG933" s="23"/>
      <c r="BPH933" s="23"/>
      <c r="BPI933" s="23"/>
      <c r="BPJ933" s="23"/>
      <c r="BPK933" s="23"/>
      <c r="BPL933" s="23"/>
      <c r="BPM933" s="23"/>
      <c r="BPN933" s="23"/>
      <c r="BPO933" s="23"/>
      <c r="BPP933" s="23"/>
      <c r="BPQ933" s="23"/>
      <c r="BPR933" s="23"/>
      <c r="BPS933" s="23"/>
      <c r="BPT933" s="23"/>
      <c r="BPU933" s="23"/>
      <c r="BPV933" s="23"/>
      <c r="BPW933" s="23"/>
      <c r="BPX933" s="23"/>
      <c r="BPY933" s="23"/>
      <c r="BPZ933" s="23"/>
      <c r="BQA933" s="23"/>
      <c r="BQB933" s="23"/>
      <c r="BQC933" s="23"/>
      <c r="BQD933" s="23"/>
      <c r="BQE933" s="23"/>
      <c r="BQF933" s="23"/>
      <c r="BQG933" s="23"/>
      <c r="BQH933" s="23"/>
      <c r="BQI933" s="23"/>
      <c r="BQJ933" s="23"/>
      <c r="BQK933" s="23"/>
      <c r="BQL933" s="23"/>
      <c r="BQM933" s="23"/>
      <c r="BQN933" s="23"/>
      <c r="BQO933" s="23"/>
      <c r="BQP933" s="23"/>
      <c r="BQQ933" s="23"/>
      <c r="BQR933" s="23"/>
      <c r="BQS933" s="23"/>
      <c r="BQT933" s="23"/>
      <c r="BQU933" s="23"/>
      <c r="BQV933" s="23"/>
      <c r="BQW933" s="23"/>
      <c r="BQX933" s="23"/>
      <c r="BQY933" s="23"/>
      <c r="BQZ933" s="23"/>
      <c r="BRA933" s="23"/>
      <c r="BRB933" s="23"/>
      <c r="BRC933" s="23"/>
      <c r="BRD933" s="23"/>
      <c r="BRE933" s="23"/>
      <c r="BRF933" s="23"/>
      <c r="BRG933" s="23"/>
      <c r="BRH933" s="23"/>
      <c r="BRI933" s="23"/>
      <c r="BRJ933" s="23"/>
      <c r="BRK933" s="23"/>
      <c r="BRL933" s="23"/>
      <c r="BRM933" s="23"/>
      <c r="BRN933" s="23"/>
      <c r="BRO933" s="23"/>
      <c r="BRP933" s="23"/>
      <c r="BRQ933" s="23"/>
      <c r="BRR933" s="23"/>
      <c r="BRS933" s="23"/>
      <c r="BRT933" s="23"/>
      <c r="BRU933" s="23"/>
      <c r="BRV933" s="23"/>
      <c r="BRW933" s="23"/>
      <c r="BRX933" s="23"/>
      <c r="BRY933" s="23"/>
      <c r="BRZ933" s="23"/>
      <c r="BSA933" s="23"/>
      <c r="BSB933" s="23"/>
      <c r="BSC933" s="23"/>
      <c r="BSD933" s="23"/>
      <c r="BSE933" s="23"/>
      <c r="BSF933" s="23"/>
      <c r="BSG933" s="23"/>
      <c r="BSH933" s="23"/>
      <c r="BSI933" s="23"/>
      <c r="BSJ933" s="23"/>
      <c r="BSK933" s="23"/>
      <c r="BSL933" s="23"/>
      <c r="BSM933" s="23"/>
      <c r="BSN933" s="23"/>
      <c r="BSO933" s="23"/>
      <c r="BSP933" s="23"/>
      <c r="BSQ933" s="23"/>
      <c r="BSR933" s="23"/>
      <c r="BSS933" s="23"/>
      <c r="BST933" s="23"/>
      <c r="BSU933" s="23"/>
      <c r="BSV933" s="23"/>
      <c r="BSW933" s="23"/>
      <c r="BSX933" s="23"/>
      <c r="BSY933" s="23"/>
      <c r="BSZ933" s="23"/>
      <c r="BTA933" s="23"/>
    </row>
    <row r="934" spans="1:1873" s="23" customFormat="1" x14ac:dyDescent="0.2">
      <c r="A934" s="273" t="s">
        <v>754</v>
      </c>
      <c r="B934" s="273" t="s">
        <v>820</v>
      </c>
      <c r="C934" s="273" t="s">
        <v>1115</v>
      </c>
      <c r="D934" s="273" t="s">
        <v>619</v>
      </c>
      <c r="E934" s="273" t="s">
        <v>821</v>
      </c>
      <c r="F934" s="462">
        <v>4</v>
      </c>
      <c r="G934" s="273">
        <v>1</v>
      </c>
      <c r="H934" s="468">
        <v>4</v>
      </c>
      <c r="I934" s="273" t="s">
        <v>621</v>
      </c>
      <c r="J934" s="273">
        <v>1986</v>
      </c>
      <c r="K934" s="463" t="s">
        <v>1211</v>
      </c>
      <c r="L934" s="273">
        <v>1989</v>
      </c>
      <c r="M934" s="471">
        <v>5</v>
      </c>
      <c r="N934" s="471">
        <v>-9999</v>
      </c>
      <c r="O934" s="1"/>
      <c r="P934" s="414">
        <f>+P933+W934</f>
        <v>24.7</v>
      </c>
      <c r="Q934" s="273">
        <v>-9999</v>
      </c>
      <c r="R934" s="471"/>
      <c r="S934" s="273"/>
      <c r="T934" s="471">
        <f>+P934/F934</f>
        <v>6.1749999999999998</v>
      </c>
      <c r="U934" s="273">
        <v>-9999</v>
      </c>
      <c r="V934" s="273"/>
      <c r="W934" s="471">
        <v>5</v>
      </c>
      <c r="X934" s="468">
        <v>-9999</v>
      </c>
      <c r="Y934" s="468"/>
      <c r="Z934" s="273" t="s">
        <v>622</v>
      </c>
      <c r="AA934" s="385">
        <v>111111</v>
      </c>
      <c r="AB934" s="471">
        <v>0.96</v>
      </c>
      <c r="AC934" s="273">
        <v>-9999</v>
      </c>
      <c r="AD934" s="385">
        <v>175</v>
      </c>
      <c r="AE934" s="461" t="s">
        <v>1971</v>
      </c>
      <c r="AF934" s="273">
        <v>3</v>
      </c>
      <c r="AG934" s="273" t="s">
        <v>823</v>
      </c>
      <c r="AH934" s="273" t="s">
        <v>623</v>
      </c>
      <c r="AI934" s="273" t="s">
        <v>824</v>
      </c>
      <c r="AJ934" s="273" t="s">
        <v>825</v>
      </c>
      <c r="AK934" s="273" t="s">
        <v>625</v>
      </c>
      <c r="AL934" s="273" t="s">
        <v>653</v>
      </c>
      <c r="AM934" s="273">
        <v>-9999</v>
      </c>
      <c r="AN934" s="273" t="s">
        <v>626</v>
      </c>
      <c r="AO934" s="273" t="s">
        <v>826</v>
      </c>
      <c r="AP934" s="273" t="s">
        <v>827</v>
      </c>
      <c r="AQ934" s="273" t="s">
        <v>626</v>
      </c>
      <c r="AR934" s="273">
        <f>+AR933+0</f>
        <v>200</v>
      </c>
      <c r="AS934" s="273">
        <v>-9999</v>
      </c>
      <c r="AT934" s="273">
        <v>-9999</v>
      </c>
      <c r="AU934" s="273">
        <f>+AU933+0</f>
        <v>43</v>
      </c>
      <c r="AV934" s="273">
        <v>-9999</v>
      </c>
      <c r="AW934" s="273">
        <v>-9999</v>
      </c>
      <c r="AX934" s="273">
        <f>+AX933+0</f>
        <v>83</v>
      </c>
      <c r="AY934" s="273">
        <v>-9999</v>
      </c>
      <c r="AZ934" s="273">
        <v>-9999</v>
      </c>
      <c r="BA934" s="273" t="s">
        <v>725</v>
      </c>
      <c r="BB934" s="273" t="s">
        <v>626</v>
      </c>
      <c r="BC934" s="273" t="s">
        <v>829</v>
      </c>
      <c r="BD934" s="273" t="s">
        <v>830</v>
      </c>
      <c r="BE934" s="273"/>
      <c r="BF934" s="273">
        <v>-9999</v>
      </c>
      <c r="BG934" s="273">
        <v>-9999</v>
      </c>
      <c r="BH934" s="273">
        <v>-9999</v>
      </c>
      <c r="BI934" s="273" t="s">
        <v>1119</v>
      </c>
      <c r="BJ934" s="273">
        <v>-9999</v>
      </c>
      <c r="BK934" s="273">
        <v>-9999</v>
      </c>
      <c r="BL934" s="273">
        <v>-9999</v>
      </c>
      <c r="BM934" s="273">
        <v>-9999</v>
      </c>
      <c r="BN934" s="273">
        <v>-9999</v>
      </c>
      <c r="BO934" s="273">
        <v>-9999</v>
      </c>
      <c r="BP934" s="273">
        <v>-9999</v>
      </c>
      <c r="BQ934" s="273">
        <v>-9999</v>
      </c>
      <c r="BR934" s="468">
        <v>-9999</v>
      </c>
      <c r="BS934" s="468">
        <v>-9999</v>
      </c>
      <c r="BT934" s="273">
        <v>-9999</v>
      </c>
      <c r="BU934" s="468">
        <v>-9999</v>
      </c>
      <c r="BV934" s="468">
        <v>-9999</v>
      </c>
      <c r="BW934" s="468"/>
      <c r="BX934" s="273">
        <v>-9999</v>
      </c>
      <c r="BY934" s="273">
        <v>-9999</v>
      </c>
      <c r="BZ934" s="273">
        <v>-9999</v>
      </c>
      <c r="CA934" s="472">
        <v>-9999</v>
      </c>
      <c r="CB934" s="568" t="s">
        <v>1118</v>
      </c>
      <c r="CC934" s="462">
        <v>4</v>
      </c>
      <c r="CD934" s="273">
        <v>1</v>
      </c>
      <c r="CE934" s="292">
        <v>6.1749999999999998</v>
      </c>
      <c r="CF934" s="292">
        <v>5</v>
      </c>
      <c r="CG934" s="93">
        <v>4</v>
      </c>
    </row>
    <row r="935" spans="1:1873" s="23" customFormat="1" x14ac:dyDescent="0.2">
      <c r="A935" s="273" t="s">
        <v>754</v>
      </c>
      <c r="B935" s="273" t="s">
        <v>820</v>
      </c>
      <c r="C935" s="273" t="s">
        <v>1115</v>
      </c>
      <c r="D935" s="273" t="s">
        <v>619</v>
      </c>
      <c r="E935" s="273" t="s">
        <v>821</v>
      </c>
      <c r="F935" s="462">
        <v>5</v>
      </c>
      <c r="G935" s="273">
        <v>1</v>
      </c>
      <c r="H935" s="468">
        <v>5</v>
      </c>
      <c r="I935" s="273" t="s">
        <v>621</v>
      </c>
      <c r="J935" s="273">
        <v>1986</v>
      </c>
      <c r="K935" s="463" t="s">
        <v>1211</v>
      </c>
      <c r="L935" s="273">
        <v>1990</v>
      </c>
      <c r="M935" s="471">
        <v>7.3</v>
      </c>
      <c r="N935" s="471">
        <v>-9999</v>
      </c>
      <c r="O935" s="1"/>
      <c r="P935" s="414">
        <f>+P934+W935</f>
        <v>32</v>
      </c>
      <c r="Q935" s="273">
        <v>-9999</v>
      </c>
      <c r="R935" s="471"/>
      <c r="S935" s="273"/>
      <c r="T935" s="471">
        <f>+P935/F935</f>
        <v>6.4</v>
      </c>
      <c r="U935" s="273">
        <v>-9999</v>
      </c>
      <c r="V935" s="273"/>
      <c r="W935" s="471">
        <v>7.3</v>
      </c>
      <c r="X935" s="468">
        <v>-9999</v>
      </c>
      <c r="Y935" s="468"/>
      <c r="Z935" s="273" t="s">
        <v>622</v>
      </c>
      <c r="AA935" s="385">
        <v>111111</v>
      </c>
      <c r="AB935" s="471">
        <v>0.96</v>
      </c>
      <c r="AC935" s="273">
        <v>-9999</v>
      </c>
      <c r="AD935" s="385">
        <v>175</v>
      </c>
      <c r="AE935" s="461" t="s">
        <v>1971</v>
      </c>
      <c r="AF935" s="273">
        <v>3</v>
      </c>
      <c r="AG935" s="273" t="s">
        <v>823</v>
      </c>
      <c r="AH935" s="273" t="s">
        <v>623</v>
      </c>
      <c r="AI935" s="273" t="s">
        <v>824</v>
      </c>
      <c r="AJ935" s="273" t="s">
        <v>825</v>
      </c>
      <c r="AK935" s="273" t="s">
        <v>625</v>
      </c>
      <c r="AL935" s="273" t="s">
        <v>653</v>
      </c>
      <c r="AM935" s="273">
        <v>-9999</v>
      </c>
      <c r="AN935" s="273" t="s">
        <v>626</v>
      </c>
      <c r="AO935" s="273" t="s">
        <v>826</v>
      </c>
      <c r="AP935" s="273" t="s">
        <v>827</v>
      </c>
      <c r="AQ935" s="273" t="s">
        <v>626</v>
      </c>
      <c r="AR935" s="273">
        <f>+AR934+0</f>
        <v>200</v>
      </c>
      <c r="AS935" s="273">
        <v>-9999</v>
      </c>
      <c r="AT935" s="273">
        <v>-9999</v>
      </c>
      <c r="AU935" s="273">
        <f>+AU934+0</f>
        <v>43</v>
      </c>
      <c r="AV935" s="273">
        <v>-9999</v>
      </c>
      <c r="AW935" s="273">
        <v>-9999</v>
      </c>
      <c r="AX935" s="273">
        <f>+AX934+0</f>
        <v>83</v>
      </c>
      <c r="AY935" s="273">
        <v>-9999</v>
      </c>
      <c r="AZ935" s="273">
        <v>-9999</v>
      </c>
      <c r="BA935" s="273" t="s">
        <v>725</v>
      </c>
      <c r="BB935" s="273" t="s">
        <v>626</v>
      </c>
      <c r="BC935" s="273" t="s">
        <v>829</v>
      </c>
      <c r="BD935" s="273" t="s">
        <v>830</v>
      </c>
      <c r="BE935" s="273"/>
      <c r="BF935" s="273">
        <v>-9999</v>
      </c>
      <c r="BG935" s="273">
        <v>-9999</v>
      </c>
      <c r="BH935" s="273">
        <v>-9999</v>
      </c>
      <c r="BI935" s="273" t="s">
        <v>1119</v>
      </c>
      <c r="BJ935" s="273">
        <v>-9999</v>
      </c>
      <c r="BK935" s="273">
        <v>-9999</v>
      </c>
      <c r="BL935" s="273">
        <v>-9999</v>
      </c>
      <c r="BM935" s="273">
        <v>-9999</v>
      </c>
      <c r="BN935" s="273">
        <v>-9999</v>
      </c>
      <c r="BO935" s="273">
        <v>-9999</v>
      </c>
      <c r="BP935" s="273">
        <v>-9999</v>
      </c>
      <c r="BQ935" s="273">
        <v>-9999</v>
      </c>
      <c r="BR935" s="468">
        <v>-9999</v>
      </c>
      <c r="BS935" s="468">
        <v>-9999</v>
      </c>
      <c r="BT935" s="273">
        <v>-9999</v>
      </c>
      <c r="BU935" s="468">
        <v>-9999</v>
      </c>
      <c r="BV935" s="468">
        <v>-9999</v>
      </c>
      <c r="BW935" s="468"/>
      <c r="BX935" s="273">
        <v>-9999</v>
      </c>
      <c r="BY935" s="273">
        <v>-9999</v>
      </c>
      <c r="BZ935" s="273">
        <v>-9999</v>
      </c>
      <c r="CA935" s="472">
        <v>-9999</v>
      </c>
      <c r="CB935" s="568" t="s">
        <v>1118</v>
      </c>
      <c r="CC935" s="462">
        <v>5</v>
      </c>
      <c r="CD935" s="273">
        <v>1</v>
      </c>
      <c r="CE935" s="292">
        <v>6.4</v>
      </c>
      <c r="CF935" s="292">
        <v>7.3</v>
      </c>
      <c r="CG935" s="93">
        <v>5</v>
      </c>
    </row>
    <row r="936" spans="1:1873" s="23" customFormat="1" x14ac:dyDescent="0.2">
      <c r="A936" s="273"/>
      <c r="B936" s="273"/>
      <c r="C936" s="273"/>
      <c r="D936" s="273"/>
      <c r="E936" s="273"/>
      <c r="F936" s="462"/>
      <c r="G936" s="273"/>
      <c r="H936" s="468"/>
      <c r="I936" s="273"/>
      <c r="J936" s="273"/>
      <c r="K936" s="273"/>
      <c r="L936" s="273"/>
      <c r="M936" s="471"/>
      <c r="N936" s="471"/>
      <c r="O936" s="1"/>
      <c r="P936" s="414"/>
      <c r="Q936" s="273"/>
      <c r="R936" s="471"/>
      <c r="S936" s="273"/>
      <c r="T936" s="471"/>
      <c r="U936" s="273"/>
      <c r="V936" s="273"/>
      <c r="W936" s="471"/>
      <c r="X936" s="468"/>
      <c r="Y936" s="468"/>
      <c r="Z936" s="273"/>
      <c r="AA936" s="273"/>
      <c r="AB936" s="471"/>
      <c r="AC936" s="273"/>
      <c r="AD936" s="273"/>
      <c r="AE936" s="273"/>
      <c r="AF936" s="273"/>
      <c r="AG936" s="273"/>
      <c r="AH936" s="273"/>
      <c r="AI936" s="273"/>
      <c r="AJ936" s="273"/>
      <c r="AK936" s="273"/>
      <c r="AL936" s="273"/>
      <c r="AM936" s="273"/>
      <c r="AN936" s="273"/>
      <c r="AO936" s="273"/>
      <c r="AP936" s="273"/>
      <c r="AQ936" s="273"/>
      <c r="AR936" s="273"/>
      <c r="AS936" s="273"/>
      <c r="AT936" s="273"/>
      <c r="AU936" s="273"/>
      <c r="AV936" s="273"/>
      <c r="AW936" s="273"/>
      <c r="AX936" s="273"/>
      <c r="AY936" s="273"/>
      <c r="AZ936" s="273"/>
      <c r="BA936" s="273"/>
      <c r="BB936" s="273"/>
      <c r="BC936" s="273"/>
      <c r="BD936" s="273"/>
      <c r="BE936" s="273"/>
      <c r="BF936" s="273"/>
      <c r="BG936" s="273"/>
      <c r="BH936" s="273"/>
      <c r="BI936" s="273"/>
      <c r="BJ936" s="273"/>
      <c r="BK936" s="273"/>
      <c r="BL936" s="273"/>
      <c r="BM936" s="273"/>
      <c r="BN936" s="273"/>
      <c r="BO936" s="273"/>
      <c r="BP936" s="273"/>
      <c r="BQ936" s="273"/>
      <c r="BR936" s="468"/>
      <c r="BS936" s="468"/>
      <c r="BT936" s="273"/>
      <c r="BU936" s="468"/>
      <c r="BV936" s="468"/>
      <c r="BW936" s="468"/>
      <c r="BX936" s="273"/>
      <c r="BY936" s="273"/>
      <c r="BZ936" s="273"/>
      <c r="CA936" s="472"/>
      <c r="CB936" s="568"/>
      <c r="CC936" s="462"/>
      <c r="CD936" s="273"/>
      <c r="CE936" s="342" t="s">
        <v>1576</v>
      </c>
      <c r="CF936" s="342" t="s">
        <v>1575</v>
      </c>
      <c r="CG936" s="93"/>
    </row>
    <row r="937" spans="1:1873" s="23" customFormat="1" x14ac:dyDescent="0.2">
      <c r="A937" s="273" t="s">
        <v>754</v>
      </c>
      <c r="B937" s="273" t="s">
        <v>820</v>
      </c>
      <c r="C937" s="569" t="s">
        <v>1116</v>
      </c>
      <c r="D937" s="273" t="s">
        <v>619</v>
      </c>
      <c r="E937" s="462" t="s">
        <v>831</v>
      </c>
      <c r="F937" s="462">
        <v>1</v>
      </c>
      <c r="G937" s="273">
        <v>1</v>
      </c>
      <c r="H937" s="468">
        <v>1</v>
      </c>
      <c r="I937" s="273" t="s">
        <v>621</v>
      </c>
      <c r="J937" s="273">
        <v>1986</v>
      </c>
      <c r="K937" s="463" t="s">
        <v>1211</v>
      </c>
      <c r="L937" s="273">
        <v>1986</v>
      </c>
      <c r="M937" s="471">
        <v>4.0999999999999996</v>
      </c>
      <c r="N937" s="471">
        <v>-9999</v>
      </c>
      <c r="O937" s="1"/>
      <c r="P937" s="414">
        <f>+W937</f>
        <v>4.0999999999999996</v>
      </c>
      <c r="Q937" s="273">
        <v>-9999</v>
      </c>
      <c r="R937" s="471"/>
      <c r="S937" s="273"/>
      <c r="T937" s="471">
        <f>+P937/F937</f>
        <v>4.0999999999999996</v>
      </c>
      <c r="U937" s="273">
        <v>-9999</v>
      </c>
      <c r="V937" s="273"/>
      <c r="W937" s="471">
        <v>4.0999999999999996</v>
      </c>
      <c r="X937" s="468">
        <v>-9999</v>
      </c>
      <c r="Y937" s="468"/>
      <c r="Z937" s="273" t="s">
        <v>822</v>
      </c>
      <c r="AA937" s="385">
        <v>308642</v>
      </c>
      <c r="AB937" s="471">
        <v>0.96</v>
      </c>
      <c r="AC937" s="273">
        <v>-9999</v>
      </c>
      <c r="AD937" s="273">
        <v>100</v>
      </c>
      <c r="AE937" s="461" t="s">
        <v>1971</v>
      </c>
      <c r="AF937" s="273">
        <v>3</v>
      </c>
      <c r="AG937" s="273" t="s">
        <v>823</v>
      </c>
      <c r="AH937" s="273" t="s">
        <v>623</v>
      </c>
      <c r="AI937" s="273" t="s">
        <v>824</v>
      </c>
      <c r="AJ937" s="273" t="s">
        <v>825</v>
      </c>
      <c r="AK937" s="273" t="s">
        <v>625</v>
      </c>
      <c r="AL937" s="273" t="s">
        <v>653</v>
      </c>
      <c r="AM937" s="273">
        <v>-9999</v>
      </c>
      <c r="AN937" s="273" t="s">
        <v>626</v>
      </c>
      <c r="AO937" s="273" t="s">
        <v>826</v>
      </c>
      <c r="AP937" s="273" t="s">
        <v>827</v>
      </c>
      <c r="AQ937" s="273" t="s">
        <v>626</v>
      </c>
      <c r="AR937" s="273">
        <v>100</v>
      </c>
      <c r="AS937" s="273" t="s">
        <v>724</v>
      </c>
      <c r="AT937" s="273" t="s">
        <v>755</v>
      </c>
      <c r="AU937" s="273">
        <v>43</v>
      </c>
      <c r="AV937" s="273" t="s">
        <v>226</v>
      </c>
      <c r="AW937" s="273" t="s">
        <v>755</v>
      </c>
      <c r="AX937" s="273">
        <v>83</v>
      </c>
      <c r="AY937" s="273" t="s">
        <v>226</v>
      </c>
      <c r="AZ937" s="273" t="s">
        <v>755</v>
      </c>
      <c r="BA937" s="273" t="s">
        <v>725</v>
      </c>
      <c r="BB937" s="273" t="s">
        <v>626</v>
      </c>
      <c r="BC937" s="273" t="s">
        <v>829</v>
      </c>
      <c r="BD937" s="273" t="s">
        <v>830</v>
      </c>
      <c r="BE937" s="273"/>
      <c r="BF937" s="273">
        <v>-9999</v>
      </c>
      <c r="BG937" s="273">
        <v>-9999</v>
      </c>
      <c r="BH937" s="273">
        <v>-9999</v>
      </c>
      <c r="BI937" s="273" t="s">
        <v>1119</v>
      </c>
      <c r="BJ937" s="273">
        <v>-9999</v>
      </c>
      <c r="BK937" s="273">
        <v>-9999</v>
      </c>
      <c r="BL937" s="273">
        <v>-9999</v>
      </c>
      <c r="BM937" s="273">
        <v>-9999</v>
      </c>
      <c r="BN937" s="273">
        <v>-9999</v>
      </c>
      <c r="BO937" s="273">
        <v>-9999</v>
      </c>
      <c r="BP937" s="273">
        <v>-9999</v>
      </c>
      <c r="BQ937" s="273">
        <v>-9999</v>
      </c>
      <c r="BR937" s="468">
        <v>-9999</v>
      </c>
      <c r="BS937" s="468">
        <v>-9999</v>
      </c>
      <c r="BT937" s="273">
        <v>-9999</v>
      </c>
      <c r="BU937" s="468">
        <v>-9999</v>
      </c>
      <c r="BV937" s="468">
        <v>-9999</v>
      </c>
      <c r="BW937" s="468"/>
      <c r="BX937" s="273">
        <v>-9999</v>
      </c>
      <c r="BY937" s="273">
        <v>-9999</v>
      </c>
      <c r="BZ937" s="273">
        <v>-9999</v>
      </c>
      <c r="CA937" s="472">
        <v>-9999</v>
      </c>
      <c r="CB937" s="568" t="s">
        <v>1118</v>
      </c>
      <c r="CC937" s="462">
        <v>1</v>
      </c>
      <c r="CD937" s="273">
        <v>1</v>
      </c>
      <c r="CE937" s="292">
        <v>4.0999999999999996</v>
      </c>
      <c r="CF937" s="292">
        <v>4.0999999999999996</v>
      </c>
      <c r="CG937" s="93">
        <v>1</v>
      </c>
    </row>
    <row r="938" spans="1:1873" s="23" customFormat="1" x14ac:dyDescent="0.2">
      <c r="A938" s="273" t="s">
        <v>754</v>
      </c>
      <c r="B938" s="273" t="s">
        <v>820</v>
      </c>
      <c r="C938" s="569" t="s">
        <v>1116</v>
      </c>
      <c r="D938" s="273" t="s">
        <v>619</v>
      </c>
      <c r="E938" s="462" t="s">
        <v>831</v>
      </c>
      <c r="F938" s="462">
        <v>2</v>
      </c>
      <c r="G938" s="273">
        <v>1</v>
      </c>
      <c r="H938" s="468">
        <v>2</v>
      </c>
      <c r="I938" s="273" t="s">
        <v>621</v>
      </c>
      <c r="J938" s="273">
        <v>1986</v>
      </c>
      <c r="K938" s="463" t="s">
        <v>1211</v>
      </c>
      <c r="L938" s="273">
        <v>1987</v>
      </c>
      <c r="M938" s="471">
        <v>8.3000000000000007</v>
      </c>
      <c r="N938" s="471">
        <v>-9999</v>
      </c>
      <c r="O938" s="1"/>
      <c r="P938" s="414">
        <f>+P937+W938</f>
        <v>12.4</v>
      </c>
      <c r="Q938" s="273">
        <v>-9999</v>
      </c>
      <c r="R938" s="471"/>
      <c r="S938" s="273"/>
      <c r="T938" s="471">
        <f>+P938/F938</f>
        <v>6.2</v>
      </c>
      <c r="U938" s="273">
        <v>-9999</v>
      </c>
      <c r="V938" s="273"/>
      <c r="W938" s="471">
        <v>8.3000000000000007</v>
      </c>
      <c r="X938" s="468">
        <v>-9999</v>
      </c>
      <c r="Y938" s="468"/>
      <c r="Z938" s="273" t="s">
        <v>822</v>
      </c>
      <c r="AA938" s="385">
        <v>308642</v>
      </c>
      <c r="AB938" s="471">
        <v>0.98</v>
      </c>
      <c r="AC938" s="273">
        <v>-9999</v>
      </c>
      <c r="AD938" s="273">
        <v>100</v>
      </c>
      <c r="AE938" s="461" t="s">
        <v>1971</v>
      </c>
      <c r="AF938" s="273">
        <v>3</v>
      </c>
      <c r="AG938" s="273" t="s">
        <v>823</v>
      </c>
      <c r="AH938" s="273" t="s">
        <v>623</v>
      </c>
      <c r="AI938" s="273" t="s">
        <v>824</v>
      </c>
      <c r="AJ938" s="273" t="s">
        <v>825</v>
      </c>
      <c r="AK938" s="273" t="s">
        <v>625</v>
      </c>
      <c r="AL938" s="273" t="s">
        <v>653</v>
      </c>
      <c r="AM938" s="273">
        <v>-9999</v>
      </c>
      <c r="AN938" s="273" t="s">
        <v>626</v>
      </c>
      <c r="AO938" s="273" t="s">
        <v>826</v>
      </c>
      <c r="AP938" s="273" t="s">
        <v>827</v>
      </c>
      <c r="AQ938" s="273" t="s">
        <v>626</v>
      </c>
      <c r="AR938" s="273">
        <f>+AR937+0</f>
        <v>100</v>
      </c>
      <c r="AS938" s="273">
        <v>-9999</v>
      </c>
      <c r="AT938" s="273">
        <v>-9999</v>
      </c>
      <c r="AU938" s="273">
        <f>+AU937+0</f>
        <v>43</v>
      </c>
      <c r="AV938" s="273">
        <v>-9999</v>
      </c>
      <c r="AW938" s="273">
        <v>-9999</v>
      </c>
      <c r="AX938" s="273">
        <f>+AX937+0</f>
        <v>83</v>
      </c>
      <c r="AY938" s="273">
        <v>-9999</v>
      </c>
      <c r="AZ938" s="273">
        <v>-9999</v>
      </c>
      <c r="BA938" s="273" t="s">
        <v>725</v>
      </c>
      <c r="BB938" s="273" t="s">
        <v>626</v>
      </c>
      <c r="BC938" s="273" t="s">
        <v>829</v>
      </c>
      <c r="BD938" s="273" t="s">
        <v>830</v>
      </c>
      <c r="BE938" s="273"/>
      <c r="BF938" s="273">
        <v>-9999</v>
      </c>
      <c r="BG938" s="273">
        <v>-9999</v>
      </c>
      <c r="BH938" s="273">
        <v>-9999</v>
      </c>
      <c r="BI938" s="273" t="s">
        <v>1119</v>
      </c>
      <c r="BJ938" s="273">
        <v>-9999</v>
      </c>
      <c r="BK938" s="273">
        <v>-9999</v>
      </c>
      <c r="BL938" s="273">
        <v>-9999</v>
      </c>
      <c r="BM938" s="273">
        <v>-9999</v>
      </c>
      <c r="BN938" s="273">
        <v>-9999</v>
      </c>
      <c r="BO938" s="273">
        <v>-9999</v>
      </c>
      <c r="BP938" s="273">
        <v>-9999</v>
      </c>
      <c r="BQ938" s="273">
        <v>-9999</v>
      </c>
      <c r="BR938" s="468">
        <v>-9999</v>
      </c>
      <c r="BS938" s="468">
        <v>-9999</v>
      </c>
      <c r="BT938" s="273">
        <v>-9999</v>
      </c>
      <c r="BU938" s="468">
        <v>-9999</v>
      </c>
      <c r="BV938" s="468">
        <v>-9999</v>
      </c>
      <c r="BW938" s="468"/>
      <c r="BX938" s="273">
        <v>-9999</v>
      </c>
      <c r="BY938" s="273">
        <v>-9999</v>
      </c>
      <c r="BZ938" s="273">
        <v>-9999</v>
      </c>
      <c r="CA938" s="472">
        <v>-9999</v>
      </c>
      <c r="CB938" s="568" t="s">
        <v>1118</v>
      </c>
      <c r="CC938" s="462">
        <v>2</v>
      </c>
      <c r="CD938" s="273">
        <v>1</v>
      </c>
      <c r="CE938" s="292">
        <v>6.2</v>
      </c>
      <c r="CF938" s="292">
        <v>8.3000000000000007</v>
      </c>
      <c r="CG938" s="93">
        <v>2</v>
      </c>
    </row>
    <row r="939" spans="1:1873" s="23" customFormat="1" x14ac:dyDescent="0.2">
      <c r="A939" s="273" t="s">
        <v>754</v>
      </c>
      <c r="B939" s="273" t="s">
        <v>820</v>
      </c>
      <c r="C939" s="569" t="s">
        <v>1116</v>
      </c>
      <c r="D939" s="273" t="s">
        <v>619</v>
      </c>
      <c r="E939" s="462" t="s">
        <v>831</v>
      </c>
      <c r="F939" s="462">
        <v>3</v>
      </c>
      <c r="G939" s="273">
        <v>1</v>
      </c>
      <c r="H939" s="468">
        <v>3</v>
      </c>
      <c r="I939" s="273" t="s">
        <v>621</v>
      </c>
      <c r="J939" s="273">
        <v>1986</v>
      </c>
      <c r="K939" s="463" t="s">
        <v>1211</v>
      </c>
      <c r="L939" s="273">
        <v>1988</v>
      </c>
      <c r="M939" s="471">
        <v>8.3000000000000007</v>
      </c>
      <c r="N939" s="471">
        <v>-9999</v>
      </c>
      <c r="O939" s="1"/>
      <c r="P939" s="414">
        <f>+P938+W939</f>
        <v>20.700000000000003</v>
      </c>
      <c r="Q939" s="273">
        <v>-9999</v>
      </c>
      <c r="R939" s="471"/>
      <c r="S939" s="273"/>
      <c r="T939" s="471">
        <f>+P939/F939</f>
        <v>6.9000000000000012</v>
      </c>
      <c r="U939" s="273">
        <v>-9999</v>
      </c>
      <c r="V939" s="273"/>
      <c r="W939" s="471">
        <v>8.3000000000000007</v>
      </c>
      <c r="X939" s="468">
        <v>-9999</v>
      </c>
      <c r="Y939" s="468"/>
      <c r="Z939" s="273" t="s">
        <v>822</v>
      </c>
      <c r="AA939" s="385">
        <v>308642</v>
      </c>
      <c r="AB939" s="471">
        <v>0.98</v>
      </c>
      <c r="AC939" s="273">
        <v>-9999</v>
      </c>
      <c r="AD939" s="273">
        <v>100</v>
      </c>
      <c r="AE939" s="461" t="s">
        <v>1971</v>
      </c>
      <c r="AF939" s="273">
        <v>3</v>
      </c>
      <c r="AG939" s="273" t="s">
        <v>823</v>
      </c>
      <c r="AH939" s="273" t="s">
        <v>623</v>
      </c>
      <c r="AI939" s="273" t="s">
        <v>824</v>
      </c>
      <c r="AJ939" s="273" t="s">
        <v>825</v>
      </c>
      <c r="AK939" s="273" t="s">
        <v>625</v>
      </c>
      <c r="AL939" s="273" t="s">
        <v>653</v>
      </c>
      <c r="AM939" s="273">
        <v>-9999</v>
      </c>
      <c r="AN939" s="273" t="s">
        <v>626</v>
      </c>
      <c r="AO939" s="273" t="s">
        <v>826</v>
      </c>
      <c r="AP939" s="273" t="s">
        <v>827</v>
      </c>
      <c r="AQ939" s="273" t="s">
        <v>626</v>
      </c>
      <c r="AR939" s="273">
        <f>+AR938+100</f>
        <v>200</v>
      </c>
      <c r="AS939" s="273" t="s">
        <v>1101</v>
      </c>
      <c r="AT939" s="273" t="s">
        <v>275</v>
      </c>
      <c r="AU939" s="273">
        <f>+AU938+0</f>
        <v>43</v>
      </c>
      <c r="AV939" s="273">
        <v>-9999</v>
      </c>
      <c r="AW939" s="273">
        <v>-9999</v>
      </c>
      <c r="AX939" s="273">
        <f>+AX938+0</f>
        <v>83</v>
      </c>
      <c r="AY939" s="273">
        <v>-9999</v>
      </c>
      <c r="AZ939" s="273">
        <v>-9999</v>
      </c>
      <c r="BA939" s="273" t="s">
        <v>725</v>
      </c>
      <c r="BB939" s="273" t="s">
        <v>626</v>
      </c>
      <c r="BC939" s="273" t="s">
        <v>829</v>
      </c>
      <c r="BD939" s="273" t="s">
        <v>830</v>
      </c>
      <c r="BE939" s="273"/>
      <c r="BF939" s="273">
        <v>-9999</v>
      </c>
      <c r="BG939" s="273">
        <v>-9999</v>
      </c>
      <c r="BH939" s="273">
        <v>-9999</v>
      </c>
      <c r="BI939" s="273" t="s">
        <v>1119</v>
      </c>
      <c r="BJ939" s="273">
        <v>-9999</v>
      </c>
      <c r="BK939" s="273">
        <v>-9999</v>
      </c>
      <c r="BL939" s="273">
        <v>-9999</v>
      </c>
      <c r="BM939" s="273">
        <v>-9999</v>
      </c>
      <c r="BN939" s="273">
        <v>-9999</v>
      </c>
      <c r="BO939" s="273">
        <v>-9999</v>
      </c>
      <c r="BP939" s="273">
        <v>-9999</v>
      </c>
      <c r="BQ939" s="273">
        <v>-9999</v>
      </c>
      <c r="BR939" s="468">
        <v>-9999</v>
      </c>
      <c r="BS939" s="468">
        <v>-9999</v>
      </c>
      <c r="BT939" s="273">
        <v>-9999</v>
      </c>
      <c r="BU939" s="468">
        <v>-9999</v>
      </c>
      <c r="BV939" s="468">
        <v>-9999</v>
      </c>
      <c r="BW939" s="468"/>
      <c r="BX939" s="273">
        <v>-9999</v>
      </c>
      <c r="BY939" s="273">
        <v>-9999</v>
      </c>
      <c r="BZ939" s="273">
        <v>-9999</v>
      </c>
      <c r="CA939" s="472">
        <v>-9999</v>
      </c>
      <c r="CB939" s="568" t="s">
        <v>1118</v>
      </c>
      <c r="CC939" s="462">
        <v>3</v>
      </c>
      <c r="CD939" s="273">
        <v>1</v>
      </c>
      <c r="CE939" s="292">
        <v>6.9000000000000012</v>
      </c>
      <c r="CF939" s="292">
        <v>8.3000000000000007</v>
      </c>
      <c r="CG939" s="93">
        <v>3</v>
      </c>
    </row>
    <row r="940" spans="1:1873" s="207" customFormat="1" x14ac:dyDescent="0.2">
      <c r="A940" s="461" t="s">
        <v>754</v>
      </c>
      <c r="B940" s="273" t="s">
        <v>820</v>
      </c>
      <c r="C940" s="569" t="s">
        <v>1116</v>
      </c>
      <c r="D940" s="273" t="s">
        <v>619</v>
      </c>
      <c r="E940" s="462" t="s">
        <v>831</v>
      </c>
      <c r="F940" s="462">
        <v>4</v>
      </c>
      <c r="G940" s="273">
        <v>1</v>
      </c>
      <c r="H940" s="468">
        <v>4</v>
      </c>
      <c r="I940" s="273" t="s">
        <v>621</v>
      </c>
      <c r="J940" s="273">
        <v>1986</v>
      </c>
      <c r="K940" s="463" t="s">
        <v>1211</v>
      </c>
      <c r="L940" s="273">
        <v>1989</v>
      </c>
      <c r="M940" s="471">
        <v>7.8</v>
      </c>
      <c r="N940" s="471">
        <v>-9999</v>
      </c>
      <c r="O940" s="1"/>
      <c r="P940" s="414">
        <f>+P939+W940</f>
        <v>28.500000000000004</v>
      </c>
      <c r="Q940" s="273">
        <v>-9999</v>
      </c>
      <c r="R940" s="471"/>
      <c r="S940" s="273"/>
      <c r="T940" s="471">
        <f>+P940/F940</f>
        <v>7.1250000000000009</v>
      </c>
      <c r="U940" s="273">
        <v>-9999</v>
      </c>
      <c r="V940" s="273"/>
      <c r="W940" s="471">
        <v>7.8</v>
      </c>
      <c r="X940" s="468">
        <v>-9999</v>
      </c>
      <c r="Y940" s="468"/>
      <c r="Z940" s="273" t="s">
        <v>822</v>
      </c>
      <c r="AA940" s="385">
        <v>308642</v>
      </c>
      <c r="AB940" s="471">
        <v>0.98</v>
      </c>
      <c r="AC940" s="273">
        <v>-9999</v>
      </c>
      <c r="AD940" s="273">
        <v>100</v>
      </c>
      <c r="AE940" s="461" t="s">
        <v>1971</v>
      </c>
      <c r="AF940" s="273">
        <v>3</v>
      </c>
      <c r="AG940" s="273" t="s">
        <v>823</v>
      </c>
      <c r="AH940" s="273" t="s">
        <v>623</v>
      </c>
      <c r="AI940" s="273" t="s">
        <v>824</v>
      </c>
      <c r="AJ940" s="273" t="s">
        <v>825</v>
      </c>
      <c r="AK940" s="273" t="s">
        <v>625</v>
      </c>
      <c r="AL940" s="273" t="s">
        <v>653</v>
      </c>
      <c r="AM940" s="273">
        <v>-9999</v>
      </c>
      <c r="AN940" s="273" t="s">
        <v>626</v>
      </c>
      <c r="AO940" s="273" t="s">
        <v>826</v>
      </c>
      <c r="AP940" s="273" t="s">
        <v>827</v>
      </c>
      <c r="AQ940" s="273" t="s">
        <v>626</v>
      </c>
      <c r="AR940" s="273">
        <f>+AR939+0</f>
        <v>200</v>
      </c>
      <c r="AS940" s="273">
        <v>-9999</v>
      </c>
      <c r="AT940" s="273">
        <v>-9999</v>
      </c>
      <c r="AU940" s="273">
        <f>+AU939+0</f>
        <v>43</v>
      </c>
      <c r="AV940" s="273">
        <v>-9999</v>
      </c>
      <c r="AW940" s="273">
        <v>-9999</v>
      </c>
      <c r="AX940" s="273">
        <f>+AX939+0</f>
        <v>83</v>
      </c>
      <c r="AY940" s="273">
        <v>-9999</v>
      </c>
      <c r="AZ940" s="273">
        <v>-9999</v>
      </c>
      <c r="BA940" s="273" t="s">
        <v>725</v>
      </c>
      <c r="BB940" s="273" t="s">
        <v>626</v>
      </c>
      <c r="BC940" s="273" t="s">
        <v>829</v>
      </c>
      <c r="BD940" s="273" t="s">
        <v>830</v>
      </c>
      <c r="BE940" s="273"/>
      <c r="BF940" s="273">
        <v>-9999</v>
      </c>
      <c r="BG940" s="273">
        <v>-9999</v>
      </c>
      <c r="BH940" s="273">
        <v>-9999</v>
      </c>
      <c r="BI940" s="273" t="s">
        <v>1119</v>
      </c>
      <c r="BJ940" s="273">
        <v>-9999</v>
      </c>
      <c r="BK940" s="273">
        <v>-9999</v>
      </c>
      <c r="BL940" s="273">
        <v>-9999</v>
      </c>
      <c r="BM940" s="273">
        <v>-9999</v>
      </c>
      <c r="BN940" s="273">
        <v>-9999</v>
      </c>
      <c r="BO940" s="273">
        <v>-9999</v>
      </c>
      <c r="BP940" s="273">
        <v>-9999</v>
      </c>
      <c r="BQ940" s="273">
        <v>-9999</v>
      </c>
      <c r="BR940" s="468">
        <v>-9999</v>
      </c>
      <c r="BS940" s="468">
        <v>-9999</v>
      </c>
      <c r="BT940" s="273">
        <v>-9999</v>
      </c>
      <c r="BU940" s="468">
        <v>-9999</v>
      </c>
      <c r="BV940" s="468">
        <v>-9999</v>
      </c>
      <c r="BW940" s="468"/>
      <c r="BX940" s="273">
        <v>-9999</v>
      </c>
      <c r="BY940" s="273">
        <v>-9999</v>
      </c>
      <c r="BZ940" s="273">
        <v>-9999</v>
      </c>
      <c r="CA940" s="472">
        <v>-9999</v>
      </c>
      <c r="CB940" s="568" t="s">
        <v>1118</v>
      </c>
      <c r="CC940" s="462">
        <v>4</v>
      </c>
      <c r="CD940" s="273">
        <v>1</v>
      </c>
      <c r="CE940" s="394">
        <v>7.1250000000000009</v>
      </c>
      <c r="CF940" s="292">
        <v>7.8</v>
      </c>
      <c r="CG940" s="206">
        <v>4</v>
      </c>
      <c r="CH940" s="438" t="s">
        <v>1757</v>
      </c>
      <c r="CI940" s="23"/>
      <c r="CJ940" s="23"/>
      <c r="CK940" s="23"/>
      <c r="CL940" s="23"/>
      <c r="CM940" s="23"/>
      <c r="CN940" s="23"/>
      <c r="CO940" s="23"/>
      <c r="CP940" s="23"/>
      <c r="CQ940" s="23"/>
      <c r="CR940" s="23"/>
      <c r="CS940" s="23"/>
      <c r="CT940" s="23"/>
      <c r="CU940" s="23"/>
      <c r="CV940" s="23"/>
      <c r="CW940" s="23"/>
      <c r="CX940" s="23"/>
      <c r="CY940" s="23"/>
      <c r="CZ940" s="23"/>
      <c r="DA940" s="23"/>
      <c r="DB940" s="23"/>
      <c r="DC940" s="23"/>
      <c r="DD940" s="23"/>
      <c r="DE940" s="23"/>
      <c r="DF940" s="23"/>
      <c r="DG940" s="23"/>
      <c r="DH940" s="23"/>
      <c r="DI940" s="23"/>
      <c r="DJ940" s="23"/>
      <c r="DK940" s="23"/>
      <c r="DL940" s="23"/>
      <c r="DM940" s="23"/>
      <c r="DN940" s="23"/>
      <c r="DO940" s="23"/>
      <c r="DP940" s="23"/>
      <c r="DQ940" s="23"/>
      <c r="DR940" s="23"/>
      <c r="DS940" s="23"/>
      <c r="DT940" s="23"/>
      <c r="DU940" s="23"/>
      <c r="DV940" s="23"/>
      <c r="DW940" s="23"/>
      <c r="DX940" s="23"/>
      <c r="DY940" s="23"/>
      <c r="DZ940" s="23"/>
      <c r="EA940" s="23"/>
      <c r="EB940" s="23"/>
      <c r="EC940" s="23"/>
      <c r="ED940" s="23"/>
      <c r="EE940" s="23"/>
      <c r="EF940" s="23"/>
      <c r="EG940" s="23"/>
      <c r="EH940" s="23"/>
      <c r="EI940" s="23"/>
      <c r="EJ940" s="23"/>
      <c r="EK940" s="23"/>
      <c r="EL940" s="23"/>
      <c r="EM940" s="23"/>
      <c r="EN940" s="23"/>
      <c r="EO940" s="23"/>
      <c r="EP940" s="23"/>
      <c r="EQ940" s="23"/>
      <c r="ER940" s="23"/>
      <c r="ES940" s="23"/>
      <c r="ET940" s="23"/>
      <c r="EU940" s="23"/>
      <c r="EV940" s="23"/>
      <c r="EW940" s="23"/>
      <c r="EX940" s="23"/>
      <c r="EY940" s="23"/>
      <c r="EZ940" s="23"/>
      <c r="FA940" s="23"/>
      <c r="FB940" s="23"/>
      <c r="FC940" s="23"/>
      <c r="FD940" s="23"/>
      <c r="FE940" s="23"/>
      <c r="FF940" s="23"/>
      <c r="FG940" s="23"/>
      <c r="FH940" s="23"/>
      <c r="FI940" s="23"/>
      <c r="FJ940" s="23"/>
      <c r="FK940" s="23"/>
      <c r="FL940" s="23"/>
      <c r="FM940" s="23"/>
      <c r="FN940" s="23"/>
      <c r="FO940" s="23"/>
      <c r="FP940" s="23"/>
      <c r="FQ940" s="23"/>
      <c r="FR940" s="23"/>
      <c r="FS940" s="23"/>
      <c r="FT940" s="23"/>
      <c r="FU940" s="23"/>
      <c r="FV940" s="23"/>
      <c r="FW940" s="23"/>
      <c r="FX940" s="23"/>
      <c r="FY940" s="23"/>
      <c r="FZ940" s="23"/>
      <c r="GA940" s="23"/>
      <c r="GB940" s="23"/>
      <c r="GC940" s="23"/>
      <c r="GD940" s="23"/>
      <c r="GE940" s="23"/>
      <c r="GF940" s="23"/>
      <c r="GG940" s="23"/>
      <c r="GH940" s="23"/>
      <c r="GI940" s="23"/>
      <c r="GJ940" s="23"/>
      <c r="GK940" s="23"/>
      <c r="GL940" s="23"/>
      <c r="GM940" s="23"/>
      <c r="GN940" s="23"/>
      <c r="GO940" s="23"/>
      <c r="GP940" s="23"/>
      <c r="GQ940" s="23"/>
      <c r="GR940" s="23"/>
      <c r="GS940" s="23"/>
      <c r="GT940" s="23"/>
      <c r="GU940" s="23"/>
      <c r="GV940" s="23"/>
      <c r="GW940" s="23"/>
      <c r="GX940" s="23"/>
      <c r="GY940" s="23"/>
      <c r="GZ940" s="23"/>
      <c r="HA940" s="23"/>
      <c r="HB940" s="23"/>
      <c r="HC940" s="23"/>
      <c r="HD940" s="23"/>
      <c r="HE940" s="23"/>
      <c r="HF940" s="23"/>
      <c r="HG940" s="23"/>
      <c r="HH940" s="23"/>
      <c r="HI940" s="23"/>
      <c r="HJ940" s="23"/>
      <c r="HK940" s="23"/>
      <c r="HL940" s="23"/>
      <c r="HM940" s="23"/>
      <c r="HN940" s="23"/>
      <c r="HO940" s="23"/>
      <c r="HP940" s="23"/>
      <c r="HQ940" s="23"/>
      <c r="HR940" s="23"/>
      <c r="HS940" s="23"/>
      <c r="HT940" s="23"/>
      <c r="HU940" s="23"/>
      <c r="HV940" s="23"/>
      <c r="HW940" s="23"/>
      <c r="HX940" s="23"/>
      <c r="HY940" s="23"/>
      <c r="HZ940" s="23"/>
      <c r="IA940" s="23"/>
      <c r="IB940" s="23"/>
      <c r="IC940" s="23"/>
      <c r="ID940" s="23"/>
      <c r="IE940" s="23"/>
      <c r="IF940" s="23"/>
      <c r="IG940" s="23"/>
      <c r="IH940" s="23"/>
      <c r="II940" s="23"/>
      <c r="IJ940" s="23"/>
      <c r="IK940" s="23"/>
      <c r="IL940" s="23"/>
      <c r="IM940" s="23"/>
      <c r="IN940" s="23"/>
      <c r="IO940" s="23"/>
      <c r="IP940" s="23"/>
      <c r="IQ940" s="23"/>
      <c r="IR940" s="23"/>
      <c r="IS940" s="23"/>
      <c r="IT940" s="23"/>
      <c r="IU940" s="23"/>
      <c r="IV940" s="23"/>
      <c r="IW940" s="23"/>
      <c r="IX940" s="23"/>
      <c r="IY940" s="23"/>
      <c r="IZ940" s="23"/>
      <c r="JA940" s="23"/>
      <c r="JB940" s="23"/>
      <c r="JC940" s="23"/>
      <c r="JD940" s="23"/>
      <c r="JE940" s="23"/>
      <c r="JF940" s="23"/>
      <c r="JG940" s="23"/>
      <c r="JH940" s="23"/>
      <c r="JI940" s="23"/>
      <c r="JJ940" s="23"/>
      <c r="JK940" s="23"/>
      <c r="JL940" s="23"/>
      <c r="JM940" s="23"/>
      <c r="JN940" s="23"/>
      <c r="JO940" s="23"/>
      <c r="JP940" s="23"/>
      <c r="JQ940" s="23"/>
      <c r="JR940" s="23"/>
      <c r="JS940" s="23"/>
      <c r="JT940" s="23"/>
      <c r="JU940" s="23"/>
      <c r="JV940" s="23"/>
      <c r="JW940" s="23"/>
      <c r="JX940" s="23"/>
      <c r="JY940" s="23"/>
      <c r="JZ940" s="23"/>
      <c r="KA940" s="23"/>
      <c r="KB940" s="23"/>
      <c r="KC940" s="23"/>
      <c r="KD940" s="23"/>
      <c r="KE940" s="23"/>
      <c r="KF940" s="23"/>
      <c r="KG940" s="23"/>
      <c r="KH940" s="23"/>
      <c r="KI940" s="23"/>
      <c r="KJ940" s="23"/>
      <c r="KK940" s="23"/>
      <c r="KL940" s="23"/>
      <c r="KM940" s="23"/>
      <c r="KN940" s="23"/>
      <c r="KO940" s="23"/>
      <c r="KP940" s="23"/>
      <c r="KQ940" s="23"/>
      <c r="KR940" s="23"/>
      <c r="KS940" s="23"/>
      <c r="KT940" s="23"/>
      <c r="KU940" s="23"/>
      <c r="KV940" s="23"/>
      <c r="KW940" s="23"/>
      <c r="KX940" s="23"/>
      <c r="KY940" s="23"/>
      <c r="KZ940" s="23"/>
      <c r="LA940" s="23"/>
      <c r="LB940" s="23"/>
      <c r="LC940" s="23"/>
      <c r="LD940" s="23"/>
      <c r="LE940" s="23"/>
      <c r="LF940" s="23"/>
      <c r="LG940" s="23"/>
      <c r="LH940" s="23"/>
      <c r="LI940" s="23"/>
      <c r="LJ940" s="23"/>
      <c r="LK940" s="23"/>
      <c r="LL940" s="23"/>
      <c r="LM940" s="23"/>
      <c r="LN940" s="23"/>
      <c r="LO940" s="23"/>
      <c r="LP940" s="23"/>
      <c r="LQ940" s="23"/>
      <c r="LR940" s="23"/>
      <c r="LS940" s="23"/>
      <c r="LT940" s="23"/>
      <c r="LU940" s="23"/>
      <c r="LV940" s="23"/>
      <c r="LW940" s="23"/>
      <c r="LX940" s="23"/>
      <c r="LY940" s="23"/>
      <c r="LZ940" s="23"/>
      <c r="MA940" s="23"/>
      <c r="MB940" s="23"/>
      <c r="MC940" s="23"/>
      <c r="MD940" s="23"/>
      <c r="ME940" s="23"/>
      <c r="MF940" s="23"/>
      <c r="MG940" s="23"/>
      <c r="MH940" s="23"/>
      <c r="MI940" s="23"/>
      <c r="MJ940" s="23"/>
      <c r="MK940" s="23"/>
      <c r="ML940" s="23"/>
      <c r="MM940" s="23"/>
      <c r="MN940" s="23"/>
      <c r="MO940" s="23"/>
      <c r="MP940" s="23"/>
      <c r="MQ940" s="23"/>
      <c r="MR940" s="23"/>
      <c r="MS940" s="23"/>
      <c r="MT940" s="23"/>
      <c r="MU940" s="23"/>
      <c r="MV940" s="23"/>
      <c r="MW940" s="23"/>
      <c r="MX940" s="23"/>
      <c r="MY940" s="23"/>
      <c r="MZ940" s="23"/>
      <c r="NA940" s="23"/>
      <c r="NB940" s="23"/>
      <c r="NC940" s="23"/>
      <c r="ND940" s="23"/>
      <c r="NE940" s="23"/>
      <c r="NF940" s="23"/>
      <c r="NG940" s="23"/>
      <c r="NH940" s="23"/>
      <c r="NI940" s="23"/>
      <c r="NJ940" s="23"/>
      <c r="NK940" s="23"/>
      <c r="NL940" s="23"/>
      <c r="NM940" s="23"/>
      <c r="NN940" s="23"/>
      <c r="NO940" s="23"/>
      <c r="NP940" s="23"/>
      <c r="NQ940" s="23"/>
      <c r="NR940" s="23"/>
      <c r="NS940" s="23"/>
      <c r="NT940" s="23"/>
      <c r="NU940" s="23"/>
      <c r="NV940" s="23"/>
      <c r="NW940" s="23"/>
      <c r="NX940" s="23"/>
      <c r="NY940" s="23"/>
      <c r="NZ940" s="23"/>
      <c r="OA940" s="23"/>
      <c r="OB940" s="23"/>
      <c r="OC940" s="23"/>
      <c r="OD940" s="23"/>
      <c r="OE940" s="23"/>
      <c r="OF940" s="23"/>
      <c r="OG940" s="23"/>
      <c r="OH940" s="23"/>
      <c r="OI940" s="23"/>
      <c r="OJ940" s="23"/>
      <c r="OK940" s="23"/>
      <c r="OL940" s="23"/>
      <c r="OM940" s="23"/>
      <c r="ON940" s="23"/>
      <c r="OO940" s="23"/>
      <c r="OP940" s="23"/>
      <c r="OQ940" s="23"/>
      <c r="OR940" s="23"/>
      <c r="OS940" s="23"/>
      <c r="OT940" s="23"/>
      <c r="OU940" s="23"/>
      <c r="OV940" s="23"/>
      <c r="OW940" s="23"/>
      <c r="OX940" s="23"/>
      <c r="OY940" s="23"/>
      <c r="OZ940" s="23"/>
      <c r="PA940" s="23"/>
      <c r="PB940" s="23"/>
      <c r="PC940" s="23"/>
      <c r="PD940" s="23"/>
      <c r="PE940" s="23"/>
      <c r="PF940" s="23"/>
      <c r="PG940" s="23"/>
      <c r="PH940" s="23"/>
      <c r="PI940" s="23"/>
      <c r="PJ940" s="23"/>
      <c r="PK940" s="23"/>
      <c r="PL940" s="23"/>
      <c r="PM940" s="23"/>
      <c r="PN940" s="23"/>
      <c r="PO940" s="23"/>
      <c r="PP940" s="23"/>
      <c r="PQ940" s="23"/>
      <c r="PR940" s="23"/>
      <c r="PS940" s="23"/>
      <c r="PT940" s="23"/>
      <c r="PU940" s="23"/>
      <c r="PV940" s="23"/>
      <c r="PW940" s="23"/>
      <c r="PX940" s="23"/>
      <c r="PY940" s="23"/>
      <c r="PZ940" s="23"/>
      <c r="QA940" s="23"/>
      <c r="QB940" s="23"/>
      <c r="QC940" s="23"/>
      <c r="QD940" s="23"/>
      <c r="QE940" s="23"/>
      <c r="QF940" s="23"/>
      <c r="QG940" s="23"/>
      <c r="QH940" s="23"/>
      <c r="QI940" s="23"/>
      <c r="QJ940" s="23"/>
      <c r="QK940" s="23"/>
      <c r="QL940" s="23"/>
      <c r="QM940" s="23"/>
      <c r="QN940" s="23"/>
      <c r="QO940" s="23"/>
      <c r="QP940" s="23"/>
      <c r="QQ940" s="23"/>
      <c r="QR940" s="23"/>
      <c r="QS940" s="23"/>
      <c r="QT940" s="23"/>
      <c r="QU940" s="23"/>
      <c r="QV940" s="23"/>
      <c r="QW940" s="23"/>
      <c r="QX940" s="23"/>
      <c r="QY940" s="23"/>
      <c r="QZ940" s="23"/>
      <c r="RA940" s="23"/>
      <c r="RB940" s="23"/>
      <c r="RC940" s="23"/>
      <c r="RD940" s="23"/>
      <c r="RE940" s="23"/>
      <c r="RF940" s="23"/>
      <c r="RG940" s="23"/>
      <c r="RH940" s="23"/>
      <c r="RI940" s="23"/>
      <c r="RJ940" s="23"/>
      <c r="RK940" s="23"/>
      <c r="RL940" s="23"/>
      <c r="RM940" s="23"/>
      <c r="RN940" s="23"/>
      <c r="RO940" s="23"/>
      <c r="RP940" s="23"/>
      <c r="RQ940" s="23"/>
      <c r="RR940" s="23"/>
      <c r="RS940" s="23"/>
      <c r="RT940" s="23"/>
      <c r="RU940" s="23"/>
      <c r="RV940" s="23"/>
      <c r="RW940" s="23"/>
      <c r="RX940" s="23"/>
      <c r="RY940" s="23"/>
      <c r="RZ940" s="23"/>
      <c r="SA940" s="23"/>
      <c r="SB940" s="23"/>
      <c r="SC940" s="23"/>
      <c r="SD940" s="23"/>
      <c r="SE940" s="23"/>
      <c r="SF940" s="23"/>
      <c r="SG940" s="23"/>
      <c r="SH940" s="23"/>
      <c r="SI940" s="23"/>
      <c r="SJ940" s="23"/>
      <c r="SK940" s="23"/>
      <c r="SL940" s="23"/>
      <c r="SM940" s="23"/>
      <c r="SN940" s="23"/>
      <c r="SO940" s="23"/>
      <c r="SP940" s="23"/>
      <c r="SQ940" s="23"/>
      <c r="SR940" s="23"/>
      <c r="SS940" s="23"/>
      <c r="ST940" s="23"/>
      <c r="SU940" s="23"/>
      <c r="SV940" s="23"/>
      <c r="SW940" s="23"/>
      <c r="SX940" s="23"/>
      <c r="SY940" s="23"/>
      <c r="SZ940" s="23"/>
      <c r="TA940" s="23"/>
      <c r="TB940" s="23"/>
      <c r="TC940" s="23"/>
      <c r="TD940" s="23"/>
      <c r="TE940" s="23"/>
      <c r="TF940" s="23"/>
      <c r="TG940" s="23"/>
      <c r="TH940" s="23"/>
      <c r="TI940" s="23"/>
      <c r="TJ940" s="23"/>
      <c r="TK940" s="23"/>
      <c r="TL940" s="23"/>
      <c r="TM940" s="23"/>
      <c r="TN940" s="23"/>
      <c r="TO940" s="23"/>
      <c r="TP940" s="23"/>
      <c r="TQ940" s="23"/>
      <c r="TR940" s="23"/>
      <c r="TS940" s="23"/>
      <c r="TT940" s="23"/>
      <c r="TU940" s="23"/>
      <c r="TV940" s="23"/>
      <c r="TW940" s="23"/>
      <c r="TX940" s="23"/>
      <c r="TY940" s="23"/>
      <c r="TZ940" s="23"/>
      <c r="UA940" s="23"/>
      <c r="UB940" s="23"/>
      <c r="UC940" s="23"/>
      <c r="UD940" s="23"/>
      <c r="UE940" s="23"/>
      <c r="UF940" s="23"/>
      <c r="UG940" s="23"/>
      <c r="UH940" s="23"/>
      <c r="UI940" s="23"/>
      <c r="UJ940" s="23"/>
      <c r="UK940" s="23"/>
      <c r="UL940" s="23"/>
      <c r="UM940" s="23"/>
      <c r="UN940" s="23"/>
      <c r="UO940" s="23"/>
      <c r="UP940" s="23"/>
      <c r="UQ940" s="23"/>
      <c r="UR940" s="23"/>
      <c r="US940" s="23"/>
      <c r="UT940" s="23"/>
      <c r="UU940" s="23"/>
      <c r="UV940" s="23"/>
      <c r="UW940" s="23"/>
      <c r="UX940" s="23"/>
      <c r="UY940" s="23"/>
      <c r="UZ940" s="23"/>
      <c r="VA940" s="23"/>
      <c r="VB940" s="23"/>
      <c r="VC940" s="23"/>
      <c r="VD940" s="23"/>
      <c r="VE940" s="23"/>
      <c r="VF940" s="23"/>
      <c r="VG940" s="23"/>
      <c r="VH940" s="23"/>
      <c r="VI940" s="23"/>
      <c r="VJ940" s="23"/>
      <c r="VK940" s="23"/>
      <c r="VL940" s="23"/>
      <c r="VM940" s="23"/>
      <c r="VN940" s="23"/>
      <c r="VO940" s="23"/>
      <c r="VP940" s="23"/>
      <c r="VQ940" s="23"/>
      <c r="VR940" s="23"/>
      <c r="VS940" s="23"/>
      <c r="VT940" s="23"/>
      <c r="VU940" s="23"/>
      <c r="VV940" s="23"/>
      <c r="VW940" s="23"/>
      <c r="VX940" s="23"/>
      <c r="VY940" s="23"/>
      <c r="VZ940" s="23"/>
      <c r="WA940" s="23"/>
      <c r="WB940" s="23"/>
      <c r="WC940" s="23"/>
      <c r="WD940" s="23"/>
      <c r="WE940" s="23"/>
      <c r="WF940" s="23"/>
      <c r="WG940" s="23"/>
      <c r="WH940" s="23"/>
      <c r="WI940" s="23"/>
      <c r="WJ940" s="23"/>
      <c r="WK940" s="23"/>
      <c r="WL940" s="23"/>
      <c r="WM940" s="23"/>
      <c r="WN940" s="23"/>
      <c r="WO940" s="23"/>
      <c r="WP940" s="23"/>
      <c r="WQ940" s="23"/>
      <c r="WR940" s="23"/>
      <c r="WS940" s="23"/>
      <c r="WT940" s="23"/>
      <c r="WU940" s="23"/>
      <c r="WV940" s="23"/>
      <c r="WW940" s="23"/>
      <c r="WX940" s="23"/>
      <c r="WY940" s="23"/>
      <c r="WZ940" s="23"/>
      <c r="XA940" s="23"/>
      <c r="XB940" s="23"/>
      <c r="XC940" s="23"/>
      <c r="XD940" s="23"/>
      <c r="XE940" s="23"/>
      <c r="XF940" s="23"/>
      <c r="XG940" s="23"/>
      <c r="XH940" s="23"/>
      <c r="XI940" s="23"/>
      <c r="XJ940" s="23"/>
      <c r="XK940" s="23"/>
      <c r="XL940" s="23"/>
      <c r="XM940" s="23"/>
      <c r="XN940" s="23"/>
      <c r="XO940" s="23"/>
      <c r="XP940" s="23"/>
      <c r="XQ940" s="23"/>
      <c r="XR940" s="23"/>
      <c r="XS940" s="23"/>
      <c r="XT940" s="23"/>
      <c r="XU940" s="23"/>
      <c r="XV940" s="23"/>
      <c r="XW940" s="23"/>
      <c r="XX940" s="23"/>
      <c r="XY940" s="23"/>
      <c r="XZ940" s="23"/>
      <c r="YA940" s="23"/>
      <c r="YB940" s="23"/>
      <c r="YC940" s="23"/>
      <c r="YD940" s="23"/>
      <c r="YE940" s="23"/>
      <c r="YF940" s="23"/>
      <c r="YG940" s="23"/>
      <c r="YH940" s="23"/>
      <c r="YI940" s="23"/>
      <c r="YJ940" s="23"/>
      <c r="YK940" s="23"/>
      <c r="YL940" s="23"/>
      <c r="YM940" s="23"/>
      <c r="YN940" s="23"/>
      <c r="YO940" s="23"/>
      <c r="YP940" s="23"/>
      <c r="YQ940" s="23"/>
      <c r="YR940" s="23"/>
      <c r="YS940" s="23"/>
      <c r="YT940" s="23"/>
      <c r="YU940" s="23"/>
      <c r="YV940" s="23"/>
      <c r="YW940" s="23"/>
      <c r="YX940" s="23"/>
      <c r="YY940" s="23"/>
      <c r="YZ940" s="23"/>
      <c r="ZA940" s="23"/>
      <c r="ZB940" s="23"/>
      <c r="ZC940" s="23"/>
      <c r="ZD940" s="23"/>
      <c r="ZE940" s="23"/>
      <c r="ZF940" s="23"/>
      <c r="ZG940" s="23"/>
      <c r="ZH940" s="23"/>
      <c r="ZI940" s="23"/>
      <c r="ZJ940" s="23"/>
      <c r="ZK940" s="23"/>
      <c r="ZL940" s="23"/>
      <c r="ZM940" s="23"/>
      <c r="ZN940" s="23"/>
      <c r="ZO940" s="23"/>
      <c r="ZP940" s="23"/>
      <c r="ZQ940" s="23"/>
      <c r="ZR940" s="23"/>
      <c r="ZS940" s="23"/>
      <c r="ZT940" s="23"/>
      <c r="ZU940" s="23"/>
      <c r="ZV940" s="23"/>
      <c r="ZW940" s="23"/>
      <c r="ZX940" s="23"/>
      <c r="ZY940" s="23"/>
      <c r="ZZ940" s="23"/>
      <c r="AAA940" s="23"/>
      <c r="AAB940" s="23"/>
      <c r="AAC940" s="23"/>
      <c r="AAD940" s="23"/>
      <c r="AAE940" s="23"/>
      <c r="AAF940" s="23"/>
      <c r="AAG940" s="23"/>
      <c r="AAH940" s="23"/>
      <c r="AAI940" s="23"/>
      <c r="AAJ940" s="23"/>
      <c r="AAK940" s="23"/>
      <c r="AAL940" s="23"/>
      <c r="AAM940" s="23"/>
      <c r="AAN940" s="23"/>
      <c r="AAO940" s="23"/>
      <c r="AAP940" s="23"/>
      <c r="AAQ940" s="23"/>
      <c r="AAR940" s="23"/>
      <c r="AAS940" s="23"/>
      <c r="AAT940" s="23"/>
      <c r="AAU940" s="23"/>
      <c r="AAV940" s="23"/>
      <c r="AAW940" s="23"/>
      <c r="AAX940" s="23"/>
      <c r="AAY940" s="23"/>
      <c r="AAZ940" s="23"/>
      <c r="ABA940" s="23"/>
      <c r="ABB940" s="23"/>
      <c r="ABC940" s="23"/>
      <c r="ABD940" s="23"/>
      <c r="ABE940" s="23"/>
      <c r="ABF940" s="23"/>
      <c r="ABG940" s="23"/>
      <c r="ABH940" s="23"/>
      <c r="ABI940" s="23"/>
      <c r="ABJ940" s="23"/>
      <c r="ABK940" s="23"/>
      <c r="ABL940" s="23"/>
      <c r="ABM940" s="23"/>
      <c r="ABN940" s="23"/>
      <c r="ABO940" s="23"/>
      <c r="ABP940" s="23"/>
      <c r="ABQ940" s="23"/>
      <c r="ABR940" s="23"/>
      <c r="ABS940" s="23"/>
      <c r="ABT940" s="23"/>
      <c r="ABU940" s="23"/>
      <c r="ABV940" s="23"/>
      <c r="ABW940" s="23"/>
      <c r="ABX940" s="23"/>
      <c r="ABY940" s="23"/>
      <c r="ABZ940" s="23"/>
      <c r="ACA940" s="23"/>
      <c r="ACB940" s="23"/>
      <c r="ACC940" s="23"/>
      <c r="ACD940" s="23"/>
      <c r="ACE940" s="23"/>
      <c r="ACF940" s="23"/>
      <c r="ACG940" s="23"/>
      <c r="ACH940" s="23"/>
      <c r="ACI940" s="23"/>
      <c r="ACJ940" s="23"/>
      <c r="ACK940" s="23"/>
      <c r="ACL940" s="23"/>
      <c r="ACM940" s="23"/>
      <c r="ACN940" s="23"/>
      <c r="ACO940" s="23"/>
      <c r="ACP940" s="23"/>
      <c r="ACQ940" s="23"/>
      <c r="ACR940" s="23"/>
      <c r="ACS940" s="23"/>
      <c r="ACT940" s="23"/>
      <c r="ACU940" s="23"/>
      <c r="ACV940" s="23"/>
      <c r="ACW940" s="23"/>
      <c r="ACX940" s="23"/>
      <c r="ACY940" s="23"/>
      <c r="ACZ940" s="23"/>
      <c r="ADA940" s="23"/>
      <c r="ADB940" s="23"/>
      <c r="ADC940" s="23"/>
      <c r="ADD940" s="23"/>
      <c r="ADE940" s="23"/>
      <c r="ADF940" s="23"/>
      <c r="ADG940" s="23"/>
      <c r="ADH940" s="23"/>
      <c r="ADI940" s="23"/>
      <c r="ADJ940" s="23"/>
      <c r="ADK940" s="23"/>
      <c r="ADL940" s="23"/>
      <c r="ADM940" s="23"/>
      <c r="ADN940" s="23"/>
      <c r="ADO940" s="23"/>
      <c r="ADP940" s="23"/>
      <c r="ADQ940" s="23"/>
      <c r="ADR940" s="23"/>
      <c r="ADS940" s="23"/>
      <c r="ADT940" s="23"/>
      <c r="ADU940" s="23"/>
      <c r="ADV940" s="23"/>
      <c r="ADW940" s="23"/>
      <c r="ADX940" s="23"/>
      <c r="ADY940" s="23"/>
      <c r="ADZ940" s="23"/>
      <c r="AEA940" s="23"/>
      <c r="AEB940" s="23"/>
      <c r="AEC940" s="23"/>
      <c r="AED940" s="23"/>
      <c r="AEE940" s="23"/>
      <c r="AEF940" s="23"/>
      <c r="AEG940" s="23"/>
      <c r="AEH940" s="23"/>
      <c r="AEI940" s="23"/>
      <c r="AEJ940" s="23"/>
      <c r="AEK940" s="23"/>
      <c r="AEL940" s="23"/>
      <c r="AEM940" s="23"/>
      <c r="AEN940" s="23"/>
      <c r="AEO940" s="23"/>
      <c r="AEP940" s="23"/>
      <c r="AEQ940" s="23"/>
      <c r="AER940" s="23"/>
      <c r="AES940" s="23"/>
      <c r="AET940" s="23"/>
      <c r="AEU940" s="23"/>
      <c r="AEV940" s="23"/>
      <c r="AEW940" s="23"/>
      <c r="AEX940" s="23"/>
      <c r="AEY940" s="23"/>
      <c r="AEZ940" s="23"/>
      <c r="AFA940" s="23"/>
      <c r="AFB940" s="23"/>
      <c r="AFC940" s="23"/>
      <c r="AFD940" s="23"/>
      <c r="AFE940" s="23"/>
      <c r="AFF940" s="23"/>
      <c r="AFG940" s="23"/>
      <c r="AFH940" s="23"/>
      <c r="AFI940" s="23"/>
      <c r="AFJ940" s="23"/>
      <c r="AFK940" s="23"/>
      <c r="AFL940" s="23"/>
      <c r="AFM940" s="23"/>
      <c r="AFN940" s="23"/>
      <c r="AFO940" s="23"/>
      <c r="AFP940" s="23"/>
      <c r="AFQ940" s="23"/>
      <c r="AFR940" s="23"/>
      <c r="AFS940" s="23"/>
      <c r="AFT940" s="23"/>
      <c r="AFU940" s="23"/>
      <c r="AFV940" s="23"/>
      <c r="AFW940" s="23"/>
      <c r="AFX940" s="23"/>
      <c r="AFY940" s="23"/>
      <c r="AFZ940" s="23"/>
      <c r="AGA940" s="23"/>
      <c r="AGB940" s="23"/>
      <c r="AGC940" s="23"/>
      <c r="AGD940" s="23"/>
      <c r="AGE940" s="23"/>
      <c r="AGF940" s="23"/>
      <c r="AGG940" s="23"/>
      <c r="AGH940" s="23"/>
      <c r="AGI940" s="23"/>
      <c r="AGJ940" s="23"/>
      <c r="AGK940" s="23"/>
      <c r="AGL940" s="23"/>
      <c r="AGM940" s="23"/>
      <c r="AGN940" s="23"/>
      <c r="AGO940" s="23"/>
      <c r="AGP940" s="23"/>
      <c r="AGQ940" s="23"/>
      <c r="AGR940" s="23"/>
      <c r="AGS940" s="23"/>
      <c r="AGT940" s="23"/>
      <c r="AGU940" s="23"/>
      <c r="AGV940" s="23"/>
      <c r="AGW940" s="23"/>
      <c r="AGX940" s="23"/>
      <c r="AGY940" s="23"/>
      <c r="AGZ940" s="23"/>
      <c r="AHA940" s="23"/>
      <c r="AHB940" s="23"/>
      <c r="AHC940" s="23"/>
      <c r="AHD940" s="23"/>
      <c r="AHE940" s="23"/>
      <c r="AHF940" s="23"/>
      <c r="AHG940" s="23"/>
      <c r="AHH940" s="23"/>
      <c r="AHI940" s="23"/>
      <c r="AHJ940" s="23"/>
      <c r="AHK940" s="23"/>
      <c r="AHL940" s="23"/>
      <c r="AHM940" s="23"/>
      <c r="AHN940" s="23"/>
      <c r="AHO940" s="23"/>
      <c r="AHP940" s="23"/>
      <c r="AHQ940" s="23"/>
      <c r="AHR940" s="23"/>
      <c r="AHS940" s="23"/>
      <c r="AHT940" s="23"/>
      <c r="AHU940" s="23"/>
      <c r="AHV940" s="23"/>
      <c r="AHW940" s="23"/>
      <c r="AHX940" s="23"/>
      <c r="AHY940" s="23"/>
      <c r="AHZ940" s="23"/>
      <c r="AIA940" s="23"/>
      <c r="AIB940" s="23"/>
      <c r="AIC940" s="23"/>
      <c r="AID940" s="23"/>
      <c r="AIE940" s="23"/>
      <c r="AIF940" s="23"/>
      <c r="AIG940" s="23"/>
      <c r="AIH940" s="23"/>
      <c r="AII940" s="23"/>
      <c r="AIJ940" s="23"/>
      <c r="AIK940" s="23"/>
      <c r="AIL940" s="23"/>
      <c r="AIM940" s="23"/>
      <c r="AIN940" s="23"/>
      <c r="AIO940" s="23"/>
      <c r="AIP940" s="23"/>
      <c r="AIQ940" s="23"/>
      <c r="AIR940" s="23"/>
      <c r="AIS940" s="23"/>
      <c r="AIT940" s="23"/>
      <c r="AIU940" s="23"/>
      <c r="AIV940" s="23"/>
      <c r="AIW940" s="23"/>
      <c r="AIX940" s="23"/>
      <c r="AIY940" s="23"/>
      <c r="AIZ940" s="23"/>
      <c r="AJA940" s="23"/>
      <c r="AJB940" s="23"/>
      <c r="AJC940" s="23"/>
      <c r="AJD940" s="23"/>
      <c r="AJE940" s="23"/>
      <c r="AJF940" s="23"/>
      <c r="AJG940" s="23"/>
      <c r="AJH940" s="23"/>
      <c r="AJI940" s="23"/>
      <c r="AJJ940" s="23"/>
      <c r="AJK940" s="23"/>
      <c r="AJL940" s="23"/>
      <c r="AJM940" s="23"/>
      <c r="AJN940" s="23"/>
      <c r="AJO940" s="23"/>
      <c r="AJP940" s="23"/>
      <c r="AJQ940" s="23"/>
      <c r="AJR940" s="23"/>
      <c r="AJS940" s="23"/>
      <c r="AJT940" s="23"/>
      <c r="AJU940" s="23"/>
      <c r="AJV940" s="23"/>
      <c r="AJW940" s="23"/>
      <c r="AJX940" s="23"/>
      <c r="AJY940" s="23"/>
      <c r="AJZ940" s="23"/>
      <c r="AKA940" s="23"/>
      <c r="AKB940" s="23"/>
      <c r="AKC940" s="23"/>
      <c r="AKD940" s="23"/>
      <c r="AKE940" s="23"/>
      <c r="AKF940" s="23"/>
      <c r="AKG940" s="23"/>
      <c r="AKH940" s="23"/>
      <c r="AKI940" s="23"/>
      <c r="AKJ940" s="23"/>
      <c r="AKK940" s="23"/>
      <c r="AKL940" s="23"/>
      <c r="AKM940" s="23"/>
      <c r="AKN940" s="23"/>
      <c r="AKO940" s="23"/>
      <c r="AKP940" s="23"/>
      <c r="AKQ940" s="23"/>
      <c r="AKR940" s="23"/>
      <c r="AKS940" s="23"/>
      <c r="AKT940" s="23"/>
      <c r="AKU940" s="23"/>
      <c r="AKV940" s="23"/>
      <c r="AKW940" s="23"/>
      <c r="AKX940" s="23"/>
      <c r="AKY940" s="23"/>
      <c r="AKZ940" s="23"/>
      <c r="ALA940" s="23"/>
      <c r="ALB940" s="23"/>
      <c r="ALC940" s="23"/>
      <c r="ALD940" s="23"/>
      <c r="ALE940" s="23"/>
      <c r="ALF940" s="23"/>
      <c r="ALG940" s="23"/>
      <c r="ALH940" s="23"/>
      <c r="ALI940" s="23"/>
      <c r="ALJ940" s="23"/>
      <c r="ALK940" s="23"/>
      <c r="ALL940" s="23"/>
      <c r="ALM940" s="23"/>
      <c r="ALN940" s="23"/>
      <c r="ALO940" s="23"/>
      <c r="ALP940" s="23"/>
      <c r="ALQ940" s="23"/>
      <c r="ALR940" s="23"/>
      <c r="ALS940" s="23"/>
      <c r="ALT940" s="23"/>
      <c r="ALU940" s="23"/>
      <c r="ALV940" s="23"/>
      <c r="ALW940" s="23"/>
      <c r="ALX940" s="23"/>
      <c r="ALY940" s="23"/>
      <c r="ALZ940" s="23"/>
      <c r="AMA940" s="23"/>
      <c r="AMB940" s="23"/>
      <c r="AMC940" s="23"/>
      <c r="AMD940" s="23"/>
      <c r="AME940" s="23"/>
      <c r="AMF940" s="23"/>
      <c r="AMG940" s="23"/>
      <c r="AMH940" s="23"/>
      <c r="AMI940" s="23"/>
      <c r="AMJ940" s="23"/>
      <c r="AMK940" s="23"/>
      <c r="AML940" s="23"/>
      <c r="AMM940" s="23"/>
      <c r="AMN940" s="23"/>
      <c r="AMO940" s="23"/>
      <c r="AMP940" s="23"/>
      <c r="AMQ940" s="23"/>
      <c r="AMR940" s="23"/>
      <c r="AMS940" s="23"/>
      <c r="AMT940" s="23"/>
      <c r="AMU940" s="23"/>
      <c r="AMV940" s="23"/>
      <c r="AMW940" s="23"/>
      <c r="AMX940" s="23"/>
      <c r="AMY940" s="23"/>
      <c r="AMZ940" s="23"/>
      <c r="ANA940" s="23"/>
      <c r="ANB940" s="23"/>
      <c r="ANC940" s="23"/>
      <c r="AND940" s="23"/>
      <c r="ANE940" s="23"/>
      <c r="ANF940" s="23"/>
      <c r="ANG940" s="23"/>
      <c r="ANH940" s="23"/>
      <c r="ANI940" s="23"/>
      <c r="ANJ940" s="23"/>
      <c r="ANK940" s="23"/>
      <c r="ANL940" s="23"/>
      <c r="ANM940" s="23"/>
      <c r="ANN940" s="23"/>
      <c r="ANO940" s="23"/>
      <c r="ANP940" s="23"/>
      <c r="ANQ940" s="23"/>
      <c r="ANR940" s="23"/>
      <c r="ANS940" s="23"/>
      <c r="ANT940" s="23"/>
      <c r="ANU940" s="23"/>
      <c r="ANV940" s="23"/>
      <c r="ANW940" s="23"/>
      <c r="ANX940" s="23"/>
      <c r="ANY940" s="23"/>
      <c r="ANZ940" s="23"/>
      <c r="AOA940" s="23"/>
      <c r="AOB940" s="23"/>
      <c r="AOC940" s="23"/>
      <c r="AOD940" s="23"/>
      <c r="AOE940" s="23"/>
      <c r="AOF940" s="23"/>
      <c r="AOG940" s="23"/>
      <c r="AOH940" s="23"/>
      <c r="AOI940" s="23"/>
      <c r="AOJ940" s="23"/>
      <c r="AOK940" s="23"/>
      <c r="AOL940" s="23"/>
      <c r="AOM940" s="23"/>
      <c r="AON940" s="23"/>
      <c r="AOO940" s="23"/>
      <c r="AOP940" s="23"/>
      <c r="AOQ940" s="23"/>
      <c r="AOR940" s="23"/>
      <c r="AOS940" s="23"/>
      <c r="AOT940" s="23"/>
      <c r="AOU940" s="23"/>
      <c r="AOV940" s="23"/>
      <c r="AOW940" s="23"/>
      <c r="AOX940" s="23"/>
      <c r="AOY940" s="23"/>
      <c r="AOZ940" s="23"/>
      <c r="APA940" s="23"/>
      <c r="APB940" s="23"/>
      <c r="APC940" s="23"/>
      <c r="APD940" s="23"/>
      <c r="APE940" s="23"/>
      <c r="APF940" s="23"/>
      <c r="APG940" s="23"/>
      <c r="APH940" s="23"/>
      <c r="API940" s="23"/>
      <c r="APJ940" s="23"/>
      <c r="APK940" s="23"/>
      <c r="APL940" s="23"/>
      <c r="APM940" s="23"/>
      <c r="APN940" s="23"/>
      <c r="APO940" s="23"/>
      <c r="APP940" s="23"/>
      <c r="APQ940" s="23"/>
      <c r="APR940" s="23"/>
      <c r="APS940" s="23"/>
      <c r="APT940" s="23"/>
      <c r="APU940" s="23"/>
      <c r="APV940" s="23"/>
      <c r="APW940" s="23"/>
      <c r="APX940" s="23"/>
      <c r="APY940" s="23"/>
      <c r="APZ940" s="23"/>
      <c r="AQA940" s="23"/>
      <c r="AQB940" s="23"/>
      <c r="AQC940" s="23"/>
      <c r="AQD940" s="23"/>
      <c r="AQE940" s="23"/>
      <c r="AQF940" s="23"/>
      <c r="AQG940" s="23"/>
      <c r="AQH940" s="23"/>
      <c r="AQI940" s="23"/>
      <c r="AQJ940" s="23"/>
      <c r="AQK940" s="23"/>
      <c r="AQL940" s="23"/>
      <c r="AQM940" s="23"/>
      <c r="AQN940" s="23"/>
      <c r="AQO940" s="23"/>
      <c r="AQP940" s="23"/>
      <c r="AQQ940" s="23"/>
      <c r="AQR940" s="23"/>
      <c r="AQS940" s="23"/>
      <c r="AQT940" s="23"/>
      <c r="AQU940" s="23"/>
      <c r="AQV940" s="23"/>
      <c r="AQW940" s="23"/>
      <c r="AQX940" s="23"/>
      <c r="AQY940" s="23"/>
      <c r="AQZ940" s="23"/>
      <c r="ARA940" s="23"/>
      <c r="ARB940" s="23"/>
      <c r="ARC940" s="23"/>
      <c r="ARD940" s="23"/>
      <c r="ARE940" s="23"/>
      <c r="ARF940" s="23"/>
      <c r="ARG940" s="23"/>
      <c r="ARH940" s="23"/>
      <c r="ARI940" s="23"/>
      <c r="ARJ940" s="23"/>
      <c r="ARK940" s="23"/>
      <c r="ARL940" s="23"/>
      <c r="ARM940" s="23"/>
      <c r="ARN940" s="23"/>
      <c r="ARO940" s="23"/>
      <c r="ARP940" s="23"/>
      <c r="ARQ940" s="23"/>
      <c r="ARR940" s="23"/>
      <c r="ARS940" s="23"/>
      <c r="ART940" s="23"/>
      <c r="ARU940" s="23"/>
      <c r="ARV940" s="23"/>
      <c r="ARW940" s="23"/>
      <c r="ARX940" s="23"/>
      <c r="ARY940" s="23"/>
      <c r="ARZ940" s="23"/>
      <c r="ASA940" s="23"/>
      <c r="ASB940" s="23"/>
      <c r="ASC940" s="23"/>
      <c r="ASD940" s="23"/>
      <c r="ASE940" s="23"/>
      <c r="ASF940" s="23"/>
      <c r="ASG940" s="23"/>
      <c r="ASH940" s="23"/>
      <c r="ASI940" s="23"/>
      <c r="ASJ940" s="23"/>
      <c r="ASK940" s="23"/>
      <c r="ASL940" s="23"/>
      <c r="ASM940" s="23"/>
      <c r="ASN940" s="23"/>
      <c r="ASO940" s="23"/>
      <c r="ASP940" s="23"/>
      <c r="ASQ940" s="23"/>
      <c r="ASR940" s="23"/>
      <c r="ASS940" s="23"/>
      <c r="AST940" s="23"/>
      <c r="ASU940" s="23"/>
      <c r="ASV940" s="23"/>
      <c r="ASW940" s="23"/>
      <c r="ASX940" s="23"/>
      <c r="ASY940" s="23"/>
      <c r="ASZ940" s="23"/>
      <c r="ATA940" s="23"/>
      <c r="ATB940" s="23"/>
      <c r="ATC940" s="23"/>
      <c r="ATD940" s="23"/>
      <c r="ATE940" s="23"/>
      <c r="ATF940" s="23"/>
      <c r="ATG940" s="23"/>
      <c r="ATH940" s="23"/>
      <c r="ATI940" s="23"/>
      <c r="ATJ940" s="23"/>
      <c r="ATK940" s="23"/>
      <c r="ATL940" s="23"/>
      <c r="ATM940" s="23"/>
      <c r="ATN940" s="23"/>
      <c r="ATO940" s="23"/>
      <c r="ATP940" s="23"/>
      <c r="ATQ940" s="23"/>
      <c r="ATR940" s="23"/>
      <c r="ATS940" s="23"/>
      <c r="ATT940" s="23"/>
      <c r="ATU940" s="23"/>
      <c r="ATV940" s="23"/>
      <c r="ATW940" s="23"/>
      <c r="ATX940" s="23"/>
      <c r="ATY940" s="23"/>
      <c r="ATZ940" s="23"/>
      <c r="AUA940" s="23"/>
      <c r="AUB940" s="23"/>
      <c r="AUC940" s="23"/>
      <c r="AUD940" s="23"/>
      <c r="AUE940" s="23"/>
      <c r="AUF940" s="23"/>
      <c r="AUG940" s="23"/>
      <c r="AUH940" s="23"/>
      <c r="AUI940" s="23"/>
      <c r="AUJ940" s="23"/>
      <c r="AUK940" s="23"/>
      <c r="AUL940" s="23"/>
      <c r="AUM940" s="23"/>
      <c r="AUN940" s="23"/>
      <c r="AUO940" s="23"/>
      <c r="AUP940" s="23"/>
      <c r="AUQ940" s="23"/>
      <c r="AUR940" s="23"/>
      <c r="AUS940" s="23"/>
      <c r="AUT940" s="23"/>
      <c r="AUU940" s="23"/>
      <c r="AUV940" s="23"/>
      <c r="AUW940" s="23"/>
      <c r="AUX940" s="23"/>
      <c r="AUY940" s="23"/>
      <c r="AUZ940" s="23"/>
      <c r="AVA940" s="23"/>
      <c r="AVB940" s="23"/>
      <c r="AVC940" s="23"/>
      <c r="AVD940" s="23"/>
      <c r="AVE940" s="23"/>
      <c r="AVF940" s="23"/>
      <c r="AVG940" s="23"/>
      <c r="AVH940" s="23"/>
      <c r="AVI940" s="23"/>
      <c r="AVJ940" s="23"/>
      <c r="AVK940" s="23"/>
      <c r="AVL940" s="23"/>
      <c r="AVM940" s="23"/>
      <c r="AVN940" s="23"/>
      <c r="AVO940" s="23"/>
      <c r="AVP940" s="23"/>
      <c r="AVQ940" s="23"/>
      <c r="AVR940" s="23"/>
      <c r="AVS940" s="23"/>
      <c r="AVT940" s="23"/>
      <c r="AVU940" s="23"/>
      <c r="AVV940" s="23"/>
      <c r="AVW940" s="23"/>
      <c r="AVX940" s="23"/>
      <c r="AVY940" s="23"/>
      <c r="AVZ940" s="23"/>
      <c r="AWA940" s="23"/>
      <c r="AWB940" s="23"/>
      <c r="AWC940" s="23"/>
      <c r="AWD940" s="23"/>
      <c r="AWE940" s="23"/>
      <c r="AWF940" s="23"/>
      <c r="AWG940" s="23"/>
      <c r="AWH940" s="23"/>
      <c r="AWI940" s="23"/>
      <c r="AWJ940" s="23"/>
      <c r="AWK940" s="23"/>
      <c r="AWL940" s="23"/>
      <c r="AWM940" s="23"/>
      <c r="AWN940" s="23"/>
      <c r="AWO940" s="23"/>
      <c r="AWP940" s="23"/>
      <c r="AWQ940" s="23"/>
      <c r="AWR940" s="23"/>
      <c r="AWS940" s="23"/>
      <c r="AWT940" s="23"/>
      <c r="AWU940" s="23"/>
      <c r="AWV940" s="23"/>
      <c r="AWW940" s="23"/>
      <c r="AWX940" s="23"/>
      <c r="AWY940" s="23"/>
      <c r="AWZ940" s="23"/>
      <c r="AXA940" s="23"/>
      <c r="AXB940" s="23"/>
      <c r="AXC940" s="23"/>
      <c r="AXD940" s="23"/>
      <c r="AXE940" s="23"/>
      <c r="AXF940" s="23"/>
      <c r="AXG940" s="23"/>
      <c r="AXH940" s="23"/>
      <c r="AXI940" s="23"/>
      <c r="AXJ940" s="23"/>
      <c r="AXK940" s="23"/>
      <c r="AXL940" s="23"/>
      <c r="AXM940" s="23"/>
      <c r="AXN940" s="23"/>
      <c r="AXO940" s="23"/>
      <c r="AXP940" s="23"/>
      <c r="AXQ940" s="23"/>
      <c r="AXR940" s="23"/>
      <c r="AXS940" s="23"/>
      <c r="AXT940" s="23"/>
      <c r="AXU940" s="23"/>
      <c r="AXV940" s="23"/>
      <c r="AXW940" s="23"/>
      <c r="AXX940" s="23"/>
      <c r="AXY940" s="23"/>
      <c r="AXZ940" s="23"/>
      <c r="AYA940" s="23"/>
      <c r="AYB940" s="23"/>
      <c r="AYC940" s="23"/>
      <c r="AYD940" s="23"/>
      <c r="AYE940" s="23"/>
      <c r="AYF940" s="23"/>
      <c r="AYG940" s="23"/>
      <c r="AYH940" s="23"/>
      <c r="AYI940" s="23"/>
      <c r="AYJ940" s="23"/>
      <c r="AYK940" s="23"/>
      <c r="AYL940" s="23"/>
      <c r="AYM940" s="23"/>
      <c r="AYN940" s="23"/>
      <c r="AYO940" s="23"/>
      <c r="AYP940" s="23"/>
      <c r="AYQ940" s="23"/>
      <c r="AYR940" s="23"/>
      <c r="AYS940" s="23"/>
      <c r="AYT940" s="23"/>
      <c r="AYU940" s="23"/>
      <c r="AYV940" s="23"/>
      <c r="AYW940" s="23"/>
      <c r="AYX940" s="23"/>
      <c r="AYY940" s="23"/>
      <c r="AYZ940" s="23"/>
      <c r="AZA940" s="23"/>
      <c r="AZB940" s="23"/>
      <c r="AZC940" s="23"/>
      <c r="AZD940" s="23"/>
      <c r="AZE940" s="23"/>
      <c r="AZF940" s="23"/>
      <c r="AZG940" s="23"/>
      <c r="AZH940" s="23"/>
      <c r="AZI940" s="23"/>
      <c r="AZJ940" s="23"/>
      <c r="AZK940" s="23"/>
      <c r="AZL940" s="23"/>
      <c r="AZM940" s="23"/>
      <c r="AZN940" s="23"/>
      <c r="AZO940" s="23"/>
      <c r="AZP940" s="23"/>
      <c r="AZQ940" s="23"/>
      <c r="AZR940" s="23"/>
      <c r="AZS940" s="23"/>
      <c r="AZT940" s="23"/>
      <c r="AZU940" s="23"/>
      <c r="AZV940" s="23"/>
      <c r="AZW940" s="23"/>
      <c r="AZX940" s="23"/>
      <c r="AZY940" s="23"/>
      <c r="AZZ940" s="23"/>
      <c r="BAA940" s="23"/>
      <c r="BAB940" s="23"/>
      <c r="BAC940" s="23"/>
      <c r="BAD940" s="23"/>
      <c r="BAE940" s="23"/>
      <c r="BAF940" s="23"/>
      <c r="BAG940" s="23"/>
      <c r="BAH940" s="23"/>
      <c r="BAI940" s="23"/>
      <c r="BAJ940" s="23"/>
      <c r="BAK940" s="23"/>
      <c r="BAL940" s="23"/>
      <c r="BAM940" s="23"/>
      <c r="BAN940" s="23"/>
      <c r="BAO940" s="23"/>
      <c r="BAP940" s="23"/>
      <c r="BAQ940" s="23"/>
      <c r="BAR940" s="23"/>
      <c r="BAS940" s="23"/>
      <c r="BAT940" s="23"/>
      <c r="BAU940" s="23"/>
      <c r="BAV940" s="23"/>
      <c r="BAW940" s="23"/>
      <c r="BAX940" s="23"/>
      <c r="BAY940" s="23"/>
      <c r="BAZ940" s="23"/>
      <c r="BBA940" s="23"/>
      <c r="BBB940" s="23"/>
      <c r="BBC940" s="23"/>
      <c r="BBD940" s="23"/>
      <c r="BBE940" s="23"/>
      <c r="BBF940" s="23"/>
      <c r="BBG940" s="23"/>
      <c r="BBH940" s="23"/>
      <c r="BBI940" s="23"/>
      <c r="BBJ940" s="23"/>
      <c r="BBK940" s="23"/>
      <c r="BBL940" s="23"/>
      <c r="BBM940" s="23"/>
      <c r="BBN940" s="23"/>
      <c r="BBO940" s="23"/>
      <c r="BBP940" s="23"/>
      <c r="BBQ940" s="23"/>
      <c r="BBR940" s="23"/>
      <c r="BBS940" s="23"/>
      <c r="BBT940" s="23"/>
      <c r="BBU940" s="23"/>
      <c r="BBV940" s="23"/>
      <c r="BBW940" s="23"/>
      <c r="BBX940" s="23"/>
      <c r="BBY940" s="23"/>
      <c r="BBZ940" s="23"/>
      <c r="BCA940" s="23"/>
      <c r="BCB940" s="23"/>
      <c r="BCC940" s="23"/>
      <c r="BCD940" s="23"/>
      <c r="BCE940" s="23"/>
      <c r="BCF940" s="23"/>
      <c r="BCG940" s="23"/>
      <c r="BCH940" s="23"/>
      <c r="BCI940" s="23"/>
      <c r="BCJ940" s="23"/>
      <c r="BCK940" s="23"/>
      <c r="BCL940" s="23"/>
      <c r="BCM940" s="23"/>
      <c r="BCN940" s="23"/>
      <c r="BCO940" s="23"/>
      <c r="BCP940" s="23"/>
      <c r="BCQ940" s="23"/>
      <c r="BCR940" s="23"/>
      <c r="BCS940" s="23"/>
      <c r="BCT940" s="23"/>
      <c r="BCU940" s="23"/>
      <c r="BCV940" s="23"/>
      <c r="BCW940" s="23"/>
      <c r="BCX940" s="23"/>
      <c r="BCY940" s="23"/>
      <c r="BCZ940" s="23"/>
      <c r="BDA940" s="23"/>
      <c r="BDB940" s="23"/>
      <c r="BDC940" s="23"/>
      <c r="BDD940" s="23"/>
      <c r="BDE940" s="23"/>
      <c r="BDF940" s="23"/>
      <c r="BDG940" s="23"/>
      <c r="BDH940" s="23"/>
      <c r="BDI940" s="23"/>
      <c r="BDJ940" s="23"/>
      <c r="BDK940" s="23"/>
      <c r="BDL940" s="23"/>
      <c r="BDM940" s="23"/>
      <c r="BDN940" s="23"/>
      <c r="BDO940" s="23"/>
      <c r="BDP940" s="23"/>
      <c r="BDQ940" s="23"/>
      <c r="BDR940" s="23"/>
      <c r="BDS940" s="23"/>
      <c r="BDT940" s="23"/>
      <c r="BDU940" s="23"/>
      <c r="BDV940" s="23"/>
      <c r="BDW940" s="23"/>
      <c r="BDX940" s="23"/>
      <c r="BDY940" s="23"/>
      <c r="BDZ940" s="23"/>
      <c r="BEA940" s="23"/>
      <c r="BEB940" s="23"/>
      <c r="BEC940" s="23"/>
      <c r="BED940" s="23"/>
      <c r="BEE940" s="23"/>
      <c r="BEF940" s="23"/>
      <c r="BEG940" s="23"/>
      <c r="BEH940" s="23"/>
      <c r="BEI940" s="23"/>
      <c r="BEJ940" s="23"/>
      <c r="BEK940" s="23"/>
      <c r="BEL940" s="23"/>
      <c r="BEM940" s="23"/>
      <c r="BEN940" s="23"/>
      <c r="BEO940" s="23"/>
      <c r="BEP940" s="23"/>
      <c r="BEQ940" s="23"/>
      <c r="BER940" s="23"/>
      <c r="BES940" s="23"/>
      <c r="BET940" s="23"/>
      <c r="BEU940" s="23"/>
      <c r="BEV940" s="23"/>
      <c r="BEW940" s="23"/>
      <c r="BEX940" s="23"/>
      <c r="BEY940" s="23"/>
      <c r="BEZ940" s="23"/>
      <c r="BFA940" s="23"/>
      <c r="BFB940" s="23"/>
      <c r="BFC940" s="23"/>
      <c r="BFD940" s="23"/>
      <c r="BFE940" s="23"/>
      <c r="BFF940" s="23"/>
      <c r="BFG940" s="23"/>
      <c r="BFH940" s="23"/>
      <c r="BFI940" s="23"/>
      <c r="BFJ940" s="23"/>
      <c r="BFK940" s="23"/>
      <c r="BFL940" s="23"/>
      <c r="BFM940" s="23"/>
      <c r="BFN940" s="23"/>
      <c r="BFO940" s="23"/>
      <c r="BFP940" s="23"/>
      <c r="BFQ940" s="23"/>
      <c r="BFR940" s="23"/>
      <c r="BFS940" s="23"/>
      <c r="BFT940" s="23"/>
      <c r="BFU940" s="23"/>
      <c r="BFV940" s="23"/>
      <c r="BFW940" s="23"/>
      <c r="BFX940" s="23"/>
      <c r="BFY940" s="23"/>
      <c r="BFZ940" s="23"/>
      <c r="BGA940" s="23"/>
      <c r="BGB940" s="23"/>
      <c r="BGC940" s="23"/>
      <c r="BGD940" s="23"/>
      <c r="BGE940" s="23"/>
      <c r="BGF940" s="23"/>
      <c r="BGG940" s="23"/>
      <c r="BGH940" s="23"/>
      <c r="BGI940" s="23"/>
      <c r="BGJ940" s="23"/>
      <c r="BGK940" s="23"/>
      <c r="BGL940" s="23"/>
      <c r="BGM940" s="23"/>
      <c r="BGN940" s="23"/>
      <c r="BGO940" s="23"/>
      <c r="BGP940" s="23"/>
      <c r="BGQ940" s="23"/>
      <c r="BGR940" s="23"/>
      <c r="BGS940" s="23"/>
      <c r="BGT940" s="23"/>
      <c r="BGU940" s="23"/>
      <c r="BGV940" s="23"/>
      <c r="BGW940" s="23"/>
      <c r="BGX940" s="23"/>
      <c r="BGY940" s="23"/>
      <c r="BGZ940" s="23"/>
      <c r="BHA940" s="23"/>
      <c r="BHB940" s="23"/>
      <c r="BHC940" s="23"/>
      <c r="BHD940" s="23"/>
      <c r="BHE940" s="23"/>
      <c r="BHF940" s="23"/>
      <c r="BHG940" s="23"/>
      <c r="BHH940" s="23"/>
      <c r="BHI940" s="23"/>
      <c r="BHJ940" s="23"/>
      <c r="BHK940" s="23"/>
      <c r="BHL940" s="23"/>
      <c r="BHM940" s="23"/>
      <c r="BHN940" s="23"/>
      <c r="BHO940" s="23"/>
      <c r="BHP940" s="23"/>
      <c r="BHQ940" s="23"/>
      <c r="BHR940" s="23"/>
      <c r="BHS940" s="23"/>
      <c r="BHT940" s="23"/>
      <c r="BHU940" s="23"/>
      <c r="BHV940" s="23"/>
      <c r="BHW940" s="23"/>
      <c r="BHX940" s="23"/>
      <c r="BHY940" s="23"/>
      <c r="BHZ940" s="23"/>
      <c r="BIA940" s="23"/>
      <c r="BIB940" s="23"/>
      <c r="BIC940" s="23"/>
      <c r="BID940" s="23"/>
      <c r="BIE940" s="23"/>
      <c r="BIF940" s="23"/>
      <c r="BIG940" s="23"/>
      <c r="BIH940" s="23"/>
      <c r="BII940" s="23"/>
      <c r="BIJ940" s="23"/>
      <c r="BIK940" s="23"/>
      <c r="BIL940" s="23"/>
      <c r="BIM940" s="23"/>
      <c r="BIN940" s="23"/>
      <c r="BIO940" s="23"/>
      <c r="BIP940" s="23"/>
      <c r="BIQ940" s="23"/>
      <c r="BIR940" s="23"/>
      <c r="BIS940" s="23"/>
      <c r="BIT940" s="23"/>
      <c r="BIU940" s="23"/>
      <c r="BIV940" s="23"/>
      <c r="BIW940" s="23"/>
      <c r="BIX940" s="23"/>
      <c r="BIY940" s="23"/>
      <c r="BIZ940" s="23"/>
      <c r="BJA940" s="23"/>
      <c r="BJB940" s="23"/>
      <c r="BJC940" s="23"/>
      <c r="BJD940" s="23"/>
      <c r="BJE940" s="23"/>
      <c r="BJF940" s="23"/>
      <c r="BJG940" s="23"/>
      <c r="BJH940" s="23"/>
      <c r="BJI940" s="23"/>
      <c r="BJJ940" s="23"/>
      <c r="BJK940" s="23"/>
      <c r="BJL940" s="23"/>
      <c r="BJM940" s="23"/>
      <c r="BJN940" s="23"/>
      <c r="BJO940" s="23"/>
      <c r="BJP940" s="23"/>
      <c r="BJQ940" s="23"/>
      <c r="BJR940" s="23"/>
      <c r="BJS940" s="23"/>
      <c r="BJT940" s="23"/>
      <c r="BJU940" s="23"/>
      <c r="BJV940" s="23"/>
      <c r="BJW940" s="23"/>
      <c r="BJX940" s="23"/>
      <c r="BJY940" s="23"/>
      <c r="BJZ940" s="23"/>
      <c r="BKA940" s="23"/>
      <c r="BKB940" s="23"/>
      <c r="BKC940" s="23"/>
      <c r="BKD940" s="23"/>
      <c r="BKE940" s="23"/>
      <c r="BKF940" s="23"/>
      <c r="BKG940" s="23"/>
      <c r="BKH940" s="23"/>
      <c r="BKI940" s="23"/>
      <c r="BKJ940" s="23"/>
      <c r="BKK940" s="23"/>
      <c r="BKL940" s="23"/>
      <c r="BKM940" s="23"/>
      <c r="BKN940" s="23"/>
      <c r="BKO940" s="23"/>
      <c r="BKP940" s="23"/>
      <c r="BKQ940" s="23"/>
      <c r="BKR940" s="23"/>
      <c r="BKS940" s="23"/>
      <c r="BKT940" s="23"/>
      <c r="BKU940" s="23"/>
      <c r="BKV940" s="23"/>
      <c r="BKW940" s="23"/>
      <c r="BKX940" s="23"/>
      <c r="BKY940" s="23"/>
      <c r="BKZ940" s="23"/>
      <c r="BLA940" s="23"/>
      <c r="BLB940" s="23"/>
      <c r="BLC940" s="23"/>
      <c r="BLD940" s="23"/>
      <c r="BLE940" s="23"/>
      <c r="BLF940" s="23"/>
      <c r="BLG940" s="23"/>
      <c r="BLH940" s="23"/>
      <c r="BLI940" s="23"/>
      <c r="BLJ940" s="23"/>
      <c r="BLK940" s="23"/>
      <c r="BLL940" s="23"/>
      <c r="BLM940" s="23"/>
      <c r="BLN940" s="23"/>
      <c r="BLO940" s="23"/>
      <c r="BLP940" s="23"/>
      <c r="BLQ940" s="23"/>
      <c r="BLR940" s="23"/>
      <c r="BLS940" s="23"/>
      <c r="BLT940" s="23"/>
      <c r="BLU940" s="23"/>
      <c r="BLV940" s="23"/>
      <c r="BLW940" s="23"/>
      <c r="BLX940" s="23"/>
      <c r="BLY940" s="23"/>
      <c r="BLZ940" s="23"/>
      <c r="BMA940" s="23"/>
      <c r="BMB940" s="23"/>
      <c r="BMC940" s="23"/>
      <c r="BMD940" s="23"/>
      <c r="BME940" s="23"/>
      <c r="BMF940" s="23"/>
      <c r="BMG940" s="23"/>
      <c r="BMH940" s="23"/>
      <c r="BMI940" s="23"/>
      <c r="BMJ940" s="23"/>
      <c r="BMK940" s="23"/>
      <c r="BML940" s="23"/>
      <c r="BMM940" s="23"/>
      <c r="BMN940" s="23"/>
      <c r="BMO940" s="23"/>
      <c r="BMP940" s="23"/>
      <c r="BMQ940" s="23"/>
      <c r="BMR940" s="23"/>
      <c r="BMS940" s="23"/>
      <c r="BMT940" s="23"/>
      <c r="BMU940" s="23"/>
      <c r="BMV940" s="23"/>
      <c r="BMW940" s="23"/>
      <c r="BMX940" s="23"/>
      <c r="BMY940" s="23"/>
      <c r="BMZ940" s="23"/>
      <c r="BNA940" s="23"/>
      <c r="BNB940" s="23"/>
      <c r="BNC940" s="23"/>
      <c r="BND940" s="23"/>
      <c r="BNE940" s="23"/>
      <c r="BNF940" s="23"/>
      <c r="BNG940" s="23"/>
      <c r="BNH940" s="23"/>
      <c r="BNI940" s="23"/>
      <c r="BNJ940" s="23"/>
      <c r="BNK940" s="23"/>
      <c r="BNL940" s="23"/>
      <c r="BNM940" s="23"/>
      <c r="BNN940" s="23"/>
      <c r="BNO940" s="23"/>
      <c r="BNP940" s="23"/>
      <c r="BNQ940" s="23"/>
      <c r="BNR940" s="23"/>
      <c r="BNS940" s="23"/>
      <c r="BNT940" s="23"/>
      <c r="BNU940" s="23"/>
      <c r="BNV940" s="23"/>
      <c r="BNW940" s="23"/>
      <c r="BNX940" s="23"/>
      <c r="BNY940" s="23"/>
      <c r="BNZ940" s="23"/>
      <c r="BOA940" s="23"/>
      <c r="BOB940" s="23"/>
      <c r="BOC940" s="23"/>
      <c r="BOD940" s="23"/>
      <c r="BOE940" s="23"/>
      <c r="BOF940" s="23"/>
      <c r="BOG940" s="23"/>
      <c r="BOH940" s="23"/>
      <c r="BOI940" s="23"/>
      <c r="BOJ940" s="23"/>
      <c r="BOK940" s="23"/>
      <c r="BOL940" s="23"/>
      <c r="BOM940" s="23"/>
      <c r="BON940" s="23"/>
      <c r="BOO940" s="23"/>
      <c r="BOP940" s="23"/>
      <c r="BOQ940" s="23"/>
      <c r="BOR940" s="23"/>
      <c r="BOS940" s="23"/>
      <c r="BOT940" s="23"/>
      <c r="BOU940" s="23"/>
      <c r="BOV940" s="23"/>
      <c r="BOW940" s="23"/>
      <c r="BOX940" s="23"/>
      <c r="BOY940" s="23"/>
      <c r="BOZ940" s="23"/>
      <c r="BPA940" s="23"/>
      <c r="BPB940" s="23"/>
      <c r="BPC940" s="23"/>
      <c r="BPD940" s="23"/>
      <c r="BPE940" s="23"/>
      <c r="BPF940" s="23"/>
      <c r="BPG940" s="23"/>
      <c r="BPH940" s="23"/>
      <c r="BPI940" s="23"/>
      <c r="BPJ940" s="23"/>
      <c r="BPK940" s="23"/>
      <c r="BPL940" s="23"/>
      <c r="BPM940" s="23"/>
      <c r="BPN940" s="23"/>
      <c r="BPO940" s="23"/>
      <c r="BPP940" s="23"/>
      <c r="BPQ940" s="23"/>
      <c r="BPR940" s="23"/>
      <c r="BPS940" s="23"/>
      <c r="BPT940" s="23"/>
      <c r="BPU940" s="23"/>
      <c r="BPV940" s="23"/>
      <c r="BPW940" s="23"/>
      <c r="BPX940" s="23"/>
      <c r="BPY940" s="23"/>
      <c r="BPZ940" s="23"/>
      <c r="BQA940" s="23"/>
      <c r="BQB940" s="23"/>
      <c r="BQC940" s="23"/>
      <c r="BQD940" s="23"/>
      <c r="BQE940" s="23"/>
      <c r="BQF940" s="23"/>
      <c r="BQG940" s="23"/>
      <c r="BQH940" s="23"/>
      <c r="BQI940" s="23"/>
      <c r="BQJ940" s="23"/>
      <c r="BQK940" s="23"/>
      <c r="BQL940" s="23"/>
      <c r="BQM940" s="23"/>
      <c r="BQN940" s="23"/>
      <c r="BQO940" s="23"/>
      <c r="BQP940" s="23"/>
      <c r="BQQ940" s="23"/>
      <c r="BQR940" s="23"/>
      <c r="BQS940" s="23"/>
      <c r="BQT940" s="23"/>
      <c r="BQU940" s="23"/>
      <c r="BQV940" s="23"/>
      <c r="BQW940" s="23"/>
      <c r="BQX940" s="23"/>
      <c r="BQY940" s="23"/>
      <c r="BQZ940" s="23"/>
      <c r="BRA940" s="23"/>
      <c r="BRB940" s="23"/>
      <c r="BRC940" s="23"/>
      <c r="BRD940" s="23"/>
      <c r="BRE940" s="23"/>
      <c r="BRF940" s="23"/>
      <c r="BRG940" s="23"/>
      <c r="BRH940" s="23"/>
      <c r="BRI940" s="23"/>
      <c r="BRJ940" s="23"/>
      <c r="BRK940" s="23"/>
      <c r="BRL940" s="23"/>
      <c r="BRM940" s="23"/>
      <c r="BRN940" s="23"/>
      <c r="BRO940" s="23"/>
      <c r="BRP940" s="23"/>
      <c r="BRQ940" s="23"/>
      <c r="BRR940" s="23"/>
      <c r="BRS940" s="23"/>
      <c r="BRT940" s="23"/>
      <c r="BRU940" s="23"/>
      <c r="BRV940" s="23"/>
      <c r="BRW940" s="23"/>
      <c r="BRX940" s="23"/>
      <c r="BRY940" s="23"/>
      <c r="BRZ940" s="23"/>
      <c r="BSA940" s="23"/>
      <c r="BSB940" s="23"/>
      <c r="BSC940" s="23"/>
      <c r="BSD940" s="23"/>
      <c r="BSE940" s="23"/>
      <c r="BSF940" s="23"/>
      <c r="BSG940" s="23"/>
      <c r="BSH940" s="23"/>
      <c r="BSI940" s="23"/>
      <c r="BSJ940" s="23"/>
      <c r="BSK940" s="23"/>
      <c r="BSL940" s="23"/>
      <c r="BSM940" s="23"/>
      <c r="BSN940" s="23"/>
      <c r="BSO940" s="23"/>
      <c r="BSP940" s="23"/>
      <c r="BSQ940" s="23"/>
      <c r="BSR940" s="23"/>
      <c r="BSS940" s="23"/>
      <c r="BST940" s="23"/>
      <c r="BSU940" s="23"/>
      <c r="BSV940" s="23"/>
      <c r="BSW940" s="23"/>
      <c r="BSX940" s="23"/>
      <c r="BSY940" s="23"/>
      <c r="BSZ940" s="23"/>
      <c r="BTA940" s="23"/>
    </row>
    <row r="941" spans="1:1873" s="23" customFormat="1" x14ac:dyDescent="0.2">
      <c r="A941" s="273" t="s">
        <v>754</v>
      </c>
      <c r="B941" s="273" t="s">
        <v>820</v>
      </c>
      <c r="C941" s="569" t="s">
        <v>1116</v>
      </c>
      <c r="D941" s="273" t="s">
        <v>619</v>
      </c>
      <c r="E941" s="462" t="s">
        <v>831</v>
      </c>
      <c r="F941" s="462">
        <v>5</v>
      </c>
      <c r="G941" s="273">
        <v>1</v>
      </c>
      <c r="H941" s="468">
        <v>5</v>
      </c>
      <c r="I941" s="273" t="s">
        <v>621</v>
      </c>
      <c r="J941" s="273">
        <v>1986</v>
      </c>
      <c r="K941" s="463" t="s">
        <v>1211</v>
      </c>
      <c r="L941" s="273">
        <v>1990</v>
      </c>
      <c r="M941" s="471">
        <v>5.9</v>
      </c>
      <c r="N941" s="471">
        <v>-9999</v>
      </c>
      <c r="O941" s="1"/>
      <c r="P941" s="414">
        <f>+P940+W941</f>
        <v>34.400000000000006</v>
      </c>
      <c r="Q941" s="273">
        <v>-9999</v>
      </c>
      <c r="R941" s="471"/>
      <c r="S941" s="273"/>
      <c r="T941" s="471">
        <f>+P941/F941</f>
        <v>6.8800000000000008</v>
      </c>
      <c r="U941" s="273">
        <v>-9999</v>
      </c>
      <c r="V941" s="273"/>
      <c r="W941" s="471">
        <v>5.9</v>
      </c>
      <c r="X941" s="468">
        <v>-9999</v>
      </c>
      <c r="Y941" s="468"/>
      <c r="Z941" s="273" t="s">
        <v>822</v>
      </c>
      <c r="AA941" s="385">
        <v>308642</v>
      </c>
      <c r="AB941" s="471">
        <v>0.98</v>
      </c>
      <c r="AC941" s="273">
        <v>-9999</v>
      </c>
      <c r="AD941" s="273">
        <v>100</v>
      </c>
      <c r="AE941" s="461" t="s">
        <v>1971</v>
      </c>
      <c r="AF941" s="273">
        <v>3</v>
      </c>
      <c r="AG941" s="273" t="s">
        <v>823</v>
      </c>
      <c r="AH941" s="273" t="s">
        <v>623</v>
      </c>
      <c r="AI941" s="273" t="s">
        <v>824</v>
      </c>
      <c r="AJ941" s="273" t="s">
        <v>825</v>
      </c>
      <c r="AK941" s="273" t="s">
        <v>625</v>
      </c>
      <c r="AL941" s="273" t="s">
        <v>653</v>
      </c>
      <c r="AM941" s="273">
        <v>-9999</v>
      </c>
      <c r="AN941" s="273" t="s">
        <v>626</v>
      </c>
      <c r="AO941" s="273" t="s">
        <v>826</v>
      </c>
      <c r="AP941" s="273" t="s">
        <v>827</v>
      </c>
      <c r="AQ941" s="273" t="s">
        <v>626</v>
      </c>
      <c r="AR941" s="273">
        <f>+AR940+0</f>
        <v>200</v>
      </c>
      <c r="AS941" s="273">
        <v>-9999</v>
      </c>
      <c r="AT941" s="273">
        <v>-9999</v>
      </c>
      <c r="AU941" s="273">
        <f>+AU940+0</f>
        <v>43</v>
      </c>
      <c r="AV941" s="273">
        <v>-9999</v>
      </c>
      <c r="AW941" s="273">
        <v>-9999</v>
      </c>
      <c r="AX941" s="273">
        <f>+AX940+0</f>
        <v>83</v>
      </c>
      <c r="AY941" s="273">
        <v>-9999</v>
      </c>
      <c r="AZ941" s="273">
        <v>-9999</v>
      </c>
      <c r="BA941" s="273" t="s">
        <v>725</v>
      </c>
      <c r="BB941" s="273" t="s">
        <v>626</v>
      </c>
      <c r="BC941" s="273" t="s">
        <v>829</v>
      </c>
      <c r="BD941" s="273" t="s">
        <v>830</v>
      </c>
      <c r="BE941" s="273"/>
      <c r="BF941" s="273">
        <v>-9999</v>
      </c>
      <c r="BG941" s="273">
        <v>-9999</v>
      </c>
      <c r="BH941" s="273">
        <v>-9999</v>
      </c>
      <c r="BI941" s="273" t="s">
        <v>1119</v>
      </c>
      <c r="BJ941" s="273">
        <v>-9999</v>
      </c>
      <c r="BK941" s="273">
        <v>-9999</v>
      </c>
      <c r="BL941" s="273">
        <v>-9999</v>
      </c>
      <c r="BM941" s="273">
        <v>-9999</v>
      </c>
      <c r="BN941" s="273">
        <v>-9999</v>
      </c>
      <c r="BO941" s="273">
        <v>-9999</v>
      </c>
      <c r="BP941" s="273">
        <v>-9999</v>
      </c>
      <c r="BQ941" s="273">
        <v>-9999</v>
      </c>
      <c r="BR941" s="468">
        <v>-9999</v>
      </c>
      <c r="BS941" s="468">
        <v>-9999</v>
      </c>
      <c r="BT941" s="273">
        <v>-9999</v>
      </c>
      <c r="BU941" s="468">
        <v>-9999</v>
      </c>
      <c r="BV941" s="468">
        <v>-9999</v>
      </c>
      <c r="BW941" s="468"/>
      <c r="BX941" s="273">
        <v>-9999</v>
      </c>
      <c r="BY941" s="273">
        <v>-9999</v>
      </c>
      <c r="BZ941" s="273">
        <v>-9999</v>
      </c>
      <c r="CA941" s="472">
        <v>-9999</v>
      </c>
      <c r="CB941" s="568" t="s">
        <v>1118</v>
      </c>
      <c r="CC941" s="462">
        <v>5</v>
      </c>
      <c r="CD941" s="273">
        <v>1</v>
      </c>
      <c r="CE941" s="292">
        <v>6.8800000000000008</v>
      </c>
      <c r="CF941" s="292">
        <v>5.9</v>
      </c>
      <c r="CG941" s="93">
        <v>5</v>
      </c>
    </row>
    <row r="942" spans="1:1873" s="23" customFormat="1" x14ac:dyDescent="0.2">
      <c r="A942" s="273"/>
      <c r="B942" s="273"/>
      <c r="C942" s="569"/>
      <c r="D942" s="273"/>
      <c r="E942" s="462"/>
      <c r="F942" s="462"/>
      <c r="G942" s="273"/>
      <c r="H942" s="468"/>
      <c r="I942" s="273"/>
      <c r="J942" s="273"/>
      <c r="K942" s="273"/>
      <c r="L942" s="273"/>
      <c r="M942" s="471"/>
      <c r="N942" s="471"/>
      <c r="O942" s="1"/>
      <c r="P942" s="414"/>
      <c r="Q942" s="273"/>
      <c r="R942" s="471"/>
      <c r="S942" s="273"/>
      <c r="T942" s="471"/>
      <c r="U942" s="273"/>
      <c r="V942" s="273"/>
      <c r="W942" s="471"/>
      <c r="X942" s="468"/>
      <c r="Y942" s="468"/>
      <c r="Z942" s="273"/>
      <c r="AA942" s="273"/>
      <c r="AB942" s="471"/>
      <c r="AC942" s="273"/>
      <c r="AD942" s="273"/>
      <c r="AE942" s="273"/>
      <c r="AF942" s="273"/>
      <c r="AG942" s="273"/>
      <c r="AH942" s="273"/>
      <c r="AI942" s="273"/>
      <c r="AJ942" s="273"/>
      <c r="AK942" s="273"/>
      <c r="AL942" s="273"/>
      <c r="AM942" s="273"/>
      <c r="AN942" s="273"/>
      <c r="AO942" s="273"/>
      <c r="AP942" s="273"/>
      <c r="AQ942" s="273"/>
      <c r="AR942" s="273"/>
      <c r="AS942" s="273"/>
      <c r="AT942" s="273"/>
      <c r="AU942" s="273"/>
      <c r="AV942" s="273"/>
      <c r="AW942" s="273"/>
      <c r="AX942" s="273"/>
      <c r="AY942" s="273"/>
      <c r="AZ942" s="273"/>
      <c r="BA942" s="273"/>
      <c r="BB942" s="273"/>
      <c r="BC942" s="273"/>
      <c r="BD942" s="273"/>
      <c r="BE942" s="273"/>
      <c r="BF942" s="273"/>
      <c r="BG942" s="273"/>
      <c r="BH942" s="273"/>
      <c r="BI942" s="273"/>
      <c r="BJ942" s="273"/>
      <c r="BK942" s="273"/>
      <c r="BL942" s="273"/>
      <c r="BM942" s="273"/>
      <c r="BN942" s="273"/>
      <c r="BO942" s="273"/>
      <c r="BP942" s="273"/>
      <c r="BQ942" s="273"/>
      <c r="BR942" s="468"/>
      <c r="BS942" s="468"/>
      <c r="BT942" s="273"/>
      <c r="BU942" s="468"/>
      <c r="BV942" s="468"/>
      <c r="BW942" s="468"/>
      <c r="BX942" s="273"/>
      <c r="BY942" s="273"/>
      <c r="BZ942" s="273"/>
      <c r="CA942" s="472"/>
      <c r="CB942" s="568"/>
      <c r="CC942" s="462"/>
      <c r="CD942" s="273"/>
      <c r="CE942" s="342" t="s">
        <v>1576</v>
      </c>
      <c r="CF942" s="342" t="s">
        <v>1575</v>
      </c>
      <c r="CG942" s="93"/>
    </row>
    <row r="943" spans="1:1873" s="23" customFormat="1" x14ac:dyDescent="0.2">
      <c r="A943" s="273" t="s">
        <v>754</v>
      </c>
      <c r="B943" s="273" t="s">
        <v>820</v>
      </c>
      <c r="C943" s="569" t="s">
        <v>1117</v>
      </c>
      <c r="D943" s="273" t="s">
        <v>619</v>
      </c>
      <c r="E943" s="462" t="s">
        <v>831</v>
      </c>
      <c r="F943" s="462">
        <v>1</v>
      </c>
      <c r="G943" s="273">
        <v>1</v>
      </c>
      <c r="H943" s="468">
        <v>1</v>
      </c>
      <c r="I943" s="273" t="s">
        <v>621</v>
      </c>
      <c r="J943" s="273">
        <v>1986</v>
      </c>
      <c r="K943" s="463" t="s">
        <v>1211</v>
      </c>
      <c r="L943" s="273">
        <v>1986</v>
      </c>
      <c r="M943" s="471">
        <v>3</v>
      </c>
      <c r="N943" s="471">
        <v>-9999</v>
      </c>
      <c r="O943" s="1"/>
      <c r="P943" s="414">
        <f>+W943</f>
        <v>3</v>
      </c>
      <c r="Q943" s="273">
        <v>-9999</v>
      </c>
      <c r="R943" s="471"/>
      <c r="S943" s="273"/>
      <c r="T943" s="471">
        <f>+P943/F943</f>
        <v>3</v>
      </c>
      <c r="U943" s="273">
        <v>-9999</v>
      </c>
      <c r="V943" s="273"/>
      <c r="W943" s="471">
        <v>3</v>
      </c>
      <c r="X943" s="468">
        <v>-9999</v>
      </c>
      <c r="Y943" s="468"/>
      <c r="Z943" s="273" t="s">
        <v>622</v>
      </c>
      <c r="AA943" s="385">
        <v>111111</v>
      </c>
      <c r="AB943" s="471">
        <v>0.98</v>
      </c>
      <c r="AC943" s="273">
        <v>-9999</v>
      </c>
      <c r="AD943" s="385">
        <v>175</v>
      </c>
      <c r="AE943" s="461" t="s">
        <v>1971</v>
      </c>
      <c r="AF943" s="273">
        <v>3</v>
      </c>
      <c r="AG943" s="273" t="s">
        <v>823</v>
      </c>
      <c r="AH943" s="273" t="s">
        <v>623</v>
      </c>
      <c r="AI943" s="273" t="s">
        <v>824</v>
      </c>
      <c r="AJ943" s="273" t="s">
        <v>825</v>
      </c>
      <c r="AK943" s="273" t="s">
        <v>625</v>
      </c>
      <c r="AL943" s="273" t="s">
        <v>653</v>
      </c>
      <c r="AM943" s="273">
        <v>-9999</v>
      </c>
      <c r="AN943" s="273" t="s">
        <v>626</v>
      </c>
      <c r="AO943" s="273" t="s">
        <v>826</v>
      </c>
      <c r="AP943" s="273" t="s">
        <v>827</v>
      </c>
      <c r="AQ943" s="273" t="s">
        <v>626</v>
      </c>
      <c r="AR943" s="273">
        <v>100</v>
      </c>
      <c r="AS943" s="273" t="s">
        <v>724</v>
      </c>
      <c r="AT943" s="273" t="s">
        <v>755</v>
      </c>
      <c r="AU943" s="273">
        <v>43</v>
      </c>
      <c r="AV943" s="273" t="s">
        <v>226</v>
      </c>
      <c r="AW943" s="273" t="s">
        <v>755</v>
      </c>
      <c r="AX943" s="273">
        <v>83</v>
      </c>
      <c r="AY943" s="273" t="s">
        <v>226</v>
      </c>
      <c r="AZ943" s="273" t="s">
        <v>755</v>
      </c>
      <c r="BA943" s="273" t="s">
        <v>725</v>
      </c>
      <c r="BB943" s="273" t="s">
        <v>626</v>
      </c>
      <c r="BC943" s="273" t="s">
        <v>829</v>
      </c>
      <c r="BD943" s="273" t="s">
        <v>830</v>
      </c>
      <c r="BE943" s="273"/>
      <c r="BF943" s="273">
        <v>-9999</v>
      </c>
      <c r="BG943" s="273">
        <v>-9999</v>
      </c>
      <c r="BH943" s="273">
        <v>-9999</v>
      </c>
      <c r="BI943" s="273" t="s">
        <v>1119</v>
      </c>
      <c r="BJ943" s="273">
        <v>-9999</v>
      </c>
      <c r="BK943" s="273">
        <v>-9999</v>
      </c>
      <c r="BL943" s="273">
        <v>-9999</v>
      </c>
      <c r="BM943" s="273">
        <v>-9999</v>
      </c>
      <c r="BN943" s="273">
        <v>-9999</v>
      </c>
      <c r="BO943" s="273">
        <v>-9999</v>
      </c>
      <c r="BP943" s="273">
        <v>-9999</v>
      </c>
      <c r="BQ943" s="273">
        <v>-9999</v>
      </c>
      <c r="BR943" s="468">
        <v>-9999</v>
      </c>
      <c r="BS943" s="468">
        <v>-9999</v>
      </c>
      <c r="BT943" s="273">
        <v>-9999</v>
      </c>
      <c r="BU943" s="468">
        <v>-9999</v>
      </c>
      <c r="BV943" s="468">
        <v>-9999</v>
      </c>
      <c r="BW943" s="468"/>
      <c r="BX943" s="273">
        <v>-9999</v>
      </c>
      <c r="BY943" s="273">
        <v>-9999</v>
      </c>
      <c r="BZ943" s="273">
        <v>-9999</v>
      </c>
      <c r="CA943" s="472">
        <v>-9999</v>
      </c>
      <c r="CB943" s="568" t="s">
        <v>1118</v>
      </c>
      <c r="CC943" s="462">
        <v>1</v>
      </c>
      <c r="CD943" s="273">
        <v>1</v>
      </c>
      <c r="CE943" s="292">
        <v>3</v>
      </c>
      <c r="CF943" s="292">
        <v>3</v>
      </c>
      <c r="CG943" s="93">
        <v>1</v>
      </c>
    </row>
    <row r="944" spans="1:1873" s="23" customFormat="1" x14ac:dyDescent="0.2">
      <c r="A944" s="273" t="s">
        <v>754</v>
      </c>
      <c r="B944" s="273" t="s">
        <v>820</v>
      </c>
      <c r="C944" s="569" t="s">
        <v>1117</v>
      </c>
      <c r="D944" s="273" t="s">
        <v>619</v>
      </c>
      <c r="E944" s="462" t="s">
        <v>831</v>
      </c>
      <c r="F944" s="462">
        <v>2</v>
      </c>
      <c r="G944" s="273">
        <v>1</v>
      </c>
      <c r="H944" s="468">
        <v>2</v>
      </c>
      <c r="I944" s="273" t="s">
        <v>621</v>
      </c>
      <c r="J944" s="273">
        <v>1986</v>
      </c>
      <c r="K944" s="463" t="s">
        <v>1211</v>
      </c>
      <c r="L944" s="273">
        <v>1987</v>
      </c>
      <c r="M944" s="471">
        <v>7.7</v>
      </c>
      <c r="N944" s="471">
        <v>-9999</v>
      </c>
      <c r="O944" s="1"/>
      <c r="P944" s="414">
        <f>+P943+W944</f>
        <v>10.7</v>
      </c>
      <c r="Q944" s="273">
        <v>-9999</v>
      </c>
      <c r="R944" s="471"/>
      <c r="S944" s="273"/>
      <c r="T944" s="471">
        <f>+P944/F944</f>
        <v>5.35</v>
      </c>
      <c r="U944" s="273">
        <v>-9999</v>
      </c>
      <c r="V944" s="273"/>
      <c r="W944" s="471">
        <v>7.7</v>
      </c>
      <c r="X944" s="468">
        <v>-9999</v>
      </c>
      <c r="Y944" s="468"/>
      <c r="Z944" s="273" t="s">
        <v>622</v>
      </c>
      <c r="AA944" s="385">
        <v>111111</v>
      </c>
      <c r="AB944" s="471">
        <v>0.98</v>
      </c>
      <c r="AC944" s="273">
        <v>-9999</v>
      </c>
      <c r="AD944" s="385">
        <v>175</v>
      </c>
      <c r="AE944" s="461" t="s">
        <v>1971</v>
      </c>
      <c r="AF944" s="273">
        <v>3</v>
      </c>
      <c r="AG944" s="273" t="s">
        <v>823</v>
      </c>
      <c r="AH944" s="273" t="s">
        <v>623</v>
      </c>
      <c r="AI944" s="273" t="s">
        <v>824</v>
      </c>
      <c r="AJ944" s="273" t="s">
        <v>825</v>
      </c>
      <c r="AK944" s="273" t="s">
        <v>625</v>
      </c>
      <c r="AL944" s="273" t="s">
        <v>653</v>
      </c>
      <c r="AM944" s="273">
        <v>-9999</v>
      </c>
      <c r="AN944" s="273" t="s">
        <v>626</v>
      </c>
      <c r="AO944" s="273" t="s">
        <v>826</v>
      </c>
      <c r="AP944" s="273" t="s">
        <v>827</v>
      </c>
      <c r="AQ944" s="273" t="s">
        <v>626</v>
      </c>
      <c r="AR944" s="273">
        <f>+AR943+0</f>
        <v>100</v>
      </c>
      <c r="AS944" s="273">
        <v>-9999</v>
      </c>
      <c r="AT944" s="273">
        <v>-9999</v>
      </c>
      <c r="AU944" s="273">
        <f>+AU943+0</f>
        <v>43</v>
      </c>
      <c r="AV944" s="273">
        <v>-9999</v>
      </c>
      <c r="AW944" s="273">
        <v>-9999</v>
      </c>
      <c r="AX944" s="273">
        <f>+AX943+0</f>
        <v>83</v>
      </c>
      <c r="AY944" s="273">
        <v>-9999</v>
      </c>
      <c r="AZ944" s="273">
        <v>-9999</v>
      </c>
      <c r="BA944" s="273" t="s">
        <v>725</v>
      </c>
      <c r="BB944" s="273" t="s">
        <v>626</v>
      </c>
      <c r="BC944" s="273" t="s">
        <v>829</v>
      </c>
      <c r="BD944" s="273" t="s">
        <v>830</v>
      </c>
      <c r="BE944" s="273"/>
      <c r="BF944" s="273">
        <v>-9999</v>
      </c>
      <c r="BG944" s="273">
        <v>-9999</v>
      </c>
      <c r="BH944" s="273">
        <v>-9999</v>
      </c>
      <c r="BI944" s="273" t="s">
        <v>1119</v>
      </c>
      <c r="BJ944" s="273">
        <v>-9999</v>
      </c>
      <c r="BK944" s="273">
        <v>-9999</v>
      </c>
      <c r="BL944" s="273">
        <v>-9999</v>
      </c>
      <c r="BM944" s="273">
        <v>-9999</v>
      </c>
      <c r="BN944" s="273">
        <v>-9999</v>
      </c>
      <c r="BO944" s="273">
        <v>-9999</v>
      </c>
      <c r="BP944" s="273">
        <v>-9999</v>
      </c>
      <c r="BQ944" s="273">
        <v>-9999</v>
      </c>
      <c r="BR944" s="468">
        <v>-9999</v>
      </c>
      <c r="BS944" s="468">
        <v>-9999</v>
      </c>
      <c r="BT944" s="273">
        <v>-9999</v>
      </c>
      <c r="BU944" s="468">
        <v>-9999</v>
      </c>
      <c r="BV944" s="468">
        <v>-9999</v>
      </c>
      <c r="BW944" s="468"/>
      <c r="BX944" s="273">
        <v>-9999</v>
      </c>
      <c r="BY944" s="273">
        <v>-9999</v>
      </c>
      <c r="BZ944" s="273">
        <v>-9999</v>
      </c>
      <c r="CA944" s="472">
        <v>-9999</v>
      </c>
      <c r="CB944" s="568" t="s">
        <v>1118</v>
      </c>
      <c r="CC944" s="462">
        <v>2</v>
      </c>
      <c r="CD944" s="273">
        <v>1</v>
      </c>
      <c r="CE944" s="292">
        <v>5.35</v>
      </c>
      <c r="CF944" s="292">
        <v>7.7</v>
      </c>
      <c r="CG944" s="93">
        <v>2</v>
      </c>
    </row>
    <row r="945" spans="1:1873" s="23" customFormat="1" x14ac:dyDescent="0.2">
      <c r="A945" s="273" t="s">
        <v>754</v>
      </c>
      <c r="B945" s="273" t="s">
        <v>820</v>
      </c>
      <c r="C945" s="569" t="s">
        <v>1117</v>
      </c>
      <c r="D945" s="273" t="s">
        <v>619</v>
      </c>
      <c r="E945" s="462" t="s">
        <v>831</v>
      </c>
      <c r="F945" s="462">
        <v>3</v>
      </c>
      <c r="G945" s="273">
        <v>1</v>
      </c>
      <c r="H945" s="468">
        <v>3</v>
      </c>
      <c r="I945" s="273" t="s">
        <v>621</v>
      </c>
      <c r="J945" s="273">
        <v>1986</v>
      </c>
      <c r="K945" s="463" t="s">
        <v>1211</v>
      </c>
      <c r="L945" s="273">
        <v>1988</v>
      </c>
      <c r="M945" s="471">
        <v>7.5</v>
      </c>
      <c r="N945" s="471">
        <v>-9999</v>
      </c>
      <c r="O945" s="1"/>
      <c r="P945" s="414">
        <f>+P944+W945</f>
        <v>18.2</v>
      </c>
      <c r="Q945" s="273">
        <v>-9999</v>
      </c>
      <c r="R945" s="471"/>
      <c r="S945" s="273"/>
      <c r="T945" s="471">
        <f>+P945/F945</f>
        <v>6.0666666666666664</v>
      </c>
      <c r="U945" s="273">
        <v>-9999</v>
      </c>
      <c r="V945" s="273"/>
      <c r="W945" s="471">
        <v>7.5</v>
      </c>
      <c r="X945" s="468">
        <v>-9999</v>
      </c>
      <c r="Y945" s="468"/>
      <c r="Z945" s="273" t="s">
        <v>622</v>
      </c>
      <c r="AA945" s="385">
        <v>111111</v>
      </c>
      <c r="AB945" s="471">
        <v>0.98</v>
      </c>
      <c r="AC945" s="273">
        <v>-9999</v>
      </c>
      <c r="AD945" s="385">
        <v>175</v>
      </c>
      <c r="AE945" s="461" t="s">
        <v>1971</v>
      </c>
      <c r="AF945" s="273">
        <v>3</v>
      </c>
      <c r="AG945" s="273" t="s">
        <v>823</v>
      </c>
      <c r="AH945" s="273" t="s">
        <v>623</v>
      </c>
      <c r="AI945" s="273" t="s">
        <v>824</v>
      </c>
      <c r="AJ945" s="273" t="s">
        <v>825</v>
      </c>
      <c r="AK945" s="273" t="s">
        <v>625</v>
      </c>
      <c r="AL945" s="273" t="s">
        <v>653</v>
      </c>
      <c r="AM945" s="273">
        <v>-9999</v>
      </c>
      <c r="AN945" s="273" t="s">
        <v>626</v>
      </c>
      <c r="AO945" s="273" t="s">
        <v>826</v>
      </c>
      <c r="AP945" s="273" t="s">
        <v>827</v>
      </c>
      <c r="AQ945" s="273" t="s">
        <v>626</v>
      </c>
      <c r="AR945" s="273">
        <f>+AR944+100</f>
        <v>200</v>
      </c>
      <c r="AS945" s="273" t="s">
        <v>1101</v>
      </c>
      <c r="AT945" s="273" t="s">
        <v>275</v>
      </c>
      <c r="AU945" s="273">
        <f>+AU944+0</f>
        <v>43</v>
      </c>
      <c r="AV945" s="273">
        <v>-9999</v>
      </c>
      <c r="AW945" s="273">
        <v>-9999</v>
      </c>
      <c r="AX945" s="273">
        <f>+AX944+0</f>
        <v>83</v>
      </c>
      <c r="AY945" s="273">
        <v>-9999</v>
      </c>
      <c r="AZ945" s="273">
        <v>-9999</v>
      </c>
      <c r="BA945" s="273" t="s">
        <v>725</v>
      </c>
      <c r="BB945" s="273" t="s">
        <v>626</v>
      </c>
      <c r="BC945" s="273" t="s">
        <v>829</v>
      </c>
      <c r="BD945" s="273" t="s">
        <v>830</v>
      </c>
      <c r="BE945" s="273"/>
      <c r="BF945" s="273">
        <v>-9999</v>
      </c>
      <c r="BG945" s="273">
        <v>-9999</v>
      </c>
      <c r="BH945" s="273">
        <v>-9999</v>
      </c>
      <c r="BI945" s="273" t="s">
        <v>1119</v>
      </c>
      <c r="BJ945" s="273">
        <v>-9999</v>
      </c>
      <c r="BK945" s="273">
        <v>-9999</v>
      </c>
      <c r="BL945" s="273">
        <v>-9999</v>
      </c>
      <c r="BM945" s="273">
        <v>-9999</v>
      </c>
      <c r="BN945" s="273">
        <v>-9999</v>
      </c>
      <c r="BO945" s="273">
        <v>-9999</v>
      </c>
      <c r="BP945" s="273">
        <v>-9999</v>
      </c>
      <c r="BQ945" s="273">
        <v>-9999</v>
      </c>
      <c r="BR945" s="468">
        <v>-9999</v>
      </c>
      <c r="BS945" s="468">
        <v>-9999</v>
      </c>
      <c r="BT945" s="273">
        <v>-9999</v>
      </c>
      <c r="BU945" s="468">
        <v>-9999</v>
      </c>
      <c r="BV945" s="468">
        <v>-9999</v>
      </c>
      <c r="BW945" s="468"/>
      <c r="BX945" s="273">
        <v>-9999</v>
      </c>
      <c r="BY945" s="273">
        <v>-9999</v>
      </c>
      <c r="BZ945" s="273">
        <v>-9999</v>
      </c>
      <c r="CA945" s="472">
        <v>-9999</v>
      </c>
      <c r="CB945" s="568" t="s">
        <v>1118</v>
      </c>
      <c r="CC945" s="462">
        <v>3</v>
      </c>
      <c r="CD945" s="273">
        <v>1</v>
      </c>
      <c r="CE945" s="292">
        <v>6.0666666666666664</v>
      </c>
      <c r="CF945" s="292">
        <v>7.5</v>
      </c>
      <c r="CG945" s="93">
        <v>3</v>
      </c>
    </row>
    <row r="946" spans="1:1873" s="23" customFormat="1" x14ac:dyDescent="0.2">
      <c r="A946" s="273" t="s">
        <v>754</v>
      </c>
      <c r="B946" s="273" t="s">
        <v>820</v>
      </c>
      <c r="C946" s="569" t="s">
        <v>1117</v>
      </c>
      <c r="D946" s="273" t="s">
        <v>619</v>
      </c>
      <c r="E946" s="462" t="s">
        <v>831</v>
      </c>
      <c r="F946" s="462">
        <v>4</v>
      </c>
      <c r="G946" s="273">
        <v>1</v>
      </c>
      <c r="H946" s="468">
        <v>4</v>
      </c>
      <c r="I946" s="273" t="s">
        <v>621</v>
      </c>
      <c r="J946" s="273">
        <v>1986</v>
      </c>
      <c r="K946" s="463" t="s">
        <v>1211</v>
      </c>
      <c r="L946" s="273">
        <v>1989</v>
      </c>
      <c r="M946" s="471">
        <v>7.3</v>
      </c>
      <c r="N946" s="471">
        <v>-9999</v>
      </c>
      <c r="O946" s="1"/>
      <c r="P946" s="414">
        <f>+P945+W946</f>
        <v>25.5</v>
      </c>
      <c r="Q946" s="273">
        <v>-9999</v>
      </c>
      <c r="R946" s="471"/>
      <c r="S946" s="273"/>
      <c r="T946" s="471">
        <f>+P946/F946</f>
        <v>6.375</v>
      </c>
      <c r="U946" s="273">
        <v>-9999</v>
      </c>
      <c r="V946" s="273"/>
      <c r="W946" s="471">
        <v>7.3</v>
      </c>
      <c r="X946" s="468">
        <v>-9999</v>
      </c>
      <c r="Y946" s="468"/>
      <c r="Z946" s="273" t="s">
        <v>622</v>
      </c>
      <c r="AA946" s="385">
        <v>111111</v>
      </c>
      <c r="AB946" s="471">
        <v>0.98</v>
      </c>
      <c r="AC946" s="273">
        <v>-9999</v>
      </c>
      <c r="AD946" s="385">
        <v>175</v>
      </c>
      <c r="AE946" s="461" t="s">
        <v>1971</v>
      </c>
      <c r="AF946" s="273">
        <v>3</v>
      </c>
      <c r="AG946" s="273" t="s">
        <v>823</v>
      </c>
      <c r="AH946" s="273" t="s">
        <v>623</v>
      </c>
      <c r="AI946" s="273" t="s">
        <v>824</v>
      </c>
      <c r="AJ946" s="273" t="s">
        <v>825</v>
      </c>
      <c r="AK946" s="273" t="s">
        <v>625</v>
      </c>
      <c r="AL946" s="273" t="s">
        <v>653</v>
      </c>
      <c r="AM946" s="273">
        <v>-9999</v>
      </c>
      <c r="AN946" s="273" t="s">
        <v>626</v>
      </c>
      <c r="AO946" s="273" t="s">
        <v>826</v>
      </c>
      <c r="AP946" s="273" t="s">
        <v>827</v>
      </c>
      <c r="AQ946" s="273" t="s">
        <v>626</v>
      </c>
      <c r="AR946" s="273">
        <f>+AR945+0</f>
        <v>200</v>
      </c>
      <c r="AS946" s="273">
        <v>-9999</v>
      </c>
      <c r="AT946" s="273">
        <v>-9999</v>
      </c>
      <c r="AU946" s="273">
        <f>+AU945+0</f>
        <v>43</v>
      </c>
      <c r="AV946" s="273">
        <v>-9999</v>
      </c>
      <c r="AW946" s="273">
        <v>-9999</v>
      </c>
      <c r="AX946" s="273">
        <f>+AX945+0</f>
        <v>83</v>
      </c>
      <c r="AY946" s="273">
        <v>-9999</v>
      </c>
      <c r="AZ946" s="273">
        <v>-9999</v>
      </c>
      <c r="BA946" s="273" t="s">
        <v>725</v>
      </c>
      <c r="BB946" s="273" t="s">
        <v>626</v>
      </c>
      <c r="BC946" s="273" t="s">
        <v>829</v>
      </c>
      <c r="BD946" s="273" t="s">
        <v>830</v>
      </c>
      <c r="BE946" s="273"/>
      <c r="BF946" s="273">
        <v>-9999</v>
      </c>
      <c r="BG946" s="273">
        <v>-9999</v>
      </c>
      <c r="BH946" s="273">
        <v>-9999</v>
      </c>
      <c r="BI946" s="273" t="s">
        <v>1119</v>
      </c>
      <c r="BJ946" s="273">
        <v>-9999</v>
      </c>
      <c r="BK946" s="273">
        <v>-9999</v>
      </c>
      <c r="BL946" s="273">
        <v>-9999</v>
      </c>
      <c r="BM946" s="273">
        <v>-9999</v>
      </c>
      <c r="BN946" s="273">
        <v>-9999</v>
      </c>
      <c r="BO946" s="273">
        <v>-9999</v>
      </c>
      <c r="BP946" s="273">
        <v>-9999</v>
      </c>
      <c r="BQ946" s="273">
        <v>-9999</v>
      </c>
      <c r="BR946" s="468">
        <v>-9999</v>
      </c>
      <c r="BS946" s="468">
        <v>-9999</v>
      </c>
      <c r="BT946" s="273">
        <v>-9999</v>
      </c>
      <c r="BU946" s="468">
        <v>-9999</v>
      </c>
      <c r="BV946" s="468">
        <v>-9999</v>
      </c>
      <c r="BW946" s="468"/>
      <c r="BX946" s="273">
        <v>-9999</v>
      </c>
      <c r="BY946" s="273">
        <v>-9999</v>
      </c>
      <c r="BZ946" s="273">
        <v>-9999</v>
      </c>
      <c r="CA946" s="472">
        <v>-9999</v>
      </c>
      <c r="CB946" s="568" t="s">
        <v>1118</v>
      </c>
      <c r="CC946" s="462">
        <v>4</v>
      </c>
      <c r="CD946" s="273">
        <v>1</v>
      </c>
      <c r="CE946" s="394">
        <v>6.375</v>
      </c>
      <c r="CF946" s="292">
        <v>7.3</v>
      </c>
      <c r="CG946" s="93">
        <v>4</v>
      </c>
      <c r="CH946" s="477"/>
    </row>
    <row r="947" spans="1:1873" s="23" customFormat="1" x14ac:dyDescent="0.2">
      <c r="A947" s="273" t="s">
        <v>754</v>
      </c>
      <c r="B947" s="273" t="s">
        <v>820</v>
      </c>
      <c r="C947" s="569" t="s">
        <v>1117</v>
      </c>
      <c r="D947" s="273" t="s">
        <v>619</v>
      </c>
      <c r="E947" s="462" t="s">
        <v>831</v>
      </c>
      <c r="F947" s="462">
        <v>5</v>
      </c>
      <c r="G947" s="273">
        <v>1</v>
      </c>
      <c r="H947" s="468">
        <v>5</v>
      </c>
      <c r="I947" s="273" t="s">
        <v>621</v>
      </c>
      <c r="J947" s="273">
        <v>1986</v>
      </c>
      <c r="K947" s="463" t="s">
        <v>1211</v>
      </c>
      <c r="L947" s="273">
        <v>1990</v>
      </c>
      <c r="M947" s="471">
        <v>6.6</v>
      </c>
      <c r="N947" s="471">
        <v>-9999</v>
      </c>
      <c r="O947" s="1"/>
      <c r="P947" s="414">
        <f>+P946+W947</f>
        <v>32.1</v>
      </c>
      <c r="Q947" s="273">
        <v>-9999</v>
      </c>
      <c r="R947" s="471"/>
      <c r="S947" s="273"/>
      <c r="T947" s="471">
        <f>+P947/F947</f>
        <v>6.42</v>
      </c>
      <c r="U947" s="273">
        <v>-9999</v>
      </c>
      <c r="V947" s="273"/>
      <c r="W947" s="471">
        <v>6.6</v>
      </c>
      <c r="X947" s="468">
        <v>-9999</v>
      </c>
      <c r="Y947" s="468"/>
      <c r="Z947" s="273" t="s">
        <v>622</v>
      </c>
      <c r="AA947" s="385">
        <v>111111</v>
      </c>
      <c r="AB947" s="471">
        <v>0.98</v>
      </c>
      <c r="AC947" s="273">
        <v>-9999</v>
      </c>
      <c r="AD947" s="385">
        <v>175</v>
      </c>
      <c r="AE947" s="461" t="s">
        <v>1971</v>
      </c>
      <c r="AF947" s="273">
        <v>3</v>
      </c>
      <c r="AG947" s="273" t="s">
        <v>823</v>
      </c>
      <c r="AH947" s="273" t="s">
        <v>623</v>
      </c>
      <c r="AI947" s="273" t="s">
        <v>824</v>
      </c>
      <c r="AJ947" s="273" t="s">
        <v>825</v>
      </c>
      <c r="AK947" s="273" t="s">
        <v>625</v>
      </c>
      <c r="AL947" s="273" t="s">
        <v>653</v>
      </c>
      <c r="AM947" s="273">
        <v>-9999</v>
      </c>
      <c r="AN947" s="273" t="s">
        <v>626</v>
      </c>
      <c r="AO947" s="273" t="s">
        <v>826</v>
      </c>
      <c r="AP947" s="273" t="s">
        <v>827</v>
      </c>
      <c r="AQ947" s="273" t="s">
        <v>626</v>
      </c>
      <c r="AR947" s="273">
        <f>+AR946+0</f>
        <v>200</v>
      </c>
      <c r="AS947" s="273">
        <v>-9999</v>
      </c>
      <c r="AT947" s="273">
        <v>-9999</v>
      </c>
      <c r="AU947" s="273">
        <f>+AU946+0</f>
        <v>43</v>
      </c>
      <c r="AV947" s="273">
        <v>-9999</v>
      </c>
      <c r="AW947" s="273">
        <v>-9999</v>
      </c>
      <c r="AX947" s="273">
        <f>+AX946+0</f>
        <v>83</v>
      </c>
      <c r="AY947" s="273">
        <v>-9999</v>
      </c>
      <c r="AZ947" s="273">
        <v>-9999</v>
      </c>
      <c r="BA947" s="273" t="s">
        <v>725</v>
      </c>
      <c r="BB947" s="273" t="s">
        <v>626</v>
      </c>
      <c r="BC947" s="273" t="s">
        <v>829</v>
      </c>
      <c r="BD947" s="273" t="s">
        <v>830</v>
      </c>
      <c r="BE947" s="273"/>
      <c r="BF947" s="273">
        <v>-9999</v>
      </c>
      <c r="BG947" s="273">
        <v>-9999</v>
      </c>
      <c r="BH947" s="273">
        <v>-9999</v>
      </c>
      <c r="BI947" s="273" t="s">
        <v>1119</v>
      </c>
      <c r="BJ947" s="273">
        <v>-9999</v>
      </c>
      <c r="BK947" s="273">
        <v>-9999</v>
      </c>
      <c r="BL947" s="273">
        <v>-9999</v>
      </c>
      <c r="BM947" s="273">
        <v>-9999</v>
      </c>
      <c r="BN947" s="273">
        <v>-9999</v>
      </c>
      <c r="BO947" s="273">
        <v>-9999</v>
      </c>
      <c r="BP947" s="273">
        <v>-9999</v>
      </c>
      <c r="BQ947" s="273">
        <v>-9999</v>
      </c>
      <c r="BR947" s="468">
        <v>-9999</v>
      </c>
      <c r="BS947" s="468">
        <v>-9999</v>
      </c>
      <c r="BT947" s="273">
        <v>-9999</v>
      </c>
      <c r="BU947" s="468">
        <v>-9999</v>
      </c>
      <c r="BV947" s="468">
        <v>-9999</v>
      </c>
      <c r="BW947" s="468"/>
      <c r="BX947" s="273">
        <v>-9999</v>
      </c>
      <c r="BY947" s="273">
        <v>-9999</v>
      </c>
      <c r="BZ947" s="273">
        <v>-9999</v>
      </c>
      <c r="CA947" s="472">
        <v>-9999</v>
      </c>
      <c r="CB947" s="568" t="s">
        <v>1118</v>
      </c>
      <c r="CC947" s="462">
        <v>5</v>
      </c>
      <c r="CD947" s="273">
        <v>1</v>
      </c>
      <c r="CE947" s="292">
        <v>6.42</v>
      </c>
      <c r="CF947" s="292">
        <v>6.6</v>
      </c>
      <c r="CG947" s="93">
        <v>5</v>
      </c>
    </row>
    <row r="948" spans="1:1873" s="61" customFormat="1" x14ac:dyDescent="0.2">
      <c r="A948" s="18"/>
      <c r="B948" s="29"/>
      <c r="C948" s="71"/>
      <c r="D948" s="65"/>
      <c r="E948" s="66"/>
      <c r="F948" s="66"/>
      <c r="G948" s="65"/>
      <c r="H948" s="68"/>
      <c r="I948" s="65"/>
      <c r="J948" s="81"/>
      <c r="K948" s="81"/>
      <c r="L948" s="81"/>
      <c r="M948" s="67"/>
      <c r="N948" s="67"/>
      <c r="O948" s="65"/>
      <c r="P948" s="67"/>
      <c r="Q948" s="65"/>
      <c r="R948" s="67"/>
      <c r="S948" s="65"/>
      <c r="T948" s="67"/>
      <c r="U948" s="65"/>
      <c r="V948" s="65"/>
      <c r="W948" s="67"/>
      <c r="X948" s="65"/>
      <c r="Y948" s="65"/>
      <c r="Z948" s="65"/>
      <c r="AA948" s="65"/>
      <c r="AB948" s="67"/>
      <c r="AC948" s="71"/>
      <c r="AD948" s="71"/>
      <c r="AE948" s="71"/>
      <c r="AF948" s="65"/>
      <c r="AG948" s="65"/>
      <c r="AH948" s="65"/>
      <c r="AI948" s="65"/>
      <c r="AJ948" s="65"/>
      <c r="AK948" s="65"/>
      <c r="AL948" s="65"/>
      <c r="AM948" s="65"/>
      <c r="AN948" s="65"/>
      <c r="AO948" s="65"/>
      <c r="AP948" s="65"/>
      <c r="AQ948" s="65"/>
      <c r="AR948" s="65"/>
      <c r="AS948" s="65"/>
      <c r="AT948" s="65"/>
      <c r="AU948" s="65"/>
      <c r="AV948" s="65"/>
      <c r="AW948" s="65"/>
      <c r="AX948" s="65"/>
      <c r="AY948" s="65"/>
      <c r="AZ948" s="65"/>
      <c r="BA948" s="65"/>
      <c r="BB948" s="65"/>
      <c r="BC948" s="65"/>
      <c r="BD948" s="65"/>
      <c r="BE948" s="65"/>
      <c r="BF948" s="65"/>
      <c r="BG948" s="65"/>
      <c r="BH948" s="65"/>
      <c r="BI948" s="65"/>
      <c r="BJ948" s="65"/>
      <c r="BK948" s="65"/>
      <c r="BL948" s="65"/>
      <c r="BM948" s="65"/>
      <c r="BN948" s="65"/>
      <c r="BO948" s="65"/>
      <c r="BP948" s="65"/>
      <c r="BQ948" s="65"/>
      <c r="BR948" s="65"/>
      <c r="BS948" s="30"/>
      <c r="BT948" s="65"/>
      <c r="BU948" s="65"/>
      <c r="BV948" s="65"/>
      <c r="BW948" s="65"/>
      <c r="BX948" s="65"/>
      <c r="BY948" s="65"/>
      <c r="BZ948" s="65"/>
      <c r="CA948" s="69"/>
      <c r="CC948" s="66"/>
      <c r="CD948" s="65"/>
      <c r="CE948" s="342" t="s">
        <v>1576</v>
      </c>
      <c r="CF948" s="342" t="s">
        <v>1575</v>
      </c>
      <c r="CG948" s="68"/>
    </row>
    <row r="949" spans="1:1873" s="23" customFormat="1" x14ac:dyDescent="0.2">
      <c r="A949" s="461" t="s">
        <v>832</v>
      </c>
      <c r="B949" s="273" t="s">
        <v>820</v>
      </c>
      <c r="C949" s="273" t="s">
        <v>1120</v>
      </c>
      <c r="D949" s="273" t="s">
        <v>619</v>
      </c>
      <c r="E949" s="462" t="s">
        <v>1480</v>
      </c>
      <c r="F949" s="273">
        <v>1</v>
      </c>
      <c r="G949" s="273">
        <v>1</v>
      </c>
      <c r="H949" s="273">
        <v>1</v>
      </c>
      <c r="I949" s="273" t="s">
        <v>621</v>
      </c>
      <c r="J949" s="273">
        <v>1986</v>
      </c>
      <c r="K949" s="463" t="s">
        <v>1211</v>
      </c>
      <c r="L949" s="570">
        <v>1986</v>
      </c>
      <c r="M949" s="471">
        <v>-9999</v>
      </c>
      <c r="N949" s="471">
        <v>-9999</v>
      </c>
      <c r="O949" s="1"/>
      <c r="P949" s="471">
        <v>3.8980100000000002</v>
      </c>
      <c r="Q949" s="273">
        <v>-9999</v>
      </c>
      <c r="R949" s="471"/>
      <c r="S949" s="273"/>
      <c r="T949" s="414">
        <f t="shared" ref="T949:T955" si="93">+P949/H949</f>
        <v>3.8980100000000002</v>
      </c>
      <c r="U949" s="273">
        <v>-9999</v>
      </c>
      <c r="V949" s="273"/>
      <c r="W949" s="414">
        <v>-9999</v>
      </c>
      <c r="X949" s="273">
        <v>-9999</v>
      </c>
      <c r="Y949" s="273"/>
      <c r="Z949" s="273" t="s">
        <v>833</v>
      </c>
      <c r="AA949" s="385">
        <v>40000</v>
      </c>
      <c r="AB949" s="471">
        <v>0.98</v>
      </c>
      <c r="AC949" s="273">
        <v>-9999</v>
      </c>
      <c r="AD949" s="385">
        <v>250</v>
      </c>
      <c r="AE949" s="461" t="s">
        <v>1959</v>
      </c>
      <c r="AF949" s="273">
        <v>3</v>
      </c>
      <c r="AG949" s="273">
        <v>8</v>
      </c>
      <c r="AH949" s="273" t="s">
        <v>623</v>
      </c>
      <c r="AI949" s="273" t="s">
        <v>834</v>
      </c>
      <c r="AJ949" s="273">
        <v>20</v>
      </c>
      <c r="AK949" s="273" t="s">
        <v>625</v>
      </c>
      <c r="AL949" s="273" t="s">
        <v>653</v>
      </c>
      <c r="AM949" s="273">
        <v>-9999</v>
      </c>
      <c r="AN949" s="273" t="s">
        <v>626</v>
      </c>
      <c r="AO949" s="273" t="s">
        <v>627</v>
      </c>
      <c r="AP949" s="273" t="s">
        <v>1126</v>
      </c>
      <c r="AQ949" s="273" t="s">
        <v>626</v>
      </c>
      <c r="AR949" s="273">
        <v>100</v>
      </c>
      <c r="AS949" s="273" t="s">
        <v>726</v>
      </c>
      <c r="AT949" s="273" t="s">
        <v>755</v>
      </c>
      <c r="AU949" s="273">
        <v>43</v>
      </c>
      <c r="AV949" s="273" t="s">
        <v>226</v>
      </c>
      <c r="AW949" s="273" t="s">
        <v>755</v>
      </c>
      <c r="AX949" s="273">
        <v>83</v>
      </c>
      <c r="AY949" s="273" t="s">
        <v>226</v>
      </c>
      <c r="AZ949" s="273" t="s">
        <v>755</v>
      </c>
      <c r="BA949" s="273" t="s">
        <v>725</v>
      </c>
      <c r="BB949" s="273" t="s">
        <v>626</v>
      </c>
      <c r="BC949" s="273" t="s">
        <v>829</v>
      </c>
      <c r="BD949" s="273" t="s">
        <v>835</v>
      </c>
      <c r="BE949" s="273" t="s">
        <v>1128</v>
      </c>
      <c r="BF949" s="273" t="s">
        <v>1129</v>
      </c>
      <c r="BG949" s="273" t="s">
        <v>577</v>
      </c>
      <c r="BH949" s="273">
        <v>-9999</v>
      </c>
      <c r="BI949" s="273">
        <v>-9999</v>
      </c>
      <c r="BJ949" s="273">
        <v>1</v>
      </c>
      <c r="BK949" s="273">
        <v>-9999</v>
      </c>
      <c r="BL949" s="273">
        <v>-9999</v>
      </c>
      <c r="BM949" s="273">
        <v>-9999</v>
      </c>
      <c r="BN949" s="273">
        <v>-9999</v>
      </c>
      <c r="BO949" s="273">
        <v>-9999</v>
      </c>
      <c r="BP949" s="273">
        <v>-9999</v>
      </c>
      <c r="BQ949" s="273">
        <v>-9999</v>
      </c>
      <c r="BR949" s="273">
        <v>-9999</v>
      </c>
      <c r="BS949" s="468">
        <v>-9999</v>
      </c>
      <c r="BT949" s="273">
        <v>-9999</v>
      </c>
      <c r="BU949" s="273">
        <v>-9999</v>
      </c>
      <c r="BV949" s="273">
        <v>-9999</v>
      </c>
      <c r="BW949" s="273"/>
      <c r="BX949" s="273">
        <v>-9999</v>
      </c>
      <c r="BY949" s="273">
        <v>-9999</v>
      </c>
      <c r="BZ949" s="273">
        <v>-9999</v>
      </c>
      <c r="CA949" s="472">
        <v>-9999</v>
      </c>
      <c r="CB949" s="473" t="s">
        <v>1132</v>
      </c>
      <c r="CC949" s="89">
        <v>1</v>
      </c>
      <c r="CD949" s="89">
        <v>1</v>
      </c>
      <c r="CE949" s="292">
        <v>3.8980100000000002</v>
      </c>
      <c r="CF949" s="292">
        <v>3.9</v>
      </c>
      <c r="CG949" s="89">
        <v>1</v>
      </c>
      <c r="CW949" s="301"/>
    </row>
    <row r="950" spans="1:1873" s="23" customFormat="1" x14ac:dyDescent="0.2">
      <c r="A950" s="273" t="s">
        <v>832</v>
      </c>
      <c r="B950" s="273" t="s">
        <v>820</v>
      </c>
      <c r="C950" s="273" t="s">
        <v>1120</v>
      </c>
      <c r="D950" s="273" t="s">
        <v>619</v>
      </c>
      <c r="E950" s="462" t="s">
        <v>1480</v>
      </c>
      <c r="F950" s="273">
        <v>1</v>
      </c>
      <c r="G950" s="273">
        <v>2</v>
      </c>
      <c r="H950" s="273">
        <v>2</v>
      </c>
      <c r="I950" s="273" t="s">
        <v>621</v>
      </c>
      <c r="J950" s="273">
        <v>1986</v>
      </c>
      <c r="K950" s="463" t="s">
        <v>1211</v>
      </c>
      <c r="L950" s="273">
        <v>1987</v>
      </c>
      <c r="M950" s="471">
        <v>-9999</v>
      </c>
      <c r="N950" s="471">
        <v>-9999</v>
      </c>
      <c r="O950" s="1"/>
      <c r="P950" s="471">
        <v>16.778400000000001</v>
      </c>
      <c r="Q950" s="273">
        <v>-9999</v>
      </c>
      <c r="R950" s="471"/>
      <c r="S950" s="273"/>
      <c r="T950" s="414">
        <f t="shared" si="93"/>
        <v>8.3892000000000007</v>
      </c>
      <c r="U950" s="273">
        <v>-9999</v>
      </c>
      <c r="V950" s="273"/>
      <c r="W950" s="414">
        <f t="shared" ref="W950:W955" si="94">+P950-P949</f>
        <v>12.880390000000002</v>
      </c>
      <c r="X950" s="273">
        <v>-9999</v>
      </c>
      <c r="Y950" s="273"/>
      <c r="Z950" s="273" t="s">
        <v>833</v>
      </c>
      <c r="AA950" s="385">
        <v>40000</v>
      </c>
      <c r="AB950" s="471">
        <v>-9999</v>
      </c>
      <c r="AC950" s="273">
        <v>-9999</v>
      </c>
      <c r="AD950" s="385">
        <v>250</v>
      </c>
      <c r="AE950" s="461" t="s">
        <v>1959</v>
      </c>
      <c r="AF950" s="273">
        <v>3</v>
      </c>
      <c r="AG950" s="273">
        <v>8</v>
      </c>
      <c r="AH950" s="273" t="s">
        <v>623</v>
      </c>
      <c r="AI950" s="273" t="s">
        <v>834</v>
      </c>
      <c r="AJ950" s="273">
        <v>20</v>
      </c>
      <c r="AK950" s="273" t="s">
        <v>625</v>
      </c>
      <c r="AL950" s="273" t="s">
        <v>653</v>
      </c>
      <c r="AM950" s="273">
        <v>-9999</v>
      </c>
      <c r="AN950" s="273" t="s">
        <v>626</v>
      </c>
      <c r="AO950" s="273" t="s">
        <v>627</v>
      </c>
      <c r="AP950" s="273" t="s">
        <v>1126</v>
      </c>
      <c r="AQ950" s="273" t="s">
        <v>626</v>
      </c>
      <c r="AR950" s="273">
        <f>+AR949+0</f>
        <v>100</v>
      </c>
      <c r="AS950" s="273" t="s">
        <v>726</v>
      </c>
      <c r="AT950" s="273">
        <v>-9999</v>
      </c>
      <c r="AU950" s="273">
        <f t="shared" ref="AU950:AU955" si="95">+AU949+0</f>
        <v>43</v>
      </c>
      <c r="AV950" s="273">
        <v>-9999</v>
      </c>
      <c r="AW950" s="273">
        <v>-9999</v>
      </c>
      <c r="AX950" s="273">
        <f t="shared" ref="AX950:AX955" si="96">+AX949+0</f>
        <v>83</v>
      </c>
      <c r="AY950" s="273">
        <v>-9999</v>
      </c>
      <c r="AZ950" s="273">
        <v>-9999</v>
      </c>
      <c r="BA950" s="273" t="s">
        <v>725</v>
      </c>
      <c r="BB950" s="273" t="s">
        <v>626</v>
      </c>
      <c r="BC950" s="273" t="s">
        <v>829</v>
      </c>
      <c r="BD950" s="273" t="s">
        <v>835</v>
      </c>
      <c r="BE950" s="273" t="s">
        <v>1128</v>
      </c>
      <c r="BF950" s="273" t="s">
        <v>1129</v>
      </c>
      <c r="BG950" s="273" t="s">
        <v>577</v>
      </c>
      <c r="BH950" s="273">
        <v>-9999</v>
      </c>
      <c r="BI950" s="273">
        <v>-9999</v>
      </c>
      <c r="BJ950" s="273">
        <v>8.8000000000000007</v>
      </c>
      <c r="BK950" s="273">
        <v>-9999</v>
      </c>
      <c r="BL950" s="273">
        <v>-9999</v>
      </c>
      <c r="BM950" s="273">
        <v>-9999</v>
      </c>
      <c r="BN950" s="273">
        <v>-9999</v>
      </c>
      <c r="BO950" s="273">
        <v>-9999</v>
      </c>
      <c r="BP950" s="273">
        <v>-9999</v>
      </c>
      <c r="BQ950" s="273">
        <v>-9999</v>
      </c>
      <c r="BR950" s="273">
        <v>-9999</v>
      </c>
      <c r="BS950" s="468">
        <v>-9999</v>
      </c>
      <c r="BT950" s="273">
        <v>-9999</v>
      </c>
      <c r="BU950" s="273">
        <v>-9999</v>
      </c>
      <c r="BV950" s="273">
        <v>-9999</v>
      </c>
      <c r="BW950" s="273"/>
      <c r="BX950" s="273">
        <v>-9999</v>
      </c>
      <c r="BY950" s="273">
        <v>-9999</v>
      </c>
      <c r="BZ950" s="273">
        <v>-9999</v>
      </c>
      <c r="CA950" s="472">
        <v>-9999</v>
      </c>
      <c r="CB950" s="473" t="s">
        <v>1132</v>
      </c>
      <c r="CC950" s="89">
        <v>1</v>
      </c>
      <c r="CD950" s="89">
        <v>2</v>
      </c>
      <c r="CE950" s="292">
        <v>8.3892000000000007</v>
      </c>
      <c r="CF950" s="292">
        <v>12.880390000000002</v>
      </c>
      <c r="CG950" s="89">
        <v>2</v>
      </c>
    </row>
    <row r="951" spans="1:1873" s="148" customFormat="1" x14ac:dyDescent="0.2">
      <c r="A951" s="273" t="s">
        <v>832</v>
      </c>
      <c r="B951" s="273" t="s">
        <v>820</v>
      </c>
      <c r="C951" s="273" t="s">
        <v>1120</v>
      </c>
      <c r="D951" s="273" t="s">
        <v>619</v>
      </c>
      <c r="E951" s="462" t="s">
        <v>1480</v>
      </c>
      <c r="F951" s="273">
        <v>1</v>
      </c>
      <c r="G951" s="273">
        <v>3</v>
      </c>
      <c r="H951" s="273">
        <v>3</v>
      </c>
      <c r="I951" s="273" t="s">
        <v>621</v>
      </c>
      <c r="J951" s="273">
        <v>1986</v>
      </c>
      <c r="K951" s="463" t="s">
        <v>1211</v>
      </c>
      <c r="L951" s="273">
        <v>1988</v>
      </c>
      <c r="M951" s="471">
        <v>-9999</v>
      </c>
      <c r="N951" s="471">
        <v>-9999</v>
      </c>
      <c r="O951" s="1"/>
      <c r="P951" s="471">
        <v>33.096800000000002</v>
      </c>
      <c r="Q951" s="273">
        <v>-9999</v>
      </c>
      <c r="R951" s="471"/>
      <c r="S951" s="273"/>
      <c r="T951" s="414">
        <f t="shared" si="93"/>
        <v>11.032266666666667</v>
      </c>
      <c r="U951" s="273">
        <v>-9999</v>
      </c>
      <c r="V951" s="273"/>
      <c r="W951" s="414">
        <f t="shared" si="94"/>
        <v>16.3184</v>
      </c>
      <c r="X951" s="273">
        <v>-9999</v>
      </c>
      <c r="Y951" s="273"/>
      <c r="Z951" s="273" t="s">
        <v>833</v>
      </c>
      <c r="AA951" s="385">
        <v>40000</v>
      </c>
      <c r="AB951" s="471">
        <v>-9999</v>
      </c>
      <c r="AC951" s="273">
        <v>-9999</v>
      </c>
      <c r="AD951" s="385">
        <v>250</v>
      </c>
      <c r="AE951" s="461" t="s">
        <v>1959</v>
      </c>
      <c r="AF951" s="273">
        <v>3</v>
      </c>
      <c r="AG951" s="273">
        <v>8</v>
      </c>
      <c r="AH951" s="273" t="s">
        <v>623</v>
      </c>
      <c r="AI951" s="273" t="s">
        <v>834</v>
      </c>
      <c r="AJ951" s="273">
        <v>20</v>
      </c>
      <c r="AK951" s="273" t="s">
        <v>625</v>
      </c>
      <c r="AL951" s="273" t="s">
        <v>653</v>
      </c>
      <c r="AM951" s="273">
        <v>-9999</v>
      </c>
      <c r="AN951" s="273" t="s">
        <v>626</v>
      </c>
      <c r="AO951" s="273" t="s">
        <v>627</v>
      </c>
      <c r="AP951" s="273" t="s">
        <v>1126</v>
      </c>
      <c r="AQ951" s="273" t="s">
        <v>626</v>
      </c>
      <c r="AR951" s="273">
        <f>+AR950+100</f>
        <v>200</v>
      </c>
      <c r="AS951" s="273" t="s">
        <v>1101</v>
      </c>
      <c r="AT951" s="273" t="s">
        <v>275</v>
      </c>
      <c r="AU951" s="273">
        <f t="shared" si="95"/>
        <v>43</v>
      </c>
      <c r="AV951" s="273">
        <v>-9999</v>
      </c>
      <c r="AW951" s="273">
        <v>-9999</v>
      </c>
      <c r="AX951" s="273">
        <f t="shared" si="96"/>
        <v>83</v>
      </c>
      <c r="AY951" s="273">
        <v>-9999</v>
      </c>
      <c r="AZ951" s="273">
        <v>-9999</v>
      </c>
      <c r="BA951" s="273" t="s">
        <v>725</v>
      </c>
      <c r="BB951" s="273" t="s">
        <v>626</v>
      </c>
      <c r="BC951" s="273" t="s">
        <v>829</v>
      </c>
      <c r="BD951" s="273" t="s">
        <v>835</v>
      </c>
      <c r="BE951" s="273" t="s">
        <v>1128</v>
      </c>
      <c r="BF951" s="273" t="s">
        <v>1129</v>
      </c>
      <c r="BG951" s="273" t="s">
        <v>577</v>
      </c>
      <c r="BH951" s="273">
        <v>-9999</v>
      </c>
      <c r="BI951" s="273">
        <v>-9999</v>
      </c>
      <c r="BJ951" s="273">
        <v>18.3</v>
      </c>
      <c r="BK951" s="273">
        <v>-9999</v>
      </c>
      <c r="BL951" s="273">
        <v>-9999</v>
      </c>
      <c r="BM951" s="273">
        <v>-9999</v>
      </c>
      <c r="BN951" s="273">
        <v>-9999</v>
      </c>
      <c r="BO951" s="273">
        <v>-9999</v>
      </c>
      <c r="BP951" s="273">
        <v>-9999</v>
      </c>
      <c r="BQ951" s="273">
        <v>-9999</v>
      </c>
      <c r="BR951" s="273">
        <v>-9999</v>
      </c>
      <c r="BS951" s="468">
        <v>-9999</v>
      </c>
      <c r="BT951" s="273">
        <v>-9999</v>
      </c>
      <c r="BU951" s="273">
        <v>-9999</v>
      </c>
      <c r="BV951" s="273">
        <v>-9999</v>
      </c>
      <c r="BW951" s="273"/>
      <c r="BX951" s="273">
        <v>-9999</v>
      </c>
      <c r="BY951" s="273">
        <v>-9999</v>
      </c>
      <c r="BZ951" s="273">
        <v>-9999</v>
      </c>
      <c r="CA951" s="472">
        <v>-9999</v>
      </c>
      <c r="CB951" s="473" t="s">
        <v>1132</v>
      </c>
      <c r="CC951" s="89">
        <v>1</v>
      </c>
      <c r="CD951" s="89">
        <v>3</v>
      </c>
      <c r="CE951" s="394">
        <v>11.032266666666667</v>
      </c>
      <c r="CF951" s="292">
        <v>16.3184</v>
      </c>
      <c r="CG951" s="89">
        <v>3</v>
      </c>
      <c r="CH951" s="477"/>
      <c r="CI951" s="23"/>
      <c r="CJ951" s="23"/>
      <c r="CK951" s="23"/>
      <c r="CL951" s="23"/>
      <c r="CM951" s="23"/>
      <c r="CN951" s="23"/>
      <c r="CO951" s="23"/>
      <c r="CP951" s="23"/>
      <c r="CQ951" s="23"/>
      <c r="CR951" s="23"/>
      <c r="CS951" s="23"/>
      <c r="CT951" s="23"/>
      <c r="CU951" s="23"/>
      <c r="CV951" s="23"/>
      <c r="CW951" s="23"/>
      <c r="CX951" s="23"/>
      <c r="CY951" s="23"/>
      <c r="CZ951" s="23"/>
      <c r="DA951" s="23"/>
      <c r="DB951" s="23"/>
      <c r="DC951" s="23"/>
      <c r="DD951" s="23"/>
      <c r="DE951" s="23"/>
      <c r="DF951" s="23"/>
      <c r="DG951" s="23"/>
      <c r="DH951" s="23"/>
      <c r="DI951" s="23"/>
      <c r="DJ951" s="23"/>
      <c r="DK951" s="23"/>
      <c r="DL951" s="23"/>
      <c r="DM951" s="23"/>
      <c r="DN951" s="23"/>
      <c r="DO951" s="23"/>
      <c r="DP951" s="23"/>
      <c r="DQ951" s="23"/>
      <c r="DR951" s="23"/>
      <c r="DS951" s="23"/>
      <c r="DT951" s="23"/>
      <c r="DU951" s="23"/>
      <c r="DV951" s="23"/>
      <c r="DW951" s="23"/>
      <c r="DX951" s="23"/>
      <c r="DY951" s="23"/>
      <c r="DZ951" s="23"/>
      <c r="EA951" s="23"/>
      <c r="EB951" s="23"/>
      <c r="EC951" s="23"/>
      <c r="ED951" s="23"/>
      <c r="EE951" s="23"/>
      <c r="EF951" s="23"/>
      <c r="EG951" s="23"/>
      <c r="EH951" s="23"/>
      <c r="EI951" s="23"/>
      <c r="EJ951" s="23"/>
      <c r="EK951" s="23"/>
      <c r="EL951" s="23"/>
      <c r="EM951" s="23"/>
      <c r="EN951" s="23"/>
      <c r="EO951" s="23"/>
      <c r="EP951" s="23"/>
      <c r="EQ951" s="23"/>
      <c r="ER951" s="23"/>
      <c r="ES951" s="23"/>
      <c r="ET951" s="23"/>
      <c r="EU951" s="23"/>
      <c r="EV951" s="23"/>
      <c r="EW951" s="23"/>
      <c r="EX951" s="23"/>
      <c r="EY951" s="23"/>
      <c r="EZ951" s="23"/>
      <c r="FA951" s="23"/>
      <c r="FB951" s="23"/>
      <c r="FC951" s="23"/>
      <c r="FD951" s="23"/>
      <c r="FE951" s="23"/>
      <c r="FF951" s="23"/>
      <c r="FG951" s="23"/>
      <c r="FH951" s="23"/>
      <c r="FI951" s="23"/>
      <c r="FJ951" s="23"/>
      <c r="FK951" s="23"/>
      <c r="FL951" s="23"/>
      <c r="FM951" s="23"/>
      <c r="FN951" s="23"/>
      <c r="FO951" s="23"/>
      <c r="FP951" s="23"/>
      <c r="FQ951" s="23"/>
      <c r="FR951" s="23"/>
      <c r="FS951" s="23"/>
      <c r="FT951" s="23"/>
      <c r="FU951" s="23"/>
      <c r="FV951" s="23"/>
      <c r="FW951" s="23"/>
      <c r="FX951" s="23"/>
      <c r="FY951" s="23"/>
      <c r="FZ951" s="23"/>
      <c r="GA951" s="23"/>
      <c r="GB951" s="23"/>
      <c r="GC951" s="23"/>
      <c r="GD951" s="23"/>
      <c r="GE951" s="23"/>
      <c r="GF951" s="23"/>
      <c r="GG951" s="23"/>
      <c r="GH951" s="23"/>
      <c r="GI951" s="23"/>
      <c r="GJ951" s="23"/>
      <c r="GK951" s="23"/>
      <c r="GL951" s="23"/>
      <c r="GM951" s="23"/>
      <c r="GN951" s="23"/>
      <c r="GO951" s="23"/>
      <c r="GP951" s="23"/>
      <c r="GQ951" s="23"/>
      <c r="GR951" s="23"/>
      <c r="GS951" s="23"/>
      <c r="GT951" s="23"/>
      <c r="GU951" s="23"/>
      <c r="GV951" s="23"/>
      <c r="GW951" s="23"/>
      <c r="GX951" s="23"/>
      <c r="GY951" s="23"/>
      <c r="GZ951" s="23"/>
      <c r="HA951" s="23"/>
      <c r="HB951" s="23"/>
      <c r="HC951" s="23"/>
      <c r="HD951" s="23"/>
      <c r="HE951" s="23"/>
      <c r="HF951" s="23"/>
      <c r="HG951" s="23"/>
      <c r="HH951" s="23"/>
      <c r="HI951" s="23"/>
      <c r="HJ951" s="23"/>
      <c r="HK951" s="23"/>
      <c r="HL951" s="23"/>
      <c r="HM951" s="23"/>
      <c r="HN951" s="23"/>
      <c r="HO951" s="23"/>
      <c r="HP951" s="23"/>
      <c r="HQ951" s="23"/>
      <c r="HR951" s="23"/>
      <c r="HS951" s="23"/>
      <c r="HT951" s="23"/>
      <c r="HU951" s="23"/>
      <c r="HV951" s="23"/>
      <c r="HW951" s="23"/>
      <c r="HX951" s="23"/>
      <c r="HY951" s="23"/>
      <c r="HZ951" s="23"/>
      <c r="IA951" s="23"/>
      <c r="IB951" s="23"/>
      <c r="IC951" s="23"/>
      <c r="ID951" s="23"/>
      <c r="IE951" s="23"/>
      <c r="IF951" s="23"/>
      <c r="IG951" s="23"/>
      <c r="IH951" s="23"/>
      <c r="II951" s="23"/>
      <c r="IJ951" s="23"/>
      <c r="IK951" s="23"/>
      <c r="IL951" s="23"/>
      <c r="IM951" s="23"/>
      <c r="IN951" s="23"/>
      <c r="IO951" s="23"/>
      <c r="IP951" s="23"/>
      <c r="IQ951" s="23"/>
      <c r="IR951" s="23"/>
      <c r="IS951" s="23"/>
      <c r="IT951" s="23"/>
      <c r="IU951" s="23"/>
      <c r="IV951" s="23"/>
      <c r="IW951" s="23"/>
      <c r="IX951" s="23"/>
      <c r="IY951" s="23"/>
      <c r="IZ951" s="23"/>
      <c r="JA951" s="23"/>
      <c r="JB951" s="23"/>
      <c r="JC951" s="23"/>
      <c r="JD951" s="23"/>
      <c r="JE951" s="23"/>
      <c r="JF951" s="23"/>
      <c r="JG951" s="23"/>
      <c r="JH951" s="23"/>
      <c r="JI951" s="23"/>
      <c r="JJ951" s="23"/>
      <c r="JK951" s="23"/>
      <c r="JL951" s="23"/>
      <c r="JM951" s="23"/>
      <c r="JN951" s="23"/>
      <c r="JO951" s="23"/>
      <c r="JP951" s="23"/>
      <c r="JQ951" s="23"/>
      <c r="JR951" s="23"/>
      <c r="JS951" s="23"/>
      <c r="JT951" s="23"/>
      <c r="JU951" s="23"/>
      <c r="JV951" s="23"/>
      <c r="JW951" s="23"/>
      <c r="JX951" s="23"/>
      <c r="JY951" s="23"/>
      <c r="JZ951" s="23"/>
      <c r="KA951" s="23"/>
      <c r="KB951" s="23"/>
      <c r="KC951" s="23"/>
      <c r="KD951" s="23"/>
      <c r="KE951" s="23"/>
      <c r="KF951" s="23"/>
      <c r="KG951" s="23"/>
      <c r="KH951" s="23"/>
      <c r="KI951" s="23"/>
      <c r="KJ951" s="23"/>
      <c r="KK951" s="23"/>
      <c r="KL951" s="23"/>
      <c r="KM951" s="23"/>
      <c r="KN951" s="23"/>
      <c r="KO951" s="23"/>
      <c r="KP951" s="23"/>
      <c r="KQ951" s="23"/>
      <c r="KR951" s="23"/>
      <c r="KS951" s="23"/>
      <c r="KT951" s="23"/>
      <c r="KU951" s="23"/>
      <c r="KV951" s="23"/>
      <c r="KW951" s="23"/>
      <c r="KX951" s="23"/>
      <c r="KY951" s="23"/>
      <c r="KZ951" s="23"/>
      <c r="LA951" s="23"/>
      <c r="LB951" s="23"/>
      <c r="LC951" s="23"/>
      <c r="LD951" s="23"/>
      <c r="LE951" s="23"/>
      <c r="LF951" s="23"/>
      <c r="LG951" s="23"/>
      <c r="LH951" s="23"/>
      <c r="LI951" s="23"/>
      <c r="LJ951" s="23"/>
      <c r="LK951" s="23"/>
      <c r="LL951" s="23"/>
      <c r="LM951" s="23"/>
      <c r="LN951" s="23"/>
      <c r="LO951" s="23"/>
      <c r="LP951" s="23"/>
      <c r="LQ951" s="23"/>
      <c r="LR951" s="23"/>
      <c r="LS951" s="23"/>
      <c r="LT951" s="23"/>
      <c r="LU951" s="23"/>
      <c r="LV951" s="23"/>
      <c r="LW951" s="23"/>
      <c r="LX951" s="23"/>
      <c r="LY951" s="23"/>
      <c r="LZ951" s="23"/>
      <c r="MA951" s="23"/>
      <c r="MB951" s="23"/>
      <c r="MC951" s="23"/>
      <c r="MD951" s="23"/>
      <c r="ME951" s="23"/>
      <c r="MF951" s="23"/>
      <c r="MG951" s="23"/>
      <c r="MH951" s="23"/>
      <c r="MI951" s="23"/>
      <c r="MJ951" s="23"/>
      <c r="MK951" s="23"/>
      <c r="ML951" s="23"/>
      <c r="MM951" s="23"/>
      <c r="MN951" s="23"/>
      <c r="MO951" s="23"/>
      <c r="MP951" s="23"/>
      <c r="MQ951" s="23"/>
      <c r="MR951" s="23"/>
      <c r="MS951" s="23"/>
      <c r="MT951" s="23"/>
      <c r="MU951" s="23"/>
      <c r="MV951" s="23"/>
      <c r="MW951" s="23"/>
      <c r="MX951" s="23"/>
      <c r="MY951" s="23"/>
      <c r="MZ951" s="23"/>
      <c r="NA951" s="23"/>
      <c r="NB951" s="23"/>
      <c r="NC951" s="23"/>
      <c r="ND951" s="23"/>
      <c r="NE951" s="23"/>
      <c r="NF951" s="23"/>
      <c r="NG951" s="23"/>
      <c r="NH951" s="23"/>
      <c r="NI951" s="23"/>
      <c r="NJ951" s="23"/>
      <c r="NK951" s="23"/>
      <c r="NL951" s="23"/>
      <c r="NM951" s="23"/>
      <c r="NN951" s="23"/>
      <c r="NO951" s="23"/>
      <c r="NP951" s="23"/>
      <c r="NQ951" s="23"/>
      <c r="NR951" s="23"/>
      <c r="NS951" s="23"/>
      <c r="NT951" s="23"/>
      <c r="NU951" s="23"/>
      <c r="NV951" s="23"/>
      <c r="NW951" s="23"/>
      <c r="NX951" s="23"/>
      <c r="NY951" s="23"/>
      <c r="NZ951" s="23"/>
      <c r="OA951" s="23"/>
      <c r="OB951" s="23"/>
      <c r="OC951" s="23"/>
      <c r="OD951" s="23"/>
      <c r="OE951" s="23"/>
      <c r="OF951" s="23"/>
      <c r="OG951" s="23"/>
      <c r="OH951" s="23"/>
      <c r="OI951" s="23"/>
      <c r="OJ951" s="23"/>
      <c r="OK951" s="23"/>
      <c r="OL951" s="23"/>
      <c r="OM951" s="23"/>
      <c r="ON951" s="23"/>
      <c r="OO951" s="23"/>
      <c r="OP951" s="23"/>
      <c r="OQ951" s="23"/>
      <c r="OR951" s="23"/>
      <c r="OS951" s="23"/>
      <c r="OT951" s="23"/>
      <c r="OU951" s="23"/>
      <c r="OV951" s="23"/>
      <c r="OW951" s="23"/>
      <c r="OX951" s="23"/>
      <c r="OY951" s="23"/>
      <c r="OZ951" s="23"/>
      <c r="PA951" s="23"/>
      <c r="PB951" s="23"/>
      <c r="PC951" s="23"/>
      <c r="PD951" s="23"/>
      <c r="PE951" s="23"/>
      <c r="PF951" s="23"/>
      <c r="PG951" s="23"/>
      <c r="PH951" s="23"/>
      <c r="PI951" s="23"/>
      <c r="PJ951" s="23"/>
      <c r="PK951" s="23"/>
      <c r="PL951" s="23"/>
      <c r="PM951" s="23"/>
      <c r="PN951" s="23"/>
      <c r="PO951" s="23"/>
      <c r="PP951" s="23"/>
      <c r="PQ951" s="23"/>
      <c r="PR951" s="23"/>
      <c r="PS951" s="23"/>
      <c r="PT951" s="23"/>
      <c r="PU951" s="23"/>
      <c r="PV951" s="23"/>
      <c r="PW951" s="23"/>
      <c r="PX951" s="23"/>
      <c r="PY951" s="23"/>
      <c r="PZ951" s="23"/>
      <c r="QA951" s="23"/>
      <c r="QB951" s="23"/>
      <c r="QC951" s="23"/>
      <c r="QD951" s="23"/>
      <c r="QE951" s="23"/>
      <c r="QF951" s="23"/>
      <c r="QG951" s="23"/>
      <c r="QH951" s="23"/>
      <c r="QI951" s="23"/>
      <c r="QJ951" s="23"/>
      <c r="QK951" s="23"/>
      <c r="QL951" s="23"/>
      <c r="QM951" s="23"/>
      <c r="QN951" s="23"/>
      <c r="QO951" s="23"/>
      <c r="QP951" s="23"/>
      <c r="QQ951" s="23"/>
      <c r="QR951" s="23"/>
      <c r="QS951" s="23"/>
      <c r="QT951" s="23"/>
      <c r="QU951" s="23"/>
      <c r="QV951" s="23"/>
      <c r="QW951" s="23"/>
      <c r="QX951" s="23"/>
      <c r="QY951" s="23"/>
      <c r="QZ951" s="23"/>
      <c r="RA951" s="23"/>
      <c r="RB951" s="23"/>
      <c r="RC951" s="23"/>
      <c r="RD951" s="23"/>
      <c r="RE951" s="23"/>
      <c r="RF951" s="23"/>
      <c r="RG951" s="23"/>
      <c r="RH951" s="23"/>
      <c r="RI951" s="23"/>
      <c r="RJ951" s="23"/>
      <c r="RK951" s="23"/>
      <c r="RL951" s="23"/>
      <c r="RM951" s="23"/>
      <c r="RN951" s="23"/>
      <c r="RO951" s="23"/>
      <c r="RP951" s="23"/>
      <c r="RQ951" s="23"/>
      <c r="RR951" s="23"/>
      <c r="RS951" s="23"/>
      <c r="RT951" s="23"/>
      <c r="RU951" s="23"/>
      <c r="RV951" s="23"/>
      <c r="RW951" s="23"/>
      <c r="RX951" s="23"/>
      <c r="RY951" s="23"/>
      <c r="RZ951" s="23"/>
      <c r="SA951" s="23"/>
      <c r="SB951" s="23"/>
      <c r="SC951" s="23"/>
      <c r="SD951" s="23"/>
      <c r="SE951" s="23"/>
      <c r="SF951" s="23"/>
      <c r="SG951" s="23"/>
      <c r="SH951" s="23"/>
      <c r="SI951" s="23"/>
      <c r="SJ951" s="23"/>
      <c r="SK951" s="23"/>
      <c r="SL951" s="23"/>
      <c r="SM951" s="23"/>
      <c r="SN951" s="23"/>
      <c r="SO951" s="23"/>
      <c r="SP951" s="23"/>
      <c r="SQ951" s="23"/>
      <c r="SR951" s="23"/>
      <c r="SS951" s="23"/>
      <c r="ST951" s="23"/>
      <c r="SU951" s="23"/>
      <c r="SV951" s="23"/>
      <c r="SW951" s="23"/>
      <c r="SX951" s="23"/>
      <c r="SY951" s="23"/>
      <c r="SZ951" s="23"/>
      <c r="TA951" s="23"/>
      <c r="TB951" s="23"/>
      <c r="TC951" s="23"/>
      <c r="TD951" s="23"/>
      <c r="TE951" s="23"/>
      <c r="TF951" s="23"/>
      <c r="TG951" s="23"/>
      <c r="TH951" s="23"/>
      <c r="TI951" s="23"/>
      <c r="TJ951" s="23"/>
      <c r="TK951" s="23"/>
      <c r="TL951" s="23"/>
      <c r="TM951" s="23"/>
      <c r="TN951" s="23"/>
      <c r="TO951" s="23"/>
      <c r="TP951" s="23"/>
      <c r="TQ951" s="23"/>
      <c r="TR951" s="23"/>
      <c r="TS951" s="23"/>
      <c r="TT951" s="23"/>
      <c r="TU951" s="23"/>
      <c r="TV951" s="23"/>
      <c r="TW951" s="23"/>
      <c r="TX951" s="23"/>
      <c r="TY951" s="23"/>
      <c r="TZ951" s="23"/>
      <c r="UA951" s="23"/>
      <c r="UB951" s="23"/>
      <c r="UC951" s="23"/>
      <c r="UD951" s="23"/>
      <c r="UE951" s="23"/>
      <c r="UF951" s="23"/>
      <c r="UG951" s="23"/>
      <c r="UH951" s="23"/>
      <c r="UI951" s="23"/>
      <c r="UJ951" s="23"/>
      <c r="UK951" s="23"/>
      <c r="UL951" s="23"/>
      <c r="UM951" s="23"/>
      <c r="UN951" s="23"/>
      <c r="UO951" s="23"/>
      <c r="UP951" s="23"/>
      <c r="UQ951" s="23"/>
      <c r="UR951" s="23"/>
      <c r="US951" s="23"/>
      <c r="UT951" s="23"/>
      <c r="UU951" s="23"/>
      <c r="UV951" s="23"/>
      <c r="UW951" s="23"/>
      <c r="UX951" s="23"/>
      <c r="UY951" s="23"/>
      <c r="UZ951" s="23"/>
      <c r="VA951" s="23"/>
      <c r="VB951" s="23"/>
      <c r="VC951" s="23"/>
      <c r="VD951" s="23"/>
      <c r="VE951" s="23"/>
      <c r="VF951" s="23"/>
      <c r="VG951" s="23"/>
      <c r="VH951" s="23"/>
      <c r="VI951" s="23"/>
      <c r="VJ951" s="23"/>
      <c r="VK951" s="23"/>
      <c r="VL951" s="23"/>
      <c r="VM951" s="23"/>
      <c r="VN951" s="23"/>
      <c r="VO951" s="23"/>
      <c r="VP951" s="23"/>
      <c r="VQ951" s="23"/>
      <c r="VR951" s="23"/>
      <c r="VS951" s="23"/>
      <c r="VT951" s="23"/>
      <c r="VU951" s="23"/>
      <c r="VV951" s="23"/>
      <c r="VW951" s="23"/>
      <c r="VX951" s="23"/>
      <c r="VY951" s="23"/>
      <c r="VZ951" s="23"/>
      <c r="WA951" s="23"/>
      <c r="WB951" s="23"/>
      <c r="WC951" s="23"/>
      <c r="WD951" s="23"/>
      <c r="WE951" s="23"/>
      <c r="WF951" s="23"/>
      <c r="WG951" s="23"/>
      <c r="WH951" s="23"/>
      <c r="WI951" s="23"/>
      <c r="WJ951" s="23"/>
      <c r="WK951" s="23"/>
      <c r="WL951" s="23"/>
      <c r="WM951" s="23"/>
      <c r="WN951" s="23"/>
      <c r="WO951" s="23"/>
      <c r="WP951" s="23"/>
      <c r="WQ951" s="23"/>
      <c r="WR951" s="23"/>
      <c r="WS951" s="23"/>
      <c r="WT951" s="23"/>
      <c r="WU951" s="23"/>
      <c r="WV951" s="23"/>
      <c r="WW951" s="23"/>
      <c r="WX951" s="23"/>
      <c r="WY951" s="23"/>
      <c r="WZ951" s="23"/>
      <c r="XA951" s="23"/>
      <c r="XB951" s="23"/>
      <c r="XC951" s="23"/>
      <c r="XD951" s="23"/>
      <c r="XE951" s="23"/>
      <c r="XF951" s="23"/>
      <c r="XG951" s="23"/>
      <c r="XH951" s="23"/>
      <c r="XI951" s="23"/>
      <c r="XJ951" s="23"/>
      <c r="XK951" s="23"/>
      <c r="XL951" s="23"/>
      <c r="XM951" s="23"/>
      <c r="XN951" s="23"/>
      <c r="XO951" s="23"/>
      <c r="XP951" s="23"/>
      <c r="XQ951" s="23"/>
      <c r="XR951" s="23"/>
      <c r="XS951" s="23"/>
      <c r="XT951" s="23"/>
      <c r="XU951" s="23"/>
      <c r="XV951" s="23"/>
      <c r="XW951" s="23"/>
      <c r="XX951" s="23"/>
      <c r="XY951" s="23"/>
      <c r="XZ951" s="23"/>
      <c r="YA951" s="23"/>
      <c r="YB951" s="23"/>
      <c r="YC951" s="23"/>
      <c r="YD951" s="23"/>
      <c r="YE951" s="23"/>
      <c r="YF951" s="23"/>
      <c r="YG951" s="23"/>
      <c r="YH951" s="23"/>
      <c r="YI951" s="23"/>
      <c r="YJ951" s="23"/>
      <c r="YK951" s="23"/>
      <c r="YL951" s="23"/>
      <c r="YM951" s="23"/>
      <c r="YN951" s="23"/>
      <c r="YO951" s="23"/>
      <c r="YP951" s="23"/>
      <c r="YQ951" s="23"/>
      <c r="YR951" s="23"/>
      <c r="YS951" s="23"/>
      <c r="YT951" s="23"/>
      <c r="YU951" s="23"/>
      <c r="YV951" s="23"/>
      <c r="YW951" s="23"/>
      <c r="YX951" s="23"/>
      <c r="YY951" s="23"/>
      <c r="YZ951" s="23"/>
      <c r="ZA951" s="23"/>
      <c r="ZB951" s="23"/>
      <c r="ZC951" s="23"/>
      <c r="ZD951" s="23"/>
      <c r="ZE951" s="23"/>
      <c r="ZF951" s="23"/>
      <c r="ZG951" s="23"/>
      <c r="ZH951" s="23"/>
      <c r="ZI951" s="23"/>
      <c r="ZJ951" s="23"/>
      <c r="ZK951" s="23"/>
      <c r="ZL951" s="23"/>
      <c r="ZM951" s="23"/>
      <c r="ZN951" s="23"/>
      <c r="ZO951" s="23"/>
      <c r="ZP951" s="23"/>
      <c r="ZQ951" s="23"/>
      <c r="ZR951" s="23"/>
      <c r="ZS951" s="23"/>
      <c r="ZT951" s="23"/>
      <c r="ZU951" s="23"/>
      <c r="ZV951" s="23"/>
      <c r="ZW951" s="23"/>
      <c r="ZX951" s="23"/>
      <c r="ZY951" s="23"/>
      <c r="ZZ951" s="23"/>
      <c r="AAA951" s="23"/>
      <c r="AAB951" s="23"/>
      <c r="AAC951" s="23"/>
      <c r="AAD951" s="23"/>
      <c r="AAE951" s="23"/>
      <c r="AAF951" s="23"/>
      <c r="AAG951" s="23"/>
      <c r="AAH951" s="23"/>
      <c r="AAI951" s="23"/>
      <c r="AAJ951" s="23"/>
      <c r="AAK951" s="23"/>
      <c r="AAL951" s="23"/>
      <c r="AAM951" s="23"/>
      <c r="AAN951" s="23"/>
      <c r="AAO951" s="23"/>
      <c r="AAP951" s="23"/>
      <c r="AAQ951" s="23"/>
      <c r="AAR951" s="23"/>
      <c r="AAS951" s="23"/>
      <c r="AAT951" s="23"/>
      <c r="AAU951" s="23"/>
      <c r="AAV951" s="23"/>
      <c r="AAW951" s="23"/>
      <c r="AAX951" s="23"/>
      <c r="AAY951" s="23"/>
      <c r="AAZ951" s="23"/>
      <c r="ABA951" s="23"/>
      <c r="ABB951" s="23"/>
      <c r="ABC951" s="23"/>
      <c r="ABD951" s="23"/>
      <c r="ABE951" s="23"/>
      <c r="ABF951" s="23"/>
      <c r="ABG951" s="23"/>
      <c r="ABH951" s="23"/>
      <c r="ABI951" s="23"/>
      <c r="ABJ951" s="23"/>
      <c r="ABK951" s="23"/>
      <c r="ABL951" s="23"/>
      <c r="ABM951" s="23"/>
      <c r="ABN951" s="23"/>
      <c r="ABO951" s="23"/>
      <c r="ABP951" s="23"/>
      <c r="ABQ951" s="23"/>
      <c r="ABR951" s="23"/>
      <c r="ABS951" s="23"/>
      <c r="ABT951" s="23"/>
      <c r="ABU951" s="23"/>
      <c r="ABV951" s="23"/>
      <c r="ABW951" s="23"/>
      <c r="ABX951" s="23"/>
      <c r="ABY951" s="23"/>
      <c r="ABZ951" s="23"/>
      <c r="ACA951" s="23"/>
      <c r="ACB951" s="23"/>
      <c r="ACC951" s="23"/>
      <c r="ACD951" s="23"/>
      <c r="ACE951" s="23"/>
      <c r="ACF951" s="23"/>
      <c r="ACG951" s="23"/>
      <c r="ACH951" s="23"/>
      <c r="ACI951" s="23"/>
      <c r="ACJ951" s="23"/>
      <c r="ACK951" s="23"/>
      <c r="ACL951" s="23"/>
      <c r="ACM951" s="23"/>
      <c r="ACN951" s="23"/>
      <c r="ACO951" s="23"/>
      <c r="ACP951" s="23"/>
      <c r="ACQ951" s="23"/>
      <c r="ACR951" s="23"/>
      <c r="ACS951" s="23"/>
      <c r="ACT951" s="23"/>
      <c r="ACU951" s="23"/>
      <c r="ACV951" s="23"/>
      <c r="ACW951" s="23"/>
      <c r="ACX951" s="23"/>
      <c r="ACY951" s="23"/>
      <c r="ACZ951" s="23"/>
      <c r="ADA951" s="23"/>
      <c r="ADB951" s="23"/>
      <c r="ADC951" s="23"/>
      <c r="ADD951" s="23"/>
      <c r="ADE951" s="23"/>
      <c r="ADF951" s="23"/>
      <c r="ADG951" s="23"/>
      <c r="ADH951" s="23"/>
      <c r="ADI951" s="23"/>
      <c r="ADJ951" s="23"/>
      <c r="ADK951" s="23"/>
      <c r="ADL951" s="23"/>
      <c r="ADM951" s="23"/>
      <c r="ADN951" s="23"/>
      <c r="ADO951" s="23"/>
      <c r="ADP951" s="23"/>
      <c r="ADQ951" s="23"/>
      <c r="ADR951" s="23"/>
      <c r="ADS951" s="23"/>
      <c r="ADT951" s="23"/>
      <c r="ADU951" s="23"/>
      <c r="ADV951" s="23"/>
      <c r="ADW951" s="23"/>
      <c r="ADX951" s="23"/>
      <c r="ADY951" s="23"/>
      <c r="ADZ951" s="23"/>
      <c r="AEA951" s="23"/>
      <c r="AEB951" s="23"/>
      <c r="AEC951" s="23"/>
      <c r="AED951" s="23"/>
      <c r="AEE951" s="23"/>
      <c r="AEF951" s="23"/>
      <c r="AEG951" s="23"/>
      <c r="AEH951" s="23"/>
      <c r="AEI951" s="23"/>
      <c r="AEJ951" s="23"/>
      <c r="AEK951" s="23"/>
      <c r="AEL951" s="23"/>
      <c r="AEM951" s="23"/>
      <c r="AEN951" s="23"/>
      <c r="AEO951" s="23"/>
      <c r="AEP951" s="23"/>
      <c r="AEQ951" s="23"/>
      <c r="AER951" s="23"/>
      <c r="AES951" s="23"/>
      <c r="AET951" s="23"/>
      <c r="AEU951" s="23"/>
      <c r="AEV951" s="23"/>
      <c r="AEW951" s="23"/>
      <c r="AEX951" s="23"/>
      <c r="AEY951" s="23"/>
      <c r="AEZ951" s="23"/>
      <c r="AFA951" s="23"/>
      <c r="AFB951" s="23"/>
      <c r="AFC951" s="23"/>
      <c r="AFD951" s="23"/>
      <c r="AFE951" s="23"/>
      <c r="AFF951" s="23"/>
      <c r="AFG951" s="23"/>
      <c r="AFH951" s="23"/>
      <c r="AFI951" s="23"/>
      <c r="AFJ951" s="23"/>
      <c r="AFK951" s="23"/>
      <c r="AFL951" s="23"/>
      <c r="AFM951" s="23"/>
      <c r="AFN951" s="23"/>
      <c r="AFO951" s="23"/>
      <c r="AFP951" s="23"/>
      <c r="AFQ951" s="23"/>
      <c r="AFR951" s="23"/>
      <c r="AFS951" s="23"/>
      <c r="AFT951" s="23"/>
      <c r="AFU951" s="23"/>
      <c r="AFV951" s="23"/>
      <c r="AFW951" s="23"/>
      <c r="AFX951" s="23"/>
      <c r="AFY951" s="23"/>
      <c r="AFZ951" s="23"/>
      <c r="AGA951" s="23"/>
      <c r="AGB951" s="23"/>
      <c r="AGC951" s="23"/>
      <c r="AGD951" s="23"/>
      <c r="AGE951" s="23"/>
      <c r="AGF951" s="23"/>
      <c r="AGG951" s="23"/>
      <c r="AGH951" s="23"/>
      <c r="AGI951" s="23"/>
      <c r="AGJ951" s="23"/>
      <c r="AGK951" s="23"/>
      <c r="AGL951" s="23"/>
      <c r="AGM951" s="23"/>
      <c r="AGN951" s="23"/>
      <c r="AGO951" s="23"/>
      <c r="AGP951" s="23"/>
      <c r="AGQ951" s="23"/>
      <c r="AGR951" s="23"/>
      <c r="AGS951" s="23"/>
      <c r="AGT951" s="23"/>
      <c r="AGU951" s="23"/>
      <c r="AGV951" s="23"/>
      <c r="AGW951" s="23"/>
      <c r="AGX951" s="23"/>
      <c r="AGY951" s="23"/>
      <c r="AGZ951" s="23"/>
      <c r="AHA951" s="23"/>
      <c r="AHB951" s="23"/>
      <c r="AHC951" s="23"/>
      <c r="AHD951" s="23"/>
      <c r="AHE951" s="23"/>
      <c r="AHF951" s="23"/>
      <c r="AHG951" s="23"/>
      <c r="AHH951" s="23"/>
      <c r="AHI951" s="23"/>
      <c r="AHJ951" s="23"/>
      <c r="AHK951" s="23"/>
      <c r="AHL951" s="23"/>
      <c r="AHM951" s="23"/>
      <c r="AHN951" s="23"/>
      <c r="AHO951" s="23"/>
      <c r="AHP951" s="23"/>
      <c r="AHQ951" s="23"/>
      <c r="AHR951" s="23"/>
      <c r="AHS951" s="23"/>
      <c r="AHT951" s="23"/>
      <c r="AHU951" s="23"/>
      <c r="AHV951" s="23"/>
      <c r="AHW951" s="23"/>
      <c r="AHX951" s="23"/>
      <c r="AHY951" s="23"/>
      <c r="AHZ951" s="23"/>
      <c r="AIA951" s="23"/>
      <c r="AIB951" s="23"/>
      <c r="AIC951" s="23"/>
      <c r="AID951" s="23"/>
      <c r="AIE951" s="23"/>
      <c r="AIF951" s="23"/>
      <c r="AIG951" s="23"/>
      <c r="AIH951" s="23"/>
      <c r="AII951" s="23"/>
      <c r="AIJ951" s="23"/>
      <c r="AIK951" s="23"/>
      <c r="AIL951" s="23"/>
      <c r="AIM951" s="23"/>
      <c r="AIN951" s="23"/>
      <c r="AIO951" s="23"/>
      <c r="AIP951" s="23"/>
      <c r="AIQ951" s="23"/>
      <c r="AIR951" s="23"/>
      <c r="AIS951" s="23"/>
      <c r="AIT951" s="23"/>
      <c r="AIU951" s="23"/>
      <c r="AIV951" s="23"/>
      <c r="AIW951" s="23"/>
      <c r="AIX951" s="23"/>
      <c r="AIY951" s="23"/>
      <c r="AIZ951" s="23"/>
      <c r="AJA951" s="23"/>
      <c r="AJB951" s="23"/>
      <c r="AJC951" s="23"/>
      <c r="AJD951" s="23"/>
      <c r="AJE951" s="23"/>
      <c r="AJF951" s="23"/>
      <c r="AJG951" s="23"/>
      <c r="AJH951" s="23"/>
      <c r="AJI951" s="23"/>
      <c r="AJJ951" s="23"/>
      <c r="AJK951" s="23"/>
      <c r="AJL951" s="23"/>
      <c r="AJM951" s="23"/>
      <c r="AJN951" s="23"/>
      <c r="AJO951" s="23"/>
      <c r="AJP951" s="23"/>
      <c r="AJQ951" s="23"/>
      <c r="AJR951" s="23"/>
      <c r="AJS951" s="23"/>
      <c r="AJT951" s="23"/>
      <c r="AJU951" s="23"/>
      <c r="AJV951" s="23"/>
      <c r="AJW951" s="23"/>
      <c r="AJX951" s="23"/>
      <c r="AJY951" s="23"/>
      <c r="AJZ951" s="23"/>
      <c r="AKA951" s="23"/>
      <c r="AKB951" s="23"/>
      <c r="AKC951" s="23"/>
      <c r="AKD951" s="23"/>
      <c r="AKE951" s="23"/>
      <c r="AKF951" s="23"/>
      <c r="AKG951" s="23"/>
      <c r="AKH951" s="23"/>
      <c r="AKI951" s="23"/>
      <c r="AKJ951" s="23"/>
      <c r="AKK951" s="23"/>
      <c r="AKL951" s="23"/>
      <c r="AKM951" s="23"/>
      <c r="AKN951" s="23"/>
      <c r="AKO951" s="23"/>
      <c r="AKP951" s="23"/>
      <c r="AKQ951" s="23"/>
      <c r="AKR951" s="23"/>
      <c r="AKS951" s="23"/>
      <c r="AKT951" s="23"/>
      <c r="AKU951" s="23"/>
      <c r="AKV951" s="23"/>
      <c r="AKW951" s="23"/>
      <c r="AKX951" s="23"/>
      <c r="AKY951" s="23"/>
      <c r="AKZ951" s="23"/>
      <c r="ALA951" s="23"/>
      <c r="ALB951" s="23"/>
      <c r="ALC951" s="23"/>
      <c r="ALD951" s="23"/>
      <c r="ALE951" s="23"/>
      <c r="ALF951" s="23"/>
      <c r="ALG951" s="23"/>
      <c r="ALH951" s="23"/>
      <c r="ALI951" s="23"/>
      <c r="ALJ951" s="23"/>
      <c r="ALK951" s="23"/>
      <c r="ALL951" s="23"/>
      <c r="ALM951" s="23"/>
      <c r="ALN951" s="23"/>
      <c r="ALO951" s="23"/>
      <c r="ALP951" s="23"/>
      <c r="ALQ951" s="23"/>
      <c r="ALR951" s="23"/>
      <c r="ALS951" s="23"/>
      <c r="ALT951" s="23"/>
      <c r="ALU951" s="23"/>
      <c r="ALV951" s="23"/>
      <c r="ALW951" s="23"/>
      <c r="ALX951" s="23"/>
      <c r="ALY951" s="23"/>
      <c r="ALZ951" s="23"/>
      <c r="AMA951" s="23"/>
      <c r="AMB951" s="23"/>
      <c r="AMC951" s="23"/>
      <c r="AMD951" s="23"/>
      <c r="AME951" s="23"/>
      <c r="AMF951" s="23"/>
      <c r="AMG951" s="23"/>
      <c r="AMH951" s="23"/>
      <c r="AMI951" s="23"/>
      <c r="AMJ951" s="23"/>
      <c r="AMK951" s="23"/>
      <c r="AML951" s="23"/>
      <c r="AMM951" s="23"/>
      <c r="AMN951" s="23"/>
      <c r="AMO951" s="23"/>
      <c r="AMP951" s="23"/>
      <c r="AMQ951" s="23"/>
      <c r="AMR951" s="23"/>
      <c r="AMS951" s="23"/>
      <c r="AMT951" s="23"/>
      <c r="AMU951" s="23"/>
      <c r="AMV951" s="23"/>
      <c r="AMW951" s="23"/>
      <c r="AMX951" s="23"/>
      <c r="AMY951" s="23"/>
      <c r="AMZ951" s="23"/>
      <c r="ANA951" s="23"/>
      <c r="ANB951" s="23"/>
      <c r="ANC951" s="23"/>
      <c r="AND951" s="23"/>
      <c r="ANE951" s="23"/>
      <c r="ANF951" s="23"/>
      <c r="ANG951" s="23"/>
      <c r="ANH951" s="23"/>
      <c r="ANI951" s="23"/>
      <c r="ANJ951" s="23"/>
      <c r="ANK951" s="23"/>
      <c r="ANL951" s="23"/>
      <c r="ANM951" s="23"/>
      <c r="ANN951" s="23"/>
      <c r="ANO951" s="23"/>
      <c r="ANP951" s="23"/>
      <c r="ANQ951" s="23"/>
      <c r="ANR951" s="23"/>
      <c r="ANS951" s="23"/>
      <c r="ANT951" s="23"/>
      <c r="ANU951" s="23"/>
      <c r="ANV951" s="23"/>
      <c r="ANW951" s="23"/>
      <c r="ANX951" s="23"/>
      <c r="ANY951" s="23"/>
      <c r="ANZ951" s="23"/>
      <c r="AOA951" s="23"/>
      <c r="AOB951" s="23"/>
      <c r="AOC951" s="23"/>
      <c r="AOD951" s="23"/>
      <c r="AOE951" s="23"/>
      <c r="AOF951" s="23"/>
      <c r="AOG951" s="23"/>
      <c r="AOH951" s="23"/>
      <c r="AOI951" s="23"/>
      <c r="AOJ951" s="23"/>
      <c r="AOK951" s="23"/>
      <c r="AOL951" s="23"/>
      <c r="AOM951" s="23"/>
      <c r="AON951" s="23"/>
      <c r="AOO951" s="23"/>
      <c r="AOP951" s="23"/>
      <c r="AOQ951" s="23"/>
      <c r="AOR951" s="23"/>
      <c r="AOS951" s="23"/>
      <c r="AOT951" s="23"/>
      <c r="AOU951" s="23"/>
      <c r="AOV951" s="23"/>
      <c r="AOW951" s="23"/>
      <c r="AOX951" s="23"/>
      <c r="AOY951" s="23"/>
      <c r="AOZ951" s="23"/>
      <c r="APA951" s="23"/>
      <c r="APB951" s="23"/>
      <c r="APC951" s="23"/>
      <c r="APD951" s="23"/>
      <c r="APE951" s="23"/>
      <c r="APF951" s="23"/>
      <c r="APG951" s="23"/>
      <c r="APH951" s="23"/>
      <c r="API951" s="23"/>
      <c r="APJ951" s="23"/>
      <c r="APK951" s="23"/>
      <c r="APL951" s="23"/>
      <c r="APM951" s="23"/>
      <c r="APN951" s="23"/>
      <c r="APO951" s="23"/>
      <c r="APP951" s="23"/>
      <c r="APQ951" s="23"/>
      <c r="APR951" s="23"/>
      <c r="APS951" s="23"/>
      <c r="APT951" s="23"/>
      <c r="APU951" s="23"/>
      <c r="APV951" s="23"/>
      <c r="APW951" s="23"/>
      <c r="APX951" s="23"/>
      <c r="APY951" s="23"/>
      <c r="APZ951" s="23"/>
      <c r="AQA951" s="23"/>
      <c r="AQB951" s="23"/>
      <c r="AQC951" s="23"/>
      <c r="AQD951" s="23"/>
      <c r="AQE951" s="23"/>
      <c r="AQF951" s="23"/>
      <c r="AQG951" s="23"/>
      <c r="AQH951" s="23"/>
      <c r="AQI951" s="23"/>
      <c r="AQJ951" s="23"/>
      <c r="AQK951" s="23"/>
      <c r="AQL951" s="23"/>
      <c r="AQM951" s="23"/>
      <c r="AQN951" s="23"/>
      <c r="AQO951" s="23"/>
      <c r="AQP951" s="23"/>
      <c r="AQQ951" s="23"/>
      <c r="AQR951" s="23"/>
      <c r="AQS951" s="23"/>
      <c r="AQT951" s="23"/>
      <c r="AQU951" s="23"/>
      <c r="AQV951" s="23"/>
      <c r="AQW951" s="23"/>
      <c r="AQX951" s="23"/>
      <c r="AQY951" s="23"/>
      <c r="AQZ951" s="23"/>
      <c r="ARA951" s="23"/>
      <c r="ARB951" s="23"/>
      <c r="ARC951" s="23"/>
      <c r="ARD951" s="23"/>
      <c r="ARE951" s="23"/>
      <c r="ARF951" s="23"/>
      <c r="ARG951" s="23"/>
      <c r="ARH951" s="23"/>
      <c r="ARI951" s="23"/>
      <c r="ARJ951" s="23"/>
      <c r="ARK951" s="23"/>
      <c r="ARL951" s="23"/>
      <c r="ARM951" s="23"/>
      <c r="ARN951" s="23"/>
      <c r="ARO951" s="23"/>
      <c r="ARP951" s="23"/>
      <c r="ARQ951" s="23"/>
      <c r="ARR951" s="23"/>
      <c r="ARS951" s="23"/>
      <c r="ART951" s="23"/>
      <c r="ARU951" s="23"/>
      <c r="ARV951" s="23"/>
      <c r="ARW951" s="23"/>
      <c r="ARX951" s="23"/>
      <c r="ARY951" s="23"/>
      <c r="ARZ951" s="23"/>
      <c r="ASA951" s="23"/>
      <c r="ASB951" s="23"/>
      <c r="ASC951" s="23"/>
      <c r="ASD951" s="23"/>
      <c r="ASE951" s="23"/>
      <c r="ASF951" s="23"/>
      <c r="ASG951" s="23"/>
      <c r="ASH951" s="23"/>
      <c r="ASI951" s="23"/>
      <c r="ASJ951" s="23"/>
      <c r="ASK951" s="23"/>
      <c r="ASL951" s="23"/>
      <c r="ASM951" s="23"/>
      <c r="ASN951" s="23"/>
      <c r="ASO951" s="23"/>
      <c r="ASP951" s="23"/>
      <c r="ASQ951" s="23"/>
      <c r="ASR951" s="23"/>
      <c r="ASS951" s="23"/>
      <c r="AST951" s="23"/>
      <c r="ASU951" s="23"/>
      <c r="ASV951" s="23"/>
      <c r="ASW951" s="23"/>
      <c r="ASX951" s="23"/>
      <c r="ASY951" s="23"/>
      <c r="ASZ951" s="23"/>
      <c r="ATA951" s="23"/>
      <c r="ATB951" s="23"/>
      <c r="ATC951" s="23"/>
      <c r="ATD951" s="23"/>
      <c r="ATE951" s="23"/>
      <c r="ATF951" s="23"/>
      <c r="ATG951" s="23"/>
      <c r="ATH951" s="23"/>
      <c r="ATI951" s="23"/>
      <c r="ATJ951" s="23"/>
      <c r="ATK951" s="23"/>
      <c r="ATL951" s="23"/>
      <c r="ATM951" s="23"/>
      <c r="ATN951" s="23"/>
      <c r="ATO951" s="23"/>
      <c r="ATP951" s="23"/>
      <c r="ATQ951" s="23"/>
      <c r="ATR951" s="23"/>
      <c r="ATS951" s="23"/>
      <c r="ATT951" s="23"/>
      <c r="ATU951" s="23"/>
      <c r="ATV951" s="23"/>
      <c r="ATW951" s="23"/>
      <c r="ATX951" s="23"/>
      <c r="ATY951" s="23"/>
      <c r="ATZ951" s="23"/>
      <c r="AUA951" s="23"/>
      <c r="AUB951" s="23"/>
      <c r="AUC951" s="23"/>
      <c r="AUD951" s="23"/>
      <c r="AUE951" s="23"/>
      <c r="AUF951" s="23"/>
      <c r="AUG951" s="23"/>
      <c r="AUH951" s="23"/>
      <c r="AUI951" s="23"/>
      <c r="AUJ951" s="23"/>
      <c r="AUK951" s="23"/>
      <c r="AUL951" s="23"/>
      <c r="AUM951" s="23"/>
      <c r="AUN951" s="23"/>
      <c r="AUO951" s="23"/>
      <c r="AUP951" s="23"/>
      <c r="AUQ951" s="23"/>
      <c r="AUR951" s="23"/>
      <c r="AUS951" s="23"/>
      <c r="AUT951" s="23"/>
      <c r="AUU951" s="23"/>
      <c r="AUV951" s="23"/>
      <c r="AUW951" s="23"/>
      <c r="AUX951" s="23"/>
      <c r="AUY951" s="23"/>
      <c r="AUZ951" s="23"/>
      <c r="AVA951" s="23"/>
      <c r="AVB951" s="23"/>
      <c r="AVC951" s="23"/>
      <c r="AVD951" s="23"/>
      <c r="AVE951" s="23"/>
      <c r="AVF951" s="23"/>
      <c r="AVG951" s="23"/>
      <c r="AVH951" s="23"/>
      <c r="AVI951" s="23"/>
      <c r="AVJ951" s="23"/>
      <c r="AVK951" s="23"/>
      <c r="AVL951" s="23"/>
      <c r="AVM951" s="23"/>
      <c r="AVN951" s="23"/>
      <c r="AVO951" s="23"/>
      <c r="AVP951" s="23"/>
      <c r="AVQ951" s="23"/>
      <c r="AVR951" s="23"/>
      <c r="AVS951" s="23"/>
      <c r="AVT951" s="23"/>
      <c r="AVU951" s="23"/>
      <c r="AVV951" s="23"/>
      <c r="AVW951" s="23"/>
      <c r="AVX951" s="23"/>
      <c r="AVY951" s="23"/>
      <c r="AVZ951" s="23"/>
      <c r="AWA951" s="23"/>
      <c r="AWB951" s="23"/>
      <c r="AWC951" s="23"/>
      <c r="AWD951" s="23"/>
      <c r="AWE951" s="23"/>
      <c r="AWF951" s="23"/>
      <c r="AWG951" s="23"/>
      <c r="AWH951" s="23"/>
      <c r="AWI951" s="23"/>
      <c r="AWJ951" s="23"/>
      <c r="AWK951" s="23"/>
      <c r="AWL951" s="23"/>
      <c r="AWM951" s="23"/>
      <c r="AWN951" s="23"/>
      <c r="AWO951" s="23"/>
      <c r="AWP951" s="23"/>
      <c r="AWQ951" s="23"/>
      <c r="AWR951" s="23"/>
      <c r="AWS951" s="23"/>
      <c r="AWT951" s="23"/>
      <c r="AWU951" s="23"/>
      <c r="AWV951" s="23"/>
      <c r="AWW951" s="23"/>
      <c r="AWX951" s="23"/>
      <c r="AWY951" s="23"/>
      <c r="AWZ951" s="23"/>
      <c r="AXA951" s="23"/>
      <c r="AXB951" s="23"/>
      <c r="AXC951" s="23"/>
      <c r="AXD951" s="23"/>
      <c r="AXE951" s="23"/>
      <c r="AXF951" s="23"/>
      <c r="AXG951" s="23"/>
      <c r="AXH951" s="23"/>
      <c r="AXI951" s="23"/>
      <c r="AXJ951" s="23"/>
      <c r="AXK951" s="23"/>
      <c r="AXL951" s="23"/>
      <c r="AXM951" s="23"/>
      <c r="AXN951" s="23"/>
      <c r="AXO951" s="23"/>
      <c r="AXP951" s="23"/>
      <c r="AXQ951" s="23"/>
      <c r="AXR951" s="23"/>
      <c r="AXS951" s="23"/>
      <c r="AXT951" s="23"/>
      <c r="AXU951" s="23"/>
      <c r="AXV951" s="23"/>
      <c r="AXW951" s="23"/>
      <c r="AXX951" s="23"/>
      <c r="AXY951" s="23"/>
      <c r="AXZ951" s="23"/>
      <c r="AYA951" s="23"/>
      <c r="AYB951" s="23"/>
      <c r="AYC951" s="23"/>
      <c r="AYD951" s="23"/>
      <c r="AYE951" s="23"/>
      <c r="AYF951" s="23"/>
      <c r="AYG951" s="23"/>
      <c r="AYH951" s="23"/>
      <c r="AYI951" s="23"/>
      <c r="AYJ951" s="23"/>
      <c r="AYK951" s="23"/>
      <c r="AYL951" s="23"/>
      <c r="AYM951" s="23"/>
      <c r="AYN951" s="23"/>
      <c r="AYO951" s="23"/>
      <c r="AYP951" s="23"/>
      <c r="AYQ951" s="23"/>
      <c r="AYR951" s="23"/>
      <c r="AYS951" s="23"/>
      <c r="AYT951" s="23"/>
      <c r="AYU951" s="23"/>
      <c r="AYV951" s="23"/>
      <c r="AYW951" s="23"/>
      <c r="AYX951" s="23"/>
      <c r="AYY951" s="23"/>
      <c r="AYZ951" s="23"/>
      <c r="AZA951" s="23"/>
      <c r="AZB951" s="23"/>
      <c r="AZC951" s="23"/>
      <c r="AZD951" s="23"/>
      <c r="AZE951" s="23"/>
      <c r="AZF951" s="23"/>
      <c r="AZG951" s="23"/>
      <c r="AZH951" s="23"/>
      <c r="AZI951" s="23"/>
      <c r="AZJ951" s="23"/>
      <c r="AZK951" s="23"/>
      <c r="AZL951" s="23"/>
      <c r="AZM951" s="23"/>
      <c r="AZN951" s="23"/>
      <c r="AZO951" s="23"/>
      <c r="AZP951" s="23"/>
      <c r="AZQ951" s="23"/>
      <c r="AZR951" s="23"/>
      <c r="AZS951" s="23"/>
      <c r="AZT951" s="23"/>
      <c r="AZU951" s="23"/>
      <c r="AZV951" s="23"/>
      <c r="AZW951" s="23"/>
      <c r="AZX951" s="23"/>
      <c r="AZY951" s="23"/>
      <c r="AZZ951" s="23"/>
      <c r="BAA951" s="23"/>
      <c r="BAB951" s="23"/>
      <c r="BAC951" s="23"/>
      <c r="BAD951" s="23"/>
      <c r="BAE951" s="23"/>
      <c r="BAF951" s="23"/>
      <c r="BAG951" s="23"/>
      <c r="BAH951" s="23"/>
      <c r="BAI951" s="23"/>
      <c r="BAJ951" s="23"/>
      <c r="BAK951" s="23"/>
      <c r="BAL951" s="23"/>
      <c r="BAM951" s="23"/>
      <c r="BAN951" s="23"/>
      <c r="BAO951" s="23"/>
      <c r="BAP951" s="23"/>
      <c r="BAQ951" s="23"/>
      <c r="BAR951" s="23"/>
      <c r="BAS951" s="23"/>
      <c r="BAT951" s="23"/>
      <c r="BAU951" s="23"/>
      <c r="BAV951" s="23"/>
      <c r="BAW951" s="23"/>
      <c r="BAX951" s="23"/>
      <c r="BAY951" s="23"/>
      <c r="BAZ951" s="23"/>
      <c r="BBA951" s="23"/>
      <c r="BBB951" s="23"/>
      <c r="BBC951" s="23"/>
      <c r="BBD951" s="23"/>
      <c r="BBE951" s="23"/>
      <c r="BBF951" s="23"/>
      <c r="BBG951" s="23"/>
      <c r="BBH951" s="23"/>
      <c r="BBI951" s="23"/>
      <c r="BBJ951" s="23"/>
      <c r="BBK951" s="23"/>
      <c r="BBL951" s="23"/>
      <c r="BBM951" s="23"/>
      <c r="BBN951" s="23"/>
      <c r="BBO951" s="23"/>
      <c r="BBP951" s="23"/>
      <c r="BBQ951" s="23"/>
      <c r="BBR951" s="23"/>
      <c r="BBS951" s="23"/>
      <c r="BBT951" s="23"/>
      <c r="BBU951" s="23"/>
      <c r="BBV951" s="23"/>
      <c r="BBW951" s="23"/>
      <c r="BBX951" s="23"/>
      <c r="BBY951" s="23"/>
      <c r="BBZ951" s="23"/>
      <c r="BCA951" s="23"/>
      <c r="BCB951" s="23"/>
      <c r="BCC951" s="23"/>
      <c r="BCD951" s="23"/>
      <c r="BCE951" s="23"/>
      <c r="BCF951" s="23"/>
      <c r="BCG951" s="23"/>
      <c r="BCH951" s="23"/>
      <c r="BCI951" s="23"/>
      <c r="BCJ951" s="23"/>
      <c r="BCK951" s="23"/>
      <c r="BCL951" s="23"/>
      <c r="BCM951" s="23"/>
      <c r="BCN951" s="23"/>
      <c r="BCO951" s="23"/>
      <c r="BCP951" s="23"/>
      <c r="BCQ951" s="23"/>
      <c r="BCR951" s="23"/>
      <c r="BCS951" s="23"/>
      <c r="BCT951" s="23"/>
      <c r="BCU951" s="23"/>
      <c r="BCV951" s="23"/>
      <c r="BCW951" s="23"/>
      <c r="BCX951" s="23"/>
      <c r="BCY951" s="23"/>
      <c r="BCZ951" s="23"/>
      <c r="BDA951" s="23"/>
      <c r="BDB951" s="23"/>
      <c r="BDC951" s="23"/>
      <c r="BDD951" s="23"/>
      <c r="BDE951" s="23"/>
      <c r="BDF951" s="23"/>
      <c r="BDG951" s="23"/>
      <c r="BDH951" s="23"/>
      <c r="BDI951" s="23"/>
      <c r="BDJ951" s="23"/>
      <c r="BDK951" s="23"/>
      <c r="BDL951" s="23"/>
      <c r="BDM951" s="23"/>
      <c r="BDN951" s="23"/>
      <c r="BDO951" s="23"/>
      <c r="BDP951" s="23"/>
      <c r="BDQ951" s="23"/>
      <c r="BDR951" s="23"/>
      <c r="BDS951" s="23"/>
      <c r="BDT951" s="23"/>
      <c r="BDU951" s="23"/>
      <c r="BDV951" s="23"/>
      <c r="BDW951" s="23"/>
      <c r="BDX951" s="23"/>
      <c r="BDY951" s="23"/>
      <c r="BDZ951" s="23"/>
      <c r="BEA951" s="23"/>
      <c r="BEB951" s="23"/>
      <c r="BEC951" s="23"/>
      <c r="BED951" s="23"/>
      <c r="BEE951" s="23"/>
      <c r="BEF951" s="23"/>
      <c r="BEG951" s="23"/>
      <c r="BEH951" s="23"/>
      <c r="BEI951" s="23"/>
      <c r="BEJ951" s="23"/>
      <c r="BEK951" s="23"/>
      <c r="BEL951" s="23"/>
      <c r="BEM951" s="23"/>
      <c r="BEN951" s="23"/>
      <c r="BEO951" s="23"/>
      <c r="BEP951" s="23"/>
      <c r="BEQ951" s="23"/>
      <c r="BER951" s="23"/>
      <c r="BES951" s="23"/>
      <c r="BET951" s="23"/>
      <c r="BEU951" s="23"/>
      <c r="BEV951" s="23"/>
      <c r="BEW951" s="23"/>
      <c r="BEX951" s="23"/>
      <c r="BEY951" s="23"/>
      <c r="BEZ951" s="23"/>
      <c r="BFA951" s="23"/>
      <c r="BFB951" s="23"/>
      <c r="BFC951" s="23"/>
      <c r="BFD951" s="23"/>
      <c r="BFE951" s="23"/>
      <c r="BFF951" s="23"/>
      <c r="BFG951" s="23"/>
      <c r="BFH951" s="23"/>
      <c r="BFI951" s="23"/>
      <c r="BFJ951" s="23"/>
      <c r="BFK951" s="23"/>
      <c r="BFL951" s="23"/>
      <c r="BFM951" s="23"/>
      <c r="BFN951" s="23"/>
      <c r="BFO951" s="23"/>
      <c r="BFP951" s="23"/>
      <c r="BFQ951" s="23"/>
      <c r="BFR951" s="23"/>
      <c r="BFS951" s="23"/>
      <c r="BFT951" s="23"/>
      <c r="BFU951" s="23"/>
      <c r="BFV951" s="23"/>
      <c r="BFW951" s="23"/>
      <c r="BFX951" s="23"/>
      <c r="BFY951" s="23"/>
      <c r="BFZ951" s="23"/>
      <c r="BGA951" s="23"/>
      <c r="BGB951" s="23"/>
      <c r="BGC951" s="23"/>
      <c r="BGD951" s="23"/>
      <c r="BGE951" s="23"/>
      <c r="BGF951" s="23"/>
      <c r="BGG951" s="23"/>
      <c r="BGH951" s="23"/>
      <c r="BGI951" s="23"/>
      <c r="BGJ951" s="23"/>
      <c r="BGK951" s="23"/>
      <c r="BGL951" s="23"/>
      <c r="BGM951" s="23"/>
      <c r="BGN951" s="23"/>
      <c r="BGO951" s="23"/>
      <c r="BGP951" s="23"/>
      <c r="BGQ951" s="23"/>
      <c r="BGR951" s="23"/>
      <c r="BGS951" s="23"/>
      <c r="BGT951" s="23"/>
      <c r="BGU951" s="23"/>
      <c r="BGV951" s="23"/>
      <c r="BGW951" s="23"/>
      <c r="BGX951" s="23"/>
      <c r="BGY951" s="23"/>
      <c r="BGZ951" s="23"/>
      <c r="BHA951" s="23"/>
      <c r="BHB951" s="23"/>
      <c r="BHC951" s="23"/>
      <c r="BHD951" s="23"/>
      <c r="BHE951" s="23"/>
      <c r="BHF951" s="23"/>
      <c r="BHG951" s="23"/>
      <c r="BHH951" s="23"/>
      <c r="BHI951" s="23"/>
      <c r="BHJ951" s="23"/>
      <c r="BHK951" s="23"/>
      <c r="BHL951" s="23"/>
      <c r="BHM951" s="23"/>
      <c r="BHN951" s="23"/>
      <c r="BHO951" s="23"/>
      <c r="BHP951" s="23"/>
      <c r="BHQ951" s="23"/>
      <c r="BHR951" s="23"/>
      <c r="BHS951" s="23"/>
      <c r="BHT951" s="23"/>
      <c r="BHU951" s="23"/>
      <c r="BHV951" s="23"/>
      <c r="BHW951" s="23"/>
      <c r="BHX951" s="23"/>
      <c r="BHY951" s="23"/>
      <c r="BHZ951" s="23"/>
      <c r="BIA951" s="23"/>
      <c r="BIB951" s="23"/>
      <c r="BIC951" s="23"/>
      <c r="BID951" s="23"/>
      <c r="BIE951" s="23"/>
      <c r="BIF951" s="23"/>
      <c r="BIG951" s="23"/>
      <c r="BIH951" s="23"/>
      <c r="BII951" s="23"/>
      <c r="BIJ951" s="23"/>
      <c r="BIK951" s="23"/>
      <c r="BIL951" s="23"/>
      <c r="BIM951" s="23"/>
      <c r="BIN951" s="23"/>
      <c r="BIO951" s="23"/>
      <c r="BIP951" s="23"/>
      <c r="BIQ951" s="23"/>
      <c r="BIR951" s="23"/>
      <c r="BIS951" s="23"/>
      <c r="BIT951" s="23"/>
      <c r="BIU951" s="23"/>
      <c r="BIV951" s="23"/>
      <c r="BIW951" s="23"/>
      <c r="BIX951" s="23"/>
      <c r="BIY951" s="23"/>
      <c r="BIZ951" s="23"/>
      <c r="BJA951" s="23"/>
      <c r="BJB951" s="23"/>
      <c r="BJC951" s="23"/>
      <c r="BJD951" s="23"/>
      <c r="BJE951" s="23"/>
      <c r="BJF951" s="23"/>
      <c r="BJG951" s="23"/>
      <c r="BJH951" s="23"/>
      <c r="BJI951" s="23"/>
      <c r="BJJ951" s="23"/>
      <c r="BJK951" s="23"/>
      <c r="BJL951" s="23"/>
      <c r="BJM951" s="23"/>
      <c r="BJN951" s="23"/>
      <c r="BJO951" s="23"/>
      <c r="BJP951" s="23"/>
      <c r="BJQ951" s="23"/>
      <c r="BJR951" s="23"/>
      <c r="BJS951" s="23"/>
      <c r="BJT951" s="23"/>
      <c r="BJU951" s="23"/>
      <c r="BJV951" s="23"/>
      <c r="BJW951" s="23"/>
      <c r="BJX951" s="23"/>
      <c r="BJY951" s="23"/>
      <c r="BJZ951" s="23"/>
      <c r="BKA951" s="23"/>
      <c r="BKB951" s="23"/>
      <c r="BKC951" s="23"/>
      <c r="BKD951" s="23"/>
      <c r="BKE951" s="23"/>
      <c r="BKF951" s="23"/>
      <c r="BKG951" s="23"/>
      <c r="BKH951" s="23"/>
      <c r="BKI951" s="23"/>
      <c r="BKJ951" s="23"/>
      <c r="BKK951" s="23"/>
      <c r="BKL951" s="23"/>
      <c r="BKM951" s="23"/>
      <c r="BKN951" s="23"/>
      <c r="BKO951" s="23"/>
      <c r="BKP951" s="23"/>
      <c r="BKQ951" s="23"/>
      <c r="BKR951" s="23"/>
      <c r="BKS951" s="23"/>
      <c r="BKT951" s="23"/>
      <c r="BKU951" s="23"/>
      <c r="BKV951" s="23"/>
      <c r="BKW951" s="23"/>
      <c r="BKX951" s="23"/>
      <c r="BKY951" s="23"/>
      <c r="BKZ951" s="23"/>
      <c r="BLA951" s="23"/>
      <c r="BLB951" s="23"/>
      <c r="BLC951" s="23"/>
      <c r="BLD951" s="23"/>
      <c r="BLE951" s="23"/>
      <c r="BLF951" s="23"/>
      <c r="BLG951" s="23"/>
      <c r="BLH951" s="23"/>
      <c r="BLI951" s="23"/>
      <c r="BLJ951" s="23"/>
      <c r="BLK951" s="23"/>
      <c r="BLL951" s="23"/>
      <c r="BLM951" s="23"/>
      <c r="BLN951" s="23"/>
      <c r="BLO951" s="23"/>
      <c r="BLP951" s="23"/>
      <c r="BLQ951" s="23"/>
      <c r="BLR951" s="23"/>
      <c r="BLS951" s="23"/>
      <c r="BLT951" s="23"/>
      <c r="BLU951" s="23"/>
      <c r="BLV951" s="23"/>
      <c r="BLW951" s="23"/>
      <c r="BLX951" s="23"/>
      <c r="BLY951" s="23"/>
      <c r="BLZ951" s="23"/>
      <c r="BMA951" s="23"/>
      <c r="BMB951" s="23"/>
      <c r="BMC951" s="23"/>
      <c r="BMD951" s="23"/>
      <c r="BME951" s="23"/>
      <c r="BMF951" s="23"/>
      <c r="BMG951" s="23"/>
      <c r="BMH951" s="23"/>
      <c r="BMI951" s="23"/>
      <c r="BMJ951" s="23"/>
      <c r="BMK951" s="23"/>
      <c r="BML951" s="23"/>
      <c r="BMM951" s="23"/>
      <c r="BMN951" s="23"/>
      <c r="BMO951" s="23"/>
      <c r="BMP951" s="23"/>
      <c r="BMQ951" s="23"/>
      <c r="BMR951" s="23"/>
      <c r="BMS951" s="23"/>
      <c r="BMT951" s="23"/>
      <c r="BMU951" s="23"/>
      <c r="BMV951" s="23"/>
      <c r="BMW951" s="23"/>
      <c r="BMX951" s="23"/>
      <c r="BMY951" s="23"/>
      <c r="BMZ951" s="23"/>
      <c r="BNA951" s="23"/>
      <c r="BNB951" s="23"/>
      <c r="BNC951" s="23"/>
      <c r="BND951" s="23"/>
      <c r="BNE951" s="23"/>
      <c r="BNF951" s="23"/>
      <c r="BNG951" s="23"/>
      <c r="BNH951" s="23"/>
      <c r="BNI951" s="23"/>
      <c r="BNJ951" s="23"/>
      <c r="BNK951" s="23"/>
      <c r="BNL951" s="23"/>
      <c r="BNM951" s="23"/>
      <c r="BNN951" s="23"/>
      <c r="BNO951" s="23"/>
      <c r="BNP951" s="23"/>
      <c r="BNQ951" s="23"/>
      <c r="BNR951" s="23"/>
      <c r="BNS951" s="23"/>
      <c r="BNT951" s="23"/>
      <c r="BNU951" s="23"/>
      <c r="BNV951" s="23"/>
      <c r="BNW951" s="23"/>
      <c r="BNX951" s="23"/>
      <c r="BNY951" s="23"/>
      <c r="BNZ951" s="23"/>
      <c r="BOA951" s="23"/>
      <c r="BOB951" s="23"/>
      <c r="BOC951" s="23"/>
      <c r="BOD951" s="23"/>
      <c r="BOE951" s="23"/>
      <c r="BOF951" s="23"/>
      <c r="BOG951" s="23"/>
      <c r="BOH951" s="23"/>
      <c r="BOI951" s="23"/>
      <c r="BOJ951" s="23"/>
      <c r="BOK951" s="23"/>
      <c r="BOL951" s="23"/>
      <c r="BOM951" s="23"/>
      <c r="BON951" s="23"/>
      <c r="BOO951" s="23"/>
      <c r="BOP951" s="23"/>
      <c r="BOQ951" s="23"/>
      <c r="BOR951" s="23"/>
      <c r="BOS951" s="23"/>
      <c r="BOT951" s="23"/>
      <c r="BOU951" s="23"/>
      <c r="BOV951" s="23"/>
      <c r="BOW951" s="23"/>
      <c r="BOX951" s="23"/>
      <c r="BOY951" s="23"/>
      <c r="BOZ951" s="23"/>
      <c r="BPA951" s="23"/>
      <c r="BPB951" s="23"/>
      <c r="BPC951" s="23"/>
      <c r="BPD951" s="23"/>
      <c r="BPE951" s="23"/>
      <c r="BPF951" s="23"/>
      <c r="BPG951" s="23"/>
      <c r="BPH951" s="23"/>
      <c r="BPI951" s="23"/>
      <c r="BPJ951" s="23"/>
      <c r="BPK951" s="23"/>
      <c r="BPL951" s="23"/>
      <c r="BPM951" s="23"/>
      <c r="BPN951" s="23"/>
      <c r="BPO951" s="23"/>
      <c r="BPP951" s="23"/>
      <c r="BPQ951" s="23"/>
      <c r="BPR951" s="23"/>
      <c r="BPS951" s="23"/>
      <c r="BPT951" s="23"/>
      <c r="BPU951" s="23"/>
      <c r="BPV951" s="23"/>
      <c r="BPW951" s="23"/>
      <c r="BPX951" s="23"/>
      <c r="BPY951" s="23"/>
      <c r="BPZ951" s="23"/>
      <c r="BQA951" s="23"/>
      <c r="BQB951" s="23"/>
      <c r="BQC951" s="23"/>
      <c r="BQD951" s="23"/>
      <c r="BQE951" s="23"/>
      <c r="BQF951" s="23"/>
      <c r="BQG951" s="23"/>
      <c r="BQH951" s="23"/>
      <c r="BQI951" s="23"/>
      <c r="BQJ951" s="23"/>
      <c r="BQK951" s="23"/>
      <c r="BQL951" s="23"/>
      <c r="BQM951" s="23"/>
      <c r="BQN951" s="23"/>
      <c r="BQO951" s="23"/>
      <c r="BQP951" s="23"/>
      <c r="BQQ951" s="23"/>
      <c r="BQR951" s="23"/>
      <c r="BQS951" s="23"/>
      <c r="BQT951" s="23"/>
      <c r="BQU951" s="23"/>
      <c r="BQV951" s="23"/>
      <c r="BQW951" s="23"/>
      <c r="BQX951" s="23"/>
      <c r="BQY951" s="23"/>
      <c r="BQZ951" s="23"/>
      <c r="BRA951" s="23"/>
      <c r="BRB951" s="23"/>
      <c r="BRC951" s="23"/>
      <c r="BRD951" s="23"/>
      <c r="BRE951" s="23"/>
      <c r="BRF951" s="23"/>
      <c r="BRG951" s="23"/>
      <c r="BRH951" s="23"/>
      <c r="BRI951" s="23"/>
      <c r="BRJ951" s="23"/>
      <c r="BRK951" s="23"/>
      <c r="BRL951" s="23"/>
      <c r="BRM951" s="23"/>
      <c r="BRN951" s="23"/>
      <c r="BRO951" s="23"/>
      <c r="BRP951" s="23"/>
      <c r="BRQ951" s="23"/>
      <c r="BRR951" s="23"/>
      <c r="BRS951" s="23"/>
      <c r="BRT951" s="23"/>
      <c r="BRU951" s="23"/>
      <c r="BRV951" s="23"/>
      <c r="BRW951" s="23"/>
      <c r="BRX951" s="23"/>
      <c r="BRY951" s="23"/>
      <c r="BRZ951" s="23"/>
      <c r="BSA951" s="23"/>
      <c r="BSB951" s="23"/>
      <c r="BSC951" s="23"/>
      <c r="BSD951" s="23"/>
      <c r="BSE951" s="23"/>
      <c r="BSF951" s="23"/>
      <c r="BSG951" s="23"/>
      <c r="BSH951" s="23"/>
      <c r="BSI951" s="23"/>
      <c r="BSJ951" s="23"/>
      <c r="BSK951" s="23"/>
      <c r="BSL951" s="23"/>
      <c r="BSM951" s="23"/>
      <c r="BSN951" s="23"/>
      <c r="BSO951" s="23"/>
      <c r="BSP951" s="23"/>
      <c r="BSQ951" s="23"/>
      <c r="BSR951" s="23"/>
      <c r="BSS951" s="23"/>
      <c r="BST951" s="23"/>
      <c r="BSU951" s="23"/>
      <c r="BSV951" s="23"/>
      <c r="BSW951" s="23"/>
      <c r="BSX951" s="23"/>
      <c r="BSY951" s="23"/>
      <c r="BSZ951" s="23"/>
      <c r="BTA951" s="23"/>
    </row>
    <row r="952" spans="1:1873" s="23" customFormat="1" x14ac:dyDescent="0.2">
      <c r="A952" s="273" t="s">
        <v>832</v>
      </c>
      <c r="B952" s="273" t="s">
        <v>820</v>
      </c>
      <c r="C952" s="273" t="s">
        <v>1120</v>
      </c>
      <c r="D952" s="273" t="s">
        <v>619</v>
      </c>
      <c r="E952" s="462" t="s">
        <v>1480</v>
      </c>
      <c r="F952" s="273">
        <v>1</v>
      </c>
      <c r="G952" s="273">
        <v>4</v>
      </c>
      <c r="H952" s="273">
        <v>4</v>
      </c>
      <c r="I952" s="273" t="s">
        <v>621</v>
      </c>
      <c r="J952" s="273">
        <v>1986</v>
      </c>
      <c r="K952" s="463" t="s">
        <v>1211</v>
      </c>
      <c r="L952" s="273">
        <v>1989</v>
      </c>
      <c r="M952" s="471">
        <v>-9999</v>
      </c>
      <c r="N952" s="471">
        <v>-9999</v>
      </c>
      <c r="O952" s="1"/>
      <c r="P952" s="471">
        <v>41.164000000000001</v>
      </c>
      <c r="Q952" s="273">
        <v>-9999</v>
      </c>
      <c r="R952" s="471"/>
      <c r="S952" s="273"/>
      <c r="T952" s="414">
        <f t="shared" si="93"/>
        <v>10.291</v>
      </c>
      <c r="U952" s="273">
        <v>-9999</v>
      </c>
      <c r="V952" s="273"/>
      <c r="W952" s="414">
        <f t="shared" si="94"/>
        <v>8.0671999999999997</v>
      </c>
      <c r="X952" s="273">
        <v>-9999</v>
      </c>
      <c r="Y952" s="273"/>
      <c r="Z952" s="273" t="s">
        <v>833</v>
      </c>
      <c r="AA952" s="385">
        <v>40000</v>
      </c>
      <c r="AB952" s="471">
        <v>-9999</v>
      </c>
      <c r="AC952" s="273">
        <v>-9999</v>
      </c>
      <c r="AD952" s="385">
        <v>250</v>
      </c>
      <c r="AE952" s="461" t="s">
        <v>1959</v>
      </c>
      <c r="AF952" s="273">
        <v>3</v>
      </c>
      <c r="AG952" s="273">
        <v>8</v>
      </c>
      <c r="AH952" s="273" t="s">
        <v>623</v>
      </c>
      <c r="AI952" s="273" t="s">
        <v>834</v>
      </c>
      <c r="AJ952" s="273">
        <v>20</v>
      </c>
      <c r="AK952" s="273" t="s">
        <v>625</v>
      </c>
      <c r="AL952" s="273" t="s">
        <v>653</v>
      </c>
      <c r="AM952" s="273">
        <v>-9999</v>
      </c>
      <c r="AN952" s="273" t="s">
        <v>626</v>
      </c>
      <c r="AO952" s="273" t="s">
        <v>627</v>
      </c>
      <c r="AP952" s="273" t="s">
        <v>1126</v>
      </c>
      <c r="AQ952" s="273" t="s">
        <v>626</v>
      </c>
      <c r="AR952" s="273">
        <f>+AR951+0</f>
        <v>200</v>
      </c>
      <c r="AS952" s="273" t="s">
        <v>726</v>
      </c>
      <c r="AT952" s="273">
        <v>-9999</v>
      </c>
      <c r="AU952" s="273">
        <f t="shared" si="95"/>
        <v>43</v>
      </c>
      <c r="AV952" s="273">
        <v>-9999</v>
      </c>
      <c r="AW952" s="273">
        <v>-9999</v>
      </c>
      <c r="AX952" s="273">
        <f t="shared" si="96"/>
        <v>83</v>
      </c>
      <c r="AY952" s="273">
        <v>-9999</v>
      </c>
      <c r="AZ952" s="273">
        <v>-9999</v>
      </c>
      <c r="BA952" s="273" t="s">
        <v>725</v>
      </c>
      <c r="BB952" s="273" t="s">
        <v>626</v>
      </c>
      <c r="BC952" s="273" t="s">
        <v>829</v>
      </c>
      <c r="BD952" s="273" t="s">
        <v>835</v>
      </c>
      <c r="BE952" s="273" t="s">
        <v>1128</v>
      </c>
      <c r="BF952" s="273" t="s">
        <v>1129</v>
      </c>
      <c r="BG952" s="273" t="s">
        <v>577</v>
      </c>
      <c r="BH952" s="273">
        <v>-9999</v>
      </c>
      <c r="BI952" s="273">
        <v>-9999</v>
      </c>
      <c r="BJ952" s="273">
        <v>22.5</v>
      </c>
      <c r="BK952" s="273">
        <v>-9999</v>
      </c>
      <c r="BL952" s="273">
        <v>-9999</v>
      </c>
      <c r="BM952" s="273">
        <v>-9999</v>
      </c>
      <c r="BN952" s="273">
        <v>-9999</v>
      </c>
      <c r="BO952" s="273">
        <v>-9999</v>
      </c>
      <c r="BP952" s="273">
        <v>-9999</v>
      </c>
      <c r="BQ952" s="273">
        <v>-9999</v>
      </c>
      <c r="BR952" s="273">
        <v>-9999</v>
      </c>
      <c r="BS952" s="468">
        <v>-9999</v>
      </c>
      <c r="BT952" s="273">
        <v>-9999</v>
      </c>
      <c r="BU952" s="273">
        <v>-9999</v>
      </c>
      <c r="BV952" s="273">
        <v>-9999</v>
      </c>
      <c r="BW952" s="273"/>
      <c r="BX952" s="273">
        <v>-9999</v>
      </c>
      <c r="BY952" s="273">
        <v>-9999</v>
      </c>
      <c r="BZ952" s="273">
        <v>-9999</v>
      </c>
      <c r="CA952" s="472">
        <v>-9999</v>
      </c>
      <c r="CB952" s="473" t="s">
        <v>1132</v>
      </c>
      <c r="CC952" s="89">
        <v>1</v>
      </c>
      <c r="CD952" s="89">
        <v>4</v>
      </c>
      <c r="CE952" s="292">
        <v>10.291</v>
      </c>
      <c r="CF952" s="292">
        <v>8.0671999999999997</v>
      </c>
      <c r="CG952" s="89">
        <v>4</v>
      </c>
    </row>
    <row r="953" spans="1:1873" s="23" customFormat="1" x14ac:dyDescent="0.2">
      <c r="A953" s="273" t="s">
        <v>832</v>
      </c>
      <c r="B953" s="273" t="s">
        <v>820</v>
      </c>
      <c r="C953" s="273" t="s">
        <v>1120</v>
      </c>
      <c r="D953" s="273" t="s">
        <v>619</v>
      </c>
      <c r="E953" s="462" t="s">
        <v>1480</v>
      </c>
      <c r="F953" s="273">
        <v>1</v>
      </c>
      <c r="G953" s="273">
        <v>5</v>
      </c>
      <c r="H953" s="273">
        <v>5</v>
      </c>
      <c r="I953" s="273" t="s">
        <v>621</v>
      </c>
      <c r="J953" s="273">
        <v>1986</v>
      </c>
      <c r="K953" s="463" t="s">
        <v>1211</v>
      </c>
      <c r="L953" s="273">
        <v>1990</v>
      </c>
      <c r="M953" s="471">
        <v>-9999</v>
      </c>
      <c r="N953" s="471">
        <v>-9999</v>
      </c>
      <c r="O953" s="1"/>
      <c r="P953" s="471">
        <v>54.029899999999998</v>
      </c>
      <c r="Q953" s="273">
        <v>-9999</v>
      </c>
      <c r="R953" s="471"/>
      <c r="S953" s="273"/>
      <c r="T953" s="414">
        <f t="shared" si="93"/>
        <v>10.80598</v>
      </c>
      <c r="U953" s="273">
        <v>-9999</v>
      </c>
      <c r="V953" s="273"/>
      <c r="W953" s="414">
        <f t="shared" si="94"/>
        <v>12.865899999999996</v>
      </c>
      <c r="X953" s="273">
        <v>-9999</v>
      </c>
      <c r="Y953" s="273"/>
      <c r="Z953" s="273" t="s">
        <v>833</v>
      </c>
      <c r="AA953" s="385">
        <v>40000</v>
      </c>
      <c r="AB953" s="471">
        <v>-9999</v>
      </c>
      <c r="AC953" s="273">
        <v>-9999</v>
      </c>
      <c r="AD953" s="385">
        <v>250</v>
      </c>
      <c r="AE953" s="461" t="s">
        <v>1959</v>
      </c>
      <c r="AF953" s="273">
        <v>3</v>
      </c>
      <c r="AG953" s="273">
        <v>8</v>
      </c>
      <c r="AH953" s="273" t="s">
        <v>623</v>
      </c>
      <c r="AI953" s="273" t="s">
        <v>834</v>
      </c>
      <c r="AJ953" s="273">
        <v>20</v>
      </c>
      <c r="AK953" s="273" t="s">
        <v>625</v>
      </c>
      <c r="AL953" s="273" t="s">
        <v>653</v>
      </c>
      <c r="AM953" s="273">
        <v>-9999</v>
      </c>
      <c r="AN953" s="273" t="s">
        <v>626</v>
      </c>
      <c r="AO953" s="273" t="s">
        <v>627</v>
      </c>
      <c r="AP953" s="273" t="s">
        <v>1126</v>
      </c>
      <c r="AQ953" s="273" t="s">
        <v>626</v>
      </c>
      <c r="AR953" s="273">
        <f>+AR952+0</f>
        <v>200</v>
      </c>
      <c r="AS953" s="273" t="s">
        <v>726</v>
      </c>
      <c r="AT953" s="273">
        <v>-9999</v>
      </c>
      <c r="AU953" s="273">
        <f t="shared" si="95"/>
        <v>43</v>
      </c>
      <c r="AV953" s="273">
        <v>-9999</v>
      </c>
      <c r="AW953" s="273">
        <v>-9999</v>
      </c>
      <c r="AX953" s="273">
        <f t="shared" si="96"/>
        <v>83</v>
      </c>
      <c r="AY953" s="273">
        <v>-9999</v>
      </c>
      <c r="AZ953" s="273">
        <v>-9999</v>
      </c>
      <c r="BA953" s="273" t="s">
        <v>725</v>
      </c>
      <c r="BB953" s="273" t="s">
        <v>626</v>
      </c>
      <c r="BC953" s="273" t="s">
        <v>829</v>
      </c>
      <c r="BD953" s="273" t="s">
        <v>835</v>
      </c>
      <c r="BE953" s="273" t="s">
        <v>1128</v>
      </c>
      <c r="BF953" s="273" t="s">
        <v>1129</v>
      </c>
      <c r="BG953" s="273" t="s">
        <v>577</v>
      </c>
      <c r="BH953" s="273">
        <v>-9999</v>
      </c>
      <c r="BI953" s="273">
        <v>-9999</v>
      </c>
      <c r="BJ953" s="273">
        <v>27.7</v>
      </c>
      <c r="BK953" s="273">
        <v>-9999</v>
      </c>
      <c r="BL953" s="273">
        <v>-9999</v>
      </c>
      <c r="BM953" s="273">
        <v>-9999</v>
      </c>
      <c r="BN953" s="273">
        <v>-9999</v>
      </c>
      <c r="BO953" s="273">
        <v>-9999</v>
      </c>
      <c r="BP953" s="273">
        <v>-9999</v>
      </c>
      <c r="BQ953" s="273">
        <v>-9999</v>
      </c>
      <c r="BR953" s="273">
        <v>-9999</v>
      </c>
      <c r="BS953" s="468">
        <v>-9999</v>
      </c>
      <c r="BT953" s="273">
        <v>-9999</v>
      </c>
      <c r="BU953" s="273">
        <v>-9999</v>
      </c>
      <c r="BV953" s="273">
        <v>-9999</v>
      </c>
      <c r="BW953" s="273"/>
      <c r="BX953" s="273">
        <v>-9999</v>
      </c>
      <c r="BY953" s="273">
        <v>-9999</v>
      </c>
      <c r="BZ953" s="273">
        <v>-9999</v>
      </c>
      <c r="CA953" s="472">
        <v>-9999</v>
      </c>
      <c r="CB953" s="473" t="s">
        <v>1132</v>
      </c>
      <c r="CC953" s="89">
        <v>1</v>
      </c>
      <c r="CD953" s="89">
        <v>5</v>
      </c>
      <c r="CE953" s="292">
        <v>10.80598</v>
      </c>
      <c r="CF953" s="292">
        <v>12.865899999999996</v>
      </c>
      <c r="CG953" s="89">
        <v>5</v>
      </c>
    </row>
    <row r="954" spans="1:1873" s="23" customFormat="1" ht="12.75" customHeight="1" x14ac:dyDescent="0.2">
      <c r="A954" s="273" t="s">
        <v>832</v>
      </c>
      <c r="B954" s="273" t="s">
        <v>820</v>
      </c>
      <c r="C954" s="273" t="s">
        <v>1120</v>
      </c>
      <c r="D954" s="273" t="s">
        <v>619</v>
      </c>
      <c r="E954" s="462" t="s">
        <v>1480</v>
      </c>
      <c r="F954" s="273">
        <v>1</v>
      </c>
      <c r="G954" s="273">
        <v>6</v>
      </c>
      <c r="H954" s="273">
        <v>6</v>
      </c>
      <c r="I954" s="273" t="s">
        <v>621</v>
      </c>
      <c r="J954" s="273">
        <v>1986</v>
      </c>
      <c r="K954" s="463" t="s">
        <v>1211</v>
      </c>
      <c r="L954" s="273">
        <v>1991</v>
      </c>
      <c r="M954" s="471">
        <v>-9999</v>
      </c>
      <c r="N954" s="471">
        <v>-9999</v>
      </c>
      <c r="O954" s="1"/>
      <c r="P954" s="471">
        <v>62.784700000000001</v>
      </c>
      <c r="Q954" s="273">
        <v>-9999</v>
      </c>
      <c r="R954" s="471"/>
      <c r="S954" s="273"/>
      <c r="T954" s="414">
        <f t="shared" si="93"/>
        <v>10.464116666666667</v>
      </c>
      <c r="U954" s="273">
        <v>-9999</v>
      </c>
      <c r="V954" s="273"/>
      <c r="W954" s="414">
        <f t="shared" si="94"/>
        <v>8.754800000000003</v>
      </c>
      <c r="X954" s="273">
        <v>-9999</v>
      </c>
      <c r="Y954" s="273"/>
      <c r="Z954" s="273" t="s">
        <v>833</v>
      </c>
      <c r="AA954" s="385">
        <v>40000</v>
      </c>
      <c r="AB954" s="471">
        <v>-9999</v>
      </c>
      <c r="AC954" s="273">
        <v>-9999</v>
      </c>
      <c r="AD954" s="385">
        <v>250</v>
      </c>
      <c r="AE954" s="461" t="s">
        <v>1959</v>
      </c>
      <c r="AF954" s="273">
        <v>3</v>
      </c>
      <c r="AG954" s="273">
        <v>8</v>
      </c>
      <c r="AH954" s="273" t="s">
        <v>623</v>
      </c>
      <c r="AI954" s="273" t="s">
        <v>834</v>
      </c>
      <c r="AJ954" s="273">
        <v>20</v>
      </c>
      <c r="AK954" s="273" t="s">
        <v>625</v>
      </c>
      <c r="AL954" s="273" t="s">
        <v>1127</v>
      </c>
      <c r="AM954" s="273">
        <v>-9999</v>
      </c>
      <c r="AN954" s="273" t="s">
        <v>626</v>
      </c>
      <c r="AO954" s="273" t="s">
        <v>627</v>
      </c>
      <c r="AP954" s="273" t="s">
        <v>1126</v>
      </c>
      <c r="AQ954" s="273" t="s">
        <v>626</v>
      </c>
      <c r="AR954" s="273">
        <f>+AR953+0</f>
        <v>200</v>
      </c>
      <c r="AS954" s="273" t="s">
        <v>726</v>
      </c>
      <c r="AT954" s="273">
        <v>-9999</v>
      </c>
      <c r="AU954" s="273">
        <f t="shared" si="95"/>
        <v>43</v>
      </c>
      <c r="AV954" s="273">
        <v>-9999</v>
      </c>
      <c r="AW954" s="273">
        <v>-9999</v>
      </c>
      <c r="AX954" s="273">
        <f t="shared" si="96"/>
        <v>83</v>
      </c>
      <c r="AY954" s="273">
        <v>-9999</v>
      </c>
      <c r="AZ954" s="273">
        <v>-9999</v>
      </c>
      <c r="BA954" s="273" t="s">
        <v>725</v>
      </c>
      <c r="BB954" s="273" t="s">
        <v>626</v>
      </c>
      <c r="BC954" s="273" t="s">
        <v>829</v>
      </c>
      <c r="BD954" s="273" t="s">
        <v>835</v>
      </c>
      <c r="BE954" s="273" t="s">
        <v>1128</v>
      </c>
      <c r="BF954" s="273" t="s">
        <v>1129</v>
      </c>
      <c r="BG954" s="273" t="s">
        <v>577</v>
      </c>
      <c r="BH954" s="273">
        <v>-9999</v>
      </c>
      <c r="BI954" s="273">
        <v>-9999</v>
      </c>
      <c r="BJ954" s="273">
        <v>31.5</v>
      </c>
      <c r="BK954" s="273">
        <v>-9999</v>
      </c>
      <c r="BL954" s="273">
        <v>-9999</v>
      </c>
      <c r="BM954" s="273">
        <v>-9999</v>
      </c>
      <c r="BN954" s="273">
        <v>-9999</v>
      </c>
      <c r="BO954" s="273">
        <v>-9999</v>
      </c>
      <c r="BP954" s="273">
        <v>-9999</v>
      </c>
      <c r="BQ954" s="273">
        <v>-9999</v>
      </c>
      <c r="BR954" s="273">
        <v>-9999</v>
      </c>
      <c r="BS954" s="468">
        <v>-9999</v>
      </c>
      <c r="BT954" s="273">
        <v>-9999</v>
      </c>
      <c r="BU954" s="273">
        <v>-9999</v>
      </c>
      <c r="BV954" s="273">
        <v>-9999</v>
      </c>
      <c r="BW954" s="273"/>
      <c r="BX954" s="273">
        <v>-9999</v>
      </c>
      <c r="BY954" s="273">
        <v>-9999</v>
      </c>
      <c r="BZ954" s="273">
        <v>-9999</v>
      </c>
      <c r="CA954" s="472">
        <v>-9999</v>
      </c>
      <c r="CB954" s="473" t="s">
        <v>1132</v>
      </c>
      <c r="CC954" s="89">
        <v>1</v>
      </c>
      <c r="CD954" s="89">
        <v>6</v>
      </c>
      <c r="CE954" s="292">
        <v>10.464116666666667</v>
      </c>
      <c r="CF954" s="292">
        <v>8.754800000000003</v>
      </c>
      <c r="CG954" s="89">
        <v>6</v>
      </c>
    </row>
    <row r="955" spans="1:1873" s="23" customFormat="1" ht="12.75" customHeight="1" x14ac:dyDescent="0.2">
      <c r="A955" s="273" t="s">
        <v>832</v>
      </c>
      <c r="B955" s="273" t="s">
        <v>820</v>
      </c>
      <c r="C955" s="273" t="s">
        <v>1120</v>
      </c>
      <c r="D955" s="273" t="s">
        <v>619</v>
      </c>
      <c r="E955" s="462" t="s">
        <v>1480</v>
      </c>
      <c r="F955" s="273">
        <v>1</v>
      </c>
      <c r="G955" s="273">
        <v>7</v>
      </c>
      <c r="H955" s="273">
        <v>7</v>
      </c>
      <c r="I955" s="273" t="s">
        <v>621</v>
      </c>
      <c r="J955" s="273">
        <v>1986</v>
      </c>
      <c r="K955" s="463" t="s">
        <v>1211</v>
      </c>
      <c r="L955" s="273">
        <v>1992</v>
      </c>
      <c r="M955" s="471">
        <v>-9999</v>
      </c>
      <c r="N955" s="471">
        <v>-9999</v>
      </c>
      <c r="O955" s="1"/>
      <c r="P955" s="471">
        <v>68.803600000000003</v>
      </c>
      <c r="Q955" s="273">
        <v>-9999</v>
      </c>
      <c r="R955" s="471"/>
      <c r="S955" s="273"/>
      <c r="T955" s="414">
        <f t="shared" si="93"/>
        <v>9.8290857142857142</v>
      </c>
      <c r="U955" s="273">
        <v>-9999</v>
      </c>
      <c r="V955" s="273"/>
      <c r="W955" s="414">
        <f t="shared" si="94"/>
        <v>6.0189000000000021</v>
      </c>
      <c r="X955" s="273">
        <v>-9999</v>
      </c>
      <c r="Y955" s="273"/>
      <c r="Z955" s="273" t="s">
        <v>833</v>
      </c>
      <c r="AA955" s="385">
        <v>40000</v>
      </c>
      <c r="AB955" s="471">
        <v>0.93</v>
      </c>
      <c r="AC955" s="273">
        <v>-9999</v>
      </c>
      <c r="AD955" s="385">
        <v>250</v>
      </c>
      <c r="AE955" s="461" t="s">
        <v>1959</v>
      </c>
      <c r="AF955" s="273">
        <v>3</v>
      </c>
      <c r="AG955" s="273">
        <v>8</v>
      </c>
      <c r="AH955" s="273" t="s">
        <v>623</v>
      </c>
      <c r="AI955" s="273" t="s">
        <v>834</v>
      </c>
      <c r="AJ955" s="273">
        <v>20</v>
      </c>
      <c r="AK955" s="273" t="s">
        <v>625</v>
      </c>
      <c r="AL955" s="273" t="s">
        <v>1127</v>
      </c>
      <c r="AM955" s="273">
        <v>-9999</v>
      </c>
      <c r="AN955" s="273" t="s">
        <v>626</v>
      </c>
      <c r="AO955" s="273" t="s">
        <v>627</v>
      </c>
      <c r="AP955" s="273" t="s">
        <v>1126</v>
      </c>
      <c r="AQ955" s="273" t="s">
        <v>626</v>
      </c>
      <c r="AR955" s="273">
        <f>+AR954+100</f>
        <v>300</v>
      </c>
      <c r="AS955" s="273" t="s">
        <v>1101</v>
      </c>
      <c r="AT955" s="273" t="s">
        <v>275</v>
      </c>
      <c r="AU955" s="273">
        <f t="shared" si="95"/>
        <v>43</v>
      </c>
      <c r="AV955" s="273">
        <v>-9999</v>
      </c>
      <c r="AW955" s="273">
        <v>-9999</v>
      </c>
      <c r="AX955" s="273">
        <f t="shared" si="96"/>
        <v>83</v>
      </c>
      <c r="AY955" s="273">
        <v>-9999</v>
      </c>
      <c r="AZ955" s="273">
        <v>-9999</v>
      </c>
      <c r="BA955" s="273" t="s">
        <v>725</v>
      </c>
      <c r="BB955" s="273" t="s">
        <v>626</v>
      </c>
      <c r="BC955" s="273" t="s">
        <v>829</v>
      </c>
      <c r="BD955" s="273" t="s">
        <v>835</v>
      </c>
      <c r="BE955" s="273" t="s">
        <v>1128</v>
      </c>
      <c r="BF955" s="273" t="s">
        <v>1129</v>
      </c>
      <c r="BG955" s="273" t="s">
        <v>577</v>
      </c>
      <c r="BH955" s="273">
        <v>-9999</v>
      </c>
      <c r="BI955" s="273">
        <v>-9999</v>
      </c>
      <c r="BJ955" s="273">
        <v>34.4</v>
      </c>
      <c r="BK955" s="273">
        <v>-9999</v>
      </c>
      <c r="BL955" s="273">
        <v>7.2</v>
      </c>
      <c r="BM955" s="273">
        <v>-9999</v>
      </c>
      <c r="BN955" s="273">
        <v>3.2</v>
      </c>
      <c r="BO955" s="273">
        <v>-9999</v>
      </c>
      <c r="BP955" s="273">
        <v>-9999</v>
      </c>
      <c r="BQ955" s="273">
        <v>-9999</v>
      </c>
      <c r="BR955" s="273">
        <v>-9999</v>
      </c>
      <c r="BS955" s="468">
        <v>-9999</v>
      </c>
      <c r="BT955" s="273">
        <v>-9999</v>
      </c>
      <c r="BU955" s="273">
        <v>-9999</v>
      </c>
      <c r="BV955" s="273">
        <v>-9999</v>
      </c>
      <c r="BW955" s="273"/>
      <c r="BX955" s="273">
        <v>1.8</v>
      </c>
      <c r="BY955" s="273">
        <v>-9999</v>
      </c>
      <c r="BZ955" s="273">
        <v>-9999</v>
      </c>
      <c r="CA955" s="472">
        <v>-9999</v>
      </c>
      <c r="CB955" s="473" t="s">
        <v>1132</v>
      </c>
      <c r="CC955" s="89">
        <v>1</v>
      </c>
      <c r="CD955" s="89">
        <v>7</v>
      </c>
      <c r="CE955" s="292">
        <v>9.8290857142857142</v>
      </c>
      <c r="CF955" s="292">
        <v>6.0189000000000021</v>
      </c>
      <c r="CG955" s="89">
        <v>7</v>
      </c>
    </row>
    <row r="956" spans="1:1873" s="23" customFormat="1" ht="12.75" customHeight="1" x14ac:dyDescent="0.2">
      <c r="A956" s="273"/>
      <c r="B956" s="273"/>
      <c r="C956" s="273"/>
      <c r="D956" s="273"/>
      <c r="E956" s="462"/>
      <c r="F956" s="273"/>
      <c r="G956" s="273"/>
      <c r="H956" s="273"/>
      <c r="I956" s="273"/>
      <c r="J956" s="273"/>
      <c r="K956" s="463"/>
      <c r="L956" s="570"/>
      <c r="M956" s="471"/>
      <c r="N956" s="471"/>
      <c r="O956" s="1"/>
      <c r="P956" s="471"/>
      <c r="Q956" s="273"/>
      <c r="R956" s="471"/>
      <c r="S956" s="273"/>
      <c r="T956" s="414"/>
      <c r="U956" s="273"/>
      <c r="V956" s="273"/>
      <c r="W956" s="414"/>
      <c r="X956" s="273"/>
      <c r="Y956" s="273"/>
      <c r="Z956" s="273"/>
      <c r="AA956" s="385"/>
      <c r="AB956" s="471"/>
      <c r="AC956" s="273"/>
      <c r="AD956" s="273"/>
      <c r="AE956" s="273"/>
      <c r="AF956" s="273"/>
      <c r="AG956" s="273"/>
      <c r="AH956" s="273"/>
      <c r="AI956" s="273"/>
      <c r="AJ956" s="273"/>
      <c r="AK956" s="273"/>
      <c r="AL956" s="273"/>
      <c r="AM956" s="273"/>
      <c r="AN956" s="273"/>
      <c r="AO956" s="273"/>
      <c r="AP956" s="273"/>
      <c r="AQ956" s="273"/>
      <c r="AR956" s="273"/>
      <c r="AS956" s="273"/>
      <c r="AT956" s="273"/>
      <c r="AU956" s="273"/>
      <c r="AV956" s="273"/>
      <c r="AW956" s="273"/>
      <c r="AX956" s="273"/>
      <c r="AY956" s="273"/>
      <c r="AZ956" s="273"/>
      <c r="BA956" s="273"/>
      <c r="BB956" s="273"/>
      <c r="BC956" s="273"/>
      <c r="BD956" s="273"/>
      <c r="BE956" s="273"/>
      <c r="BF956" s="273"/>
      <c r="BG956" s="273"/>
      <c r="BH956" s="273"/>
      <c r="BI956" s="273"/>
      <c r="BJ956" s="273"/>
      <c r="BK956" s="273"/>
      <c r="BL956" s="273"/>
      <c r="BM956" s="273"/>
      <c r="BN956" s="273"/>
      <c r="BO956" s="273"/>
      <c r="BP956" s="273"/>
      <c r="BQ956" s="273"/>
      <c r="BR956" s="273"/>
      <c r="BS956" s="468"/>
      <c r="BT956" s="273"/>
      <c r="BU956" s="273"/>
      <c r="BV956" s="273"/>
      <c r="BW956" s="273"/>
      <c r="BX956" s="273"/>
      <c r="BY956" s="273"/>
      <c r="BZ956" s="273"/>
      <c r="CA956" s="472"/>
      <c r="CB956" s="473"/>
      <c r="CC956" s="89"/>
      <c r="CD956" s="89"/>
      <c r="CE956" s="342" t="s">
        <v>1576</v>
      </c>
      <c r="CF956" s="342" t="s">
        <v>1575</v>
      </c>
      <c r="CG956" s="89"/>
    </row>
    <row r="957" spans="1:1873" s="23" customFormat="1" ht="12.75" customHeight="1" x14ac:dyDescent="0.2">
      <c r="A957" s="273" t="s">
        <v>832</v>
      </c>
      <c r="B957" s="273" t="s">
        <v>820</v>
      </c>
      <c r="C957" s="273" t="s">
        <v>1121</v>
      </c>
      <c r="D957" s="273" t="s">
        <v>619</v>
      </c>
      <c r="E957" s="462" t="s">
        <v>1480</v>
      </c>
      <c r="F957" s="273">
        <v>1</v>
      </c>
      <c r="G957" s="273">
        <v>1</v>
      </c>
      <c r="H957" s="273">
        <v>1</v>
      </c>
      <c r="I957" s="273" t="s">
        <v>621</v>
      </c>
      <c r="J957" s="273">
        <v>1986</v>
      </c>
      <c r="K957" s="463" t="s">
        <v>1211</v>
      </c>
      <c r="L957" s="570">
        <v>1986</v>
      </c>
      <c r="M957" s="471">
        <v>-9999</v>
      </c>
      <c r="N957" s="471">
        <v>-9999</v>
      </c>
      <c r="O957" s="1"/>
      <c r="P957" s="471">
        <v>3.8980100000000002</v>
      </c>
      <c r="Q957" s="273">
        <v>-9999</v>
      </c>
      <c r="R957" s="471"/>
      <c r="S957" s="273"/>
      <c r="T957" s="414">
        <f t="shared" ref="T957:T963" si="97">+P957/H957</f>
        <v>3.8980100000000002</v>
      </c>
      <c r="U957" s="273">
        <v>-9999</v>
      </c>
      <c r="V957" s="273"/>
      <c r="W957" s="414">
        <v>-9999</v>
      </c>
      <c r="X957" s="273">
        <v>-9999</v>
      </c>
      <c r="Y957" s="273"/>
      <c r="Z957" s="273" t="s">
        <v>793</v>
      </c>
      <c r="AA957" s="385">
        <v>10000</v>
      </c>
      <c r="AB957" s="471">
        <v>0.98</v>
      </c>
      <c r="AC957" s="273">
        <v>-9999</v>
      </c>
      <c r="AD957" s="385">
        <v>500</v>
      </c>
      <c r="AE957" s="461" t="s">
        <v>1959</v>
      </c>
      <c r="AF957" s="273">
        <v>3</v>
      </c>
      <c r="AG957" s="273">
        <v>4</v>
      </c>
      <c r="AH957" s="273" t="s">
        <v>623</v>
      </c>
      <c r="AI957" s="273" t="s">
        <v>834</v>
      </c>
      <c r="AJ957" s="273">
        <v>20</v>
      </c>
      <c r="AK957" s="273" t="s">
        <v>625</v>
      </c>
      <c r="AL957" s="273" t="s">
        <v>1127</v>
      </c>
      <c r="AM957" s="273">
        <v>-9999</v>
      </c>
      <c r="AN957" s="273" t="s">
        <v>626</v>
      </c>
      <c r="AO957" s="273" t="s">
        <v>627</v>
      </c>
      <c r="AP957" s="273" t="s">
        <v>1126</v>
      </c>
      <c r="AQ957" s="273" t="s">
        <v>626</v>
      </c>
      <c r="AR957" s="273">
        <v>100</v>
      </c>
      <c r="AS957" s="273" t="s">
        <v>726</v>
      </c>
      <c r="AT957" s="273" t="s">
        <v>755</v>
      </c>
      <c r="AU957" s="273">
        <f t="shared" ref="AU957:AU963" si="98">+AU956+0</f>
        <v>0</v>
      </c>
      <c r="AV957" s="273" t="s">
        <v>226</v>
      </c>
      <c r="AW957" s="273" t="s">
        <v>755</v>
      </c>
      <c r="AX957" s="273">
        <f t="shared" ref="AX957:AX963" si="99">+AX956+0</f>
        <v>0</v>
      </c>
      <c r="AY957" s="273" t="s">
        <v>226</v>
      </c>
      <c r="AZ957" s="273" t="s">
        <v>755</v>
      </c>
      <c r="BA957" s="273" t="s">
        <v>725</v>
      </c>
      <c r="BB957" s="273" t="s">
        <v>626</v>
      </c>
      <c r="BC957" s="273" t="s">
        <v>829</v>
      </c>
      <c r="BD957" s="273" t="s">
        <v>835</v>
      </c>
      <c r="BE957" s="273" t="s">
        <v>1128</v>
      </c>
      <c r="BF957" s="273" t="s">
        <v>1129</v>
      </c>
      <c r="BG957" s="273" t="s">
        <v>577</v>
      </c>
      <c r="BH957" s="273">
        <v>-9999</v>
      </c>
      <c r="BI957" s="273">
        <v>-9999</v>
      </c>
      <c r="BJ957" s="273">
        <v>0.6</v>
      </c>
      <c r="BK957" s="273">
        <v>-9999</v>
      </c>
      <c r="BL957" s="273">
        <v>-9999</v>
      </c>
      <c r="BM957" s="273">
        <v>-9999</v>
      </c>
      <c r="BN957" s="273">
        <v>-9999</v>
      </c>
      <c r="BO957" s="273">
        <v>-9999</v>
      </c>
      <c r="BP957" s="273">
        <v>-9999</v>
      </c>
      <c r="BQ957" s="273">
        <v>-9999</v>
      </c>
      <c r="BR957" s="273">
        <v>-9999</v>
      </c>
      <c r="BS957" s="468">
        <v>-9999</v>
      </c>
      <c r="BT957" s="273">
        <v>-9999</v>
      </c>
      <c r="BU957" s="273">
        <v>-9999</v>
      </c>
      <c r="BV957" s="273">
        <v>-9999</v>
      </c>
      <c r="BW957" s="273"/>
      <c r="BX957" s="273">
        <v>-9999</v>
      </c>
      <c r="BY957" s="273">
        <v>-9999</v>
      </c>
      <c r="BZ957" s="273">
        <v>-9999</v>
      </c>
      <c r="CA957" s="472">
        <v>-9999</v>
      </c>
      <c r="CB957" s="473" t="s">
        <v>1132</v>
      </c>
      <c r="CC957" s="89">
        <v>1</v>
      </c>
      <c r="CD957" s="89">
        <v>1</v>
      </c>
      <c r="CE957" s="292">
        <v>3.8980100000000002</v>
      </c>
      <c r="CF957" s="292">
        <v>3.9</v>
      </c>
      <c r="CG957" s="89">
        <v>1</v>
      </c>
    </row>
    <row r="958" spans="1:1873" s="23" customFormat="1" ht="12.75" customHeight="1" x14ac:dyDescent="0.2">
      <c r="A958" s="273" t="s">
        <v>832</v>
      </c>
      <c r="B958" s="273" t="s">
        <v>820</v>
      </c>
      <c r="C958" s="273" t="s">
        <v>1121</v>
      </c>
      <c r="D958" s="273" t="s">
        <v>619</v>
      </c>
      <c r="E958" s="462" t="s">
        <v>1480</v>
      </c>
      <c r="F958" s="273">
        <v>1</v>
      </c>
      <c r="G958" s="273">
        <v>2</v>
      </c>
      <c r="H958" s="273">
        <v>2</v>
      </c>
      <c r="I958" s="273" t="s">
        <v>621</v>
      </c>
      <c r="J958" s="273">
        <v>1986</v>
      </c>
      <c r="K958" s="463" t="s">
        <v>1211</v>
      </c>
      <c r="L958" s="273">
        <v>1987</v>
      </c>
      <c r="M958" s="471">
        <v>-9999</v>
      </c>
      <c r="N958" s="471">
        <v>-9999</v>
      </c>
      <c r="O958" s="1"/>
      <c r="P958" s="471">
        <v>10.59</v>
      </c>
      <c r="Q958" s="273">
        <v>-9999</v>
      </c>
      <c r="R958" s="471"/>
      <c r="S958" s="273"/>
      <c r="T958" s="414">
        <f t="shared" si="97"/>
        <v>5.2949999999999999</v>
      </c>
      <c r="U958" s="273">
        <v>-9999</v>
      </c>
      <c r="V958" s="273"/>
      <c r="W958" s="414">
        <f t="shared" ref="W958:W963" si="100">+P958-P957</f>
        <v>6.6919899999999997</v>
      </c>
      <c r="X958" s="273">
        <v>-9999</v>
      </c>
      <c r="Y958" s="273"/>
      <c r="Z958" s="273" t="s">
        <v>793</v>
      </c>
      <c r="AA958" s="385">
        <v>10000</v>
      </c>
      <c r="AB958" s="471">
        <v>-9999</v>
      </c>
      <c r="AC958" s="273">
        <v>-9999</v>
      </c>
      <c r="AD958" s="385">
        <v>500</v>
      </c>
      <c r="AE958" s="461" t="s">
        <v>1959</v>
      </c>
      <c r="AF958" s="273">
        <v>3</v>
      </c>
      <c r="AG958" s="273">
        <v>4</v>
      </c>
      <c r="AH958" s="273" t="s">
        <v>623</v>
      </c>
      <c r="AI958" s="273" t="s">
        <v>834</v>
      </c>
      <c r="AJ958" s="273">
        <v>20</v>
      </c>
      <c r="AK958" s="273" t="s">
        <v>625</v>
      </c>
      <c r="AL958" s="273" t="s">
        <v>1127</v>
      </c>
      <c r="AM958" s="273">
        <v>-9999</v>
      </c>
      <c r="AN958" s="273" t="s">
        <v>626</v>
      </c>
      <c r="AO958" s="273" t="s">
        <v>627</v>
      </c>
      <c r="AP958" s="273" t="s">
        <v>1126</v>
      </c>
      <c r="AQ958" s="273" t="s">
        <v>626</v>
      </c>
      <c r="AR958" s="273">
        <f>+AR957+0</f>
        <v>100</v>
      </c>
      <c r="AS958" s="273" t="s">
        <v>726</v>
      </c>
      <c r="AT958" s="273">
        <v>-9999</v>
      </c>
      <c r="AU958" s="273">
        <f t="shared" si="98"/>
        <v>0</v>
      </c>
      <c r="AV958" s="273">
        <v>-9999</v>
      </c>
      <c r="AW958" s="273">
        <v>-9999</v>
      </c>
      <c r="AX958" s="273">
        <f t="shared" si="99"/>
        <v>0</v>
      </c>
      <c r="AY958" s="273">
        <v>-9999</v>
      </c>
      <c r="AZ958" s="273">
        <v>-9999</v>
      </c>
      <c r="BA958" s="273" t="s">
        <v>725</v>
      </c>
      <c r="BB958" s="273" t="s">
        <v>626</v>
      </c>
      <c r="BC958" s="273" t="s">
        <v>829</v>
      </c>
      <c r="BD958" s="273" t="s">
        <v>835</v>
      </c>
      <c r="BE958" s="273" t="s">
        <v>1128</v>
      </c>
      <c r="BF958" s="273" t="s">
        <v>1129</v>
      </c>
      <c r="BG958" s="273" t="s">
        <v>577</v>
      </c>
      <c r="BH958" s="273">
        <v>-9999</v>
      </c>
      <c r="BI958" s="273">
        <v>-9999</v>
      </c>
      <c r="BJ958" s="273">
        <v>3.5</v>
      </c>
      <c r="BK958" s="273">
        <v>-9999</v>
      </c>
      <c r="BL958" s="273">
        <v>-9999</v>
      </c>
      <c r="BM958" s="273">
        <v>-9999</v>
      </c>
      <c r="BN958" s="273">
        <v>-9999</v>
      </c>
      <c r="BO958" s="273">
        <v>-9999</v>
      </c>
      <c r="BP958" s="273">
        <v>-9999</v>
      </c>
      <c r="BQ958" s="273">
        <v>-9999</v>
      </c>
      <c r="BR958" s="273">
        <v>-9999</v>
      </c>
      <c r="BS958" s="468">
        <v>-9999</v>
      </c>
      <c r="BT958" s="273">
        <v>-9999</v>
      </c>
      <c r="BU958" s="273">
        <v>-9999</v>
      </c>
      <c r="BV958" s="273">
        <v>-9999</v>
      </c>
      <c r="BW958" s="273"/>
      <c r="BX958" s="273">
        <v>-9999</v>
      </c>
      <c r="BY958" s="273">
        <v>-9999</v>
      </c>
      <c r="BZ958" s="273">
        <v>-9999</v>
      </c>
      <c r="CA958" s="472">
        <v>-9999</v>
      </c>
      <c r="CB958" s="473" t="s">
        <v>1132</v>
      </c>
      <c r="CC958" s="89">
        <v>1</v>
      </c>
      <c r="CD958" s="89">
        <v>2</v>
      </c>
      <c r="CE958" s="292">
        <v>5.2949999999999999</v>
      </c>
      <c r="CF958" s="292">
        <v>6.6919899999999997</v>
      </c>
      <c r="CG958" s="89">
        <v>2</v>
      </c>
    </row>
    <row r="959" spans="1:1873" s="23" customFormat="1" ht="12.75" customHeight="1" x14ac:dyDescent="0.2">
      <c r="A959" s="273" t="s">
        <v>832</v>
      </c>
      <c r="B959" s="273" t="s">
        <v>820</v>
      </c>
      <c r="C959" s="273" t="s">
        <v>1121</v>
      </c>
      <c r="D959" s="273" t="s">
        <v>619</v>
      </c>
      <c r="E959" s="462" t="s">
        <v>1480</v>
      </c>
      <c r="F959" s="273">
        <v>1</v>
      </c>
      <c r="G959" s="273">
        <v>3</v>
      </c>
      <c r="H959" s="273">
        <v>3</v>
      </c>
      <c r="I959" s="273" t="s">
        <v>621</v>
      </c>
      <c r="J959" s="273">
        <v>1986</v>
      </c>
      <c r="K959" s="463" t="s">
        <v>1211</v>
      </c>
      <c r="L959" s="273">
        <v>1988</v>
      </c>
      <c r="M959" s="471">
        <v>-9999</v>
      </c>
      <c r="N959" s="471">
        <v>-9999</v>
      </c>
      <c r="O959" s="1"/>
      <c r="P959" s="471">
        <v>26.893899999999999</v>
      </c>
      <c r="Q959" s="273">
        <v>-9999</v>
      </c>
      <c r="R959" s="471"/>
      <c r="S959" s="273"/>
      <c r="T959" s="414">
        <f t="shared" si="97"/>
        <v>8.9646333333333335</v>
      </c>
      <c r="U959" s="273">
        <v>-9999</v>
      </c>
      <c r="V959" s="273"/>
      <c r="W959" s="414">
        <f t="shared" si="100"/>
        <v>16.303899999999999</v>
      </c>
      <c r="X959" s="273">
        <v>-9999</v>
      </c>
      <c r="Y959" s="273"/>
      <c r="Z959" s="273" t="s">
        <v>793</v>
      </c>
      <c r="AA959" s="385">
        <v>10000</v>
      </c>
      <c r="AB959" s="471">
        <v>-9999</v>
      </c>
      <c r="AC959" s="273">
        <v>-9999</v>
      </c>
      <c r="AD959" s="385">
        <v>500</v>
      </c>
      <c r="AE959" s="461" t="s">
        <v>1959</v>
      </c>
      <c r="AF959" s="273">
        <v>3</v>
      </c>
      <c r="AG959" s="273">
        <v>4</v>
      </c>
      <c r="AH959" s="273" t="s">
        <v>623</v>
      </c>
      <c r="AI959" s="273" t="s">
        <v>834</v>
      </c>
      <c r="AJ959" s="273">
        <v>20</v>
      </c>
      <c r="AK959" s="273" t="s">
        <v>625</v>
      </c>
      <c r="AL959" s="273" t="s">
        <v>1127</v>
      </c>
      <c r="AM959" s="273">
        <v>-9999</v>
      </c>
      <c r="AN959" s="273" t="s">
        <v>626</v>
      </c>
      <c r="AO959" s="273" t="s">
        <v>627</v>
      </c>
      <c r="AP959" s="273" t="s">
        <v>1126</v>
      </c>
      <c r="AQ959" s="273" t="s">
        <v>626</v>
      </c>
      <c r="AR959" s="273">
        <f>+AR958+100</f>
        <v>200</v>
      </c>
      <c r="AS959" s="273" t="s">
        <v>1101</v>
      </c>
      <c r="AT959" s="273" t="s">
        <v>275</v>
      </c>
      <c r="AU959" s="273">
        <f t="shared" si="98"/>
        <v>0</v>
      </c>
      <c r="AV959" s="273">
        <v>-9999</v>
      </c>
      <c r="AW959" s="273">
        <v>-9999</v>
      </c>
      <c r="AX959" s="273">
        <f t="shared" si="99"/>
        <v>0</v>
      </c>
      <c r="AY959" s="273">
        <v>-9999</v>
      </c>
      <c r="AZ959" s="273">
        <v>-9999</v>
      </c>
      <c r="BA959" s="273" t="s">
        <v>725</v>
      </c>
      <c r="BB959" s="273" t="s">
        <v>626</v>
      </c>
      <c r="BC959" s="273" t="s">
        <v>829</v>
      </c>
      <c r="BD959" s="273" t="s">
        <v>835</v>
      </c>
      <c r="BE959" s="273" t="s">
        <v>1128</v>
      </c>
      <c r="BF959" s="273" t="s">
        <v>1129</v>
      </c>
      <c r="BG959" s="273" t="s">
        <v>577</v>
      </c>
      <c r="BH959" s="273">
        <v>-9999</v>
      </c>
      <c r="BI959" s="273">
        <v>-9999</v>
      </c>
      <c r="BJ959" s="273">
        <v>12.6</v>
      </c>
      <c r="BK959" s="273">
        <v>-9999</v>
      </c>
      <c r="BL959" s="273">
        <v>-9999</v>
      </c>
      <c r="BM959" s="273">
        <v>-9999</v>
      </c>
      <c r="BN959" s="273">
        <v>-9999</v>
      </c>
      <c r="BO959" s="273">
        <v>-9999</v>
      </c>
      <c r="BP959" s="273">
        <v>-9999</v>
      </c>
      <c r="BQ959" s="273">
        <v>-9999</v>
      </c>
      <c r="BR959" s="273">
        <v>-9999</v>
      </c>
      <c r="BS959" s="468">
        <v>-9999</v>
      </c>
      <c r="BT959" s="273">
        <v>-9999</v>
      </c>
      <c r="BU959" s="273">
        <v>-9999</v>
      </c>
      <c r="BV959" s="273">
        <v>-9999</v>
      </c>
      <c r="BW959" s="273"/>
      <c r="BX959" s="273">
        <v>-9999</v>
      </c>
      <c r="BY959" s="273">
        <v>-9999</v>
      </c>
      <c r="BZ959" s="273">
        <v>-9999</v>
      </c>
      <c r="CA959" s="472">
        <v>-9999</v>
      </c>
      <c r="CB959" s="473" t="s">
        <v>1132</v>
      </c>
      <c r="CC959" s="89">
        <v>1</v>
      </c>
      <c r="CD959" s="89">
        <v>3</v>
      </c>
      <c r="CE959" s="292">
        <v>8.9646333333333335</v>
      </c>
      <c r="CF959" s="292">
        <v>16.303899999999999</v>
      </c>
      <c r="CG959" s="89">
        <v>3</v>
      </c>
    </row>
    <row r="960" spans="1:1873" s="23" customFormat="1" ht="12.75" customHeight="1" x14ac:dyDescent="0.2">
      <c r="A960" s="273" t="s">
        <v>832</v>
      </c>
      <c r="B960" s="273" t="s">
        <v>820</v>
      </c>
      <c r="C960" s="273" t="s">
        <v>1121</v>
      </c>
      <c r="D960" s="273" t="s">
        <v>619</v>
      </c>
      <c r="E960" s="462" t="s">
        <v>1480</v>
      </c>
      <c r="F960" s="273">
        <v>1</v>
      </c>
      <c r="G960" s="273">
        <v>4</v>
      </c>
      <c r="H960" s="273">
        <v>4</v>
      </c>
      <c r="I960" s="273" t="s">
        <v>621</v>
      </c>
      <c r="J960" s="273">
        <v>1986</v>
      </c>
      <c r="K960" s="463" t="s">
        <v>1211</v>
      </c>
      <c r="L960" s="273">
        <v>1989</v>
      </c>
      <c r="M960" s="471">
        <v>-9999</v>
      </c>
      <c r="N960" s="471">
        <v>-9999</v>
      </c>
      <c r="O960" s="1"/>
      <c r="P960" s="471">
        <v>40.476399999999998</v>
      </c>
      <c r="Q960" s="273">
        <v>-9999</v>
      </c>
      <c r="R960" s="471"/>
      <c r="S960" s="273"/>
      <c r="T960" s="414">
        <f t="shared" si="97"/>
        <v>10.1191</v>
      </c>
      <c r="U960" s="273">
        <v>-9999</v>
      </c>
      <c r="V960" s="273"/>
      <c r="W960" s="414">
        <f t="shared" si="100"/>
        <v>13.5825</v>
      </c>
      <c r="X960" s="273">
        <v>-9999</v>
      </c>
      <c r="Y960" s="273"/>
      <c r="Z960" s="273" t="s">
        <v>793</v>
      </c>
      <c r="AA960" s="385">
        <v>10000</v>
      </c>
      <c r="AB960" s="471">
        <v>-9999</v>
      </c>
      <c r="AC960" s="273">
        <v>-9999</v>
      </c>
      <c r="AD960" s="385">
        <v>500</v>
      </c>
      <c r="AE960" s="461" t="s">
        <v>1959</v>
      </c>
      <c r="AF960" s="273">
        <v>3</v>
      </c>
      <c r="AG960" s="273">
        <v>4</v>
      </c>
      <c r="AH960" s="273" t="s">
        <v>623</v>
      </c>
      <c r="AI960" s="273" t="s">
        <v>834</v>
      </c>
      <c r="AJ960" s="273">
        <v>20</v>
      </c>
      <c r="AK960" s="273" t="s">
        <v>625</v>
      </c>
      <c r="AL960" s="273" t="s">
        <v>1127</v>
      </c>
      <c r="AM960" s="273">
        <v>-9999</v>
      </c>
      <c r="AN960" s="273" t="s">
        <v>626</v>
      </c>
      <c r="AO960" s="273" t="s">
        <v>627</v>
      </c>
      <c r="AP960" s="273" t="s">
        <v>1126</v>
      </c>
      <c r="AQ960" s="273" t="s">
        <v>626</v>
      </c>
      <c r="AR960" s="273">
        <f>+AR959+0</f>
        <v>200</v>
      </c>
      <c r="AS960" s="273" t="s">
        <v>726</v>
      </c>
      <c r="AT960" s="273">
        <v>-9999</v>
      </c>
      <c r="AU960" s="273">
        <f t="shared" si="98"/>
        <v>0</v>
      </c>
      <c r="AV960" s="273">
        <v>-9999</v>
      </c>
      <c r="AW960" s="273">
        <v>-9999</v>
      </c>
      <c r="AX960" s="273">
        <f t="shared" si="99"/>
        <v>0</v>
      </c>
      <c r="AY960" s="273">
        <v>-9999</v>
      </c>
      <c r="AZ960" s="273">
        <v>-9999</v>
      </c>
      <c r="BA960" s="273" t="s">
        <v>725</v>
      </c>
      <c r="BB960" s="273" t="s">
        <v>626</v>
      </c>
      <c r="BC960" s="273" t="s">
        <v>829</v>
      </c>
      <c r="BD960" s="273" t="s">
        <v>835</v>
      </c>
      <c r="BE960" s="273" t="s">
        <v>1128</v>
      </c>
      <c r="BF960" s="273" t="s">
        <v>1129</v>
      </c>
      <c r="BG960" s="273" t="s">
        <v>577</v>
      </c>
      <c r="BH960" s="273">
        <v>-9999</v>
      </c>
      <c r="BI960" s="273">
        <v>-9999</v>
      </c>
      <c r="BJ960" s="273">
        <v>18</v>
      </c>
      <c r="BK960" s="273">
        <v>-9999</v>
      </c>
      <c r="BL960" s="273">
        <v>-9999</v>
      </c>
      <c r="BM960" s="273">
        <v>-9999</v>
      </c>
      <c r="BN960" s="273">
        <v>-9999</v>
      </c>
      <c r="BO960" s="273">
        <v>-9999</v>
      </c>
      <c r="BP960" s="273">
        <v>-9999</v>
      </c>
      <c r="BQ960" s="273">
        <v>-9999</v>
      </c>
      <c r="BR960" s="273">
        <v>-9999</v>
      </c>
      <c r="BS960" s="468">
        <v>-9999</v>
      </c>
      <c r="BT960" s="273">
        <v>-9999</v>
      </c>
      <c r="BU960" s="273">
        <v>-9999</v>
      </c>
      <c r="BV960" s="273">
        <v>-9999</v>
      </c>
      <c r="BW960" s="273"/>
      <c r="BX960" s="273">
        <v>-9999</v>
      </c>
      <c r="BY960" s="273">
        <v>-9999</v>
      </c>
      <c r="BZ960" s="273">
        <v>-9999</v>
      </c>
      <c r="CA960" s="472">
        <v>-9999</v>
      </c>
      <c r="CB960" s="473" t="s">
        <v>1132</v>
      </c>
      <c r="CC960" s="89">
        <v>1</v>
      </c>
      <c r="CD960" s="89">
        <v>4</v>
      </c>
      <c r="CE960" s="292">
        <v>10.1191</v>
      </c>
      <c r="CF960" s="292">
        <v>13.5825</v>
      </c>
      <c r="CG960" s="89">
        <v>4</v>
      </c>
    </row>
    <row r="961" spans="1:1873" s="148" customFormat="1" ht="12.75" customHeight="1" x14ac:dyDescent="0.2">
      <c r="A961" s="273" t="s">
        <v>832</v>
      </c>
      <c r="B961" s="273" t="s">
        <v>820</v>
      </c>
      <c r="C961" s="273" t="s">
        <v>1121</v>
      </c>
      <c r="D961" s="273" t="s">
        <v>619</v>
      </c>
      <c r="E961" s="462" t="s">
        <v>1480</v>
      </c>
      <c r="F961" s="273">
        <v>1</v>
      </c>
      <c r="G961" s="273">
        <v>5</v>
      </c>
      <c r="H961" s="273">
        <v>5</v>
      </c>
      <c r="I961" s="273" t="s">
        <v>621</v>
      </c>
      <c r="J961" s="273">
        <v>1986</v>
      </c>
      <c r="K961" s="463" t="s">
        <v>1211</v>
      </c>
      <c r="L961" s="273">
        <v>1990</v>
      </c>
      <c r="M961" s="471">
        <v>-9999</v>
      </c>
      <c r="N961" s="471">
        <v>-9999</v>
      </c>
      <c r="O961" s="1"/>
      <c r="P961" s="471">
        <v>58.155500000000004</v>
      </c>
      <c r="Q961" s="273">
        <v>-9999</v>
      </c>
      <c r="R961" s="471"/>
      <c r="S961" s="273"/>
      <c r="T961" s="414">
        <f t="shared" si="97"/>
        <v>11.6311</v>
      </c>
      <c r="U961" s="273">
        <v>-9999</v>
      </c>
      <c r="V961" s="273"/>
      <c r="W961" s="414">
        <f t="shared" si="100"/>
        <v>17.679100000000005</v>
      </c>
      <c r="X961" s="273">
        <v>-9999</v>
      </c>
      <c r="Y961" s="273"/>
      <c r="Z961" s="273" t="s">
        <v>793</v>
      </c>
      <c r="AA961" s="385">
        <v>10000</v>
      </c>
      <c r="AB961" s="471">
        <v>-9999</v>
      </c>
      <c r="AC961" s="273">
        <v>-9999</v>
      </c>
      <c r="AD961" s="385">
        <v>500</v>
      </c>
      <c r="AE961" s="461" t="s">
        <v>1959</v>
      </c>
      <c r="AF961" s="273">
        <v>3</v>
      </c>
      <c r="AG961" s="273">
        <v>4</v>
      </c>
      <c r="AH961" s="273" t="s">
        <v>623</v>
      </c>
      <c r="AI961" s="273" t="s">
        <v>834</v>
      </c>
      <c r="AJ961" s="273">
        <v>20</v>
      </c>
      <c r="AK961" s="273" t="s">
        <v>625</v>
      </c>
      <c r="AL961" s="273" t="s">
        <v>1127</v>
      </c>
      <c r="AM961" s="273">
        <v>-9999</v>
      </c>
      <c r="AN961" s="273" t="s">
        <v>626</v>
      </c>
      <c r="AO961" s="273" t="s">
        <v>627</v>
      </c>
      <c r="AP961" s="273" t="s">
        <v>1126</v>
      </c>
      <c r="AQ961" s="273" t="s">
        <v>626</v>
      </c>
      <c r="AR961" s="273">
        <f>+AR960+0</f>
        <v>200</v>
      </c>
      <c r="AS961" s="273" t="s">
        <v>726</v>
      </c>
      <c r="AT961" s="273">
        <v>-9999</v>
      </c>
      <c r="AU961" s="273">
        <f t="shared" si="98"/>
        <v>0</v>
      </c>
      <c r="AV961" s="273">
        <v>-9999</v>
      </c>
      <c r="AW961" s="273">
        <v>-9999</v>
      </c>
      <c r="AX961" s="273">
        <f t="shared" si="99"/>
        <v>0</v>
      </c>
      <c r="AY961" s="273">
        <v>-9999</v>
      </c>
      <c r="AZ961" s="273">
        <v>-9999</v>
      </c>
      <c r="BA961" s="273" t="s">
        <v>725</v>
      </c>
      <c r="BB961" s="273" t="s">
        <v>626</v>
      </c>
      <c r="BC961" s="273" t="s">
        <v>829</v>
      </c>
      <c r="BD961" s="273" t="s">
        <v>835</v>
      </c>
      <c r="BE961" s="273" t="s">
        <v>1128</v>
      </c>
      <c r="BF961" s="273" t="s">
        <v>1129</v>
      </c>
      <c r="BG961" s="273" t="s">
        <v>577</v>
      </c>
      <c r="BH961" s="273">
        <v>-9999</v>
      </c>
      <c r="BI961" s="273">
        <v>-9999</v>
      </c>
      <c r="BJ961" s="273">
        <v>24.3</v>
      </c>
      <c r="BK961" s="273">
        <v>-9999</v>
      </c>
      <c r="BL961" s="273">
        <v>-9999</v>
      </c>
      <c r="BM961" s="273">
        <v>-9999</v>
      </c>
      <c r="BN961" s="273">
        <v>-9999</v>
      </c>
      <c r="BO961" s="273">
        <v>-9999</v>
      </c>
      <c r="BP961" s="273">
        <v>-9999</v>
      </c>
      <c r="BQ961" s="273">
        <v>-9999</v>
      </c>
      <c r="BR961" s="273">
        <v>-9999</v>
      </c>
      <c r="BS961" s="468">
        <v>-9999</v>
      </c>
      <c r="BT961" s="273">
        <v>-9999</v>
      </c>
      <c r="BU961" s="273">
        <v>-9999</v>
      </c>
      <c r="BV961" s="273">
        <v>-9999</v>
      </c>
      <c r="BW961" s="273"/>
      <c r="BX961" s="273">
        <v>-9999</v>
      </c>
      <c r="BY961" s="273">
        <v>-9999</v>
      </c>
      <c r="BZ961" s="273">
        <v>-9999</v>
      </c>
      <c r="CA961" s="472">
        <v>-9999</v>
      </c>
      <c r="CB961" s="473" t="s">
        <v>1132</v>
      </c>
      <c r="CC961" s="89">
        <v>1</v>
      </c>
      <c r="CD961" s="89">
        <v>5</v>
      </c>
      <c r="CE961" s="394">
        <v>11.6311</v>
      </c>
      <c r="CF961" s="292">
        <v>17.679100000000005</v>
      </c>
      <c r="CG961" s="89">
        <v>5</v>
      </c>
      <c r="CH961" s="477"/>
      <c r="CI961" s="23"/>
      <c r="CJ961" s="23"/>
      <c r="CK961" s="23"/>
      <c r="CL961" s="23"/>
      <c r="CM961" s="23"/>
      <c r="CN961" s="23"/>
      <c r="CO961" s="23"/>
      <c r="CP961" s="23"/>
      <c r="CQ961" s="23"/>
      <c r="CR961" s="23"/>
      <c r="CS961" s="23"/>
      <c r="CT961" s="23"/>
      <c r="CU961" s="23"/>
      <c r="CV961" s="23"/>
      <c r="CW961" s="23"/>
      <c r="CX961" s="23"/>
      <c r="CY961" s="23"/>
      <c r="CZ961" s="23"/>
      <c r="DA961" s="23"/>
      <c r="DB961" s="23"/>
      <c r="DC961" s="23"/>
      <c r="DD961" s="23"/>
      <c r="DE961" s="23"/>
      <c r="DF961" s="23"/>
      <c r="DG961" s="23"/>
      <c r="DH961" s="23"/>
      <c r="DI961" s="23"/>
      <c r="DJ961" s="23"/>
      <c r="DK961" s="23"/>
      <c r="DL961" s="23"/>
      <c r="DM961" s="23"/>
      <c r="DN961" s="23"/>
      <c r="DO961" s="23"/>
      <c r="DP961" s="23"/>
      <c r="DQ961" s="23"/>
      <c r="DR961" s="23"/>
      <c r="DS961" s="23"/>
      <c r="DT961" s="23"/>
      <c r="DU961" s="23"/>
      <c r="DV961" s="23"/>
      <c r="DW961" s="23"/>
      <c r="DX961" s="23"/>
      <c r="DY961" s="23"/>
      <c r="DZ961" s="23"/>
      <c r="EA961" s="23"/>
      <c r="EB961" s="23"/>
      <c r="EC961" s="23"/>
      <c r="ED961" s="23"/>
      <c r="EE961" s="23"/>
      <c r="EF961" s="23"/>
      <c r="EG961" s="23"/>
      <c r="EH961" s="23"/>
      <c r="EI961" s="23"/>
      <c r="EJ961" s="23"/>
      <c r="EK961" s="23"/>
      <c r="EL961" s="23"/>
      <c r="EM961" s="23"/>
      <c r="EN961" s="23"/>
      <c r="EO961" s="23"/>
      <c r="EP961" s="23"/>
      <c r="EQ961" s="23"/>
      <c r="ER961" s="23"/>
      <c r="ES961" s="23"/>
      <c r="ET961" s="23"/>
      <c r="EU961" s="23"/>
      <c r="EV961" s="23"/>
      <c r="EW961" s="23"/>
      <c r="EX961" s="23"/>
      <c r="EY961" s="23"/>
      <c r="EZ961" s="23"/>
      <c r="FA961" s="23"/>
      <c r="FB961" s="23"/>
      <c r="FC961" s="23"/>
      <c r="FD961" s="23"/>
      <c r="FE961" s="23"/>
      <c r="FF961" s="23"/>
      <c r="FG961" s="23"/>
      <c r="FH961" s="23"/>
      <c r="FI961" s="23"/>
      <c r="FJ961" s="23"/>
      <c r="FK961" s="23"/>
      <c r="FL961" s="23"/>
      <c r="FM961" s="23"/>
      <c r="FN961" s="23"/>
      <c r="FO961" s="23"/>
      <c r="FP961" s="23"/>
      <c r="FQ961" s="23"/>
      <c r="FR961" s="23"/>
      <c r="FS961" s="23"/>
      <c r="FT961" s="23"/>
      <c r="FU961" s="23"/>
      <c r="FV961" s="23"/>
      <c r="FW961" s="23"/>
      <c r="FX961" s="23"/>
      <c r="FY961" s="23"/>
      <c r="FZ961" s="23"/>
      <c r="GA961" s="23"/>
      <c r="GB961" s="23"/>
      <c r="GC961" s="23"/>
      <c r="GD961" s="23"/>
      <c r="GE961" s="23"/>
      <c r="GF961" s="23"/>
      <c r="GG961" s="23"/>
      <c r="GH961" s="23"/>
      <c r="GI961" s="23"/>
      <c r="GJ961" s="23"/>
      <c r="GK961" s="23"/>
      <c r="GL961" s="23"/>
      <c r="GM961" s="23"/>
      <c r="GN961" s="23"/>
      <c r="GO961" s="23"/>
      <c r="GP961" s="23"/>
      <c r="GQ961" s="23"/>
      <c r="GR961" s="23"/>
      <c r="GS961" s="23"/>
      <c r="GT961" s="23"/>
      <c r="GU961" s="23"/>
      <c r="GV961" s="23"/>
      <c r="GW961" s="23"/>
      <c r="GX961" s="23"/>
      <c r="GY961" s="23"/>
      <c r="GZ961" s="23"/>
      <c r="HA961" s="23"/>
      <c r="HB961" s="23"/>
      <c r="HC961" s="23"/>
      <c r="HD961" s="23"/>
      <c r="HE961" s="23"/>
      <c r="HF961" s="23"/>
      <c r="HG961" s="23"/>
      <c r="HH961" s="23"/>
      <c r="HI961" s="23"/>
      <c r="HJ961" s="23"/>
      <c r="HK961" s="23"/>
      <c r="HL961" s="23"/>
      <c r="HM961" s="23"/>
      <c r="HN961" s="23"/>
      <c r="HO961" s="23"/>
      <c r="HP961" s="23"/>
      <c r="HQ961" s="23"/>
      <c r="HR961" s="23"/>
      <c r="HS961" s="23"/>
      <c r="HT961" s="23"/>
      <c r="HU961" s="23"/>
      <c r="HV961" s="23"/>
      <c r="HW961" s="23"/>
      <c r="HX961" s="23"/>
      <c r="HY961" s="23"/>
      <c r="HZ961" s="23"/>
      <c r="IA961" s="23"/>
      <c r="IB961" s="23"/>
      <c r="IC961" s="23"/>
      <c r="ID961" s="23"/>
      <c r="IE961" s="23"/>
      <c r="IF961" s="23"/>
      <c r="IG961" s="23"/>
      <c r="IH961" s="23"/>
      <c r="II961" s="23"/>
      <c r="IJ961" s="23"/>
      <c r="IK961" s="23"/>
      <c r="IL961" s="23"/>
      <c r="IM961" s="23"/>
      <c r="IN961" s="23"/>
      <c r="IO961" s="23"/>
      <c r="IP961" s="23"/>
      <c r="IQ961" s="23"/>
      <c r="IR961" s="23"/>
      <c r="IS961" s="23"/>
      <c r="IT961" s="23"/>
      <c r="IU961" s="23"/>
      <c r="IV961" s="23"/>
      <c r="IW961" s="23"/>
      <c r="IX961" s="23"/>
      <c r="IY961" s="23"/>
      <c r="IZ961" s="23"/>
      <c r="JA961" s="23"/>
      <c r="JB961" s="23"/>
      <c r="JC961" s="23"/>
      <c r="JD961" s="23"/>
      <c r="JE961" s="23"/>
      <c r="JF961" s="23"/>
      <c r="JG961" s="23"/>
      <c r="JH961" s="23"/>
      <c r="JI961" s="23"/>
      <c r="JJ961" s="23"/>
      <c r="JK961" s="23"/>
      <c r="JL961" s="23"/>
      <c r="JM961" s="23"/>
      <c r="JN961" s="23"/>
      <c r="JO961" s="23"/>
      <c r="JP961" s="23"/>
      <c r="JQ961" s="23"/>
      <c r="JR961" s="23"/>
      <c r="JS961" s="23"/>
      <c r="JT961" s="23"/>
      <c r="JU961" s="23"/>
      <c r="JV961" s="23"/>
      <c r="JW961" s="23"/>
      <c r="JX961" s="23"/>
      <c r="JY961" s="23"/>
      <c r="JZ961" s="23"/>
      <c r="KA961" s="23"/>
      <c r="KB961" s="23"/>
      <c r="KC961" s="23"/>
      <c r="KD961" s="23"/>
      <c r="KE961" s="23"/>
      <c r="KF961" s="23"/>
      <c r="KG961" s="23"/>
      <c r="KH961" s="23"/>
      <c r="KI961" s="23"/>
      <c r="KJ961" s="23"/>
      <c r="KK961" s="23"/>
      <c r="KL961" s="23"/>
      <c r="KM961" s="23"/>
      <c r="KN961" s="23"/>
      <c r="KO961" s="23"/>
      <c r="KP961" s="23"/>
      <c r="KQ961" s="23"/>
      <c r="KR961" s="23"/>
      <c r="KS961" s="23"/>
      <c r="KT961" s="23"/>
      <c r="KU961" s="23"/>
      <c r="KV961" s="23"/>
      <c r="KW961" s="23"/>
      <c r="KX961" s="23"/>
      <c r="KY961" s="23"/>
      <c r="KZ961" s="23"/>
      <c r="LA961" s="23"/>
      <c r="LB961" s="23"/>
      <c r="LC961" s="23"/>
      <c r="LD961" s="23"/>
      <c r="LE961" s="23"/>
      <c r="LF961" s="23"/>
      <c r="LG961" s="23"/>
      <c r="LH961" s="23"/>
      <c r="LI961" s="23"/>
      <c r="LJ961" s="23"/>
      <c r="LK961" s="23"/>
      <c r="LL961" s="23"/>
      <c r="LM961" s="23"/>
      <c r="LN961" s="23"/>
      <c r="LO961" s="23"/>
      <c r="LP961" s="23"/>
      <c r="LQ961" s="23"/>
      <c r="LR961" s="23"/>
      <c r="LS961" s="23"/>
      <c r="LT961" s="23"/>
      <c r="LU961" s="23"/>
      <c r="LV961" s="23"/>
      <c r="LW961" s="23"/>
      <c r="LX961" s="23"/>
      <c r="LY961" s="23"/>
      <c r="LZ961" s="23"/>
      <c r="MA961" s="23"/>
      <c r="MB961" s="23"/>
      <c r="MC961" s="23"/>
      <c r="MD961" s="23"/>
      <c r="ME961" s="23"/>
      <c r="MF961" s="23"/>
      <c r="MG961" s="23"/>
      <c r="MH961" s="23"/>
      <c r="MI961" s="23"/>
      <c r="MJ961" s="23"/>
      <c r="MK961" s="23"/>
      <c r="ML961" s="23"/>
      <c r="MM961" s="23"/>
      <c r="MN961" s="23"/>
      <c r="MO961" s="23"/>
      <c r="MP961" s="23"/>
      <c r="MQ961" s="23"/>
      <c r="MR961" s="23"/>
      <c r="MS961" s="23"/>
      <c r="MT961" s="23"/>
      <c r="MU961" s="23"/>
      <c r="MV961" s="23"/>
      <c r="MW961" s="23"/>
      <c r="MX961" s="23"/>
      <c r="MY961" s="23"/>
      <c r="MZ961" s="23"/>
      <c r="NA961" s="23"/>
      <c r="NB961" s="23"/>
      <c r="NC961" s="23"/>
      <c r="ND961" s="23"/>
      <c r="NE961" s="23"/>
      <c r="NF961" s="23"/>
      <c r="NG961" s="23"/>
      <c r="NH961" s="23"/>
      <c r="NI961" s="23"/>
      <c r="NJ961" s="23"/>
      <c r="NK961" s="23"/>
      <c r="NL961" s="23"/>
      <c r="NM961" s="23"/>
      <c r="NN961" s="23"/>
      <c r="NO961" s="23"/>
      <c r="NP961" s="23"/>
      <c r="NQ961" s="23"/>
      <c r="NR961" s="23"/>
      <c r="NS961" s="23"/>
      <c r="NT961" s="23"/>
      <c r="NU961" s="23"/>
      <c r="NV961" s="23"/>
      <c r="NW961" s="23"/>
      <c r="NX961" s="23"/>
      <c r="NY961" s="23"/>
      <c r="NZ961" s="23"/>
      <c r="OA961" s="23"/>
      <c r="OB961" s="23"/>
      <c r="OC961" s="23"/>
      <c r="OD961" s="23"/>
      <c r="OE961" s="23"/>
      <c r="OF961" s="23"/>
      <c r="OG961" s="23"/>
      <c r="OH961" s="23"/>
      <c r="OI961" s="23"/>
      <c r="OJ961" s="23"/>
      <c r="OK961" s="23"/>
      <c r="OL961" s="23"/>
      <c r="OM961" s="23"/>
      <c r="ON961" s="23"/>
      <c r="OO961" s="23"/>
      <c r="OP961" s="23"/>
      <c r="OQ961" s="23"/>
      <c r="OR961" s="23"/>
      <c r="OS961" s="23"/>
      <c r="OT961" s="23"/>
      <c r="OU961" s="23"/>
      <c r="OV961" s="23"/>
      <c r="OW961" s="23"/>
      <c r="OX961" s="23"/>
      <c r="OY961" s="23"/>
      <c r="OZ961" s="23"/>
      <c r="PA961" s="23"/>
      <c r="PB961" s="23"/>
      <c r="PC961" s="23"/>
      <c r="PD961" s="23"/>
      <c r="PE961" s="23"/>
      <c r="PF961" s="23"/>
      <c r="PG961" s="23"/>
      <c r="PH961" s="23"/>
      <c r="PI961" s="23"/>
      <c r="PJ961" s="23"/>
      <c r="PK961" s="23"/>
      <c r="PL961" s="23"/>
      <c r="PM961" s="23"/>
      <c r="PN961" s="23"/>
      <c r="PO961" s="23"/>
      <c r="PP961" s="23"/>
      <c r="PQ961" s="23"/>
      <c r="PR961" s="23"/>
      <c r="PS961" s="23"/>
      <c r="PT961" s="23"/>
      <c r="PU961" s="23"/>
      <c r="PV961" s="23"/>
      <c r="PW961" s="23"/>
      <c r="PX961" s="23"/>
      <c r="PY961" s="23"/>
      <c r="PZ961" s="23"/>
      <c r="QA961" s="23"/>
      <c r="QB961" s="23"/>
      <c r="QC961" s="23"/>
      <c r="QD961" s="23"/>
      <c r="QE961" s="23"/>
      <c r="QF961" s="23"/>
      <c r="QG961" s="23"/>
      <c r="QH961" s="23"/>
      <c r="QI961" s="23"/>
      <c r="QJ961" s="23"/>
      <c r="QK961" s="23"/>
      <c r="QL961" s="23"/>
      <c r="QM961" s="23"/>
      <c r="QN961" s="23"/>
      <c r="QO961" s="23"/>
      <c r="QP961" s="23"/>
      <c r="QQ961" s="23"/>
      <c r="QR961" s="23"/>
      <c r="QS961" s="23"/>
      <c r="QT961" s="23"/>
      <c r="QU961" s="23"/>
      <c r="QV961" s="23"/>
      <c r="QW961" s="23"/>
      <c r="QX961" s="23"/>
      <c r="QY961" s="23"/>
      <c r="QZ961" s="23"/>
      <c r="RA961" s="23"/>
      <c r="RB961" s="23"/>
      <c r="RC961" s="23"/>
      <c r="RD961" s="23"/>
      <c r="RE961" s="23"/>
      <c r="RF961" s="23"/>
      <c r="RG961" s="23"/>
      <c r="RH961" s="23"/>
      <c r="RI961" s="23"/>
      <c r="RJ961" s="23"/>
      <c r="RK961" s="23"/>
      <c r="RL961" s="23"/>
      <c r="RM961" s="23"/>
      <c r="RN961" s="23"/>
      <c r="RO961" s="23"/>
      <c r="RP961" s="23"/>
      <c r="RQ961" s="23"/>
      <c r="RR961" s="23"/>
      <c r="RS961" s="23"/>
      <c r="RT961" s="23"/>
      <c r="RU961" s="23"/>
      <c r="RV961" s="23"/>
      <c r="RW961" s="23"/>
      <c r="RX961" s="23"/>
      <c r="RY961" s="23"/>
      <c r="RZ961" s="23"/>
      <c r="SA961" s="23"/>
      <c r="SB961" s="23"/>
      <c r="SC961" s="23"/>
      <c r="SD961" s="23"/>
      <c r="SE961" s="23"/>
      <c r="SF961" s="23"/>
      <c r="SG961" s="23"/>
      <c r="SH961" s="23"/>
      <c r="SI961" s="23"/>
      <c r="SJ961" s="23"/>
      <c r="SK961" s="23"/>
      <c r="SL961" s="23"/>
      <c r="SM961" s="23"/>
      <c r="SN961" s="23"/>
      <c r="SO961" s="23"/>
      <c r="SP961" s="23"/>
      <c r="SQ961" s="23"/>
      <c r="SR961" s="23"/>
      <c r="SS961" s="23"/>
      <c r="ST961" s="23"/>
      <c r="SU961" s="23"/>
      <c r="SV961" s="23"/>
      <c r="SW961" s="23"/>
      <c r="SX961" s="23"/>
      <c r="SY961" s="23"/>
      <c r="SZ961" s="23"/>
      <c r="TA961" s="23"/>
      <c r="TB961" s="23"/>
      <c r="TC961" s="23"/>
      <c r="TD961" s="23"/>
      <c r="TE961" s="23"/>
      <c r="TF961" s="23"/>
      <c r="TG961" s="23"/>
      <c r="TH961" s="23"/>
      <c r="TI961" s="23"/>
      <c r="TJ961" s="23"/>
      <c r="TK961" s="23"/>
      <c r="TL961" s="23"/>
      <c r="TM961" s="23"/>
      <c r="TN961" s="23"/>
      <c r="TO961" s="23"/>
      <c r="TP961" s="23"/>
      <c r="TQ961" s="23"/>
      <c r="TR961" s="23"/>
      <c r="TS961" s="23"/>
      <c r="TT961" s="23"/>
      <c r="TU961" s="23"/>
      <c r="TV961" s="23"/>
      <c r="TW961" s="23"/>
      <c r="TX961" s="23"/>
      <c r="TY961" s="23"/>
      <c r="TZ961" s="23"/>
      <c r="UA961" s="23"/>
      <c r="UB961" s="23"/>
      <c r="UC961" s="23"/>
      <c r="UD961" s="23"/>
      <c r="UE961" s="23"/>
      <c r="UF961" s="23"/>
      <c r="UG961" s="23"/>
      <c r="UH961" s="23"/>
      <c r="UI961" s="23"/>
      <c r="UJ961" s="23"/>
      <c r="UK961" s="23"/>
      <c r="UL961" s="23"/>
      <c r="UM961" s="23"/>
      <c r="UN961" s="23"/>
      <c r="UO961" s="23"/>
      <c r="UP961" s="23"/>
      <c r="UQ961" s="23"/>
      <c r="UR961" s="23"/>
      <c r="US961" s="23"/>
      <c r="UT961" s="23"/>
      <c r="UU961" s="23"/>
      <c r="UV961" s="23"/>
      <c r="UW961" s="23"/>
      <c r="UX961" s="23"/>
      <c r="UY961" s="23"/>
      <c r="UZ961" s="23"/>
      <c r="VA961" s="23"/>
      <c r="VB961" s="23"/>
      <c r="VC961" s="23"/>
      <c r="VD961" s="23"/>
      <c r="VE961" s="23"/>
      <c r="VF961" s="23"/>
      <c r="VG961" s="23"/>
      <c r="VH961" s="23"/>
      <c r="VI961" s="23"/>
      <c r="VJ961" s="23"/>
      <c r="VK961" s="23"/>
      <c r="VL961" s="23"/>
      <c r="VM961" s="23"/>
      <c r="VN961" s="23"/>
      <c r="VO961" s="23"/>
      <c r="VP961" s="23"/>
      <c r="VQ961" s="23"/>
      <c r="VR961" s="23"/>
      <c r="VS961" s="23"/>
      <c r="VT961" s="23"/>
      <c r="VU961" s="23"/>
      <c r="VV961" s="23"/>
      <c r="VW961" s="23"/>
      <c r="VX961" s="23"/>
      <c r="VY961" s="23"/>
      <c r="VZ961" s="23"/>
      <c r="WA961" s="23"/>
      <c r="WB961" s="23"/>
      <c r="WC961" s="23"/>
      <c r="WD961" s="23"/>
      <c r="WE961" s="23"/>
      <c r="WF961" s="23"/>
      <c r="WG961" s="23"/>
      <c r="WH961" s="23"/>
      <c r="WI961" s="23"/>
      <c r="WJ961" s="23"/>
      <c r="WK961" s="23"/>
      <c r="WL961" s="23"/>
      <c r="WM961" s="23"/>
      <c r="WN961" s="23"/>
      <c r="WO961" s="23"/>
      <c r="WP961" s="23"/>
      <c r="WQ961" s="23"/>
      <c r="WR961" s="23"/>
      <c r="WS961" s="23"/>
      <c r="WT961" s="23"/>
      <c r="WU961" s="23"/>
      <c r="WV961" s="23"/>
      <c r="WW961" s="23"/>
      <c r="WX961" s="23"/>
      <c r="WY961" s="23"/>
      <c r="WZ961" s="23"/>
      <c r="XA961" s="23"/>
      <c r="XB961" s="23"/>
      <c r="XC961" s="23"/>
      <c r="XD961" s="23"/>
      <c r="XE961" s="23"/>
      <c r="XF961" s="23"/>
      <c r="XG961" s="23"/>
      <c r="XH961" s="23"/>
      <c r="XI961" s="23"/>
      <c r="XJ961" s="23"/>
      <c r="XK961" s="23"/>
      <c r="XL961" s="23"/>
      <c r="XM961" s="23"/>
      <c r="XN961" s="23"/>
      <c r="XO961" s="23"/>
      <c r="XP961" s="23"/>
      <c r="XQ961" s="23"/>
      <c r="XR961" s="23"/>
      <c r="XS961" s="23"/>
      <c r="XT961" s="23"/>
      <c r="XU961" s="23"/>
      <c r="XV961" s="23"/>
      <c r="XW961" s="23"/>
      <c r="XX961" s="23"/>
      <c r="XY961" s="23"/>
      <c r="XZ961" s="23"/>
      <c r="YA961" s="23"/>
      <c r="YB961" s="23"/>
      <c r="YC961" s="23"/>
      <c r="YD961" s="23"/>
      <c r="YE961" s="23"/>
      <c r="YF961" s="23"/>
      <c r="YG961" s="23"/>
      <c r="YH961" s="23"/>
      <c r="YI961" s="23"/>
      <c r="YJ961" s="23"/>
      <c r="YK961" s="23"/>
      <c r="YL961" s="23"/>
      <c r="YM961" s="23"/>
      <c r="YN961" s="23"/>
      <c r="YO961" s="23"/>
      <c r="YP961" s="23"/>
      <c r="YQ961" s="23"/>
      <c r="YR961" s="23"/>
      <c r="YS961" s="23"/>
      <c r="YT961" s="23"/>
      <c r="YU961" s="23"/>
      <c r="YV961" s="23"/>
      <c r="YW961" s="23"/>
      <c r="YX961" s="23"/>
      <c r="YY961" s="23"/>
      <c r="YZ961" s="23"/>
      <c r="ZA961" s="23"/>
      <c r="ZB961" s="23"/>
      <c r="ZC961" s="23"/>
      <c r="ZD961" s="23"/>
      <c r="ZE961" s="23"/>
      <c r="ZF961" s="23"/>
      <c r="ZG961" s="23"/>
      <c r="ZH961" s="23"/>
      <c r="ZI961" s="23"/>
      <c r="ZJ961" s="23"/>
      <c r="ZK961" s="23"/>
      <c r="ZL961" s="23"/>
      <c r="ZM961" s="23"/>
      <c r="ZN961" s="23"/>
      <c r="ZO961" s="23"/>
      <c r="ZP961" s="23"/>
      <c r="ZQ961" s="23"/>
      <c r="ZR961" s="23"/>
      <c r="ZS961" s="23"/>
      <c r="ZT961" s="23"/>
      <c r="ZU961" s="23"/>
      <c r="ZV961" s="23"/>
      <c r="ZW961" s="23"/>
      <c r="ZX961" s="23"/>
      <c r="ZY961" s="23"/>
      <c r="ZZ961" s="23"/>
      <c r="AAA961" s="23"/>
      <c r="AAB961" s="23"/>
      <c r="AAC961" s="23"/>
      <c r="AAD961" s="23"/>
      <c r="AAE961" s="23"/>
      <c r="AAF961" s="23"/>
      <c r="AAG961" s="23"/>
      <c r="AAH961" s="23"/>
      <c r="AAI961" s="23"/>
      <c r="AAJ961" s="23"/>
      <c r="AAK961" s="23"/>
      <c r="AAL961" s="23"/>
      <c r="AAM961" s="23"/>
      <c r="AAN961" s="23"/>
      <c r="AAO961" s="23"/>
      <c r="AAP961" s="23"/>
      <c r="AAQ961" s="23"/>
      <c r="AAR961" s="23"/>
      <c r="AAS961" s="23"/>
      <c r="AAT961" s="23"/>
      <c r="AAU961" s="23"/>
      <c r="AAV961" s="23"/>
      <c r="AAW961" s="23"/>
      <c r="AAX961" s="23"/>
      <c r="AAY961" s="23"/>
      <c r="AAZ961" s="23"/>
      <c r="ABA961" s="23"/>
      <c r="ABB961" s="23"/>
      <c r="ABC961" s="23"/>
      <c r="ABD961" s="23"/>
      <c r="ABE961" s="23"/>
      <c r="ABF961" s="23"/>
      <c r="ABG961" s="23"/>
      <c r="ABH961" s="23"/>
      <c r="ABI961" s="23"/>
      <c r="ABJ961" s="23"/>
      <c r="ABK961" s="23"/>
      <c r="ABL961" s="23"/>
      <c r="ABM961" s="23"/>
      <c r="ABN961" s="23"/>
      <c r="ABO961" s="23"/>
      <c r="ABP961" s="23"/>
      <c r="ABQ961" s="23"/>
      <c r="ABR961" s="23"/>
      <c r="ABS961" s="23"/>
      <c r="ABT961" s="23"/>
      <c r="ABU961" s="23"/>
      <c r="ABV961" s="23"/>
      <c r="ABW961" s="23"/>
      <c r="ABX961" s="23"/>
      <c r="ABY961" s="23"/>
      <c r="ABZ961" s="23"/>
      <c r="ACA961" s="23"/>
      <c r="ACB961" s="23"/>
      <c r="ACC961" s="23"/>
      <c r="ACD961" s="23"/>
      <c r="ACE961" s="23"/>
      <c r="ACF961" s="23"/>
      <c r="ACG961" s="23"/>
      <c r="ACH961" s="23"/>
      <c r="ACI961" s="23"/>
      <c r="ACJ961" s="23"/>
      <c r="ACK961" s="23"/>
      <c r="ACL961" s="23"/>
      <c r="ACM961" s="23"/>
      <c r="ACN961" s="23"/>
      <c r="ACO961" s="23"/>
      <c r="ACP961" s="23"/>
      <c r="ACQ961" s="23"/>
      <c r="ACR961" s="23"/>
      <c r="ACS961" s="23"/>
      <c r="ACT961" s="23"/>
      <c r="ACU961" s="23"/>
      <c r="ACV961" s="23"/>
      <c r="ACW961" s="23"/>
      <c r="ACX961" s="23"/>
      <c r="ACY961" s="23"/>
      <c r="ACZ961" s="23"/>
      <c r="ADA961" s="23"/>
      <c r="ADB961" s="23"/>
      <c r="ADC961" s="23"/>
      <c r="ADD961" s="23"/>
      <c r="ADE961" s="23"/>
      <c r="ADF961" s="23"/>
      <c r="ADG961" s="23"/>
      <c r="ADH961" s="23"/>
      <c r="ADI961" s="23"/>
      <c r="ADJ961" s="23"/>
      <c r="ADK961" s="23"/>
      <c r="ADL961" s="23"/>
      <c r="ADM961" s="23"/>
      <c r="ADN961" s="23"/>
      <c r="ADO961" s="23"/>
      <c r="ADP961" s="23"/>
      <c r="ADQ961" s="23"/>
      <c r="ADR961" s="23"/>
      <c r="ADS961" s="23"/>
      <c r="ADT961" s="23"/>
      <c r="ADU961" s="23"/>
      <c r="ADV961" s="23"/>
      <c r="ADW961" s="23"/>
      <c r="ADX961" s="23"/>
      <c r="ADY961" s="23"/>
      <c r="ADZ961" s="23"/>
      <c r="AEA961" s="23"/>
      <c r="AEB961" s="23"/>
      <c r="AEC961" s="23"/>
      <c r="AED961" s="23"/>
      <c r="AEE961" s="23"/>
      <c r="AEF961" s="23"/>
      <c r="AEG961" s="23"/>
      <c r="AEH961" s="23"/>
      <c r="AEI961" s="23"/>
      <c r="AEJ961" s="23"/>
      <c r="AEK961" s="23"/>
      <c r="AEL961" s="23"/>
      <c r="AEM961" s="23"/>
      <c r="AEN961" s="23"/>
      <c r="AEO961" s="23"/>
      <c r="AEP961" s="23"/>
      <c r="AEQ961" s="23"/>
      <c r="AER961" s="23"/>
      <c r="AES961" s="23"/>
      <c r="AET961" s="23"/>
      <c r="AEU961" s="23"/>
      <c r="AEV961" s="23"/>
      <c r="AEW961" s="23"/>
      <c r="AEX961" s="23"/>
      <c r="AEY961" s="23"/>
      <c r="AEZ961" s="23"/>
      <c r="AFA961" s="23"/>
      <c r="AFB961" s="23"/>
      <c r="AFC961" s="23"/>
      <c r="AFD961" s="23"/>
      <c r="AFE961" s="23"/>
      <c r="AFF961" s="23"/>
      <c r="AFG961" s="23"/>
      <c r="AFH961" s="23"/>
      <c r="AFI961" s="23"/>
      <c r="AFJ961" s="23"/>
      <c r="AFK961" s="23"/>
      <c r="AFL961" s="23"/>
      <c r="AFM961" s="23"/>
      <c r="AFN961" s="23"/>
      <c r="AFO961" s="23"/>
      <c r="AFP961" s="23"/>
      <c r="AFQ961" s="23"/>
      <c r="AFR961" s="23"/>
      <c r="AFS961" s="23"/>
      <c r="AFT961" s="23"/>
      <c r="AFU961" s="23"/>
      <c r="AFV961" s="23"/>
      <c r="AFW961" s="23"/>
      <c r="AFX961" s="23"/>
      <c r="AFY961" s="23"/>
      <c r="AFZ961" s="23"/>
      <c r="AGA961" s="23"/>
      <c r="AGB961" s="23"/>
      <c r="AGC961" s="23"/>
      <c r="AGD961" s="23"/>
      <c r="AGE961" s="23"/>
      <c r="AGF961" s="23"/>
      <c r="AGG961" s="23"/>
      <c r="AGH961" s="23"/>
      <c r="AGI961" s="23"/>
      <c r="AGJ961" s="23"/>
      <c r="AGK961" s="23"/>
      <c r="AGL961" s="23"/>
      <c r="AGM961" s="23"/>
      <c r="AGN961" s="23"/>
      <c r="AGO961" s="23"/>
      <c r="AGP961" s="23"/>
      <c r="AGQ961" s="23"/>
      <c r="AGR961" s="23"/>
      <c r="AGS961" s="23"/>
      <c r="AGT961" s="23"/>
      <c r="AGU961" s="23"/>
      <c r="AGV961" s="23"/>
      <c r="AGW961" s="23"/>
      <c r="AGX961" s="23"/>
      <c r="AGY961" s="23"/>
      <c r="AGZ961" s="23"/>
      <c r="AHA961" s="23"/>
      <c r="AHB961" s="23"/>
      <c r="AHC961" s="23"/>
      <c r="AHD961" s="23"/>
      <c r="AHE961" s="23"/>
      <c r="AHF961" s="23"/>
      <c r="AHG961" s="23"/>
      <c r="AHH961" s="23"/>
      <c r="AHI961" s="23"/>
      <c r="AHJ961" s="23"/>
      <c r="AHK961" s="23"/>
      <c r="AHL961" s="23"/>
      <c r="AHM961" s="23"/>
      <c r="AHN961" s="23"/>
      <c r="AHO961" s="23"/>
      <c r="AHP961" s="23"/>
      <c r="AHQ961" s="23"/>
      <c r="AHR961" s="23"/>
      <c r="AHS961" s="23"/>
      <c r="AHT961" s="23"/>
      <c r="AHU961" s="23"/>
      <c r="AHV961" s="23"/>
      <c r="AHW961" s="23"/>
      <c r="AHX961" s="23"/>
      <c r="AHY961" s="23"/>
      <c r="AHZ961" s="23"/>
      <c r="AIA961" s="23"/>
      <c r="AIB961" s="23"/>
      <c r="AIC961" s="23"/>
      <c r="AID961" s="23"/>
      <c r="AIE961" s="23"/>
      <c r="AIF961" s="23"/>
      <c r="AIG961" s="23"/>
      <c r="AIH961" s="23"/>
      <c r="AII961" s="23"/>
      <c r="AIJ961" s="23"/>
      <c r="AIK961" s="23"/>
      <c r="AIL961" s="23"/>
      <c r="AIM961" s="23"/>
      <c r="AIN961" s="23"/>
      <c r="AIO961" s="23"/>
      <c r="AIP961" s="23"/>
      <c r="AIQ961" s="23"/>
      <c r="AIR961" s="23"/>
      <c r="AIS961" s="23"/>
      <c r="AIT961" s="23"/>
      <c r="AIU961" s="23"/>
      <c r="AIV961" s="23"/>
      <c r="AIW961" s="23"/>
      <c r="AIX961" s="23"/>
      <c r="AIY961" s="23"/>
      <c r="AIZ961" s="23"/>
      <c r="AJA961" s="23"/>
      <c r="AJB961" s="23"/>
      <c r="AJC961" s="23"/>
      <c r="AJD961" s="23"/>
      <c r="AJE961" s="23"/>
      <c r="AJF961" s="23"/>
      <c r="AJG961" s="23"/>
      <c r="AJH961" s="23"/>
      <c r="AJI961" s="23"/>
      <c r="AJJ961" s="23"/>
      <c r="AJK961" s="23"/>
      <c r="AJL961" s="23"/>
      <c r="AJM961" s="23"/>
      <c r="AJN961" s="23"/>
      <c r="AJO961" s="23"/>
      <c r="AJP961" s="23"/>
      <c r="AJQ961" s="23"/>
      <c r="AJR961" s="23"/>
      <c r="AJS961" s="23"/>
      <c r="AJT961" s="23"/>
      <c r="AJU961" s="23"/>
      <c r="AJV961" s="23"/>
      <c r="AJW961" s="23"/>
      <c r="AJX961" s="23"/>
      <c r="AJY961" s="23"/>
      <c r="AJZ961" s="23"/>
      <c r="AKA961" s="23"/>
      <c r="AKB961" s="23"/>
      <c r="AKC961" s="23"/>
      <c r="AKD961" s="23"/>
      <c r="AKE961" s="23"/>
      <c r="AKF961" s="23"/>
      <c r="AKG961" s="23"/>
      <c r="AKH961" s="23"/>
      <c r="AKI961" s="23"/>
      <c r="AKJ961" s="23"/>
      <c r="AKK961" s="23"/>
      <c r="AKL961" s="23"/>
      <c r="AKM961" s="23"/>
      <c r="AKN961" s="23"/>
      <c r="AKO961" s="23"/>
      <c r="AKP961" s="23"/>
      <c r="AKQ961" s="23"/>
      <c r="AKR961" s="23"/>
      <c r="AKS961" s="23"/>
      <c r="AKT961" s="23"/>
      <c r="AKU961" s="23"/>
      <c r="AKV961" s="23"/>
      <c r="AKW961" s="23"/>
      <c r="AKX961" s="23"/>
      <c r="AKY961" s="23"/>
      <c r="AKZ961" s="23"/>
      <c r="ALA961" s="23"/>
      <c r="ALB961" s="23"/>
      <c r="ALC961" s="23"/>
      <c r="ALD961" s="23"/>
      <c r="ALE961" s="23"/>
      <c r="ALF961" s="23"/>
      <c r="ALG961" s="23"/>
      <c r="ALH961" s="23"/>
      <c r="ALI961" s="23"/>
      <c r="ALJ961" s="23"/>
      <c r="ALK961" s="23"/>
      <c r="ALL961" s="23"/>
      <c r="ALM961" s="23"/>
      <c r="ALN961" s="23"/>
      <c r="ALO961" s="23"/>
      <c r="ALP961" s="23"/>
      <c r="ALQ961" s="23"/>
      <c r="ALR961" s="23"/>
      <c r="ALS961" s="23"/>
      <c r="ALT961" s="23"/>
      <c r="ALU961" s="23"/>
      <c r="ALV961" s="23"/>
      <c r="ALW961" s="23"/>
      <c r="ALX961" s="23"/>
      <c r="ALY961" s="23"/>
      <c r="ALZ961" s="23"/>
      <c r="AMA961" s="23"/>
      <c r="AMB961" s="23"/>
      <c r="AMC961" s="23"/>
      <c r="AMD961" s="23"/>
      <c r="AME961" s="23"/>
      <c r="AMF961" s="23"/>
      <c r="AMG961" s="23"/>
      <c r="AMH961" s="23"/>
      <c r="AMI961" s="23"/>
      <c r="AMJ961" s="23"/>
      <c r="AMK961" s="23"/>
      <c r="AML961" s="23"/>
      <c r="AMM961" s="23"/>
      <c r="AMN961" s="23"/>
      <c r="AMO961" s="23"/>
      <c r="AMP961" s="23"/>
      <c r="AMQ961" s="23"/>
      <c r="AMR961" s="23"/>
      <c r="AMS961" s="23"/>
      <c r="AMT961" s="23"/>
      <c r="AMU961" s="23"/>
      <c r="AMV961" s="23"/>
      <c r="AMW961" s="23"/>
      <c r="AMX961" s="23"/>
      <c r="AMY961" s="23"/>
      <c r="AMZ961" s="23"/>
      <c r="ANA961" s="23"/>
      <c r="ANB961" s="23"/>
      <c r="ANC961" s="23"/>
      <c r="AND961" s="23"/>
      <c r="ANE961" s="23"/>
      <c r="ANF961" s="23"/>
      <c r="ANG961" s="23"/>
      <c r="ANH961" s="23"/>
      <c r="ANI961" s="23"/>
      <c r="ANJ961" s="23"/>
      <c r="ANK961" s="23"/>
      <c r="ANL961" s="23"/>
      <c r="ANM961" s="23"/>
      <c r="ANN961" s="23"/>
      <c r="ANO961" s="23"/>
      <c r="ANP961" s="23"/>
      <c r="ANQ961" s="23"/>
      <c r="ANR961" s="23"/>
      <c r="ANS961" s="23"/>
      <c r="ANT961" s="23"/>
      <c r="ANU961" s="23"/>
      <c r="ANV961" s="23"/>
      <c r="ANW961" s="23"/>
      <c r="ANX961" s="23"/>
      <c r="ANY961" s="23"/>
      <c r="ANZ961" s="23"/>
      <c r="AOA961" s="23"/>
      <c r="AOB961" s="23"/>
      <c r="AOC961" s="23"/>
      <c r="AOD961" s="23"/>
      <c r="AOE961" s="23"/>
      <c r="AOF961" s="23"/>
      <c r="AOG961" s="23"/>
      <c r="AOH961" s="23"/>
      <c r="AOI961" s="23"/>
      <c r="AOJ961" s="23"/>
      <c r="AOK961" s="23"/>
      <c r="AOL961" s="23"/>
      <c r="AOM961" s="23"/>
      <c r="AON961" s="23"/>
      <c r="AOO961" s="23"/>
      <c r="AOP961" s="23"/>
      <c r="AOQ961" s="23"/>
      <c r="AOR961" s="23"/>
      <c r="AOS961" s="23"/>
      <c r="AOT961" s="23"/>
      <c r="AOU961" s="23"/>
      <c r="AOV961" s="23"/>
      <c r="AOW961" s="23"/>
      <c r="AOX961" s="23"/>
      <c r="AOY961" s="23"/>
      <c r="AOZ961" s="23"/>
      <c r="APA961" s="23"/>
      <c r="APB961" s="23"/>
      <c r="APC961" s="23"/>
      <c r="APD961" s="23"/>
      <c r="APE961" s="23"/>
      <c r="APF961" s="23"/>
      <c r="APG961" s="23"/>
      <c r="APH961" s="23"/>
      <c r="API961" s="23"/>
      <c r="APJ961" s="23"/>
      <c r="APK961" s="23"/>
      <c r="APL961" s="23"/>
      <c r="APM961" s="23"/>
      <c r="APN961" s="23"/>
      <c r="APO961" s="23"/>
      <c r="APP961" s="23"/>
      <c r="APQ961" s="23"/>
      <c r="APR961" s="23"/>
      <c r="APS961" s="23"/>
      <c r="APT961" s="23"/>
      <c r="APU961" s="23"/>
      <c r="APV961" s="23"/>
      <c r="APW961" s="23"/>
      <c r="APX961" s="23"/>
      <c r="APY961" s="23"/>
      <c r="APZ961" s="23"/>
      <c r="AQA961" s="23"/>
      <c r="AQB961" s="23"/>
      <c r="AQC961" s="23"/>
      <c r="AQD961" s="23"/>
      <c r="AQE961" s="23"/>
      <c r="AQF961" s="23"/>
      <c r="AQG961" s="23"/>
      <c r="AQH961" s="23"/>
      <c r="AQI961" s="23"/>
      <c r="AQJ961" s="23"/>
      <c r="AQK961" s="23"/>
      <c r="AQL961" s="23"/>
      <c r="AQM961" s="23"/>
      <c r="AQN961" s="23"/>
      <c r="AQO961" s="23"/>
      <c r="AQP961" s="23"/>
      <c r="AQQ961" s="23"/>
      <c r="AQR961" s="23"/>
      <c r="AQS961" s="23"/>
      <c r="AQT961" s="23"/>
      <c r="AQU961" s="23"/>
      <c r="AQV961" s="23"/>
      <c r="AQW961" s="23"/>
      <c r="AQX961" s="23"/>
      <c r="AQY961" s="23"/>
      <c r="AQZ961" s="23"/>
      <c r="ARA961" s="23"/>
      <c r="ARB961" s="23"/>
      <c r="ARC961" s="23"/>
      <c r="ARD961" s="23"/>
      <c r="ARE961" s="23"/>
      <c r="ARF961" s="23"/>
      <c r="ARG961" s="23"/>
      <c r="ARH961" s="23"/>
      <c r="ARI961" s="23"/>
      <c r="ARJ961" s="23"/>
      <c r="ARK961" s="23"/>
      <c r="ARL961" s="23"/>
      <c r="ARM961" s="23"/>
      <c r="ARN961" s="23"/>
      <c r="ARO961" s="23"/>
      <c r="ARP961" s="23"/>
      <c r="ARQ961" s="23"/>
      <c r="ARR961" s="23"/>
      <c r="ARS961" s="23"/>
      <c r="ART961" s="23"/>
      <c r="ARU961" s="23"/>
      <c r="ARV961" s="23"/>
      <c r="ARW961" s="23"/>
      <c r="ARX961" s="23"/>
      <c r="ARY961" s="23"/>
      <c r="ARZ961" s="23"/>
      <c r="ASA961" s="23"/>
      <c r="ASB961" s="23"/>
      <c r="ASC961" s="23"/>
      <c r="ASD961" s="23"/>
      <c r="ASE961" s="23"/>
      <c r="ASF961" s="23"/>
      <c r="ASG961" s="23"/>
      <c r="ASH961" s="23"/>
      <c r="ASI961" s="23"/>
      <c r="ASJ961" s="23"/>
      <c r="ASK961" s="23"/>
      <c r="ASL961" s="23"/>
      <c r="ASM961" s="23"/>
      <c r="ASN961" s="23"/>
      <c r="ASO961" s="23"/>
      <c r="ASP961" s="23"/>
      <c r="ASQ961" s="23"/>
      <c r="ASR961" s="23"/>
      <c r="ASS961" s="23"/>
      <c r="AST961" s="23"/>
      <c r="ASU961" s="23"/>
      <c r="ASV961" s="23"/>
      <c r="ASW961" s="23"/>
      <c r="ASX961" s="23"/>
      <c r="ASY961" s="23"/>
      <c r="ASZ961" s="23"/>
      <c r="ATA961" s="23"/>
      <c r="ATB961" s="23"/>
      <c r="ATC961" s="23"/>
      <c r="ATD961" s="23"/>
      <c r="ATE961" s="23"/>
      <c r="ATF961" s="23"/>
      <c r="ATG961" s="23"/>
      <c r="ATH961" s="23"/>
      <c r="ATI961" s="23"/>
      <c r="ATJ961" s="23"/>
      <c r="ATK961" s="23"/>
      <c r="ATL961" s="23"/>
      <c r="ATM961" s="23"/>
      <c r="ATN961" s="23"/>
      <c r="ATO961" s="23"/>
      <c r="ATP961" s="23"/>
      <c r="ATQ961" s="23"/>
      <c r="ATR961" s="23"/>
      <c r="ATS961" s="23"/>
      <c r="ATT961" s="23"/>
      <c r="ATU961" s="23"/>
      <c r="ATV961" s="23"/>
      <c r="ATW961" s="23"/>
      <c r="ATX961" s="23"/>
      <c r="ATY961" s="23"/>
      <c r="ATZ961" s="23"/>
      <c r="AUA961" s="23"/>
      <c r="AUB961" s="23"/>
      <c r="AUC961" s="23"/>
      <c r="AUD961" s="23"/>
      <c r="AUE961" s="23"/>
      <c r="AUF961" s="23"/>
      <c r="AUG961" s="23"/>
      <c r="AUH961" s="23"/>
      <c r="AUI961" s="23"/>
      <c r="AUJ961" s="23"/>
      <c r="AUK961" s="23"/>
      <c r="AUL961" s="23"/>
      <c r="AUM961" s="23"/>
      <c r="AUN961" s="23"/>
      <c r="AUO961" s="23"/>
      <c r="AUP961" s="23"/>
      <c r="AUQ961" s="23"/>
      <c r="AUR961" s="23"/>
      <c r="AUS961" s="23"/>
      <c r="AUT961" s="23"/>
      <c r="AUU961" s="23"/>
      <c r="AUV961" s="23"/>
      <c r="AUW961" s="23"/>
      <c r="AUX961" s="23"/>
      <c r="AUY961" s="23"/>
      <c r="AUZ961" s="23"/>
      <c r="AVA961" s="23"/>
      <c r="AVB961" s="23"/>
      <c r="AVC961" s="23"/>
      <c r="AVD961" s="23"/>
      <c r="AVE961" s="23"/>
      <c r="AVF961" s="23"/>
      <c r="AVG961" s="23"/>
      <c r="AVH961" s="23"/>
      <c r="AVI961" s="23"/>
      <c r="AVJ961" s="23"/>
      <c r="AVK961" s="23"/>
      <c r="AVL961" s="23"/>
      <c r="AVM961" s="23"/>
      <c r="AVN961" s="23"/>
      <c r="AVO961" s="23"/>
      <c r="AVP961" s="23"/>
      <c r="AVQ961" s="23"/>
      <c r="AVR961" s="23"/>
      <c r="AVS961" s="23"/>
      <c r="AVT961" s="23"/>
      <c r="AVU961" s="23"/>
      <c r="AVV961" s="23"/>
      <c r="AVW961" s="23"/>
      <c r="AVX961" s="23"/>
      <c r="AVY961" s="23"/>
      <c r="AVZ961" s="23"/>
      <c r="AWA961" s="23"/>
      <c r="AWB961" s="23"/>
      <c r="AWC961" s="23"/>
      <c r="AWD961" s="23"/>
      <c r="AWE961" s="23"/>
      <c r="AWF961" s="23"/>
      <c r="AWG961" s="23"/>
      <c r="AWH961" s="23"/>
      <c r="AWI961" s="23"/>
      <c r="AWJ961" s="23"/>
      <c r="AWK961" s="23"/>
      <c r="AWL961" s="23"/>
      <c r="AWM961" s="23"/>
      <c r="AWN961" s="23"/>
      <c r="AWO961" s="23"/>
      <c r="AWP961" s="23"/>
      <c r="AWQ961" s="23"/>
      <c r="AWR961" s="23"/>
      <c r="AWS961" s="23"/>
      <c r="AWT961" s="23"/>
      <c r="AWU961" s="23"/>
      <c r="AWV961" s="23"/>
      <c r="AWW961" s="23"/>
      <c r="AWX961" s="23"/>
      <c r="AWY961" s="23"/>
      <c r="AWZ961" s="23"/>
      <c r="AXA961" s="23"/>
      <c r="AXB961" s="23"/>
      <c r="AXC961" s="23"/>
      <c r="AXD961" s="23"/>
      <c r="AXE961" s="23"/>
      <c r="AXF961" s="23"/>
      <c r="AXG961" s="23"/>
      <c r="AXH961" s="23"/>
      <c r="AXI961" s="23"/>
      <c r="AXJ961" s="23"/>
      <c r="AXK961" s="23"/>
      <c r="AXL961" s="23"/>
      <c r="AXM961" s="23"/>
      <c r="AXN961" s="23"/>
      <c r="AXO961" s="23"/>
      <c r="AXP961" s="23"/>
      <c r="AXQ961" s="23"/>
      <c r="AXR961" s="23"/>
      <c r="AXS961" s="23"/>
      <c r="AXT961" s="23"/>
      <c r="AXU961" s="23"/>
      <c r="AXV961" s="23"/>
      <c r="AXW961" s="23"/>
      <c r="AXX961" s="23"/>
      <c r="AXY961" s="23"/>
      <c r="AXZ961" s="23"/>
      <c r="AYA961" s="23"/>
      <c r="AYB961" s="23"/>
      <c r="AYC961" s="23"/>
      <c r="AYD961" s="23"/>
      <c r="AYE961" s="23"/>
      <c r="AYF961" s="23"/>
      <c r="AYG961" s="23"/>
      <c r="AYH961" s="23"/>
      <c r="AYI961" s="23"/>
      <c r="AYJ961" s="23"/>
      <c r="AYK961" s="23"/>
      <c r="AYL961" s="23"/>
      <c r="AYM961" s="23"/>
      <c r="AYN961" s="23"/>
      <c r="AYO961" s="23"/>
      <c r="AYP961" s="23"/>
      <c r="AYQ961" s="23"/>
      <c r="AYR961" s="23"/>
      <c r="AYS961" s="23"/>
      <c r="AYT961" s="23"/>
      <c r="AYU961" s="23"/>
      <c r="AYV961" s="23"/>
      <c r="AYW961" s="23"/>
      <c r="AYX961" s="23"/>
      <c r="AYY961" s="23"/>
      <c r="AYZ961" s="23"/>
      <c r="AZA961" s="23"/>
      <c r="AZB961" s="23"/>
      <c r="AZC961" s="23"/>
      <c r="AZD961" s="23"/>
      <c r="AZE961" s="23"/>
      <c r="AZF961" s="23"/>
      <c r="AZG961" s="23"/>
      <c r="AZH961" s="23"/>
      <c r="AZI961" s="23"/>
      <c r="AZJ961" s="23"/>
      <c r="AZK961" s="23"/>
      <c r="AZL961" s="23"/>
      <c r="AZM961" s="23"/>
      <c r="AZN961" s="23"/>
      <c r="AZO961" s="23"/>
      <c r="AZP961" s="23"/>
      <c r="AZQ961" s="23"/>
      <c r="AZR961" s="23"/>
      <c r="AZS961" s="23"/>
      <c r="AZT961" s="23"/>
      <c r="AZU961" s="23"/>
      <c r="AZV961" s="23"/>
      <c r="AZW961" s="23"/>
      <c r="AZX961" s="23"/>
      <c r="AZY961" s="23"/>
      <c r="AZZ961" s="23"/>
      <c r="BAA961" s="23"/>
      <c r="BAB961" s="23"/>
      <c r="BAC961" s="23"/>
      <c r="BAD961" s="23"/>
      <c r="BAE961" s="23"/>
      <c r="BAF961" s="23"/>
      <c r="BAG961" s="23"/>
      <c r="BAH961" s="23"/>
      <c r="BAI961" s="23"/>
      <c r="BAJ961" s="23"/>
      <c r="BAK961" s="23"/>
      <c r="BAL961" s="23"/>
      <c r="BAM961" s="23"/>
      <c r="BAN961" s="23"/>
      <c r="BAO961" s="23"/>
      <c r="BAP961" s="23"/>
      <c r="BAQ961" s="23"/>
      <c r="BAR961" s="23"/>
      <c r="BAS961" s="23"/>
      <c r="BAT961" s="23"/>
      <c r="BAU961" s="23"/>
      <c r="BAV961" s="23"/>
      <c r="BAW961" s="23"/>
      <c r="BAX961" s="23"/>
      <c r="BAY961" s="23"/>
      <c r="BAZ961" s="23"/>
      <c r="BBA961" s="23"/>
      <c r="BBB961" s="23"/>
      <c r="BBC961" s="23"/>
      <c r="BBD961" s="23"/>
      <c r="BBE961" s="23"/>
      <c r="BBF961" s="23"/>
      <c r="BBG961" s="23"/>
      <c r="BBH961" s="23"/>
      <c r="BBI961" s="23"/>
      <c r="BBJ961" s="23"/>
      <c r="BBK961" s="23"/>
      <c r="BBL961" s="23"/>
      <c r="BBM961" s="23"/>
      <c r="BBN961" s="23"/>
      <c r="BBO961" s="23"/>
      <c r="BBP961" s="23"/>
      <c r="BBQ961" s="23"/>
      <c r="BBR961" s="23"/>
      <c r="BBS961" s="23"/>
      <c r="BBT961" s="23"/>
      <c r="BBU961" s="23"/>
      <c r="BBV961" s="23"/>
      <c r="BBW961" s="23"/>
      <c r="BBX961" s="23"/>
      <c r="BBY961" s="23"/>
      <c r="BBZ961" s="23"/>
      <c r="BCA961" s="23"/>
      <c r="BCB961" s="23"/>
      <c r="BCC961" s="23"/>
      <c r="BCD961" s="23"/>
      <c r="BCE961" s="23"/>
      <c r="BCF961" s="23"/>
      <c r="BCG961" s="23"/>
      <c r="BCH961" s="23"/>
      <c r="BCI961" s="23"/>
      <c r="BCJ961" s="23"/>
      <c r="BCK961" s="23"/>
      <c r="BCL961" s="23"/>
      <c r="BCM961" s="23"/>
      <c r="BCN961" s="23"/>
      <c r="BCO961" s="23"/>
      <c r="BCP961" s="23"/>
      <c r="BCQ961" s="23"/>
      <c r="BCR961" s="23"/>
      <c r="BCS961" s="23"/>
      <c r="BCT961" s="23"/>
      <c r="BCU961" s="23"/>
      <c r="BCV961" s="23"/>
      <c r="BCW961" s="23"/>
      <c r="BCX961" s="23"/>
      <c r="BCY961" s="23"/>
      <c r="BCZ961" s="23"/>
      <c r="BDA961" s="23"/>
      <c r="BDB961" s="23"/>
      <c r="BDC961" s="23"/>
      <c r="BDD961" s="23"/>
      <c r="BDE961" s="23"/>
      <c r="BDF961" s="23"/>
      <c r="BDG961" s="23"/>
      <c r="BDH961" s="23"/>
      <c r="BDI961" s="23"/>
      <c r="BDJ961" s="23"/>
      <c r="BDK961" s="23"/>
      <c r="BDL961" s="23"/>
      <c r="BDM961" s="23"/>
      <c r="BDN961" s="23"/>
      <c r="BDO961" s="23"/>
      <c r="BDP961" s="23"/>
      <c r="BDQ961" s="23"/>
      <c r="BDR961" s="23"/>
      <c r="BDS961" s="23"/>
      <c r="BDT961" s="23"/>
      <c r="BDU961" s="23"/>
      <c r="BDV961" s="23"/>
      <c r="BDW961" s="23"/>
      <c r="BDX961" s="23"/>
      <c r="BDY961" s="23"/>
      <c r="BDZ961" s="23"/>
      <c r="BEA961" s="23"/>
      <c r="BEB961" s="23"/>
      <c r="BEC961" s="23"/>
      <c r="BED961" s="23"/>
      <c r="BEE961" s="23"/>
      <c r="BEF961" s="23"/>
      <c r="BEG961" s="23"/>
      <c r="BEH961" s="23"/>
      <c r="BEI961" s="23"/>
      <c r="BEJ961" s="23"/>
      <c r="BEK961" s="23"/>
      <c r="BEL961" s="23"/>
      <c r="BEM961" s="23"/>
      <c r="BEN961" s="23"/>
      <c r="BEO961" s="23"/>
      <c r="BEP961" s="23"/>
      <c r="BEQ961" s="23"/>
      <c r="BER961" s="23"/>
      <c r="BES961" s="23"/>
      <c r="BET961" s="23"/>
      <c r="BEU961" s="23"/>
      <c r="BEV961" s="23"/>
      <c r="BEW961" s="23"/>
      <c r="BEX961" s="23"/>
      <c r="BEY961" s="23"/>
      <c r="BEZ961" s="23"/>
      <c r="BFA961" s="23"/>
      <c r="BFB961" s="23"/>
      <c r="BFC961" s="23"/>
      <c r="BFD961" s="23"/>
      <c r="BFE961" s="23"/>
      <c r="BFF961" s="23"/>
      <c r="BFG961" s="23"/>
      <c r="BFH961" s="23"/>
      <c r="BFI961" s="23"/>
      <c r="BFJ961" s="23"/>
      <c r="BFK961" s="23"/>
      <c r="BFL961" s="23"/>
      <c r="BFM961" s="23"/>
      <c r="BFN961" s="23"/>
      <c r="BFO961" s="23"/>
      <c r="BFP961" s="23"/>
      <c r="BFQ961" s="23"/>
      <c r="BFR961" s="23"/>
      <c r="BFS961" s="23"/>
      <c r="BFT961" s="23"/>
      <c r="BFU961" s="23"/>
      <c r="BFV961" s="23"/>
      <c r="BFW961" s="23"/>
      <c r="BFX961" s="23"/>
      <c r="BFY961" s="23"/>
      <c r="BFZ961" s="23"/>
      <c r="BGA961" s="23"/>
      <c r="BGB961" s="23"/>
      <c r="BGC961" s="23"/>
      <c r="BGD961" s="23"/>
      <c r="BGE961" s="23"/>
      <c r="BGF961" s="23"/>
      <c r="BGG961" s="23"/>
      <c r="BGH961" s="23"/>
      <c r="BGI961" s="23"/>
      <c r="BGJ961" s="23"/>
      <c r="BGK961" s="23"/>
      <c r="BGL961" s="23"/>
      <c r="BGM961" s="23"/>
      <c r="BGN961" s="23"/>
      <c r="BGO961" s="23"/>
      <c r="BGP961" s="23"/>
      <c r="BGQ961" s="23"/>
      <c r="BGR961" s="23"/>
      <c r="BGS961" s="23"/>
      <c r="BGT961" s="23"/>
      <c r="BGU961" s="23"/>
      <c r="BGV961" s="23"/>
      <c r="BGW961" s="23"/>
      <c r="BGX961" s="23"/>
      <c r="BGY961" s="23"/>
      <c r="BGZ961" s="23"/>
      <c r="BHA961" s="23"/>
      <c r="BHB961" s="23"/>
      <c r="BHC961" s="23"/>
      <c r="BHD961" s="23"/>
      <c r="BHE961" s="23"/>
      <c r="BHF961" s="23"/>
      <c r="BHG961" s="23"/>
      <c r="BHH961" s="23"/>
      <c r="BHI961" s="23"/>
      <c r="BHJ961" s="23"/>
      <c r="BHK961" s="23"/>
      <c r="BHL961" s="23"/>
      <c r="BHM961" s="23"/>
      <c r="BHN961" s="23"/>
      <c r="BHO961" s="23"/>
      <c r="BHP961" s="23"/>
      <c r="BHQ961" s="23"/>
      <c r="BHR961" s="23"/>
      <c r="BHS961" s="23"/>
      <c r="BHT961" s="23"/>
      <c r="BHU961" s="23"/>
      <c r="BHV961" s="23"/>
      <c r="BHW961" s="23"/>
      <c r="BHX961" s="23"/>
      <c r="BHY961" s="23"/>
      <c r="BHZ961" s="23"/>
      <c r="BIA961" s="23"/>
      <c r="BIB961" s="23"/>
      <c r="BIC961" s="23"/>
      <c r="BID961" s="23"/>
      <c r="BIE961" s="23"/>
      <c r="BIF961" s="23"/>
      <c r="BIG961" s="23"/>
      <c r="BIH961" s="23"/>
      <c r="BII961" s="23"/>
      <c r="BIJ961" s="23"/>
      <c r="BIK961" s="23"/>
      <c r="BIL961" s="23"/>
      <c r="BIM961" s="23"/>
      <c r="BIN961" s="23"/>
      <c r="BIO961" s="23"/>
      <c r="BIP961" s="23"/>
      <c r="BIQ961" s="23"/>
      <c r="BIR961" s="23"/>
      <c r="BIS961" s="23"/>
      <c r="BIT961" s="23"/>
      <c r="BIU961" s="23"/>
      <c r="BIV961" s="23"/>
      <c r="BIW961" s="23"/>
      <c r="BIX961" s="23"/>
      <c r="BIY961" s="23"/>
      <c r="BIZ961" s="23"/>
      <c r="BJA961" s="23"/>
      <c r="BJB961" s="23"/>
      <c r="BJC961" s="23"/>
      <c r="BJD961" s="23"/>
      <c r="BJE961" s="23"/>
      <c r="BJF961" s="23"/>
      <c r="BJG961" s="23"/>
      <c r="BJH961" s="23"/>
      <c r="BJI961" s="23"/>
      <c r="BJJ961" s="23"/>
      <c r="BJK961" s="23"/>
      <c r="BJL961" s="23"/>
      <c r="BJM961" s="23"/>
      <c r="BJN961" s="23"/>
      <c r="BJO961" s="23"/>
      <c r="BJP961" s="23"/>
      <c r="BJQ961" s="23"/>
      <c r="BJR961" s="23"/>
      <c r="BJS961" s="23"/>
      <c r="BJT961" s="23"/>
      <c r="BJU961" s="23"/>
      <c r="BJV961" s="23"/>
      <c r="BJW961" s="23"/>
      <c r="BJX961" s="23"/>
      <c r="BJY961" s="23"/>
      <c r="BJZ961" s="23"/>
      <c r="BKA961" s="23"/>
      <c r="BKB961" s="23"/>
      <c r="BKC961" s="23"/>
      <c r="BKD961" s="23"/>
      <c r="BKE961" s="23"/>
      <c r="BKF961" s="23"/>
      <c r="BKG961" s="23"/>
      <c r="BKH961" s="23"/>
      <c r="BKI961" s="23"/>
      <c r="BKJ961" s="23"/>
      <c r="BKK961" s="23"/>
      <c r="BKL961" s="23"/>
      <c r="BKM961" s="23"/>
      <c r="BKN961" s="23"/>
      <c r="BKO961" s="23"/>
      <c r="BKP961" s="23"/>
      <c r="BKQ961" s="23"/>
      <c r="BKR961" s="23"/>
      <c r="BKS961" s="23"/>
      <c r="BKT961" s="23"/>
      <c r="BKU961" s="23"/>
      <c r="BKV961" s="23"/>
      <c r="BKW961" s="23"/>
      <c r="BKX961" s="23"/>
      <c r="BKY961" s="23"/>
      <c r="BKZ961" s="23"/>
      <c r="BLA961" s="23"/>
      <c r="BLB961" s="23"/>
      <c r="BLC961" s="23"/>
      <c r="BLD961" s="23"/>
      <c r="BLE961" s="23"/>
      <c r="BLF961" s="23"/>
      <c r="BLG961" s="23"/>
      <c r="BLH961" s="23"/>
      <c r="BLI961" s="23"/>
      <c r="BLJ961" s="23"/>
      <c r="BLK961" s="23"/>
      <c r="BLL961" s="23"/>
      <c r="BLM961" s="23"/>
      <c r="BLN961" s="23"/>
      <c r="BLO961" s="23"/>
      <c r="BLP961" s="23"/>
      <c r="BLQ961" s="23"/>
      <c r="BLR961" s="23"/>
      <c r="BLS961" s="23"/>
      <c r="BLT961" s="23"/>
      <c r="BLU961" s="23"/>
      <c r="BLV961" s="23"/>
      <c r="BLW961" s="23"/>
      <c r="BLX961" s="23"/>
      <c r="BLY961" s="23"/>
      <c r="BLZ961" s="23"/>
      <c r="BMA961" s="23"/>
      <c r="BMB961" s="23"/>
      <c r="BMC961" s="23"/>
      <c r="BMD961" s="23"/>
      <c r="BME961" s="23"/>
      <c r="BMF961" s="23"/>
      <c r="BMG961" s="23"/>
      <c r="BMH961" s="23"/>
      <c r="BMI961" s="23"/>
      <c r="BMJ961" s="23"/>
      <c r="BMK961" s="23"/>
      <c r="BML961" s="23"/>
      <c r="BMM961" s="23"/>
      <c r="BMN961" s="23"/>
      <c r="BMO961" s="23"/>
      <c r="BMP961" s="23"/>
      <c r="BMQ961" s="23"/>
      <c r="BMR961" s="23"/>
      <c r="BMS961" s="23"/>
      <c r="BMT961" s="23"/>
      <c r="BMU961" s="23"/>
      <c r="BMV961" s="23"/>
      <c r="BMW961" s="23"/>
      <c r="BMX961" s="23"/>
      <c r="BMY961" s="23"/>
      <c r="BMZ961" s="23"/>
      <c r="BNA961" s="23"/>
      <c r="BNB961" s="23"/>
      <c r="BNC961" s="23"/>
      <c r="BND961" s="23"/>
      <c r="BNE961" s="23"/>
      <c r="BNF961" s="23"/>
      <c r="BNG961" s="23"/>
      <c r="BNH961" s="23"/>
      <c r="BNI961" s="23"/>
      <c r="BNJ961" s="23"/>
      <c r="BNK961" s="23"/>
      <c r="BNL961" s="23"/>
      <c r="BNM961" s="23"/>
      <c r="BNN961" s="23"/>
      <c r="BNO961" s="23"/>
      <c r="BNP961" s="23"/>
      <c r="BNQ961" s="23"/>
      <c r="BNR961" s="23"/>
      <c r="BNS961" s="23"/>
      <c r="BNT961" s="23"/>
      <c r="BNU961" s="23"/>
      <c r="BNV961" s="23"/>
      <c r="BNW961" s="23"/>
      <c r="BNX961" s="23"/>
      <c r="BNY961" s="23"/>
      <c r="BNZ961" s="23"/>
      <c r="BOA961" s="23"/>
      <c r="BOB961" s="23"/>
      <c r="BOC961" s="23"/>
      <c r="BOD961" s="23"/>
      <c r="BOE961" s="23"/>
      <c r="BOF961" s="23"/>
      <c r="BOG961" s="23"/>
      <c r="BOH961" s="23"/>
      <c r="BOI961" s="23"/>
      <c r="BOJ961" s="23"/>
      <c r="BOK961" s="23"/>
      <c r="BOL961" s="23"/>
      <c r="BOM961" s="23"/>
      <c r="BON961" s="23"/>
      <c r="BOO961" s="23"/>
      <c r="BOP961" s="23"/>
      <c r="BOQ961" s="23"/>
      <c r="BOR961" s="23"/>
      <c r="BOS961" s="23"/>
      <c r="BOT961" s="23"/>
      <c r="BOU961" s="23"/>
      <c r="BOV961" s="23"/>
      <c r="BOW961" s="23"/>
      <c r="BOX961" s="23"/>
      <c r="BOY961" s="23"/>
      <c r="BOZ961" s="23"/>
      <c r="BPA961" s="23"/>
      <c r="BPB961" s="23"/>
      <c r="BPC961" s="23"/>
      <c r="BPD961" s="23"/>
      <c r="BPE961" s="23"/>
      <c r="BPF961" s="23"/>
      <c r="BPG961" s="23"/>
      <c r="BPH961" s="23"/>
      <c r="BPI961" s="23"/>
      <c r="BPJ961" s="23"/>
      <c r="BPK961" s="23"/>
      <c r="BPL961" s="23"/>
      <c r="BPM961" s="23"/>
      <c r="BPN961" s="23"/>
      <c r="BPO961" s="23"/>
      <c r="BPP961" s="23"/>
      <c r="BPQ961" s="23"/>
      <c r="BPR961" s="23"/>
      <c r="BPS961" s="23"/>
      <c r="BPT961" s="23"/>
      <c r="BPU961" s="23"/>
      <c r="BPV961" s="23"/>
      <c r="BPW961" s="23"/>
      <c r="BPX961" s="23"/>
      <c r="BPY961" s="23"/>
      <c r="BPZ961" s="23"/>
      <c r="BQA961" s="23"/>
      <c r="BQB961" s="23"/>
      <c r="BQC961" s="23"/>
      <c r="BQD961" s="23"/>
      <c r="BQE961" s="23"/>
      <c r="BQF961" s="23"/>
      <c r="BQG961" s="23"/>
      <c r="BQH961" s="23"/>
      <c r="BQI961" s="23"/>
      <c r="BQJ961" s="23"/>
      <c r="BQK961" s="23"/>
      <c r="BQL961" s="23"/>
      <c r="BQM961" s="23"/>
      <c r="BQN961" s="23"/>
      <c r="BQO961" s="23"/>
      <c r="BQP961" s="23"/>
      <c r="BQQ961" s="23"/>
      <c r="BQR961" s="23"/>
      <c r="BQS961" s="23"/>
      <c r="BQT961" s="23"/>
      <c r="BQU961" s="23"/>
      <c r="BQV961" s="23"/>
      <c r="BQW961" s="23"/>
      <c r="BQX961" s="23"/>
      <c r="BQY961" s="23"/>
      <c r="BQZ961" s="23"/>
      <c r="BRA961" s="23"/>
      <c r="BRB961" s="23"/>
      <c r="BRC961" s="23"/>
      <c r="BRD961" s="23"/>
      <c r="BRE961" s="23"/>
      <c r="BRF961" s="23"/>
      <c r="BRG961" s="23"/>
      <c r="BRH961" s="23"/>
      <c r="BRI961" s="23"/>
      <c r="BRJ961" s="23"/>
      <c r="BRK961" s="23"/>
      <c r="BRL961" s="23"/>
      <c r="BRM961" s="23"/>
      <c r="BRN961" s="23"/>
      <c r="BRO961" s="23"/>
      <c r="BRP961" s="23"/>
      <c r="BRQ961" s="23"/>
      <c r="BRR961" s="23"/>
      <c r="BRS961" s="23"/>
      <c r="BRT961" s="23"/>
      <c r="BRU961" s="23"/>
      <c r="BRV961" s="23"/>
      <c r="BRW961" s="23"/>
      <c r="BRX961" s="23"/>
      <c r="BRY961" s="23"/>
      <c r="BRZ961" s="23"/>
      <c r="BSA961" s="23"/>
      <c r="BSB961" s="23"/>
      <c r="BSC961" s="23"/>
      <c r="BSD961" s="23"/>
      <c r="BSE961" s="23"/>
      <c r="BSF961" s="23"/>
      <c r="BSG961" s="23"/>
      <c r="BSH961" s="23"/>
      <c r="BSI961" s="23"/>
      <c r="BSJ961" s="23"/>
      <c r="BSK961" s="23"/>
      <c r="BSL961" s="23"/>
      <c r="BSM961" s="23"/>
      <c r="BSN961" s="23"/>
      <c r="BSO961" s="23"/>
      <c r="BSP961" s="23"/>
      <c r="BSQ961" s="23"/>
      <c r="BSR961" s="23"/>
      <c r="BSS961" s="23"/>
      <c r="BST961" s="23"/>
      <c r="BSU961" s="23"/>
      <c r="BSV961" s="23"/>
      <c r="BSW961" s="23"/>
      <c r="BSX961" s="23"/>
      <c r="BSY961" s="23"/>
      <c r="BSZ961" s="23"/>
      <c r="BTA961" s="23"/>
    </row>
    <row r="962" spans="1:1873" s="23" customFormat="1" ht="12.75" customHeight="1" x14ac:dyDescent="0.2">
      <c r="A962" s="273" t="s">
        <v>832</v>
      </c>
      <c r="B962" s="273" t="s">
        <v>820</v>
      </c>
      <c r="C962" s="273" t="s">
        <v>1121</v>
      </c>
      <c r="D962" s="273" t="s">
        <v>619</v>
      </c>
      <c r="E962" s="462" t="s">
        <v>1480</v>
      </c>
      <c r="F962" s="273">
        <v>1</v>
      </c>
      <c r="G962" s="273">
        <v>6</v>
      </c>
      <c r="H962" s="273">
        <v>6</v>
      </c>
      <c r="I962" s="273" t="s">
        <v>621</v>
      </c>
      <c r="J962" s="273">
        <v>1986</v>
      </c>
      <c r="K962" s="463" t="s">
        <v>1211</v>
      </c>
      <c r="L962" s="273">
        <v>1991</v>
      </c>
      <c r="M962" s="471">
        <v>-9999</v>
      </c>
      <c r="N962" s="471">
        <v>-9999</v>
      </c>
      <c r="O962" s="1"/>
      <c r="P962" s="471">
        <v>66.222700000000003</v>
      </c>
      <c r="Q962" s="273">
        <v>-9999</v>
      </c>
      <c r="R962" s="471"/>
      <c r="S962" s="273"/>
      <c r="T962" s="414">
        <f t="shared" si="97"/>
        <v>11.037116666666668</v>
      </c>
      <c r="U962" s="273">
        <v>-9999</v>
      </c>
      <c r="V962" s="273"/>
      <c r="W962" s="414">
        <f t="shared" si="100"/>
        <v>8.0671999999999997</v>
      </c>
      <c r="X962" s="273">
        <v>-9999</v>
      </c>
      <c r="Y962" s="273"/>
      <c r="Z962" s="273" t="s">
        <v>793</v>
      </c>
      <c r="AA962" s="385">
        <v>10000</v>
      </c>
      <c r="AB962" s="471">
        <v>-9999</v>
      </c>
      <c r="AC962" s="273">
        <v>-9999</v>
      </c>
      <c r="AD962" s="385">
        <v>500</v>
      </c>
      <c r="AE962" s="461" t="s">
        <v>1959</v>
      </c>
      <c r="AF962" s="273">
        <v>3</v>
      </c>
      <c r="AG962" s="273">
        <v>4</v>
      </c>
      <c r="AH962" s="273" t="s">
        <v>623</v>
      </c>
      <c r="AI962" s="273" t="s">
        <v>834</v>
      </c>
      <c r="AJ962" s="273">
        <v>20</v>
      </c>
      <c r="AK962" s="273" t="s">
        <v>625</v>
      </c>
      <c r="AL962" s="273" t="s">
        <v>1127</v>
      </c>
      <c r="AM962" s="273">
        <v>-9999</v>
      </c>
      <c r="AN962" s="273" t="s">
        <v>626</v>
      </c>
      <c r="AO962" s="273" t="s">
        <v>627</v>
      </c>
      <c r="AP962" s="273" t="s">
        <v>1126</v>
      </c>
      <c r="AQ962" s="273" t="s">
        <v>626</v>
      </c>
      <c r="AR962" s="273">
        <f>+AR961+0</f>
        <v>200</v>
      </c>
      <c r="AS962" s="273" t="s">
        <v>726</v>
      </c>
      <c r="AT962" s="273">
        <v>-9999</v>
      </c>
      <c r="AU962" s="273">
        <f t="shared" si="98"/>
        <v>0</v>
      </c>
      <c r="AV962" s="273">
        <v>-9999</v>
      </c>
      <c r="AW962" s="273">
        <v>-9999</v>
      </c>
      <c r="AX962" s="273">
        <f t="shared" si="99"/>
        <v>0</v>
      </c>
      <c r="AY962" s="273">
        <v>-9999</v>
      </c>
      <c r="AZ962" s="273">
        <v>-9999</v>
      </c>
      <c r="BA962" s="273" t="s">
        <v>725</v>
      </c>
      <c r="BB962" s="273" t="s">
        <v>626</v>
      </c>
      <c r="BC962" s="273" t="s">
        <v>829</v>
      </c>
      <c r="BD962" s="273" t="s">
        <v>835</v>
      </c>
      <c r="BE962" s="273" t="s">
        <v>1128</v>
      </c>
      <c r="BF962" s="273" t="s">
        <v>1129</v>
      </c>
      <c r="BG962" s="273" t="s">
        <v>577</v>
      </c>
      <c r="BH962" s="273">
        <v>-9999</v>
      </c>
      <c r="BI962" s="273">
        <v>-9999</v>
      </c>
      <c r="BJ962" s="273">
        <v>27.3</v>
      </c>
      <c r="BK962" s="273">
        <v>-9999</v>
      </c>
      <c r="BL962" s="273">
        <v>-9999</v>
      </c>
      <c r="BM962" s="273">
        <v>-9999</v>
      </c>
      <c r="BN962" s="273">
        <v>-9999</v>
      </c>
      <c r="BO962" s="273">
        <v>-9999</v>
      </c>
      <c r="BP962" s="273">
        <v>-9999</v>
      </c>
      <c r="BQ962" s="273">
        <v>-9999</v>
      </c>
      <c r="BR962" s="273">
        <v>-9999</v>
      </c>
      <c r="BS962" s="468">
        <v>-9999</v>
      </c>
      <c r="BT962" s="273">
        <v>-9999</v>
      </c>
      <c r="BU962" s="273">
        <v>-9999</v>
      </c>
      <c r="BV962" s="273">
        <v>-9999</v>
      </c>
      <c r="BW962" s="273"/>
      <c r="BX962" s="273">
        <v>-9999</v>
      </c>
      <c r="BY962" s="273">
        <v>-9999</v>
      </c>
      <c r="BZ962" s="273">
        <v>-9999</v>
      </c>
      <c r="CA962" s="472">
        <v>-9999</v>
      </c>
      <c r="CB962" s="473" t="s">
        <v>1132</v>
      </c>
      <c r="CC962" s="89">
        <v>1</v>
      </c>
      <c r="CD962" s="89">
        <v>6</v>
      </c>
      <c r="CE962" s="292">
        <v>11.037116666666668</v>
      </c>
      <c r="CF962" s="292">
        <v>8.0671999999999997</v>
      </c>
      <c r="CG962" s="89">
        <v>6</v>
      </c>
    </row>
    <row r="963" spans="1:1873" s="23" customFormat="1" ht="12.75" customHeight="1" x14ac:dyDescent="0.3">
      <c r="A963" s="273" t="s">
        <v>832</v>
      </c>
      <c r="B963" s="273" t="s">
        <v>820</v>
      </c>
      <c r="C963" s="273" t="s">
        <v>1121</v>
      </c>
      <c r="D963" s="273" t="s">
        <v>619</v>
      </c>
      <c r="E963" s="462" t="s">
        <v>1480</v>
      </c>
      <c r="F963" s="273">
        <v>1</v>
      </c>
      <c r="G963" s="273">
        <v>7</v>
      </c>
      <c r="H963" s="273">
        <v>7</v>
      </c>
      <c r="I963" s="273" t="s">
        <v>621</v>
      </c>
      <c r="J963" s="273">
        <v>1986</v>
      </c>
      <c r="K963" s="463" t="s">
        <v>1211</v>
      </c>
      <c r="L963" s="273">
        <v>1992</v>
      </c>
      <c r="M963" s="471">
        <v>-9999</v>
      </c>
      <c r="N963" s="471">
        <v>-9999</v>
      </c>
      <c r="O963" s="1"/>
      <c r="P963" s="471">
        <v>71.539500000000004</v>
      </c>
      <c r="Q963" s="273">
        <v>-9999</v>
      </c>
      <c r="R963" s="471"/>
      <c r="S963" s="273"/>
      <c r="T963" s="414">
        <f t="shared" si="97"/>
        <v>10.219928571428571</v>
      </c>
      <c r="U963" s="273">
        <v>-9999</v>
      </c>
      <c r="V963" s="273"/>
      <c r="W963" s="414">
        <f t="shared" si="100"/>
        <v>5.3168000000000006</v>
      </c>
      <c r="X963" s="273">
        <v>-9999</v>
      </c>
      <c r="Y963" s="273"/>
      <c r="Z963" s="273" t="s">
        <v>793</v>
      </c>
      <c r="AA963" s="385">
        <v>10000</v>
      </c>
      <c r="AB963" s="471">
        <v>0.99</v>
      </c>
      <c r="AC963" s="273">
        <v>-9999</v>
      </c>
      <c r="AD963" s="385">
        <v>500</v>
      </c>
      <c r="AE963" s="461" t="s">
        <v>1959</v>
      </c>
      <c r="AF963" s="273">
        <v>3</v>
      </c>
      <c r="AG963" s="273">
        <v>4</v>
      </c>
      <c r="AH963" s="273" t="s">
        <v>623</v>
      </c>
      <c r="AI963" s="273" t="s">
        <v>834</v>
      </c>
      <c r="AJ963" s="273">
        <v>20</v>
      </c>
      <c r="AK963" s="273" t="s">
        <v>625</v>
      </c>
      <c r="AL963" s="273" t="s">
        <v>1127</v>
      </c>
      <c r="AM963" s="273">
        <v>-9999</v>
      </c>
      <c r="AN963" s="273" t="s">
        <v>626</v>
      </c>
      <c r="AO963" s="273" t="s">
        <v>627</v>
      </c>
      <c r="AP963" s="273" t="s">
        <v>1126</v>
      </c>
      <c r="AQ963" s="273" t="s">
        <v>626</v>
      </c>
      <c r="AR963" s="273">
        <f>+AR962+100</f>
        <v>300</v>
      </c>
      <c r="AS963" s="273" t="s">
        <v>1201</v>
      </c>
      <c r="AT963" s="273" t="s">
        <v>275</v>
      </c>
      <c r="AU963" s="273">
        <f t="shared" si="98"/>
        <v>0</v>
      </c>
      <c r="AV963" s="273">
        <v>-9999</v>
      </c>
      <c r="AW963" s="273">
        <v>-9999</v>
      </c>
      <c r="AX963" s="273">
        <f t="shared" si="99"/>
        <v>0</v>
      </c>
      <c r="AY963" s="273">
        <v>-9999</v>
      </c>
      <c r="AZ963" s="273">
        <v>-9999</v>
      </c>
      <c r="BA963" s="273" t="s">
        <v>725</v>
      </c>
      <c r="BB963" s="273" t="s">
        <v>626</v>
      </c>
      <c r="BC963" s="273" t="s">
        <v>829</v>
      </c>
      <c r="BD963" s="273" t="s">
        <v>835</v>
      </c>
      <c r="BE963" s="273" t="s">
        <v>1128</v>
      </c>
      <c r="BF963" s="273" t="s">
        <v>1129</v>
      </c>
      <c r="BG963" s="273" t="s">
        <v>577</v>
      </c>
      <c r="BH963" s="273">
        <v>-9999</v>
      </c>
      <c r="BI963" s="273">
        <v>-9999</v>
      </c>
      <c r="BJ963" s="273">
        <v>30.8</v>
      </c>
      <c r="BK963" s="273">
        <v>-9999</v>
      </c>
      <c r="BL963" s="273">
        <v>10.6</v>
      </c>
      <c r="BM963" s="273">
        <v>-9999</v>
      </c>
      <c r="BN963" s="273">
        <v>6</v>
      </c>
      <c r="BO963" s="273">
        <v>-9999</v>
      </c>
      <c r="BP963" s="273">
        <v>-9999</v>
      </c>
      <c r="BQ963" s="273">
        <v>-9999</v>
      </c>
      <c r="BR963" s="273">
        <v>-9999</v>
      </c>
      <c r="BS963" s="468">
        <v>-9999</v>
      </c>
      <c r="BT963" s="273">
        <v>-9999</v>
      </c>
      <c r="BU963" s="273">
        <v>-9999</v>
      </c>
      <c r="BV963" s="273">
        <v>-9999</v>
      </c>
      <c r="BW963" s="273"/>
      <c r="BX963" s="273">
        <v>7.1</v>
      </c>
      <c r="BY963" s="273">
        <v>-9999</v>
      </c>
      <c r="BZ963" s="273">
        <v>-9999</v>
      </c>
      <c r="CA963" s="472">
        <v>-9999</v>
      </c>
      <c r="CB963" s="473" t="s">
        <v>1132</v>
      </c>
      <c r="CC963" s="89">
        <v>1</v>
      </c>
      <c r="CD963" s="89">
        <v>7</v>
      </c>
      <c r="CE963" s="292">
        <v>10.219928571428571</v>
      </c>
      <c r="CF963" s="292">
        <v>5.3168000000000006</v>
      </c>
      <c r="CG963" s="89">
        <v>7</v>
      </c>
    </row>
    <row r="964" spans="1:1873" s="23" customFormat="1" ht="12.75" customHeight="1" x14ac:dyDescent="0.2">
      <c r="A964" s="273"/>
      <c r="B964" s="273"/>
      <c r="C964" s="273"/>
      <c r="D964" s="273"/>
      <c r="E964" s="462"/>
      <c r="F964" s="273"/>
      <c r="G964" s="273"/>
      <c r="H964" s="273"/>
      <c r="I964" s="273"/>
      <c r="J964" s="273"/>
      <c r="K964" s="463"/>
      <c r="L964" s="463"/>
      <c r="M964" s="471"/>
      <c r="N964" s="471"/>
      <c r="O964" s="1"/>
      <c r="P964" s="471"/>
      <c r="Q964" s="273"/>
      <c r="R964" s="471"/>
      <c r="S964" s="273"/>
      <c r="T964" s="414"/>
      <c r="U964" s="273"/>
      <c r="V964" s="273"/>
      <c r="W964" s="414"/>
      <c r="X964" s="273"/>
      <c r="Y964" s="273"/>
      <c r="Z964" s="273"/>
      <c r="AA964" s="385"/>
      <c r="AB964" s="471"/>
      <c r="AC964" s="273"/>
      <c r="AD964" s="273"/>
      <c r="AE964" s="273"/>
      <c r="AF964" s="273"/>
      <c r="AG964" s="273"/>
      <c r="AH964" s="273"/>
      <c r="AI964" s="273"/>
      <c r="AJ964" s="273"/>
      <c r="AK964" s="273"/>
      <c r="AL964" s="273"/>
      <c r="AM964" s="273"/>
      <c r="AN964" s="273"/>
      <c r="AO964" s="273"/>
      <c r="AP964" s="273"/>
      <c r="AQ964" s="273"/>
      <c r="AR964" s="273"/>
      <c r="AS964" s="273"/>
      <c r="AT964" s="273"/>
      <c r="AU964" s="273"/>
      <c r="AV964" s="273"/>
      <c r="AW964" s="273"/>
      <c r="AX964" s="273"/>
      <c r="AY964" s="273"/>
      <c r="AZ964" s="273"/>
      <c r="BA964" s="273"/>
      <c r="BB964" s="273"/>
      <c r="BC964" s="273"/>
      <c r="BD964" s="273"/>
      <c r="BE964" s="273"/>
      <c r="BF964" s="273"/>
      <c r="BG964" s="273"/>
      <c r="BH964" s="273"/>
      <c r="BI964" s="273"/>
      <c r="BJ964" s="570"/>
      <c r="BK964" s="273"/>
      <c r="BL964" s="273"/>
      <c r="BM964" s="273"/>
      <c r="BN964" s="273"/>
      <c r="BO964" s="273"/>
      <c r="BP964" s="273"/>
      <c r="BQ964" s="273"/>
      <c r="BR964" s="273"/>
      <c r="BS964" s="468"/>
      <c r="BT964" s="273"/>
      <c r="BU964" s="273"/>
      <c r="BV964" s="273"/>
      <c r="BW964" s="273"/>
      <c r="BX964" s="273"/>
      <c r="BY964" s="273"/>
      <c r="BZ964" s="273"/>
      <c r="CA964" s="472"/>
      <c r="CB964" s="473"/>
      <c r="CC964" s="89"/>
      <c r="CD964" s="89"/>
      <c r="CE964" s="342" t="s">
        <v>1576</v>
      </c>
      <c r="CF964" s="342" t="s">
        <v>1575</v>
      </c>
      <c r="CG964" s="89"/>
    </row>
    <row r="965" spans="1:1873" s="23" customFormat="1" ht="12.75" customHeight="1" x14ac:dyDescent="0.2">
      <c r="A965" s="273" t="s">
        <v>832</v>
      </c>
      <c r="B965" s="273" t="s">
        <v>820</v>
      </c>
      <c r="C965" s="273" t="s">
        <v>1122</v>
      </c>
      <c r="D965" s="273" t="s">
        <v>619</v>
      </c>
      <c r="E965" s="462" t="s">
        <v>1480</v>
      </c>
      <c r="F965" s="273">
        <v>1</v>
      </c>
      <c r="G965" s="273">
        <v>1</v>
      </c>
      <c r="H965" s="273">
        <v>1</v>
      </c>
      <c r="I965" s="273" t="s">
        <v>621</v>
      </c>
      <c r="J965" s="273">
        <v>1986</v>
      </c>
      <c r="K965" s="463" t="s">
        <v>1211</v>
      </c>
      <c r="L965" s="570">
        <v>1986</v>
      </c>
      <c r="M965" s="471">
        <v>-9999</v>
      </c>
      <c r="N965" s="471">
        <v>-9999</v>
      </c>
      <c r="O965" s="1"/>
      <c r="P965" s="471">
        <v>3.1958899999999999</v>
      </c>
      <c r="Q965" s="273">
        <v>-9999</v>
      </c>
      <c r="R965" s="471"/>
      <c r="S965" s="273"/>
      <c r="T965" s="414">
        <f t="shared" ref="T965:T971" si="101">+P965/H965</f>
        <v>3.1958899999999999</v>
      </c>
      <c r="U965" s="273">
        <v>-9999</v>
      </c>
      <c r="V965" s="273"/>
      <c r="W965" s="414">
        <v>-9999</v>
      </c>
      <c r="X965" s="273">
        <v>-9999</v>
      </c>
      <c r="Y965" s="273"/>
      <c r="Z965" s="273" t="s">
        <v>836</v>
      </c>
      <c r="AA965" s="385">
        <v>2500</v>
      </c>
      <c r="AB965" s="471">
        <v>0.98</v>
      </c>
      <c r="AC965" s="273">
        <v>-9999</v>
      </c>
      <c r="AD965" s="273">
        <v>1042</v>
      </c>
      <c r="AE965" s="461" t="s">
        <v>1959</v>
      </c>
      <c r="AF965" s="273">
        <v>3</v>
      </c>
      <c r="AG965" s="273">
        <v>3</v>
      </c>
      <c r="AH965" s="273" t="s">
        <v>623</v>
      </c>
      <c r="AI965" s="273" t="s">
        <v>834</v>
      </c>
      <c r="AJ965" s="273">
        <v>20</v>
      </c>
      <c r="AK965" s="273" t="s">
        <v>625</v>
      </c>
      <c r="AL965" s="273" t="s">
        <v>1127</v>
      </c>
      <c r="AM965" s="273">
        <v>-9999</v>
      </c>
      <c r="AN965" s="273" t="s">
        <v>626</v>
      </c>
      <c r="AO965" s="273" t="s">
        <v>627</v>
      </c>
      <c r="AP965" s="273" t="s">
        <v>1126</v>
      </c>
      <c r="AQ965" s="273" t="s">
        <v>626</v>
      </c>
      <c r="AR965" s="273">
        <v>100</v>
      </c>
      <c r="AS965" s="273" t="s">
        <v>726</v>
      </c>
      <c r="AT965" s="273" t="s">
        <v>755</v>
      </c>
      <c r="AU965" s="273">
        <f t="shared" ref="AU965:AU971" si="102">+AU964+0</f>
        <v>0</v>
      </c>
      <c r="AV965" s="273" t="s">
        <v>226</v>
      </c>
      <c r="AW965" s="273" t="s">
        <v>755</v>
      </c>
      <c r="AX965" s="273">
        <f t="shared" ref="AX965:AX971" si="103">+AX964+0</f>
        <v>0</v>
      </c>
      <c r="AY965" s="273" t="s">
        <v>226</v>
      </c>
      <c r="AZ965" s="273" t="s">
        <v>755</v>
      </c>
      <c r="BA965" s="273" t="s">
        <v>725</v>
      </c>
      <c r="BB965" s="273" t="s">
        <v>626</v>
      </c>
      <c r="BC965" s="273" t="s">
        <v>829</v>
      </c>
      <c r="BD965" s="273" t="s">
        <v>835</v>
      </c>
      <c r="BE965" s="273" t="s">
        <v>1128</v>
      </c>
      <c r="BF965" s="273" t="s">
        <v>1129</v>
      </c>
      <c r="BG965" s="273" t="s">
        <v>577</v>
      </c>
      <c r="BH965" s="273">
        <v>-9999</v>
      </c>
      <c r="BI965" s="273">
        <v>-9999</v>
      </c>
      <c r="BJ965" s="570">
        <v>0.3</v>
      </c>
      <c r="BK965" s="273">
        <v>-9999</v>
      </c>
      <c r="BL965" s="273">
        <v>-9999</v>
      </c>
      <c r="BM965" s="273">
        <v>-9999</v>
      </c>
      <c r="BN965" s="273">
        <v>-9999</v>
      </c>
      <c r="BO965" s="273">
        <v>-9999</v>
      </c>
      <c r="BP965" s="273">
        <v>-9999</v>
      </c>
      <c r="BQ965" s="273">
        <v>-9999</v>
      </c>
      <c r="BR965" s="273">
        <v>-9999</v>
      </c>
      <c r="BS965" s="468">
        <v>-9999</v>
      </c>
      <c r="BT965" s="273">
        <v>-9999</v>
      </c>
      <c r="BU965" s="273">
        <v>-9999</v>
      </c>
      <c r="BV965" s="273">
        <v>-9999</v>
      </c>
      <c r="BW965" s="273"/>
      <c r="BX965" s="273">
        <v>-9999</v>
      </c>
      <c r="BY965" s="273">
        <v>-9999</v>
      </c>
      <c r="BZ965" s="273">
        <v>-9999</v>
      </c>
      <c r="CA965" s="472">
        <v>-9999</v>
      </c>
      <c r="CB965" s="473" t="s">
        <v>1132</v>
      </c>
      <c r="CC965" s="89">
        <v>1</v>
      </c>
      <c r="CD965" s="89">
        <v>1</v>
      </c>
      <c r="CE965" s="292">
        <v>3.1958899999999999</v>
      </c>
      <c r="CF965" s="292">
        <v>3.2</v>
      </c>
      <c r="CG965" s="89">
        <v>1</v>
      </c>
    </row>
    <row r="966" spans="1:1873" s="23" customFormat="1" ht="12.75" customHeight="1" x14ac:dyDescent="0.2">
      <c r="A966" s="273" t="s">
        <v>832</v>
      </c>
      <c r="B966" s="273" t="s">
        <v>820</v>
      </c>
      <c r="C966" s="273" t="s">
        <v>1122</v>
      </c>
      <c r="D966" s="273" t="s">
        <v>619</v>
      </c>
      <c r="E966" s="462" t="s">
        <v>1480</v>
      </c>
      <c r="F966" s="273">
        <v>1</v>
      </c>
      <c r="G966" s="273">
        <v>2</v>
      </c>
      <c r="H966" s="273">
        <v>2</v>
      </c>
      <c r="I966" s="273" t="s">
        <v>621</v>
      </c>
      <c r="J966" s="273">
        <v>1986</v>
      </c>
      <c r="K966" s="463" t="s">
        <v>1211</v>
      </c>
      <c r="L966" s="273">
        <v>1987</v>
      </c>
      <c r="M966" s="471">
        <v>-9999</v>
      </c>
      <c r="N966" s="471">
        <v>-9999</v>
      </c>
      <c r="O966" s="1"/>
      <c r="P966" s="471">
        <v>4.3870800000000001</v>
      </c>
      <c r="Q966" s="273">
        <v>-9999</v>
      </c>
      <c r="R966" s="471"/>
      <c r="S966" s="273"/>
      <c r="T966" s="414">
        <f t="shared" si="101"/>
        <v>2.19354</v>
      </c>
      <c r="U966" s="273">
        <v>-9999</v>
      </c>
      <c r="V966" s="273"/>
      <c r="W966" s="414">
        <f t="shared" ref="W966:W971" si="104">+P966-P965</f>
        <v>1.1911900000000002</v>
      </c>
      <c r="X966" s="273">
        <v>-9999</v>
      </c>
      <c r="Y966" s="273"/>
      <c r="Z966" s="273" t="s">
        <v>836</v>
      </c>
      <c r="AA966" s="385">
        <v>2500</v>
      </c>
      <c r="AB966" s="471">
        <v>1</v>
      </c>
      <c r="AC966" s="273">
        <v>-9999</v>
      </c>
      <c r="AD966" s="273">
        <v>1042</v>
      </c>
      <c r="AE966" s="461" t="s">
        <v>1959</v>
      </c>
      <c r="AF966" s="273">
        <v>3</v>
      </c>
      <c r="AG966" s="273">
        <v>3</v>
      </c>
      <c r="AH966" s="273" t="s">
        <v>623</v>
      </c>
      <c r="AI966" s="273" t="s">
        <v>834</v>
      </c>
      <c r="AJ966" s="273">
        <v>20</v>
      </c>
      <c r="AK966" s="273" t="s">
        <v>625</v>
      </c>
      <c r="AL966" s="273" t="s">
        <v>1127</v>
      </c>
      <c r="AM966" s="273">
        <v>-9999</v>
      </c>
      <c r="AN966" s="273" t="s">
        <v>626</v>
      </c>
      <c r="AO966" s="273" t="s">
        <v>627</v>
      </c>
      <c r="AP966" s="273" t="s">
        <v>1126</v>
      </c>
      <c r="AQ966" s="273" t="s">
        <v>626</v>
      </c>
      <c r="AR966" s="273">
        <f>+AR965+0</f>
        <v>100</v>
      </c>
      <c r="AS966" s="273" t="s">
        <v>726</v>
      </c>
      <c r="AT966" s="273">
        <v>-9999</v>
      </c>
      <c r="AU966" s="273">
        <f t="shared" si="102"/>
        <v>0</v>
      </c>
      <c r="AV966" s="273">
        <v>-9999</v>
      </c>
      <c r="AW966" s="273">
        <v>-9999</v>
      </c>
      <c r="AX966" s="273">
        <f t="shared" si="103"/>
        <v>0</v>
      </c>
      <c r="AY966" s="273">
        <v>-9999</v>
      </c>
      <c r="AZ966" s="273">
        <v>-9999</v>
      </c>
      <c r="BA966" s="273" t="s">
        <v>725</v>
      </c>
      <c r="BB966" s="273" t="s">
        <v>626</v>
      </c>
      <c r="BC966" s="273" t="s">
        <v>829</v>
      </c>
      <c r="BD966" s="273" t="s">
        <v>835</v>
      </c>
      <c r="BE966" s="273" t="s">
        <v>1128</v>
      </c>
      <c r="BF966" s="273" t="s">
        <v>1129</v>
      </c>
      <c r="BG966" s="273" t="s">
        <v>577</v>
      </c>
      <c r="BH966" s="273">
        <v>-9999</v>
      </c>
      <c r="BI966" s="273">
        <v>-9999</v>
      </c>
      <c r="BJ966" s="273">
        <v>1</v>
      </c>
      <c r="BK966" s="273">
        <v>-9999</v>
      </c>
      <c r="BL966" s="273">
        <v>-9999</v>
      </c>
      <c r="BM966" s="273">
        <v>-9999</v>
      </c>
      <c r="BN966" s="273">
        <v>-9999</v>
      </c>
      <c r="BO966" s="273">
        <v>-9999</v>
      </c>
      <c r="BP966" s="273">
        <v>-9999</v>
      </c>
      <c r="BQ966" s="273">
        <v>-9999</v>
      </c>
      <c r="BR966" s="273">
        <v>-9999</v>
      </c>
      <c r="BS966" s="468">
        <v>-9999</v>
      </c>
      <c r="BT966" s="273">
        <v>-9999</v>
      </c>
      <c r="BU966" s="273">
        <v>-9999</v>
      </c>
      <c r="BV966" s="273">
        <v>-9999</v>
      </c>
      <c r="BW966" s="273"/>
      <c r="BX966" s="273">
        <v>-9999</v>
      </c>
      <c r="BY966" s="273">
        <v>-9999</v>
      </c>
      <c r="BZ966" s="273">
        <v>-9999</v>
      </c>
      <c r="CA966" s="472">
        <v>-9999</v>
      </c>
      <c r="CB966" s="473" t="s">
        <v>1132</v>
      </c>
      <c r="CC966" s="89">
        <v>1</v>
      </c>
      <c r="CD966" s="89">
        <v>2</v>
      </c>
      <c r="CE966" s="292">
        <v>2.19354</v>
      </c>
      <c r="CF966" s="292">
        <v>1.1911900000000002</v>
      </c>
      <c r="CG966" s="89">
        <v>2</v>
      </c>
    </row>
    <row r="967" spans="1:1873" s="23" customFormat="1" ht="12.75" customHeight="1" x14ac:dyDescent="0.3">
      <c r="A967" s="273" t="s">
        <v>832</v>
      </c>
      <c r="B967" s="273" t="s">
        <v>820</v>
      </c>
      <c r="C967" s="273" t="s">
        <v>1122</v>
      </c>
      <c r="D967" s="273" t="s">
        <v>619</v>
      </c>
      <c r="E967" s="462" t="s">
        <v>1480</v>
      </c>
      <c r="F967" s="273">
        <v>1</v>
      </c>
      <c r="G967" s="273">
        <v>3</v>
      </c>
      <c r="H967" s="273">
        <v>3</v>
      </c>
      <c r="I967" s="273" t="s">
        <v>621</v>
      </c>
      <c r="J967" s="273">
        <v>1986</v>
      </c>
      <c r="K967" s="463" t="s">
        <v>1211</v>
      </c>
      <c r="L967" s="273">
        <v>1988</v>
      </c>
      <c r="M967" s="471">
        <v>-9999</v>
      </c>
      <c r="N967" s="471">
        <v>-9999</v>
      </c>
      <c r="O967" s="1"/>
      <c r="P967" s="471">
        <v>16.579899999999999</v>
      </c>
      <c r="Q967" s="273">
        <v>-9999</v>
      </c>
      <c r="R967" s="471"/>
      <c r="S967" s="273"/>
      <c r="T967" s="414">
        <f t="shared" si="101"/>
        <v>5.5266333333333328</v>
      </c>
      <c r="U967" s="273">
        <v>-9999</v>
      </c>
      <c r="V967" s="273"/>
      <c r="W967" s="414">
        <f t="shared" si="104"/>
        <v>12.192819999999998</v>
      </c>
      <c r="X967" s="273">
        <v>-9999</v>
      </c>
      <c r="Y967" s="273"/>
      <c r="Z967" s="273" t="s">
        <v>836</v>
      </c>
      <c r="AA967" s="385">
        <v>2500</v>
      </c>
      <c r="AB967" s="471">
        <v>1</v>
      </c>
      <c r="AC967" s="273">
        <v>-9999</v>
      </c>
      <c r="AD967" s="273">
        <v>1042</v>
      </c>
      <c r="AE967" s="461" t="s">
        <v>1959</v>
      </c>
      <c r="AF967" s="273">
        <v>3</v>
      </c>
      <c r="AG967" s="273">
        <v>3</v>
      </c>
      <c r="AH967" s="273" t="s">
        <v>623</v>
      </c>
      <c r="AI967" s="273" t="s">
        <v>834</v>
      </c>
      <c r="AJ967" s="273">
        <v>20</v>
      </c>
      <c r="AK967" s="273" t="s">
        <v>625</v>
      </c>
      <c r="AL967" s="273" t="s">
        <v>1127</v>
      </c>
      <c r="AM967" s="273">
        <v>-9999</v>
      </c>
      <c r="AN967" s="273" t="s">
        <v>626</v>
      </c>
      <c r="AO967" s="273" t="s">
        <v>627</v>
      </c>
      <c r="AP967" s="273" t="s">
        <v>1126</v>
      </c>
      <c r="AQ967" s="273" t="s">
        <v>626</v>
      </c>
      <c r="AR967" s="273">
        <f>+AR966+100</f>
        <v>200</v>
      </c>
      <c r="AS967" s="273" t="s">
        <v>1201</v>
      </c>
      <c r="AT967" s="273" t="s">
        <v>275</v>
      </c>
      <c r="AU967" s="273">
        <f t="shared" si="102"/>
        <v>0</v>
      </c>
      <c r="AV967" s="273">
        <v>-9999</v>
      </c>
      <c r="AW967" s="273">
        <v>-9999</v>
      </c>
      <c r="AX967" s="273">
        <f t="shared" si="103"/>
        <v>0</v>
      </c>
      <c r="AY967" s="273">
        <v>-9999</v>
      </c>
      <c r="AZ967" s="273">
        <v>-9999</v>
      </c>
      <c r="BA967" s="273" t="s">
        <v>725</v>
      </c>
      <c r="BB967" s="273" t="s">
        <v>626</v>
      </c>
      <c r="BC967" s="273" t="s">
        <v>829</v>
      </c>
      <c r="BD967" s="273" t="s">
        <v>835</v>
      </c>
      <c r="BE967" s="273" t="s">
        <v>1128</v>
      </c>
      <c r="BF967" s="273" t="s">
        <v>1129</v>
      </c>
      <c r="BG967" s="273" t="s">
        <v>577</v>
      </c>
      <c r="BH967" s="273">
        <v>-9999</v>
      </c>
      <c r="BI967" s="273">
        <v>-9999</v>
      </c>
      <c r="BJ967" s="273">
        <v>6.1</v>
      </c>
      <c r="BK967" s="273">
        <v>-9999</v>
      </c>
      <c r="BL967" s="273">
        <v>-9999</v>
      </c>
      <c r="BM967" s="273">
        <v>-9999</v>
      </c>
      <c r="BN967" s="273">
        <v>-9999</v>
      </c>
      <c r="BO967" s="273">
        <v>-9999</v>
      </c>
      <c r="BP967" s="273">
        <v>-9999</v>
      </c>
      <c r="BQ967" s="273">
        <v>-9999</v>
      </c>
      <c r="BR967" s="273">
        <v>-9999</v>
      </c>
      <c r="BS967" s="468">
        <v>-9999</v>
      </c>
      <c r="BT967" s="273">
        <v>-9999</v>
      </c>
      <c r="BU967" s="273">
        <v>-9999</v>
      </c>
      <c r="BV967" s="273">
        <v>-9999</v>
      </c>
      <c r="BW967" s="273"/>
      <c r="BX967" s="273">
        <v>-9999</v>
      </c>
      <c r="BY967" s="273">
        <v>-9999</v>
      </c>
      <c r="BZ967" s="273">
        <v>-9999</v>
      </c>
      <c r="CA967" s="472">
        <v>-9999</v>
      </c>
      <c r="CB967" s="473" t="s">
        <v>1132</v>
      </c>
      <c r="CC967" s="89">
        <v>1</v>
      </c>
      <c r="CD967" s="89">
        <v>3</v>
      </c>
      <c r="CE967" s="292">
        <v>5.5266333333333328</v>
      </c>
      <c r="CF967" s="292">
        <v>12.192819999999998</v>
      </c>
      <c r="CG967" s="89">
        <v>3</v>
      </c>
    </row>
    <row r="968" spans="1:1873" s="23" customFormat="1" ht="12.75" customHeight="1" x14ac:dyDescent="0.2">
      <c r="A968" s="273" t="s">
        <v>832</v>
      </c>
      <c r="B968" s="273" t="s">
        <v>820</v>
      </c>
      <c r="C968" s="273" t="s">
        <v>1122</v>
      </c>
      <c r="D968" s="273" t="s">
        <v>619</v>
      </c>
      <c r="E968" s="462" t="s">
        <v>1480</v>
      </c>
      <c r="F968" s="273">
        <v>1</v>
      </c>
      <c r="G968" s="273">
        <v>4</v>
      </c>
      <c r="H968" s="273">
        <v>4</v>
      </c>
      <c r="I968" s="273" t="s">
        <v>621</v>
      </c>
      <c r="J968" s="273">
        <v>1986</v>
      </c>
      <c r="K968" s="463" t="s">
        <v>1211</v>
      </c>
      <c r="L968" s="273">
        <v>1989</v>
      </c>
      <c r="M968" s="471">
        <v>-9999</v>
      </c>
      <c r="N968" s="471">
        <v>-9999</v>
      </c>
      <c r="O968" s="1"/>
      <c r="P968" s="471">
        <v>29.474799999999998</v>
      </c>
      <c r="Q968" s="273">
        <v>-9999</v>
      </c>
      <c r="R968" s="471"/>
      <c r="S968" s="273"/>
      <c r="T968" s="414">
        <f t="shared" si="101"/>
        <v>7.3686999999999996</v>
      </c>
      <c r="U968" s="273">
        <v>-9999</v>
      </c>
      <c r="V968" s="273"/>
      <c r="W968" s="414">
        <f t="shared" si="104"/>
        <v>12.8949</v>
      </c>
      <c r="X968" s="273">
        <v>-9999</v>
      </c>
      <c r="Y968" s="273"/>
      <c r="Z968" s="273" t="s">
        <v>836</v>
      </c>
      <c r="AA968" s="385">
        <v>2500</v>
      </c>
      <c r="AB968" s="471">
        <v>1</v>
      </c>
      <c r="AC968" s="273">
        <v>-9999</v>
      </c>
      <c r="AD968" s="273">
        <v>1042</v>
      </c>
      <c r="AE968" s="461" t="s">
        <v>1959</v>
      </c>
      <c r="AF968" s="273">
        <v>3</v>
      </c>
      <c r="AG968" s="273">
        <v>3</v>
      </c>
      <c r="AH968" s="273" t="s">
        <v>623</v>
      </c>
      <c r="AI968" s="273" t="s">
        <v>834</v>
      </c>
      <c r="AJ968" s="273">
        <v>20</v>
      </c>
      <c r="AK968" s="273" t="s">
        <v>625</v>
      </c>
      <c r="AL968" s="273" t="s">
        <v>1127</v>
      </c>
      <c r="AM968" s="273">
        <v>-9999</v>
      </c>
      <c r="AN968" s="273" t="s">
        <v>626</v>
      </c>
      <c r="AO968" s="273" t="s">
        <v>627</v>
      </c>
      <c r="AP968" s="273" t="s">
        <v>1126</v>
      </c>
      <c r="AQ968" s="273" t="s">
        <v>626</v>
      </c>
      <c r="AR968" s="273">
        <f>+AR967+0</f>
        <v>200</v>
      </c>
      <c r="AS968" s="273" t="s">
        <v>726</v>
      </c>
      <c r="AT968" s="273">
        <v>-9999</v>
      </c>
      <c r="AU968" s="273">
        <f t="shared" si="102"/>
        <v>0</v>
      </c>
      <c r="AV968" s="273">
        <v>-9999</v>
      </c>
      <c r="AW968" s="273">
        <v>-9999</v>
      </c>
      <c r="AX968" s="273">
        <f t="shared" si="103"/>
        <v>0</v>
      </c>
      <c r="AY968" s="273">
        <v>-9999</v>
      </c>
      <c r="AZ968" s="273">
        <v>-9999</v>
      </c>
      <c r="BA968" s="273" t="s">
        <v>725</v>
      </c>
      <c r="BB968" s="273" t="s">
        <v>626</v>
      </c>
      <c r="BC968" s="273" t="s">
        <v>829</v>
      </c>
      <c r="BD968" s="273" t="s">
        <v>835</v>
      </c>
      <c r="BE968" s="273" t="s">
        <v>1128</v>
      </c>
      <c r="BF968" s="273" t="s">
        <v>1129</v>
      </c>
      <c r="BG968" s="273" t="s">
        <v>577</v>
      </c>
      <c r="BH968" s="273">
        <v>-9999</v>
      </c>
      <c r="BI968" s="273">
        <v>-9999</v>
      </c>
      <c r="BJ968" s="273">
        <v>11.3</v>
      </c>
      <c r="BK968" s="273">
        <v>-9999</v>
      </c>
      <c r="BL968" s="273">
        <v>-9999</v>
      </c>
      <c r="BM968" s="273">
        <v>-9999</v>
      </c>
      <c r="BN968" s="273">
        <v>-9999</v>
      </c>
      <c r="BO968" s="273">
        <v>-9999</v>
      </c>
      <c r="BP968" s="273">
        <v>-9999</v>
      </c>
      <c r="BQ968" s="273">
        <v>-9999</v>
      </c>
      <c r="BR968" s="273">
        <v>-9999</v>
      </c>
      <c r="BS968" s="468">
        <v>-9999</v>
      </c>
      <c r="BT968" s="273">
        <v>-9999</v>
      </c>
      <c r="BU968" s="273">
        <v>-9999</v>
      </c>
      <c r="BV968" s="273">
        <v>-9999</v>
      </c>
      <c r="BW968" s="273"/>
      <c r="BX968" s="273">
        <v>-9999</v>
      </c>
      <c r="BY968" s="273">
        <v>-9999</v>
      </c>
      <c r="BZ968" s="273">
        <v>-9999</v>
      </c>
      <c r="CA968" s="472">
        <v>-9999</v>
      </c>
      <c r="CB968" s="473" t="s">
        <v>1132</v>
      </c>
      <c r="CC968" s="89">
        <v>1</v>
      </c>
      <c r="CD968" s="89">
        <v>4</v>
      </c>
      <c r="CE968" s="292">
        <v>7.3686999999999996</v>
      </c>
      <c r="CF968" s="292">
        <v>12.8949</v>
      </c>
      <c r="CG968" s="89">
        <v>4</v>
      </c>
    </row>
    <row r="969" spans="1:1873" s="23" customFormat="1" ht="12.75" customHeight="1" x14ac:dyDescent="0.2">
      <c r="A969" s="273" t="s">
        <v>832</v>
      </c>
      <c r="B969" s="273" t="s">
        <v>820</v>
      </c>
      <c r="C969" s="273" t="s">
        <v>1122</v>
      </c>
      <c r="D969" s="273" t="s">
        <v>619</v>
      </c>
      <c r="E969" s="462" t="s">
        <v>1480</v>
      </c>
      <c r="F969" s="273">
        <v>1</v>
      </c>
      <c r="G969" s="273">
        <v>5</v>
      </c>
      <c r="H969" s="273">
        <v>5</v>
      </c>
      <c r="I969" s="273" t="s">
        <v>621</v>
      </c>
      <c r="J969" s="273">
        <v>1986</v>
      </c>
      <c r="K969" s="463" t="s">
        <v>1211</v>
      </c>
      <c r="L969" s="273">
        <v>1990</v>
      </c>
      <c r="M969" s="471">
        <v>-9999</v>
      </c>
      <c r="N969" s="471">
        <v>-9999</v>
      </c>
      <c r="O969" s="1"/>
      <c r="P969" s="471">
        <v>45.778700000000001</v>
      </c>
      <c r="Q969" s="273">
        <v>-9999</v>
      </c>
      <c r="R969" s="471"/>
      <c r="S969" s="273"/>
      <c r="T969" s="414">
        <f t="shared" si="101"/>
        <v>9.1557399999999998</v>
      </c>
      <c r="U969" s="273">
        <v>-9999</v>
      </c>
      <c r="V969" s="273"/>
      <c r="W969" s="414">
        <f t="shared" si="104"/>
        <v>16.303900000000002</v>
      </c>
      <c r="X969" s="273">
        <v>-9999</v>
      </c>
      <c r="Y969" s="273"/>
      <c r="Z969" s="273" t="s">
        <v>836</v>
      </c>
      <c r="AA969" s="385">
        <v>2500</v>
      </c>
      <c r="AB969" s="471">
        <v>1</v>
      </c>
      <c r="AC969" s="273">
        <v>-9999</v>
      </c>
      <c r="AD969" s="273">
        <v>1042</v>
      </c>
      <c r="AE969" s="461" t="s">
        <v>1959</v>
      </c>
      <c r="AF969" s="273">
        <v>3</v>
      </c>
      <c r="AG969" s="273">
        <v>3</v>
      </c>
      <c r="AH969" s="273" t="s">
        <v>623</v>
      </c>
      <c r="AI969" s="273" t="s">
        <v>834</v>
      </c>
      <c r="AJ969" s="273">
        <v>20</v>
      </c>
      <c r="AK969" s="273" t="s">
        <v>625</v>
      </c>
      <c r="AL969" s="273" t="s">
        <v>1127</v>
      </c>
      <c r="AM969" s="273">
        <v>-9999</v>
      </c>
      <c r="AN969" s="273" t="s">
        <v>626</v>
      </c>
      <c r="AO969" s="273" t="s">
        <v>627</v>
      </c>
      <c r="AP969" s="273" t="s">
        <v>1126</v>
      </c>
      <c r="AQ969" s="273" t="s">
        <v>626</v>
      </c>
      <c r="AR969" s="273">
        <f>+AR968+0</f>
        <v>200</v>
      </c>
      <c r="AS969" s="273" t="s">
        <v>726</v>
      </c>
      <c r="AT969" s="273">
        <v>-9999</v>
      </c>
      <c r="AU969" s="273">
        <f t="shared" si="102"/>
        <v>0</v>
      </c>
      <c r="AV969" s="273">
        <v>-9999</v>
      </c>
      <c r="AW969" s="273">
        <v>-9999</v>
      </c>
      <c r="AX969" s="273">
        <f t="shared" si="103"/>
        <v>0</v>
      </c>
      <c r="AY969" s="273">
        <v>-9999</v>
      </c>
      <c r="AZ969" s="273">
        <v>-9999</v>
      </c>
      <c r="BA969" s="273" t="s">
        <v>725</v>
      </c>
      <c r="BB969" s="273" t="s">
        <v>626</v>
      </c>
      <c r="BC969" s="273" t="s">
        <v>829</v>
      </c>
      <c r="BD969" s="273" t="s">
        <v>835</v>
      </c>
      <c r="BE969" s="273" t="s">
        <v>1128</v>
      </c>
      <c r="BF969" s="273" t="s">
        <v>1129</v>
      </c>
      <c r="BG969" s="273" t="s">
        <v>577</v>
      </c>
      <c r="BH969" s="273">
        <v>-9999</v>
      </c>
      <c r="BI969" s="273">
        <v>-9999</v>
      </c>
      <c r="BJ969" s="273">
        <v>17.5</v>
      </c>
      <c r="BK969" s="273">
        <v>-9999</v>
      </c>
      <c r="BL969" s="273">
        <v>-9999</v>
      </c>
      <c r="BM969" s="273">
        <v>-9999</v>
      </c>
      <c r="BN969" s="273">
        <v>-9999</v>
      </c>
      <c r="BO969" s="273">
        <v>-9999</v>
      </c>
      <c r="BP969" s="273">
        <v>-9999</v>
      </c>
      <c r="BQ969" s="273">
        <v>-9999</v>
      </c>
      <c r="BR969" s="273">
        <v>-9999</v>
      </c>
      <c r="BS969" s="468">
        <v>-9999</v>
      </c>
      <c r="BT969" s="273">
        <v>-9999</v>
      </c>
      <c r="BU969" s="273">
        <v>-9999</v>
      </c>
      <c r="BV969" s="273">
        <v>-9999</v>
      </c>
      <c r="BW969" s="273"/>
      <c r="BX969" s="273">
        <v>-9999</v>
      </c>
      <c r="BY969" s="273">
        <v>-9999</v>
      </c>
      <c r="BZ969" s="273">
        <v>-9999</v>
      </c>
      <c r="CA969" s="472">
        <v>-9999</v>
      </c>
      <c r="CB969" s="473" t="s">
        <v>1132</v>
      </c>
      <c r="CC969" s="89">
        <v>1</v>
      </c>
      <c r="CD969" s="89">
        <v>5</v>
      </c>
      <c r="CE969" s="292">
        <v>9.1557399999999998</v>
      </c>
      <c r="CF969" s="292">
        <v>16.303900000000002</v>
      </c>
      <c r="CG969" s="89">
        <v>5</v>
      </c>
    </row>
    <row r="970" spans="1:1873" s="23" customFormat="1" ht="12.75" customHeight="1" x14ac:dyDescent="0.2">
      <c r="A970" s="273" t="s">
        <v>832</v>
      </c>
      <c r="B970" s="273" t="s">
        <v>820</v>
      </c>
      <c r="C970" s="273" t="s">
        <v>1122</v>
      </c>
      <c r="D970" s="273" t="s">
        <v>619</v>
      </c>
      <c r="E970" s="462" t="s">
        <v>1480</v>
      </c>
      <c r="F970" s="273">
        <v>1</v>
      </c>
      <c r="G970" s="273">
        <v>6</v>
      </c>
      <c r="H970" s="273">
        <v>6</v>
      </c>
      <c r="I970" s="273" t="s">
        <v>621</v>
      </c>
      <c r="J970" s="273">
        <v>1986</v>
      </c>
      <c r="K970" s="463" t="s">
        <v>1211</v>
      </c>
      <c r="L970" s="273">
        <v>1991</v>
      </c>
      <c r="M970" s="471">
        <v>-9999</v>
      </c>
      <c r="N970" s="471">
        <v>-9999</v>
      </c>
      <c r="O970" s="1"/>
      <c r="P970" s="471">
        <v>53.158299999999997</v>
      </c>
      <c r="Q970" s="273">
        <v>-9999</v>
      </c>
      <c r="R970" s="471"/>
      <c r="S970" s="273"/>
      <c r="T970" s="414">
        <f t="shared" si="101"/>
        <v>8.8597166666666656</v>
      </c>
      <c r="U970" s="273">
        <v>-9999</v>
      </c>
      <c r="V970" s="273"/>
      <c r="W970" s="414">
        <f t="shared" si="104"/>
        <v>7.3795999999999964</v>
      </c>
      <c r="X970" s="273">
        <v>-9999</v>
      </c>
      <c r="Y970" s="273"/>
      <c r="Z970" s="273" t="s">
        <v>836</v>
      </c>
      <c r="AA970" s="385">
        <v>2500</v>
      </c>
      <c r="AB970" s="471">
        <v>1</v>
      </c>
      <c r="AC970" s="273">
        <v>-9999</v>
      </c>
      <c r="AD970" s="273">
        <v>1042</v>
      </c>
      <c r="AE970" s="461" t="s">
        <v>1959</v>
      </c>
      <c r="AF970" s="273">
        <v>3</v>
      </c>
      <c r="AG970" s="273">
        <v>3</v>
      </c>
      <c r="AH970" s="273" t="s">
        <v>623</v>
      </c>
      <c r="AI970" s="273" t="s">
        <v>834</v>
      </c>
      <c r="AJ970" s="273">
        <v>20</v>
      </c>
      <c r="AK970" s="273" t="s">
        <v>625</v>
      </c>
      <c r="AL970" s="273" t="s">
        <v>1127</v>
      </c>
      <c r="AM970" s="273">
        <v>-9999</v>
      </c>
      <c r="AN970" s="273" t="s">
        <v>626</v>
      </c>
      <c r="AO970" s="273" t="s">
        <v>627</v>
      </c>
      <c r="AP970" s="273" t="s">
        <v>1126</v>
      </c>
      <c r="AQ970" s="273" t="s">
        <v>626</v>
      </c>
      <c r="AR970" s="273">
        <f>+AR969+0</f>
        <v>200</v>
      </c>
      <c r="AS970" s="273" t="s">
        <v>726</v>
      </c>
      <c r="AT970" s="273">
        <v>-9999</v>
      </c>
      <c r="AU970" s="273">
        <f t="shared" si="102"/>
        <v>0</v>
      </c>
      <c r="AV970" s="273">
        <v>-9999</v>
      </c>
      <c r="AW970" s="273">
        <v>-9999</v>
      </c>
      <c r="AX970" s="273">
        <f t="shared" si="103"/>
        <v>0</v>
      </c>
      <c r="AY970" s="273">
        <v>-9999</v>
      </c>
      <c r="AZ970" s="273">
        <v>-9999</v>
      </c>
      <c r="BA970" s="273" t="s">
        <v>725</v>
      </c>
      <c r="BB970" s="273" t="s">
        <v>626</v>
      </c>
      <c r="BC970" s="273" t="s">
        <v>829</v>
      </c>
      <c r="BD970" s="273" t="s">
        <v>835</v>
      </c>
      <c r="BE970" s="273" t="s">
        <v>1128</v>
      </c>
      <c r="BF970" s="273" t="s">
        <v>1129</v>
      </c>
      <c r="BG970" s="273" t="s">
        <v>577</v>
      </c>
      <c r="BH970" s="273">
        <v>-9999</v>
      </c>
      <c r="BI970" s="273">
        <v>-9999</v>
      </c>
      <c r="BJ970" s="273">
        <v>20.3</v>
      </c>
      <c r="BK970" s="273">
        <v>-9999</v>
      </c>
      <c r="BL970" s="273">
        <v>-9999</v>
      </c>
      <c r="BM970" s="273">
        <v>-9999</v>
      </c>
      <c r="BN970" s="273">
        <v>-9999</v>
      </c>
      <c r="BO970" s="273">
        <v>-9999</v>
      </c>
      <c r="BP970" s="273">
        <v>-9999</v>
      </c>
      <c r="BQ970" s="273">
        <v>-9999</v>
      </c>
      <c r="BR970" s="273">
        <v>-9999</v>
      </c>
      <c r="BS970" s="468">
        <v>-9999</v>
      </c>
      <c r="BT970" s="273">
        <v>-9999</v>
      </c>
      <c r="BU970" s="273">
        <v>-9999</v>
      </c>
      <c r="BV970" s="273">
        <v>-9999</v>
      </c>
      <c r="BW970" s="273"/>
      <c r="BX970" s="273">
        <v>-9999</v>
      </c>
      <c r="BY970" s="273">
        <v>-9999</v>
      </c>
      <c r="BZ970" s="273">
        <v>-9999</v>
      </c>
      <c r="CA970" s="472">
        <v>-9999</v>
      </c>
      <c r="CB970" s="473" t="s">
        <v>1132</v>
      </c>
      <c r="CC970" s="89">
        <v>1</v>
      </c>
      <c r="CD970" s="89">
        <v>6</v>
      </c>
      <c r="CE970" s="292">
        <v>8.8597166666666656</v>
      </c>
      <c r="CF970" s="292">
        <v>7.3795999999999964</v>
      </c>
      <c r="CG970" s="89">
        <v>6</v>
      </c>
    </row>
    <row r="971" spans="1:1873" s="301" customFormat="1" ht="12.75" customHeight="1" x14ac:dyDescent="0.3">
      <c r="A971" s="461" t="s">
        <v>832</v>
      </c>
      <c r="B971" s="461" t="s">
        <v>820</v>
      </c>
      <c r="C971" s="461" t="s">
        <v>1122</v>
      </c>
      <c r="D971" s="461" t="s">
        <v>619</v>
      </c>
      <c r="E971" s="462" t="s">
        <v>1480</v>
      </c>
      <c r="F971" s="461">
        <v>1</v>
      </c>
      <c r="G971" s="461">
        <v>7</v>
      </c>
      <c r="H971" s="461">
        <v>7</v>
      </c>
      <c r="I971" s="461" t="s">
        <v>621</v>
      </c>
      <c r="J971" s="461">
        <v>1986</v>
      </c>
      <c r="K971" s="463" t="s">
        <v>1211</v>
      </c>
      <c r="L971" s="461">
        <v>1992</v>
      </c>
      <c r="M971" s="464">
        <v>-9999</v>
      </c>
      <c r="N971" s="464">
        <v>-9999</v>
      </c>
      <c r="O971" s="310"/>
      <c r="P971" s="464">
        <v>68.789100000000005</v>
      </c>
      <c r="Q971" s="461">
        <v>-9999</v>
      </c>
      <c r="R971" s="464"/>
      <c r="S971" s="461"/>
      <c r="T971" s="414">
        <f t="shared" si="101"/>
        <v>9.8270142857142861</v>
      </c>
      <c r="U971" s="461">
        <v>-9999</v>
      </c>
      <c r="V971" s="461"/>
      <c r="W971" s="414">
        <f t="shared" si="104"/>
        <v>15.630800000000008</v>
      </c>
      <c r="X971" s="461">
        <v>-9999</v>
      </c>
      <c r="Y971" s="461"/>
      <c r="Z971" s="461" t="s">
        <v>836</v>
      </c>
      <c r="AA971" s="385">
        <v>2500</v>
      </c>
      <c r="AB971" s="464">
        <v>1</v>
      </c>
      <c r="AC971" s="461">
        <v>-9999</v>
      </c>
      <c r="AD971" s="273">
        <v>1042</v>
      </c>
      <c r="AE971" s="461" t="s">
        <v>1959</v>
      </c>
      <c r="AF971" s="461">
        <v>3</v>
      </c>
      <c r="AG971" s="461">
        <v>3</v>
      </c>
      <c r="AH971" s="461" t="s">
        <v>623</v>
      </c>
      <c r="AI971" s="461" t="s">
        <v>834</v>
      </c>
      <c r="AJ971" s="461">
        <v>20</v>
      </c>
      <c r="AK971" s="461" t="s">
        <v>625</v>
      </c>
      <c r="AL971" s="461" t="s">
        <v>1127</v>
      </c>
      <c r="AM971" s="461">
        <v>-9999</v>
      </c>
      <c r="AN971" s="461" t="s">
        <v>626</v>
      </c>
      <c r="AO971" s="461" t="s">
        <v>627</v>
      </c>
      <c r="AP971" s="461" t="s">
        <v>1126</v>
      </c>
      <c r="AQ971" s="461" t="s">
        <v>626</v>
      </c>
      <c r="AR971" s="461">
        <f>+AR970+100</f>
        <v>300</v>
      </c>
      <c r="AS971" s="461" t="s">
        <v>1201</v>
      </c>
      <c r="AT971" s="461" t="s">
        <v>275</v>
      </c>
      <c r="AU971" s="461">
        <f t="shared" si="102"/>
        <v>0</v>
      </c>
      <c r="AV971" s="461">
        <v>-9999</v>
      </c>
      <c r="AW971" s="461">
        <v>-9999</v>
      </c>
      <c r="AX971" s="461">
        <f t="shared" si="103"/>
        <v>0</v>
      </c>
      <c r="AY971" s="461">
        <v>-9999</v>
      </c>
      <c r="AZ971" s="461">
        <v>-9999</v>
      </c>
      <c r="BA971" s="461" t="s">
        <v>725</v>
      </c>
      <c r="BB971" s="461" t="s">
        <v>626</v>
      </c>
      <c r="BC971" s="461" t="s">
        <v>829</v>
      </c>
      <c r="BD971" s="461" t="s">
        <v>835</v>
      </c>
      <c r="BE971" s="461" t="s">
        <v>1128</v>
      </c>
      <c r="BF971" s="461" t="s">
        <v>1129</v>
      </c>
      <c r="BG971" s="461" t="s">
        <v>577</v>
      </c>
      <c r="BH971" s="461">
        <v>-9999</v>
      </c>
      <c r="BI971" s="461">
        <v>-9999</v>
      </c>
      <c r="BJ971" s="461">
        <v>24.1</v>
      </c>
      <c r="BK971" s="461">
        <v>-9999</v>
      </c>
      <c r="BL971" s="461">
        <v>13.1</v>
      </c>
      <c r="BM971" s="461">
        <v>-9999</v>
      </c>
      <c r="BN971" s="461">
        <v>10.8</v>
      </c>
      <c r="BO971" s="461">
        <v>-9999</v>
      </c>
      <c r="BP971" s="461">
        <v>-9999</v>
      </c>
      <c r="BQ971" s="461">
        <v>-9999</v>
      </c>
      <c r="BR971" s="461">
        <v>-9999</v>
      </c>
      <c r="BS971" s="465">
        <v>-9999</v>
      </c>
      <c r="BT971" s="461">
        <v>-9999</v>
      </c>
      <c r="BU971" s="461">
        <v>-9999</v>
      </c>
      <c r="BV971" s="461">
        <v>-9999</v>
      </c>
      <c r="BW971" s="461"/>
      <c r="BX971" s="461">
        <v>27.3</v>
      </c>
      <c r="BY971" s="461">
        <v>-9999</v>
      </c>
      <c r="BZ971" s="461">
        <v>-9999</v>
      </c>
      <c r="CA971" s="466">
        <v>-9999</v>
      </c>
      <c r="CB971" s="467" t="s">
        <v>1132</v>
      </c>
      <c r="CC971" s="325">
        <v>1</v>
      </c>
      <c r="CD971" s="325">
        <v>7</v>
      </c>
      <c r="CE971" s="342">
        <v>9.8270142857142861</v>
      </c>
      <c r="CF971" s="342">
        <v>15.630800000000008</v>
      </c>
      <c r="CG971" s="325">
        <v>7</v>
      </c>
    </row>
    <row r="972" spans="1:1873" s="23" customFormat="1" ht="12.75" customHeight="1" x14ac:dyDescent="0.2">
      <c r="A972" s="273"/>
      <c r="B972" s="273"/>
      <c r="C972" s="273"/>
      <c r="D972" s="273"/>
      <c r="E972" s="273"/>
      <c r="F972" s="273"/>
      <c r="G972" s="273"/>
      <c r="H972" s="273"/>
      <c r="I972" s="273"/>
      <c r="J972" s="273"/>
      <c r="K972" s="463"/>
      <c r="L972" s="273"/>
      <c r="M972" s="471"/>
      <c r="N972" s="471"/>
      <c r="O972" s="1"/>
      <c r="P972" s="471"/>
      <c r="Q972" s="273"/>
      <c r="R972" s="471"/>
      <c r="S972" s="273"/>
      <c r="T972" s="414"/>
      <c r="U972" s="273"/>
      <c r="V972" s="273"/>
      <c r="W972" s="414"/>
      <c r="X972" s="273"/>
      <c r="Y972" s="273"/>
      <c r="Z972" s="273"/>
      <c r="AA972" s="385"/>
      <c r="AB972" s="471"/>
      <c r="AC972" s="273"/>
      <c r="AD972" s="273"/>
      <c r="AE972" s="273"/>
      <c r="AF972" s="273"/>
      <c r="AG972" s="273"/>
      <c r="AH972" s="273"/>
      <c r="AI972" s="273"/>
      <c r="AJ972" s="273"/>
      <c r="AK972" s="273"/>
      <c r="AL972" s="273"/>
      <c r="AM972" s="273"/>
      <c r="AN972" s="273"/>
      <c r="AO972" s="273"/>
      <c r="AP972" s="273"/>
      <c r="AQ972" s="273"/>
      <c r="AR972" s="273"/>
      <c r="AS972" s="273"/>
      <c r="AT972" s="273"/>
      <c r="AU972" s="273"/>
      <c r="AV972" s="273"/>
      <c r="AW972" s="273"/>
      <c r="AX972" s="273"/>
      <c r="AY972" s="273"/>
      <c r="AZ972" s="273"/>
      <c r="BA972" s="273"/>
      <c r="BB972" s="273"/>
      <c r="BC972" s="273"/>
      <c r="BD972" s="273"/>
      <c r="BE972" s="273"/>
      <c r="BF972" s="273"/>
      <c r="BG972" s="273"/>
      <c r="BH972" s="273"/>
      <c r="BI972" s="273"/>
      <c r="BJ972" s="273"/>
      <c r="BK972" s="273"/>
      <c r="BL972" s="273"/>
      <c r="BM972" s="273"/>
      <c r="BN972" s="273"/>
      <c r="BO972" s="273"/>
      <c r="BP972" s="273"/>
      <c r="BQ972" s="273"/>
      <c r="BR972" s="273"/>
      <c r="BS972" s="468"/>
      <c r="BT972" s="273"/>
      <c r="BU972" s="273"/>
      <c r="BV972" s="273"/>
      <c r="BW972" s="273"/>
      <c r="BX972" s="273"/>
      <c r="BY972" s="273"/>
      <c r="BZ972" s="273"/>
      <c r="CA972" s="472"/>
      <c r="CB972" s="473"/>
      <c r="CC972" s="89"/>
      <c r="CD972" s="89"/>
      <c r="CE972" s="342" t="s">
        <v>1576</v>
      </c>
      <c r="CF972" s="342" t="s">
        <v>1575</v>
      </c>
      <c r="CG972" s="89"/>
      <c r="CP972" s="301" t="s">
        <v>1660</v>
      </c>
    </row>
    <row r="973" spans="1:1873" s="23" customFormat="1" ht="12.75" customHeight="1" x14ac:dyDescent="0.2">
      <c r="A973" s="461" t="s">
        <v>832</v>
      </c>
      <c r="B973" s="273" t="s">
        <v>820</v>
      </c>
      <c r="C973" s="273" t="s">
        <v>1123</v>
      </c>
      <c r="D973" s="273" t="s">
        <v>619</v>
      </c>
      <c r="E973" s="462" t="s">
        <v>169</v>
      </c>
      <c r="F973" s="273">
        <v>1</v>
      </c>
      <c r="G973" s="273">
        <v>1</v>
      </c>
      <c r="H973" s="273">
        <v>1</v>
      </c>
      <c r="I973" s="273" t="s">
        <v>621</v>
      </c>
      <c r="J973" s="273">
        <v>1986</v>
      </c>
      <c r="K973" s="463" t="s">
        <v>1211</v>
      </c>
      <c r="L973" s="273">
        <v>1986</v>
      </c>
      <c r="M973" s="471">
        <v>-9999</v>
      </c>
      <c r="N973" s="471">
        <v>-9999</v>
      </c>
      <c r="O973" s="1"/>
      <c r="P973" s="471">
        <v>8.7257400000000001</v>
      </c>
      <c r="Q973" s="273">
        <v>-9999</v>
      </c>
      <c r="R973" s="471"/>
      <c r="S973" s="273"/>
      <c r="T973" s="414">
        <f t="shared" ref="T973:T979" si="105">+P973/H973</f>
        <v>8.7257400000000001</v>
      </c>
      <c r="U973" s="273">
        <v>-9999</v>
      </c>
      <c r="V973" s="273"/>
      <c r="W973" s="414">
        <v>-9999</v>
      </c>
      <c r="X973" s="273">
        <v>-9999</v>
      </c>
      <c r="Y973" s="273"/>
      <c r="Z973" s="273" t="s">
        <v>833</v>
      </c>
      <c r="AA973" s="385">
        <v>40000</v>
      </c>
      <c r="AB973" s="471">
        <v>0.98</v>
      </c>
      <c r="AC973" s="273">
        <v>-9999</v>
      </c>
      <c r="AD973" s="385">
        <v>250</v>
      </c>
      <c r="AE973" s="461" t="s">
        <v>1959</v>
      </c>
      <c r="AF973" s="273">
        <v>3</v>
      </c>
      <c r="AG973" s="273">
        <v>8</v>
      </c>
      <c r="AH973" s="273" t="s">
        <v>623</v>
      </c>
      <c r="AI973" s="273" t="s">
        <v>834</v>
      </c>
      <c r="AJ973" s="273">
        <v>20</v>
      </c>
      <c r="AK973" s="273" t="s">
        <v>625</v>
      </c>
      <c r="AL973" s="273" t="s">
        <v>1127</v>
      </c>
      <c r="AM973" s="273">
        <v>-9999</v>
      </c>
      <c r="AN973" s="273" t="s">
        <v>626</v>
      </c>
      <c r="AO973" s="273" t="s">
        <v>627</v>
      </c>
      <c r="AP973" s="273" t="s">
        <v>1126</v>
      </c>
      <c r="AQ973" s="273" t="s">
        <v>626</v>
      </c>
      <c r="AR973" s="273">
        <v>100</v>
      </c>
      <c r="AS973" s="273" t="s">
        <v>726</v>
      </c>
      <c r="AT973" s="273" t="s">
        <v>755</v>
      </c>
      <c r="AU973" s="273">
        <f t="shared" ref="AU973:AU979" si="106">+AU972+0</f>
        <v>0</v>
      </c>
      <c r="AV973" s="273" t="s">
        <v>226</v>
      </c>
      <c r="AW973" s="273" t="s">
        <v>755</v>
      </c>
      <c r="AX973" s="273">
        <f t="shared" ref="AX973:AX979" si="107">+AX972+0</f>
        <v>0</v>
      </c>
      <c r="AY973" s="273" t="s">
        <v>226</v>
      </c>
      <c r="AZ973" s="273" t="s">
        <v>755</v>
      </c>
      <c r="BA973" s="273" t="s">
        <v>725</v>
      </c>
      <c r="BB973" s="273" t="s">
        <v>626</v>
      </c>
      <c r="BC973" s="273" t="s">
        <v>829</v>
      </c>
      <c r="BD973" s="273" t="s">
        <v>835</v>
      </c>
      <c r="BE973" s="273" t="s">
        <v>1128</v>
      </c>
      <c r="BF973" s="273" t="s">
        <v>1129</v>
      </c>
      <c r="BG973" s="273" t="s">
        <v>577</v>
      </c>
      <c r="BH973" s="273">
        <v>-9999</v>
      </c>
      <c r="BI973" s="273">
        <v>-9999</v>
      </c>
      <c r="BJ973" s="273">
        <v>3</v>
      </c>
      <c r="BK973" s="273">
        <v>-9999</v>
      </c>
      <c r="BL973" s="273">
        <v>-9999</v>
      </c>
      <c r="BM973" s="273">
        <v>-9999</v>
      </c>
      <c r="BN973" s="273">
        <v>-9999</v>
      </c>
      <c r="BO973" s="273">
        <v>-9999</v>
      </c>
      <c r="BP973" s="273">
        <v>-9999</v>
      </c>
      <c r="BQ973" s="273">
        <v>-9999</v>
      </c>
      <c r="BR973" s="273">
        <v>-9999</v>
      </c>
      <c r="BS973" s="468">
        <v>-9999</v>
      </c>
      <c r="BT973" s="273">
        <v>-9999</v>
      </c>
      <c r="BU973" s="273">
        <v>-9999</v>
      </c>
      <c r="BV973" s="273">
        <v>-9999</v>
      </c>
      <c r="BW973" s="273"/>
      <c r="BX973" s="273">
        <v>-9999</v>
      </c>
      <c r="BY973" s="273">
        <v>-9999</v>
      </c>
      <c r="BZ973" s="273">
        <v>-9999</v>
      </c>
      <c r="CA973" s="472">
        <v>-9999</v>
      </c>
      <c r="CB973" s="473" t="s">
        <v>1132</v>
      </c>
      <c r="CC973" s="89">
        <v>1</v>
      </c>
      <c r="CD973" s="89">
        <v>1</v>
      </c>
      <c r="CE973" s="292">
        <v>8.7257400000000001</v>
      </c>
      <c r="CF973" s="292">
        <v>8.73</v>
      </c>
      <c r="CG973" s="89">
        <v>1</v>
      </c>
    </row>
    <row r="974" spans="1:1873" s="23" customFormat="1" ht="12.75" customHeight="1" x14ac:dyDescent="0.2">
      <c r="A974" s="273" t="s">
        <v>832</v>
      </c>
      <c r="B974" s="273" t="s">
        <v>820</v>
      </c>
      <c r="C974" s="273" t="s">
        <v>1123</v>
      </c>
      <c r="D974" s="273" t="s">
        <v>619</v>
      </c>
      <c r="E974" s="462" t="s">
        <v>169</v>
      </c>
      <c r="F974" s="273">
        <v>1</v>
      </c>
      <c r="G974" s="273">
        <v>2</v>
      </c>
      <c r="H974" s="273">
        <v>2</v>
      </c>
      <c r="I974" s="273" t="s">
        <v>621</v>
      </c>
      <c r="J974" s="273">
        <v>1986</v>
      </c>
      <c r="K974" s="463" t="s">
        <v>1211</v>
      </c>
      <c r="L974" s="273">
        <v>1987</v>
      </c>
      <c r="M974" s="471">
        <v>-9999</v>
      </c>
      <c r="N974" s="471">
        <v>-9999</v>
      </c>
      <c r="O974" s="1"/>
      <c r="P974" s="471">
        <v>22.952300000000001</v>
      </c>
      <c r="Q974" s="273">
        <v>-9999</v>
      </c>
      <c r="R974" s="471"/>
      <c r="S974" s="273"/>
      <c r="T974" s="414">
        <f t="shared" si="105"/>
        <v>11.476150000000001</v>
      </c>
      <c r="U974" s="273">
        <v>-9999</v>
      </c>
      <c r="V974" s="273"/>
      <c r="W974" s="414">
        <f t="shared" ref="W974:W979" si="108">+P974-P973</f>
        <v>14.226560000000001</v>
      </c>
      <c r="X974" s="273">
        <v>-9999</v>
      </c>
      <c r="Y974" s="273"/>
      <c r="Z974" s="273" t="s">
        <v>833</v>
      </c>
      <c r="AA974" s="385">
        <v>40000</v>
      </c>
      <c r="AB974" s="471">
        <v>-9999</v>
      </c>
      <c r="AC974" s="273">
        <v>-9999</v>
      </c>
      <c r="AD974" s="385">
        <v>250</v>
      </c>
      <c r="AE974" s="461" t="s">
        <v>1959</v>
      </c>
      <c r="AF974" s="273">
        <v>3</v>
      </c>
      <c r="AG974" s="273">
        <v>8</v>
      </c>
      <c r="AH974" s="273" t="s">
        <v>623</v>
      </c>
      <c r="AI974" s="273" t="s">
        <v>834</v>
      </c>
      <c r="AJ974" s="273">
        <v>20</v>
      </c>
      <c r="AK974" s="273" t="s">
        <v>625</v>
      </c>
      <c r="AL974" s="273" t="s">
        <v>1127</v>
      </c>
      <c r="AM974" s="273">
        <v>-9999</v>
      </c>
      <c r="AN974" s="273" t="s">
        <v>626</v>
      </c>
      <c r="AO974" s="273" t="s">
        <v>627</v>
      </c>
      <c r="AP974" s="273" t="s">
        <v>1126</v>
      </c>
      <c r="AQ974" s="273" t="s">
        <v>626</v>
      </c>
      <c r="AR974" s="273">
        <f>+AR973+0</f>
        <v>100</v>
      </c>
      <c r="AS974" s="273" t="s">
        <v>726</v>
      </c>
      <c r="AT974" s="273">
        <v>-9999</v>
      </c>
      <c r="AU974" s="273">
        <f t="shared" si="106"/>
        <v>0</v>
      </c>
      <c r="AV974" s="273">
        <v>-9999</v>
      </c>
      <c r="AW974" s="273">
        <v>-9999</v>
      </c>
      <c r="AX974" s="273">
        <f t="shared" si="107"/>
        <v>0</v>
      </c>
      <c r="AY974" s="273">
        <v>-9999</v>
      </c>
      <c r="AZ974" s="273">
        <v>-9999</v>
      </c>
      <c r="BA974" s="273" t="s">
        <v>725</v>
      </c>
      <c r="BB974" s="273" t="s">
        <v>626</v>
      </c>
      <c r="BC974" s="273" t="s">
        <v>829</v>
      </c>
      <c r="BD974" s="273" t="s">
        <v>835</v>
      </c>
      <c r="BE974" s="273" t="s">
        <v>1128</v>
      </c>
      <c r="BF974" s="273" t="s">
        <v>1129</v>
      </c>
      <c r="BG974" s="273" t="s">
        <v>577</v>
      </c>
      <c r="BH974" s="273">
        <v>-9999</v>
      </c>
      <c r="BI974" s="273">
        <v>-9999</v>
      </c>
      <c r="BJ974" s="273">
        <v>17.5</v>
      </c>
      <c r="BK974" s="273">
        <v>-9999</v>
      </c>
      <c r="BL974" s="273">
        <v>-9999</v>
      </c>
      <c r="BM974" s="273">
        <v>-9999</v>
      </c>
      <c r="BN974" s="273">
        <v>-9999</v>
      </c>
      <c r="BO974" s="273">
        <v>-9999</v>
      </c>
      <c r="BP974" s="273">
        <v>-9999</v>
      </c>
      <c r="BQ974" s="273">
        <v>-9999</v>
      </c>
      <c r="BR974" s="273">
        <v>-9999</v>
      </c>
      <c r="BS974" s="468">
        <v>-9999</v>
      </c>
      <c r="BT974" s="273">
        <v>-9999</v>
      </c>
      <c r="BU974" s="273">
        <v>-9999</v>
      </c>
      <c r="BV974" s="273">
        <v>-9999</v>
      </c>
      <c r="BW974" s="273"/>
      <c r="BX974" s="273">
        <v>-9999</v>
      </c>
      <c r="BY974" s="273">
        <v>-9999</v>
      </c>
      <c r="BZ974" s="273">
        <v>-9999</v>
      </c>
      <c r="CA974" s="472">
        <v>-9999</v>
      </c>
      <c r="CB974" s="473" t="s">
        <v>1132</v>
      </c>
      <c r="CC974" s="89">
        <v>1</v>
      </c>
      <c r="CD974" s="89">
        <v>2</v>
      </c>
      <c r="CE974" s="292">
        <v>11.476150000000001</v>
      </c>
      <c r="CF974" s="292">
        <v>14.226560000000001</v>
      </c>
      <c r="CG974" s="89">
        <v>2</v>
      </c>
    </row>
    <row r="975" spans="1:1873" s="23" customFormat="1" ht="12.75" customHeight="1" x14ac:dyDescent="0.3">
      <c r="A975" s="273" t="s">
        <v>832</v>
      </c>
      <c r="B975" s="273" t="s">
        <v>820</v>
      </c>
      <c r="C975" s="273" t="s">
        <v>1123</v>
      </c>
      <c r="D975" s="273" t="s">
        <v>619</v>
      </c>
      <c r="E975" s="462" t="s">
        <v>169</v>
      </c>
      <c r="F975" s="273">
        <v>1</v>
      </c>
      <c r="G975" s="273">
        <v>3</v>
      </c>
      <c r="H975" s="273">
        <v>3</v>
      </c>
      <c r="I975" s="273" t="s">
        <v>621</v>
      </c>
      <c r="J975" s="273">
        <v>1986</v>
      </c>
      <c r="K975" s="463" t="s">
        <v>1211</v>
      </c>
      <c r="L975" s="273">
        <v>1988</v>
      </c>
      <c r="M975" s="471">
        <v>-9999</v>
      </c>
      <c r="N975" s="471">
        <v>-9999</v>
      </c>
      <c r="O975" s="1"/>
      <c r="P975" s="471">
        <v>44.786000000000001</v>
      </c>
      <c r="Q975" s="273">
        <v>-9999</v>
      </c>
      <c r="R975" s="471"/>
      <c r="S975" s="273"/>
      <c r="T975" s="414">
        <f t="shared" si="105"/>
        <v>14.928666666666667</v>
      </c>
      <c r="U975" s="273">
        <v>-9999</v>
      </c>
      <c r="V975" s="273"/>
      <c r="W975" s="414">
        <f t="shared" si="108"/>
        <v>21.8337</v>
      </c>
      <c r="X975" s="273">
        <v>-9999</v>
      </c>
      <c r="Y975" s="273"/>
      <c r="Z975" s="273" t="s">
        <v>833</v>
      </c>
      <c r="AA975" s="385">
        <v>40000</v>
      </c>
      <c r="AB975" s="471">
        <v>-9999</v>
      </c>
      <c r="AC975" s="273">
        <v>-9999</v>
      </c>
      <c r="AD975" s="385">
        <v>250</v>
      </c>
      <c r="AE975" s="461" t="s">
        <v>1959</v>
      </c>
      <c r="AF975" s="273">
        <v>3</v>
      </c>
      <c r="AG975" s="273">
        <v>8</v>
      </c>
      <c r="AH975" s="273" t="s">
        <v>623</v>
      </c>
      <c r="AI975" s="273" t="s">
        <v>834</v>
      </c>
      <c r="AJ975" s="273">
        <v>20</v>
      </c>
      <c r="AK975" s="273" t="s">
        <v>625</v>
      </c>
      <c r="AL975" s="273" t="s">
        <v>1127</v>
      </c>
      <c r="AM975" s="273">
        <v>-9999</v>
      </c>
      <c r="AN975" s="273" t="s">
        <v>626</v>
      </c>
      <c r="AO975" s="273" t="s">
        <v>627</v>
      </c>
      <c r="AP975" s="273" t="s">
        <v>1126</v>
      </c>
      <c r="AQ975" s="273" t="s">
        <v>626</v>
      </c>
      <c r="AR975" s="273">
        <f>+AR974+100</f>
        <v>200</v>
      </c>
      <c r="AS975" s="273" t="s">
        <v>1201</v>
      </c>
      <c r="AT975" s="273" t="s">
        <v>275</v>
      </c>
      <c r="AU975" s="273">
        <f t="shared" si="106"/>
        <v>0</v>
      </c>
      <c r="AV975" s="273">
        <v>-9999</v>
      </c>
      <c r="AW975" s="273">
        <v>-9999</v>
      </c>
      <c r="AX975" s="273">
        <f t="shared" si="107"/>
        <v>0</v>
      </c>
      <c r="AY975" s="273">
        <v>-9999</v>
      </c>
      <c r="AZ975" s="273">
        <v>-9999</v>
      </c>
      <c r="BA975" s="273" t="s">
        <v>725</v>
      </c>
      <c r="BB975" s="273" t="s">
        <v>626</v>
      </c>
      <c r="BC975" s="273" t="s">
        <v>829</v>
      </c>
      <c r="BD975" s="273" t="s">
        <v>835</v>
      </c>
      <c r="BE975" s="273" t="s">
        <v>1128</v>
      </c>
      <c r="BF975" s="273" t="s">
        <v>1129</v>
      </c>
      <c r="BG975" s="273" t="s">
        <v>577</v>
      </c>
      <c r="BH975" s="273">
        <v>-9999</v>
      </c>
      <c r="BI975" s="273">
        <v>-9999</v>
      </c>
      <c r="BJ975" s="273">
        <v>29.9</v>
      </c>
      <c r="BK975" s="273">
        <v>-9999</v>
      </c>
      <c r="BL975" s="273">
        <v>-9999</v>
      </c>
      <c r="BM975" s="273">
        <v>-9999</v>
      </c>
      <c r="BN975" s="273">
        <v>-9999</v>
      </c>
      <c r="BO975" s="273">
        <v>-9999</v>
      </c>
      <c r="BP975" s="273">
        <v>-9999</v>
      </c>
      <c r="BQ975" s="273">
        <v>-9999</v>
      </c>
      <c r="BR975" s="273">
        <v>-9999</v>
      </c>
      <c r="BS975" s="468">
        <v>-9999</v>
      </c>
      <c r="BT975" s="273">
        <v>-9999</v>
      </c>
      <c r="BU975" s="273">
        <v>-9999</v>
      </c>
      <c r="BV975" s="273">
        <v>-9999</v>
      </c>
      <c r="BW975" s="273"/>
      <c r="BX975" s="273">
        <v>-9999</v>
      </c>
      <c r="BY975" s="273">
        <v>-9999</v>
      </c>
      <c r="BZ975" s="273">
        <v>-9999</v>
      </c>
      <c r="CA975" s="472">
        <v>-9999</v>
      </c>
      <c r="CB975" s="473" t="s">
        <v>1132</v>
      </c>
      <c r="CC975" s="89">
        <v>1</v>
      </c>
      <c r="CD975" s="89">
        <v>3</v>
      </c>
      <c r="CE975" s="292">
        <v>14.928666666666667</v>
      </c>
      <c r="CF975" s="292">
        <v>21.8337</v>
      </c>
      <c r="CG975" s="89">
        <v>3</v>
      </c>
    </row>
    <row r="976" spans="1:1873" s="23" customFormat="1" ht="12.75" customHeight="1" x14ac:dyDescent="0.2">
      <c r="A976" s="273" t="s">
        <v>832</v>
      </c>
      <c r="B976" s="273" t="s">
        <v>820</v>
      </c>
      <c r="C976" s="273" t="s">
        <v>1123</v>
      </c>
      <c r="D976" s="273" t="s">
        <v>619</v>
      </c>
      <c r="E976" s="462" t="s">
        <v>169</v>
      </c>
      <c r="F976" s="273">
        <v>1</v>
      </c>
      <c r="G976" s="273">
        <v>4</v>
      </c>
      <c r="H976" s="273">
        <v>4</v>
      </c>
      <c r="I976" s="273" t="s">
        <v>621</v>
      </c>
      <c r="J976" s="273">
        <v>1986</v>
      </c>
      <c r="K976" s="463" t="s">
        <v>1211</v>
      </c>
      <c r="L976" s="273">
        <v>1989</v>
      </c>
      <c r="M976" s="471">
        <v>-9999</v>
      </c>
      <c r="N976" s="471">
        <v>-9999</v>
      </c>
      <c r="O976" s="1"/>
      <c r="P976" s="471">
        <v>65.23</v>
      </c>
      <c r="Q976" s="273">
        <v>-9999</v>
      </c>
      <c r="R976" s="471"/>
      <c r="S976" s="273"/>
      <c r="T976" s="414">
        <f t="shared" si="105"/>
        <v>16.307500000000001</v>
      </c>
      <c r="U976" s="273">
        <v>-9999</v>
      </c>
      <c r="V976" s="273"/>
      <c r="W976" s="414">
        <f t="shared" si="108"/>
        <v>20.444000000000003</v>
      </c>
      <c r="X976" s="273">
        <v>-9999</v>
      </c>
      <c r="Y976" s="273"/>
      <c r="Z976" s="273" t="s">
        <v>833</v>
      </c>
      <c r="AA976" s="385">
        <v>40000</v>
      </c>
      <c r="AB976" s="471">
        <v>-9999</v>
      </c>
      <c r="AC976" s="273">
        <v>-9999</v>
      </c>
      <c r="AD976" s="385">
        <v>250</v>
      </c>
      <c r="AE976" s="461" t="s">
        <v>1959</v>
      </c>
      <c r="AF976" s="273">
        <v>3</v>
      </c>
      <c r="AG976" s="273">
        <v>8</v>
      </c>
      <c r="AH976" s="273" t="s">
        <v>623</v>
      </c>
      <c r="AI976" s="273" t="s">
        <v>834</v>
      </c>
      <c r="AJ976" s="273">
        <v>20</v>
      </c>
      <c r="AK976" s="273" t="s">
        <v>625</v>
      </c>
      <c r="AL976" s="273" t="s">
        <v>1127</v>
      </c>
      <c r="AM976" s="273">
        <v>-9999</v>
      </c>
      <c r="AN976" s="273" t="s">
        <v>626</v>
      </c>
      <c r="AO976" s="273" t="s">
        <v>627</v>
      </c>
      <c r="AP976" s="273" t="s">
        <v>1126</v>
      </c>
      <c r="AQ976" s="273" t="s">
        <v>626</v>
      </c>
      <c r="AR976" s="273">
        <f>+AR975+0</f>
        <v>200</v>
      </c>
      <c r="AS976" s="273" t="s">
        <v>726</v>
      </c>
      <c r="AT976" s="273">
        <v>-9999</v>
      </c>
      <c r="AU976" s="273">
        <f t="shared" si="106"/>
        <v>0</v>
      </c>
      <c r="AV976" s="273">
        <v>-9999</v>
      </c>
      <c r="AW976" s="273">
        <v>-9999</v>
      </c>
      <c r="AX976" s="273">
        <f t="shared" si="107"/>
        <v>0</v>
      </c>
      <c r="AY976" s="273">
        <v>-9999</v>
      </c>
      <c r="AZ976" s="273">
        <v>-9999</v>
      </c>
      <c r="BA976" s="273" t="s">
        <v>725</v>
      </c>
      <c r="BB976" s="273" t="s">
        <v>626</v>
      </c>
      <c r="BC976" s="273" t="s">
        <v>829</v>
      </c>
      <c r="BD976" s="273" t="s">
        <v>835</v>
      </c>
      <c r="BE976" s="273" t="s">
        <v>1128</v>
      </c>
      <c r="BF976" s="273" t="s">
        <v>1129</v>
      </c>
      <c r="BG976" s="273" t="s">
        <v>577</v>
      </c>
      <c r="BH976" s="273">
        <v>-9999</v>
      </c>
      <c r="BI976" s="273">
        <v>-9999</v>
      </c>
      <c r="BJ976" s="273">
        <v>36.9</v>
      </c>
      <c r="BK976" s="273">
        <v>-9999</v>
      </c>
      <c r="BL976" s="273">
        <v>-9999</v>
      </c>
      <c r="BM976" s="273">
        <v>-9999</v>
      </c>
      <c r="BN976" s="273">
        <v>-9999</v>
      </c>
      <c r="BO976" s="273">
        <v>-9999</v>
      </c>
      <c r="BP976" s="273">
        <v>-9999</v>
      </c>
      <c r="BQ976" s="273">
        <v>-9999</v>
      </c>
      <c r="BR976" s="273">
        <v>-9999</v>
      </c>
      <c r="BS976" s="468">
        <v>-9999</v>
      </c>
      <c r="BT976" s="273">
        <v>-9999</v>
      </c>
      <c r="BU976" s="273">
        <v>-9999</v>
      </c>
      <c r="BV976" s="273">
        <v>-9999</v>
      </c>
      <c r="BW976" s="273"/>
      <c r="BX976" s="273">
        <v>-9999</v>
      </c>
      <c r="BY976" s="273">
        <v>-9999</v>
      </c>
      <c r="BZ976" s="273">
        <v>-9999</v>
      </c>
      <c r="CA976" s="472">
        <v>-9999</v>
      </c>
      <c r="CB976" s="473" t="s">
        <v>1132</v>
      </c>
      <c r="CC976" s="89">
        <v>1</v>
      </c>
      <c r="CD976" s="89">
        <v>4</v>
      </c>
      <c r="CE976" s="292">
        <v>16.307500000000001</v>
      </c>
      <c r="CF976" s="292">
        <v>20.444000000000003</v>
      </c>
      <c r="CG976" s="89">
        <v>4</v>
      </c>
    </row>
    <row r="977" spans="1:1873" s="210" customFormat="1" ht="12.75" customHeight="1" x14ac:dyDescent="0.2">
      <c r="A977" s="411" t="s">
        <v>832</v>
      </c>
      <c r="B977" s="411" t="s">
        <v>820</v>
      </c>
      <c r="C977" s="411" t="s">
        <v>1123</v>
      </c>
      <c r="D977" s="411" t="s">
        <v>619</v>
      </c>
      <c r="E977" s="571" t="s">
        <v>1133</v>
      </c>
      <c r="F977" s="411">
        <v>1</v>
      </c>
      <c r="G977" s="411">
        <v>5</v>
      </c>
      <c r="H977" s="411">
        <v>5</v>
      </c>
      <c r="I977" s="411" t="s">
        <v>621</v>
      </c>
      <c r="J977" s="411">
        <v>1986</v>
      </c>
      <c r="K977" s="572" t="s">
        <v>1211</v>
      </c>
      <c r="L977" s="411">
        <v>1990</v>
      </c>
      <c r="M977" s="573">
        <v>-9999</v>
      </c>
      <c r="N977" s="573">
        <v>-9999</v>
      </c>
      <c r="O977" s="8"/>
      <c r="P977" s="573">
        <v>88.409899999999993</v>
      </c>
      <c r="Q977" s="411">
        <v>-9999</v>
      </c>
      <c r="R977" s="573"/>
      <c r="S977" s="411"/>
      <c r="T977" s="575">
        <f t="shared" si="105"/>
        <v>17.681979999999999</v>
      </c>
      <c r="U977" s="411">
        <v>-9999</v>
      </c>
      <c r="V977" s="411"/>
      <c r="W977" s="575">
        <f t="shared" si="108"/>
        <v>23.179899999999989</v>
      </c>
      <c r="X977" s="411">
        <v>-9999</v>
      </c>
      <c r="Y977" s="411"/>
      <c r="Z977" s="411" t="s">
        <v>833</v>
      </c>
      <c r="AA977" s="576">
        <v>40000</v>
      </c>
      <c r="AB977" s="573">
        <v>-9999</v>
      </c>
      <c r="AC977" s="411">
        <v>-9999</v>
      </c>
      <c r="AD977" s="576">
        <v>250</v>
      </c>
      <c r="AE977" s="411" t="s">
        <v>1959</v>
      </c>
      <c r="AF977" s="411">
        <v>3</v>
      </c>
      <c r="AG977" s="411">
        <v>8</v>
      </c>
      <c r="AH977" s="411" t="s">
        <v>623</v>
      </c>
      <c r="AI977" s="411" t="s">
        <v>834</v>
      </c>
      <c r="AJ977" s="411">
        <v>20</v>
      </c>
      <c r="AK977" s="411" t="s">
        <v>625</v>
      </c>
      <c r="AL977" s="411" t="s">
        <v>1127</v>
      </c>
      <c r="AM977" s="411">
        <v>-9999</v>
      </c>
      <c r="AN977" s="411" t="s">
        <v>626</v>
      </c>
      <c r="AO977" s="411" t="s">
        <v>627</v>
      </c>
      <c r="AP977" s="411" t="s">
        <v>1126</v>
      </c>
      <c r="AQ977" s="411" t="s">
        <v>626</v>
      </c>
      <c r="AR977" s="411">
        <f>+AR976+0</f>
        <v>200</v>
      </c>
      <c r="AS977" s="411" t="s">
        <v>726</v>
      </c>
      <c r="AT977" s="411">
        <v>-9999</v>
      </c>
      <c r="AU977" s="411">
        <f t="shared" si="106"/>
        <v>0</v>
      </c>
      <c r="AV977" s="411">
        <v>-9999</v>
      </c>
      <c r="AW977" s="411">
        <v>-9999</v>
      </c>
      <c r="AX977" s="411">
        <f t="shared" si="107"/>
        <v>0</v>
      </c>
      <c r="AY977" s="411">
        <v>-9999</v>
      </c>
      <c r="AZ977" s="411">
        <v>-9999</v>
      </c>
      <c r="BA977" s="411" t="s">
        <v>725</v>
      </c>
      <c r="BB977" s="411" t="s">
        <v>626</v>
      </c>
      <c r="BC977" s="411" t="s">
        <v>829</v>
      </c>
      <c r="BD977" s="411" t="s">
        <v>835</v>
      </c>
      <c r="BE977" s="411" t="s">
        <v>1128</v>
      </c>
      <c r="BF977" s="411" t="s">
        <v>1129</v>
      </c>
      <c r="BG977" s="411" t="s">
        <v>577</v>
      </c>
      <c r="BH977" s="411">
        <v>-9999</v>
      </c>
      <c r="BI977" s="411">
        <v>-9999</v>
      </c>
      <c r="BJ977" s="411">
        <v>46.2</v>
      </c>
      <c r="BK977" s="411">
        <v>-9999</v>
      </c>
      <c r="BL977" s="411">
        <v>-9999</v>
      </c>
      <c r="BM977" s="411">
        <v>-9999</v>
      </c>
      <c r="BN977" s="411">
        <v>-9999</v>
      </c>
      <c r="BO977" s="411">
        <v>-9999</v>
      </c>
      <c r="BP977" s="411">
        <v>-9999</v>
      </c>
      <c r="BQ977" s="411">
        <v>-9999</v>
      </c>
      <c r="BR977" s="411">
        <v>-9999</v>
      </c>
      <c r="BS977" s="577">
        <v>-9999</v>
      </c>
      <c r="BT977" s="411">
        <v>-9999</v>
      </c>
      <c r="BU977" s="411">
        <v>-9999</v>
      </c>
      <c r="BV977" s="411">
        <v>-9999</v>
      </c>
      <c r="BW977" s="411"/>
      <c r="BX977" s="411">
        <v>-9999</v>
      </c>
      <c r="BY977" s="411">
        <v>-9999</v>
      </c>
      <c r="BZ977" s="411">
        <v>-9999</v>
      </c>
      <c r="CA977" s="578">
        <v>-9999</v>
      </c>
      <c r="CB977" s="579" t="s">
        <v>1132</v>
      </c>
      <c r="CC977" s="411">
        <v>1</v>
      </c>
      <c r="CD977" s="411">
        <v>5</v>
      </c>
      <c r="CE977" s="395">
        <v>17.681979999999999</v>
      </c>
      <c r="CF977" s="99">
        <v>23.179899999999989</v>
      </c>
      <c r="CG977" s="208">
        <v>5</v>
      </c>
      <c r="CH977" s="437" t="s">
        <v>1757</v>
      </c>
      <c r="CI977" s="13"/>
      <c r="CJ977" s="13"/>
      <c r="CK977" s="13"/>
      <c r="CL977" s="13"/>
      <c r="CM977" s="13"/>
      <c r="CN977" s="13"/>
      <c r="CO977" s="13"/>
      <c r="CP977" s="13"/>
      <c r="CQ977" s="13"/>
      <c r="CR977" s="13"/>
      <c r="CS977" s="13"/>
      <c r="CT977" s="13"/>
      <c r="CU977" s="13"/>
      <c r="CV977" s="13"/>
      <c r="CW977" s="13"/>
      <c r="CX977" s="13"/>
      <c r="CY977" s="13"/>
      <c r="CZ977" s="13"/>
      <c r="DA977" s="13"/>
      <c r="DB977" s="13"/>
      <c r="DC977" s="13"/>
      <c r="DD977" s="13"/>
      <c r="DE977" s="13"/>
      <c r="DF977" s="13"/>
      <c r="DG977" s="13"/>
      <c r="DH977" s="13"/>
      <c r="DI977" s="13"/>
      <c r="DJ977" s="13"/>
      <c r="DK977" s="13"/>
      <c r="DL977" s="13"/>
      <c r="DM977" s="13"/>
      <c r="DN977" s="13"/>
      <c r="DO977" s="13"/>
      <c r="DP977" s="13"/>
      <c r="DQ977" s="13"/>
      <c r="DR977" s="13"/>
      <c r="DS977" s="13"/>
      <c r="DT977" s="13"/>
      <c r="DU977" s="13"/>
      <c r="DV977" s="13"/>
      <c r="DW977" s="13"/>
      <c r="DX977" s="13"/>
      <c r="DY977" s="13"/>
      <c r="DZ977" s="13"/>
      <c r="EA977" s="13"/>
      <c r="EB977" s="13"/>
      <c r="EC977" s="13"/>
      <c r="ED977" s="13"/>
      <c r="EE977" s="13"/>
      <c r="EF977" s="13"/>
      <c r="EG977" s="13"/>
      <c r="EH977" s="13"/>
      <c r="EI977" s="13"/>
      <c r="EJ977" s="13"/>
      <c r="EK977" s="13"/>
      <c r="EL977" s="13"/>
      <c r="EM977" s="13"/>
      <c r="EN977" s="13"/>
      <c r="EO977" s="13"/>
      <c r="EP977" s="13"/>
      <c r="EQ977" s="13"/>
      <c r="ER977" s="13"/>
      <c r="ES977" s="13"/>
      <c r="ET977" s="13"/>
      <c r="EU977" s="13"/>
      <c r="EV977" s="13"/>
      <c r="EW977" s="13"/>
      <c r="EX977" s="13"/>
      <c r="EY977" s="13"/>
      <c r="EZ977" s="13"/>
      <c r="FA977" s="13"/>
      <c r="FB977" s="13"/>
      <c r="FC977" s="13"/>
      <c r="FD977" s="13"/>
      <c r="FE977" s="13"/>
      <c r="FF977" s="13"/>
      <c r="FG977" s="13"/>
      <c r="FH977" s="13"/>
      <c r="FI977" s="13"/>
      <c r="FJ977" s="13"/>
      <c r="FK977" s="13"/>
      <c r="FL977" s="13"/>
      <c r="FM977" s="13"/>
      <c r="FN977" s="13"/>
      <c r="FO977" s="13"/>
      <c r="FP977" s="13"/>
      <c r="FQ977" s="13"/>
      <c r="FR977" s="13"/>
      <c r="FS977" s="13"/>
      <c r="FT977" s="13"/>
      <c r="FU977" s="13"/>
      <c r="FV977" s="13"/>
      <c r="FW977" s="13"/>
      <c r="FX977" s="13"/>
      <c r="FY977" s="13"/>
      <c r="FZ977" s="13"/>
      <c r="GA977" s="13"/>
      <c r="GB977" s="13"/>
      <c r="GC977" s="13"/>
      <c r="GD977" s="13"/>
      <c r="GE977" s="13"/>
      <c r="GF977" s="13"/>
      <c r="GG977" s="13"/>
      <c r="GH977" s="13"/>
      <c r="GI977" s="13"/>
      <c r="GJ977" s="13"/>
      <c r="GK977" s="13"/>
      <c r="GL977" s="13"/>
      <c r="GM977" s="13"/>
      <c r="GN977" s="13"/>
      <c r="GO977" s="13"/>
      <c r="GP977" s="13"/>
      <c r="GQ977" s="13"/>
      <c r="GR977" s="13"/>
      <c r="GS977" s="13"/>
      <c r="GT977" s="13"/>
      <c r="GU977" s="13"/>
      <c r="GV977" s="13"/>
      <c r="GW977" s="13"/>
      <c r="GX977" s="13"/>
      <c r="GY977" s="13"/>
      <c r="GZ977" s="13"/>
      <c r="HA977" s="13"/>
      <c r="HB977" s="13"/>
      <c r="HC977" s="13"/>
      <c r="HD977" s="13"/>
      <c r="HE977" s="13"/>
      <c r="HF977" s="13"/>
      <c r="HG977" s="13"/>
      <c r="HH977" s="13"/>
      <c r="HI977" s="13"/>
      <c r="HJ977" s="13"/>
      <c r="HK977" s="13"/>
      <c r="HL977" s="13"/>
      <c r="HM977" s="13"/>
      <c r="HN977" s="13"/>
      <c r="HO977" s="13"/>
      <c r="HP977" s="13"/>
      <c r="HQ977" s="13"/>
      <c r="HR977" s="13"/>
      <c r="HS977" s="13"/>
      <c r="HT977" s="13"/>
      <c r="HU977" s="13"/>
      <c r="HV977" s="13"/>
      <c r="HW977" s="13"/>
      <c r="HX977" s="13"/>
      <c r="HY977" s="13"/>
      <c r="HZ977" s="13"/>
      <c r="IA977" s="13"/>
      <c r="IB977" s="13"/>
      <c r="IC977" s="13"/>
      <c r="ID977" s="13"/>
      <c r="IE977" s="13"/>
      <c r="IF977" s="13"/>
      <c r="IG977" s="13"/>
      <c r="IH977" s="13"/>
      <c r="II977" s="13"/>
      <c r="IJ977" s="13"/>
      <c r="IK977" s="13"/>
      <c r="IL977" s="13"/>
      <c r="IM977" s="13"/>
      <c r="IN977" s="13"/>
      <c r="IO977" s="13"/>
      <c r="IP977" s="13"/>
      <c r="IQ977" s="13"/>
      <c r="IR977" s="13"/>
      <c r="IS977" s="13"/>
      <c r="IT977" s="13"/>
      <c r="IU977" s="13"/>
      <c r="IV977" s="13"/>
      <c r="IW977" s="13"/>
      <c r="IX977" s="13"/>
      <c r="IY977" s="13"/>
      <c r="IZ977" s="13"/>
      <c r="JA977" s="13"/>
      <c r="JB977" s="13"/>
      <c r="JC977" s="13"/>
      <c r="JD977" s="13"/>
      <c r="JE977" s="13"/>
      <c r="JF977" s="13"/>
      <c r="JG977" s="13"/>
      <c r="JH977" s="13"/>
      <c r="JI977" s="13"/>
      <c r="JJ977" s="13"/>
      <c r="JK977" s="13"/>
      <c r="JL977" s="13"/>
      <c r="JM977" s="13"/>
      <c r="JN977" s="13"/>
      <c r="JO977" s="13"/>
      <c r="JP977" s="13"/>
      <c r="JQ977" s="13"/>
      <c r="JR977" s="13"/>
      <c r="JS977" s="13"/>
      <c r="JT977" s="13"/>
      <c r="JU977" s="13"/>
      <c r="JV977" s="13"/>
      <c r="JW977" s="13"/>
      <c r="JX977" s="13"/>
      <c r="JY977" s="13"/>
      <c r="JZ977" s="13"/>
      <c r="KA977" s="13"/>
      <c r="KB977" s="13"/>
      <c r="KC977" s="13"/>
      <c r="KD977" s="13"/>
      <c r="KE977" s="13"/>
      <c r="KF977" s="13"/>
      <c r="KG977" s="13"/>
      <c r="KH977" s="13"/>
      <c r="KI977" s="13"/>
      <c r="KJ977" s="13"/>
      <c r="KK977" s="13"/>
      <c r="KL977" s="13"/>
      <c r="KM977" s="13"/>
      <c r="KN977" s="13"/>
      <c r="KO977" s="13"/>
      <c r="KP977" s="13"/>
      <c r="KQ977" s="13"/>
      <c r="KR977" s="13"/>
      <c r="KS977" s="13"/>
      <c r="KT977" s="13"/>
      <c r="KU977" s="13"/>
      <c r="KV977" s="13"/>
      <c r="KW977" s="13"/>
      <c r="KX977" s="13"/>
      <c r="KY977" s="13"/>
      <c r="KZ977" s="13"/>
      <c r="LA977" s="13"/>
      <c r="LB977" s="13"/>
      <c r="LC977" s="13"/>
      <c r="LD977" s="13"/>
      <c r="LE977" s="13"/>
      <c r="LF977" s="13"/>
      <c r="LG977" s="13"/>
      <c r="LH977" s="13"/>
      <c r="LI977" s="13"/>
      <c r="LJ977" s="13"/>
      <c r="LK977" s="13"/>
      <c r="LL977" s="13"/>
      <c r="LM977" s="13"/>
      <c r="LN977" s="13"/>
      <c r="LO977" s="13"/>
      <c r="LP977" s="13"/>
      <c r="LQ977" s="13"/>
      <c r="LR977" s="13"/>
      <c r="LS977" s="13"/>
      <c r="LT977" s="13"/>
      <c r="LU977" s="13"/>
      <c r="LV977" s="13"/>
      <c r="LW977" s="13"/>
      <c r="LX977" s="13"/>
      <c r="LY977" s="13"/>
      <c r="LZ977" s="13"/>
      <c r="MA977" s="13"/>
      <c r="MB977" s="13"/>
      <c r="MC977" s="13"/>
      <c r="MD977" s="13"/>
      <c r="ME977" s="13"/>
      <c r="MF977" s="13"/>
      <c r="MG977" s="13"/>
      <c r="MH977" s="13"/>
      <c r="MI977" s="13"/>
      <c r="MJ977" s="13"/>
      <c r="MK977" s="13"/>
      <c r="ML977" s="13"/>
      <c r="MM977" s="13"/>
      <c r="MN977" s="13"/>
      <c r="MO977" s="13"/>
      <c r="MP977" s="13"/>
      <c r="MQ977" s="13"/>
      <c r="MR977" s="13"/>
      <c r="MS977" s="13"/>
      <c r="MT977" s="13"/>
      <c r="MU977" s="13"/>
      <c r="MV977" s="13"/>
      <c r="MW977" s="13"/>
      <c r="MX977" s="13"/>
      <c r="MY977" s="13"/>
      <c r="MZ977" s="13"/>
      <c r="NA977" s="13"/>
      <c r="NB977" s="13"/>
      <c r="NC977" s="13"/>
      <c r="ND977" s="13"/>
      <c r="NE977" s="13"/>
      <c r="NF977" s="13"/>
      <c r="NG977" s="13"/>
      <c r="NH977" s="13"/>
      <c r="NI977" s="13"/>
      <c r="NJ977" s="13"/>
      <c r="NK977" s="13"/>
      <c r="NL977" s="13"/>
      <c r="NM977" s="13"/>
      <c r="NN977" s="13"/>
      <c r="NO977" s="13"/>
      <c r="NP977" s="13"/>
      <c r="NQ977" s="13"/>
      <c r="NR977" s="13"/>
      <c r="NS977" s="13"/>
      <c r="NT977" s="13"/>
      <c r="NU977" s="13"/>
      <c r="NV977" s="13"/>
      <c r="NW977" s="13"/>
      <c r="NX977" s="13"/>
      <c r="NY977" s="13"/>
      <c r="NZ977" s="13"/>
      <c r="OA977" s="13"/>
      <c r="OB977" s="13"/>
      <c r="OC977" s="13"/>
      <c r="OD977" s="13"/>
      <c r="OE977" s="13"/>
      <c r="OF977" s="13"/>
      <c r="OG977" s="13"/>
      <c r="OH977" s="13"/>
      <c r="OI977" s="13"/>
      <c r="OJ977" s="13"/>
      <c r="OK977" s="13"/>
      <c r="OL977" s="13"/>
      <c r="OM977" s="13"/>
      <c r="ON977" s="13"/>
      <c r="OO977" s="13"/>
      <c r="OP977" s="13"/>
      <c r="OQ977" s="13"/>
      <c r="OR977" s="13"/>
      <c r="OS977" s="13"/>
      <c r="OT977" s="13"/>
      <c r="OU977" s="13"/>
      <c r="OV977" s="13"/>
      <c r="OW977" s="13"/>
      <c r="OX977" s="13"/>
      <c r="OY977" s="13"/>
      <c r="OZ977" s="13"/>
      <c r="PA977" s="13"/>
      <c r="PB977" s="13"/>
      <c r="PC977" s="13"/>
      <c r="PD977" s="13"/>
      <c r="PE977" s="13"/>
      <c r="PF977" s="13"/>
      <c r="PG977" s="13"/>
      <c r="PH977" s="13"/>
      <c r="PI977" s="13"/>
      <c r="PJ977" s="13"/>
      <c r="PK977" s="13"/>
      <c r="PL977" s="13"/>
      <c r="PM977" s="13"/>
      <c r="PN977" s="13"/>
      <c r="PO977" s="13"/>
      <c r="PP977" s="13"/>
      <c r="PQ977" s="13"/>
      <c r="PR977" s="13"/>
      <c r="PS977" s="13"/>
      <c r="PT977" s="13"/>
      <c r="PU977" s="13"/>
      <c r="PV977" s="13"/>
      <c r="PW977" s="13"/>
      <c r="PX977" s="13"/>
      <c r="PY977" s="13"/>
      <c r="PZ977" s="13"/>
      <c r="QA977" s="13"/>
      <c r="QB977" s="13"/>
      <c r="QC977" s="13"/>
      <c r="QD977" s="13"/>
      <c r="QE977" s="13"/>
      <c r="QF977" s="13"/>
      <c r="QG977" s="13"/>
      <c r="QH977" s="13"/>
      <c r="QI977" s="13"/>
      <c r="QJ977" s="13"/>
      <c r="QK977" s="13"/>
      <c r="QL977" s="13"/>
      <c r="QM977" s="13"/>
      <c r="QN977" s="13"/>
      <c r="QO977" s="13"/>
      <c r="QP977" s="13"/>
      <c r="QQ977" s="13"/>
      <c r="QR977" s="13"/>
      <c r="QS977" s="13"/>
      <c r="QT977" s="13"/>
      <c r="QU977" s="13"/>
      <c r="QV977" s="13"/>
      <c r="QW977" s="13"/>
      <c r="QX977" s="13"/>
      <c r="QY977" s="13"/>
      <c r="QZ977" s="13"/>
      <c r="RA977" s="13"/>
      <c r="RB977" s="13"/>
      <c r="RC977" s="13"/>
      <c r="RD977" s="13"/>
      <c r="RE977" s="13"/>
      <c r="RF977" s="13"/>
      <c r="RG977" s="13"/>
      <c r="RH977" s="13"/>
      <c r="RI977" s="13"/>
      <c r="RJ977" s="13"/>
      <c r="RK977" s="13"/>
      <c r="RL977" s="13"/>
      <c r="RM977" s="13"/>
      <c r="RN977" s="13"/>
      <c r="RO977" s="13"/>
      <c r="RP977" s="13"/>
      <c r="RQ977" s="13"/>
      <c r="RR977" s="13"/>
      <c r="RS977" s="13"/>
      <c r="RT977" s="13"/>
      <c r="RU977" s="13"/>
      <c r="RV977" s="13"/>
      <c r="RW977" s="13"/>
      <c r="RX977" s="13"/>
      <c r="RY977" s="13"/>
      <c r="RZ977" s="13"/>
      <c r="SA977" s="13"/>
      <c r="SB977" s="13"/>
      <c r="SC977" s="13"/>
      <c r="SD977" s="13"/>
      <c r="SE977" s="13"/>
      <c r="SF977" s="13"/>
      <c r="SG977" s="13"/>
      <c r="SH977" s="13"/>
      <c r="SI977" s="13"/>
      <c r="SJ977" s="13"/>
      <c r="SK977" s="13"/>
      <c r="SL977" s="13"/>
      <c r="SM977" s="13"/>
      <c r="SN977" s="13"/>
      <c r="SO977" s="13"/>
      <c r="SP977" s="13"/>
      <c r="SQ977" s="13"/>
      <c r="SR977" s="13"/>
      <c r="SS977" s="13"/>
      <c r="ST977" s="13"/>
      <c r="SU977" s="13"/>
      <c r="SV977" s="13"/>
      <c r="SW977" s="13"/>
      <c r="SX977" s="13"/>
      <c r="SY977" s="13"/>
      <c r="SZ977" s="13"/>
      <c r="TA977" s="13"/>
      <c r="TB977" s="13"/>
      <c r="TC977" s="13"/>
      <c r="TD977" s="13"/>
      <c r="TE977" s="13"/>
      <c r="TF977" s="13"/>
      <c r="TG977" s="13"/>
      <c r="TH977" s="13"/>
      <c r="TI977" s="13"/>
      <c r="TJ977" s="13"/>
      <c r="TK977" s="13"/>
      <c r="TL977" s="13"/>
      <c r="TM977" s="13"/>
      <c r="TN977" s="13"/>
      <c r="TO977" s="13"/>
      <c r="TP977" s="13"/>
      <c r="TQ977" s="13"/>
      <c r="TR977" s="13"/>
      <c r="TS977" s="13"/>
      <c r="TT977" s="13"/>
      <c r="TU977" s="13"/>
      <c r="TV977" s="13"/>
      <c r="TW977" s="13"/>
      <c r="TX977" s="13"/>
      <c r="TY977" s="13"/>
      <c r="TZ977" s="13"/>
      <c r="UA977" s="13"/>
      <c r="UB977" s="13"/>
      <c r="UC977" s="13"/>
      <c r="UD977" s="13"/>
      <c r="UE977" s="13"/>
      <c r="UF977" s="13"/>
      <c r="UG977" s="13"/>
      <c r="UH977" s="13"/>
      <c r="UI977" s="13"/>
      <c r="UJ977" s="13"/>
      <c r="UK977" s="13"/>
      <c r="UL977" s="13"/>
      <c r="UM977" s="13"/>
      <c r="UN977" s="13"/>
      <c r="UO977" s="13"/>
      <c r="UP977" s="13"/>
      <c r="UQ977" s="13"/>
      <c r="UR977" s="13"/>
      <c r="US977" s="13"/>
      <c r="UT977" s="13"/>
      <c r="UU977" s="13"/>
      <c r="UV977" s="13"/>
      <c r="UW977" s="13"/>
      <c r="UX977" s="13"/>
      <c r="UY977" s="13"/>
      <c r="UZ977" s="13"/>
      <c r="VA977" s="13"/>
      <c r="VB977" s="13"/>
      <c r="VC977" s="13"/>
      <c r="VD977" s="13"/>
      <c r="VE977" s="13"/>
      <c r="VF977" s="13"/>
      <c r="VG977" s="13"/>
      <c r="VH977" s="13"/>
      <c r="VI977" s="13"/>
      <c r="VJ977" s="13"/>
      <c r="VK977" s="13"/>
      <c r="VL977" s="13"/>
      <c r="VM977" s="13"/>
      <c r="VN977" s="13"/>
      <c r="VO977" s="13"/>
      <c r="VP977" s="13"/>
      <c r="VQ977" s="13"/>
      <c r="VR977" s="13"/>
      <c r="VS977" s="13"/>
      <c r="VT977" s="13"/>
      <c r="VU977" s="13"/>
      <c r="VV977" s="13"/>
      <c r="VW977" s="13"/>
      <c r="VX977" s="13"/>
      <c r="VY977" s="13"/>
      <c r="VZ977" s="13"/>
      <c r="WA977" s="13"/>
      <c r="WB977" s="13"/>
      <c r="WC977" s="13"/>
      <c r="WD977" s="13"/>
      <c r="WE977" s="13"/>
      <c r="WF977" s="13"/>
      <c r="WG977" s="13"/>
      <c r="WH977" s="13"/>
      <c r="WI977" s="13"/>
      <c r="WJ977" s="13"/>
      <c r="WK977" s="13"/>
      <c r="WL977" s="13"/>
      <c r="WM977" s="13"/>
      <c r="WN977" s="13"/>
      <c r="WO977" s="13"/>
      <c r="WP977" s="13"/>
      <c r="WQ977" s="13"/>
      <c r="WR977" s="13"/>
      <c r="WS977" s="13"/>
      <c r="WT977" s="13"/>
      <c r="WU977" s="13"/>
      <c r="WV977" s="13"/>
      <c r="WW977" s="13"/>
      <c r="WX977" s="13"/>
      <c r="WY977" s="13"/>
      <c r="WZ977" s="13"/>
      <c r="XA977" s="13"/>
      <c r="XB977" s="13"/>
      <c r="XC977" s="13"/>
      <c r="XD977" s="13"/>
      <c r="XE977" s="13"/>
      <c r="XF977" s="13"/>
      <c r="XG977" s="13"/>
      <c r="XH977" s="13"/>
      <c r="XI977" s="13"/>
      <c r="XJ977" s="13"/>
      <c r="XK977" s="13"/>
      <c r="XL977" s="13"/>
      <c r="XM977" s="13"/>
      <c r="XN977" s="13"/>
      <c r="XO977" s="13"/>
      <c r="XP977" s="13"/>
      <c r="XQ977" s="13"/>
      <c r="XR977" s="13"/>
      <c r="XS977" s="13"/>
      <c r="XT977" s="13"/>
      <c r="XU977" s="13"/>
      <c r="XV977" s="13"/>
      <c r="XW977" s="13"/>
      <c r="XX977" s="13"/>
      <c r="XY977" s="13"/>
      <c r="XZ977" s="13"/>
      <c r="YA977" s="13"/>
      <c r="YB977" s="13"/>
      <c r="YC977" s="13"/>
      <c r="YD977" s="13"/>
      <c r="YE977" s="13"/>
      <c r="YF977" s="13"/>
      <c r="YG977" s="13"/>
      <c r="YH977" s="13"/>
      <c r="YI977" s="13"/>
      <c r="YJ977" s="13"/>
      <c r="YK977" s="13"/>
      <c r="YL977" s="13"/>
      <c r="YM977" s="13"/>
      <c r="YN977" s="13"/>
      <c r="YO977" s="13"/>
      <c r="YP977" s="13"/>
      <c r="YQ977" s="13"/>
      <c r="YR977" s="13"/>
      <c r="YS977" s="13"/>
      <c r="YT977" s="13"/>
      <c r="YU977" s="13"/>
      <c r="YV977" s="13"/>
      <c r="YW977" s="13"/>
      <c r="YX977" s="13"/>
      <c r="YY977" s="13"/>
      <c r="YZ977" s="13"/>
      <c r="ZA977" s="13"/>
      <c r="ZB977" s="13"/>
      <c r="ZC977" s="13"/>
      <c r="ZD977" s="13"/>
      <c r="ZE977" s="13"/>
      <c r="ZF977" s="13"/>
      <c r="ZG977" s="13"/>
      <c r="ZH977" s="13"/>
      <c r="ZI977" s="13"/>
      <c r="ZJ977" s="13"/>
      <c r="ZK977" s="13"/>
      <c r="ZL977" s="13"/>
      <c r="ZM977" s="13"/>
      <c r="ZN977" s="13"/>
      <c r="ZO977" s="13"/>
      <c r="ZP977" s="13"/>
      <c r="ZQ977" s="13"/>
      <c r="ZR977" s="13"/>
      <c r="ZS977" s="13"/>
      <c r="ZT977" s="13"/>
      <c r="ZU977" s="13"/>
      <c r="ZV977" s="13"/>
      <c r="ZW977" s="13"/>
      <c r="ZX977" s="13"/>
      <c r="ZY977" s="13"/>
      <c r="ZZ977" s="13"/>
      <c r="AAA977" s="13"/>
      <c r="AAB977" s="13"/>
      <c r="AAC977" s="13"/>
      <c r="AAD977" s="13"/>
      <c r="AAE977" s="13"/>
      <c r="AAF977" s="13"/>
      <c r="AAG977" s="13"/>
      <c r="AAH977" s="13"/>
      <c r="AAI977" s="13"/>
      <c r="AAJ977" s="13"/>
      <c r="AAK977" s="13"/>
      <c r="AAL977" s="13"/>
      <c r="AAM977" s="13"/>
      <c r="AAN977" s="13"/>
      <c r="AAO977" s="13"/>
      <c r="AAP977" s="13"/>
      <c r="AAQ977" s="13"/>
      <c r="AAR977" s="13"/>
      <c r="AAS977" s="13"/>
      <c r="AAT977" s="13"/>
      <c r="AAU977" s="13"/>
      <c r="AAV977" s="13"/>
      <c r="AAW977" s="13"/>
      <c r="AAX977" s="13"/>
      <c r="AAY977" s="13"/>
      <c r="AAZ977" s="13"/>
      <c r="ABA977" s="13"/>
      <c r="ABB977" s="13"/>
      <c r="ABC977" s="13"/>
      <c r="ABD977" s="13"/>
      <c r="ABE977" s="13"/>
      <c r="ABF977" s="13"/>
      <c r="ABG977" s="13"/>
      <c r="ABH977" s="13"/>
      <c r="ABI977" s="13"/>
      <c r="ABJ977" s="13"/>
      <c r="ABK977" s="13"/>
      <c r="ABL977" s="13"/>
      <c r="ABM977" s="13"/>
      <c r="ABN977" s="13"/>
      <c r="ABO977" s="13"/>
      <c r="ABP977" s="13"/>
      <c r="ABQ977" s="13"/>
      <c r="ABR977" s="13"/>
      <c r="ABS977" s="13"/>
      <c r="ABT977" s="13"/>
      <c r="ABU977" s="13"/>
      <c r="ABV977" s="13"/>
      <c r="ABW977" s="13"/>
      <c r="ABX977" s="13"/>
      <c r="ABY977" s="13"/>
      <c r="ABZ977" s="13"/>
      <c r="ACA977" s="13"/>
      <c r="ACB977" s="13"/>
      <c r="ACC977" s="13"/>
      <c r="ACD977" s="13"/>
      <c r="ACE977" s="13"/>
      <c r="ACF977" s="13"/>
      <c r="ACG977" s="13"/>
      <c r="ACH977" s="13"/>
      <c r="ACI977" s="13"/>
      <c r="ACJ977" s="13"/>
      <c r="ACK977" s="13"/>
      <c r="ACL977" s="13"/>
      <c r="ACM977" s="13"/>
      <c r="ACN977" s="13"/>
      <c r="ACO977" s="13"/>
      <c r="ACP977" s="13"/>
      <c r="ACQ977" s="13"/>
      <c r="ACR977" s="13"/>
      <c r="ACS977" s="13"/>
      <c r="ACT977" s="13"/>
      <c r="ACU977" s="13"/>
      <c r="ACV977" s="13"/>
      <c r="ACW977" s="13"/>
      <c r="ACX977" s="13"/>
      <c r="ACY977" s="13"/>
      <c r="ACZ977" s="13"/>
      <c r="ADA977" s="13"/>
      <c r="ADB977" s="13"/>
      <c r="ADC977" s="13"/>
      <c r="ADD977" s="13"/>
      <c r="ADE977" s="13"/>
      <c r="ADF977" s="13"/>
      <c r="ADG977" s="13"/>
      <c r="ADH977" s="13"/>
      <c r="ADI977" s="13"/>
      <c r="ADJ977" s="13"/>
      <c r="ADK977" s="13"/>
      <c r="ADL977" s="13"/>
      <c r="ADM977" s="13"/>
      <c r="ADN977" s="13"/>
      <c r="ADO977" s="13"/>
      <c r="ADP977" s="13"/>
      <c r="ADQ977" s="13"/>
      <c r="ADR977" s="13"/>
      <c r="ADS977" s="13"/>
      <c r="ADT977" s="13"/>
      <c r="ADU977" s="13"/>
      <c r="ADV977" s="13"/>
      <c r="ADW977" s="13"/>
      <c r="ADX977" s="13"/>
      <c r="ADY977" s="13"/>
      <c r="ADZ977" s="13"/>
      <c r="AEA977" s="13"/>
      <c r="AEB977" s="13"/>
      <c r="AEC977" s="13"/>
      <c r="AED977" s="13"/>
      <c r="AEE977" s="13"/>
      <c r="AEF977" s="13"/>
      <c r="AEG977" s="13"/>
      <c r="AEH977" s="13"/>
      <c r="AEI977" s="13"/>
      <c r="AEJ977" s="13"/>
      <c r="AEK977" s="13"/>
      <c r="AEL977" s="13"/>
      <c r="AEM977" s="13"/>
      <c r="AEN977" s="13"/>
      <c r="AEO977" s="13"/>
      <c r="AEP977" s="13"/>
      <c r="AEQ977" s="13"/>
      <c r="AER977" s="13"/>
      <c r="AES977" s="13"/>
      <c r="AET977" s="13"/>
      <c r="AEU977" s="13"/>
      <c r="AEV977" s="13"/>
      <c r="AEW977" s="13"/>
      <c r="AEX977" s="13"/>
      <c r="AEY977" s="13"/>
      <c r="AEZ977" s="13"/>
      <c r="AFA977" s="13"/>
      <c r="AFB977" s="13"/>
      <c r="AFC977" s="13"/>
      <c r="AFD977" s="13"/>
      <c r="AFE977" s="13"/>
      <c r="AFF977" s="13"/>
      <c r="AFG977" s="13"/>
      <c r="AFH977" s="13"/>
      <c r="AFI977" s="13"/>
      <c r="AFJ977" s="13"/>
      <c r="AFK977" s="13"/>
      <c r="AFL977" s="13"/>
      <c r="AFM977" s="13"/>
      <c r="AFN977" s="13"/>
      <c r="AFO977" s="13"/>
      <c r="AFP977" s="13"/>
      <c r="AFQ977" s="13"/>
      <c r="AFR977" s="13"/>
      <c r="AFS977" s="13"/>
      <c r="AFT977" s="13"/>
      <c r="AFU977" s="13"/>
      <c r="AFV977" s="13"/>
      <c r="AFW977" s="13"/>
      <c r="AFX977" s="13"/>
      <c r="AFY977" s="13"/>
      <c r="AFZ977" s="13"/>
      <c r="AGA977" s="13"/>
      <c r="AGB977" s="13"/>
      <c r="AGC977" s="13"/>
      <c r="AGD977" s="13"/>
      <c r="AGE977" s="13"/>
      <c r="AGF977" s="13"/>
      <c r="AGG977" s="13"/>
      <c r="AGH977" s="13"/>
      <c r="AGI977" s="13"/>
      <c r="AGJ977" s="13"/>
      <c r="AGK977" s="13"/>
      <c r="AGL977" s="13"/>
      <c r="AGM977" s="13"/>
      <c r="AGN977" s="13"/>
      <c r="AGO977" s="13"/>
      <c r="AGP977" s="13"/>
      <c r="AGQ977" s="13"/>
      <c r="AGR977" s="13"/>
      <c r="AGS977" s="13"/>
      <c r="AGT977" s="13"/>
      <c r="AGU977" s="13"/>
      <c r="AGV977" s="13"/>
      <c r="AGW977" s="13"/>
      <c r="AGX977" s="13"/>
      <c r="AGY977" s="13"/>
      <c r="AGZ977" s="13"/>
      <c r="AHA977" s="13"/>
      <c r="AHB977" s="13"/>
      <c r="AHC977" s="13"/>
      <c r="AHD977" s="13"/>
      <c r="AHE977" s="13"/>
      <c r="AHF977" s="13"/>
      <c r="AHG977" s="13"/>
      <c r="AHH977" s="13"/>
      <c r="AHI977" s="13"/>
      <c r="AHJ977" s="13"/>
      <c r="AHK977" s="13"/>
      <c r="AHL977" s="13"/>
      <c r="AHM977" s="13"/>
      <c r="AHN977" s="13"/>
      <c r="AHO977" s="13"/>
      <c r="AHP977" s="13"/>
      <c r="AHQ977" s="13"/>
      <c r="AHR977" s="13"/>
      <c r="AHS977" s="13"/>
      <c r="AHT977" s="13"/>
      <c r="AHU977" s="13"/>
      <c r="AHV977" s="13"/>
      <c r="AHW977" s="13"/>
      <c r="AHX977" s="13"/>
      <c r="AHY977" s="13"/>
      <c r="AHZ977" s="13"/>
      <c r="AIA977" s="13"/>
      <c r="AIB977" s="13"/>
      <c r="AIC977" s="13"/>
      <c r="AID977" s="13"/>
      <c r="AIE977" s="13"/>
      <c r="AIF977" s="13"/>
      <c r="AIG977" s="13"/>
      <c r="AIH977" s="13"/>
      <c r="AII977" s="13"/>
      <c r="AIJ977" s="13"/>
      <c r="AIK977" s="13"/>
      <c r="AIL977" s="13"/>
      <c r="AIM977" s="13"/>
      <c r="AIN977" s="13"/>
      <c r="AIO977" s="13"/>
      <c r="AIP977" s="13"/>
      <c r="AIQ977" s="13"/>
      <c r="AIR977" s="13"/>
      <c r="AIS977" s="13"/>
      <c r="AIT977" s="13"/>
      <c r="AIU977" s="13"/>
      <c r="AIV977" s="13"/>
      <c r="AIW977" s="13"/>
      <c r="AIX977" s="13"/>
      <c r="AIY977" s="13"/>
      <c r="AIZ977" s="13"/>
      <c r="AJA977" s="13"/>
      <c r="AJB977" s="13"/>
      <c r="AJC977" s="13"/>
      <c r="AJD977" s="13"/>
      <c r="AJE977" s="13"/>
      <c r="AJF977" s="13"/>
      <c r="AJG977" s="13"/>
      <c r="AJH977" s="13"/>
      <c r="AJI977" s="13"/>
      <c r="AJJ977" s="13"/>
      <c r="AJK977" s="13"/>
      <c r="AJL977" s="13"/>
      <c r="AJM977" s="13"/>
      <c r="AJN977" s="13"/>
      <c r="AJO977" s="13"/>
      <c r="AJP977" s="13"/>
      <c r="AJQ977" s="13"/>
      <c r="AJR977" s="13"/>
      <c r="AJS977" s="13"/>
      <c r="AJT977" s="13"/>
      <c r="AJU977" s="13"/>
      <c r="AJV977" s="13"/>
      <c r="AJW977" s="13"/>
      <c r="AJX977" s="13"/>
      <c r="AJY977" s="13"/>
      <c r="AJZ977" s="13"/>
      <c r="AKA977" s="13"/>
      <c r="AKB977" s="13"/>
      <c r="AKC977" s="13"/>
      <c r="AKD977" s="13"/>
      <c r="AKE977" s="13"/>
      <c r="AKF977" s="13"/>
      <c r="AKG977" s="13"/>
      <c r="AKH977" s="13"/>
      <c r="AKI977" s="13"/>
      <c r="AKJ977" s="13"/>
      <c r="AKK977" s="13"/>
      <c r="AKL977" s="13"/>
      <c r="AKM977" s="13"/>
      <c r="AKN977" s="13"/>
      <c r="AKO977" s="13"/>
      <c r="AKP977" s="13"/>
      <c r="AKQ977" s="13"/>
      <c r="AKR977" s="13"/>
      <c r="AKS977" s="13"/>
      <c r="AKT977" s="13"/>
      <c r="AKU977" s="13"/>
      <c r="AKV977" s="13"/>
      <c r="AKW977" s="13"/>
      <c r="AKX977" s="13"/>
      <c r="AKY977" s="13"/>
      <c r="AKZ977" s="13"/>
      <c r="ALA977" s="13"/>
      <c r="ALB977" s="13"/>
      <c r="ALC977" s="13"/>
      <c r="ALD977" s="13"/>
      <c r="ALE977" s="13"/>
      <c r="ALF977" s="13"/>
      <c r="ALG977" s="13"/>
      <c r="ALH977" s="13"/>
      <c r="ALI977" s="13"/>
      <c r="ALJ977" s="13"/>
      <c r="ALK977" s="13"/>
      <c r="ALL977" s="13"/>
      <c r="ALM977" s="13"/>
      <c r="ALN977" s="13"/>
      <c r="ALO977" s="13"/>
      <c r="ALP977" s="13"/>
      <c r="ALQ977" s="13"/>
      <c r="ALR977" s="13"/>
      <c r="ALS977" s="13"/>
      <c r="ALT977" s="13"/>
      <c r="ALU977" s="13"/>
      <c r="ALV977" s="13"/>
      <c r="ALW977" s="13"/>
      <c r="ALX977" s="13"/>
      <c r="ALY977" s="13"/>
      <c r="ALZ977" s="13"/>
      <c r="AMA977" s="13"/>
      <c r="AMB977" s="13"/>
      <c r="AMC977" s="13"/>
      <c r="AMD977" s="13"/>
      <c r="AME977" s="13"/>
      <c r="AMF977" s="13"/>
      <c r="AMG977" s="13"/>
      <c r="AMH977" s="13"/>
      <c r="AMI977" s="13"/>
      <c r="AMJ977" s="13"/>
      <c r="AMK977" s="13"/>
      <c r="AML977" s="13"/>
      <c r="AMM977" s="13"/>
      <c r="AMN977" s="13"/>
      <c r="AMO977" s="13"/>
      <c r="AMP977" s="13"/>
      <c r="AMQ977" s="13"/>
      <c r="AMR977" s="13"/>
      <c r="AMS977" s="13"/>
      <c r="AMT977" s="13"/>
      <c r="AMU977" s="13"/>
      <c r="AMV977" s="13"/>
      <c r="AMW977" s="13"/>
      <c r="AMX977" s="13"/>
      <c r="AMY977" s="13"/>
      <c r="AMZ977" s="13"/>
      <c r="ANA977" s="13"/>
      <c r="ANB977" s="13"/>
      <c r="ANC977" s="13"/>
      <c r="AND977" s="13"/>
      <c r="ANE977" s="13"/>
      <c r="ANF977" s="13"/>
      <c r="ANG977" s="13"/>
      <c r="ANH977" s="13"/>
      <c r="ANI977" s="13"/>
      <c r="ANJ977" s="13"/>
      <c r="ANK977" s="13"/>
      <c r="ANL977" s="13"/>
      <c r="ANM977" s="13"/>
      <c r="ANN977" s="13"/>
      <c r="ANO977" s="13"/>
      <c r="ANP977" s="13"/>
      <c r="ANQ977" s="13"/>
      <c r="ANR977" s="13"/>
      <c r="ANS977" s="13"/>
      <c r="ANT977" s="13"/>
      <c r="ANU977" s="13"/>
      <c r="ANV977" s="13"/>
      <c r="ANW977" s="13"/>
      <c r="ANX977" s="13"/>
      <c r="ANY977" s="13"/>
      <c r="ANZ977" s="13"/>
      <c r="AOA977" s="13"/>
      <c r="AOB977" s="13"/>
      <c r="AOC977" s="13"/>
      <c r="AOD977" s="13"/>
      <c r="AOE977" s="13"/>
      <c r="AOF977" s="13"/>
      <c r="AOG977" s="13"/>
      <c r="AOH977" s="13"/>
      <c r="AOI977" s="13"/>
      <c r="AOJ977" s="13"/>
      <c r="AOK977" s="13"/>
      <c r="AOL977" s="13"/>
      <c r="AOM977" s="13"/>
      <c r="AON977" s="13"/>
      <c r="AOO977" s="13"/>
      <c r="AOP977" s="13"/>
      <c r="AOQ977" s="13"/>
      <c r="AOR977" s="13"/>
      <c r="AOS977" s="13"/>
      <c r="AOT977" s="13"/>
      <c r="AOU977" s="13"/>
      <c r="AOV977" s="13"/>
      <c r="AOW977" s="13"/>
      <c r="AOX977" s="13"/>
      <c r="AOY977" s="13"/>
      <c r="AOZ977" s="13"/>
      <c r="APA977" s="13"/>
      <c r="APB977" s="13"/>
      <c r="APC977" s="13"/>
      <c r="APD977" s="13"/>
      <c r="APE977" s="13"/>
      <c r="APF977" s="13"/>
      <c r="APG977" s="13"/>
      <c r="APH977" s="13"/>
      <c r="API977" s="13"/>
      <c r="APJ977" s="13"/>
      <c r="APK977" s="13"/>
      <c r="APL977" s="13"/>
      <c r="APM977" s="13"/>
      <c r="APN977" s="13"/>
      <c r="APO977" s="13"/>
      <c r="APP977" s="13"/>
      <c r="APQ977" s="13"/>
      <c r="APR977" s="13"/>
      <c r="APS977" s="13"/>
      <c r="APT977" s="13"/>
      <c r="APU977" s="13"/>
      <c r="APV977" s="13"/>
      <c r="APW977" s="13"/>
      <c r="APX977" s="13"/>
      <c r="APY977" s="13"/>
      <c r="APZ977" s="13"/>
      <c r="AQA977" s="13"/>
      <c r="AQB977" s="13"/>
      <c r="AQC977" s="13"/>
      <c r="AQD977" s="13"/>
      <c r="AQE977" s="13"/>
      <c r="AQF977" s="13"/>
      <c r="AQG977" s="13"/>
      <c r="AQH977" s="13"/>
      <c r="AQI977" s="13"/>
      <c r="AQJ977" s="13"/>
      <c r="AQK977" s="13"/>
      <c r="AQL977" s="13"/>
      <c r="AQM977" s="13"/>
      <c r="AQN977" s="13"/>
      <c r="AQO977" s="13"/>
      <c r="AQP977" s="13"/>
      <c r="AQQ977" s="13"/>
      <c r="AQR977" s="13"/>
      <c r="AQS977" s="13"/>
      <c r="AQT977" s="13"/>
      <c r="AQU977" s="13"/>
      <c r="AQV977" s="13"/>
      <c r="AQW977" s="13"/>
      <c r="AQX977" s="13"/>
      <c r="AQY977" s="13"/>
      <c r="AQZ977" s="13"/>
      <c r="ARA977" s="13"/>
      <c r="ARB977" s="13"/>
      <c r="ARC977" s="13"/>
      <c r="ARD977" s="13"/>
      <c r="ARE977" s="13"/>
      <c r="ARF977" s="13"/>
      <c r="ARG977" s="13"/>
      <c r="ARH977" s="13"/>
      <c r="ARI977" s="13"/>
      <c r="ARJ977" s="13"/>
      <c r="ARK977" s="13"/>
      <c r="ARL977" s="13"/>
      <c r="ARM977" s="13"/>
      <c r="ARN977" s="13"/>
      <c r="ARO977" s="13"/>
      <c r="ARP977" s="13"/>
      <c r="ARQ977" s="13"/>
      <c r="ARR977" s="13"/>
      <c r="ARS977" s="13"/>
      <c r="ART977" s="13"/>
      <c r="ARU977" s="13"/>
      <c r="ARV977" s="13"/>
      <c r="ARW977" s="13"/>
      <c r="ARX977" s="13"/>
      <c r="ARY977" s="13"/>
      <c r="ARZ977" s="13"/>
      <c r="ASA977" s="13"/>
      <c r="ASB977" s="13"/>
      <c r="ASC977" s="13"/>
      <c r="ASD977" s="13"/>
      <c r="ASE977" s="13"/>
      <c r="ASF977" s="13"/>
      <c r="ASG977" s="13"/>
      <c r="ASH977" s="13"/>
      <c r="ASI977" s="13"/>
      <c r="ASJ977" s="13"/>
      <c r="ASK977" s="13"/>
      <c r="ASL977" s="13"/>
      <c r="ASM977" s="13"/>
      <c r="ASN977" s="13"/>
      <c r="ASO977" s="13"/>
      <c r="ASP977" s="13"/>
      <c r="ASQ977" s="13"/>
      <c r="ASR977" s="13"/>
      <c r="ASS977" s="13"/>
      <c r="AST977" s="13"/>
      <c r="ASU977" s="13"/>
      <c r="ASV977" s="13"/>
      <c r="ASW977" s="13"/>
      <c r="ASX977" s="13"/>
      <c r="ASY977" s="13"/>
      <c r="ASZ977" s="13"/>
      <c r="ATA977" s="13"/>
      <c r="ATB977" s="13"/>
      <c r="ATC977" s="13"/>
      <c r="ATD977" s="13"/>
      <c r="ATE977" s="13"/>
      <c r="ATF977" s="13"/>
      <c r="ATG977" s="13"/>
      <c r="ATH977" s="13"/>
      <c r="ATI977" s="13"/>
      <c r="ATJ977" s="13"/>
      <c r="ATK977" s="13"/>
      <c r="ATL977" s="13"/>
      <c r="ATM977" s="13"/>
      <c r="ATN977" s="13"/>
      <c r="ATO977" s="13"/>
      <c r="ATP977" s="13"/>
      <c r="ATQ977" s="13"/>
      <c r="ATR977" s="13"/>
      <c r="ATS977" s="13"/>
      <c r="ATT977" s="13"/>
      <c r="ATU977" s="13"/>
      <c r="ATV977" s="13"/>
      <c r="ATW977" s="13"/>
      <c r="ATX977" s="13"/>
      <c r="ATY977" s="13"/>
      <c r="ATZ977" s="13"/>
      <c r="AUA977" s="13"/>
      <c r="AUB977" s="13"/>
      <c r="AUC977" s="13"/>
      <c r="AUD977" s="13"/>
      <c r="AUE977" s="13"/>
      <c r="AUF977" s="13"/>
      <c r="AUG977" s="13"/>
      <c r="AUH977" s="13"/>
      <c r="AUI977" s="13"/>
      <c r="AUJ977" s="13"/>
      <c r="AUK977" s="13"/>
      <c r="AUL977" s="13"/>
      <c r="AUM977" s="13"/>
      <c r="AUN977" s="13"/>
      <c r="AUO977" s="13"/>
      <c r="AUP977" s="13"/>
      <c r="AUQ977" s="13"/>
      <c r="AUR977" s="13"/>
      <c r="AUS977" s="13"/>
      <c r="AUT977" s="13"/>
      <c r="AUU977" s="13"/>
      <c r="AUV977" s="13"/>
      <c r="AUW977" s="13"/>
      <c r="AUX977" s="13"/>
      <c r="AUY977" s="13"/>
      <c r="AUZ977" s="13"/>
      <c r="AVA977" s="13"/>
      <c r="AVB977" s="13"/>
      <c r="AVC977" s="13"/>
      <c r="AVD977" s="13"/>
      <c r="AVE977" s="13"/>
      <c r="AVF977" s="13"/>
      <c r="AVG977" s="13"/>
      <c r="AVH977" s="13"/>
      <c r="AVI977" s="13"/>
      <c r="AVJ977" s="13"/>
      <c r="AVK977" s="13"/>
      <c r="AVL977" s="13"/>
      <c r="AVM977" s="13"/>
      <c r="AVN977" s="13"/>
      <c r="AVO977" s="13"/>
      <c r="AVP977" s="13"/>
      <c r="AVQ977" s="13"/>
      <c r="AVR977" s="13"/>
      <c r="AVS977" s="13"/>
      <c r="AVT977" s="13"/>
      <c r="AVU977" s="13"/>
      <c r="AVV977" s="13"/>
      <c r="AVW977" s="13"/>
      <c r="AVX977" s="13"/>
      <c r="AVY977" s="13"/>
      <c r="AVZ977" s="13"/>
      <c r="AWA977" s="13"/>
      <c r="AWB977" s="13"/>
      <c r="AWC977" s="13"/>
      <c r="AWD977" s="13"/>
      <c r="AWE977" s="13"/>
      <c r="AWF977" s="13"/>
      <c r="AWG977" s="13"/>
      <c r="AWH977" s="13"/>
      <c r="AWI977" s="13"/>
      <c r="AWJ977" s="13"/>
      <c r="AWK977" s="13"/>
      <c r="AWL977" s="13"/>
      <c r="AWM977" s="13"/>
      <c r="AWN977" s="13"/>
      <c r="AWO977" s="13"/>
      <c r="AWP977" s="13"/>
      <c r="AWQ977" s="13"/>
      <c r="AWR977" s="13"/>
      <c r="AWS977" s="13"/>
      <c r="AWT977" s="13"/>
      <c r="AWU977" s="13"/>
      <c r="AWV977" s="13"/>
      <c r="AWW977" s="13"/>
      <c r="AWX977" s="13"/>
      <c r="AWY977" s="13"/>
      <c r="AWZ977" s="13"/>
      <c r="AXA977" s="13"/>
      <c r="AXB977" s="13"/>
      <c r="AXC977" s="13"/>
      <c r="AXD977" s="13"/>
      <c r="AXE977" s="13"/>
      <c r="AXF977" s="13"/>
      <c r="AXG977" s="13"/>
      <c r="AXH977" s="13"/>
      <c r="AXI977" s="13"/>
      <c r="AXJ977" s="13"/>
      <c r="AXK977" s="13"/>
      <c r="AXL977" s="13"/>
      <c r="AXM977" s="13"/>
      <c r="AXN977" s="13"/>
      <c r="AXO977" s="13"/>
      <c r="AXP977" s="13"/>
      <c r="AXQ977" s="13"/>
      <c r="AXR977" s="13"/>
      <c r="AXS977" s="13"/>
      <c r="AXT977" s="13"/>
      <c r="AXU977" s="13"/>
      <c r="AXV977" s="13"/>
      <c r="AXW977" s="13"/>
      <c r="AXX977" s="13"/>
      <c r="AXY977" s="13"/>
      <c r="AXZ977" s="13"/>
      <c r="AYA977" s="13"/>
      <c r="AYB977" s="13"/>
      <c r="AYC977" s="13"/>
      <c r="AYD977" s="13"/>
      <c r="AYE977" s="13"/>
      <c r="AYF977" s="13"/>
      <c r="AYG977" s="13"/>
      <c r="AYH977" s="13"/>
      <c r="AYI977" s="13"/>
      <c r="AYJ977" s="13"/>
      <c r="AYK977" s="13"/>
      <c r="AYL977" s="13"/>
      <c r="AYM977" s="13"/>
      <c r="AYN977" s="13"/>
      <c r="AYO977" s="13"/>
      <c r="AYP977" s="13"/>
      <c r="AYQ977" s="13"/>
      <c r="AYR977" s="13"/>
      <c r="AYS977" s="13"/>
      <c r="AYT977" s="13"/>
      <c r="AYU977" s="13"/>
      <c r="AYV977" s="13"/>
      <c r="AYW977" s="13"/>
      <c r="AYX977" s="13"/>
      <c r="AYY977" s="13"/>
      <c r="AYZ977" s="13"/>
      <c r="AZA977" s="13"/>
      <c r="AZB977" s="13"/>
      <c r="AZC977" s="13"/>
      <c r="AZD977" s="13"/>
      <c r="AZE977" s="13"/>
      <c r="AZF977" s="13"/>
      <c r="AZG977" s="13"/>
      <c r="AZH977" s="13"/>
      <c r="AZI977" s="13"/>
      <c r="AZJ977" s="13"/>
      <c r="AZK977" s="13"/>
      <c r="AZL977" s="13"/>
      <c r="AZM977" s="13"/>
      <c r="AZN977" s="13"/>
      <c r="AZO977" s="13"/>
      <c r="AZP977" s="13"/>
      <c r="AZQ977" s="13"/>
      <c r="AZR977" s="13"/>
      <c r="AZS977" s="13"/>
      <c r="AZT977" s="13"/>
      <c r="AZU977" s="13"/>
      <c r="AZV977" s="13"/>
      <c r="AZW977" s="13"/>
      <c r="AZX977" s="13"/>
      <c r="AZY977" s="13"/>
      <c r="AZZ977" s="13"/>
      <c r="BAA977" s="13"/>
      <c r="BAB977" s="13"/>
      <c r="BAC977" s="13"/>
      <c r="BAD977" s="13"/>
      <c r="BAE977" s="13"/>
      <c r="BAF977" s="13"/>
      <c r="BAG977" s="13"/>
      <c r="BAH977" s="13"/>
      <c r="BAI977" s="13"/>
      <c r="BAJ977" s="13"/>
      <c r="BAK977" s="13"/>
      <c r="BAL977" s="13"/>
      <c r="BAM977" s="13"/>
      <c r="BAN977" s="13"/>
      <c r="BAO977" s="13"/>
      <c r="BAP977" s="13"/>
      <c r="BAQ977" s="13"/>
      <c r="BAR977" s="13"/>
      <c r="BAS977" s="13"/>
      <c r="BAT977" s="13"/>
      <c r="BAU977" s="13"/>
      <c r="BAV977" s="13"/>
      <c r="BAW977" s="13"/>
      <c r="BAX977" s="13"/>
      <c r="BAY977" s="13"/>
      <c r="BAZ977" s="13"/>
      <c r="BBA977" s="13"/>
      <c r="BBB977" s="13"/>
      <c r="BBC977" s="13"/>
      <c r="BBD977" s="13"/>
      <c r="BBE977" s="13"/>
      <c r="BBF977" s="13"/>
      <c r="BBG977" s="13"/>
      <c r="BBH977" s="13"/>
      <c r="BBI977" s="13"/>
      <c r="BBJ977" s="13"/>
      <c r="BBK977" s="13"/>
      <c r="BBL977" s="13"/>
      <c r="BBM977" s="13"/>
      <c r="BBN977" s="13"/>
      <c r="BBO977" s="13"/>
      <c r="BBP977" s="13"/>
      <c r="BBQ977" s="13"/>
      <c r="BBR977" s="13"/>
      <c r="BBS977" s="13"/>
      <c r="BBT977" s="13"/>
      <c r="BBU977" s="13"/>
      <c r="BBV977" s="13"/>
      <c r="BBW977" s="13"/>
      <c r="BBX977" s="13"/>
      <c r="BBY977" s="13"/>
      <c r="BBZ977" s="13"/>
      <c r="BCA977" s="13"/>
      <c r="BCB977" s="13"/>
      <c r="BCC977" s="13"/>
      <c r="BCD977" s="13"/>
      <c r="BCE977" s="13"/>
      <c r="BCF977" s="13"/>
      <c r="BCG977" s="13"/>
      <c r="BCH977" s="13"/>
      <c r="BCI977" s="13"/>
      <c r="BCJ977" s="13"/>
      <c r="BCK977" s="13"/>
      <c r="BCL977" s="13"/>
      <c r="BCM977" s="13"/>
      <c r="BCN977" s="13"/>
      <c r="BCO977" s="13"/>
      <c r="BCP977" s="13"/>
      <c r="BCQ977" s="13"/>
      <c r="BCR977" s="13"/>
      <c r="BCS977" s="13"/>
      <c r="BCT977" s="13"/>
      <c r="BCU977" s="13"/>
      <c r="BCV977" s="13"/>
      <c r="BCW977" s="13"/>
      <c r="BCX977" s="13"/>
      <c r="BCY977" s="13"/>
      <c r="BCZ977" s="13"/>
      <c r="BDA977" s="13"/>
      <c r="BDB977" s="13"/>
      <c r="BDC977" s="13"/>
      <c r="BDD977" s="13"/>
      <c r="BDE977" s="13"/>
      <c r="BDF977" s="13"/>
      <c r="BDG977" s="13"/>
      <c r="BDH977" s="13"/>
      <c r="BDI977" s="13"/>
      <c r="BDJ977" s="13"/>
      <c r="BDK977" s="13"/>
      <c r="BDL977" s="13"/>
      <c r="BDM977" s="13"/>
      <c r="BDN977" s="13"/>
      <c r="BDO977" s="13"/>
      <c r="BDP977" s="13"/>
      <c r="BDQ977" s="13"/>
      <c r="BDR977" s="13"/>
      <c r="BDS977" s="13"/>
      <c r="BDT977" s="13"/>
      <c r="BDU977" s="13"/>
      <c r="BDV977" s="13"/>
      <c r="BDW977" s="13"/>
      <c r="BDX977" s="13"/>
      <c r="BDY977" s="13"/>
      <c r="BDZ977" s="13"/>
      <c r="BEA977" s="13"/>
      <c r="BEB977" s="13"/>
      <c r="BEC977" s="13"/>
      <c r="BED977" s="13"/>
      <c r="BEE977" s="13"/>
      <c r="BEF977" s="13"/>
      <c r="BEG977" s="13"/>
      <c r="BEH977" s="13"/>
      <c r="BEI977" s="13"/>
      <c r="BEJ977" s="13"/>
      <c r="BEK977" s="13"/>
      <c r="BEL977" s="13"/>
      <c r="BEM977" s="13"/>
      <c r="BEN977" s="13"/>
      <c r="BEO977" s="13"/>
      <c r="BEP977" s="13"/>
      <c r="BEQ977" s="13"/>
      <c r="BER977" s="13"/>
      <c r="BES977" s="13"/>
      <c r="BET977" s="13"/>
      <c r="BEU977" s="13"/>
      <c r="BEV977" s="13"/>
      <c r="BEW977" s="13"/>
      <c r="BEX977" s="13"/>
      <c r="BEY977" s="13"/>
      <c r="BEZ977" s="13"/>
      <c r="BFA977" s="13"/>
      <c r="BFB977" s="13"/>
      <c r="BFC977" s="13"/>
      <c r="BFD977" s="13"/>
      <c r="BFE977" s="13"/>
      <c r="BFF977" s="13"/>
      <c r="BFG977" s="13"/>
      <c r="BFH977" s="13"/>
      <c r="BFI977" s="13"/>
      <c r="BFJ977" s="13"/>
      <c r="BFK977" s="13"/>
      <c r="BFL977" s="13"/>
      <c r="BFM977" s="13"/>
      <c r="BFN977" s="13"/>
      <c r="BFO977" s="13"/>
      <c r="BFP977" s="13"/>
      <c r="BFQ977" s="13"/>
      <c r="BFR977" s="13"/>
      <c r="BFS977" s="13"/>
      <c r="BFT977" s="13"/>
      <c r="BFU977" s="13"/>
      <c r="BFV977" s="13"/>
      <c r="BFW977" s="13"/>
      <c r="BFX977" s="13"/>
      <c r="BFY977" s="13"/>
      <c r="BFZ977" s="13"/>
      <c r="BGA977" s="13"/>
      <c r="BGB977" s="13"/>
      <c r="BGC977" s="13"/>
      <c r="BGD977" s="13"/>
      <c r="BGE977" s="13"/>
      <c r="BGF977" s="13"/>
      <c r="BGG977" s="13"/>
      <c r="BGH977" s="13"/>
      <c r="BGI977" s="13"/>
      <c r="BGJ977" s="13"/>
      <c r="BGK977" s="13"/>
      <c r="BGL977" s="13"/>
      <c r="BGM977" s="13"/>
      <c r="BGN977" s="13"/>
      <c r="BGO977" s="13"/>
      <c r="BGP977" s="13"/>
      <c r="BGQ977" s="13"/>
      <c r="BGR977" s="13"/>
      <c r="BGS977" s="13"/>
      <c r="BGT977" s="13"/>
      <c r="BGU977" s="13"/>
      <c r="BGV977" s="13"/>
      <c r="BGW977" s="13"/>
      <c r="BGX977" s="13"/>
      <c r="BGY977" s="13"/>
      <c r="BGZ977" s="13"/>
      <c r="BHA977" s="13"/>
      <c r="BHB977" s="13"/>
      <c r="BHC977" s="13"/>
      <c r="BHD977" s="13"/>
      <c r="BHE977" s="13"/>
      <c r="BHF977" s="13"/>
      <c r="BHG977" s="13"/>
      <c r="BHH977" s="13"/>
      <c r="BHI977" s="13"/>
      <c r="BHJ977" s="13"/>
      <c r="BHK977" s="13"/>
      <c r="BHL977" s="13"/>
      <c r="BHM977" s="13"/>
      <c r="BHN977" s="13"/>
      <c r="BHO977" s="13"/>
      <c r="BHP977" s="13"/>
      <c r="BHQ977" s="13"/>
      <c r="BHR977" s="13"/>
      <c r="BHS977" s="13"/>
      <c r="BHT977" s="13"/>
      <c r="BHU977" s="13"/>
      <c r="BHV977" s="13"/>
      <c r="BHW977" s="13"/>
      <c r="BHX977" s="13"/>
      <c r="BHY977" s="13"/>
      <c r="BHZ977" s="13"/>
      <c r="BIA977" s="13"/>
      <c r="BIB977" s="13"/>
      <c r="BIC977" s="13"/>
      <c r="BID977" s="13"/>
      <c r="BIE977" s="13"/>
      <c r="BIF977" s="13"/>
      <c r="BIG977" s="13"/>
      <c r="BIH977" s="13"/>
      <c r="BII977" s="13"/>
      <c r="BIJ977" s="13"/>
      <c r="BIK977" s="13"/>
      <c r="BIL977" s="13"/>
      <c r="BIM977" s="13"/>
      <c r="BIN977" s="13"/>
      <c r="BIO977" s="13"/>
      <c r="BIP977" s="13"/>
      <c r="BIQ977" s="13"/>
      <c r="BIR977" s="13"/>
      <c r="BIS977" s="13"/>
      <c r="BIT977" s="13"/>
      <c r="BIU977" s="13"/>
      <c r="BIV977" s="13"/>
      <c r="BIW977" s="13"/>
      <c r="BIX977" s="13"/>
      <c r="BIY977" s="13"/>
      <c r="BIZ977" s="13"/>
      <c r="BJA977" s="13"/>
      <c r="BJB977" s="13"/>
      <c r="BJC977" s="13"/>
      <c r="BJD977" s="13"/>
      <c r="BJE977" s="13"/>
      <c r="BJF977" s="13"/>
      <c r="BJG977" s="13"/>
      <c r="BJH977" s="13"/>
      <c r="BJI977" s="13"/>
      <c r="BJJ977" s="13"/>
      <c r="BJK977" s="13"/>
      <c r="BJL977" s="13"/>
      <c r="BJM977" s="13"/>
      <c r="BJN977" s="13"/>
      <c r="BJO977" s="13"/>
      <c r="BJP977" s="13"/>
      <c r="BJQ977" s="13"/>
      <c r="BJR977" s="13"/>
      <c r="BJS977" s="13"/>
      <c r="BJT977" s="13"/>
      <c r="BJU977" s="13"/>
      <c r="BJV977" s="13"/>
      <c r="BJW977" s="13"/>
      <c r="BJX977" s="13"/>
      <c r="BJY977" s="13"/>
      <c r="BJZ977" s="13"/>
      <c r="BKA977" s="13"/>
      <c r="BKB977" s="13"/>
      <c r="BKC977" s="13"/>
      <c r="BKD977" s="13"/>
      <c r="BKE977" s="13"/>
      <c r="BKF977" s="13"/>
      <c r="BKG977" s="13"/>
      <c r="BKH977" s="13"/>
      <c r="BKI977" s="13"/>
      <c r="BKJ977" s="13"/>
      <c r="BKK977" s="13"/>
      <c r="BKL977" s="13"/>
      <c r="BKM977" s="13"/>
      <c r="BKN977" s="13"/>
      <c r="BKO977" s="13"/>
      <c r="BKP977" s="13"/>
      <c r="BKQ977" s="13"/>
      <c r="BKR977" s="13"/>
      <c r="BKS977" s="13"/>
      <c r="BKT977" s="13"/>
      <c r="BKU977" s="13"/>
      <c r="BKV977" s="13"/>
      <c r="BKW977" s="13"/>
      <c r="BKX977" s="13"/>
      <c r="BKY977" s="13"/>
      <c r="BKZ977" s="13"/>
      <c r="BLA977" s="13"/>
      <c r="BLB977" s="13"/>
      <c r="BLC977" s="13"/>
      <c r="BLD977" s="13"/>
      <c r="BLE977" s="13"/>
      <c r="BLF977" s="13"/>
      <c r="BLG977" s="13"/>
      <c r="BLH977" s="13"/>
      <c r="BLI977" s="13"/>
      <c r="BLJ977" s="13"/>
      <c r="BLK977" s="13"/>
      <c r="BLL977" s="13"/>
      <c r="BLM977" s="13"/>
      <c r="BLN977" s="13"/>
      <c r="BLO977" s="13"/>
      <c r="BLP977" s="13"/>
      <c r="BLQ977" s="13"/>
      <c r="BLR977" s="13"/>
      <c r="BLS977" s="13"/>
      <c r="BLT977" s="13"/>
      <c r="BLU977" s="13"/>
      <c r="BLV977" s="13"/>
      <c r="BLW977" s="13"/>
      <c r="BLX977" s="13"/>
      <c r="BLY977" s="13"/>
      <c r="BLZ977" s="13"/>
      <c r="BMA977" s="13"/>
      <c r="BMB977" s="13"/>
      <c r="BMC977" s="13"/>
      <c r="BMD977" s="13"/>
      <c r="BME977" s="13"/>
      <c r="BMF977" s="13"/>
      <c r="BMG977" s="13"/>
      <c r="BMH977" s="13"/>
      <c r="BMI977" s="13"/>
      <c r="BMJ977" s="13"/>
      <c r="BMK977" s="13"/>
      <c r="BML977" s="13"/>
      <c r="BMM977" s="13"/>
      <c r="BMN977" s="13"/>
      <c r="BMO977" s="13"/>
      <c r="BMP977" s="13"/>
      <c r="BMQ977" s="13"/>
      <c r="BMR977" s="13"/>
      <c r="BMS977" s="13"/>
      <c r="BMT977" s="13"/>
      <c r="BMU977" s="13"/>
      <c r="BMV977" s="13"/>
      <c r="BMW977" s="13"/>
      <c r="BMX977" s="13"/>
      <c r="BMY977" s="13"/>
      <c r="BMZ977" s="13"/>
      <c r="BNA977" s="13"/>
      <c r="BNB977" s="13"/>
      <c r="BNC977" s="13"/>
      <c r="BND977" s="13"/>
      <c r="BNE977" s="13"/>
      <c r="BNF977" s="13"/>
      <c r="BNG977" s="13"/>
      <c r="BNH977" s="13"/>
      <c r="BNI977" s="13"/>
      <c r="BNJ977" s="13"/>
      <c r="BNK977" s="13"/>
      <c r="BNL977" s="13"/>
      <c r="BNM977" s="13"/>
      <c r="BNN977" s="13"/>
      <c r="BNO977" s="13"/>
      <c r="BNP977" s="13"/>
      <c r="BNQ977" s="13"/>
      <c r="BNR977" s="13"/>
      <c r="BNS977" s="13"/>
      <c r="BNT977" s="13"/>
      <c r="BNU977" s="13"/>
      <c r="BNV977" s="13"/>
      <c r="BNW977" s="13"/>
      <c r="BNX977" s="13"/>
      <c r="BNY977" s="13"/>
      <c r="BNZ977" s="13"/>
      <c r="BOA977" s="13"/>
      <c r="BOB977" s="13"/>
      <c r="BOC977" s="13"/>
      <c r="BOD977" s="13"/>
      <c r="BOE977" s="13"/>
      <c r="BOF977" s="13"/>
      <c r="BOG977" s="13"/>
      <c r="BOH977" s="13"/>
      <c r="BOI977" s="13"/>
      <c r="BOJ977" s="13"/>
      <c r="BOK977" s="13"/>
      <c r="BOL977" s="13"/>
      <c r="BOM977" s="13"/>
      <c r="BON977" s="13"/>
      <c r="BOO977" s="13"/>
      <c r="BOP977" s="13"/>
      <c r="BOQ977" s="13"/>
      <c r="BOR977" s="13"/>
      <c r="BOS977" s="13"/>
      <c r="BOT977" s="13"/>
      <c r="BOU977" s="13"/>
      <c r="BOV977" s="13"/>
      <c r="BOW977" s="13"/>
      <c r="BOX977" s="13"/>
      <c r="BOY977" s="13"/>
      <c r="BOZ977" s="13"/>
      <c r="BPA977" s="13"/>
      <c r="BPB977" s="13"/>
      <c r="BPC977" s="13"/>
      <c r="BPD977" s="13"/>
      <c r="BPE977" s="13"/>
      <c r="BPF977" s="13"/>
      <c r="BPG977" s="13"/>
      <c r="BPH977" s="13"/>
      <c r="BPI977" s="13"/>
      <c r="BPJ977" s="13"/>
      <c r="BPK977" s="13"/>
      <c r="BPL977" s="13"/>
      <c r="BPM977" s="13"/>
      <c r="BPN977" s="13"/>
      <c r="BPO977" s="13"/>
      <c r="BPP977" s="13"/>
      <c r="BPQ977" s="13"/>
      <c r="BPR977" s="13"/>
      <c r="BPS977" s="13"/>
      <c r="BPT977" s="13"/>
      <c r="BPU977" s="13"/>
      <c r="BPV977" s="13"/>
      <c r="BPW977" s="13"/>
      <c r="BPX977" s="13"/>
      <c r="BPY977" s="13"/>
      <c r="BPZ977" s="13"/>
      <c r="BQA977" s="13"/>
      <c r="BQB977" s="13"/>
      <c r="BQC977" s="13"/>
      <c r="BQD977" s="13"/>
      <c r="BQE977" s="13"/>
      <c r="BQF977" s="13"/>
      <c r="BQG977" s="13"/>
      <c r="BQH977" s="13"/>
      <c r="BQI977" s="13"/>
      <c r="BQJ977" s="13"/>
      <c r="BQK977" s="13"/>
      <c r="BQL977" s="13"/>
      <c r="BQM977" s="13"/>
      <c r="BQN977" s="13"/>
      <c r="BQO977" s="13"/>
      <c r="BQP977" s="13"/>
      <c r="BQQ977" s="13"/>
      <c r="BQR977" s="13"/>
      <c r="BQS977" s="13"/>
      <c r="BQT977" s="13"/>
      <c r="BQU977" s="13"/>
      <c r="BQV977" s="13"/>
      <c r="BQW977" s="13"/>
      <c r="BQX977" s="13"/>
      <c r="BQY977" s="13"/>
      <c r="BQZ977" s="13"/>
      <c r="BRA977" s="13"/>
      <c r="BRB977" s="13"/>
      <c r="BRC977" s="13"/>
      <c r="BRD977" s="13"/>
      <c r="BRE977" s="13"/>
      <c r="BRF977" s="13"/>
      <c r="BRG977" s="13"/>
      <c r="BRH977" s="13"/>
      <c r="BRI977" s="13"/>
      <c r="BRJ977" s="13"/>
      <c r="BRK977" s="13"/>
      <c r="BRL977" s="13"/>
      <c r="BRM977" s="13"/>
      <c r="BRN977" s="13"/>
      <c r="BRO977" s="13"/>
      <c r="BRP977" s="13"/>
      <c r="BRQ977" s="13"/>
      <c r="BRR977" s="13"/>
      <c r="BRS977" s="13"/>
      <c r="BRT977" s="13"/>
      <c r="BRU977" s="13"/>
      <c r="BRV977" s="13"/>
      <c r="BRW977" s="13"/>
      <c r="BRX977" s="13"/>
      <c r="BRY977" s="13"/>
      <c r="BRZ977" s="13"/>
      <c r="BSA977" s="13"/>
      <c r="BSB977" s="13"/>
      <c r="BSC977" s="13"/>
      <c r="BSD977" s="13"/>
      <c r="BSE977" s="13"/>
      <c r="BSF977" s="13"/>
      <c r="BSG977" s="13"/>
      <c r="BSH977" s="13"/>
      <c r="BSI977" s="13"/>
      <c r="BSJ977" s="13"/>
      <c r="BSK977" s="13"/>
      <c r="BSL977" s="13"/>
      <c r="BSM977" s="13"/>
      <c r="BSN977" s="13"/>
      <c r="BSO977" s="13"/>
      <c r="BSP977" s="13"/>
      <c r="BSQ977" s="13"/>
      <c r="BSR977" s="13"/>
      <c r="BSS977" s="13"/>
      <c r="BST977" s="13"/>
      <c r="BSU977" s="13"/>
      <c r="BSV977" s="13"/>
      <c r="BSW977" s="13"/>
      <c r="BSX977" s="13"/>
      <c r="BSY977" s="13"/>
      <c r="BSZ977" s="13"/>
      <c r="BTA977" s="13"/>
    </row>
    <row r="978" spans="1:1873" s="23" customFormat="1" ht="12.75" customHeight="1" x14ac:dyDescent="0.2">
      <c r="A978" s="273" t="s">
        <v>832</v>
      </c>
      <c r="B978" s="273" t="s">
        <v>820</v>
      </c>
      <c r="C978" s="273" t="s">
        <v>1123</v>
      </c>
      <c r="D978" s="273" t="s">
        <v>619</v>
      </c>
      <c r="E978" s="462" t="s">
        <v>169</v>
      </c>
      <c r="F978" s="273">
        <v>1</v>
      </c>
      <c r="G978" s="273">
        <v>6</v>
      </c>
      <c r="H978" s="273">
        <v>6</v>
      </c>
      <c r="I978" s="273" t="s">
        <v>621</v>
      </c>
      <c r="J978" s="273">
        <v>1986</v>
      </c>
      <c r="K978" s="463" t="s">
        <v>1211</v>
      </c>
      <c r="L978" s="273">
        <v>1991</v>
      </c>
      <c r="M978" s="471">
        <v>-9999</v>
      </c>
      <c r="N978" s="471">
        <v>-9999</v>
      </c>
      <c r="O978" s="1"/>
      <c r="P978" s="471">
        <v>105.44499999999999</v>
      </c>
      <c r="Q978" s="273">
        <v>-9999</v>
      </c>
      <c r="R978" s="471"/>
      <c r="S978" s="273"/>
      <c r="T978" s="414">
        <f t="shared" si="105"/>
        <v>17.574166666666667</v>
      </c>
      <c r="U978" s="273">
        <v>-9999</v>
      </c>
      <c r="V978" s="273"/>
      <c r="W978" s="414">
        <f t="shared" si="108"/>
        <v>17.0351</v>
      </c>
      <c r="X978" s="273">
        <v>-9999</v>
      </c>
      <c r="Y978" s="273"/>
      <c r="Z978" s="273" t="s">
        <v>833</v>
      </c>
      <c r="AA978" s="385">
        <v>40000</v>
      </c>
      <c r="AB978" s="471">
        <v>-9999</v>
      </c>
      <c r="AC978" s="273">
        <v>-9999</v>
      </c>
      <c r="AD978" s="385">
        <v>250</v>
      </c>
      <c r="AE978" s="461" t="s">
        <v>1959</v>
      </c>
      <c r="AF978" s="273">
        <v>3</v>
      </c>
      <c r="AG978" s="273">
        <v>8</v>
      </c>
      <c r="AH978" s="273" t="s">
        <v>623</v>
      </c>
      <c r="AI978" s="273" t="s">
        <v>834</v>
      </c>
      <c r="AJ978" s="273">
        <v>20</v>
      </c>
      <c r="AK978" s="273" t="s">
        <v>625</v>
      </c>
      <c r="AL978" s="273" t="s">
        <v>1127</v>
      </c>
      <c r="AM978" s="273">
        <v>-9999</v>
      </c>
      <c r="AN978" s="273" t="s">
        <v>626</v>
      </c>
      <c r="AO978" s="273" t="s">
        <v>627</v>
      </c>
      <c r="AP978" s="273" t="s">
        <v>1126</v>
      </c>
      <c r="AQ978" s="273" t="s">
        <v>626</v>
      </c>
      <c r="AR978" s="273">
        <f>+AR977+0</f>
        <v>200</v>
      </c>
      <c r="AS978" s="273" t="s">
        <v>726</v>
      </c>
      <c r="AT978" s="273">
        <v>-9999</v>
      </c>
      <c r="AU978" s="273">
        <f t="shared" si="106"/>
        <v>0</v>
      </c>
      <c r="AV978" s="273">
        <v>-9999</v>
      </c>
      <c r="AW978" s="273">
        <v>-9999</v>
      </c>
      <c r="AX978" s="273">
        <f t="shared" si="107"/>
        <v>0</v>
      </c>
      <c r="AY978" s="273">
        <v>-9999</v>
      </c>
      <c r="AZ978" s="273">
        <v>-9999</v>
      </c>
      <c r="BA978" s="273" t="s">
        <v>725</v>
      </c>
      <c r="BB978" s="273" t="s">
        <v>626</v>
      </c>
      <c r="BC978" s="273" t="s">
        <v>829</v>
      </c>
      <c r="BD978" s="273" t="s">
        <v>835</v>
      </c>
      <c r="BE978" s="273" t="s">
        <v>1128</v>
      </c>
      <c r="BF978" s="273" t="s">
        <v>1129</v>
      </c>
      <c r="BG978" s="273" t="s">
        <v>577</v>
      </c>
      <c r="BH978" s="273">
        <v>-9999</v>
      </c>
      <c r="BI978" s="273">
        <v>-9999</v>
      </c>
      <c r="BJ978" s="273">
        <v>50.8</v>
      </c>
      <c r="BK978" s="273">
        <v>-9999</v>
      </c>
      <c r="BL978" s="273">
        <v>-9999</v>
      </c>
      <c r="BM978" s="273">
        <v>-9999</v>
      </c>
      <c r="BN978" s="273">
        <v>-9999</v>
      </c>
      <c r="BO978" s="273">
        <v>-9999</v>
      </c>
      <c r="BP978" s="273">
        <v>-9999</v>
      </c>
      <c r="BQ978" s="273">
        <v>-9999</v>
      </c>
      <c r="BR978" s="273">
        <v>-9999</v>
      </c>
      <c r="BS978" s="468">
        <v>-9999</v>
      </c>
      <c r="BT978" s="273">
        <v>-9999</v>
      </c>
      <c r="BU978" s="273">
        <v>-9999</v>
      </c>
      <c r="BV978" s="273">
        <v>-9999</v>
      </c>
      <c r="BW978" s="273"/>
      <c r="BX978" s="273">
        <v>-9999</v>
      </c>
      <c r="BY978" s="273">
        <v>-9999</v>
      </c>
      <c r="BZ978" s="273">
        <v>-9999</v>
      </c>
      <c r="CA978" s="472">
        <v>-9999</v>
      </c>
      <c r="CB978" s="473" t="s">
        <v>1132</v>
      </c>
      <c r="CC978" s="273">
        <v>1</v>
      </c>
      <c r="CD978" s="273">
        <v>6</v>
      </c>
      <c r="CE978" s="292">
        <v>17.574166666666667</v>
      </c>
      <c r="CF978" s="292">
        <v>17.0351</v>
      </c>
      <c r="CG978" s="89">
        <v>6</v>
      </c>
    </row>
    <row r="979" spans="1:1873" s="23" customFormat="1" ht="12.75" customHeight="1" x14ac:dyDescent="0.3">
      <c r="A979" s="273" t="s">
        <v>832</v>
      </c>
      <c r="B979" s="273" t="s">
        <v>820</v>
      </c>
      <c r="C979" s="273" t="s">
        <v>1123</v>
      </c>
      <c r="D979" s="273" t="s">
        <v>619</v>
      </c>
      <c r="E979" s="462" t="s">
        <v>169</v>
      </c>
      <c r="F979" s="273">
        <v>1</v>
      </c>
      <c r="G979" s="273">
        <v>7</v>
      </c>
      <c r="H979" s="273">
        <v>7</v>
      </c>
      <c r="I979" s="273" t="s">
        <v>621</v>
      </c>
      <c r="J979" s="273">
        <v>1986</v>
      </c>
      <c r="K979" s="463" t="s">
        <v>1211</v>
      </c>
      <c r="L979" s="273">
        <v>1992</v>
      </c>
      <c r="M979" s="471">
        <v>-9999</v>
      </c>
      <c r="N979" s="471">
        <v>-9999</v>
      </c>
      <c r="O979" s="1"/>
      <c r="P979" s="471">
        <v>112.122</v>
      </c>
      <c r="Q979" s="273">
        <v>-9999</v>
      </c>
      <c r="R979" s="471"/>
      <c r="S979" s="273"/>
      <c r="T979" s="414">
        <f t="shared" si="105"/>
        <v>16.017428571428571</v>
      </c>
      <c r="U979" s="273">
        <v>-9999</v>
      </c>
      <c r="V979" s="273"/>
      <c r="W979" s="414">
        <f t="shared" si="108"/>
        <v>6.6770000000000067</v>
      </c>
      <c r="X979" s="273">
        <v>-9999</v>
      </c>
      <c r="Y979" s="273"/>
      <c r="Z979" s="273" t="s">
        <v>833</v>
      </c>
      <c r="AA979" s="385">
        <v>40000</v>
      </c>
      <c r="AB979" s="471">
        <v>0.7</v>
      </c>
      <c r="AC979" s="273">
        <v>-9999</v>
      </c>
      <c r="AD979" s="385">
        <v>250</v>
      </c>
      <c r="AE979" s="461" t="s">
        <v>1959</v>
      </c>
      <c r="AF979" s="273">
        <v>3</v>
      </c>
      <c r="AG979" s="273">
        <v>8</v>
      </c>
      <c r="AH979" s="273" t="s">
        <v>623</v>
      </c>
      <c r="AI979" s="273" t="s">
        <v>834</v>
      </c>
      <c r="AJ979" s="273">
        <v>20</v>
      </c>
      <c r="AK979" s="273" t="s">
        <v>625</v>
      </c>
      <c r="AL979" s="273" t="s">
        <v>1127</v>
      </c>
      <c r="AM979" s="273">
        <v>-9999</v>
      </c>
      <c r="AN979" s="273" t="s">
        <v>626</v>
      </c>
      <c r="AO979" s="273" t="s">
        <v>627</v>
      </c>
      <c r="AP979" s="273" t="s">
        <v>1126</v>
      </c>
      <c r="AQ979" s="273" t="s">
        <v>626</v>
      </c>
      <c r="AR979" s="273">
        <f>+AR978+100</f>
        <v>300</v>
      </c>
      <c r="AS979" s="273" t="s">
        <v>1201</v>
      </c>
      <c r="AT979" s="273" t="s">
        <v>275</v>
      </c>
      <c r="AU979" s="273">
        <f t="shared" si="106"/>
        <v>0</v>
      </c>
      <c r="AV979" s="273">
        <v>-9999</v>
      </c>
      <c r="AW979" s="273">
        <v>-9999</v>
      </c>
      <c r="AX979" s="273">
        <f t="shared" si="107"/>
        <v>0</v>
      </c>
      <c r="AY979" s="273">
        <v>-9999</v>
      </c>
      <c r="AZ979" s="273">
        <v>-9999</v>
      </c>
      <c r="BA979" s="273" t="s">
        <v>725</v>
      </c>
      <c r="BB979" s="273" t="s">
        <v>626</v>
      </c>
      <c r="BC979" s="273" t="s">
        <v>829</v>
      </c>
      <c r="BD979" s="273" t="s">
        <v>835</v>
      </c>
      <c r="BE979" s="273" t="s">
        <v>1128</v>
      </c>
      <c r="BF979" s="273" t="s">
        <v>1129</v>
      </c>
      <c r="BG979" s="273" t="s">
        <v>577</v>
      </c>
      <c r="BH979" s="273">
        <v>-9999</v>
      </c>
      <c r="BI979" s="273">
        <v>-9999</v>
      </c>
      <c r="BJ979" s="273">
        <v>53.7</v>
      </c>
      <c r="BK979" s="273">
        <v>-9999</v>
      </c>
      <c r="BL979" s="273">
        <v>9.6</v>
      </c>
      <c r="BM979" s="273">
        <v>-9999</v>
      </c>
      <c r="BN979" s="273">
        <v>4.5</v>
      </c>
      <c r="BO979" s="273">
        <v>-9999</v>
      </c>
      <c r="BP979" s="273">
        <v>-9999</v>
      </c>
      <c r="BQ979" s="273">
        <v>-9999</v>
      </c>
      <c r="BR979" s="273">
        <v>-9999</v>
      </c>
      <c r="BS979" s="468">
        <v>-9999</v>
      </c>
      <c r="BT979" s="273">
        <v>-9999</v>
      </c>
      <c r="BU979" s="273">
        <v>-9999</v>
      </c>
      <c r="BV979" s="273">
        <v>-9999</v>
      </c>
      <c r="BW979" s="273"/>
      <c r="BX979" s="273">
        <v>4</v>
      </c>
      <c r="BY979" s="273">
        <v>-9999</v>
      </c>
      <c r="BZ979" s="273">
        <v>-9999</v>
      </c>
      <c r="CA979" s="472">
        <v>-9999</v>
      </c>
      <c r="CB979" s="473" t="s">
        <v>1132</v>
      </c>
      <c r="CC979" s="273">
        <v>1</v>
      </c>
      <c r="CD979" s="273">
        <v>7</v>
      </c>
      <c r="CE979" s="292">
        <v>16.017428571428571</v>
      </c>
      <c r="CF979" s="292">
        <v>6.6770000000000067</v>
      </c>
      <c r="CG979" s="89">
        <v>7</v>
      </c>
    </row>
    <row r="980" spans="1:1873" s="23" customFormat="1" ht="12.75" customHeight="1" x14ac:dyDescent="0.2">
      <c r="A980" s="273"/>
      <c r="B980" s="273"/>
      <c r="C980" s="273"/>
      <c r="D980" s="273"/>
      <c r="E980" s="462"/>
      <c r="F980" s="273"/>
      <c r="G980" s="273"/>
      <c r="H980" s="273"/>
      <c r="I980" s="273"/>
      <c r="J980" s="273"/>
      <c r="K980" s="463"/>
      <c r="L980" s="273"/>
      <c r="M980" s="471"/>
      <c r="N980" s="471"/>
      <c r="O980" s="1"/>
      <c r="P980" s="471"/>
      <c r="Q980" s="273"/>
      <c r="R980" s="471"/>
      <c r="S980" s="273"/>
      <c r="T980" s="414"/>
      <c r="U980" s="273"/>
      <c r="V980" s="273"/>
      <c r="W980" s="414"/>
      <c r="X980" s="273"/>
      <c r="Y980" s="273"/>
      <c r="Z980" s="273"/>
      <c r="AA980" s="385"/>
      <c r="AB980" s="471"/>
      <c r="AC980" s="273"/>
      <c r="AD980" s="273"/>
      <c r="AE980" s="273"/>
      <c r="AF980" s="273"/>
      <c r="AG980" s="273"/>
      <c r="AH980" s="273"/>
      <c r="AI980" s="273"/>
      <c r="AJ980" s="273"/>
      <c r="AK980" s="273"/>
      <c r="AL980" s="273"/>
      <c r="AM980" s="273"/>
      <c r="AN980" s="273"/>
      <c r="AO980" s="273"/>
      <c r="AP980" s="273"/>
      <c r="AQ980" s="273"/>
      <c r="AR980" s="273"/>
      <c r="AS980" s="273"/>
      <c r="AT980" s="273"/>
      <c r="AU980" s="273"/>
      <c r="AV980" s="273"/>
      <c r="AW980" s="273"/>
      <c r="AX980" s="273"/>
      <c r="AY980" s="273"/>
      <c r="AZ980" s="273"/>
      <c r="BA980" s="273"/>
      <c r="BB980" s="273"/>
      <c r="BC980" s="273"/>
      <c r="BD980" s="273"/>
      <c r="BE980" s="273"/>
      <c r="BF980" s="273"/>
      <c r="BG980" s="273"/>
      <c r="BH980" s="273"/>
      <c r="BI980" s="273"/>
      <c r="BJ980" s="273"/>
      <c r="BK980" s="273"/>
      <c r="BL980" s="273"/>
      <c r="BM980" s="273"/>
      <c r="BN980" s="273"/>
      <c r="BO980" s="273"/>
      <c r="BP980" s="273"/>
      <c r="BQ980" s="273"/>
      <c r="BR980" s="273"/>
      <c r="BS980" s="468"/>
      <c r="BT980" s="273"/>
      <c r="BU980" s="273"/>
      <c r="BV980" s="273"/>
      <c r="BW980" s="273"/>
      <c r="BX980" s="273"/>
      <c r="BY980" s="273"/>
      <c r="BZ980" s="273"/>
      <c r="CA980" s="472"/>
      <c r="CB980" s="473"/>
      <c r="CC980" s="273"/>
      <c r="CD980" s="273"/>
      <c r="CE980" s="342" t="s">
        <v>1576</v>
      </c>
      <c r="CF980" s="342" t="s">
        <v>1575</v>
      </c>
      <c r="CG980" s="89"/>
    </row>
    <row r="981" spans="1:1873" s="23" customFormat="1" ht="12.75" customHeight="1" x14ac:dyDescent="0.2">
      <c r="A981" s="273" t="s">
        <v>832</v>
      </c>
      <c r="B981" s="273" t="s">
        <v>820</v>
      </c>
      <c r="C981" s="273" t="s">
        <v>1124</v>
      </c>
      <c r="D981" s="273" t="s">
        <v>619</v>
      </c>
      <c r="E981" s="462" t="s">
        <v>169</v>
      </c>
      <c r="F981" s="273">
        <v>1</v>
      </c>
      <c r="G981" s="273">
        <v>1</v>
      </c>
      <c r="H981" s="273">
        <v>1</v>
      </c>
      <c r="I981" s="273" t="s">
        <v>621</v>
      </c>
      <c r="J981" s="273">
        <v>1986</v>
      </c>
      <c r="K981" s="463" t="s">
        <v>1211</v>
      </c>
      <c r="L981" s="273">
        <v>1986</v>
      </c>
      <c r="M981" s="471">
        <v>-9999</v>
      </c>
      <c r="N981" s="471">
        <v>-9999</v>
      </c>
      <c r="O981" s="1"/>
      <c r="P981" s="471">
        <v>5.9608100000000004</v>
      </c>
      <c r="Q981" s="273">
        <v>-9999</v>
      </c>
      <c r="R981" s="471"/>
      <c r="S981" s="273"/>
      <c r="T981" s="414">
        <f t="shared" ref="T981:T987" si="109">+P981/H981</f>
        <v>5.9608100000000004</v>
      </c>
      <c r="U981" s="273">
        <v>-9999</v>
      </c>
      <c r="V981" s="273"/>
      <c r="W981" s="414">
        <v>-9999</v>
      </c>
      <c r="X981" s="273">
        <v>-9999</v>
      </c>
      <c r="Y981" s="273"/>
      <c r="Z981" s="273" t="s">
        <v>793</v>
      </c>
      <c r="AA981" s="385">
        <v>10000</v>
      </c>
      <c r="AB981" s="471">
        <v>0.98</v>
      </c>
      <c r="AC981" s="273">
        <v>-9999</v>
      </c>
      <c r="AD981" s="385">
        <v>500</v>
      </c>
      <c r="AE981" s="461" t="s">
        <v>1959</v>
      </c>
      <c r="AF981" s="273">
        <v>3</v>
      </c>
      <c r="AG981" s="273">
        <v>4</v>
      </c>
      <c r="AH981" s="273" t="s">
        <v>623</v>
      </c>
      <c r="AI981" s="273" t="s">
        <v>834</v>
      </c>
      <c r="AJ981" s="273">
        <v>20</v>
      </c>
      <c r="AK981" s="273" t="s">
        <v>625</v>
      </c>
      <c r="AL981" s="273" t="s">
        <v>1127</v>
      </c>
      <c r="AM981" s="273">
        <v>-9999</v>
      </c>
      <c r="AN981" s="273" t="s">
        <v>626</v>
      </c>
      <c r="AO981" s="273" t="s">
        <v>627</v>
      </c>
      <c r="AP981" s="273" t="s">
        <v>1126</v>
      </c>
      <c r="AQ981" s="273" t="s">
        <v>626</v>
      </c>
      <c r="AR981" s="273">
        <v>100</v>
      </c>
      <c r="AS981" s="273" t="s">
        <v>726</v>
      </c>
      <c r="AT981" s="273" t="s">
        <v>755</v>
      </c>
      <c r="AU981" s="273">
        <v>43</v>
      </c>
      <c r="AV981" s="273" t="s">
        <v>226</v>
      </c>
      <c r="AW981" s="273" t="s">
        <v>755</v>
      </c>
      <c r="AX981" s="273">
        <v>83</v>
      </c>
      <c r="AY981" s="273" t="s">
        <v>226</v>
      </c>
      <c r="AZ981" s="273" t="s">
        <v>755</v>
      </c>
      <c r="BA981" s="273" t="s">
        <v>725</v>
      </c>
      <c r="BB981" s="273" t="s">
        <v>626</v>
      </c>
      <c r="BC981" s="273" t="s">
        <v>829</v>
      </c>
      <c r="BD981" s="273" t="s">
        <v>835</v>
      </c>
      <c r="BE981" s="273" t="s">
        <v>1128</v>
      </c>
      <c r="BF981" s="273" t="s">
        <v>1129</v>
      </c>
      <c r="BG981" s="273" t="s">
        <v>577</v>
      </c>
      <c r="BH981" s="273">
        <v>-9999</v>
      </c>
      <c r="BI981" s="273">
        <v>-9999</v>
      </c>
      <c r="BJ981" s="273">
        <v>1.8</v>
      </c>
      <c r="BK981" s="273">
        <v>-9999</v>
      </c>
      <c r="BL981" s="273">
        <v>-9999</v>
      </c>
      <c r="BM981" s="273">
        <v>-9999</v>
      </c>
      <c r="BN981" s="273">
        <v>-9999</v>
      </c>
      <c r="BO981" s="273">
        <v>-9999</v>
      </c>
      <c r="BP981" s="273">
        <v>-9999</v>
      </c>
      <c r="BQ981" s="273">
        <v>-9999</v>
      </c>
      <c r="BR981" s="273">
        <v>-9999</v>
      </c>
      <c r="BS981" s="468">
        <v>-9999</v>
      </c>
      <c r="BT981" s="273">
        <v>-9999</v>
      </c>
      <c r="BU981" s="273">
        <v>-9999</v>
      </c>
      <c r="BV981" s="273">
        <v>-9999</v>
      </c>
      <c r="BW981" s="273"/>
      <c r="BX981" s="273">
        <v>-9999</v>
      </c>
      <c r="BY981" s="273">
        <v>-9999</v>
      </c>
      <c r="BZ981" s="273">
        <v>-9999</v>
      </c>
      <c r="CA981" s="472">
        <v>-9999</v>
      </c>
      <c r="CB981" s="473" t="s">
        <v>1132</v>
      </c>
      <c r="CC981" s="273">
        <v>1</v>
      </c>
      <c r="CD981" s="273">
        <v>1</v>
      </c>
      <c r="CE981" s="292">
        <v>5.9608100000000004</v>
      </c>
      <c r="CF981" s="292">
        <v>5.96</v>
      </c>
      <c r="CG981" s="89">
        <v>1</v>
      </c>
    </row>
    <row r="982" spans="1:1873" s="23" customFormat="1" ht="12.75" customHeight="1" x14ac:dyDescent="0.2">
      <c r="A982" s="273" t="s">
        <v>832</v>
      </c>
      <c r="B982" s="273" t="s">
        <v>820</v>
      </c>
      <c r="C982" s="273" t="s">
        <v>1124</v>
      </c>
      <c r="D982" s="273" t="s">
        <v>619</v>
      </c>
      <c r="E982" s="462" t="s">
        <v>169</v>
      </c>
      <c r="F982" s="273">
        <v>1</v>
      </c>
      <c r="G982" s="273">
        <v>2</v>
      </c>
      <c r="H982" s="273">
        <v>2</v>
      </c>
      <c r="I982" s="273" t="s">
        <v>621</v>
      </c>
      <c r="J982" s="273">
        <v>1986</v>
      </c>
      <c r="K982" s="463" t="s">
        <v>1211</v>
      </c>
      <c r="L982" s="273">
        <v>1987</v>
      </c>
      <c r="M982" s="471">
        <v>-9999</v>
      </c>
      <c r="N982" s="471">
        <v>-9999</v>
      </c>
      <c r="O982" s="1"/>
      <c r="P982" s="471">
        <v>16.061800000000002</v>
      </c>
      <c r="Q982" s="273">
        <v>-9999</v>
      </c>
      <c r="R982" s="471"/>
      <c r="S982" s="273"/>
      <c r="T982" s="414">
        <f t="shared" si="109"/>
        <v>8.0309000000000008</v>
      </c>
      <c r="U982" s="273">
        <v>-9999</v>
      </c>
      <c r="V982" s="273"/>
      <c r="W982" s="414">
        <f t="shared" ref="W982:W987" si="110">+P982-P981</f>
        <v>10.100990000000001</v>
      </c>
      <c r="X982" s="273">
        <v>-9999</v>
      </c>
      <c r="Y982" s="273"/>
      <c r="Z982" s="273" t="s">
        <v>793</v>
      </c>
      <c r="AA982" s="385">
        <v>10000</v>
      </c>
      <c r="AB982" s="471">
        <v>1</v>
      </c>
      <c r="AC982" s="273">
        <v>-9999</v>
      </c>
      <c r="AD982" s="385">
        <v>500</v>
      </c>
      <c r="AE982" s="461" t="s">
        <v>1959</v>
      </c>
      <c r="AF982" s="273">
        <v>3</v>
      </c>
      <c r="AG982" s="273">
        <v>4</v>
      </c>
      <c r="AH982" s="273" t="s">
        <v>623</v>
      </c>
      <c r="AI982" s="273" t="s">
        <v>834</v>
      </c>
      <c r="AJ982" s="273">
        <v>20</v>
      </c>
      <c r="AK982" s="273" t="s">
        <v>625</v>
      </c>
      <c r="AL982" s="273" t="s">
        <v>1127</v>
      </c>
      <c r="AM982" s="273">
        <v>-9999</v>
      </c>
      <c r="AN982" s="273" t="s">
        <v>626</v>
      </c>
      <c r="AO982" s="273" t="s">
        <v>627</v>
      </c>
      <c r="AP982" s="273" t="s">
        <v>1126</v>
      </c>
      <c r="AQ982" s="273" t="s">
        <v>626</v>
      </c>
      <c r="AR982" s="273">
        <f>+AR981+0</f>
        <v>100</v>
      </c>
      <c r="AS982" s="273" t="s">
        <v>726</v>
      </c>
      <c r="AT982" s="273">
        <v>-9999</v>
      </c>
      <c r="AU982" s="273">
        <f t="shared" ref="AU982:AU987" si="111">+AU981+0</f>
        <v>43</v>
      </c>
      <c r="AV982" s="273">
        <v>-9999</v>
      </c>
      <c r="AW982" s="273">
        <v>-9999</v>
      </c>
      <c r="AX982" s="273">
        <f t="shared" ref="AX982:AX987" si="112">+AX981+0</f>
        <v>83</v>
      </c>
      <c r="AY982" s="273">
        <v>-9999</v>
      </c>
      <c r="AZ982" s="273">
        <v>-9999</v>
      </c>
      <c r="BA982" s="273" t="s">
        <v>725</v>
      </c>
      <c r="BB982" s="273" t="s">
        <v>626</v>
      </c>
      <c r="BC982" s="273" t="s">
        <v>829</v>
      </c>
      <c r="BD982" s="273" t="s">
        <v>835</v>
      </c>
      <c r="BE982" s="273" t="s">
        <v>1128</v>
      </c>
      <c r="BF982" s="273" t="s">
        <v>1129</v>
      </c>
      <c r="BG982" s="273" t="s">
        <v>577</v>
      </c>
      <c r="BH982" s="273">
        <v>-9999</v>
      </c>
      <c r="BI982" s="273">
        <v>-9999</v>
      </c>
      <c r="BJ982" s="273">
        <v>10.8</v>
      </c>
      <c r="BK982" s="273">
        <v>-9999</v>
      </c>
      <c r="BL982" s="273">
        <v>-9999</v>
      </c>
      <c r="BM982" s="273">
        <v>-9999</v>
      </c>
      <c r="BN982" s="273">
        <v>-9999</v>
      </c>
      <c r="BO982" s="273">
        <v>-9999</v>
      </c>
      <c r="BP982" s="273">
        <v>-9999</v>
      </c>
      <c r="BQ982" s="273">
        <v>-9999</v>
      </c>
      <c r="BR982" s="273">
        <v>-9999</v>
      </c>
      <c r="BS982" s="468">
        <v>-9999</v>
      </c>
      <c r="BT982" s="273">
        <v>-9999</v>
      </c>
      <c r="BU982" s="273">
        <v>-9999</v>
      </c>
      <c r="BV982" s="273">
        <v>-9999</v>
      </c>
      <c r="BW982" s="273"/>
      <c r="BX982" s="273">
        <v>-9999</v>
      </c>
      <c r="BY982" s="273">
        <v>-9999</v>
      </c>
      <c r="BZ982" s="273">
        <v>-9999</v>
      </c>
      <c r="CA982" s="472">
        <v>-9999</v>
      </c>
      <c r="CB982" s="473" t="s">
        <v>1132</v>
      </c>
      <c r="CC982" s="273">
        <v>1</v>
      </c>
      <c r="CD982" s="273">
        <v>2</v>
      </c>
      <c r="CE982" s="292">
        <v>8.0309000000000008</v>
      </c>
      <c r="CF982" s="292">
        <v>10.100990000000001</v>
      </c>
      <c r="CG982" s="89">
        <v>2</v>
      </c>
    </row>
    <row r="983" spans="1:1873" s="23" customFormat="1" ht="12.75" customHeight="1" x14ac:dyDescent="0.3">
      <c r="A983" s="273" t="s">
        <v>832</v>
      </c>
      <c r="B983" s="273" t="s">
        <v>820</v>
      </c>
      <c r="C983" s="273" t="s">
        <v>1124</v>
      </c>
      <c r="D983" s="273" t="s">
        <v>619</v>
      </c>
      <c r="E983" s="462" t="s">
        <v>169</v>
      </c>
      <c r="F983" s="273">
        <v>1</v>
      </c>
      <c r="G983" s="273">
        <v>3</v>
      </c>
      <c r="H983" s="273">
        <v>3</v>
      </c>
      <c r="I983" s="273" t="s">
        <v>621</v>
      </c>
      <c r="J983" s="273">
        <v>1986</v>
      </c>
      <c r="K983" s="463" t="s">
        <v>1211</v>
      </c>
      <c r="L983" s="273">
        <v>1988</v>
      </c>
      <c r="M983" s="471">
        <v>-9999</v>
      </c>
      <c r="N983" s="471">
        <v>-9999</v>
      </c>
      <c r="O983" s="1"/>
      <c r="P983" s="471">
        <v>39.270699999999998</v>
      </c>
      <c r="Q983" s="273">
        <v>-9999</v>
      </c>
      <c r="R983" s="471"/>
      <c r="S983" s="273"/>
      <c r="T983" s="414">
        <f t="shared" si="109"/>
        <v>13.090233333333332</v>
      </c>
      <c r="U983" s="273">
        <v>-9999</v>
      </c>
      <c r="V983" s="273"/>
      <c r="W983" s="414">
        <f t="shared" si="110"/>
        <v>23.208899999999996</v>
      </c>
      <c r="X983" s="273">
        <v>-9999</v>
      </c>
      <c r="Y983" s="273"/>
      <c r="Z983" s="273" t="s">
        <v>793</v>
      </c>
      <c r="AA983" s="385">
        <v>10000</v>
      </c>
      <c r="AB983" s="471">
        <v>-9999</v>
      </c>
      <c r="AC983" s="273">
        <v>-9999</v>
      </c>
      <c r="AD983" s="385">
        <v>500</v>
      </c>
      <c r="AE983" s="461" t="s">
        <v>1959</v>
      </c>
      <c r="AF983" s="273">
        <v>3</v>
      </c>
      <c r="AG983" s="273">
        <v>4</v>
      </c>
      <c r="AH983" s="273" t="s">
        <v>623</v>
      </c>
      <c r="AI983" s="273" t="s">
        <v>834</v>
      </c>
      <c r="AJ983" s="273">
        <v>20</v>
      </c>
      <c r="AK983" s="273" t="s">
        <v>625</v>
      </c>
      <c r="AL983" s="273" t="s">
        <v>1127</v>
      </c>
      <c r="AM983" s="273">
        <v>-9999</v>
      </c>
      <c r="AN983" s="273" t="s">
        <v>626</v>
      </c>
      <c r="AO983" s="273" t="s">
        <v>627</v>
      </c>
      <c r="AP983" s="273" t="s">
        <v>1126</v>
      </c>
      <c r="AQ983" s="273" t="s">
        <v>626</v>
      </c>
      <c r="AR983" s="273">
        <f>+AR982+100</f>
        <v>200</v>
      </c>
      <c r="AS983" s="273" t="s">
        <v>1201</v>
      </c>
      <c r="AT983" s="273" t="s">
        <v>275</v>
      </c>
      <c r="AU983" s="273">
        <f t="shared" si="111"/>
        <v>43</v>
      </c>
      <c r="AV983" s="273">
        <v>-9999</v>
      </c>
      <c r="AW983" s="273">
        <v>-9999</v>
      </c>
      <c r="AX983" s="273">
        <f t="shared" si="112"/>
        <v>83</v>
      </c>
      <c r="AY983" s="273">
        <v>-9999</v>
      </c>
      <c r="AZ983" s="273">
        <v>-9999</v>
      </c>
      <c r="BA983" s="273" t="s">
        <v>725</v>
      </c>
      <c r="BB983" s="273" t="s">
        <v>626</v>
      </c>
      <c r="BC983" s="273" t="s">
        <v>829</v>
      </c>
      <c r="BD983" s="273" t="s">
        <v>835</v>
      </c>
      <c r="BE983" s="273" t="s">
        <v>1128</v>
      </c>
      <c r="BF983" s="273" t="s">
        <v>1129</v>
      </c>
      <c r="BG983" s="273" t="s">
        <v>577</v>
      </c>
      <c r="BH983" s="273">
        <v>-9999</v>
      </c>
      <c r="BI983" s="273">
        <v>-9999</v>
      </c>
      <c r="BJ983" s="273">
        <v>23.4</v>
      </c>
      <c r="BK983" s="273">
        <v>-9999</v>
      </c>
      <c r="BL983" s="273">
        <v>-9999</v>
      </c>
      <c r="BM983" s="273">
        <v>-9999</v>
      </c>
      <c r="BN983" s="273">
        <v>-9999</v>
      </c>
      <c r="BO983" s="273">
        <v>-9999</v>
      </c>
      <c r="BP983" s="273">
        <v>-9999</v>
      </c>
      <c r="BQ983" s="273">
        <v>-9999</v>
      </c>
      <c r="BR983" s="273">
        <v>-9999</v>
      </c>
      <c r="BS983" s="468">
        <v>-9999</v>
      </c>
      <c r="BT983" s="273">
        <v>-9999</v>
      </c>
      <c r="BU983" s="273">
        <v>-9999</v>
      </c>
      <c r="BV983" s="273">
        <v>-9999</v>
      </c>
      <c r="BW983" s="273"/>
      <c r="BX983" s="273">
        <v>-9999</v>
      </c>
      <c r="BY983" s="273">
        <v>-9999</v>
      </c>
      <c r="BZ983" s="273">
        <v>-9999</v>
      </c>
      <c r="CA983" s="472">
        <v>-9999</v>
      </c>
      <c r="CB983" s="473" t="s">
        <v>1132</v>
      </c>
      <c r="CC983" s="273">
        <v>1</v>
      </c>
      <c r="CD983" s="273">
        <v>3</v>
      </c>
      <c r="CE983" s="292">
        <v>13.090233333333332</v>
      </c>
      <c r="CF983" s="292">
        <v>23.208899999999996</v>
      </c>
      <c r="CG983" s="89">
        <v>3</v>
      </c>
    </row>
    <row r="984" spans="1:1873" s="23" customFormat="1" ht="12.75" customHeight="1" x14ac:dyDescent="0.2">
      <c r="A984" s="273" t="s">
        <v>832</v>
      </c>
      <c r="B984" s="273" t="s">
        <v>820</v>
      </c>
      <c r="C984" s="273" t="s">
        <v>1124</v>
      </c>
      <c r="D984" s="273" t="s">
        <v>619</v>
      </c>
      <c r="E984" s="462" t="s">
        <v>169</v>
      </c>
      <c r="F984" s="273">
        <v>1</v>
      </c>
      <c r="G984" s="273">
        <v>4</v>
      </c>
      <c r="H984" s="273">
        <v>4</v>
      </c>
      <c r="I984" s="273" t="s">
        <v>621</v>
      </c>
      <c r="J984" s="273">
        <v>1986</v>
      </c>
      <c r="K984" s="463" t="s">
        <v>1211</v>
      </c>
      <c r="L984" s="273">
        <v>1989</v>
      </c>
      <c r="M984" s="471">
        <v>-9999</v>
      </c>
      <c r="N984" s="471">
        <v>-9999</v>
      </c>
      <c r="O984" s="1"/>
      <c r="P984" s="471">
        <v>66.605199999999996</v>
      </c>
      <c r="Q984" s="273">
        <v>-9999</v>
      </c>
      <c r="R984" s="471"/>
      <c r="S984" s="273"/>
      <c r="T984" s="414">
        <f t="shared" si="109"/>
        <v>16.651299999999999</v>
      </c>
      <c r="U984" s="273">
        <v>-9999</v>
      </c>
      <c r="V984" s="273"/>
      <c r="W984" s="414">
        <f t="shared" si="110"/>
        <v>27.334499999999998</v>
      </c>
      <c r="X984" s="273">
        <v>-9999</v>
      </c>
      <c r="Y984" s="273"/>
      <c r="Z984" s="273" t="s">
        <v>793</v>
      </c>
      <c r="AA984" s="385">
        <v>10000</v>
      </c>
      <c r="AB984" s="471">
        <v>-9999</v>
      </c>
      <c r="AC984" s="273">
        <v>-9999</v>
      </c>
      <c r="AD984" s="385">
        <v>500</v>
      </c>
      <c r="AE984" s="461" t="s">
        <v>1959</v>
      </c>
      <c r="AF984" s="273">
        <v>3</v>
      </c>
      <c r="AG984" s="273">
        <v>4</v>
      </c>
      <c r="AH984" s="273" t="s">
        <v>623</v>
      </c>
      <c r="AI984" s="273" t="s">
        <v>834</v>
      </c>
      <c r="AJ984" s="273">
        <v>20</v>
      </c>
      <c r="AK984" s="273" t="s">
        <v>625</v>
      </c>
      <c r="AL984" s="273" t="s">
        <v>1127</v>
      </c>
      <c r="AM984" s="273">
        <v>-9999</v>
      </c>
      <c r="AN984" s="273" t="s">
        <v>626</v>
      </c>
      <c r="AO984" s="273" t="s">
        <v>627</v>
      </c>
      <c r="AP984" s="273" t="s">
        <v>1126</v>
      </c>
      <c r="AQ984" s="273" t="s">
        <v>626</v>
      </c>
      <c r="AR984" s="273">
        <f>+AR983+0</f>
        <v>200</v>
      </c>
      <c r="AS984" s="273" t="s">
        <v>726</v>
      </c>
      <c r="AT984" s="273">
        <v>-9999</v>
      </c>
      <c r="AU984" s="273">
        <f t="shared" si="111"/>
        <v>43</v>
      </c>
      <c r="AV984" s="273">
        <v>-9999</v>
      </c>
      <c r="AW984" s="273">
        <v>-9999</v>
      </c>
      <c r="AX984" s="273">
        <f t="shared" si="112"/>
        <v>83</v>
      </c>
      <c r="AY984" s="273">
        <v>-9999</v>
      </c>
      <c r="AZ984" s="273">
        <v>-9999</v>
      </c>
      <c r="BA984" s="273" t="s">
        <v>725</v>
      </c>
      <c r="BB984" s="273" t="s">
        <v>626</v>
      </c>
      <c r="BC984" s="273" t="s">
        <v>829</v>
      </c>
      <c r="BD984" s="273" t="s">
        <v>835</v>
      </c>
      <c r="BE984" s="273" t="s">
        <v>1128</v>
      </c>
      <c r="BF984" s="273" t="s">
        <v>1129</v>
      </c>
      <c r="BG984" s="273" t="s">
        <v>577</v>
      </c>
      <c r="BH984" s="273">
        <v>-9999</v>
      </c>
      <c r="BI984" s="273">
        <v>-9999</v>
      </c>
      <c r="BJ984" s="273">
        <v>32.200000000000003</v>
      </c>
      <c r="BK984" s="273">
        <v>-9999</v>
      </c>
      <c r="BL984" s="273">
        <v>-9999</v>
      </c>
      <c r="BM984" s="273">
        <v>-9999</v>
      </c>
      <c r="BN984" s="273">
        <v>-9999</v>
      </c>
      <c r="BO984" s="273">
        <v>-9999</v>
      </c>
      <c r="BP984" s="273">
        <v>-9999</v>
      </c>
      <c r="BQ984" s="273">
        <v>-9999</v>
      </c>
      <c r="BR984" s="273">
        <v>-9999</v>
      </c>
      <c r="BS984" s="468">
        <v>-9999</v>
      </c>
      <c r="BT984" s="273">
        <v>-9999</v>
      </c>
      <c r="BU984" s="273">
        <v>-9999</v>
      </c>
      <c r="BV984" s="273">
        <v>-9999</v>
      </c>
      <c r="BW984" s="273"/>
      <c r="BX984" s="273">
        <v>-9999</v>
      </c>
      <c r="BY984" s="273">
        <v>-9999</v>
      </c>
      <c r="BZ984" s="273">
        <v>-9999</v>
      </c>
      <c r="CA984" s="472">
        <v>-9999</v>
      </c>
      <c r="CB984" s="473" t="s">
        <v>1132</v>
      </c>
      <c r="CC984" s="273">
        <v>1</v>
      </c>
      <c r="CD984" s="273">
        <v>4</v>
      </c>
      <c r="CE984" s="292">
        <v>16.651299999999999</v>
      </c>
      <c r="CF984" s="292">
        <v>27.334499999999998</v>
      </c>
      <c r="CG984" s="89">
        <v>4</v>
      </c>
    </row>
    <row r="985" spans="1:1873" s="430" customFormat="1" ht="12.75" customHeight="1" x14ac:dyDescent="0.2">
      <c r="A985" s="461" t="s">
        <v>832</v>
      </c>
      <c r="B985" s="461" t="s">
        <v>820</v>
      </c>
      <c r="C985" s="461" t="s">
        <v>1124</v>
      </c>
      <c r="D985" s="461" t="s">
        <v>619</v>
      </c>
      <c r="E985" s="462" t="s">
        <v>169</v>
      </c>
      <c r="F985" s="461">
        <v>1</v>
      </c>
      <c r="G985" s="461">
        <v>5</v>
      </c>
      <c r="H985" s="461">
        <v>5</v>
      </c>
      <c r="I985" s="461" t="s">
        <v>621</v>
      </c>
      <c r="J985" s="461">
        <v>1986</v>
      </c>
      <c r="K985" s="463" t="s">
        <v>1211</v>
      </c>
      <c r="L985" s="461">
        <v>1990</v>
      </c>
      <c r="M985" s="464">
        <v>-9999</v>
      </c>
      <c r="N985" s="464">
        <v>-9999</v>
      </c>
      <c r="O985" s="310"/>
      <c r="P985" s="464">
        <v>91.847899999999996</v>
      </c>
      <c r="Q985" s="461">
        <v>-9999</v>
      </c>
      <c r="R985" s="464"/>
      <c r="S985" s="461"/>
      <c r="T985" s="414">
        <f t="shared" si="109"/>
        <v>18.369579999999999</v>
      </c>
      <c r="U985" s="461">
        <v>-9999</v>
      </c>
      <c r="V985" s="461"/>
      <c r="W985" s="414">
        <f t="shared" si="110"/>
        <v>25.242699999999999</v>
      </c>
      <c r="X985" s="461">
        <v>-9999</v>
      </c>
      <c r="Y985" s="461"/>
      <c r="Z985" s="461" t="s">
        <v>793</v>
      </c>
      <c r="AA985" s="385">
        <v>10000</v>
      </c>
      <c r="AB985" s="464">
        <v>-9999</v>
      </c>
      <c r="AC985" s="461">
        <v>-9999</v>
      </c>
      <c r="AD985" s="385">
        <v>500</v>
      </c>
      <c r="AE985" s="461" t="s">
        <v>1959</v>
      </c>
      <c r="AF985" s="461">
        <v>3</v>
      </c>
      <c r="AG985" s="461">
        <v>4</v>
      </c>
      <c r="AH985" s="461" t="s">
        <v>623</v>
      </c>
      <c r="AI985" s="461" t="s">
        <v>834</v>
      </c>
      <c r="AJ985" s="461">
        <v>20</v>
      </c>
      <c r="AK985" s="461" t="s">
        <v>625</v>
      </c>
      <c r="AL985" s="461" t="s">
        <v>1127</v>
      </c>
      <c r="AM985" s="461">
        <v>-9999</v>
      </c>
      <c r="AN985" s="461" t="s">
        <v>626</v>
      </c>
      <c r="AO985" s="461" t="s">
        <v>627</v>
      </c>
      <c r="AP985" s="461" t="s">
        <v>1126</v>
      </c>
      <c r="AQ985" s="461" t="s">
        <v>626</v>
      </c>
      <c r="AR985" s="461">
        <f>+AR984+0</f>
        <v>200</v>
      </c>
      <c r="AS985" s="461" t="s">
        <v>726</v>
      </c>
      <c r="AT985" s="461">
        <v>-9999</v>
      </c>
      <c r="AU985" s="461">
        <f t="shared" si="111"/>
        <v>43</v>
      </c>
      <c r="AV985" s="461">
        <v>-9999</v>
      </c>
      <c r="AW985" s="461">
        <v>-9999</v>
      </c>
      <c r="AX985" s="461">
        <f t="shared" si="112"/>
        <v>83</v>
      </c>
      <c r="AY985" s="461">
        <v>-9999</v>
      </c>
      <c r="AZ985" s="461">
        <v>-9999</v>
      </c>
      <c r="BA985" s="461" t="s">
        <v>725</v>
      </c>
      <c r="BB985" s="461" t="s">
        <v>626</v>
      </c>
      <c r="BC985" s="461" t="s">
        <v>829</v>
      </c>
      <c r="BD985" s="461" t="s">
        <v>835</v>
      </c>
      <c r="BE985" s="461" t="s">
        <v>1128</v>
      </c>
      <c r="BF985" s="461" t="s">
        <v>1129</v>
      </c>
      <c r="BG985" s="461" t="s">
        <v>577</v>
      </c>
      <c r="BH985" s="461">
        <v>-9999</v>
      </c>
      <c r="BI985" s="461">
        <v>-9999</v>
      </c>
      <c r="BJ985" s="461">
        <v>38.9</v>
      </c>
      <c r="BK985" s="461">
        <v>-9999</v>
      </c>
      <c r="BL985" s="461">
        <v>-9999</v>
      </c>
      <c r="BM985" s="461">
        <v>-9999</v>
      </c>
      <c r="BN985" s="461">
        <v>-9999</v>
      </c>
      <c r="BO985" s="461">
        <v>-9999</v>
      </c>
      <c r="BP985" s="461">
        <v>-9999</v>
      </c>
      <c r="BQ985" s="461">
        <v>-9999</v>
      </c>
      <c r="BR985" s="461">
        <v>-9999</v>
      </c>
      <c r="BS985" s="465">
        <v>-9999</v>
      </c>
      <c r="BT985" s="461">
        <v>-9999</v>
      </c>
      <c r="BU985" s="461">
        <v>-9999</v>
      </c>
      <c r="BV985" s="461">
        <v>-9999</v>
      </c>
      <c r="BW985" s="461"/>
      <c r="BX985" s="461">
        <v>-9999</v>
      </c>
      <c r="BY985" s="461">
        <v>-9999</v>
      </c>
      <c r="BZ985" s="461">
        <v>-9999</v>
      </c>
      <c r="CA985" s="466">
        <v>-9999</v>
      </c>
      <c r="CB985" s="467" t="s">
        <v>1132</v>
      </c>
      <c r="CC985" s="461">
        <v>1</v>
      </c>
      <c r="CD985" s="461">
        <v>5</v>
      </c>
      <c r="CE985" s="342">
        <v>18.369579999999999</v>
      </c>
      <c r="CF985" s="342">
        <v>25.242699999999999</v>
      </c>
      <c r="CG985" s="461">
        <v>5</v>
      </c>
      <c r="CH985" s="301"/>
      <c r="CI985" s="301"/>
      <c r="CJ985" s="301"/>
      <c r="CK985" s="301"/>
      <c r="CL985" s="301"/>
      <c r="CM985" s="301"/>
      <c r="CN985" s="301"/>
      <c r="CO985" s="301"/>
      <c r="CP985" s="301"/>
      <c r="CQ985" s="301"/>
      <c r="CR985" s="301"/>
      <c r="CS985" s="301"/>
      <c r="CT985" s="301"/>
      <c r="CU985" s="301"/>
      <c r="CV985" s="301"/>
      <c r="CW985" s="301"/>
      <c r="CX985" s="301"/>
      <c r="CY985" s="301"/>
      <c r="CZ985" s="301"/>
      <c r="DA985" s="301"/>
      <c r="DB985" s="301"/>
      <c r="DC985" s="301"/>
      <c r="DD985" s="301"/>
      <c r="DE985" s="301"/>
      <c r="DF985" s="301"/>
      <c r="DG985" s="301"/>
      <c r="DH985" s="301"/>
      <c r="DI985" s="301"/>
      <c r="DJ985" s="301"/>
      <c r="DK985" s="301"/>
      <c r="DL985" s="301"/>
      <c r="DM985" s="301"/>
      <c r="DN985" s="301"/>
      <c r="DO985" s="301"/>
      <c r="DP985" s="301"/>
      <c r="DQ985" s="301"/>
      <c r="DR985" s="301"/>
      <c r="DS985" s="301"/>
      <c r="DT985" s="301"/>
      <c r="DU985" s="301"/>
      <c r="DV985" s="301"/>
      <c r="DW985" s="301"/>
      <c r="DX985" s="301"/>
      <c r="DY985" s="301"/>
      <c r="DZ985" s="301"/>
      <c r="EA985" s="301"/>
      <c r="EB985" s="301"/>
      <c r="EC985" s="301"/>
      <c r="ED985" s="301"/>
      <c r="EE985" s="301"/>
      <c r="EF985" s="301"/>
      <c r="EG985" s="301"/>
      <c r="EH985" s="301"/>
      <c r="EI985" s="301"/>
      <c r="EJ985" s="301"/>
      <c r="EK985" s="301"/>
      <c r="EL985" s="301"/>
      <c r="EM985" s="301"/>
      <c r="EN985" s="301"/>
      <c r="EO985" s="301"/>
      <c r="EP985" s="301"/>
      <c r="EQ985" s="301"/>
      <c r="ER985" s="301"/>
      <c r="ES985" s="301"/>
      <c r="ET985" s="301"/>
      <c r="EU985" s="301"/>
      <c r="EV985" s="301"/>
      <c r="EW985" s="301"/>
      <c r="EX985" s="301"/>
      <c r="EY985" s="301"/>
      <c r="EZ985" s="301"/>
      <c r="FA985" s="301"/>
      <c r="FB985" s="301"/>
      <c r="FC985" s="301"/>
      <c r="FD985" s="301"/>
      <c r="FE985" s="301"/>
      <c r="FF985" s="301"/>
      <c r="FG985" s="301"/>
      <c r="FH985" s="301"/>
      <c r="FI985" s="301"/>
      <c r="FJ985" s="301"/>
      <c r="FK985" s="301"/>
      <c r="FL985" s="301"/>
      <c r="FM985" s="301"/>
      <c r="FN985" s="301"/>
      <c r="FO985" s="301"/>
      <c r="FP985" s="301"/>
      <c r="FQ985" s="301"/>
      <c r="FR985" s="301"/>
      <c r="FS985" s="301"/>
      <c r="FT985" s="301"/>
      <c r="FU985" s="301"/>
      <c r="FV985" s="301"/>
      <c r="FW985" s="301"/>
      <c r="FX985" s="301"/>
      <c r="FY985" s="301"/>
      <c r="FZ985" s="301"/>
      <c r="GA985" s="301"/>
      <c r="GB985" s="301"/>
      <c r="GC985" s="301"/>
      <c r="GD985" s="301"/>
      <c r="GE985" s="301"/>
      <c r="GF985" s="301"/>
      <c r="GG985" s="301"/>
      <c r="GH985" s="301"/>
      <c r="GI985" s="301"/>
      <c r="GJ985" s="301"/>
      <c r="GK985" s="301"/>
      <c r="GL985" s="301"/>
      <c r="GM985" s="301"/>
      <c r="GN985" s="301"/>
      <c r="GO985" s="301"/>
      <c r="GP985" s="301"/>
      <c r="GQ985" s="301"/>
      <c r="GR985" s="301"/>
      <c r="GS985" s="301"/>
      <c r="GT985" s="301"/>
      <c r="GU985" s="301"/>
      <c r="GV985" s="301"/>
      <c r="GW985" s="301"/>
      <c r="GX985" s="301"/>
      <c r="GY985" s="301"/>
      <c r="GZ985" s="301"/>
      <c r="HA985" s="301"/>
      <c r="HB985" s="301"/>
      <c r="HC985" s="301"/>
      <c r="HD985" s="301"/>
      <c r="HE985" s="301"/>
      <c r="HF985" s="301"/>
      <c r="HG985" s="301"/>
      <c r="HH985" s="301"/>
      <c r="HI985" s="301"/>
      <c r="HJ985" s="301"/>
      <c r="HK985" s="301"/>
      <c r="HL985" s="301"/>
      <c r="HM985" s="301"/>
      <c r="HN985" s="301"/>
      <c r="HO985" s="301"/>
      <c r="HP985" s="301"/>
      <c r="HQ985" s="301"/>
      <c r="HR985" s="301"/>
      <c r="HS985" s="301"/>
      <c r="HT985" s="301"/>
      <c r="HU985" s="301"/>
      <c r="HV985" s="301"/>
      <c r="HW985" s="301"/>
      <c r="HX985" s="301"/>
      <c r="HY985" s="301"/>
      <c r="HZ985" s="301"/>
      <c r="IA985" s="301"/>
      <c r="IB985" s="301"/>
      <c r="IC985" s="301"/>
      <c r="ID985" s="301"/>
      <c r="IE985" s="301"/>
      <c r="IF985" s="301"/>
      <c r="IG985" s="301"/>
      <c r="IH985" s="301"/>
      <c r="II985" s="301"/>
      <c r="IJ985" s="301"/>
      <c r="IK985" s="301"/>
      <c r="IL985" s="301"/>
      <c r="IM985" s="301"/>
      <c r="IN985" s="301"/>
      <c r="IO985" s="301"/>
      <c r="IP985" s="301"/>
      <c r="IQ985" s="301"/>
      <c r="IR985" s="301"/>
      <c r="IS985" s="301"/>
      <c r="IT985" s="301"/>
      <c r="IU985" s="301"/>
      <c r="IV985" s="301"/>
      <c r="IW985" s="301"/>
      <c r="IX985" s="301"/>
      <c r="IY985" s="301"/>
      <c r="IZ985" s="301"/>
      <c r="JA985" s="301"/>
      <c r="JB985" s="301"/>
      <c r="JC985" s="301"/>
      <c r="JD985" s="301"/>
      <c r="JE985" s="301"/>
      <c r="JF985" s="301"/>
      <c r="JG985" s="301"/>
      <c r="JH985" s="301"/>
      <c r="JI985" s="301"/>
      <c r="JJ985" s="301"/>
      <c r="JK985" s="301"/>
      <c r="JL985" s="301"/>
      <c r="JM985" s="301"/>
      <c r="JN985" s="301"/>
      <c r="JO985" s="301"/>
      <c r="JP985" s="301"/>
      <c r="JQ985" s="301"/>
      <c r="JR985" s="301"/>
      <c r="JS985" s="301"/>
      <c r="JT985" s="301"/>
      <c r="JU985" s="301"/>
      <c r="JV985" s="301"/>
      <c r="JW985" s="301"/>
      <c r="JX985" s="301"/>
      <c r="JY985" s="301"/>
      <c r="JZ985" s="301"/>
      <c r="KA985" s="301"/>
      <c r="KB985" s="301"/>
      <c r="KC985" s="301"/>
      <c r="KD985" s="301"/>
      <c r="KE985" s="301"/>
      <c r="KF985" s="301"/>
      <c r="KG985" s="301"/>
      <c r="KH985" s="301"/>
      <c r="KI985" s="301"/>
      <c r="KJ985" s="301"/>
      <c r="KK985" s="301"/>
      <c r="KL985" s="301"/>
      <c r="KM985" s="301"/>
      <c r="KN985" s="301"/>
      <c r="KO985" s="301"/>
      <c r="KP985" s="301"/>
      <c r="KQ985" s="301"/>
      <c r="KR985" s="301"/>
      <c r="KS985" s="301"/>
      <c r="KT985" s="301"/>
      <c r="KU985" s="301"/>
      <c r="KV985" s="301"/>
      <c r="KW985" s="301"/>
      <c r="KX985" s="301"/>
      <c r="KY985" s="301"/>
      <c r="KZ985" s="301"/>
      <c r="LA985" s="301"/>
      <c r="LB985" s="301"/>
      <c r="LC985" s="301"/>
      <c r="LD985" s="301"/>
      <c r="LE985" s="301"/>
      <c r="LF985" s="301"/>
      <c r="LG985" s="301"/>
      <c r="LH985" s="301"/>
      <c r="LI985" s="301"/>
      <c r="LJ985" s="301"/>
      <c r="LK985" s="301"/>
      <c r="LL985" s="301"/>
      <c r="LM985" s="301"/>
      <c r="LN985" s="301"/>
      <c r="LO985" s="301"/>
      <c r="LP985" s="301"/>
      <c r="LQ985" s="301"/>
      <c r="LR985" s="301"/>
      <c r="LS985" s="301"/>
      <c r="LT985" s="301"/>
      <c r="LU985" s="301"/>
      <c r="LV985" s="301"/>
      <c r="LW985" s="301"/>
      <c r="LX985" s="301"/>
      <c r="LY985" s="301"/>
      <c r="LZ985" s="301"/>
      <c r="MA985" s="301"/>
      <c r="MB985" s="301"/>
      <c r="MC985" s="301"/>
      <c r="MD985" s="301"/>
      <c r="ME985" s="301"/>
      <c r="MF985" s="301"/>
      <c r="MG985" s="301"/>
      <c r="MH985" s="301"/>
      <c r="MI985" s="301"/>
      <c r="MJ985" s="301"/>
      <c r="MK985" s="301"/>
      <c r="ML985" s="301"/>
      <c r="MM985" s="301"/>
      <c r="MN985" s="301"/>
      <c r="MO985" s="301"/>
      <c r="MP985" s="301"/>
      <c r="MQ985" s="301"/>
      <c r="MR985" s="301"/>
      <c r="MS985" s="301"/>
      <c r="MT985" s="301"/>
      <c r="MU985" s="301"/>
      <c r="MV985" s="301"/>
      <c r="MW985" s="301"/>
      <c r="MX985" s="301"/>
      <c r="MY985" s="301"/>
      <c r="MZ985" s="301"/>
      <c r="NA985" s="301"/>
      <c r="NB985" s="301"/>
      <c r="NC985" s="301"/>
      <c r="ND985" s="301"/>
      <c r="NE985" s="301"/>
      <c r="NF985" s="301"/>
      <c r="NG985" s="301"/>
      <c r="NH985" s="301"/>
      <c r="NI985" s="301"/>
      <c r="NJ985" s="301"/>
      <c r="NK985" s="301"/>
      <c r="NL985" s="301"/>
      <c r="NM985" s="301"/>
      <c r="NN985" s="301"/>
      <c r="NO985" s="301"/>
      <c r="NP985" s="301"/>
      <c r="NQ985" s="301"/>
      <c r="NR985" s="301"/>
      <c r="NS985" s="301"/>
      <c r="NT985" s="301"/>
      <c r="NU985" s="301"/>
      <c r="NV985" s="301"/>
      <c r="NW985" s="301"/>
      <c r="NX985" s="301"/>
      <c r="NY985" s="301"/>
      <c r="NZ985" s="301"/>
      <c r="OA985" s="301"/>
      <c r="OB985" s="301"/>
      <c r="OC985" s="301"/>
      <c r="OD985" s="301"/>
      <c r="OE985" s="301"/>
      <c r="OF985" s="301"/>
      <c r="OG985" s="301"/>
      <c r="OH985" s="301"/>
      <c r="OI985" s="301"/>
      <c r="OJ985" s="301"/>
      <c r="OK985" s="301"/>
      <c r="OL985" s="301"/>
      <c r="OM985" s="301"/>
      <c r="ON985" s="301"/>
      <c r="OO985" s="301"/>
      <c r="OP985" s="301"/>
      <c r="OQ985" s="301"/>
      <c r="OR985" s="301"/>
      <c r="OS985" s="301"/>
      <c r="OT985" s="301"/>
      <c r="OU985" s="301"/>
      <c r="OV985" s="301"/>
      <c r="OW985" s="301"/>
      <c r="OX985" s="301"/>
      <c r="OY985" s="301"/>
      <c r="OZ985" s="301"/>
      <c r="PA985" s="301"/>
      <c r="PB985" s="301"/>
      <c r="PC985" s="301"/>
      <c r="PD985" s="301"/>
      <c r="PE985" s="301"/>
      <c r="PF985" s="301"/>
      <c r="PG985" s="301"/>
      <c r="PH985" s="301"/>
      <c r="PI985" s="301"/>
      <c r="PJ985" s="301"/>
      <c r="PK985" s="301"/>
      <c r="PL985" s="301"/>
      <c r="PM985" s="301"/>
      <c r="PN985" s="301"/>
      <c r="PO985" s="301"/>
      <c r="PP985" s="301"/>
      <c r="PQ985" s="301"/>
      <c r="PR985" s="301"/>
      <c r="PS985" s="301"/>
      <c r="PT985" s="301"/>
      <c r="PU985" s="301"/>
      <c r="PV985" s="301"/>
      <c r="PW985" s="301"/>
      <c r="PX985" s="301"/>
      <c r="PY985" s="301"/>
      <c r="PZ985" s="301"/>
      <c r="QA985" s="301"/>
      <c r="QB985" s="301"/>
      <c r="QC985" s="301"/>
      <c r="QD985" s="301"/>
      <c r="QE985" s="301"/>
      <c r="QF985" s="301"/>
      <c r="QG985" s="301"/>
      <c r="QH985" s="301"/>
      <c r="QI985" s="301"/>
      <c r="QJ985" s="301"/>
      <c r="QK985" s="301"/>
      <c r="QL985" s="301"/>
      <c r="QM985" s="301"/>
      <c r="QN985" s="301"/>
      <c r="QO985" s="301"/>
      <c r="QP985" s="301"/>
      <c r="QQ985" s="301"/>
      <c r="QR985" s="301"/>
      <c r="QS985" s="301"/>
      <c r="QT985" s="301"/>
      <c r="QU985" s="301"/>
      <c r="QV985" s="301"/>
      <c r="QW985" s="301"/>
      <c r="QX985" s="301"/>
      <c r="QY985" s="301"/>
      <c r="QZ985" s="301"/>
      <c r="RA985" s="301"/>
      <c r="RB985" s="301"/>
      <c r="RC985" s="301"/>
      <c r="RD985" s="301"/>
      <c r="RE985" s="301"/>
      <c r="RF985" s="301"/>
      <c r="RG985" s="301"/>
      <c r="RH985" s="301"/>
      <c r="RI985" s="301"/>
      <c r="RJ985" s="301"/>
      <c r="RK985" s="301"/>
      <c r="RL985" s="301"/>
      <c r="RM985" s="301"/>
      <c r="RN985" s="301"/>
      <c r="RO985" s="301"/>
      <c r="RP985" s="301"/>
      <c r="RQ985" s="301"/>
      <c r="RR985" s="301"/>
      <c r="RS985" s="301"/>
      <c r="RT985" s="301"/>
      <c r="RU985" s="301"/>
      <c r="RV985" s="301"/>
      <c r="RW985" s="301"/>
      <c r="RX985" s="301"/>
      <c r="RY985" s="301"/>
      <c r="RZ985" s="301"/>
      <c r="SA985" s="301"/>
      <c r="SB985" s="301"/>
      <c r="SC985" s="301"/>
      <c r="SD985" s="301"/>
      <c r="SE985" s="301"/>
      <c r="SF985" s="301"/>
      <c r="SG985" s="301"/>
      <c r="SH985" s="301"/>
      <c r="SI985" s="301"/>
      <c r="SJ985" s="301"/>
      <c r="SK985" s="301"/>
      <c r="SL985" s="301"/>
      <c r="SM985" s="301"/>
      <c r="SN985" s="301"/>
      <c r="SO985" s="301"/>
      <c r="SP985" s="301"/>
      <c r="SQ985" s="301"/>
      <c r="SR985" s="301"/>
      <c r="SS985" s="301"/>
      <c r="ST985" s="301"/>
      <c r="SU985" s="301"/>
      <c r="SV985" s="301"/>
      <c r="SW985" s="301"/>
      <c r="SX985" s="301"/>
      <c r="SY985" s="301"/>
      <c r="SZ985" s="301"/>
      <c r="TA985" s="301"/>
      <c r="TB985" s="301"/>
      <c r="TC985" s="301"/>
      <c r="TD985" s="301"/>
      <c r="TE985" s="301"/>
      <c r="TF985" s="301"/>
      <c r="TG985" s="301"/>
      <c r="TH985" s="301"/>
      <c r="TI985" s="301"/>
      <c r="TJ985" s="301"/>
      <c r="TK985" s="301"/>
      <c r="TL985" s="301"/>
      <c r="TM985" s="301"/>
      <c r="TN985" s="301"/>
      <c r="TO985" s="301"/>
      <c r="TP985" s="301"/>
      <c r="TQ985" s="301"/>
      <c r="TR985" s="301"/>
      <c r="TS985" s="301"/>
      <c r="TT985" s="301"/>
      <c r="TU985" s="301"/>
      <c r="TV985" s="301"/>
      <c r="TW985" s="301"/>
      <c r="TX985" s="301"/>
      <c r="TY985" s="301"/>
      <c r="TZ985" s="301"/>
      <c r="UA985" s="301"/>
      <c r="UB985" s="301"/>
      <c r="UC985" s="301"/>
      <c r="UD985" s="301"/>
      <c r="UE985" s="301"/>
      <c r="UF985" s="301"/>
      <c r="UG985" s="301"/>
      <c r="UH985" s="301"/>
      <c r="UI985" s="301"/>
      <c r="UJ985" s="301"/>
      <c r="UK985" s="301"/>
      <c r="UL985" s="301"/>
      <c r="UM985" s="301"/>
      <c r="UN985" s="301"/>
      <c r="UO985" s="301"/>
      <c r="UP985" s="301"/>
      <c r="UQ985" s="301"/>
      <c r="UR985" s="301"/>
      <c r="US985" s="301"/>
      <c r="UT985" s="301"/>
      <c r="UU985" s="301"/>
      <c r="UV985" s="301"/>
      <c r="UW985" s="301"/>
      <c r="UX985" s="301"/>
      <c r="UY985" s="301"/>
      <c r="UZ985" s="301"/>
      <c r="VA985" s="301"/>
      <c r="VB985" s="301"/>
      <c r="VC985" s="301"/>
      <c r="VD985" s="301"/>
      <c r="VE985" s="301"/>
      <c r="VF985" s="301"/>
      <c r="VG985" s="301"/>
      <c r="VH985" s="301"/>
      <c r="VI985" s="301"/>
      <c r="VJ985" s="301"/>
      <c r="VK985" s="301"/>
      <c r="VL985" s="301"/>
      <c r="VM985" s="301"/>
      <c r="VN985" s="301"/>
      <c r="VO985" s="301"/>
      <c r="VP985" s="301"/>
      <c r="VQ985" s="301"/>
      <c r="VR985" s="301"/>
      <c r="VS985" s="301"/>
      <c r="VT985" s="301"/>
      <c r="VU985" s="301"/>
      <c r="VV985" s="301"/>
      <c r="VW985" s="301"/>
      <c r="VX985" s="301"/>
      <c r="VY985" s="301"/>
      <c r="VZ985" s="301"/>
      <c r="WA985" s="301"/>
      <c r="WB985" s="301"/>
      <c r="WC985" s="301"/>
      <c r="WD985" s="301"/>
      <c r="WE985" s="301"/>
      <c r="WF985" s="301"/>
      <c r="WG985" s="301"/>
      <c r="WH985" s="301"/>
      <c r="WI985" s="301"/>
      <c r="WJ985" s="301"/>
      <c r="WK985" s="301"/>
      <c r="WL985" s="301"/>
      <c r="WM985" s="301"/>
      <c r="WN985" s="301"/>
      <c r="WO985" s="301"/>
      <c r="WP985" s="301"/>
      <c r="WQ985" s="301"/>
      <c r="WR985" s="301"/>
      <c r="WS985" s="301"/>
      <c r="WT985" s="301"/>
      <c r="WU985" s="301"/>
      <c r="WV985" s="301"/>
      <c r="WW985" s="301"/>
      <c r="WX985" s="301"/>
      <c r="WY985" s="301"/>
      <c r="WZ985" s="301"/>
      <c r="XA985" s="301"/>
      <c r="XB985" s="301"/>
      <c r="XC985" s="301"/>
      <c r="XD985" s="301"/>
      <c r="XE985" s="301"/>
      <c r="XF985" s="301"/>
      <c r="XG985" s="301"/>
      <c r="XH985" s="301"/>
      <c r="XI985" s="301"/>
      <c r="XJ985" s="301"/>
      <c r="XK985" s="301"/>
      <c r="XL985" s="301"/>
      <c r="XM985" s="301"/>
      <c r="XN985" s="301"/>
      <c r="XO985" s="301"/>
      <c r="XP985" s="301"/>
      <c r="XQ985" s="301"/>
      <c r="XR985" s="301"/>
      <c r="XS985" s="301"/>
      <c r="XT985" s="301"/>
      <c r="XU985" s="301"/>
      <c r="XV985" s="301"/>
      <c r="XW985" s="301"/>
      <c r="XX985" s="301"/>
      <c r="XY985" s="301"/>
      <c r="XZ985" s="301"/>
      <c r="YA985" s="301"/>
      <c r="YB985" s="301"/>
      <c r="YC985" s="301"/>
      <c r="YD985" s="301"/>
      <c r="YE985" s="301"/>
      <c r="YF985" s="301"/>
      <c r="YG985" s="301"/>
      <c r="YH985" s="301"/>
      <c r="YI985" s="301"/>
      <c r="YJ985" s="301"/>
      <c r="YK985" s="301"/>
      <c r="YL985" s="301"/>
      <c r="YM985" s="301"/>
      <c r="YN985" s="301"/>
      <c r="YO985" s="301"/>
      <c r="YP985" s="301"/>
      <c r="YQ985" s="301"/>
      <c r="YR985" s="301"/>
      <c r="YS985" s="301"/>
      <c r="YT985" s="301"/>
      <c r="YU985" s="301"/>
      <c r="YV985" s="301"/>
      <c r="YW985" s="301"/>
      <c r="YX985" s="301"/>
      <c r="YY985" s="301"/>
      <c r="YZ985" s="301"/>
      <c r="ZA985" s="301"/>
      <c r="ZB985" s="301"/>
      <c r="ZC985" s="301"/>
      <c r="ZD985" s="301"/>
      <c r="ZE985" s="301"/>
      <c r="ZF985" s="301"/>
      <c r="ZG985" s="301"/>
      <c r="ZH985" s="301"/>
      <c r="ZI985" s="301"/>
      <c r="ZJ985" s="301"/>
      <c r="ZK985" s="301"/>
      <c r="ZL985" s="301"/>
      <c r="ZM985" s="301"/>
      <c r="ZN985" s="301"/>
      <c r="ZO985" s="301"/>
      <c r="ZP985" s="301"/>
      <c r="ZQ985" s="301"/>
      <c r="ZR985" s="301"/>
      <c r="ZS985" s="301"/>
      <c r="ZT985" s="301"/>
      <c r="ZU985" s="301"/>
      <c r="ZV985" s="301"/>
      <c r="ZW985" s="301"/>
      <c r="ZX985" s="301"/>
      <c r="ZY985" s="301"/>
      <c r="ZZ985" s="301"/>
      <c r="AAA985" s="301"/>
      <c r="AAB985" s="301"/>
      <c r="AAC985" s="301"/>
      <c r="AAD985" s="301"/>
      <c r="AAE985" s="301"/>
      <c r="AAF985" s="301"/>
      <c r="AAG985" s="301"/>
      <c r="AAH985" s="301"/>
      <c r="AAI985" s="301"/>
      <c r="AAJ985" s="301"/>
      <c r="AAK985" s="301"/>
      <c r="AAL985" s="301"/>
      <c r="AAM985" s="301"/>
      <c r="AAN985" s="301"/>
      <c r="AAO985" s="301"/>
      <c r="AAP985" s="301"/>
      <c r="AAQ985" s="301"/>
      <c r="AAR985" s="301"/>
      <c r="AAS985" s="301"/>
      <c r="AAT985" s="301"/>
      <c r="AAU985" s="301"/>
      <c r="AAV985" s="301"/>
      <c r="AAW985" s="301"/>
      <c r="AAX985" s="301"/>
      <c r="AAY985" s="301"/>
      <c r="AAZ985" s="301"/>
      <c r="ABA985" s="301"/>
      <c r="ABB985" s="301"/>
      <c r="ABC985" s="301"/>
      <c r="ABD985" s="301"/>
      <c r="ABE985" s="301"/>
      <c r="ABF985" s="301"/>
      <c r="ABG985" s="301"/>
      <c r="ABH985" s="301"/>
      <c r="ABI985" s="301"/>
      <c r="ABJ985" s="301"/>
      <c r="ABK985" s="301"/>
      <c r="ABL985" s="301"/>
      <c r="ABM985" s="301"/>
      <c r="ABN985" s="301"/>
      <c r="ABO985" s="301"/>
      <c r="ABP985" s="301"/>
      <c r="ABQ985" s="301"/>
      <c r="ABR985" s="301"/>
      <c r="ABS985" s="301"/>
      <c r="ABT985" s="301"/>
      <c r="ABU985" s="301"/>
      <c r="ABV985" s="301"/>
      <c r="ABW985" s="301"/>
      <c r="ABX985" s="301"/>
      <c r="ABY985" s="301"/>
      <c r="ABZ985" s="301"/>
      <c r="ACA985" s="301"/>
      <c r="ACB985" s="301"/>
      <c r="ACC985" s="301"/>
      <c r="ACD985" s="301"/>
      <c r="ACE985" s="301"/>
      <c r="ACF985" s="301"/>
      <c r="ACG985" s="301"/>
      <c r="ACH985" s="301"/>
      <c r="ACI985" s="301"/>
      <c r="ACJ985" s="301"/>
      <c r="ACK985" s="301"/>
      <c r="ACL985" s="301"/>
      <c r="ACM985" s="301"/>
      <c r="ACN985" s="301"/>
      <c r="ACO985" s="301"/>
      <c r="ACP985" s="301"/>
      <c r="ACQ985" s="301"/>
      <c r="ACR985" s="301"/>
      <c r="ACS985" s="301"/>
      <c r="ACT985" s="301"/>
      <c r="ACU985" s="301"/>
      <c r="ACV985" s="301"/>
      <c r="ACW985" s="301"/>
      <c r="ACX985" s="301"/>
      <c r="ACY985" s="301"/>
      <c r="ACZ985" s="301"/>
      <c r="ADA985" s="301"/>
      <c r="ADB985" s="301"/>
      <c r="ADC985" s="301"/>
      <c r="ADD985" s="301"/>
      <c r="ADE985" s="301"/>
      <c r="ADF985" s="301"/>
      <c r="ADG985" s="301"/>
      <c r="ADH985" s="301"/>
      <c r="ADI985" s="301"/>
      <c r="ADJ985" s="301"/>
      <c r="ADK985" s="301"/>
      <c r="ADL985" s="301"/>
      <c r="ADM985" s="301"/>
      <c r="ADN985" s="301"/>
      <c r="ADO985" s="301"/>
      <c r="ADP985" s="301"/>
      <c r="ADQ985" s="301"/>
      <c r="ADR985" s="301"/>
      <c r="ADS985" s="301"/>
      <c r="ADT985" s="301"/>
      <c r="ADU985" s="301"/>
      <c r="ADV985" s="301"/>
      <c r="ADW985" s="301"/>
      <c r="ADX985" s="301"/>
      <c r="ADY985" s="301"/>
      <c r="ADZ985" s="301"/>
      <c r="AEA985" s="301"/>
      <c r="AEB985" s="301"/>
      <c r="AEC985" s="301"/>
      <c r="AED985" s="301"/>
      <c r="AEE985" s="301"/>
      <c r="AEF985" s="301"/>
      <c r="AEG985" s="301"/>
      <c r="AEH985" s="301"/>
      <c r="AEI985" s="301"/>
      <c r="AEJ985" s="301"/>
      <c r="AEK985" s="301"/>
      <c r="AEL985" s="301"/>
      <c r="AEM985" s="301"/>
      <c r="AEN985" s="301"/>
      <c r="AEO985" s="301"/>
      <c r="AEP985" s="301"/>
      <c r="AEQ985" s="301"/>
      <c r="AER985" s="301"/>
      <c r="AES985" s="301"/>
      <c r="AET985" s="301"/>
      <c r="AEU985" s="301"/>
      <c r="AEV985" s="301"/>
      <c r="AEW985" s="301"/>
      <c r="AEX985" s="301"/>
      <c r="AEY985" s="301"/>
      <c r="AEZ985" s="301"/>
      <c r="AFA985" s="301"/>
      <c r="AFB985" s="301"/>
      <c r="AFC985" s="301"/>
      <c r="AFD985" s="301"/>
      <c r="AFE985" s="301"/>
      <c r="AFF985" s="301"/>
      <c r="AFG985" s="301"/>
      <c r="AFH985" s="301"/>
      <c r="AFI985" s="301"/>
      <c r="AFJ985" s="301"/>
      <c r="AFK985" s="301"/>
      <c r="AFL985" s="301"/>
      <c r="AFM985" s="301"/>
      <c r="AFN985" s="301"/>
      <c r="AFO985" s="301"/>
      <c r="AFP985" s="301"/>
      <c r="AFQ985" s="301"/>
      <c r="AFR985" s="301"/>
      <c r="AFS985" s="301"/>
      <c r="AFT985" s="301"/>
      <c r="AFU985" s="301"/>
      <c r="AFV985" s="301"/>
      <c r="AFW985" s="301"/>
      <c r="AFX985" s="301"/>
      <c r="AFY985" s="301"/>
      <c r="AFZ985" s="301"/>
      <c r="AGA985" s="301"/>
      <c r="AGB985" s="301"/>
      <c r="AGC985" s="301"/>
      <c r="AGD985" s="301"/>
      <c r="AGE985" s="301"/>
      <c r="AGF985" s="301"/>
      <c r="AGG985" s="301"/>
      <c r="AGH985" s="301"/>
      <c r="AGI985" s="301"/>
      <c r="AGJ985" s="301"/>
      <c r="AGK985" s="301"/>
      <c r="AGL985" s="301"/>
      <c r="AGM985" s="301"/>
      <c r="AGN985" s="301"/>
      <c r="AGO985" s="301"/>
      <c r="AGP985" s="301"/>
      <c r="AGQ985" s="301"/>
      <c r="AGR985" s="301"/>
      <c r="AGS985" s="301"/>
      <c r="AGT985" s="301"/>
      <c r="AGU985" s="301"/>
      <c r="AGV985" s="301"/>
      <c r="AGW985" s="301"/>
      <c r="AGX985" s="301"/>
      <c r="AGY985" s="301"/>
      <c r="AGZ985" s="301"/>
      <c r="AHA985" s="301"/>
      <c r="AHB985" s="301"/>
      <c r="AHC985" s="301"/>
      <c r="AHD985" s="301"/>
      <c r="AHE985" s="301"/>
      <c r="AHF985" s="301"/>
      <c r="AHG985" s="301"/>
      <c r="AHH985" s="301"/>
      <c r="AHI985" s="301"/>
      <c r="AHJ985" s="301"/>
      <c r="AHK985" s="301"/>
      <c r="AHL985" s="301"/>
      <c r="AHM985" s="301"/>
      <c r="AHN985" s="301"/>
      <c r="AHO985" s="301"/>
      <c r="AHP985" s="301"/>
      <c r="AHQ985" s="301"/>
      <c r="AHR985" s="301"/>
      <c r="AHS985" s="301"/>
      <c r="AHT985" s="301"/>
      <c r="AHU985" s="301"/>
      <c r="AHV985" s="301"/>
      <c r="AHW985" s="301"/>
      <c r="AHX985" s="301"/>
      <c r="AHY985" s="301"/>
      <c r="AHZ985" s="301"/>
      <c r="AIA985" s="301"/>
      <c r="AIB985" s="301"/>
      <c r="AIC985" s="301"/>
      <c r="AID985" s="301"/>
      <c r="AIE985" s="301"/>
      <c r="AIF985" s="301"/>
      <c r="AIG985" s="301"/>
      <c r="AIH985" s="301"/>
      <c r="AII985" s="301"/>
      <c r="AIJ985" s="301"/>
      <c r="AIK985" s="301"/>
      <c r="AIL985" s="301"/>
      <c r="AIM985" s="301"/>
      <c r="AIN985" s="301"/>
      <c r="AIO985" s="301"/>
      <c r="AIP985" s="301"/>
      <c r="AIQ985" s="301"/>
      <c r="AIR985" s="301"/>
      <c r="AIS985" s="301"/>
      <c r="AIT985" s="301"/>
      <c r="AIU985" s="301"/>
      <c r="AIV985" s="301"/>
      <c r="AIW985" s="301"/>
      <c r="AIX985" s="301"/>
      <c r="AIY985" s="301"/>
      <c r="AIZ985" s="301"/>
      <c r="AJA985" s="301"/>
      <c r="AJB985" s="301"/>
      <c r="AJC985" s="301"/>
      <c r="AJD985" s="301"/>
      <c r="AJE985" s="301"/>
      <c r="AJF985" s="301"/>
      <c r="AJG985" s="301"/>
      <c r="AJH985" s="301"/>
      <c r="AJI985" s="301"/>
      <c r="AJJ985" s="301"/>
      <c r="AJK985" s="301"/>
      <c r="AJL985" s="301"/>
      <c r="AJM985" s="301"/>
      <c r="AJN985" s="301"/>
      <c r="AJO985" s="301"/>
      <c r="AJP985" s="301"/>
      <c r="AJQ985" s="301"/>
      <c r="AJR985" s="301"/>
      <c r="AJS985" s="301"/>
      <c r="AJT985" s="301"/>
      <c r="AJU985" s="301"/>
      <c r="AJV985" s="301"/>
      <c r="AJW985" s="301"/>
      <c r="AJX985" s="301"/>
      <c r="AJY985" s="301"/>
      <c r="AJZ985" s="301"/>
      <c r="AKA985" s="301"/>
      <c r="AKB985" s="301"/>
      <c r="AKC985" s="301"/>
      <c r="AKD985" s="301"/>
      <c r="AKE985" s="301"/>
      <c r="AKF985" s="301"/>
      <c r="AKG985" s="301"/>
      <c r="AKH985" s="301"/>
      <c r="AKI985" s="301"/>
      <c r="AKJ985" s="301"/>
      <c r="AKK985" s="301"/>
      <c r="AKL985" s="301"/>
      <c r="AKM985" s="301"/>
      <c r="AKN985" s="301"/>
      <c r="AKO985" s="301"/>
      <c r="AKP985" s="301"/>
      <c r="AKQ985" s="301"/>
      <c r="AKR985" s="301"/>
      <c r="AKS985" s="301"/>
      <c r="AKT985" s="301"/>
      <c r="AKU985" s="301"/>
      <c r="AKV985" s="301"/>
      <c r="AKW985" s="301"/>
      <c r="AKX985" s="301"/>
      <c r="AKY985" s="301"/>
      <c r="AKZ985" s="301"/>
      <c r="ALA985" s="301"/>
      <c r="ALB985" s="301"/>
      <c r="ALC985" s="301"/>
      <c r="ALD985" s="301"/>
      <c r="ALE985" s="301"/>
      <c r="ALF985" s="301"/>
      <c r="ALG985" s="301"/>
      <c r="ALH985" s="301"/>
      <c r="ALI985" s="301"/>
      <c r="ALJ985" s="301"/>
      <c r="ALK985" s="301"/>
      <c r="ALL985" s="301"/>
      <c r="ALM985" s="301"/>
      <c r="ALN985" s="301"/>
      <c r="ALO985" s="301"/>
      <c r="ALP985" s="301"/>
      <c r="ALQ985" s="301"/>
      <c r="ALR985" s="301"/>
      <c r="ALS985" s="301"/>
      <c r="ALT985" s="301"/>
      <c r="ALU985" s="301"/>
      <c r="ALV985" s="301"/>
      <c r="ALW985" s="301"/>
      <c r="ALX985" s="301"/>
      <c r="ALY985" s="301"/>
      <c r="ALZ985" s="301"/>
      <c r="AMA985" s="301"/>
      <c r="AMB985" s="301"/>
      <c r="AMC985" s="301"/>
      <c r="AMD985" s="301"/>
      <c r="AME985" s="301"/>
      <c r="AMF985" s="301"/>
      <c r="AMG985" s="301"/>
      <c r="AMH985" s="301"/>
      <c r="AMI985" s="301"/>
      <c r="AMJ985" s="301"/>
      <c r="AMK985" s="301"/>
      <c r="AML985" s="301"/>
      <c r="AMM985" s="301"/>
      <c r="AMN985" s="301"/>
      <c r="AMO985" s="301"/>
      <c r="AMP985" s="301"/>
      <c r="AMQ985" s="301"/>
      <c r="AMR985" s="301"/>
      <c r="AMS985" s="301"/>
      <c r="AMT985" s="301"/>
      <c r="AMU985" s="301"/>
      <c r="AMV985" s="301"/>
      <c r="AMW985" s="301"/>
      <c r="AMX985" s="301"/>
      <c r="AMY985" s="301"/>
      <c r="AMZ985" s="301"/>
      <c r="ANA985" s="301"/>
      <c r="ANB985" s="301"/>
      <c r="ANC985" s="301"/>
      <c r="AND985" s="301"/>
      <c r="ANE985" s="301"/>
      <c r="ANF985" s="301"/>
      <c r="ANG985" s="301"/>
      <c r="ANH985" s="301"/>
      <c r="ANI985" s="301"/>
      <c r="ANJ985" s="301"/>
      <c r="ANK985" s="301"/>
      <c r="ANL985" s="301"/>
      <c r="ANM985" s="301"/>
      <c r="ANN985" s="301"/>
      <c r="ANO985" s="301"/>
      <c r="ANP985" s="301"/>
      <c r="ANQ985" s="301"/>
      <c r="ANR985" s="301"/>
      <c r="ANS985" s="301"/>
      <c r="ANT985" s="301"/>
      <c r="ANU985" s="301"/>
      <c r="ANV985" s="301"/>
      <c r="ANW985" s="301"/>
      <c r="ANX985" s="301"/>
      <c r="ANY985" s="301"/>
      <c r="ANZ985" s="301"/>
      <c r="AOA985" s="301"/>
      <c r="AOB985" s="301"/>
      <c r="AOC985" s="301"/>
      <c r="AOD985" s="301"/>
      <c r="AOE985" s="301"/>
      <c r="AOF985" s="301"/>
      <c r="AOG985" s="301"/>
      <c r="AOH985" s="301"/>
      <c r="AOI985" s="301"/>
      <c r="AOJ985" s="301"/>
      <c r="AOK985" s="301"/>
      <c r="AOL985" s="301"/>
      <c r="AOM985" s="301"/>
      <c r="AON985" s="301"/>
      <c r="AOO985" s="301"/>
      <c r="AOP985" s="301"/>
      <c r="AOQ985" s="301"/>
      <c r="AOR985" s="301"/>
      <c r="AOS985" s="301"/>
      <c r="AOT985" s="301"/>
      <c r="AOU985" s="301"/>
      <c r="AOV985" s="301"/>
      <c r="AOW985" s="301"/>
      <c r="AOX985" s="301"/>
      <c r="AOY985" s="301"/>
      <c r="AOZ985" s="301"/>
      <c r="APA985" s="301"/>
      <c r="APB985" s="301"/>
      <c r="APC985" s="301"/>
      <c r="APD985" s="301"/>
      <c r="APE985" s="301"/>
      <c r="APF985" s="301"/>
      <c r="APG985" s="301"/>
      <c r="APH985" s="301"/>
      <c r="API985" s="301"/>
      <c r="APJ985" s="301"/>
      <c r="APK985" s="301"/>
      <c r="APL985" s="301"/>
      <c r="APM985" s="301"/>
      <c r="APN985" s="301"/>
      <c r="APO985" s="301"/>
      <c r="APP985" s="301"/>
      <c r="APQ985" s="301"/>
      <c r="APR985" s="301"/>
      <c r="APS985" s="301"/>
      <c r="APT985" s="301"/>
      <c r="APU985" s="301"/>
      <c r="APV985" s="301"/>
      <c r="APW985" s="301"/>
      <c r="APX985" s="301"/>
      <c r="APY985" s="301"/>
      <c r="APZ985" s="301"/>
      <c r="AQA985" s="301"/>
      <c r="AQB985" s="301"/>
      <c r="AQC985" s="301"/>
      <c r="AQD985" s="301"/>
      <c r="AQE985" s="301"/>
      <c r="AQF985" s="301"/>
      <c r="AQG985" s="301"/>
      <c r="AQH985" s="301"/>
      <c r="AQI985" s="301"/>
      <c r="AQJ985" s="301"/>
      <c r="AQK985" s="301"/>
      <c r="AQL985" s="301"/>
      <c r="AQM985" s="301"/>
      <c r="AQN985" s="301"/>
      <c r="AQO985" s="301"/>
      <c r="AQP985" s="301"/>
      <c r="AQQ985" s="301"/>
      <c r="AQR985" s="301"/>
      <c r="AQS985" s="301"/>
      <c r="AQT985" s="301"/>
      <c r="AQU985" s="301"/>
      <c r="AQV985" s="301"/>
      <c r="AQW985" s="301"/>
      <c r="AQX985" s="301"/>
      <c r="AQY985" s="301"/>
      <c r="AQZ985" s="301"/>
      <c r="ARA985" s="301"/>
      <c r="ARB985" s="301"/>
      <c r="ARC985" s="301"/>
      <c r="ARD985" s="301"/>
      <c r="ARE985" s="301"/>
      <c r="ARF985" s="301"/>
      <c r="ARG985" s="301"/>
      <c r="ARH985" s="301"/>
      <c r="ARI985" s="301"/>
      <c r="ARJ985" s="301"/>
      <c r="ARK985" s="301"/>
      <c r="ARL985" s="301"/>
      <c r="ARM985" s="301"/>
      <c r="ARN985" s="301"/>
      <c r="ARO985" s="301"/>
      <c r="ARP985" s="301"/>
      <c r="ARQ985" s="301"/>
      <c r="ARR985" s="301"/>
      <c r="ARS985" s="301"/>
      <c r="ART985" s="301"/>
      <c r="ARU985" s="301"/>
      <c r="ARV985" s="301"/>
      <c r="ARW985" s="301"/>
      <c r="ARX985" s="301"/>
      <c r="ARY985" s="301"/>
      <c r="ARZ985" s="301"/>
      <c r="ASA985" s="301"/>
      <c r="ASB985" s="301"/>
      <c r="ASC985" s="301"/>
      <c r="ASD985" s="301"/>
      <c r="ASE985" s="301"/>
      <c r="ASF985" s="301"/>
      <c r="ASG985" s="301"/>
      <c r="ASH985" s="301"/>
      <c r="ASI985" s="301"/>
      <c r="ASJ985" s="301"/>
      <c r="ASK985" s="301"/>
      <c r="ASL985" s="301"/>
      <c r="ASM985" s="301"/>
      <c r="ASN985" s="301"/>
      <c r="ASO985" s="301"/>
      <c r="ASP985" s="301"/>
      <c r="ASQ985" s="301"/>
      <c r="ASR985" s="301"/>
      <c r="ASS985" s="301"/>
      <c r="AST985" s="301"/>
      <c r="ASU985" s="301"/>
      <c r="ASV985" s="301"/>
      <c r="ASW985" s="301"/>
      <c r="ASX985" s="301"/>
      <c r="ASY985" s="301"/>
      <c r="ASZ985" s="301"/>
      <c r="ATA985" s="301"/>
      <c r="ATB985" s="301"/>
      <c r="ATC985" s="301"/>
      <c r="ATD985" s="301"/>
      <c r="ATE985" s="301"/>
      <c r="ATF985" s="301"/>
      <c r="ATG985" s="301"/>
      <c r="ATH985" s="301"/>
      <c r="ATI985" s="301"/>
      <c r="ATJ985" s="301"/>
      <c r="ATK985" s="301"/>
      <c r="ATL985" s="301"/>
      <c r="ATM985" s="301"/>
      <c r="ATN985" s="301"/>
      <c r="ATO985" s="301"/>
      <c r="ATP985" s="301"/>
      <c r="ATQ985" s="301"/>
      <c r="ATR985" s="301"/>
      <c r="ATS985" s="301"/>
      <c r="ATT985" s="301"/>
      <c r="ATU985" s="301"/>
      <c r="ATV985" s="301"/>
      <c r="ATW985" s="301"/>
      <c r="ATX985" s="301"/>
      <c r="ATY985" s="301"/>
      <c r="ATZ985" s="301"/>
      <c r="AUA985" s="301"/>
      <c r="AUB985" s="301"/>
      <c r="AUC985" s="301"/>
      <c r="AUD985" s="301"/>
      <c r="AUE985" s="301"/>
      <c r="AUF985" s="301"/>
      <c r="AUG985" s="301"/>
      <c r="AUH985" s="301"/>
      <c r="AUI985" s="301"/>
      <c r="AUJ985" s="301"/>
      <c r="AUK985" s="301"/>
      <c r="AUL985" s="301"/>
      <c r="AUM985" s="301"/>
      <c r="AUN985" s="301"/>
      <c r="AUO985" s="301"/>
      <c r="AUP985" s="301"/>
      <c r="AUQ985" s="301"/>
      <c r="AUR985" s="301"/>
      <c r="AUS985" s="301"/>
      <c r="AUT985" s="301"/>
      <c r="AUU985" s="301"/>
      <c r="AUV985" s="301"/>
      <c r="AUW985" s="301"/>
      <c r="AUX985" s="301"/>
      <c r="AUY985" s="301"/>
      <c r="AUZ985" s="301"/>
      <c r="AVA985" s="301"/>
      <c r="AVB985" s="301"/>
      <c r="AVC985" s="301"/>
      <c r="AVD985" s="301"/>
      <c r="AVE985" s="301"/>
      <c r="AVF985" s="301"/>
      <c r="AVG985" s="301"/>
      <c r="AVH985" s="301"/>
      <c r="AVI985" s="301"/>
      <c r="AVJ985" s="301"/>
      <c r="AVK985" s="301"/>
      <c r="AVL985" s="301"/>
      <c r="AVM985" s="301"/>
      <c r="AVN985" s="301"/>
      <c r="AVO985" s="301"/>
      <c r="AVP985" s="301"/>
      <c r="AVQ985" s="301"/>
      <c r="AVR985" s="301"/>
      <c r="AVS985" s="301"/>
      <c r="AVT985" s="301"/>
      <c r="AVU985" s="301"/>
      <c r="AVV985" s="301"/>
      <c r="AVW985" s="301"/>
      <c r="AVX985" s="301"/>
      <c r="AVY985" s="301"/>
      <c r="AVZ985" s="301"/>
      <c r="AWA985" s="301"/>
      <c r="AWB985" s="301"/>
      <c r="AWC985" s="301"/>
      <c r="AWD985" s="301"/>
      <c r="AWE985" s="301"/>
      <c r="AWF985" s="301"/>
      <c r="AWG985" s="301"/>
      <c r="AWH985" s="301"/>
      <c r="AWI985" s="301"/>
      <c r="AWJ985" s="301"/>
      <c r="AWK985" s="301"/>
      <c r="AWL985" s="301"/>
      <c r="AWM985" s="301"/>
      <c r="AWN985" s="301"/>
      <c r="AWO985" s="301"/>
      <c r="AWP985" s="301"/>
      <c r="AWQ985" s="301"/>
      <c r="AWR985" s="301"/>
      <c r="AWS985" s="301"/>
      <c r="AWT985" s="301"/>
      <c r="AWU985" s="301"/>
      <c r="AWV985" s="301"/>
      <c r="AWW985" s="301"/>
      <c r="AWX985" s="301"/>
      <c r="AWY985" s="301"/>
      <c r="AWZ985" s="301"/>
      <c r="AXA985" s="301"/>
      <c r="AXB985" s="301"/>
      <c r="AXC985" s="301"/>
      <c r="AXD985" s="301"/>
      <c r="AXE985" s="301"/>
      <c r="AXF985" s="301"/>
      <c r="AXG985" s="301"/>
      <c r="AXH985" s="301"/>
      <c r="AXI985" s="301"/>
      <c r="AXJ985" s="301"/>
      <c r="AXK985" s="301"/>
      <c r="AXL985" s="301"/>
      <c r="AXM985" s="301"/>
      <c r="AXN985" s="301"/>
      <c r="AXO985" s="301"/>
      <c r="AXP985" s="301"/>
      <c r="AXQ985" s="301"/>
      <c r="AXR985" s="301"/>
      <c r="AXS985" s="301"/>
      <c r="AXT985" s="301"/>
      <c r="AXU985" s="301"/>
      <c r="AXV985" s="301"/>
      <c r="AXW985" s="301"/>
      <c r="AXX985" s="301"/>
      <c r="AXY985" s="301"/>
      <c r="AXZ985" s="301"/>
      <c r="AYA985" s="301"/>
      <c r="AYB985" s="301"/>
      <c r="AYC985" s="301"/>
      <c r="AYD985" s="301"/>
      <c r="AYE985" s="301"/>
      <c r="AYF985" s="301"/>
      <c r="AYG985" s="301"/>
      <c r="AYH985" s="301"/>
      <c r="AYI985" s="301"/>
      <c r="AYJ985" s="301"/>
      <c r="AYK985" s="301"/>
      <c r="AYL985" s="301"/>
      <c r="AYM985" s="301"/>
      <c r="AYN985" s="301"/>
      <c r="AYO985" s="301"/>
      <c r="AYP985" s="301"/>
      <c r="AYQ985" s="301"/>
      <c r="AYR985" s="301"/>
      <c r="AYS985" s="301"/>
      <c r="AYT985" s="301"/>
      <c r="AYU985" s="301"/>
      <c r="AYV985" s="301"/>
      <c r="AYW985" s="301"/>
      <c r="AYX985" s="301"/>
      <c r="AYY985" s="301"/>
      <c r="AYZ985" s="301"/>
      <c r="AZA985" s="301"/>
      <c r="AZB985" s="301"/>
      <c r="AZC985" s="301"/>
      <c r="AZD985" s="301"/>
      <c r="AZE985" s="301"/>
      <c r="AZF985" s="301"/>
      <c r="AZG985" s="301"/>
      <c r="AZH985" s="301"/>
      <c r="AZI985" s="301"/>
      <c r="AZJ985" s="301"/>
      <c r="AZK985" s="301"/>
      <c r="AZL985" s="301"/>
      <c r="AZM985" s="301"/>
      <c r="AZN985" s="301"/>
      <c r="AZO985" s="301"/>
      <c r="AZP985" s="301"/>
      <c r="AZQ985" s="301"/>
      <c r="AZR985" s="301"/>
      <c r="AZS985" s="301"/>
      <c r="AZT985" s="301"/>
      <c r="AZU985" s="301"/>
      <c r="AZV985" s="301"/>
      <c r="AZW985" s="301"/>
      <c r="AZX985" s="301"/>
      <c r="AZY985" s="301"/>
      <c r="AZZ985" s="301"/>
      <c r="BAA985" s="301"/>
      <c r="BAB985" s="301"/>
      <c r="BAC985" s="301"/>
      <c r="BAD985" s="301"/>
      <c r="BAE985" s="301"/>
      <c r="BAF985" s="301"/>
      <c r="BAG985" s="301"/>
      <c r="BAH985" s="301"/>
      <c r="BAI985" s="301"/>
      <c r="BAJ985" s="301"/>
      <c r="BAK985" s="301"/>
      <c r="BAL985" s="301"/>
      <c r="BAM985" s="301"/>
      <c r="BAN985" s="301"/>
      <c r="BAO985" s="301"/>
      <c r="BAP985" s="301"/>
      <c r="BAQ985" s="301"/>
      <c r="BAR985" s="301"/>
      <c r="BAS985" s="301"/>
      <c r="BAT985" s="301"/>
      <c r="BAU985" s="301"/>
      <c r="BAV985" s="301"/>
      <c r="BAW985" s="301"/>
      <c r="BAX985" s="301"/>
      <c r="BAY985" s="301"/>
      <c r="BAZ985" s="301"/>
      <c r="BBA985" s="301"/>
      <c r="BBB985" s="301"/>
      <c r="BBC985" s="301"/>
      <c r="BBD985" s="301"/>
      <c r="BBE985" s="301"/>
      <c r="BBF985" s="301"/>
      <c r="BBG985" s="301"/>
      <c r="BBH985" s="301"/>
      <c r="BBI985" s="301"/>
      <c r="BBJ985" s="301"/>
      <c r="BBK985" s="301"/>
      <c r="BBL985" s="301"/>
      <c r="BBM985" s="301"/>
      <c r="BBN985" s="301"/>
      <c r="BBO985" s="301"/>
      <c r="BBP985" s="301"/>
      <c r="BBQ985" s="301"/>
      <c r="BBR985" s="301"/>
      <c r="BBS985" s="301"/>
      <c r="BBT985" s="301"/>
      <c r="BBU985" s="301"/>
      <c r="BBV985" s="301"/>
      <c r="BBW985" s="301"/>
      <c r="BBX985" s="301"/>
      <c r="BBY985" s="301"/>
      <c r="BBZ985" s="301"/>
      <c r="BCA985" s="301"/>
      <c r="BCB985" s="301"/>
      <c r="BCC985" s="301"/>
      <c r="BCD985" s="301"/>
      <c r="BCE985" s="301"/>
      <c r="BCF985" s="301"/>
      <c r="BCG985" s="301"/>
      <c r="BCH985" s="301"/>
      <c r="BCI985" s="301"/>
      <c r="BCJ985" s="301"/>
      <c r="BCK985" s="301"/>
      <c r="BCL985" s="301"/>
      <c r="BCM985" s="301"/>
      <c r="BCN985" s="301"/>
      <c r="BCO985" s="301"/>
      <c r="BCP985" s="301"/>
      <c r="BCQ985" s="301"/>
      <c r="BCR985" s="301"/>
      <c r="BCS985" s="301"/>
      <c r="BCT985" s="301"/>
      <c r="BCU985" s="301"/>
      <c r="BCV985" s="301"/>
      <c r="BCW985" s="301"/>
      <c r="BCX985" s="301"/>
      <c r="BCY985" s="301"/>
      <c r="BCZ985" s="301"/>
      <c r="BDA985" s="301"/>
      <c r="BDB985" s="301"/>
      <c r="BDC985" s="301"/>
      <c r="BDD985" s="301"/>
      <c r="BDE985" s="301"/>
      <c r="BDF985" s="301"/>
      <c r="BDG985" s="301"/>
      <c r="BDH985" s="301"/>
      <c r="BDI985" s="301"/>
      <c r="BDJ985" s="301"/>
      <c r="BDK985" s="301"/>
      <c r="BDL985" s="301"/>
      <c r="BDM985" s="301"/>
      <c r="BDN985" s="301"/>
      <c r="BDO985" s="301"/>
      <c r="BDP985" s="301"/>
      <c r="BDQ985" s="301"/>
      <c r="BDR985" s="301"/>
      <c r="BDS985" s="301"/>
      <c r="BDT985" s="301"/>
      <c r="BDU985" s="301"/>
      <c r="BDV985" s="301"/>
      <c r="BDW985" s="301"/>
      <c r="BDX985" s="301"/>
      <c r="BDY985" s="301"/>
      <c r="BDZ985" s="301"/>
      <c r="BEA985" s="301"/>
      <c r="BEB985" s="301"/>
      <c r="BEC985" s="301"/>
      <c r="BED985" s="301"/>
      <c r="BEE985" s="301"/>
      <c r="BEF985" s="301"/>
      <c r="BEG985" s="301"/>
      <c r="BEH985" s="301"/>
      <c r="BEI985" s="301"/>
      <c r="BEJ985" s="301"/>
      <c r="BEK985" s="301"/>
      <c r="BEL985" s="301"/>
      <c r="BEM985" s="301"/>
      <c r="BEN985" s="301"/>
      <c r="BEO985" s="301"/>
      <c r="BEP985" s="301"/>
      <c r="BEQ985" s="301"/>
      <c r="BER985" s="301"/>
      <c r="BES985" s="301"/>
      <c r="BET985" s="301"/>
      <c r="BEU985" s="301"/>
      <c r="BEV985" s="301"/>
      <c r="BEW985" s="301"/>
      <c r="BEX985" s="301"/>
      <c r="BEY985" s="301"/>
      <c r="BEZ985" s="301"/>
      <c r="BFA985" s="301"/>
      <c r="BFB985" s="301"/>
      <c r="BFC985" s="301"/>
      <c r="BFD985" s="301"/>
      <c r="BFE985" s="301"/>
      <c r="BFF985" s="301"/>
      <c r="BFG985" s="301"/>
      <c r="BFH985" s="301"/>
      <c r="BFI985" s="301"/>
      <c r="BFJ985" s="301"/>
      <c r="BFK985" s="301"/>
      <c r="BFL985" s="301"/>
      <c r="BFM985" s="301"/>
      <c r="BFN985" s="301"/>
      <c r="BFO985" s="301"/>
      <c r="BFP985" s="301"/>
      <c r="BFQ985" s="301"/>
      <c r="BFR985" s="301"/>
      <c r="BFS985" s="301"/>
      <c r="BFT985" s="301"/>
      <c r="BFU985" s="301"/>
      <c r="BFV985" s="301"/>
      <c r="BFW985" s="301"/>
      <c r="BFX985" s="301"/>
      <c r="BFY985" s="301"/>
      <c r="BFZ985" s="301"/>
      <c r="BGA985" s="301"/>
      <c r="BGB985" s="301"/>
      <c r="BGC985" s="301"/>
      <c r="BGD985" s="301"/>
      <c r="BGE985" s="301"/>
      <c r="BGF985" s="301"/>
      <c r="BGG985" s="301"/>
      <c r="BGH985" s="301"/>
      <c r="BGI985" s="301"/>
      <c r="BGJ985" s="301"/>
      <c r="BGK985" s="301"/>
      <c r="BGL985" s="301"/>
      <c r="BGM985" s="301"/>
      <c r="BGN985" s="301"/>
      <c r="BGO985" s="301"/>
      <c r="BGP985" s="301"/>
      <c r="BGQ985" s="301"/>
      <c r="BGR985" s="301"/>
      <c r="BGS985" s="301"/>
      <c r="BGT985" s="301"/>
      <c r="BGU985" s="301"/>
      <c r="BGV985" s="301"/>
      <c r="BGW985" s="301"/>
      <c r="BGX985" s="301"/>
      <c r="BGY985" s="301"/>
      <c r="BGZ985" s="301"/>
      <c r="BHA985" s="301"/>
      <c r="BHB985" s="301"/>
      <c r="BHC985" s="301"/>
      <c r="BHD985" s="301"/>
      <c r="BHE985" s="301"/>
      <c r="BHF985" s="301"/>
      <c r="BHG985" s="301"/>
      <c r="BHH985" s="301"/>
      <c r="BHI985" s="301"/>
      <c r="BHJ985" s="301"/>
      <c r="BHK985" s="301"/>
      <c r="BHL985" s="301"/>
      <c r="BHM985" s="301"/>
      <c r="BHN985" s="301"/>
      <c r="BHO985" s="301"/>
      <c r="BHP985" s="301"/>
      <c r="BHQ985" s="301"/>
      <c r="BHR985" s="301"/>
      <c r="BHS985" s="301"/>
      <c r="BHT985" s="301"/>
      <c r="BHU985" s="301"/>
      <c r="BHV985" s="301"/>
      <c r="BHW985" s="301"/>
      <c r="BHX985" s="301"/>
      <c r="BHY985" s="301"/>
      <c r="BHZ985" s="301"/>
      <c r="BIA985" s="301"/>
      <c r="BIB985" s="301"/>
      <c r="BIC985" s="301"/>
      <c r="BID985" s="301"/>
      <c r="BIE985" s="301"/>
      <c r="BIF985" s="301"/>
      <c r="BIG985" s="301"/>
      <c r="BIH985" s="301"/>
      <c r="BII985" s="301"/>
      <c r="BIJ985" s="301"/>
      <c r="BIK985" s="301"/>
      <c r="BIL985" s="301"/>
      <c r="BIM985" s="301"/>
      <c r="BIN985" s="301"/>
      <c r="BIO985" s="301"/>
      <c r="BIP985" s="301"/>
      <c r="BIQ985" s="301"/>
      <c r="BIR985" s="301"/>
      <c r="BIS985" s="301"/>
      <c r="BIT985" s="301"/>
      <c r="BIU985" s="301"/>
      <c r="BIV985" s="301"/>
      <c r="BIW985" s="301"/>
      <c r="BIX985" s="301"/>
      <c r="BIY985" s="301"/>
      <c r="BIZ985" s="301"/>
      <c r="BJA985" s="301"/>
      <c r="BJB985" s="301"/>
      <c r="BJC985" s="301"/>
      <c r="BJD985" s="301"/>
      <c r="BJE985" s="301"/>
      <c r="BJF985" s="301"/>
      <c r="BJG985" s="301"/>
      <c r="BJH985" s="301"/>
      <c r="BJI985" s="301"/>
      <c r="BJJ985" s="301"/>
      <c r="BJK985" s="301"/>
      <c r="BJL985" s="301"/>
      <c r="BJM985" s="301"/>
      <c r="BJN985" s="301"/>
      <c r="BJO985" s="301"/>
      <c r="BJP985" s="301"/>
      <c r="BJQ985" s="301"/>
      <c r="BJR985" s="301"/>
      <c r="BJS985" s="301"/>
      <c r="BJT985" s="301"/>
      <c r="BJU985" s="301"/>
      <c r="BJV985" s="301"/>
      <c r="BJW985" s="301"/>
      <c r="BJX985" s="301"/>
      <c r="BJY985" s="301"/>
      <c r="BJZ985" s="301"/>
      <c r="BKA985" s="301"/>
      <c r="BKB985" s="301"/>
      <c r="BKC985" s="301"/>
      <c r="BKD985" s="301"/>
      <c r="BKE985" s="301"/>
      <c r="BKF985" s="301"/>
      <c r="BKG985" s="301"/>
      <c r="BKH985" s="301"/>
      <c r="BKI985" s="301"/>
      <c r="BKJ985" s="301"/>
      <c r="BKK985" s="301"/>
      <c r="BKL985" s="301"/>
      <c r="BKM985" s="301"/>
      <c r="BKN985" s="301"/>
      <c r="BKO985" s="301"/>
      <c r="BKP985" s="301"/>
      <c r="BKQ985" s="301"/>
      <c r="BKR985" s="301"/>
      <c r="BKS985" s="301"/>
      <c r="BKT985" s="301"/>
      <c r="BKU985" s="301"/>
      <c r="BKV985" s="301"/>
      <c r="BKW985" s="301"/>
      <c r="BKX985" s="301"/>
      <c r="BKY985" s="301"/>
      <c r="BKZ985" s="301"/>
      <c r="BLA985" s="301"/>
      <c r="BLB985" s="301"/>
      <c r="BLC985" s="301"/>
      <c r="BLD985" s="301"/>
      <c r="BLE985" s="301"/>
      <c r="BLF985" s="301"/>
      <c r="BLG985" s="301"/>
      <c r="BLH985" s="301"/>
      <c r="BLI985" s="301"/>
      <c r="BLJ985" s="301"/>
      <c r="BLK985" s="301"/>
      <c r="BLL985" s="301"/>
      <c r="BLM985" s="301"/>
      <c r="BLN985" s="301"/>
      <c r="BLO985" s="301"/>
      <c r="BLP985" s="301"/>
      <c r="BLQ985" s="301"/>
      <c r="BLR985" s="301"/>
      <c r="BLS985" s="301"/>
      <c r="BLT985" s="301"/>
      <c r="BLU985" s="301"/>
      <c r="BLV985" s="301"/>
      <c r="BLW985" s="301"/>
      <c r="BLX985" s="301"/>
      <c r="BLY985" s="301"/>
      <c r="BLZ985" s="301"/>
      <c r="BMA985" s="301"/>
      <c r="BMB985" s="301"/>
      <c r="BMC985" s="301"/>
      <c r="BMD985" s="301"/>
      <c r="BME985" s="301"/>
      <c r="BMF985" s="301"/>
      <c r="BMG985" s="301"/>
      <c r="BMH985" s="301"/>
      <c r="BMI985" s="301"/>
      <c r="BMJ985" s="301"/>
      <c r="BMK985" s="301"/>
      <c r="BML985" s="301"/>
      <c r="BMM985" s="301"/>
      <c r="BMN985" s="301"/>
      <c r="BMO985" s="301"/>
      <c r="BMP985" s="301"/>
      <c r="BMQ985" s="301"/>
      <c r="BMR985" s="301"/>
      <c r="BMS985" s="301"/>
      <c r="BMT985" s="301"/>
      <c r="BMU985" s="301"/>
      <c r="BMV985" s="301"/>
      <c r="BMW985" s="301"/>
      <c r="BMX985" s="301"/>
      <c r="BMY985" s="301"/>
      <c r="BMZ985" s="301"/>
      <c r="BNA985" s="301"/>
      <c r="BNB985" s="301"/>
      <c r="BNC985" s="301"/>
      <c r="BND985" s="301"/>
      <c r="BNE985" s="301"/>
      <c r="BNF985" s="301"/>
      <c r="BNG985" s="301"/>
      <c r="BNH985" s="301"/>
      <c r="BNI985" s="301"/>
      <c r="BNJ985" s="301"/>
      <c r="BNK985" s="301"/>
      <c r="BNL985" s="301"/>
      <c r="BNM985" s="301"/>
      <c r="BNN985" s="301"/>
      <c r="BNO985" s="301"/>
      <c r="BNP985" s="301"/>
      <c r="BNQ985" s="301"/>
      <c r="BNR985" s="301"/>
      <c r="BNS985" s="301"/>
      <c r="BNT985" s="301"/>
      <c r="BNU985" s="301"/>
      <c r="BNV985" s="301"/>
      <c r="BNW985" s="301"/>
      <c r="BNX985" s="301"/>
      <c r="BNY985" s="301"/>
      <c r="BNZ985" s="301"/>
      <c r="BOA985" s="301"/>
      <c r="BOB985" s="301"/>
      <c r="BOC985" s="301"/>
      <c r="BOD985" s="301"/>
      <c r="BOE985" s="301"/>
      <c r="BOF985" s="301"/>
      <c r="BOG985" s="301"/>
      <c r="BOH985" s="301"/>
      <c r="BOI985" s="301"/>
      <c r="BOJ985" s="301"/>
      <c r="BOK985" s="301"/>
      <c r="BOL985" s="301"/>
      <c r="BOM985" s="301"/>
      <c r="BON985" s="301"/>
      <c r="BOO985" s="301"/>
      <c r="BOP985" s="301"/>
      <c r="BOQ985" s="301"/>
      <c r="BOR985" s="301"/>
      <c r="BOS985" s="301"/>
      <c r="BOT985" s="301"/>
      <c r="BOU985" s="301"/>
      <c r="BOV985" s="301"/>
      <c r="BOW985" s="301"/>
      <c r="BOX985" s="301"/>
      <c r="BOY985" s="301"/>
      <c r="BOZ985" s="301"/>
      <c r="BPA985" s="301"/>
      <c r="BPB985" s="301"/>
      <c r="BPC985" s="301"/>
      <c r="BPD985" s="301"/>
      <c r="BPE985" s="301"/>
      <c r="BPF985" s="301"/>
      <c r="BPG985" s="301"/>
      <c r="BPH985" s="301"/>
      <c r="BPI985" s="301"/>
      <c r="BPJ985" s="301"/>
      <c r="BPK985" s="301"/>
      <c r="BPL985" s="301"/>
      <c r="BPM985" s="301"/>
      <c r="BPN985" s="301"/>
      <c r="BPO985" s="301"/>
      <c r="BPP985" s="301"/>
      <c r="BPQ985" s="301"/>
      <c r="BPR985" s="301"/>
      <c r="BPS985" s="301"/>
      <c r="BPT985" s="301"/>
      <c r="BPU985" s="301"/>
      <c r="BPV985" s="301"/>
      <c r="BPW985" s="301"/>
      <c r="BPX985" s="301"/>
      <c r="BPY985" s="301"/>
      <c r="BPZ985" s="301"/>
      <c r="BQA985" s="301"/>
      <c r="BQB985" s="301"/>
      <c r="BQC985" s="301"/>
      <c r="BQD985" s="301"/>
      <c r="BQE985" s="301"/>
      <c r="BQF985" s="301"/>
      <c r="BQG985" s="301"/>
      <c r="BQH985" s="301"/>
      <c r="BQI985" s="301"/>
      <c r="BQJ985" s="301"/>
      <c r="BQK985" s="301"/>
      <c r="BQL985" s="301"/>
      <c r="BQM985" s="301"/>
      <c r="BQN985" s="301"/>
      <c r="BQO985" s="301"/>
      <c r="BQP985" s="301"/>
      <c r="BQQ985" s="301"/>
      <c r="BQR985" s="301"/>
      <c r="BQS985" s="301"/>
      <c r="BQT985" s="301"/>
      <c r="BQU985" s="301"/>
      <c r="BQV985" s="301"/>
      <c r="BQW985" s="301"/>
      <c r="BQX985" s="301"/>
      <c r="BQY985" s="301"/>
      <c r="BQZ985" s="301"/>
      <c r="BRA985" s="301"/>
      <c r="BRB985" s="301"/>
      <c r="BRC985" s="301"/>
      <c r="BRD985" s="301"/>
      <c r="BRE985" s="301"/>
      <c r="BRF985" s="301"/>
      <c r="BRG985" s="301"/>
      <c r="BRH985" s="301"/>
      <c r="BRI985" s="301"/>
      <c r="BRJ985" s="301"/>
      <c r="BRK985" s="301"/>
      <c r="BRL985" s="301"/>
      <c r="BRM985" s="301"/>
      <c r="BRN985" s="301"/>
      <c r="BRO985" s="301"/>
      <c r="BRP985" s="301"/>
      <c r="BRQ985" s="301"/>
      <c r="BRR985" s="301"/>
      <c r="BRS985" s="301"/>
      <c r="BRT985" s="301"/>
      <c r="BRU985" s="301"/>
      <c r="BRV985" s="301"/>
      <c r="BRW985" s="301"/>
      <c r="BRX985" s="301"/>
      <c r="BRY985" s="301"/>
      <c r="BRZ985" s="301"/>
      <c r="BSA985" s="301"/>
      <c r="BSB985" s="301"/>
      <c r="BSC985" s="301"/>
      <c r="BSD985" s="301"/>
      <c r="BSE985" s="301"/>
      <c r="BSF985" s="301"/>
      <c r="BSG985" s="301"/>
      <c r="BSH985" s="301"/>
      <c r="BSI985" s="301"/>
      <c r="BSJ985" s="301"/>
      <c r="BSK985" s="301"/>
      <c r="BSL985" s="301"/>
      <c r="BSM985" s="301"/>
      <c r="BSN985" s="301"/>
      <c r="BSO985" s="301"/>
      <c r="BSP985" s="301"/>
      <c r="BSQ985" s="301"/>
      <c r="BSR985" s="301"/>
      <c r="BSS985" s="301"/>
      <c r="BST985" s="301"/>
      <c r="BSU985" s="301"/>
      <c r="BSV985" s="301"/>
      <c r="BSW985" s="301"/>
      <c r="BSX985" s="301"/>
      <c r="BSY985" s="301"/>
      <c r="BSZ985" s="301"/>
      <c r="BTA985" s="301"/>
    </row>
    <row r="986" spans="1:1873" s="13" customFormat="1" ht="12.75" customHeight="1" x14ac:dyDescent="0.2">
      <c r="A986" s="411" t="s">
        <v>832</v>
      </c>
      <c r="B986" s="411" t="s">
        <v>820</v>
      </c>
      <c r="C986" s="411" t="s">
        <v>1124</v>
      </c>
      <c r="D986" s="411" t="s">
        <v>619</v>
      </c>
      <c r="E986" s="571" t="s">
        <v>1133</v>
      </c>
      <c r="F986" s="411">
        <v>1</v>
      </c>
      <c r="G986" s="411">
        <v>6</v>
      </c>
      <c r="H986" s="411">
        <v>6</v>
      </c>
      <c r="I986" s="411" t="s">
        <v>621</v>
      </c>
      <c r="J986" s="411">
        <v>1986</v>
      </c>
      <c r="K986" s="572" t="s">
        <v>1211</v>
      </c>
      <c r="L986" s="411">
        <v>1991</v>
      </c>
      <c r="M986" s="573">
        <v>-9999</v>
      </c>
      <c r="N986" s="573">
        <v>-9999</v>
      </c>
      <c r="O986" s="8"/>
      <c r="P986" s="573">
        <v>110.931</v>
      </c>
      <c r="Q986" s="411">
        <v>-9999</v>
      </c>
      <c r="R986" s="573"/>
      <c r="S986" s="411"/>
      <c r="T986" s="575">
        <f t="shared" si="109"/>
        <v>18.488499999999998</v>
      </c>
      <c r="U986" s="411">
        <v>-9999</v>
      </c>
      <c r="V986" s="411"/>
      <c r="W986" s="575">
        <f t="shared" si="110"/>
        <v>19.083100000000002</v>
      </c>
      <c r="X986" s="411">
        <v>-9999</v>
      </c>
      <c r="Y986" s="411"/>
      <c r="Z986" s="411" t="s">
        <v>793</v>
      </c>
      <c r="AA986" s="576">
        <v>10000</v>
      </c>
      <c r="AB986" s="573">
        <v>-9999</v>
      </c>
      <c r="AC986" s="411">
        <v>-9999</v>
      </c>
      <c r="AD986" s="576">
        <v>500</v>
      </c>
      <c r="AE986" s="411" t="s">
        <v>1959</v>
      </c>
      <c r="AF986" s="411">
        <v>3</v>
      </c>
      <c r="AG986" s="411">
        <v>4</v>
      </c>
      <c r="AH986" s="411" t="s">
        <v>623</v>
      </c>
      <c r="AI986" s="411" t="s">
        <v>834</v>
      </c>
      <c r="AJ986" s="411">
        <v>20</v>
      </c>
      <c r="AK986" s="411" t="s">
        <v>625</v>
      </c>
      <c r="AL986" s="411" t="s">
        <v>1127</v>
      </c>
      <c r="AM986" s="411">
        <v>-9999</v>
      </c>
      <c r="AN986" s="411" t="s">
        <v>626</v>
      </c>
      <c r="AO986" s="411" t="s">
        <v>627</v>
      </c>
      <c r="AP986" s="411" t="s">
        <v>1126</v>
      </c>
      <c r="AQ986" s="411" t="s">
        <v>626</v>
      </c>
      <c r="AR986" s="411">
        <f>+AR985+0</f>
        <v>200</v>
      </c>
      <c r="AS986" s="411" t="s">
        <v>726</v>
      </c>
      <c r="AT986" s="411">
        <v>-9999</v>
      </c>
      <c r="AU986" s="411">
        <f t="shared" si="111"/>
        <v>43</v>
      </c>
      <c r="AV986" s="411">
        <v>-9999</v>
      </c>
      <c r="AW986" s="411">
        <v>-9999</v>
      </c>
      <c r="AX986" s="411">
        <f t="shared" si="112"/>
        <v>83</v>
      </c>
      <c r="AY986" s="411">
        <v>-9999</v>
      </c>
      <c r="AZ986" s="411">
        <v>-9999</v>
      </c>
      <c r="BA986" s="411" t="s">
        <v>725</v>
      </c>
      <c r="BB986" s="411" t="s">
        <v>626</v>
      </c>
      <c r="BC986" s="411" t="s">
        <v>829</v>
      </c>
      <c r="BD986" s="411" t="s">
        <v>835</v>
      </c>
      <c r="BE986" s="411" t="s">
        <v>1128</v>
      </c>
      <c r="BF986" s="411" t="s">
        <v>1129</v>
      </c>
      <c r="BG986" s="411" t="s">
        <v>577</v>
      </c>
      <c r="BH986" s="411">
        <v>-9999</v>
      </c>
      <c r="BI986" s="411">
        <v>-9999</v>
      </c>
      <c r="BJ986" s="411">
        <v>43.9</v>
      </c>
      <c r="BK986" s="411">
        <v>-9999</v>
      </c>
      <c r="BL986" s="411">
        <v>-9999</v>
      </c>
      <c r="BM986" s="411">
        <v>-9999</v>
      </c>
      <c r="BN986" s="411">
        <v>-9999</v>
      </c>
      <c r="BO986" s="411">
        <v>-9999</v>
      </c>
      <c r="BP986" s="411">
        <v>-9999</v>
      </c>
      <c r="BQ986" s="411">
        <v>-9999</v>
      </c>
      <c r="BR986" s="411">
        <v>-9999</v>
      </c>
      <c r="BS986" s="577">
        <v>-9999</v>
      </c>
      <c r="BT986" s="411">
        <v>-9999</v>
      </c>
      <c r="BU986" s="411">
        <v>-9999</v>
      </c>
      <c r="BV986" s="411">
        <v>-9999</v>
      </c>
      <c r="BW986" s="411"/>
      <c r="BX986" s="411">
        <v>-9999</v>
      </c>
      <c r="BY986" s="411">
        <v>-9999</v>
      </c>
      <c r="BZ986" s="411">
        <v>-9999</v>
      </c>
      <c r="CA986" s="578">
        <v>-9999</v>
      </c>
      <c r="CB986" s="579" t="s">
        <v>1132</v>
      </c>
      <c r="CC986" s="411">
        <v>1</v>
      </c>
      <c r="CD986" s="411">
        <v>6</v>
      </c>
      <c r="CE986" s="395">
        <v>18.488499999999998</v>
      </c>
      <c r="CF986" s="99">
        <v>19.083100000000002</v>
      </c>
      <c r="CG986" s="208">
        <v>6</v>
      </c>
      <c r="CH986" s="437" t="s">
        <v>1757</v>
      </c>
    </row>
    <row r="987" spans="1:1873" s="23" customFormat="1" ht="12.75" customHeight="1" x14ac:dyDescent="0.3">
      <c r="A987" s="273" t="s">
        <v>832</v>
      </c>
      <c r="B987" s="273" t="s">
        <v>820</v>
      </c>
      <c r="C987" s="273" t="s">
        <v>1124</v>
      </c>
      <c r="D987" s="273" t="s">
        <v>619</v>
      </c>
      <c r="E987" s="462" t="s">
        <v>169</v>
      </c>
      <c r="F987" s="273">
        <v>1</v>
      </c>
      <c r="G987" s="273">
        <v>7</v>
      </c>
      <c r="H987" s="273">
        <v>7</v>
      </c>
      <c r="I987" s="273" t="s">
        <v>621</v>
      </c>
      <c r="J987" s="273">
        <v>1986</v>
      </c>
      <c r="K987" s="463" t="s">
        <v>1211</v>
      </c>
      <c r="L987" s="273">
        <v>1992</v>
      </c>
      <c r="M987" s="471">
        <v>-9999</v>
      </c>
      <c r="N987" s="471">
        <v>-9999</v>
      </c>
      <c r="O987" s="1"/>
      <c r="P987" s="471">
        <v>127.235</v>
      </c>
      <c r="Q987" s="273">
        <v>-9999</v>
      </c>
      <c r="R987" s="471"/>
      <c r="S987" s="273"/>
      <c r="T987" s="414">
        <f t="shared" si="109"/>
        <v>18.17642857142857</v>
      </c>
      <c r="U987" s="273">
        <v>-9999</v>
      </c>
      <c r="V987" s="273"/>
      <c r="W987" s="414">
        <f t="shared" si="110"/>
        <v>16.304000000000002</v>
      </c>
      <c r="X987" s="273">
        <v>-9999</v>
      </c>
      <c r="Y987" s="273"/>
      <c r="Z987" s="273" t="s">
        <v>793</v>
      </c>
      <c r="AA987" s="385">
        <v>10000</v>
      </c>
      <c r="AB987" s="471">
        <v>0.95</v>
      </c>
      <c r="AC987" s="273">
        <v>-9999</v>
      </c>
      <c r="AD987" s="385">
        <v>500</v>
      </c>
      <c r="AE987" s="461" t="s">
        <v>1959</v>
      </c>
      <c r="AF987" s="273">
        <v>3</v>
      </c>
      <c r="AG987" s="273">
        <v>4</v>
      </c>
      <c r="AH987" s="273" t="s">
        <v>623</v>
      </c>
      <c r="AI987" s="273" t="s">
        <v>834</v>
      </c>
      <c r="AJ987" s="273">
        <v>20</v>
      </c>
      <c r="AK987" s="273" t="s">
        <v>625</v>
      </c>
      <c r="AL987" s="273" t="s">
        <v>1127</v>
      </c>
      <c r="AM987" s="273">
        <v>-9999</v>
      </c>
      <c r="AN987" s="273" t="s">
        <v>626</v>
      </c>
      <c r="AO987" s="273" t="s">
        <v>627</v>
      </c>
      <c r="AP987" s="273" t="s">
        <v>1126</v>
      </c>
      <c r="AQ987" s="273" t="s">
        <v>626</v>
      </c>
      <c r="AR987" s="273">
        <f>+AR986+100</f>
        <v>300</v>
      </c>
      <c r="AS987" s="273" t="s">
        <v>1201</v>
      </c>
      <c r="AT987" s="273" t="s">
        <v>275</v>
      </c>
      <c r="AU987" s="273">
        <f t="shared" si="111"/>
        <v>43</v>
      </c>
      <c r="AV987" s="273">
        <v>-9999</v>
      </c>
      <c r="AW987" s="273">
        <v>-9999</v>
      </c>
      <c r="AX987" s="273">
        <f t="shared" si="112"/>
        <v>83</v>
      </c>
      <c r="AY987" s="273">
        <v>-9999</v>
      </c>
      <c r="AZ987" s="273">
        <v>-9999</v>
      </c>
      <c r="BA987" s="273" t="s">
        <v>725</v>
      </c>
      <c r="BB987" s="273" t="s">
        <v>626</v>
      </c>
      <c r="BC987" s="273" t="s">
        <v>829</v>
      </c>
      <c r="BD987" s="273" t="s">
        <v>835</v>
      </c>
      <c r="BE987" s="273" t="s">
        <v>1128</v>
      </c>
      <c r="BF987" s="273" t="s">
        <v>1129</v>
      </c>
      <c r="BG987" s="273" t="s">
        <v>577</v>
      </c>
      <c r="BH987" s="273">
        <v>-9999</v>
      </c>
      <c r="BI987" s="273">
        <v>-9999</v>
      </c>
      <c r="BJ987" s="273">
        <v>47.7</v>
      </c>
      <c r="BK987" s="273">
        <v>-9999</v>
      </c>
      <c r="BL987" s="273">
        <v>14.1</v>
      </c>
      <c r="BM987" s="273">
        <v>-9999</v>
      </c>
      <c r="BN987" s="273">
        <v>7.7</v>
      </c>
      <c r="BO987" s="273">
        <v>-9999</v>
      </c>
      <c r="BP987" s="273">
        <v>-9999</v>
      </c>
      <c r="BQ987" s="273">
        <v>-9999</v>
      </c>
      <c r="BR987" s="273">
        <v>-9999</v>
      </c>
      <c r="BS987" s="468">
        <v>-9999</v>
      </c>
      <c r="BT987" s="273">
        <v>-9999</v>
      </c>
      <c r="BU987" s="273">
        <v>-9999</v>
      </c>
      <c r="BV987" s="273">
        <v>-9999</v>
      </c>
      <c r="BW987" s="273"/>
      <c r="BX987" s="273">
        <v>13.4</v>
      </c>
      <c r="BY987" s="273">
        <v>-9999</v>
      </c>
      <c r="BZ987" s="273">
        <v>-9999</v>
      </c>
      <c r="CA987" s="472">
        <v>-9999</v>
      </c>
      <c r="CB987" s="473" t="s">
        <v>1132</v>
      </c>
      <c r="CC987" s="273">
        <v>1</v>
      </c>
      <c r="CD987" s="273">
        <v>7</v>
      </c>
      <c r="CE987" s="292">
        <v>18.17642857142857</v>
      </c>
      <c r="CF987" s="292">
        <v>16.304000000000002</v>
      </c>
      <c r="CG987" s="89">
        <v>7</v>
      </c>
    </row>
    <row r="988" spans="1:1873" s="23" customFormat="1" ht="12.75" customHeight="1" x14ac:dyDescent="0.2">
      <c r="A988" s="273"/>
      <c r="B988" s="273"/>
      <c r="C988" s="273"/>
      <c r="D988" s="273"/>
      <c r="E988" s="462"/>
      <c r="F988" s="273"/>
      <c r="G988" s="273"/>
      <c r="H988" s="273"/>
      <c r="I988" s="273"/>
      <c r="J988" s="273"/>
      <c r="K988" s="463"/>
      <c r="L988" s="273"/>
      <c r="M988" s="471"/>
      <c r="N988" s="471"/>
      <c r="O988" s="1"/>
      <c r="P988" s="471"/>
      <c r="Q988" s="273"/>
      <c r="R988" s="471"/>
      <c r="S988" s="273"/>
      <c r="T988" s="414"/>
      <c r="U988" s="273"/>
      <c r="V988" s="273"/>
      <c r="W988" s="414"/>
      <c r="X988" s="273"/>
      <c r="Y988" s="273"/>
      <c r="Z988" s="273"/>
      <c r="AA988" s="385"/>
      <c r="AB988" s="471"/>
      <c r="AC988" s="273"/>
      <c r="AD988" s="273"/>
      <c r="AE988" s="273"/>
      <c r="AF988" s="273"/>
      <c r="AG988" s="273"/>
      <c r="AH988" s="273"/>
      <c r="AI988" s="273"/>
      <c r="AJ988" s="273"/>
      <c r="AK988" s="273"/>
      <c r="AL988" s="273"/>
      <c r="AM988" s="273"/>
      <c r="AN988" s="273"/>
      <c r="AO988" s="273"/>
      <c r="AP988" s="273"/>
      <c r="AQ988" s="273"/>
      <c r="AR988" s="273"/>
      <c r="AS988" s="273"/>
      <c r="AT988" s="273"/>
      <c r="AU988" s="273"/>
      <c r="AV988" s="273"/>
      <c r="AW988" s="273"/>
      <c r="AX988" s="273"/>
      <c r="AY988" s="273"/>
      <c r="AZ988" s="273"/>
      <c r="BA988" s="273"/>
      <c r="BB988" s="273"/>
      <c r="BC988" s="273"/>
      <c r="BD988" s="273"/>
      <c r="BE988" s="273"/>
      <c r="BF988" s="273"/>
      <c r="BG988" s="273"/>
      <c r="BH988" s="273"/>
      <c r="BI988" s="273"/>
      <c r="BJ988" s="273"/>
      <c r="BK988" s="273"/>
      <c r="BL988" s="273"/>
      <c r="BM988" s="273"/>
      <c r="BN988" s="273"/>
      <c r="BO988" s="273"/>
      <c r="BP988" s="273"/>
      <c r="BQ988" s="273"/>
      <c r="BR988" s="273"/>
      <c r="BS988" s="468"/>
      <c r="BT988" s="273"/>
      <c r="BU988" s="273"/>
      <c r="BV988" s="273"/>
      <c r="BW988" s="273"/>
      <c r="BX988" s="273"/>
      <c r="BY988" s="273"/>
      <c r="BZ988" s="273"/>
      <c r="CA988" s="472"/>
      <c r="CB988" s="473"/>
      <c r="CC988" s="273"/>
      <c r="CD988" s="273"/>
      <c r="CE988" s="342" t="s">
        <v>1576</v>
      </c>
      <c r="CF988" s="342" t="s">
        <v>1575</v>
      </c>
      <c r="CG988" s="89"/>
    </row>
    <row r="989" spans="1:1873" s="23" customFormat="1" ht="12.75" customHeight="1" x14ac:dyDescent="0.2">
      <c r="A989" s="273" t="s">
        <v>832</v>
      </c>
      <c r="B989" s="273" t="s">
        <v>820</v>
      </c>
      <c r="C989" s="273" t="s">
        <v>1125</v>
      </c>
      <c r="D989" s="273" t="s">
        <v>619</v>
      </c>
      <c r="E989" s="462" t="s">
        <v>169</v>
      </c>
      <c r="F989" s="273">
        <v>1</v>
      </c>
      <c r="G989" s="273">
        <v>1</v>
      </c>
      <c r="H989" s="273">
        <v>1</v>
      </c>
      <c r="I989" s="273" t="s">
        <v>621</v>
      </c>
      <c r="J989" s="273">
        <v>1986</v>
      </c>
      <c r="K989" s="463" t="s">
        <v>1211</v>
      </c>
      <c r="L989" s="273">
        <v>1986</v>
      </c>
      <c r="M989" s="471">
        <v>-9999</v>
      </c>
      <c r="N989" s="471">
        <v>-9999</v>
      </c>
      <c r="O989" s="1"/>
      <c r="P989" s="471">
        <v>4.6001399999999997</v>
      </c>
      <c r="Q989" s="273">
        <v>-9999</v>
      </c>
      <c r="R989" s="471"/>
      <c r="S989" s="273"/>
      <c r="T989" s="414">
        <f t="shared" ref="T989:T995" si="113">+P989/H989</f>
        <v>4.6001399999999997</v>
      </c>
      <c r="U989" s="273">
        <v>-9999</v>
      </c>
      <c r="V989" s="273"/>
      <c r="W989" s="414">
        <v>-9999</v>
      </c>
      <c r="X989" s="273">
        <v>-9999</v>
      </c>
      <c r="Y989" s="273"/>
      <c r="Z989" s="273" t="s">
        <v>836</v>
      </c>
      <c r="AA989" s="385">
        <v>2500</v>
      </c>
      <c r="AB989" s="471">
        <v>0.98</v>
      </c>
      <c r="AC989" s="273">
        <v>-9999</v>
      </c>
      <c r="AD989" s="273">
        <v>1042</v>
      </c>
      <c r="AE989" s="461" t="s">
        <v>1959</v>
      </c>
      <c r="AF989" s="273">
        <v>3</v>
      </c>
      <c r="AG989" s="273">
        <v>3</v>
      </c>
      <c r="AH989" s="273" t="s">
        <v>623</v>
      </c>
      <c r="AI989" s="273" t="s">
        <v>834</v>
      </c>
      <c r="AJ989" s="273">
        <v>20</v>
      </c>
      <c r="AK989" s="273" t="s">
        <v>625</v>
      </c>
      <c r="AL989" s="273" t="s">
        <v>1127</v>
      </c>
      <c r="AM989" s="273">
        <v>-9999</v>
      </c>
      <c r="AN989" s="273" t="s">
        <v>626</v>
      </c>
      <c r="AO989" s="273" t="s">
        <v>627</v>
      </c>
      <c r="AP989" s="273" t="s">
        <v>1126</v>
      </c>
      <c r="AQ989" s="273" t="s">
        <v>626</v>
      </c>
      <c r="AR989" s="273">
        <v>100</v>
      </c>
      <c r="AS989" s="273" t="s">
        <v>726</v>
      </c>
      <c r="AT989" s="273" t="s">
        <v>755</v>
      </c>
      <c r="AU989" s="273">
        <v>43</v>
      </c>
      <c r="AV989" s="273" t="s">
        <v>226</v>
      </c>
      <c r="AW989" s="273" t="s">
        <v>755</v>
      </c>
      <c r="AX989" s="273">
        <v>83</v>
      </c>
      <c r="AY989" s="273" t="s">
        <v>226</v>
      </c>
      <c r="AZ989" s="273" t="s">
        <v>755</v>
      </c>
      <c r="BA989" s="273" t="s">
        <v>725</v>
      </c>
      <c r="BB989" s="273" t="s">
        <v>626</v>
      </c>
      <c r="BC989" s="273" t="s">
        <v>829</v>
      </c>
      <c r="BD989" s="273" t="s">
        <v>835</v>
      </c>
      <c r="BE989" s="273" t="s">
        <v>1128</v>
      </c>
      <c r="BF989" s="273" t="s">
        <v>1129</v>
      </c>
      <c r="BG989" s="273" t="s">
        <v>577</v>
      </c>
      <c r="BH989" s="273">
        <v>-9999</v>
      </c>
      <c r="BI989" s="273">
        <v>-9999</v>
      </c>
      <c r="BJ989" s="273">
        <v>8.4</v>
      </c>
      <c r="BK989" s="273">
        <v>-9999</v>
      </c>
      <c r="BL989" s="273">
        <v>-9999</v>
      </c>
      <c r="BM989" s="273">
        <v>-9999</v>
      </c>
      <c r="BN989" s="273">
        <v>-9999</v>
      </c>
      <c r="BO989" s="273">
        <v>-9999</v>
      </c>
      <c r="BP989" s="273">
        <v>-9999</v>
      </c>
      <c r="BQ989" s="273">
        <v>-9999</v>
      </c>
      <c r="BR989" s="273">
        <v>-9999</v>
      </c>
      <c r="BS989" s="468">
        <v>-9999</v>
      </c>
      <c r="BT989" s="273">
        <v>-9999</v>
      </c>
      <c r="BU989" s="273">
        <v>-9999</v>
      </c>
      <c r="BV989" s="273">
        <v>-9999</v>
      </c>
      <c r="BW989" s="273"/>
      <c r="BX989" s="273">
        <v>-9999</v>
      </c>
      <c r="BY989" s="273">
        <v>-9999</v>
      </c>
      <c r="BZ989" s="273">
        <v>-9999</v>
      </c>
      <c r="CA989" s="472">
        <v>-9999</v>
      </c>
      <c r="CB989" s="473" t="s">
        <v>1132</v>
      </c>
      <c r="CC989" s="273">
        <v>1</v>
      </c>
      <c r="CD989" s="273">
        <v>1</v>
      </c>
      <c r="CE989" s="292">
        <v>4.6001399999999997</v>
      </c>
      <c r="CF989" s="292">
        <v>4.5999999999999996</v>
      </c>
      <c r="CG989" s="89">
        <v>1</v>
      </c>
    </row>
    <row r="990" spans="1:1873" s="23" customFormat="1" ht="12.75" customHeight="1" x14ac:dyDescent="0.2">
      <c r="A990" s="273" t="s">
        <v>832</v>
      </c>
      <c r="B990" s="273" t="s">
        <v>820</v>
      </c>
      <c r="C990" s="273" t="s">
        <v>1125</v>
      </c>
      <c r="D990" s="273" t="s">
        <v>619</v>
      </c>
      <c r="E990" s="462" t="s">
        <v>169</v>
      </c>
      <c r="F990" s="273">
        <v>1</v>
      </c>
      <c r="G990" s="273">
        <v>2</v>
      </c>
      <c r="H990" s="273">
        <v>2</v>
      </c>
      <c r="I990" s="273" t="s">
        <v>621</v>
      </c>
      <c r="J990" s="273">
        <v>1986</v>
      </c>
      <c r="K990" s="463" t="s">
        <v>1211</v>
      </c>
      <c r="L990" s="273">
        <v>1987</v>
      </c>
      <c r="M990" s="471">
        <v>-9999</v>
      </c>
      <c r="N990" s="471">
        <v>-9999</v>
      </c>
      <c r="O990" s="1"/>
      <c r="P990" s="471">
        <v>9.8878799999999991</v>
      </c>
      <c r="Q990" s="273">
        <v>-9999</v>
      </c>
      <c r="R990" s="471"/>
      <c r="S990" s="273"/>
      <c r="T990" s="414">
        <f t="shared" si="113"/>
        <v>4.9439399999999996</v>
      </c>
      <c r="U990" s="273">
        <v>-9999</v>
      </c>
      <c r="V990" s="273"/>
      <c r="W990" s="414">
        <f t="shared" ref="W990:W995" si="114">+P990-P989</f>
        <v>5.2877399999999994</v>
      </c>
      <c r="X990" s="273">
        <v>-9999</v>
      </c>
      <c r="Y990" s="273"/>
      <c r="Z990" s="273" t="s">
        <v>836</v>
      </c>
      <c r="AA990" s="385">
        <v>2500</v>
      </c>
      <c r="AB990" s="471">
        <v>1</v>
      </c>
      <c r="AC990" s="273">
        <v>-9999</v>
      </c>
      <c r="AD990" s="273">
        <v>1042</v>
      </c>
      <c r="AE990" s="461" t="s">
        <v>1959</v>
      </c>
      <c r="AF990" s="273">
        <v>3</v>
      </c>
      <c r="AG990" s="273">
        <v>3</v>
      </c>
      <c r="AH990" s="273" t="s">
        <v>623</v>
      </c>
      <c r="AI990" s="273" t="s">
        <v>834</v>
      </c>
      <c r="AJ990" s="273">
        <v>20</v>
      </c>
      <c r="AK990" s="273" t="s">
        <v>625</v>
      </c>
      <c r="AL990" s="273" t="s">
        <v>1127</v>
      </c>
      <c r="AM990" s="273">
        <v>-9999</v>
      </c>
      <c r="AN990" s="273" t="s">
        <v>626</v>
      </c>
      <c r="AO990" s="273" t="s">
        <v>627</v>
      </c>
      <c r="AP990" s="273" t="s">
        <v>1126</v>
      </c>
      <c r="AQ990" s="273" t="s">
        <v>626</v>
      </c>
      <c r="AR990" s="273">
        <f>+AR989+0</f>
        <v>100</v>
      </c>
      <c r="AS990" s="273" t="s">
        <v>726</v>
      </c>
      <c r="AT990" s="273">
        <v>-9999</v>
      </c>
      <c r="AU990" s="273">
        <f t="shared" ref="AU990:AU995" si="115">+AU989+0</f>
        <v>43</v>
      </c>
      <c r="AV990" s="273">
        <v>-9999</v>
      </c>
      <c r="AW990" s="273">
        <v>-9999</v>
      </c>
      <c r="AX990" s="273">
        <f t="shared" ref="AX990:AX995" si="116">+AX989+0</f>
        <v>83</v>
      </c>
      <c r="AY990" s="273">
        <v>-9999</v>
      </c>
      <c r="AZ990" s="273">
        <v>-9999</v>
      </c>
      <c r="BA990" s="273" t="s">
        <v>725</v>
      </c>
      <c r="BB990" s="273" t="s">
        <v>626</v>
      </c>
      <c r="BC990" s="273" t="s">
        <v>829</v>
      </c>
      <c r="BD990" s="273" t="s">
        <v>835</v>
      </c>
      <c r="BE990" s="273" t="s">
        <v>1128</v>
      </c>
      <c r="BF990" s="273" t="s">
        <v>1129</v>
      </c>
      <c r="BG990" s="273" t="s">
        <v>577</v>
      </c>
      <c r="BH990" s="273">
        <v>-9999</v>
      </c>
      <c r="BI990" s="273">
        <v>-9999</v>
      </c>
      <c r="BJ990" s="273">
        <v>3.66</v>
      </c>
      <c r="BK990" s="273">
        <v>-9999</v>
      </c>
      <c r="BL990" s="273">
        <v>-9999</v>
      </c>
      <c r="BM990" s="273">
        <v>-9999</v>
      </c>
      <c r="BN990" s="273">
        <v>-9999</v>
      </c>
      <c r="BO990" s="273">
        <v>-9999</v>
      </c>
      <c r="BP990" s="273">
        <v>-9999</v>
      </c>
      <c r="BQ990" s="273">
        <v>-9999</v>
      </c>
      <c r="BR990" s="273">
        <v>-9999</v>
      </c>
      <c r="BS990" s="468">
        <v>-9999</v>
      </c>
      <c r="BT990" s="273">
        <v>-9999</v>
      </c>
      <c r="BU990" s="273">
        <v>-9999</v>
      </c>
      <c r="BV990" s="273">
        <v>-9999</v>
      </c>
      <c r="BW990" s="273"/>
      <c r="BX990" s="273">
        <v>-9999</v>
      </c>
      <c r="BY990" s="273">
        <v>-9999</v>
      </c>
      <c r="BZ990" s="273">
        <v>-9999</v>
      </c>
      <c r="CA990" s="472">
        <v>-9999</v>
      </c>
      <c r="CB990" s="473" t="s">
        <v>1132</v>
      </c>
      <c r="CC990" s="273">
        <v>1</v>
      </c>
      <c r="CD990" s="273">
        <v>2</v>
      </c>
      <c r="CE990" s="292">
        <v>4.9439399999999996</v>
      </c>
      <c r="CF990" s="292">
        <v>5.2877399999999994</v>
      </c>
      <c r="CG990" s="89">
        <v>2</v>
      </c>
    </row>
    <row r="991" spans="1:1873" s="23" customFormat="1" ht="12.75" customHeight="1" x14ac:dyDescent="0.3">
      <c r="A991" s="273" t="s">
        <v>832</v>
      </c>
      <c r="B991" s="273" t="s">
        <v>820</v>
      </c>
      <c r="C991" s="273" t="s">
        <v>1125</v>
      </c>
      <c r="D991" s="273" t="s">
        <v>619</v>
      </c>
      <c r="E991" s="462" t="s">
        <v>169</v>
      </c>
      <c r="F991" s="273">
        <v>1</v>
      </c>
      <c r="G991" s="273">
        <v>3</v>
      </c>
      <c r="H991" s="273">
        <v>3</v>
      </c>
      <c r="I991" s="273" t="s">
        <v>621</v>
      </c>
      <c r="J991" s="273">
        <v>1986</v>
      </c>
      <c r="K991" s="463" t="s">
        <v>1211</v>
      </c>
      <c r="L991" s="273">
        <v>1988</v>
      </c>
      <c r="M991" s="471">
        <v>-9999</v>
      </c>
      <c r="N991" s="471">
        <v>-9999</v>
      </c>
      <c r="O991" s="1"/>
      <c r="P991" s="471">
        <v>26.893899999999999</v>
      </c>
      <c r="Q991" s="273">
        <v>-9999</v>
      </c>
      <c r="R991" s="471"/>
      <c r="S991" s="273"/>
      <c r="T991" s="414">
        <f t="shared" si="113"/>
        <v>8.9646333333333335</v>
      </c>
      <c r="U991" s="273">
        <v>-9999</v>
      </c>
      <c r="V991" s="273"/>
      <c r="W991" s="414">
        <f t="shared" si="114"/>
        <v>17.006019999999999</v>
      </c>
      <c r="X991" s="273">
        <v>-9999</v>
      </c>
      <c r="Y991" s="273"/>
      <c r="Z991" s="273" t="s">
        <v>836</v>
      </c>
      <c r="AA991" s="385">
        <v>2500</v>
      </c>
      <c r="AB991" s="471">
        <v>1</v>
      </c>
      <c r="AC991" s="273">
        <v>-9999</v>
      </c>
      <c r="AD991" s="273">
        <v>1042</v>
      </c>
      <c r="AE991" s="461" t="s">
        <v>1959</v>
      </c>
      <c r="AF991" s="273">
        <v>3</v>
      </c>
      <c r="AG991" s="273">
        <v>3</v>
      </c>
      <c r="AH991" s="273" t="s">
        <v>623</v>
      </c>
      <c r="AI991" s="273" t="s">
        <v>834</v>
      </c>
      <c r="AJ991" s="273">
        <v>20</v>
      </c>
      <c r="AK991" s="273" t="s">
        <v>625</v>
      </c>
      <c r="AL991" s="273" t="s">
        <v>1127</v>
      </c>
      <c r="AM991" s="273">
        <v>-9999</v>
      </c>
      <c r="AN991" s="273" t="s">
        <v>626</v>
      </c>
      <c r="AO991" s="273" t="s">
        <v>627</v>
      </c>
      <c r="AP991" s="273" t="s">
        <v>1126</v>
      </c>
      <c r="AQ991" s="273" t="s">
        <v>626</v>
      </c>
      <c r="AR991" s="273">
        <f>+AR990+100</f>
        <v>200</v>
      </c>
      <c r="AS991" s="273" t="s">
        <v>1201</v>
      </c>
      <c r="AT991" s="273" t="s">
        <v>275</v>
      </c>
      <c r="AU991" s="273">
        <f t="shared" si="115"/>
        <v>43</v>
      </c>
      <c r="AV991" s="273">
        <v>-9999</v>
      </c>
      <c r="AW991" s="273">
        <v>-9999</v>
      </c>
      <c r="AX991" s="273">
        <f t="shared" si="116"/>
        <v>83</v>
      </c>
      <c r="AY991" s="273">
        <v>-9999</v>
      </c>
      <c r="AZ991" s="273">
        <v>-9999</v>
      </c>
      <c r="BA991" s="273" t="s">
        <v>725</v>
      </c>
      <c r="BB991" s="273" t="s">
        <v>626</v>
      </c>
      <c r="BC991" s="273" t="s">
        <v>829</v>
      </c>
      <c r="BD991" s="273" t="s">
        <v>835</v>
      </c>
      <c r="BE991" s="273" t="s">
        <v>1128</v>
      </c>
      <c r="BF991" s="273" t="s">
        <v>1129</v>
      </c>
      <c r="BG991" s="273" t="s">
        <v>577</v>
      </c>
      <c r="BH991" s="273">
        <v>-9999</v>
      </c>
      <c r="BI991" s="273">
        <v>-9999</v>
      </c>
      <c r="BJ991" s="273">
        <v>12.6</v>
      </c>
      <c r="BK991" s="273">
        <v>-9999</v>
      </c>
      <c r="BL991" s="273">
        <v>-9999</v>
      </c>
      <c r="BM991" s="273">
        <v>-9999</v>
      </c>
      <c r="BN991" s="273">
        <v>-9999</v>
      </c>
      <c r="BO991" s="273">
        <v>-9999</v>
      </c>
      <c r="BP991" s="273">
        <v>-9999</v>
      </c>
      <c r="BQ991" s="273">
        <v>-9999</v>
      </c>
      <c r="BR991" s="273">
        <v>-9999</v>
      </c>
      <c r="BS991" s="468">
        <v>-9999</v>
      </c>
      <c r="BT991" s="273">
        <v>-9999</v>
      </c>
      <c r="BU991" s="273">
        <v>-9999</v>
      </c>
      <c r="BV991" s="273">
        <v>-9999</v>
      </c>
      <c r="BW991" s="273"/>
      <c r="BX991" s="273">
        <v>-9999</v>
      </c>
      <c r="BY991" s="273">
        <v>-9999</v>
      </c>
      <c r="BZ991" s="273">
        <v>-9999</v>
      </c>
      <c r="CA991" s="472">
        <v>-9999</v>
      </c>
      <c r="CB991" s="473" t="s">
        <v>1132</v>
      </c>
      <c r="CC991" s="273">
        <v>1</v>
      </c>
      <c r="CD991" s="273">
        <v>3</v>
      </c>
      <c r="CE991" s="292">
        <v>8.9646333333333335</v>
      </c>
      <c r="CF991" s="292">
        <v>17.006019999999999</v>
      </c>
      <c r="CG991" s="89">
        <v>3</v>
      </c>
    </row>
    <row r="992" spans="1:1873" s="23" customFormat="1" ht="12.75" customHeight="1" x14ac:dyDescent="0.2">
      <c r="A992" s="273" t="s">
        <v>832</v>
      </c>
      <c r="B992" s="273" t="s">
        <v>820</v>
      </c>
      <c r="C992" s="273" t="s">
        <v>1125</v>
      </c>
      <c r="D992" s="273" t="s">
        <v>619</v>
      </c>
      <c r="E992" s="462" t="s">
        <v>169</v>
      </c>
      <c r="F992" s="273">
        <v>1</v>
      </c>
      <c r="G992" s="273">
        <v>4</v>
      </c>
      <c r="H992" s="273">
        <v>4</v>
      </c>
      <c r="I992" s="273" t="s">
        <v>621</v>
      </c>
      <c r="J992" s="273">
        <v>1986</v>
      </c>
      <c r="K992" s="463" t="s">
        <v>1211</v>
      </c>
      <c r="L992" s="273">
        <v>1989</v>
      </c>
      <c r="M992" s="471">
        <v>-9999</v>
      </c>
      <c r="N992" s="471">
        <v>-9999</v>
      </c>
      <c r="O992" s="1"/>
      <c r="P992" s="471">
        <v>51.463500000000003</v>
      </c>
      <c r="Q992" s="273">
        <v>-9999</v>
      </c>
      <c r="R992" s="471"/>
      <c r="S992" s="273"/>
      <c r="T992" s="414">
        <f t="shared" si="113"/>
        <v>12.865875000000001</v>
      </c>
      <c r="U992" s="273">
        <v>-9999</v>
      </c>
      <c r="V992" s="273"/>
      <c r="W992" s="414">
        <f t="shared" si="114"/>
        <v>24.569600000000005</v>
      </c>
      <c r="X992" s="273">
        <v>-9999</v>
      </c>
      <c r="Y992" s="273"/>
      <c r="Z992" s="273" t="s">
        <v>836</v>
      </c>
      <c r="AA992" s="385">
        <v>2500</v>
      </c>
      <c r="AB992" s="471">
        <v>1</v>
      </c>
      <c r="AC992" s="273">
        <v>-9999</v>
      </c>
      <c r="AD992" s="273">
        <v>1042</v>
      </c>
      <c r="AE992" s="461" t="s">
        <v>1959</v>
      </c>
      <c r="AF992" s="273">
        <v>3</v>
      </c>
      <c r="AG992" s="273">
        <v>3</v>
      </c>
      <c r="AH992" s="273" t="s">
        <v>623</v>
      </c>
      <c r="AI992" s="273" t="s">
        <v>834</v>
      </c>
      <c r="AJ992" s="273">
        <v>20</v>
      </c>
      <c r="AK992" s="273" t="s">
        <v>625</v>
      </c>
      <c r="AL992" s="273" t="s">
        <v>1127</v>
      </c>
      <c r="AM992" s="273">
        <v>-9999</v>
      </c>
      <c r="AN992" s="273" t="s">
        <v>626</v>
      </c>
      <c r="AO992" s="273" t="s">
        <v>627</v>
      </c>
      <c r="AP992" s="273" t="s">
        <v>1126</v>
      </c>
      <c r="AQ992" s="273" t="s">
        <v>626</v>
      </c>
      <c r="AR992" s="273">
        <f>+AR991+0</f>
        <v>200</v>
      </c>
      <c r="AS992" s="273" t="s">
        <v>726</v>
      </c>
      <c r="AT992" s="273">
        <v>-9999</v>
      </c>
      <c r="AU992" s="273">
        <f t="shared" si="115"/>
        <v>43</v>
      </c>
      <c r="AV992" s="273">
        <v>-9999</v>
      </c>
      <c r="AW992" s="273">
        <v>-9999</v>
      </c>
      <c r="AX992" s="273">
        <f t="shared" si="116"/>
        <v>83</v>
      </c>
      <c r="AY992" s="273">
        <v>-9999</v>
      </c>
      <c r="AZ992" s="273">
        <v>-9999</v>
      </c>
      <c r="BA992" s="273" t="s">
        <v>725</v>
      </c>
      <c r="BB992" s="273" t="s">
        <v>626</v>
      </c>
      <c r="BC992" s="273" t="s">
        <v>829</v>
      </c>
      <c r="BD992" s="273" t="s">
        <v>835</v>
      </c>
      <c r="BE992" s="273" t="s">
        <v>1128</v>
      </c>
      <c r="BF992" s="273" t="s">
        <v>1129</v>
      </c>
      <c r="BG992" s="273" t="s">
        <v>577</v>
      </c>
      <c r="BH992" s="273">
        <v>-9999</v>
      </c>
      <c r="BI992" s="273">
        <v>-9999</v>
      </c>
      <c r="BJ992" s="273">
        <v>21.1</v>
      </c>
      <c r="BK992" s="273">
        <v>-9999</v>
      </c>
      <c r="BL992" s="273">
        <v>-9999</v>
      </c>
      <c r="BM992" s="273">
        <v>-9999</v>
      </c>
      <c r="BN992" s="273">
        <v>-9999</v>
      </c>
      <c r="BO992" s="273">
        <v>-9999</v>
      </c>
      <c r="BP992" s="273">
        <v>-9999</v>
      </c>
      <c r="BQ992" s="273">
        <v>-9999</v>
      </c>
      <c r="BR992" s="273">
        <v>-9999</v>
      </c>
      <c r="BS992" s="468">
        <v>-9999</v>
      </c>
      <c r="BT992" s="273">
        <v>-9999</v>
      </c>
      <c r="BU992" s="273">
        <v>-9999</v>
      </c>
      <c r="BV992" s="273">
        <v>-9999</v>
      </c>
      <c r="BW992" s="273"/>
      <c r="BX992" s="273">
        <v>-9999</v>
      </c>
      <c r="BY992" s="273">
        <v>-9999</v>
      </c>
      <c r="BZ992" s="273">
        <v>-9999</v>
      </c>
      <c r="CA992" s="472">
        <v>-9999</v>
      </c>
      <c r="CB992" s="473" t="s">
        <v>1132</v>
      </c>
      <c r="CC992" s="273">
        <v>1</v>
      </c>
      <c r="CD992" s="273">
        <v>4</v>
      </c>
      <c r="CE992" s="292">
        <v>12.865875000000001</v>
      </c>
      <c r="CF992" s="292">
        <v>24.569600000000005</v>
      </c>
      <c r="CG992" s="89">
        <v>4</v>
      </c>
    </row>
    <row r="993" spans="1:1873" s="23" customFormat="1" ht="12.75" customHeight="1" x14ac:dyDescent="0.2">
      <c r="A993" s="273" t="s">
        <v>832</v>
      </c>
      <c r="B993" s="273" t="s">
        <v>820</v>
      </c>
      <c r="C993" s="273" t="s">
        <v>1125</v>
      </c>
      <c r="D993" s="273" t="s">
        <v>619</v>
      </c>
      <c r="E993" s="462" t="s">
        <v>169</v>
      </c>
      <c r="F993" s="273">
        <v>1</v>
      </c>
      <c r="G993" s="273">
        <v>5</v>
      </c>
      <c r="H993" s="273">
        <v>5</v>
      </c>
      <c r="I993" s="273" t="s">
        <v>621</v>
      </c>
      <c r="J993" s="273">
        <v>1986</v>
      </c>
      <c r="K993" s="463" t="s">
        <v>1211</v>
      </c>
      <c r="L993" s="273">
        <v>1990</v>
      </c>
      <c r="M993" s="471">
        <v>-9999</v>
      </c>
      <c r="N993" s="471">
        <v>-9999</v>
      </c>
      <c r="O993" s="1"/>
      <c r="P993" s="471">
        <v>77.408299999999997</v>
      </c>
      <c r="Q993" s="273">
        <v>-9999</v>
      </c>
      <c r="R993" s="471"/>
      <c r="S993" s="273"/>
      <c r="T993" s="414">
        <f t="shared" si="113"/>
        <v>15.48166</v>
      </c>
      <c r="U993" s="273">
        <v>-9999</v>
      </c>
      <c r="V993" s="273"/>
      <c r="W993" s="414">
        <f t="shared" si="114"/>
        <v>25.944799999999994</v>
      </c>
      <c r="X993" s="273">
        <v>-9999</v>
      </c>
      <c r="Y993" s="273"/>
      <c r="Z993" s="273" t="s">
        <v>836</v>
      </c>
      <c r="AA993" s="385">
        <v>2500</v>
      </c>
      <c r="AB993" s="471">
        <v>1</v>
      </c>
      <c r="AC993" s="273">
        <v>-9999</v>
      </c>
      <c r="AD993" s="273">
        <v>1042</v>
      </c>
      <c r="AE993" s="461" t="s">
        <v>1959</v>
      </c>
      <c r="AF993" s="273">
        <v>3</v>
      </c>
      <c r="AG993" s="273">
        <v>3</v>
      </c>
      <c r="AH993" s="273" t="s">
        <v>623</v>
      </c>
      <c r="AI993" s="273" t="s">
        <v>834</v>
      </c>
      <c r="AJ993" s="273">
        <v>20</v>
      </c>
      <c r="AK993" s="273" t="s">
        <v>625</v>
      </c>
      <c r="AL993" s="273" t="s">
        <v>1127</v>
      </c>
      <c r="AM993" s="273">
        <v>-9999</v>
      </c>
      <c r="AN993" s="273" t="s">
        <v>626</v>
      </c>
      <c r="AO993" s="273" t="s">
        <v>627</v>
      </c>
      <c r="AP993" s="273" t="s">
        <v>1126</v>
      </c>
      <c r="AQ993" s="273" t="s">
        <v>626</v>
      </c>
      <c r="AR993" s="273">
        <f>+AR992+0</f>
        <v>200</v>
      </c>
      <c r="AS993" s="273" t="s">
        <v>726</v>
      </c>
      <c r="AT993" s="273">
        <v>-9999</v>
      </c>
      <c r="AU993" s="273">
        <f t="shared" si="115"/>
        <v>43</v>
      </c>
      <c r="AV993" s="273">
        <v>-9999</v>
      </c>
      <c r="AW993" s="273">
        <v>-9999</v>
      </c>
      <c r="AX993" s="273">
        <f t="shared" si="116"/>
        <v>83</v>
      </c>
      <c r="AY993" s="273">
        <v>-9999</v>
      </c>
      <c r="AZ993" s="273">
        <v>-9999</v>
      </c>
      <c r="BA993" s="273" t="s">
        <v>725</v>
      </c>
      <c r="BB993" s="273" t="s">
        <v>626</v>
      </c>
      <c r="BC993" s="273" t="s">
        <v>829</v>
      </c>
      <c r="BD993" s="273" t="s">
        <v>835</v>
      </c>
      <c r="BE993" s="273" t="s">
        <v>1128</v>
      </c>
      <c r="BF993" s="273" t="s">
        <v>1129</v>
      </c>
      <c r="BG993" s="273" t="s">
        <v>577</v>
      </c>
      <c r="BH993" s="273">
        <v>-9999</v>
      </c>
      <c r="BI993" s="273">
        <v>-9999</v>
      </c>
      <c r="BJ993" s="273">
        <v>28.1</v>
      </c>
      <c r="BK993" s="273">
        <v>-9999</v>
      </c>
      <c r="BL993" s="273">
        <v>-9999</v>
      </c>
      <c r="BM993" s="273">
        <v>-9999</v>
      </c>
      <c r="BN993" s="273">
        <v>-9999</v>
      </c>
      <c r="BO993" s="273">
        <v>-9999</v>
      </c>
      <c r="BP993" s="273">
        <v>-9999</v>
      </c>
      <c r="BQ993" s="273">
        <v>-9999</v>
      </c>
      <c r="BR993" s="273">
        <v>-9999</v>
      </c>
      <c r="BS993" s="468">
        <v>-9999</v>
      </c>
      <c r="BT993" s="273">
        <v>-9999</v>
      </c>
      <c r="BU993" s="273">
        <v>-9999</v>
      </c>
      <c r="BV993" s="273">
        <v>-9999</v>
      </c>
      <c r="BW993" s="273"/>
      <c r="BX993" s="273">
        <v>-9999</v>
      </c>
      <c r="BY993" s="273">
        <v>-9999</v>
      </c>
      <c r="BZ993" s="273">
        <v>-9999</v>
      </c>
      <c r="CA993" s="472">
        <v>-9999</v>
      </c>
      <c r="CB993" s="473" t="s">
        <v>1132</v>
      </c>
      <c r="CC993" s="273">
        <v>1</v>
      </c>
      <c r="CD993" s="273">
        <v>5</v>
      </c>
      <c r="CE993" s="292">
        <v>15.48166</v>
      </c>
      <c r="CF993" s="292">
        <v>25.944799999999994</v>
      </c>
      <c r="CG993" s="89">
        <v>5</v>
      </c>
    </row>
    <row r="994" spans="1:1873" s="23" customFormat="1" ht="12.75" customHeight="1" x14ac:dyDescent="0.2">
      <c r="A994" s="273" t="s">
        <v>832</v>
      </c>
      <c r="B994" s="273" t="s">
        <v>820</v>
      </c>
      <c r="C994" s="273" t="s">
        <v>1125</v>
      </c>
      <c r="D994" s="273" t="s">
        <v>619</v>
      </c>
      <c r="E994" s="462" t="s">
        <v>169</v>
      </c>
      <c r="F994" s="273">
        <v>1</v>
      </c>
      <c r="G994" s="273">
        <v>6</v>
      </c>
      <c r="H994" s="273">
        <v>6</v>
      </c>
      <c r="I994" s="273" t="s">
        <v>621</v>
      </c>
      <c r="J994" s="273">
        <v>1986</v>
      </c>
      <c r="K994" s="463" t="s">
        <v>1211</v>
      </c>
      <c r="L994" s="273">
        <v>1991</v>
      </c>
      <c r="M994" s="471">
        <v>-9999</v>
      </c>
      <c r="N994" s="471">
        <v>-9999</v>
      </c>
      <c r="O994" s="1"/>
      <c r="P994" s="471">
        <v>97.881299999999996</v>
      </c>
      <c r="Q994" s="273">
        <v>-9999</v>
      </c>
      <c r="R994" s="471"/>
      <c r="S994" s="273"/>
      <c r="T994" s="414">
        <f t="shared" si="113"/>
        <v>16.313549999999999</v>
      </c>
      <c r="U994" s="273">
        <v>-9999</v>
      </c>
      <c r="V994" s="273"/>
      <c r="W994" s="414">
        <f t="shared" si="114"/>
        <v>20.472999999999999</v>
      </c>
      <c r="X994" s="273">
        <v>-9999</v>
      </c>
      <c r="Y994" s="273"/>
      <c r="Z994" s="273" t="s">
        <v>836</v>
      </c>
      <c r="AA994" s="385">
        <v>2500</v>
      </c>
      <c r="AB994" s="471">
        <v>1</v>
      </c>
      <c r="AC994" s="273">
        <v>-9999</v>
      </c>
      <c r="AD994" s="273">
        <v>1042</v>
      </c>
      <c r="AE994" s="461" t="s">
        <v>1959</v>
      </c>
      <c r="AF994" s="273">
        <v>3</v>
      </c>
      <c r="AG994" s="273">
        <v>3</v>
      </c>
      <c r="AH994" s="273" t="s">
        <v>623</v>
      </c>
      <c r="AI994" s="273" t="s">
        <v>834</v>
      </c>
      <c r="AJ994" s="273">
        <v>20</v>
      </c>
      <c r="AK994" s="273" t="s">
        <v>625</v>
      </c>
      <c r="AL994" s="273" t="s">
        <v>1127</v>
      </c>
      <c r="AM994" s="273">
        <v>-9999</v>
      </c>
      <c r="AN994" s="273" t="s">
        <v>626</v>
      </c>
      <c r="AO994" s="273" t="s">
        <v>627</v>
      </c>
      <c r="AP994" s="273" t="s">
        <v>1126</v>
      </c>
      <c r="AQ994" s="273" t="s">
        <v>626</v>
      </c>
      <c r="AR994" s="273">
        <f>+AR993+0</f>
        <v>200</v>
      </c>
      <c r="AS994" s="273" t="s">
        <v>726</v>
      </c>
      <c r="AT994" s="273">
        <v>-9999</v>
      </c>
      <c r="AU994" s="273">
        <f t="shared" si="115"/>
        <v>43</v>
      </c>
      <c r="AV994" s="273">
        <v>-9999</v>
      </c>
      <c r="AW994" s="273">
        <v>-9999</v>
      </c>
      <c r="AX994" s="273">
        <f t="shared" si="116"/>
        <v>83</v>
      </c>
      <c r="AY994" s="273">
        <v>-9999</v>
      </c>
      <c r="AZ994" s="273">
        <v>-9999</v>
      </c>
      <c r="BA994" s="273" t="s">
        <v>725</v>
      </c>
      <c r="BB994" s="273" t="s">
        <v>626</v>
      </c>
      <c r="BC994" s="273" t="s">
        <v>829</v>
      </c>
      <c r="BD994" s="273" t="s">
        <v>835</v>
      </c>
      <c r="BE994" s="273" t="s">
        <v>1128</v>
      </c>
      <c r="BF994" s="273" t="s">
        <v>1129</v>
      </c>
      <c r="BG994" s="273" t="s">
        <v>577</v>
      </c>
      <c r="BH994" s="273">
        <v>-9999</v>
      </c>
      <c r="BI994" s="273">
        <v>-9999</v>
      </c>
      <c r="BJ994" s="273">
        <v>32.700000000000003</v>
      </c>
      <c r="BK994" s="273">
        <v>-9999</v>
      </c>
      <c r="BL994" s="273">
        <v>-9999</v>
      </c>
      <c r="BM994" s="273">
        <v>-9999</v>
      </c>
      <c r="BN994" s="273">
        <v>-9999</v>
      </c>
      <c r="BO994" s="273">
        <v>-9999</v>
      </c>
      <c r="BP994" s="273">
        <v>-9999</v>
      </c>
      <c r="BQ994" s="273">
        <v>-9999</v>
      </c>
      <c r="BR994" s="273">
        <v>-9999</v>
      </c>
      <c r="BS994" s="468">
        <v>-9999</v>
      </c>
      <c r="BT994" s="273">
        <v>-9999</v>
      </c>
      <c r="BU994" s="273">
        <v>-9999</v>
      </c>
      <c r="BV994" s="273">
        <v>-9999</v>
      </c>
      <c r="BW994" s="273"/>
      <c r="BX994" s="273">
        <v>-9999</v>
      </c>
      <c r="BY994" s="273">
        <v>-9999</v>
      </c>
      <c r="BZ994" s="273">
        <v>-9999</v>
      </c>
      <c r="CA994" s="472">
        <v>-9999</v>
      </c>
      <c r="CB994" s="473" t="s">
        <v>1132</v>
      </c>
      <c r="CC994" s="273">
        <v>1</v>
      </c>
      <c r="CD994" s="273">
        <v>6</v>
      </c>
      <c r="CE994" s="292">
        <v>16.313549999999999</v>
      </c>
      <c r="CF994" s="292">
        <v>20.472999999999999</v>
      </c>
      <c r="CG994" s="89">
        <v>6</v>
      </c>
    </row>
    <row r="995" spans="1:1873" s="210" customFormat="1" ht="12.75" customHeight="1" x14ac:dyDescent="0.25">
      <c r="A995" s="411" t="s">
        <v>832</v>
      </c>
      <c r="B995" s="411" t="s">
        <v>820</v>
      </c>
      <c r="C995" s="411" t="s">
        <v>1125</v>
      </c>
      <c r="D995" s="411" t="s">
        <v>619</v>
      </c>
      <c r="E995" s="571" t="s">
        <v>1133</v>
      </c>
      <c r="F995" s="411">
        <v>1</v>
      </c>
      <c r="G995" s="411">
        <v>7</v>
      </c>
      <c r="H995" s="411">
        <v>7</v>
      </c>
      <c r="I995" s="411" t="s">
        <v>621</v>
      </c>
      <c r="J995" s="411">
        <v>1986</v>
      </c>
      <c r="K995" s="572" t="s">
        <v>1211</v>
      </c>
      <c r="L995" s="411">
        <v>1992</v>
      </c>
      <c r="M995" s="573">
        <v>-9999</v>
      </c>
      <c r="N995" s="573">
        <v>-9999</v>
      </c>
      <c r="O995" s="8"/>
      <c r="P995" s="573">
        <v>119.68600000000001</v>
      </c>
      <c r="Q995" s="411">
        <v>-9999</v>
      </c>
      <c r="R995" s="573"/>
      <c r="S995" s="411"/>
      <c r="T995" s="575">
        <f t="shared" si="113"/>
        <v>17.098000000000003</v>
      </c>
      <c r="U995" s="411">
        <v>-9999</v>
      </c>
      <c r="V995" s="411"/>
      <c r="W995" s="575">
        <f t="shared" si="114"/>
        <v>21.804700000000011</v>
      </c>
      <c r="X995" s="411">
        <v>-9999</v>
      </c>
      <c r="Y995" s="411"/>
      <c r="Z995" s="411" t="s">
        <v>836</v>
      </c>
      <c r="AA995" s="576">
        <v>2500</v>
      </c>
      <c r="AB995" s="573">
        <v>1</v>
      </c>
      <c r="AC995" s="411">
        <v>-9999</v>
      </c>
      <c r="AD995" s="411">
        <v>1042</v>
      </c>
      <c r="AE995" s="411" t="s">
        <v>1959</v>
      </c>
      <c r="AF995" s="411">
        <v>3</v>
      </c>
      <c r="AG995" s="411">
        <v>3</v>
      </c>
      <c r="AH995" s="411" t="s">
        <v>623</v>
      </c>
      <c r="AI995" s="411" t="s">
        <v>834</v>
      </c>
      <c r="AJ995" s="411">
        <v>20</v>
      </c>
      <c r="AK995" s="411" t="s">
        <v>625</v>
      </c>
      <c r="AL995" s="411" t="s">
        <v>1127</v>
      </c>
      <c r="AM995" s="411">
        <v>-9999</v>
      </c>
      <c r="AN995" s="411" t="s">
        <v>626</v>
      </c>
      <c r="AO995" s="411" t="s">
        <v>627</v>
      </c>
      <c r="AP995" s="411" t="s">
        <v>1126</v>
      </c>
      <c r="AQ995" s="411" t="s">
        <v>626</v>
      </c>
      <c r="AR995" s="411">
        <f>+AR994+100</f>
        <v>300</v>
      </c>
      <c r="AS995" s="411" t="s">
        <v>1111</v>
      </c>
      <c r="AT995" s="411" t="s">
        <v>275</v>
      </c>
      <c r="AU995" s="411">
        <f t="shared" si="115"/>
        <v>43</v>
      </c>
      <c r="AV995" s="411">
        <v>-9999</v>
      </c>
      <c r="AW995" s="411">
        <v>-9999</v>
      </c>
      <c r="AX995" s="411">
        <f t="shared" si="116"/>
        <v>83</v>
      </c>
      <c r="AY995" s="411">
        <v>-9999</v>
      </c>
      <c r="AZ995" s="411">
        <v>-9999</v>
      </c>
      <c r="BA995" s="411" t="s">
        <v>725</v>
      </c>
      <c r="BB995" s="411" t="s">
        <v>626</v>
      </c>
      <c r="BC995" s="411" t="s">
        <v>829</v>
      </c>
      <c r="BD995" s="411" t="s">
        <v>835</v>
      </c>
      <c r="BE995" s="411" t="s">
        <v>1128</v>
      </c>
      <c r="BF995" s="411" t="s">
        <v>1129</v>
      </c>
      <c r="BG995" s="411" t="s">
        <v>577</v>
      </c>
      <c r="BH995" s="411">
        <v>-9999</v>
      </c>
      <c r="BI995" s="411">
        <v>-9999</v>
      </c>
      <c r="BJ995" s="411">
        <v>36.700000000000003</v>
      </c>
      <c r="BK995" s="411">
        <v>-9999</v>
      </c>
      <c r="BL995" s="411">
        <v>19.2</v>
      </c>
      <c r="BM995" s="411">
        <v>-9999</v>
      </c>
      <c r="BN995" s="411">
        <v>13.5</v>
      </c>
      <c r="BO995" s="411">
        <v>-9999</v>
      </c>
      <c r="BP995" s="411">
        <v>-9999</v>
      </c>
      <c r="BQ995" s="411">
        <v>-9999</v>
      </c>
      <c r="BR995" s="411">
        <v>-9999</v>
      </c>
      <c r="BS995" s="577">
        <v>-9999</v>
      </c>
      <c r="BT995" s="411">
        <v>-9999</v>
      </c>
      <c r="BU995" s="411">
        <v>-9999</v>
      </c>
      <c r="BV995" s="411">
        <v>-9999</v>
      </c>
      <c r="BW995" s="411"/>
      <c r="BX995" s="411">
        <v>47.8</v>
      </c>
      <c r="BY995" s="411">
        <v>-9999</v>
      </c>
      <c r="BZ995" s="411">
        <v>-9999</v>
      </c>
      <c r="CA995" s="578">
        <v>-9999</v>
      </c>
      <c r="CB995" s="579" t="s">
        <v>1132</v>
      </c>
      <c r="CC995" s="411">
        <v>1</v>
      </c>
      <c r="CD995" s="411">
        <v>7</v>
      </c>
      <c r="CE995" s="393">
        <v>17.098000000000003</v>
      </c>
      <c r="CF995" s="99">
        <v>21.804700000000011</v>
      </c>
      <c r="CG995" s="208">
        <v>7</v>
      </c>
      <c r="CH995" s="436" t="s">
        <v>1757</v>
      </c>
      <c r="CI995" s="13"/>
      <c r="CJ995" s="13"/>
      <c r="CK995" s="13"/>
      <c r="CL995" s="13"/>
      <c r="CM995" s="13"/>
      <c r="CN995" s="13"/>
      <c r="CO995" s="13"/>
      <c r="CP995" s="13"/>
      <c r="CQ995" s="13"/>
      <c r="CR995" s="13"/>
      <c r="CS995" s="13"/>
      <c r="CT995" s="13"/>
      <c r="CU995" s="13"/>
      <c r="CV995" s="13"/>
      <c r="CW995" s="13"/>
      <c r="CX995" s="13"/>
      <c r="CY995" s="13"/>
      <c r="CZ995" s="13"/>
      <c r="DA995" s="13"/>
      <c r="DB995" s="13"/>
      <c r="DC995" s="13"/>
      <c r="DD995" s="13"/>
      <c r="DE995" s="13"/>
      <c r="DF995" s="13"/>
      <c r="DG995" s="13"/>
      <c r="DH995" s="13"/>
      <c r="DI995" s="13"/>
      <c r="DJ995" s="13"/>
      <c r="DK995" s="13"/>
      <c r="DL995" s="13"/>
      <c r="DM995" s="13"/>
      <c r="DN995" s="13"/>
      <c r="DO995" s="13"/>
      <c r="DP995" s="13"/>
      <c r="DQ995" s="13"/>
      <c r="DR995" s="13"/>
      <c r="DS995" s="13"/>
      <c r="DT995" s="13"/>
      <c r="DU995" s="13"/>
      <c r="DV995" s="13"/>
      <c r="DW995" s="13"/>
      <c r="DX995" s="13"/>
      <c r="DY995" s="13"/>
      <c r="DZ995" s="13"/>
      <c r="EA995" s="13"/>
      <c r="EB995" s="13"/>
      <c r="EC995" s="13"/>
      <c r="ED995" s="13"/>
      <c r="EE995" s="13"/>
      <c r="EF995" s="13"/>
      <c r="EG995" s="13"/>
      <c r="EH995" s="13"/>
      <c r="EI995" s="13"/>
      <c r="EJ995" s="13"/>
      <c r="EK995" s="13"/>
      <c r="EL995" s="13"/>
      <c r="EM995" s="13"/>
      <c r="EN995" s="13"/>
      <c r="EO995" s="13"/>
      <c r="EP995" s="13"/>
      <c r="EQ995" s="13"/>
      <c r="ER995" s="13"/>
      <c r="ES995" s="13"/>
      <c r="ET995" s="13"/>
      <c r="EU995" s="13"/>
      <c r="EV995" s="13"/>
      <c r="EW995" s="13"/>
      <c r="EX995" s="13"/>
      <c r="EY995" s="13"/>
      <c r="EZ995" s="13"/>
      <c r="FA995" s="13"/>
      <c r="FB995" s="13"/>
      <c r="FC995" s="13"/>
      <c r="FD995" s="13"/>
      <c r="FE995" s="13"/>
      <c r="FF995" s="13"/>
      <c r="FG995" s="13"/>
      <c r="FH995" s="13"/>
      <c r="FI995" s="13"/>
      <c r="FJ995" s="13"/>
      <c r="FK995" s="13"/>
      <c r="FL995" s="13"/>
      <c r="FM995" s="13"/>
      <c r="FN995" s="13"/>
      <c r="FO995" s="13"/>
      <c r="FP995" s="13"/>
      <c r="FQ995" s="13"/>
      <c r="FR995" s="13"/>
      <c r="FS995" s="13"/>
      <c r="FT995" s="13"/>
      <c r="FU995" s="13"/>
      <c r="FV995" s="13"/>
      <c r="FW995" s="13"/>
      <c r="FX995" s="13"/>
      <c r="FY995" s="13"/>
      <c r="FZ995" s="13"/>
      <c r="GA995" s="13"/>
      <c r="GB995" s="13"/>
      <c r="GC995" s="13"/>
      <c r="GD995" s="13"/>
      <c r="GE995" s="13"/>
      <c r="GF995" s="13"/>
      <c r="GG995" s="13"/>
      <c r="GH995" s="13"/>
      <c r="GI995" s="13"/>
      <c r="GJ995" s="13"/>
      <c r="GK995" s="13"/>
      <c r="GL995" s="13"/>
      <c r="GM995" s="13"/>
      <c r="GN995" s="13"/>
      <c r="GO995" s="13"/>
      <c r="GP995" s="13"/>
      <c r="GQ995" s="13"/>
      <c r="GR995" s="13"/>
      <c r="GS995" s="13"/>
      <c r="GT995" s="13"/>
      <c r="GU995" s="13"/>
      <c r="GV995" s="13"/>
      <c r="GW995" s="13"/>
      <c r="GX995" s="13"/>
      <c r="GY995" s="13"/>
      <c r="GZ995" s="13"/>
      <c r="HA995" s="13"/>
      <c r="HB995" s="13"/>
      <c r="HC995" s="13"/>
      <c r="HD995" s="13"/>
      <c r="HE995" s="13"/>
      <c r="HF995" s="13"/>
      <c r="HG995" s="13"/>
      <c r="HH995" s="13"/>
      <c r="HI995" s="13"/>
      <c r="HJ995" s="13"/>
      <c r="HK995" s="13"/>
      <c r="HL995" s="13"/>
      <c r="HM995" s="13"/>
      <c r="HN995" s="13"/>
      <c r="HO995" s="13"/>
      <c r="HP995" s="13"/>
      <c r="HQ995" s="13"/>
      <c r="HR995" s="13"/>
      <c r="HS995" s="13"/>
      <c r="HT995" s="13"/>
      <c r="HU995" s="13"/>
      <c r="HV995" s="13"/>
      <c r="HW995" s="13"/>
      <c r="HX995" s="13"/>
      <c r="HY995" s="13"/>
      <c r="HZ995" s="13"/>
      <c r="IA995" s="13"/>
      <c r="IB995" s="13"/>
      <c r="IC995" s="13"/>
      <c r="ID995" s="13"/>
      <c r="IE995" s="13"/>
      <c r="IF995" s="13"/>
      <c r="IG995" s="13"/>
      <c r="IH995" s="13"/>
      <c r="II995" s="13"/>
      <c r="IJ995" s="13"/>
      <c r="IK995" s="13"/>
      <c r="IL995" s="13"/>
      <c r="IM995" s="13"/>
      <c r="IN995" s="13"/>
      <c r="IO995" s="13"/>
      <c r="IP995" s="13"/>
      <c r="IQ995" s="13"/>
      <c r="IR995" s="13"/>
      <c r="IS995" s="13"/>
      <c r="IT995" s="13"/>
      <c r="IU995" s="13"/>
      <c r="IV995" s="13"/>
      <c r="IW995" s="13"/>
      <c r="IX995" s="13"/>
      <c r="IY995" s="13"/>
      <c r="IZ995" s="13"/>
      <c r="JA995" s="13"/>
      <c r="JB995" s="13"/>
      <c r="JC995" s="13"/>
      <c r="JD995" s="13"/>
      <c r="JE995" s="13"/>
      <c r="JF995" s="13"/>
      <c r="JG995" s="13"/>
      <c r="JH995" s="13"/>
      <c r="JI995" s="13"/>
      <c r="JJ995" s="13"/>
      <c r="JK995" s="13"/>
      <c r="JL995" s="13"/>
      <c r="JM995" s="13"/>
      <c r="JN995" s="13"/>
      <c r="JO995" s="13"/>
      <c r="JP995" s="13"/>
      <c r="JQ995" s="13"/>
      <c r="JR995" s="13"/>
      <c r="JS995" s="13"/>
      <c r="JT995" s="13"/>
      <c r="JU995" s="13"/>
      <c r="JV995" s="13"/>
      <c r="JW995" s="13"/>
      <c r="JX995" s="13"/>
      <c r="JY995" s="13"/>
      <c r="JZ995" s="13"/>
      <c r="KA995" s="13"/>
      <c r="KB995" s="13"/>
      <c r="KC995" s="13"/>
      <c r="KD995" s="13"/>
      <c r="KE995" s="13"/>
      <c r="KF995" s="13"/>
      <c r="KG995" s="13"/>
      <c r="KH995" s="13"/>
      <c r="KI995" s="13"/>
      <c r="KJ995" s="13"/>
      <c r="KK995" s="13"/>
      <c r="KL995" s="13"/>
      <c r="KM995" s="13"/>
      <c r="KN995" s="13"/>
      <c r="KO995" s="13"/>
      <c r="KP995" s="13"/>
      <c r="KQ995" s="13"/>
      <c r="KR995" s="13"/>
      <c r="KS995" s="13"/>
      <c r="KT995" s="13"/>
      <c r="KU995" s="13"/>
      <c r="KV995" s="13"/>
      <c r="KW995" s="13"/>
      <c r="KX995" s="13"/>
      <c r="KY995" s="13"/>
      <c r="KZ995" s="13"/>
      <c r="LA995" s="13"/>
      <c r="LB995" s="13"/>
      <c r="LC995" s="13"/>
      <c r="LD995" s="13"/>
      <c r="LE995" s="13"/>
      <c r="LF995" s="13"/>
      <c r="LG995" s="13"/>
      <c r="LH995" s="13"/>
      <c r="LI995" s="13"/>
      <c r="LJ995" s="13"/>
      <c r="LK995" s="13"/>
      <c r="LL995" s="13"/>
      <c r="LM995" s="13"/>
      <c r="LN995" s="13"/>
      <c r="LO995" s="13"/>
      <c r="LP995" s="13"/>
      <c r="LQ995" s="13"/>
      <c r="LR995" s="13"/>
      <c r="LS995" s="13"/>
      <c r="LT995" s="13"/>
      <c r="LU995" s="13"/>
      <c r="LV995" s="13"/>
      <c r="LW995" s="13"/>
      <c r="LX995" s="13"/>
      <c r="LY995" s="13"/>
      <c r="LZ995" s="13"/>
      <c r="MA995" s="13"/>
      <c r="MB995" s="13"/>
      <c r="MC995" s="13"/>
      <c r="MD995" s="13"/>
      <c r="ME995" s="13"/>
      <c r="MF995" s="13"/>
      <c r="MG995" s="13"/>
      <c r="MH995" s="13"/>
      <c r="MI995" s="13"/>
      <c r="MJ995" s="13"/>
      <c r="MK995" s="13"/>
      <c r="ML995" s="13"/>
      <c r="MM995" s="13"/>
      <c r="MN995" s="13"/>
      <c r="MO995" s="13"/>
      <c r="MP995" s="13"/>
      <c r="MQ995" s="13"/>
      <c r="MR995" s="13"/>
      <c r="MS995" s="13"/>
      <c r="MT995" s="13"/>
      <c r="MU995" s="13"/>
      <c r="MV995" s="13"/>
      <c r="MW995" s="13"/>
      <c r="MX995" s="13"/>
      <c r="MY995" s="13"/>
      <c r="MZ995" s="13"/>
      <c r="NA995" s="13"/>
      <c r="NB995" s="13"/>
      <c r="NC995" s="13"/>
      <c r="ND995" s="13"/>
      <c r="NE995" s="13"/>
      <c r="NF995" s="13"/>
      <c r="NG995" s="13"/>
      <c r="NH995" s="13"/>
      <c r="NI995" s="13"/>
      <c r="NJ995" s="13"/>
      <c r="NK995" s="13"/>
      <c r="NL995" s="13"/>
      <c r="NM995" s="13"/>
      <c r="NN995" s="13"/>
      <c r="NO995" s="13"/>
      <c r="NP995" s="13"/>
      <c r="NQ995" s="13"/>
      <c r="NR995" s="13"/>
      <c r="NS995" s="13"/>
      <c r="NT995" s="13"/>
      <c r="NU995" s="13"/>
      <c r="NV995" s="13"/>
      <c r="NW995" s="13"/>
      <c r="NX995" s="13"/>
      <c r="NY995" s="13"/>
      <c r="NZ995" s="13"/>
      <c r="OA995" s="13"/>
      <c r="OB995" s="13"/>
      <c r="OC995" s="13"/>
      <c r="OD995" s="13"/>
      <c r="OE995" s="13"/>
      <c r="OF995" s="13"/>
      <c r="OG995" s="13"/>
      <c r="OH995" s="13"/>
      <c r="OI995" s="13"/>
      <c r="OJ995" s="13"/>
      <c r="OK995" s="13"/>
      <c r="OL995" s="13"/>
      <c r="OM995" s="13"/>
      <c r="ON995" s="13"/>
      <c r="OO995" s="13"/>
      <c r="OP995" s="13"/>
      <c r="OQ995" s="13"/>
      <c r="OR995" s="13"/>
      <c r="OS995" s="13"/>
      <c r="OT995" s="13"/>
      <c r="OU995" s="13"/>
      <c r="OV995" s="13"/>
      <c r="OW995" s="13"/>
      <c r="OX995" s="13"/>
      <c r="OY995" s="13"/>
      <c r="OZ995" s="13"/>
      <c r="PA995" s="13"/>
      <c r="PB995" s="13"/>
      <c r="PC995" s="13"/>
      <c r="PD995" s="13"/>
      <c r="PE995" s="13"/>
      <c r="PF995" s="13"/>
      <c r="PG995" s="13"/>
      <c r="PH995" s="13"/>
      <c r="PI995" s="13"/>
      <c r="PJ995" s="13"/>
      <c r="PK995" s="13"/>
      <c r="PL995" s="13"/>
      <c r="PM995" s="13"/>
      <c r="PN995" s="13"/>
      <c r="PO995" s="13"/>
      <c r="PP995" s="13"/>
      <c r="PQ995" s="13"/>
      <c r="PR995" s="13"/>
      <c r="PS995" s="13"/>
      <c r="PT995" s="13"/>
      <c r="PU995" s="13"/>
      <c r="PV995" s="13"/>
      <c r="PW995" s="13"/>
      <c r="PX995" s="13"/>
      <c r="PY995" s="13"/>
      <c r="PZ995" s="13"/>
      <c r="QA995" s="13"/>
      <c r="QB995" s="13"/>
      <c r="QC995" s="13"/>
      <c r="QD995" s="13"/>
      <c r="QE995" s="13"/>
      <c r="QF995" s="13"/>
      <c r="QG995" s="13"/>
      <c r="QH995" s="13"/>
      <c r="QI995" s="13"/>
      <c r="QJ995" s="13"/>
      <c r="QK995" s="13"/>
      <c r="QL995" s="13"/>
      <c r="QM995" s="13"/>
      <c r="QN995" s="13"/>
      <c r="QO995" s="13"/>
      <c r="QP995" s="13"/>
      <c r="QQ995" s="13"/>
      <c r="QR995" s="13"/>
      <c r="QS995" s="13"/>
      <c r="QT995" s="13"/>
      <c r="QU995" s="13"/>
      <c r="QV995" s="13"/>
      <c r="QW995" s="13"/>
      <c r="QX995" s="13"/>
      <c r="QY995" s="13"/>
      <c r="QZ995" s="13"/>
      <c r="RA995" s="13"/>
      <c r="RB995" s="13"/>
      <c r="RC995" s="13"/>
      <c r="RD995" s="13"/>
      <c r="RE995" s="13"/>
      <c r="RF995" s="13"/>
      <c r="RG995" s="13"/>
      <c r="RH995" s="13"/>
      <c r="RI995" s="13"/>
      <c r="RJ995" s="13"/>
      <c r="RK995" s="13"/>
      <c r="RL995" s="13"/>
      <c r="RM995" s="13"/>
      <c r="RN995" s="13"/>
      <c r="RO995" s="13"/>
      <c r="RP995" s="13"/>
      <c r="RQ995" s="13"/>
      <c r="RR995" s="13"/>
      <c r="RS995" s="13"/>
      <c r="RT995" s="13"/>
      <c r="RU995" s="13"/>
      <c r="RV995" s="13"/>
      <c r="RW995" s="13"/>
      <c r="RX995" s="13"/>
      <c r="RY995" s="13"/>
      <c r="RZ995" s="13"/>
      <c r="SA995" s="13"/>
      <c r="SB995" s="13"/>
      <c r="SC995" s="13"/>
      <c r="SD995" s="13"/>
      <c r="SE995" s="13"/>
      <c r="SF995" s="13"/>
      <c r="SG995" s="13"/>
      <c r="SH995" s="13"/>
      <c r="SI995" s="13"/>
      <c r="SJ995" s="13"/>
      <c r="SK995" s="13"/>
      <c r="SL995" s="13"/>
      <c r="SM995" s="13"/>
      <c r="SN995" s="13"/>
      <c r="SO995" s="13"/>
      <c r="SP995" s="13"/>
      <c r="SQ995" s="13"/>
      <c r="SR995" s="13"/>
      <c r="SS995" s="13"/>
      <c r="ST995" s="13"/>
      <c r="SU995" s="13"/>
      <c r="SV995" s="13"/>
      <c r="SW995" s="13"/>
      <c r="SX995" s="13"/>
      <c r="SY995" s="13"/>
      <c r="SZ995" s="13"/>
      <c r="TA995" s="13"/>
      <c r="TB995" s="13"/>
      <c r="TC995" s="13"/>
      <c r="TD995" s="13"/>
      <c r="TE995" s="13"/>
      <c r="TF995" s="13"/>
      <c r="TG995" s="13"/>
      <c r="TH995" s="13"/>
      <c r="TI995" s="13"/>
      <c r="TJ995" s="13"/>
      <c r="TK995" s="13"/>
      <c r="TL995" s="13"/>
      <c r="TM995" s="13"/>
      <c r="TN995" s="13"/>
      <c r="TO995" s="13"/>
      <c r="TP995" s="13"/>
      <c r="TQ995" s="13"/>
      <c r="TR995" s="13"/>
      <c r="TS995" s="13"/>
      <c r="TT995" s="13"/>
      <c r="TU995" s="13"/>
      <c r="TV995" s="13"/>
      <c r="TW995" s="13"/>
      <c r="TX995" s="13"/>
      <c r="TY995" s="13"/>
      <c r="TZ995" s="13"/>
      <c r="UA995" s="13"/>
      <c r="UB995" s="13"/>
      <c r="UC995" s="13"/>
      <c r="UD995" s="13"/>
      <c r="UE995" s="13"/>
      <c r="UF995" s="13"/>
      <c r="UG995" s="13"/>
      <c r="UH995" s="13"/>
      <c r="UI995" s="13"/>
      <c r="UJ995" s="13"/>
      <c r="UK995" s="13"/>
      <c r="UL995" s="13"/>
      <c r="UM995" s="13"/>
      <c r="UN995" s="13"/>
      <c r="UO995" s="13"/>
      <c r="UP995" s="13"/>
      <c r="UQ995" s="13"/>
      <c r="UR995" s="13"/>
      <c r="US995" s="13"/>
      <c r="UT995" s="13"/>
      <c r="UU995" s="13"/>
      <c r="UV995" s="13"/>
      <c r="UW995" s="13"/>
      <c r="UX995" s="13"/>
      <c r="UY995" s="13"/>
      <c r="UZ995" s="13"/>
      <c r="VA995" s="13"/>
      <c r="VB995" s="13"/>
      <c r="VC995" s="13"/>
      <c r="VD995" s="13"/>
      <c r="VE995" s="13"/>
      <c r="VF995" s="13"/>
      <c r="VG995" s="13"/>
      <c r="VH995" s="13"/>
      <c r="VI995" s="13"/>
      <c r="VJ995" s="13"/>
      <c r="VK995" s="13"/>
      <c r="VL995" s="13"/>
      <c r="VM995" s="13"/>
      <c r="VN995" s="13"/>
      <c r="VO995" s="13"/>
      <c r="VP995" s="13"/>
      <c r="VQ995" s="13"/>
      <c r="VR995" s="13"/>
      <c r="VS995" s="13"/>
      <c r="VT995" s="13"/>
      <c r="VU995" s="13"/>
      <c r="VV995" s="13"/>
      <c r="VW995" s="13"/>
      <c r="VX995" s="13"/>
      <c r="VY995" s="13"/>
      <c r="VZ995" s="13"/>
      <c r="WA995" s="13"/>
      <c r="WB995" s="13"/>
      <c r="WC995" s="13"/>
      <c r="WD995" s="13"/>
      <c r="WE995" s="13"/>
      <c r="WF995" s="13"/>
      <c r="WG995" s="13"/>
      <c r="WH995" s="13"/>
      <c r="WI995" s="13"/>
      <c r="WJ995" s="13"/>
      <c r="WK995" s="13"/>
      <c r="WL995" s="13"/>
      <c r="WM995" s="13"/>
      <c r="WN995" s="13"/>
      <c r="WO995" s="13"/>
      <c r="WP995" s="13"/>
      <c r="WQ995" s="13"/>
      <c r="WR995" s="13"/>
      <c r="WS995" s="13"/>
      <c r="WT995" s="13"/>
      <c r="WU995" s="13"/>
      <c r="WV995" s="13"/>
      <c r="WW995" s="13"/>
      <c r="WX995" s="13"/>
      <c r="WY995" s="13"/>
      <c r="WZ995" s="13"/>
      <c r="XA995" s="13"/>
      <c r="XB995" s="13"/>
      <c r="XC995" s="13"/>
      <c r="XD995" s="13"/>
      <c r="XE995" s="13"/>
      <c r="XF995" s="13"/>
      <c r="XG995" s="13"/>
      <c r="XH995" s="13"/>
      <c r="XI995" s="13"/>
      <c r="XJ995" s="13"/>
      <c r="XK995" s="13"/>
      <c r="XL995" s="13"/>
      <c r="XM995" s="13"/>
      <c r="XN995" s="13"/>
      <c r="XO995" s="13"/>
      <c r="XP995" s="13"/>
      <c r="XQ995" s="13"/>
      <c r="XR995" s="13"/>
      <c r="XS995" s="13"/>
      <c r="XT995" s="13"/>
      <c r="XU995" s="13"/>
      <c r="XV995" s="13"/>
      <c r="XW995" s="13"/>
      <c r="XX995" s="13"/>
      <c r="XY995" s="13"/>
      <c r="XZ995" s="13"/>
      <c r="YA995" s="13"/>
      <c r="YB995" s="13"/>
      <c r="YC995" s="13"/>
      <c r="YD995" s="13"/>
      <c r="YE995" s="13"/>
      <c r="YF995" s="13"/>
      <c r="YG995" s="13"/>
      <c r="YH995" s="13"/>
      <c r="YI995" s="13"/>
      <c r="YJ995" s="13"/>
      <c r="YK995" s="13"/>
      <c r="YL995" s="13"/>
      <c r="YM995" s="13"/>
      <c r="YN995" s="13"/>
      <c r="YO995" s="13"/>
      <c r="YP995" s="13"/>
      <c r="YQ995" s="13"/>
      <c r="YR995" s="13"/>
      <c r="YS995" s="13"/>
      <c r="YT995" s="13"/>
      <c r="YU995" s="13"/>
      <c r="YV995" s="13"/>
      <c r="YW995" s="13"/>
      <c r="YX995" s="13"/>
      <c r="YY995" s="13"/>
      <c r="YZ995" s="13"/>
      <c r="ZA995" s="13"/>
      <c r="ZB995" s="13"/>
      <c r="ZC995" s="13"/>
      <c r="ZD995" s="13"/>
      <c r="ZE995" s="13"/>
      <c r="ZF995" s="13"/>
      <c r="ZG995" s="13"/>
      <c r="ZH995" s="13"/>
      <c r="ZI995" s="13"/>
      <c r="ZJ995" s="13"/>
      <c r="ZK995" s="13"/>
      <c r="ZL995" s="13"/>
      <c r="ZM995" s="13"/>
      <c r="ZN995" s="13"/>
      <c r="ZO995" s="13"/>
      <c r="ZP995" s="13"/>
      <c r="ZQ995" s="13"/>
      <c r="ZR995" s="13"/>
      <c r="ZS995" s="13"/>
      <c r="ZT995" s="13"/>
      <c r="ZU995" s="13"/>
      <c r="ZV995" s="13"/>
      <c r="ZW995" s="13"/>
      <c r="ZX995" s="13"/>
      <c r="ZY995" s="13"/>
      <c r="ZZ995" s="13"/>
      <c r="AAA995" s="13"/>
      <c r="AAB995" s="13"/>
      <c r="AAC995" s="13"/>
      <c r="AAD995" s="13"/>
      <c r="AAE995" s="13"/>
      <c r="AAF995" s="13"/>
      <c r="AAG995" s="13"/>
      <c r="AAH995" s="13"/>
      <c r="AAI995" s="13"/>
      <c r="AAJ995" s="13"/>
      <c r="AAK995" s="13"/>
      <c r="AAL995" s="13"/>
      <c r="AAM995" s="13"/>
      <c r="AAN995" s="13"/>
      <c r="AAO995" s="13"/>
      <c r="AAP995" s="13"/>
      <c r="AAQ995" s="13"/>
      <c r="AAR995" s="13"/>
      <c r="AAS995" s="13"/>
      <c r="AAT995" s="13"/>
      <c r="AAU995" s="13"/>
      <c r="AAV995" s="13"/>
      <c r="AAW995" s="13"/>
      <c r="AAX995" s="13"/>
      <c r="AAY995" s="13"/>
      <c r="AAZ995" s="13"/>
      <c r="ABA995" s="13"/>
      <c r="ABB995" s="13"/>
      <c r="ABC995" s="13"/>
      <c r="ABD995" s="13"/>
      <c r="ABE995" s="13"/>
      <c r="ABF995" s="13"/>
      <c r="ABG995" s="13"/>
      <c r="ABH995" s="13"/>
      <c r="ABI995" s="13"/>
      <c r="ABJ995" s="13"/>
      <c r="ABK995" s="13"/>
      <c r="ABL995" s="13"/>
      <c r="ABM995" s="13"/>
      <c r="ABN995" s="13"/>
      <c r="ABO995" s="13"/>
      <c r="ABP995" s="13"/>
      <c r="ABQ995" s="13"/>
      <c r="ABR995" s="13"/>
      <c r="ABS995" s="13"/>
      <c r="ABT995" s="13"/>
      <c r="ABU995" s="13"/>
      <c r="ABV995" s="13"/>
      <c r="ABW995" s="13"/>
      <c r="ABX995" s="13"/>
      <c r="ABY995" s="13"/>
      <c r="ABZ995" s="13"/>
      <c r="ACA995" s="13"/>
      <c r="ACB995" s="13"/>
      <c r="ACC995" s="13"/>
      <c r="ACD995" s="13"/>
      <c r="ACE995" s="13"/>
      <c r="ACF995" s="13"/>
      <c r="ACG995" s="13"/>
      <c r="ACH995" s="13"/>
      <c r="ACI995" s="13"/>
      <c r="ACJ995" s="13"/>
      <c r="ACK995" s="13"/>
      <c r="ACL995" s="13"/>
      <c r="ACM995" s="13"/>
      <c r="ACN995" s="13"/>
      <c r="ACO995" s="13"/>
      <c r="ACP995" s="13"/>
      <c r="ACQ995" s="13"/>
      <c r="ACR995" s="13"/>
      <c r="ACS995" s="13"/>
      <c r="ACT995" s="13"/>
      <c r="ACU995" s="13"/>
      <c r="ACV995" s="13"/>
      <c r="ACW995" s="13"/>
      <c r="ACX995" s="13"/>
      <c r="ACY995" s="13"/>
      <c r="ACZ995" s="13"/>
      <c r="ADA995" s="13"/>
      <c r="ADB995" s="13"/>
      <c r="ADC995" s="13"/>
      <c r="ADD995" s="13"/>
      <c r="ADE995" s="13"/>
      <c r="ADF995" s="13"/>
      <c r="ADG995" s="13"/>
      <c r="ADH995" s="13"/>
      <c r="ADI995" s="13"/>
      <c r="ADJ995" s="13"/>
      <c r="ADK995" s="13"/>
      <c r="ADL995" s="13"/>
      <c r="ADM995" s="13"/>
      <c r="ADN995" s="13"/>
      <c r="ADO995" s="13"/>
      <c r="ADP995" s="13"/>
      <c r="ADQ995" s="13"/>
      <c r="ADR995" s="13"/>
      <c r="ADS995" s="13"/>
      <c r="ADT995" s="13"/>
      <c r="ADU995" s="13"/>
      <c r="ADV995" s="13"/>
      <c r="ADW995" s="13"/>
      <c r="ADX995" s="13"/>
      <c r="ADY995" s="13"/>
      <c r="ADZ995" s="13"/>
      <c r="AEA995" s="13"/>
      <c r="AEB995" s="13"/>
      <c r="AEC995" s="13"/>
      <c r="AED995" s="13"/>
      <c r="AEE995" s="13"/>
      <c r="AEF995" s="13"/>
      <c r="AEG995" s="13"/>
      <c r="AEH995" s="13"/>
      <c r="AEI995" s="13"/>
      <c r="AEJ995" s="13"/>
      <c r="AEK995" s="13"/>
      <c r="AEL995" s="13"/>
      <c r="AEM995" s="13"/>
      <c r="AEN995" s="13"/>
      <c r="AEO995" s="13"/>
      <c r="AEP995" s="13"/>
      <c r="AEQ995" s="13"/>
      <c r="AER995" s="13"/>
      <c r="AES995" s="13"/>
      <c r="AET995" s="13"/>
      <c r="AEU995" s="13"/>
      <c r="AEV995" s="13"/>
      <c r="AEW995" s="13"/>
      <c r="AEX995" s="13"/>
      <c r="AEY995" s="13"/>
      <c r="AEZ995" s="13"/>
      <c r="AFA995" s="13"/>
      <c r="AFB995" s="13"/>
      <c r="AFC995" s="13"/>
      <c r="AFD995" s="13"/>
      <c r="AFE995" s="13"/>
      <c r="AFF995" s="13"/>
      <c r="AFG995" s="13"/>
      <c r="AFH995" s="13"/>
      <c r="AFI995" s="13"/>
      <c r="AFJ995" s="13"/>
      <c r="AFK995" s="13"/>
      <c r="AFL995" s="13"/>
      <c r="AFM995" s="13"/>
      <c r="AFN995" s="13"/>
      <c r="AFO995" s="13"/>
      <c r="AFP995" s="13"/>
      <c r="AFQ995" s="13"/>
      <c r="AFR995" s="13"/>
      <c r="AFS995" s="13"/>
      <c r="AFT995" s="13"/>
      <c r="AFU995" s="13"/>
      <c r="AFV995" s="13"/>
      <c r="AFW995" s="13"/>
      <c r="AFX995" s="13"/>
      <c r="AFY995" s="13"/>
      <c r="AFZ995" s="13"/>
      <c r="AGA995" s="13"/>
      <c r="AGB995" s="13"/>
      <c r="AGC995" s="13"/>
      <c r="AGD995" s="13"/>
      <c r="AGE995" s="13"/>
      <c r="AGF995" s="13"/>
      <c r="AGG995" s="13"/>
      <c r="AGH995" s="13"/>
      <c r="AGI995" s="13"/>
      <c r="AGJ995" s="13"/>
      <c r="AGK995" s="13"/>
      <c r="AGL995" s="13"/>
      <c r="AGM995" s="13"/>
      <c r="AGN995" s="13"/>
      <c r="AGO995" s="13"/>
      <c r="AGP995" s="13"/>
      <c r="AGQ995" s="13"/>
      <c r="AGR995" s="13"/>
      <c r="AGS995" s="13"/>
      <c r="AGT995" s="13"/>
      <c r="AGU995" s="13"/>
      <c r="AGV995" s="13"/>
      <c r="AGW995" s="13"/>
      <c r="AGX995" s="13"/>
      <c r="AGY995" s="13"/>
      <c r="AGZ995" s="13"/>
      <c r="AHA995" s="13"/>
      <c r="AHB995" s="13"/>
      <c r="AHC995" s="13"/>
      <c r="AHD995" s="13"/>
      <c r="AHE995" s="13"/>
      <c r="AHF995" s="13"/>
      <c r="AHG995" s="13"/>
      <c r="AHH995" s="13"/>
      <c r="AHI995" s="13"/>
      <c r="AHJ995" s="13"/>
      <c r="AHK995" s="13"/>
      <c r="AHL995" s="13"/>
      <c r="AHM995" s="13"/>
      <c r="AHN995" s="13"/>
      <c r="AHO995" s="13"/>
      <c r="AHP995" s="13"/>
      <c r="AHQ995" s="13"/>
      <c r="AHR995" s="13"/>
      <c r="AHS995" s="13"/>
      <c r="AHT995" s="13"/>
      <c r="AHU995" s="13"/>
      <c r="AHV995" s="13"/>
      <c r="AHW995" s="13"/>
      <c r="AHX995" s="13"/>
      <c r="AHY995" s="13"/>
      <c r="AHZ995" s="13"/>
      <c r="AIA995" s="13"/>
      <c r="AIB995" s="13"/>
      <c r="AIC995" s="13"/>
      <c r="AID995" s="13"/>
      <c r="AIE995" s="13"/>
      <c r="AIF995" s="13"/>
      <c r="AIG995" s="13"/>
      <c r="AIH995" s="13"/>
      <c r="AII995" s="13"/>
      <c r="AIJ995" s="13"/>
      <c r="AIK995" s="13"/>
      <c r="AIL995" s="13"/>
      <c r="AIM995" s="13"/>
      <c r="AIN995" s="13"/>
      <c r="AIO995" s="13"/>
      <c r="AIP995" s="13"/>
      <c r="AIQ995" s="13"/>
      <c r="AIR995" s="13"/>
      <c r="AIS995" s="13"/>
      <c r="AIT995" s="13"/>
      <c r="AIU995" s="13"/>
      <c r="AIV995" s="13"/>
      <c r="AIW995" s="13"/>
      <c r="AIX995" s="13"/>
      <c r="AIY995" s="13"/>
      <c r="AIZ995" s="13"/>
      <c r="AJA995" s="13"/>
      <c r="AJB995" s="13"/>
      <c r="AJC995" s="13"/>
      <c r="AJD995" s="13"/>
      <c r="AJE995" s="13"/>
      <c r="AJF995" s="13"/>
      <c r="AJG995" s="13"/>
      <c r="AJH995" s="13"/>
      <c r="AJI995" s="13"/>
      <c r="AJJ995" s="13"/>
      <c r="AJK995" s="13"/>
      <c r="AJL995" s="13"/>
      <c r="AJM995" s="13"/>
      <c r="AJN995" s="13"/>
      <c r="AJO995" s="13"/>
      <c r="AJP995" s="13"/>
      <c r="AJQ995" s="13"/>
      <c r="AJR995" s="13"/>
      <c r="AJS995" s="13"/>
      <c r="AJT995" s="13"/>
      <c r="AJU995" s="13"/>
      <c r="AJV995" s="13"/>
      <c r="AJW995" s="13"/>
      <c r="AJX995" s="13"/>
      <c r="AJY995" s="13"/>
      <c r="AJZ995" s="13"/>
      <c r="AKA995" s="13"/>
      <c r="AKB995" s="13"/>
      <c r="AKC995" s="13"/>
      <c r="AKD995" s="13"/>
      <c r="AKE995" s="13"/>
      <c r="AKF995" s="13"/>
      <c r="AKG995" s="13"/>
      <c r="AKH995" s="13"/>
      <c r="AKI995" s="13"/>
      <c r="AKJ995" s="13"/>
      <c r="AKK995" s="13"/>
      <c r="AKL995" s="13"/>
      <c r="AKM995" s="13"/>
      <c r="AKN995" s="13"/>
      <c r="AKO995" s="13"/>
      <c r="AKP995" s="13"/>
      <c r="AKQ995" s="13"/>
      <c r="AKR995" s="13"/>
      <c r="AKS995" s="13"/>
      <c r="AKT995" s="13"/>
      <c r="AKU995" s="13"/>
      <c r="AKV995" s="13"/>
      <c r="AKW995" s="13"/>
      <c r="AKX995" s="13"/>
      <c r="AKY995" s="13"/>
      <c r="AKZ995" s="13"/>
      <c r="ALA995" s="13"/>
      <c r="ALB995" s="13"/>
      <c r="ALC995" s="13"/>
      <c r="ALD995" s="13"/>
      <c r="ALE995" s="13"/>
      <c r="ALF995" s="13"/>
      <c r="ALG995" s="13"/>
      <c r="ALH995" s="13"/>
      <c r="ALI995" s="13"/>
      <c r="ALJ995" s="13"/>
      <c r="ALK995" s="13"/>
      <c r="ALL995" s="13"/>
      <c r="ALM995" s="13"/>
      <c r="ALN995" s="13"/>
      <c r="ALO995" s="13"/>
      <c r="ALP995" s="13"/>
      <c r="ALQ995" s="13"/>
      <c r="ALR995" s="13"/>
      <c r="ALS995" s="13"/>
      <c r="ALT995" s="13"/>
      <c r="ALU995" s="13"/>
      <c r="ALV995" s="13"/>
      <c r="ALW995" s="13"/>
      <c r="ALX995" s="13"/>
      <c r="ALY995" s="13"/>
      <c r="ALZ995" s="13"/>
      <c r="AMA995" s="13"/>
      <c r="AMB995" s="13"/>
      <c r="AMC995" s="13"/>
      <c r="AMD995" s="13"/>
      <c r="AME995" s="13"/>
      <c r="AMF995" s="13"/>
      <c r="AMG995" s="13"/>
      <c r="AMH995" s="13"/>
      <c r="AMI995" s="13"/>
      <c r="AMJ995" s="13"/>
      <c r="AMK995" s="13"/>
      <c r="AML995" s="13"/>
      <c r="AMM995" s="13"/>
      <c r="AMN995" s="13"/>
      <c r="AMO995" s="13"/>
      <c r="AMP995" s="13"/>
      <c r="AMQ995" s="13"/>
      <c r="AMR995" s="13"/>
      <c r="AMS995" s="13"/>
      <c r="AMT995" s="13"/>
      <c r="AMU995" s="13"/>
      <c r="AMV995" s="13"/>
      <c r="AMW995" s="13"/>
      <c r="AMX995" s="13"/>
      <c r="AMY995" s="13"/>
      <c r="AMZ995" s="13"/>
      <c r="ANA995" s="13"/>
      <c r="ANB995" s="13"/>
      <c r="ANC995" s="13"/>
      <c r="AND995" s="13"/>
      <c r="ANE995" s="13"/>
      <c r="ANF995" s="13"/>
      <c r="ANG995" s="13"/>
      <c r="ANH995" s="13"/>
      <c r="ANI995" s="13"/>
      <c r="ANJ995" s="13"/>
      <c r="ANK995" s="13"/>
      <c r="ANL995" s="13"/>
      <c r="ANM995" s="13"/>
      <c r="ANN995" s="13"/>
      <c r="ANO995" s="13"/>
      <c r="ANP995" s="13"/>
      <c r="ANQ995" s="13"/>
      <c r="ANR995" s="13"/>
      <c r="ANS995" s="13"/>
      <c r="ANT995" s="13"/>
      <c r="ANU995" s="13"/>
      <c r="ANV995" s="13"/>
      <c r="ANW995" s="13"/>
      <c r="ANX995" s="13"/>
      <c r="ANY995" s="13"/>
      <c r="ANZ995" s="13"/>
      <c r="AOA995" s="13"/>
      <c r="AOB995" s="13"/>
      <c r="AOC995" s="13"/>
      <c r="AOD995" s="13"/>
      <c r="AOE995" s="13"/>
      <c r="AOF995" s="13"/>
      <c r="AOG995" s="13"/>
      <c r="AOH995" s="13"/>
      <c r="AOI995" s="13"/>
      <c r="AOJ995" s="13"/>
      <c r="AOK995" s="13"/>
      <c r="AOL995" s="13"/>
      <c r="AOM995" s="13"/>
      <c r="AON995" s="13"/>
      <c r="AOO995" s="13"/>
      <c r="AOP995" s="13"/>
      <c r="AOQ995" s="13"/>
      <c r="AOR995" s="13"/>
      <c r="AOS995" s="13"/>
      <c r="AOT995" s="13"/>
      <c r="AOU995" s="13"/>
      <c r="AOV995" s="13"/>
      <c r="AOW995" s="13"/>
      <c r="AOX995" s="13"/>
      <c r="AOY995" s="13"/>
      <c r="AOZ995" s="13"/>
      <c r="APA995" s="13"/>
      <c r="APB995" s="13"/>
      <c r="APC995" s="13"/>
      <c r="APD995" s="13"/>
      <c r="APE995" s="13"/>
      <c r="APF995" s="13"/>
      <c r="APG995" s="13"/>
      <c r="APH995" s="13"/>
      <c r="API995" s="13"/>
      <c r="APJ995" s="13"/>
      <c r="APK995" s="13"/>
      <c r="APL995" s="13"/>
      <c r="APM995" s="13"/>
      <c r="APN995" s="13"/>
      <c r="APO995" s="13"/>
      <c r="APP995" s="13"/>
      <c r="APQ995" s="13"/>
      <c r="APR995" s="13"/>
      <c r="APS995" s="13"/>
      <c r="APT995" s="13"/>
      <c r="APU995" s="13"/>
      <c r="APV995" s="13"/>
      <c r="APW995" s="13"/>
      <c r="APX995" s="13"/>
      <c r="APY995" s="13"/>
      <c r="APZ995" s="13"/>
      <c r="AQA995" s="13"/>
      <c r="AQB995" s="13"/>
      <c r="AQC995" s="13"/>
      <c r="AQD995" s="13"/>
      <c r="AQE995" s="13"/>
      <c r="AQF995" s="13"/>
      <c r="AQG995" s="13"/>
      <c r="AQH995" s="13"/>
      <c r="AQI995" s="13"/>
      <c r="AQJ995" s="13"/>
      <c r="AQK995" s="13"/>
      <c r="AQL995" s="13"/>
      <c r="AQM995" s="13"/>
      <c r="AQN995" s="13"/>
      <c r="AQO995" s="13"/>
      <c r="AQP995" s="13"/>
      <c r="AQQ995" s="13"/>
      <c r="AQR995" s="13"/>
      <c r="AQS995" s="13"/>
      <c r="AQT995" s="13"/>
      <c r="AQU995" s="13"/>
      <c r="AQV995" s="13"/>
      <c r="AQW995" s="13"/>
      <c r="AQX995" s="13"/>
      <c r="AQY995" s="13"/>
      <c r="AQZ995" s="13"/>
      <c r="ARA995" s="13"/>
      <c r="ARB995" s="13"/>
      <c r="ARC995" s="13"/>
      <c r="ARD995" s="13"/>
      <c r="ARE995" s="13"/>
      <c r="ARF995" s="13"/>
      <c r="ARG995" s="13"/>
      <c r="ARH995" s="13"/>
      <c r="ARI995" s="13"/>
      <c r="ARJ995" s="13"/>
      <c r="ARK995" s="13"/>
      <c r="ARL995" s="13"/>
      <c r="ARM995" s="13"/>
      <c r="ARN995" s="13"/>
      <c r="ARO995" s="13"/>
      <c r="ARP995" s="13"/>
      <c r="ARQ995" s="13"/>
      <c r="ARR995" s="13"/>
      <c r="ARS995" s="13"/>
      <c r="ART995" s="13"/>
      <c r="ARU995" s="13"/>
      <c r="ARV995" s="13"/>
      <c r="ARW995" s="13"/>
      <c r="ARX995" s="13"/>
      <c r="ARY995" s="13"/>
      <c r="ARZ995" s="13"/>
      <c r="ASA995" s="13"/>
      <c r="ASB995" s="13"/>
      <c r="ASC995" s="13"/>
      <c r="ASD995" s="13"/>
      <c r="ASE995" s="13"/>
      <c r="ASF995" s="13"/>
      <c r="ASG995" s="13"/>
      <c r="ASH995" s="13"/>
      <c r="ASI995" s="13"/>
      <c r="ASJ995" s="13"/>
      <c r="ASK995" s="13"/>
      <c r="ASL995" s="13"/>
      <c r="ASM995" s="13"/>
      <c r="ASN995" s="13"/>
      <c r="ASO995" s="13"/>
      <c r="ASP995" s="13"/>
      <c r="ASQ995" s="13"/>
      <c r="ASR995" s="13"/>
      <c r="ASS995" s="13"/>
      <c r="AST995" s="13"/>
      <c r="ASU995" s="13"/>
      <c r="ASV995" s="13"/>
      <c r="ASW995" s="13"/>
      <c r="ASX995" s="13"/>
      <c r="ASY995" s="13"/>
      <c r="ASZ995" s="13"/>
      <c r="ATA995" s="13"/>
      <c r="ATB995" s="13"/>
      <c r="ATC995" s="13"/>
      <c r="ATD995" s="13"/>
      <c r="ATE995" s="13"/>
      <c r="ATF995" s="13"/>
      <c r="ATG995" s="13"/>
      <c r="ATH995" s="13"/>
      <c r="ATI995" s="13"/>
      <c r="ATJ995" s="13"/>
      <c r="ATK995" s="13"/>
      <c r="ATL995" s="13"/>
      <c r="ATM995" s="13"/>
      <c r="ATN995" s="13"/>
      <c r="ATO995" s="13"/>
      <c r="ATP995" s="13"/>
      <c r="ATQ995" s="13"/>
      <c r="ATR995" s="13"/>
      <c r="ATS995" s="13"/>
      <c r="ATT995" s="13"/>
      <c r="ATU995" s="13"/>
      <c r="ATV995" s="13"/>
      <c r="ATW995" s="13"/>
      <c r="ATX995" s="13"/>
      <c r="ATY995" s="13"/>
      <c r="ATZ995" s="13"/>
      <c r="AUA995" s="13"/>
      <c r="AUB995" s="13"/>
      <c r="AUC995" s="13"/>
      <c r="AUD995" s="13"/>
      <c r="AUE995" s="13"/>
      <c r="AUF995" s="13"/>
      <c r="AUG995" s="13"/>
      <c r="AUH995" s="13"/>
      <c r="AUI995" s="13"/>
      <c r="AUJ995" s="13"/>
      <c r="AUK995" s="13"/>
      <c r="AUL995" s="13"/>
      <c r="AUM995" s="13"/>
      <c r="AUN995" s="13"/>
      <c r="AUO995" s="13"/>
      <c r="AUP995" s="13"/>
      <c r="AUQ995" s="13"/>
      <c r="AUR995" s="13"/>
      <c r="AUS995" s="13"/>
      <c r="AUT995" s="13"/>
      <c r="AUU995" s="13"/>
      <c r="AUV995" s="13"/>
      <c r="AUW995" s="13"/>
      <c r="AUX995" s="13"/>
      <c r="AUY995" s="13"/>
      <c r="AUZ995" s="13"/>
      <c r="AVA995" s="13"/>
      <c r="AVB995" s="13"/>
      <c r="AVC995" s="13"/>
      <c r="AVD995" s="13"/>
      <c r="AVE995" s="13"/>
      <c r="AVF995" s="13"/>
      <c r="AVG995" s="13"/>
      <c r="AVH995" s="13"/>
      <c r="AVI995" s="13"/>
      <c r="AVJ995" s="13"/>
      <c r="AVK995" s="13"/>
      <c r="AVL995" s="13"/>
      <c r="AVM995" s="13"/>
      <c r="AVN995" s="13"/>
      <c r="AVO995" s="13"/>
      <c r="AVP995" s="13"/>
      <c r="AVQ995" s="13"/>
      <c r="AVR995" s="13"/>
      <c r="AVS995" s="13"/>
      <c r="AVT995" s="13"/>
      <c r="AVU995" s="13"/>
      <c r="AVV995" s="13"/>
      <c r="AVW995" s="13"/>
      <c r="AVX995" s="13"/>
      <c r="AVY995" s="13"/>
      <c r="AVZ995" s="13"/>
      <c r="AWA995" s="13"/>
      <c r="AWB995" s="13"/>
      <c r="AWC995" s="13"/>
      <c r="AWD995" s="13"/>
      <c r="AWE995" s="13"/>
      <c r="AWF995" s="13"/>
      <c r="AWG995" s="13"/>
      <c r="AWH995" s="13"/>
      <c r="AWI995" s="13"/>
      <c r="AWJ995" s="13"/>
      <c r="AWK995" s="13"/>
      <c r="AWL995" s="13"/>
      <c r="AWM995" s="13"/>
      <c r="AWN995" s="13"/>
      <c r="AWO995" s="13"/>
      <c r="AWP995" s="13"/>
      <c r="AWQ995" s="13"/>
      <c r="AWR995" s="13"/>
      <c r="AWS995" s="13"/>
      <c r="AWT995" s="13"/>
      <c r="AWU995" s="13"/>
      <c r="AWV995" s="13"/>
      <c r="AWW995" s="13"/>
      <c r="AWX995" s="13"/>
      <c r="AWY995" s="13"/>
      <c r="AWZ995" s="13"/>
      <c r="AXA995" s="13"/>
      <c r="AXB995" s="13"/>
      <c r="AXC995" s="13"/>
      <c r="AXD995" s="13"/>
      <c r="AXE995" s="13"/>
      <c r="AXF995" s="13"/>
      <c r="AXG995" s="13"/>
      <c r="AXH995" s="13"/>
      <c r="AXI995" s="13"/>
      <c r="AXJ995" s="13"/>
      <c r="AXK995" s="13"/>
      <c r="AXL995" s="13"/>
      <c r="AXM995" s="13"/>
      <c r="AXN995" s="13"/>
      <c r="AXO995" s="13"/>
      <c r="AXP995" s="13"/>
      <c r="AXQ995" s="13"/>
      <c r="AXR995" s="13"/>
      <c r="AXS995" s="13"/>
      <c r="AXT995" s="13"/>
      <c r="AXU995" s="13"/>
      <c r="AXV995" s="13"/>
      <c r="AXW995" s="13"/>
      <c r="AXX995" s="13"/>
      <c r="AXY995" s="13"/>
      <c r="AXZ995" s="13"/>
      <c r="AYA995" s="13"/>
      <c r="AYB995" s="13"/>
      <c r="AYC995" s="13"/>
      <c r="AYD995" s="13"/>
      <c r="AYE995" s="13"/>
      <c r="AYF995" s="13"/>
      <c r="AYG995" s="13"/>
      <c r="AYH995" s="13"/>
      <c r="AYI995" s="13"/>
      <c r="AYJ995" s="13"/>
      <c r="AYK995" s="13"/>
      <c r="AYL995" s="13"/>
      <c r="AYM995" s="13"/>
      <c r="AYN995" s="13"/>
      <c r="AYO995" s="13"/>
      <c r="AYP995" s="13"/>
      <c r="AYQ995" s="13"/>
      <c r="AYR995" s="13"/>
      <c r="AYS995" s="13"/>
      <c r="AYT995" s="13"/>
      <c r="AYU995" s="13"/>
      <c r="AYV995" s="13"/>
      <c r="AYW995" s="13"/>
      <c r="AYX995" s="13"/>
      <c r="AYY995" s="13"/>
      <c r="AYZ995" s="13"/>
      <c r="AZA995" s="13"/>
      <c r="AZB995" s="13"/>
      <c r="AZC995" s="13"/>
      <c r="AZD995" s="13"/>
      <c r="AZE995" s="13"/>
      <c r="AZF995" s="13"/>
      <c r="AZG995" s="13"/>
      <c r="AZH995" s="13"/>
      <c r="AZI995" s="13"/>
      <c r="AZJ995" s="13"/>
      <c r="AZK995" s="13"/>
      <c r="AZL995" s="13"/>
      <c r="AZM995" s="13"/>
      <c r="AZN995" s="13"/>
      <c r="AZO995" s="13"/>
      <c r="AZP995" s="13"/>
      <c r="AZQ995" s="13"/>
      <c r="AZR995" s="13"/>
      <c r="AZS995" s="13"/>
      <c r="AZT995" s="13"/>
      <c r="AZU995" s="13"/>
      <c r="AZV995" s="13"/>
      <c r="AZW995" s="13"/>
      <c r="AZX995" s="13"/>
      <c r="AZY995" s="13"/>
      <c r="AZZ995" s="13"/>
      <c r="BAA995" s="13"/>
      <c r="BAB995" s="13"/>
      <c r="BAC995" s="13"/>
      <c r="BAD995" s="13"/>
      <c r="BAE995" s="13"/>
      <c r="BAF995" s="13"/>
      <c r="BAG995" s="13"/>
      <c r="BAH995" s="13"/>
      <c r="BAI995" s="13"/>
      <c r="BAJ995" s="13"/>
      <c r="BAK995" s="13"/>
      <c r="BAL995" s="13"/>
      <c r="BAM995" s="13"/>
      <c r="BAN995" s="13"/>
      <c r="BAO995" s="13"/>
      <c r="BAP995" s="13"/>
      <c r="BAQ995" s="13"/>
      <c r="BAR995" s="13"/>
      <c r="BAS995" s="13"/>
      <c r="BAT995" s="13"/>
      <c r="BAU995" s="13"/>
      <c r="BAV995" s="13"/>
      <c r="BAW995" s="13"/>
      <c r="BAX995" s="13"/>
      <c r="BAY995" s="13"/>
      <c r="BAZ995" s="13"/>
      <c r="BBA995" s="13"/>
      <c r="BBB995" s="13"/>
      <c r="BBC995" s="13"/>
      <c r="BBD995" s="13"/>
      <c r="BBE995" s="13"/>
      <c r="BBF995" s="13"/>
      <c r="BBG995" s="13"/>
      <c r="BBH995" s="13"/>
      <c r="BBI995" s="13"/>
      <c r="BBJ995" s="13"/>
      <c r="BBK995" s="13"/>
      <c r="BBL995" s="13"/>
      <c r="BBM995" s="13"/>
      <c r="BBN995" s="13"/>
      <c r="BBO995" s="13"/>
      <c r="BBP995" s="13"/>
      <c r="BBQ995" s="13"/>
      <c r="BBR995" s="13"/>
      <c r="BBS995" s="13"/>
      <c r="BBT995" s="13"/>
      <c r="BBU995" s="13"/>
      <c r="BBV995" s="13"/>
      <c r="BBW995" s="13"/>
      <c r="BBX995" s="13"/>
      <c r="BBY995" s="13"/>
      <c r="BBZ995" s="13"/>
      <c r="BCA995" s="13"/>
      <c r="BCB995" s="13"/>
      <c r="BCC995" s="13"/>
      <c r="BCD995" s="13"/>
      <c r="BCE995" s="13"/>
      <c r="BCF995" s="13"/>
      <c r="BCG995" s="13"/>
      <c r="BCH995" s="13"/>
      <c r="BCI995" s="13"/>
      <c r="BCJ995" s="13"/>
      <c r="BCK995" s="13"/>
      <c r="BCL995" s="13"/>
      <c r="BCM995" s="13"/>
      <c r="BCN995" s="13"/>
      <c r="BCO995" s="13"/>
      <c r="BCP995" s="13"/>
      <c r="BCQ995" s="13"/>
      <c r="BCR995" s="13"/>
      <c r="BCS995" s="13"/>
      <c r="BCT995" s="13"/>
      <c r="BCU995" s="13"/>
      <c r="BCV995" s="13"/>
      <c r="BCW995" s="13"/>
      <c r="BCX995" s="13"/>
      <c r="BCY995" s="13"/>
      <c r="BCZ995" s="13"/>
      <c r="BDA995" s="13"/>
      <c r="BDB995" s="13"/>
      <c r="BDC995" s="13"/>
      <c r="BDD995" s="13"/>
      <c r="BDE995" s="13"/>
      <c r="BDF995" s="13"/>
      <c r="BDG995" s="13"/>
      <c r="BDH995" s="13"/>
      <c r="BDI995" s="13"/>
      <c r="BDJ995" s="13"/>
      <c r="BDK995" s="13"/>
      <c r="BDL995" s="13"/>
      <c r="BDM995" s="13"/>
      <c r="BDN995" s="13"/>
      <c r="BDO995" s="13"/>
      <c r="BDP995" s="13"/>
      <c r="BDQ995" s="13"/>
      <c r="BDR995" s="13"/>
      <c r="BDS995" s="13"/>
      <c r="BDT995" s="13"/>
      <c r="BDU995" s="13"/>
      <c r="BDV995" s="13"/>
      <c r="BDW995" s="13"/>
      <c r="BDX995" s="13"/>
      <c r="BDY995" s="13"/>
      <c r="BDZ995" s="13"/>
      <c r="BEA995" s="13"/>
      <c r="BEB995" s="13"/>
      <c r="BEC995" s="13"/>
      <c r="BED995" s="13"/>
      <c r="BEE995" s="13"/>
      <c r="BEF995" s="13"/>
      <c r="BEG995" s="13"/>
      <c r="BEH995" s="13"/>
      <c r="BEI995" s="13"/>
      <c r="BEJ995" s="13"/>
      <c r="BEK995" s="13"/>
      <c r="BEL995" s="13"/>
      <c r="BEM995" s="13"/>
      <c r="BEN995" s="13"/>
      <c r="BEO995" s="13"/>
      <c r="BEP995" s="13"/>
      <c r="BEQ995" s="13"/>
      <c r="BER995" s="13"/>
      <c r="BES995" s="13"/>
      <c r="BET995" s="13"/>
      <c r="BEU995" s="13"/>
      <c r="BEV995" s="13"/>
      <c r="BEW995" s="13"/>
      <c r="BEX995" s="13"/>
      <c r="BEY995" s="13"/>
      <c r="BEZ995" s="13"/>
      <c r="BFA995" s="13"/>
      <c r="BFB995" s="13"/>
      <c r="BFC995" s="13"/>
      <c r="BFD995" s="13"/>
      <c r="BFE995" s="13"/>
      <c r="BFF995" s="13"/>
      <c r="BFG995" s="13"/>
      <c r="BFH995" s="13"/>
      <c r="BFI995" s="13"/>
      <c r="BFJ995" s="13"/>
      <c r="BFK995" s="13"/>
      <c r="BFL995" s="13"/>
      <c r="BFM995" s="13"/>
      <c r="BFN995" s="13"/>
      <c r="BFO995" s="13"/>
      <c r="BFP995" s="13"/>
      <c r="BFQ995" s="13"/>
      <c r="BFR995" s="13"/>
      <c r="BFS995" s="13"/>
      <c r="BFT995" s="13"/>
      <c r="BFU995" s="13"/>
      <c r="BFV995" s="13"/>
      <c r="BFW995" s="13"/>
      <c r="BFX995" s="13"/>
      <c r="BFY995" s="13"/>
      <c r="BFZ995" s="13"/>
      <c r="BGA995" s="13"/>
      <c r="BGB995" s="13"/>
      <c r="BGC995" s="13"/>
      <c r="BGD995" s="13"/>
      <c r="BGE995" s="13"/>
      <c r="BGF995" s="13"/>
      <c r="BGG995" s="13"/>
      <c r="BGH995" s="13"/>
      <c r="BGI995" s="13"/>
      <c r="BGJ995" s="13"/>
      <c r="BGK995" s="13"/>
      <c r="BGL995" s="13"/>
      <c r="BGM995" s="13"/>
      <c r="BGN995" s="13"/>
      <c r="BGO995" s="13"/>
      <c r="BGP995" s="13"/>
      <c r="BGQ995" s="13"/>
      <c r="BGR995" s="13"/>
      <c r="BGS995" s="13"/>
      <c r="BGT995" s="13"/>
      <c r="BGU995" s="13"/>
      <c r="BGV995" s="13"/>
      <c r="BGW995" s="13"/>
      <c r="BGX995" s="13"/>
      <c r="BGY995" s="13"/>
      <c r="BGZ995" s="13"/>
      <c r="BHA995" s="13"/>
      <c r="BHB995" s="13"/>
      <c r="BHC995" s="13"/>
      <c r="BHD995" s="13"/>
      <c r="BHE995" s="13"/>
      <c r="BHF995" s="13"/>
      <c r="BHG995" s="13"/>
      <c r="BHH995" s="13"/>
      <c r="BHI995" s="13"/>
      <c r="BHJ995" s="13"/>
      <c r="BHK995" s="13"/>
      <c r="BHL995" s="13"/>
      <c r="BHM995" s="13"/>
      <c r="BHN995" s="13"/>
      <c r="BHO995" s="13"/>
      <c r="BHP995" s="13"/>
      <c r="BHQ995" s="13"/>
      <c r="BHR995" s="13"/>
      <c r="BHS995" s="13"/>
      <c r="BHT995" s="13"/>
      <c r="BHU995" s="13"/>
      <c r="BHV995" s="13"/>
      <c r="BHW995" s="13"/>
      <c r="BHX995" s="13"/>
      <c r="BHY995" s="13"/>
      <c r="BHZ995" s="13"/>
      <c r="BIA995" s="13"/>
      <c r="BIB995" s="13"/>
      <c r="BIC995" s="13"/>
      <c r="BID995" s="13"/>
      <c r="BIE995" s="13"/>
      <c r="BIF995" s="13"/>
      <c r="BIG995" s="13"/>
      <c r="BIH995" s="13"/>
      <c r="BII995" s="13"/>
      <c r="BIJ995" s="13"/>
      <c r="BIK995" s="13"/>
      <c r="BIL995" s="13"/>
      <c r="BIM995" s="13"/>
      <c r="BIN995" s="13"/>
      <c r="BIO995" s="13"/>
      <c r="BIP995" s="13"/>
      <c r="BIQ995" s="13"/>
      <c r="BIR995" s="13"/>
      <c r="BIS995" s="13"/>
      <c r="BIT995" s="13"/>
      <c r="BIU995" s="13"/>
      <c r="BIV995" s="13"/>
      <c r="BIW995" s="13"/>
      <c r="BIX995" s="13"/>
      <c r="BIY995" s="13"/>
      <c r="BIZ995" s="13"/>
      <c r="BJA995" s="13"/>
      <c r="BJB995" s="13"/>
      <c r="BJC995" s="13"/>
      <c r="BJD995" s="13"/>
      <c r="BJE995" s="13"/>
      <c r="BJF995" s="13"/>
      <c r="BJG995" s="13"/>
      <c r="BJH995" s="13"/>
      <c r="BJI995" s="13"/>
      <c r="BJJ995" s="13"/>
      <c r="BJK995" s="13"/>
      <c r="BJL995" s="13"/>
      <c r="BJM995" s="13"/>
      <c r="BJN995" s="13"/>
      <c r="BJO995" s="13"/>
      <c r="BJP995" s="13"/>
      <c r="BJQ995" s="13"/>
      <c r="BJR995" s="13"/>
      <c r="BJS995" s="13"/>
      <c r="BJT995" s="13"/>
      <c r="BJU995" s="13"/>
      <c r="BJV995" s="13"/>
      <c r="BJW995" s="13"/>
      <c r="BJX995" s="13"/>
      <c r="BJY995" s="13"/>
      <c r="BJZ995" s="13"/>
      <c r="BKA995" s="13"/>
      <c r="BKB995" s="13"/>
      <c r="BKC995" s="13"/>
      <c r="BKD995" s="13"/>
      <c r="BKE995" s="13"/>
      <c r="BKF995" s="13"/>
      <c r="BKG995" s="13"/>
      <c r="BKH995" s="13"/>
      <c r="BKI995" s="13"/>
      <c r="BKJ995" s="13"/>
      <c r="BKK995" s="13"/>
      <c r="BKL995" s="13"/>
      <c r="BKM995" s="13"/>
      <c r="BKN995" s="13"/>
      <c r="BKO995" s="13"/>
      <c r="BKP995" s="13"/>
      <c r="BKQ995" s="13"/>
      <c r="BKR995" s="13"/>
      <c r="BKS995" s="13"/>
      <c r="BKT995" s="13"/>
      <c r="BKU995" s="13"/>
      <c r="BKV995" s="13"/>
      <c r="BKW995" s="13"/>
      <c r="BKX995" s="13"/>
      <c r="BKY995" s="13"/>
      <c r="BKZ995" s="13"/>
      <c r="BLA995" s="13"/>
      <c r="BLB995" s="13"/>
      <c r="BLC995" s="13"/>
      <c r="BLD995" s="13"/>
      <c r="BLE995" s="13"/>
      <c r="BLF995" s="13"/>
      <c r="BLG995" s="13"/>
      <c r="BLH995" s="13"/>
      <c r="BLI995" s="13"/>
      <c r="BLJ995" s="13"/>
      <c r="BLK995" s="13"/>
      <c r="BLL995" s="13"/>
      <c r="BLM995" s="13"/>
      <c r="BLN995" s="13"/>
      <c r="BLO995" s="13"/>
      <c r="BLP995" s="13"/>
      <c r="BLQ995" s="13"/>
      <c r="BLR995" s="13"/>
      <c r="BLS995" s="13"/>
      <c r="BLT995" s="13"/>
      <c r="BLU995" s="13"/>
      <c r="BLV995" s="13"/>
      <c r="BLW995" s="13"/>
      <c r="BLX995" s="13"/>
      <c r="BLY995" s="13"/>
      <c r="BLZ995" s="13"/>
      <c r="BMA995" s="13"/>
      <c r="BMB995" s="13"/>
      <c r="BMC995" s="13"/>
      <c r="BMD995" s="13"/>
      <c r="BME995" s="13"/>
      <c r="BMF995" s="13"/>
      <c r="BMG995" s="13"/>
      <c r="BMH995" s="13"/>
      <c r="BMI995" s="13"/>
      <c r="BMJ995" s="13"/>
      <c r="BMK995" s="13"/>
      <c r="BML995" s="13"/>
      <c r="BMM995" s="13"/>
      <c r="BMN995" s="13"/>
      <c r="BMO995" s="13"/>
      <c r="BMP995" s="13"/>
      <c r="BMQ995" s="13"/>
      <c r="BMR995" s="13"/>
      <c r="BMS995" s="13"/>
      <c r="BMT995" s="13"/>
      <c r="BMU995" s="13"/>
      <c r="BMV995" s="13"/>
      <c r="BMW995" s="13"/>
      <c r="BMX995" s="13"/>
      <c r="BMY995" s="13"/>
      <c r="BMZ995" s="13"/>
      <c r="BNA995" s="13"/>
      <c r="BNB995" s="13"/>
      <c r="BNC995" s="13"/>
      <c r="BND995" s="13"/>
      <c r="BNE995" s="13"/>
      <c r="BNF995" s="13"/>
      <c r="BNG995" s="13"/>
      <c r="BNH995" s="13"/>
      <c r="BNI995" s="13"/>
      <c r="BNJ995" s="13"/>
      <c r="BNK995" s="13"/>
      <c r="BNL995" s="13"/>
      <c r="BNM995" s="13"/>
      <c r="BNN995" s="13"/>
      <c r="BNO995" s="13"/>
      <c r="BNP995" s="13"/>
      <c r="BNQ995" s="13"/>
      <c r="BNR995" s="13"/>
      <c r="BNS995" s="13"/>
      <c r="BNT995" s="13"/>
      <c r="BNU995" s="13"/>
      <c r="BNV995" s="13"/>
      <c r="BNW995" s="13"/>
      <c r="BNX995" s="13"/>
      <c r="BNY995" s="13"/>
      <c r="BNZ995" s="13"/>
      <c r="BOA995" s="13"/>
      <c r="BOB995" s="13"/>
      <c r="BOC995" s="13"/>
      <c r="BOD995" s="13"/>
      <c r="BOE995" s="13"/>
      <c r="BOF995" s="13"/>
      <c r="BOG995" s="13"/>
      <c r="BOH995" s="13"/>
      <c r="BOI995" s="13"/>
      <c r="BOJ995" s="13"/>
      <c r="BOK995" s="13"/>
      <c r="BOL995" s="13"/>
      <c r="BOM995" s="13"/>
      <c r="BON995" s="13"/>
      <c r="BOO995" s="13"/>
      <c r="BOP995" s="13"/>
      <c r="BOQ995" s="13"/>
      <c r="BOR995" s="13"/>
      <c r="BOS995" s="13"/>
      <c r="BOT995" s="13"/>
      <c r="BOU995" s="13"/>
      <c r="BOV995" s="13"/>
      <c r="BOW995" s="13"/>
      <c r="BOX995" s="13"/>
      <c r="BOY995" s="13"/>
      <c r="BOZ995" s="13"/>
      <c r="BPA995" s="13"/>
      <c r="BPB995" s="13"/>
      <c r="BPC995" s="13"/>
      <c r="BPD995" s="13"/>
      <c r="BPE995" s="13"/>
      <c r="BPF995" s="13"/>
      <c r="BPG995" s="13"/>
      <c r="BPH995" s="13"/>
      <c r="BPI995" s="13"/>
      <c r="BPJ995" s="13"/>
      <c r="BPK995" s="13"/>
      <c r="BPL995" s="13"/>
      <c r="BPM995" s="13"/>
      <c r="BPN995" s="13"/>
      <c r="BPO995" s="13"/>
      <c r="BPP995" s="13"/>
      <c r="BPQ995" s="13"/>
      <c r="BPR995" s="13"/>
      <c r="BPS995" s="13"/>
      <c r="BPT995" s="13"/>
      <c r="BPU995" s="13"/>
      <c r="BPV995" s="13"/>
      <c r="BPW995" s="13"/>
      <c r="BPX995" s="13"/>
      <c r="BPY995" s="13"/>
      <c r="BPZ995" s="13"/>
      <c r="BQA995" s="13"/>
      <c r="BQB995" s="13"/>
      <c r="BQC995" s="13"/>
      <c r="BQD995" s="13"/>
      <c r="BQE995" s="13"/>
      <c r="BQF995" s="13"/>
      <c r="BQG995" s="13"/>
      <c r="BQH995" s="13"/>
      <c r="BQI995" s="13"/>
      <c r="BQJ995" s="13"/>
      <c r="BQK995" s="13"/>
      <c r="BQL995" s="13"/>
      <c r="BQM995" s="13"/>
      <c r="BQN995" s="13"/>
      <c r="BQO995" s="13"/>
      <c r="BQP995" s="13"/>
      <c r="BQQ995" s="13"/>
      <c r="BQR995" s="13"/>
      <c r="BQS995" s="13"/>
      <c r="BQT995" s="13"/>
      <c r="BQU995" s="13"/>
      <c r="BQV995" s="13"/>
      <c r="BQW995" s="13"/>
      <c r="BQX995" s="13"/>
      <c r="BQY995" s="13"/>
      <c r="BQZ995" s="13"/>
      <c r="BRA995" s="13"/>
      <c r="BRB995" s="13"/>
      <c r="BRC995" s="13"/>
      <c r="BRD995" s="13"/>
      <c r="BRE995" s="13"/>
      <c r="BRF995" s="13"/>
      <c r="BRG995" s="13"/>
      <c r="BRH995" s="13"/>
      <c r="BRI995" s="13"/>
      <c r="BRJ995" s="13"/>
      <c r="BRK995" s="13"/>
      <c r="BRL995" s="13"/>
      <c r="BRM995" s="13"/>
      <c r="BRN995" s="13"/>
      <c r="BRO995" s="13"/>
      <c r="BRP995" s="13"/>
      <c r="BRQ995" s="13"/>
      <c r="BRR995" s="13"/>
      <c r="BRS995" s="13"/>
      <c r="BRT995" s="13"/>
      <c r="BRU995" s="13"/>
      <c r="BRV995" s="13"/>
      <c r="BRW995" s="13"/>
      <c r="BRX995" s="13"/>
      <c r="BRY995" s="13"/>
      <c r="BRZ995" s="13"/>
      <c r="BSA995" s="13"/>
      <c r="BSB995" s="13"/>
      <c r="BSC995" s="13"/>
      <c r="BSD995" s="13"/>
      <c r="BSE995" s="13"/>
      <c r="BSF995" s="13"/>
      <c r="BSG995" s="13"/>
      <c r="BSH995" s="13"/>
      <c r="BSI995" s="13"/>
      <c r="BSJ995" s="13"/>
      <c r="BSK995" s="13"/>
      <c r="BSL995" s="13"/>
      <c r="BSM995" s="13"/>
      <c r="BSN995" s="13"/>
      <c r="BSO995" s="13"/>
      <c r="BSP995" s="13"/>
      <c r="BSQ995" s="13"/>
      <c r="BSR995" s="13"/>
      <c r="BSS995" s="13"/>
      <c r="BST995" s="13"/>
      <c r="BSU995" s="13"/>
      <c r="BSV995" s="13"/>
      <c r="BSW995" s="13"/>
      <c r="BSX995" s="13"/>
      <c r="BSY995" s="13"/>
      <c r="BSZ995" s="13"/>
      <c r="BTA995" s="13"/>
    </row>
    <row r="996" spans="1:1873" s="13" customFormat="1" ht="12.75" customHeight="1" x14ac:dyDescent="0.2">
      <c r="A996" s="18"/>
      <c r="B996" s="18"/>
      <c r="C996" s="18"/>
      <c r="D996" s="18"/>
      <c r="E996" s="19"/>
      <c r="F996" s="18"/>
      <c r="G996" s="18"/>
      <c r="H996" s="18"/>
      <c r="I996" s="18"/>
      <c r="J996" s="18"/>
      <c r="K996" s="29"/>
      <c r="L996" s="18"/>
      <c r="M996" s="21"/>
      <c r="N996" s="21"/>
      <c r="O996" s="8"/>
      <c r="P996" s="21"/>
      <c r="Q996" s="18"/>
      <c r="R996" s="21"/>
      <c r="S996" s="18"/>
      <c r="T996" s="21"/>
      <c r="U996" s="18"/>
      <c r="V996" s="18"/>
      <c r="W996" s="21"/>
      <c r="X996" s="18"/>
      <c r="Y996" s="18"/>
      <c r="Z996" s="18"/>
      <c r="AA996" s="18"/>
      <c r="AB996" s="21"/>
      <c r="AC996" s="18"/>
      <c r="AD996" s="18"/>
      <c r="AE996" s="18"/>
      <c r="AF996" s="18"/>
      <c r="AG996" s="18"/>
      <c r="AH996" s="18"/>
      <c r="AI996" s="18"/>
      <c r="AJ996" s="18"/>
      <c r="AK996" s="18"/>
      <c r="AL996" s="18"/>
      <c r="AM996" s="18"/>
      <c r="AN996" s="18"/>
      <c r="AO996" s="18"/>
      <c r="AP996" s="18"/>
      <c r="AQ996" s="18"/>
      <c r="AR996" s="18"/>
      <c r="AS996" s="18"/>
      <c r="AT996" s="18"/>
      <c r="AU996" s="18"/>
      <c r="AV996" s="18"/>
      <c r="AW996" s="18"/>
      <c r="AX996" s="18"/>
      <c r="AY996" s="18"/>
      <c r="AZ996" s="18"/>
      <c r="BA996" s="18"/>
      <c r="BB996" s="18"/>
      <c r="BC996" s="18"/>
      <c r="BD996" s="18"/>
      <c r="BE996" s="18"/>
      <c r="BF996" s="18"/>
      <c r="BG996" s="18"/>
      <c r="BH996" s="18"/>
      <c r="BI996" s="18"/>
      <c r="BJ996" s="18"/>
      <c r="BK996" s="18"/>
      <c r="BL996" s="18"/>
      <c r="BM996" s="18"/>
      <c r="BN996" s="18"/>
      <c r="BO996" s="18"/>
      <c r="BP996" s="18"/>
      <c r="BQ996" s="18"/>
      <c r="BR996" s="18"/>
      <c r="BS996" s="30"/>
      <c r="BT996" s="18"/>
      <c r="BU996" s="18"/>
      <c r="BV996" s="18"/>
      <c r="BW996" s="18"/>
      <c r="BX996" s="18"/>
      <c r="BY996" s="18"/>
      <c r="BZ996" s="18"/>
      <c r="CA996" s="73"/>
      <c r="CC996" s="18"/>
      <c r="CD996" s="18"/>
      <c r="CE996" s="342" t="s">
        <v>1576</v>
      </c>
      <c r="CF996" s="342" t="s">
        <v>1575</v>
      </c>
      <c r="CG996" s="18"/>
    </row>
    <row r="997" spans="1:1873" s="23" customFormat="1" x14ac:dyDescent="0.2">
      <c r="A997" s="461" t="s">
        <v>1759</v>
      </c>
      <c r="B997" s="273" t="s">
        <v>1134</v>
      </c>
      <c r="C997" s="273" t="s">
        <v>1136</v>
      </c>
      <c r="D997" s="273" t="s">
        <v>619</v>
      </c>
      <c r="E997" s="462" t="s">
        <v>1504</v>
      </c>
      <c r="F997" s="462">
        <v>1</v>
      </c>
      <c r="G997" s="273">
        <v>2</v>
      </c>
      <c r="H997" s="468">
        <v>2</v>
      </c>
      <c r="I997" s="273" t="s">
        <v>621</v>
      </c>
      <c r="J997" s="273">
        <v>1967</v>
      </c>
      <c r="K997" s="463" t="s">
        <v>842</v>
      </c>
      <c r="L997" s="273">
        <v>1969</v>
      </c>
      <c r="M997" s="471">
        <v>8.6</v>
      </c>
      <c r="N997" s="273">
        <v>-9999</v>
      </c>
      <c r="O997" s="1"/>
      <c r="P997" s="414">
        <f>+T997*G997</f>
        <v>17.2</v>
      </c>
      <c r="Q997" s="273">
        <v>-9999</v>
      </c>
      <c r="R997" s="471"/>
      <c r="S997" s="273"/>
      <c r="T997" s="471">
        <v>8.6</v>
      </c>
      <c r="U997" s="273">
        <v>-9999</v>
      </c>
      <c r="V997" s="273"/>
      <c r="W997" s="471">
        <v>-9999</v>
      </c>
      <c r="X997" s="273">
        <v>-9999</v>
      </c>
      <c r="Y997" s="273"/>
      <c r="Z997" s="273" t="s">
        <v>86</v>
      </c>
      <c r="AA997" s="470">
        <v>111111</v>
      </c>
      <c r="AB997" s="471">
        <v>0.78</v>
      </c>
      <c r="AC997" s="273">
        <v>-9999</v>
      </c>
      <c r="AD997" s="273">
        <v>10.8</v>
      </c>
      <c r="AE997" s="461" t="s">
        <v>1966</v>
      </c>
      <c r="AF997" s="273">
        <v>3</v>
      </c>
      <c r="AG997" s="273" t="s">
        <v>839</v>
      </c>
      <c r="AH997" s="273" t="s">
        <v>623</v>
      </c>
      <c r="AI997" s="273" t="s">
        <v>840</v>
      </c>
      <c r="AJ997" s="273" t="s">
        <v>841</v>
      </c>
      <c r="AK997" s="273" t="s">
        <v>626</v>
      </c>
      <c r="AL997" s="273">
        <v>-9999</v>
      </c>
      <c r="AM997" s="273">
        <v>-9999</v>
      </c>
      <c r="AN997" s="273" t="s">
        <v>631</v>
      </c>
      <c r="AO997" s="273">
        <v>-9999</v>
      </c>
      <c r="AP997" s="273">
        <v>-9999</v>
      </c>
      <c r="AQ997" s="273" t="s">
        <v>779</v>
      </c>
      <c r="AR997" s="273" t="s">
        <v>1188</v>
      </c>
      <c r="AS997" s="273"/>
      <c r="AT997" s="273" t="s">
        <v>828</v>
      </c>
      <c r="AU997" s="273" t="s">
        <v>1188</v>
      </c>
      <c r="AV997" s="273"/>
      <c r="AW997" s="273" t="s">
        <v>828</v>
      </c>
      <c r="AX997" s="273" t="s">
        <v>1188</v>
      </c>
      <c r="AY997" s="273"/>
      <c r="AZ997" s="273" t="s">
        <v>828</v>
      </c>
      <c r="BA997" s="273">
        <v>-9999</v>
      </c>
      <c r="BB997" s="273" t="s">
        <v>626</v>
      </c>
      <c r="BC997" s="273" t="s">
        <v>1146</v>
      </c>
      <c r="BD997" s="273" t="s">
        <v>1147</v>
      </c>
      <c r="BE997" s="273" t="s">
        <v>1148</v>
      </c>
      <c r="BF997" s="273">
        <v>-9999</v>
      </c>
      <c r="BG997" s="273">
        <v>-9999</v>
      </c>
      <c r="BH997" s="273">
        <v>-9999</v>
      </c>
      <c r="BI997" s="273" t="s">
        <v>1150</v>
      </c>
      <c r="BJ997" s="273">
        <v>-9999</v>
      </c>
      <c r="BK997" s="273">
        <v>-9999</v>
      </c>
      <c r="BL997" s="273">
        <v>-9999</v>
      </c>
      <c r="BM997" s="273">
        <v>-9999</v>
      </c>
      <c r="BN997" s="273">
        <v>-9999</v>
      </c>
      <c r="BO997" s="273">
        <v>-9999</v>
      </c>
      <c r="BP997" s="273">
        <v>-9999</v>
      </c>
      <c r="BQ997" s="273">
        <v>-9999</v>
      </c>
      <c r="BR997" s="273">
        <v>-9999</v>
      </c>
      <c r="BS997" s="468">
        <v>-9999</v>
      </c>
      <c r="BT997" s="273">
        <v>-9999</v>
      </c>
      <c r="BU997" s="273">
        <v>-9999</v>
      </c>
      <c r="BV997" s="273">
        <v>-9999</v>
      </c>
      <c r="BW997" s="273"/>
      <c r="BX997" s="273">
        <v>-9999</v>
      </c>
      <c r="BY997" s="273">
        <v>-9999</v>
      </c>
      <c r="BZ997" s="273">
        <v>-9999</v>
      </c>
      <c r="CA997" s="472">
        <v>30</v>
      </c>
      <c r="CB997" s="473" t="s">
        <v>1151</v>
      </c>
      <c r="CC997" s="462">
        <v>1</v>
      </c>
      <c r="CD997" s="273">
        <v>2</v>
      </c>
      <c r="CE997" s="292">
        <v>8.6</v>
      </c>
      <c r="CF997" s="292">
        <v>-9999</v>
      </c>
      <c r="CG997" s="93">
        <v>2</v>
      </c>
    </row>
    <row r="998" spans="1:1873" s="23" customFormat="1" x14ac:dyDescent="0.2">
      <c r="A998" s="273" t="s">
        <v>1759</v>
      </c>
      <c r="B998" s="273" t="s">
        <v>1134</v>
      </c>
      <c r="C998" s="273" t="s">
        <v>1137</v>
      </c>
      <c r="D998" s="273" t="s">
        <v>619</v>
      </c>
      <c r="E998" s="462" t="s">
        <v>1504</v>
      </c>
      <c r="F998" s="462">
        <v>2</v>
      </c>
      <c r="G998" s="273">
        <v>2</v>
      </c>
      <c r="H998" s="468">
        <v>4</v>
      </c>
      <c r="I998" s="273" t="s">
        <v>621</v>
      </c>
      <c r="J998" s="273">
        <v>1967</v>
      </c>
      <c r="K998" s="463" t="s">
        <v>842</v>
      </c>
      <c r="L998" s="273">
        <v>1971</v>
      </c>
      <c r="M998" s="471">
        <v>8.4</v>
      </c>
      <c r="N998" s="273">
        <v>-9999</v>
      </c>
      <c r="O998" s="1"/>
      <c r="P998" s="414">
        <f>+(T998*G998)+P997</f>
        <v>34</v>
      </c>
      <c r="Q998" s="273">
        <v>-9999</v>
      </c>
      <c r="R998" s="471"/>
      <c r="S998" s="273"/>
      <c r="T998" s="471">
        <v>8.4</v>
      </c>
      <c r="U998" s="273">
        <v>-9999</v>
      </c>
      <c r="V998" s="273"/>
      <c r="W998" s="471">
        <v>-9999</v>
      </c>
      <c r="X998" s="273">
        <v>-9999</v>
      </c>
      <c r="Y998" s="273"/>
      <c r="Z998" s="273" t="s">
        <v>86</v>
      </c>
      <c r="AA998" s="470">
        <v>111111</v>
      </c>
      <c r="AB998" s="471">
        <v>0.47</v>
      </c>
      <c r="AC998" s="273">
        <v>-9999</v>
      </c>
      <c r="AD998" s="273">
        <v>10.8</v>
      </c>
      <c r="AE998" s="461" t="s">
        <v>1966</v>
      </c>
      <c r="AF998" s="273">
        <v>3</v>
      </c>
      <c r="AG998" s="273" t="s">
        <v>839</v>
      </c>
      <c r="AH998" s="273" t="s">
        <v>623</v>
      </c>
      <c r="AI998" s="273" t="s">
        <v>840</v>
      </c>
      <c r="AJ998" s="273" t="s">
        <v>841</v>
      </c>
      <c r="AK998" s="273" t="s">
        <v>626</v>
      </c>
      <c r="AL998" s="273">
        <v>-9999</v>
      </c>
      <c r="AM998" s="273">
        <v>-9999</v>
      </c>
      <c r="AN998" s="273" t="s">
        <v>631</v>
      </c>
      <c r="AO998" s="273">
        <v>-9999</v>
      </c>
      <c r="AP998" s="273">
        <v>-9999</v>
      </c>
      <c r="AQ998" s="273" t="s">
        <v>779</v>
      </c>
      <c r="AR998" s="273" t="s">
        <v>1188</v>
      </c>
      <c r="AS998" s="273"/>
      <c r="AT998" s="273" t="s">
        <v>828</v>
      </c>
      <c r="AU998" s="273" t="s">
        <v>1188</v>
      </c>
      <c r="AV998" s="273"/>
      <c r="AW998" s="273" t="s">
        <v>828</v>
      </c>
      <c r="AX998" s="273" t="s">
        <v>1188</v>
      </c>
      <c r="AY998" s="273"/>
      <c r="AZ998" s="273" t="s">
        <v>828</v>
      </c>
      <c r="BA998" s="273">
        <v>-9999</v>
      </c>
      <c r="BB998" s="273" t="s">
        <v>626</v>
      </c>
      <c r="BC998" s="273" t="s">
        <v>1146</v>
      </c>
      <c r="BD998" s="273" t="s">
        <v>1147</v>
      </c>
      <c r="BE998" s="273" t="s">
        <v>1148</v>
      </c>
      <c r="BF998" s="273">
        <v>-9999</v>
      </c>
      <c r="BG998" s="273">
        <v>-9999</v>
      </c>
      <c r="BH998" s="273">
        <v>-9999</v>
      </c>
      <c r="BI998" s="273" t="s">
        <v>1150</v>
      </c>
      <c r="BJ998" s="273">
        <v>-9999</v>
      </c>
      <c r="BK998" s="273">
        <v>-9999</v>
      </c>
      <c r="BL998" s="273">
        <v>-9999</v>
      </c>
      <c r="BM998" s="273">
        <v>-9999</v>
      </c>
      <c r="BN998" s="273">
        <v>-9999</v>
      </c>
      <c r="BO998" s="273">
        <v>-9999</v>
      </c>
      <c r="BP998" s="273">
        <v>-9999</v>
      </c>
      <c r="BQ998" s="273">
        <v>-9999</v>
      </c>
      <c r="BR998" s="273">
        <v>-9999</v>
      </c>
      <c r="BS998" s="468">
        <v>-9999</v>
      </c>
      <c r="BT998" s="273">
        <v>-9999</v>
      </c>
      <c r="BU998" s="273">
        <v>-9999</v>
      </c>
      <c r="BV998" s="273">
        <v>-9999</v>
      </c>
      <c r="BW998" s="273"/>
      <c r="BX998" s="273">
        <v>-9999</v>
      </c>
      <c r="BY998" s="273">
        <v>-9999</v>
      </c>
      <c r="BZ998" s="273">
        <v>-9999</v>
      </c>
      <c r="CA998" s="472">
        <v>15</v>
      </c>
      <c r="CB998" s="473" t="s">
        <v>1151</v>
      </c>
      <c r="CC998" s="462">
        <v>2</v>
      </c>
      <c r="CD998" s="273">
        <v>2</v>
      </c>
      <c r="CE998" s="292">
        <v>8.4</v>
      </c>
      <c r="CF998" s="292">
        <v>-9999</v>
      </c>
      <c r="CG998" s="93">
        <v>4</v>
      </c>
    </row>
    <row r="999" spans="1:1873" s="207" customFormat="1" x14ac:dyDescent="0.2">
      <c r="A999" s="461" t="s">
        <v>2036</v>
      </c>
      <c r="B999" s="273" t="s">
        <v>1134</v>
      </c>
      <c r="C999" s="273" t="s">
        <v>1141</v>
      </c>
      <c r="D999" s="273" t="s">
        <v>619</v>
      </c>
      <c r="E999" s="462" t="s">
        <v>1504</v>
      </c>
      <c r="F999" s="462">
        <v>3</v>
      </c>
      <c r="G999" s="273">
        <v>4</v>
      </c>
      <c r="H999" s="468">
        <v>8</v>
      </c>
      <c r="I999" s="273" t="s">
        <v>621</v>
      </c>
      <c r="J999" s="273">
        <v>1967</v>
      </c>
      <c r="K999" s="463" t="s">
        <v>842</v>
      </c>
      <c r="L999" s="273">
        <v>1975</v>
      </c>
      <c r="M999" s="471">
        <v>10.4</v>
      </c>
      <c r="N999" s="273">
        <v>-9999</v>
      </c>
      <c r="O999" s="1"/>
      <c r="P999" s="414">
        <f>+(T999*G999)+P998</f>
        <v>75.599999999999994</v>
      </c>
      <c r="Q999" s="273">
        <v>-9999</v>
      </c>
      <c r="R999" s="471"/>
      <c r="S999" s="273"/>
      <c r="T999" s="471">
        <v>10.4</v>
      </c>
      <c r="U999" s="273">
        <v>-9999</v>
      </c>
      <c r="V999" s="273"/>
      <c r="W999" s="471">
        <v>-9999</v>
      </c>
      <c r="X999" s="273">
        <v>-9999</v>
      </c>
      <c r="Y999" s="273"/>
      <c r="Z999" s="273" t="s">
        <v>86</v>
      </c>
      <c r="AA999" s="470">
        <v>111111</v>
      </c>
      <c r="AB999" s="471">
        <v>0.47</v>
      </c>
      <c r="AC999" s="273">
        <v>-9999</v>
      </c>
      <c r="AD999" s="273">
        <v>10.8</v>
      </c>
      <c r="AE999" s="461" t="s">
        <v>1966</v>
      </c>
      <c r="AF999" s="273">
        <v>3</v>
      </c>
      <c r="AG999" s="273" t="s">
        <v>839</v>
      </c>
      <c r="AH999" s="273" t="s">
        <v>623</v>
      </c>
      <c r="AI999" s="273" t="s">
        <v>840</v>
      </c>
      <c r="AJ999" s="273" t="s">
        <v>841</v>
      </c>
      <c r="AK999" s="273" t="s">
        <v>626</v>
      </c>
      <c r="AL999" s="273">
        <v>-9999</v>
      </c>
      <c r="AM999" s="273">
        <v>-9999</v>
      </c>
      <c r="AN999" s="273" t="s">
        <v>631</v>
      </c>
      <c r="AO999" s="273">
        <v>-9999</v>
      </c>
      <c r="AP999" s="273">
        <v>-9999</v>
      </c>
      <c r="AQ999" s="273" t="s">
        <v>779</v>
      </c>
      <c r="AR999" s="273" t="s">
        <v>1188</v>
      </c>
      <c r="AS999" s="273"/>
      <c r="AT999" s="273" t="s">
        <v>828</v>
      </c>
      <c r="AU999" s="273" t="s">
        <v>1188</v>
      </c>
      <c r="AV999" s="273"/>
      <c r="AW999" s="273" t="s">
        <v>828</v>
      </c>
      <c r="AX999" s="273" t="s">
        <v>1188</v>
      </c>
      <c r="AY999" s="273"/>
      <c r="AZ999" s="273" t="s">
        <v>828</v>
      </c>
      <c r="BA999" s="273">
        <v>-9999</v>
      </c>
      <c r="BB999" s="273" t="s">
        <v>626</v>
      </c>
      <c r="BC999" s="273" t="s">
        <v>1146</v>
      </c>
      <c r="BD999" s="273" t="s">
        <v>1147</v>
      </c>
      <c r="BE999" s="273" t="s">
        <v>1148</v>
      </c>
      <c r="BF999" s="273">
        <v>-9999</v>
      </c>
      <c r="BG999" s="273">
        <v>-9999</v>
      </c>
      <c r="BH999" s="273">
        <v>-9999</v>
      </c>
      <c r="BI999" s="273" t="s">
        <v>1150</v>
      </c>
      <c r="BJ999" s="273">
        <v>-9999</v>
      </c>
      <c r="BK999" s="273">
        <v>-9999</v>
      </c>
      <c r="BL999" s="273">
        <v>-9999</v>
      </c>
      <c r="BM999" s="273">
        <v>-9999</v>
      </c>
      <c r="BN999" s="273">
        <v>-9999</v>
      </c>
      <c r="BO999" s="273">
        <v>-9999</v>
      </c>
      <c r="BP999" s="273">
        <v>-9999</v>
      </c>
      <c r="BQ999" s="273">
        <v>-9999</v>
      </c>
      <c r="BR999" s="273">
        <v>-9999</v>
      </c>
      <c r="BS999" s="468">
        <v>-9999</v>
      </c>
      <c r="BT999" s="273">
        <v>-9999</v>
      </c>
      <c r="BU999" s="273">
        <v>-9999</v>
      </c>
      <c r="BV999" s="273">
        <v>-9999</v>
      </c>
      <c r="BW999" s="273"/>
      <c r="BX999" s="273">
        <v>-9999</v>
      </c>
      <c r="BY999" s="273">
        <v>-9999</v>
      </c>
      <c r="BZ999" s="273">
        <v>-9999</v>
      </c>
      <c r="CA999" s="472">
        <v>15</v>
      </c>
      <c r="CB999" s="473" t="s">
        <v>1151</v>
      </c>
      <c r="CC999" s="462">
        <v>3</v>
      </c>
      <c r="CD999" s="273">
        <v>4</v>
      </c>
      <c r="CE999" s="292">
        <v>10.4</v>
      </c>
      <c r="CF999" s="292">
        <v>-9999</v>
      </c>
      <c r="CG999" s="206">
        <v>8</v>
      </c>
      <c r="CH999" s="301" t="s">
        <v>1757</v>
      </c>
      <c r="CI999" s="23"/>
      <c r="CJ999" s="23"/>
      <c r="CK999" s="23"/>
      <c r="CL999" s="23"/>
      <c r="CM999" s="23"/>
      <c r="CN999" s="23"/>
      <c r="CO999" s="23"/>
      <c r="CP999" s="23"/>
      <c r="CQ999" s="23"/>
      <c r="CR999" s="23"/>
      <c r="CS999" s="23"/>
      <c r="CT999" s="23"/>
      <c r="CU999" s="23"/>
      <c r="CV999" s="23"/>
      <c r="CW999" s="23"/>
      <c r="CX999" s="23"/>
      <c r="CY999" s="23"/>
      <c r="CZ999" s="23"/>
      <c r="DA999" s="23"/>
      <c r="DB999" s="23"/>
      <c r="DC999" s="23"/>
      <c r="DD999" s="23"/>
      <c r="DE999" s="23"/>
      <c r="DF999" s="23"/>
      <c r="DG999" s="23"/>
      <c r="DH999" s="23"/>
      <c r="DI999" s="23"/>
      <c r="DJ999" s="23"/>
      <c r="DK999" s="23"/>
      <c r="DL999" s="23"/>
      <c r="DM999" s="23"/>
      <c r="DN999" s="23"/>
      <c r="DO999" s="23"/>
      <c r="DP999" s="23"/>
      <c r="DQ999" s="23"/>
      <c r="DR999" s="23"/>
      <c r="DS999" s="23"/>
      <c r="DT999" s="23"/>
      <c r="DU999" s="23"/>
      <c r="DV999" s="23"/>
      <c r="DW999" s="23"/>
      <c r="DX999" s="23"/>
      <c r="DY999" s="23"/>
      <c r="DZ999" s="23"/>
      <c r="EA999" s="23"/>
      <c r="EB999" s="23"/>
      <c r="EC999" s="23"/>
      <c r="ED999" s="23"/>
      <c r="EE999" s="23"/>
      <c r="EF999" s="23"/>
      <c r="EG999" s="23"/>
      <c r="EH999" s="23"/>
      <c r="EI999" s="23"/>
      <c r="EJ999" s="23"/>
      <c r="EK999" s="23"/>
      <c r="EL999" s="23"/>
      <c r="EM999" s="23"/>
      <c r="EN999" s="23"/>
      <c r="EO999" s="23"/>
      <c r="EP999" s="23"/>
      <c r="EQ999" s="23"/>
      <c r="ER999" s="23"/>
      <c r="ES999" s="23"/>
      <c r="ET999" s="23"/>
      <c r="EU999" s="23"/>
      <c r="EV999" s="23"/>
      <c r="EW999" s="23"/>
      <c r="EX999" s="23"/>
      <c r="EY999" s="23"/>
      <c r="EZ999" s="23"/>
      <c r="FA999" s="23"/>
      <c r="FB999" s="23"/>
      <c r="FC999" s="23"/>
      <c r="FD999" s="23"/>
      <c r="FE999" s="23"/>
      <c r="FF999" s="23"/>
      <c r="FG999" s="23"/>
      <c r="FH999" s="23"/>
      <c r="FI999" s="23"/>
      <c r="FJ999" s="23"/>
      <c r="FK999" s="23"/>
      <c r="FL999" s="23"/>
      <c r="FM999" s="23"/>
      <c r="FN999" s="23"/>
      <c r="FO999" s="23"/>
      <c r="FP999" s="23"/>
      <c r="FQ999" s="23"/>
      <c r="FR999" s="23"/>
      <c r="FS999" s="23"/>
      <c r="FT999" s="23"/>
      <c r="FU999" s="23"/>
      <c r="FV999" s="23"/>
      <c r="FW999" s="23"/>
      <c r="FX999" s="23"/>
      <c r="FY999" s="23"/>
      <c r="FZ999" s="23"/>
      <c r="GA999" s="23"/>
      <c r="GB999" s="23"/>
      <c r="GC999" s="23"/>
      <c r="GD999" s="23"/>
      <c r="GE999" s="23"/>
      <c r="GF999" s="23"/>
      <c r="GG999" s="23"/>
      <c r="GH999" s="23"/>
      <c r="GI999" s="23"/>
      <c r="GJ999" s="23"/>
      <c r="GK999" s="23"/>
      <c r="GL999" s="23"/>
      <c r="GM999" s="23"/>
      <c r="GN999" s="23"/>
      <c r="GO999" s="23"/>
      <c r="GP999" s="23"/>
      <c r="GQ999" s="23"/>
      <c r="GR999" s="23"/>
      <c r="GS999" s="23"/>
      <c r="GT999" s="23"/>
      <c r="GU999" s="23"/>
      <c r="GV999" s="23"/>
      <c r="GW999" s="23"/>
      <c r="GX999" s="23"/>
      <c r="GY999" s="23"/>
      <c r="GZ999" s="23"/>
      <c r="HA999" s="23"/>
      <c r="HB999" s="23"/>
      <c r="HC999" s="23"/>
      <c r="HD999" s="23"/>
      <c r="HE999" s="23"/>
      <c r="HF999" s="23"/>
      <c r="HG999" s="23"/>
      <c r="HH999" s="23"/>
      <c r="HI999" s="23"/>
      <c r="HJ999" s="23"/>
      <c r="HK999" s="23"/>
      <c r="HL999" s="23"/>
      <c r="HM999" s="23"/>
      <c r="HN999" s="23"/>
      <c r="HO999" s="23"/>
      <c r="HP999" s="23"/>
      <c r="HQ999" s="23"/>
      <c r="HR999" s="23"/>
      <c r="HS999" s="23"/>
      <c r="HT999" s="23"/>
      <c r="HU999" s="23"/>
      <c r="HV999" s="23"/>
      <c r="HW999" s="23"/>
      <c r="HX999" s="23"/>
      <c r="HY999" s="23"/>
      <c r="HZ999" s="23"/>
      <c r="IA999" s="23"/>
      <c r="IB999" s="23"/>
      <c r="IC999" s="23"/>
      <c r="ID999" s="23"/>
      <c r="IE999" s="23"/>
      <c r="IF999" s="23"/>
      <c r="IG999" s="23"/>
      <c r="IH999" s="23"/>
      <c r="II999" s="23"/>
      <c r="IJ999" s="23"/>
      <c r="IK999" s="23"/>
      <c r="IL999" s="23"/>
      <c r="IM999" s="23"/>
      <c r="IN999" s="23"/>
      <c r="IO999" s="23"/>
      <c r="IP999" s="23"/>
      <c r="IQ999" s="23"/>
      <c r="IR999" s="23"/>
      <c r="IS999" s="23"/>
      <c r="IT999" s="23"/>
      <c r="IU999" s="23"/>
      <c r="IV999" s="23"/>
      <c r="IW999" s="23"/>
      <c r="IX999" s="23"/>
      <c r="IY999" s="23"/>
      <c r="IZ999" s="23"/>
      <c r="JA999" s="23"/>
      <c r="JB999" s="23"/>
      <c r="JC999" s="23"/>
      <c r="JD999" s="23"/>
      <c r="JE999" s="23"/>
      <c r="JF999" s="23"/>
      <c r="JG999" s="23"/>
      <c r="JH999" s="23"/>
      <c r="JI999" s="23"/>
      <c r="JJ999" s="23"/>
      <c r="JK999" s="23"/>
      <c r="JL999" s="23"/>
      <c r="JM999" s="23"/>
      <c r="JN999" s="23"/>
      <c r="JO999" s="23"/>
      <c r="JP999" s="23"/>
      <c r="JQ999" s="23"/>
      <c r="JR999" s="23"/>
      <c r="JS999" s="23"/>
      <c r="JT999" s="23"/>
      <c r="JU999" s="23"/>
      <c r="JV999" s="23"/>
      <c r="JW999" s="23"/>
      <c r="JX999" s="23"/>
      <c r="JY999" s="23"/>
      <c r="JZ999" s="23"/>
      <c r="KA999" s="23"/>
      <c r="KB999" s="23"/>
      <c r="KC999" s="23"/>
      <c r="KD999" s="23"/>
      <c r="KE999" s="23"/>
      <c r="KF999" s="23"/>
      <c r="KG999" s="23"/>
      <c r="KH999" s="23"/>
      <c r="KI999" s="23"/>
      <c r="KJ999" s="23"/>
      <c r="KK999" s="23"/>
      <c r="KL999" s="23"/>
      <c r="KM999" s="23"/>
      <c r="KN999" s="23"/>
      <c r="KO999" s="23"/>
      <c r="KP999" s="23"/>
      <c r="KQ999" s="23"/>
      <c r="KR999" s="23"/>
      <c r="KS999" s="23"/>
      <c r="KT999" s="23"/>
      <c r="KU999" s="23"/>
      <c r="KV999" s="23"/>
      <c r="KW999" s="23"/>
      <c r="KX999" s="23"/>
      <c r="KY999" s="23"/>
      <c r="KZ999" s="23"/>
      <c r="LA999" s="23"/>
      <c r="LB999" s="23"/>
      <c r="LC999" s="23"/>
      <c r="LD999" s="23"/>
      <c r="LE999" s="23"/>
      <c r="LF999" s="23"/>
      <c r="LG999" s="23"/>
      <c r="LH999" s="23"/>
      <c r="LI999" s="23"/>
      <c r="LJ999" s="23"/>
      <c r="LK999" s="23"/>
      <c r="LL999" s="23"/>
      <c r="LM999" s="23"/>
      <c r="LN999" s="23"/>
      <c r="LO999" s="23"/>
      <c r="LP999" s="23"/>
      <c r="LQ999" s="23"/>
      <c r="LR999" s="23"/>
      <c r="LS999" s="23"/>
      <c r="LT999" s="23"/>
      <c r="LU999" s="23"/>
      <c r="LV999" s="23"/>
      <c r="LW999" s="23"/>
      <c r="LX999" s="23"/>
      <c r="LY999" s="23"/>
      <c r="LZ999" s="23"/>
      <c r="MA999" s="23"/>
      <c r="MB999" s="23"/>
      <c r="MC999" s="23"/>
      <c r="MD999" s="23"/>
      <c r="ME999" s="23"/>
      <c r="MF999" s="23"/>
      <c r="MG999" s="23"/>
      <c r="MH999" s="23"/>
      <c r="MI999" s="23"/>
      <c r="MJ999" s="23"/>
      <c r="MK999" s="23"/>
      <c r="ML999" s="23"/>
      <c r="MM999" s="23"/>
      <c r="MN999" s="23"/>
      <c r="MO999" s="23"/>
      <c r="MP999" s="23"/>
      <c r="MQ999" s="23"/>
      <c r="MR999" s="23"/>
      <c r="MS999" s="23"/>
      <c r="MT999" s="23"/>
      <c r="MU999" s="23"/>
      <c r="MV999" s="23"/>
      <c r="MW999" s="23"/>
      <c r="MX999" s="23"/>
      <c r="MY999" s="23"/>
      <c r="MZ999" s="23"/>
      <c r="NA999" s="23"/>
      <c r="NB999" s="23"/>
      <c r="NC999" s="23"/>
      <c r="ND999" s="23"/>
      <c r="NE999" s="23"/>
      <c r="NF999" s="23"/>
      <c r="NG999" s="23"/>
      <c r="NH999" s="23"/>
      <c r="NI999" s="23"/>
      <c r="NJ999" s="23"/>
      <c r="NK999" s="23"/>
      <c r="NL999" s="23"/>
      <c r="NM999" s="23"/>
      <c r="NN999" s="23"/>
      <c r="NO999" s="23"/>
      <c r="NP999" s="23"/>
      <c r="NQ999" s="23"/>
      <c r="NR999" s="23"/>
      <c r="NS999" s="23"/>
      <c r="NT999" s="23"/>
      <c r="NU999" s="23"/>
      <c r="NV999" s="23"/>
      <c r="NW999" s="23"/>
      <c r="NX999" s="23"/>
      <c r="NY999" s="23"/>
      <c r="NZ999" s="23"/>
      <c r="OA999" s="23"/>
      <c r="OB999" s="23"/>
      <c r="OC999" s="23"/>
      <c r="OD999" s="23"/>
      <c r="OE999" s="23"/>
      <c r="OF999" s="23"/>
      <c r="OG999" s="23"/>
      <c r="OH999" s="23"/>
      <c r="OI999" s="23"/>
      <c r="OJ999" s="23"/>
      <c r="OK999" s="23"/>
      <c r="OL999" s="23"/>
      <c r="OM999" s="23"/>
      <c r="ON999" s="23"/>
      <c r="OO999" s="23"/>
      <c r="OP999" s="23"/>
      <c r="OQ999" s="23"/>
      <c r="OR999" s="23"/>
      <c r="OS999" s="23"/>
      <c r="OT999" s="23"/>
      <c r="OU999" s="23"/>
      <c r="OV999" s="23"/>
      <c r="OW999" s="23"/>
      <c r="OX999" s="23"/>
      <c r="OY999" s="23"/>
      <c r="OZ999" s="23"/>
      <c r="PA999" s="23"/>
      <c r="PB999" s="23"/>
      <c r="PC999" s="23"/>
      <c r="PD999" s="23"/>
      <c r="PE999" s="23"/>
      <c r="PF999" s="23"/>
      <c r="PG999" s="23"/>
      <c r="PH999" s="23"/>
      <c r="PI999" s="23"/>
      <c r="PJ999" s="23"/>
      <c r="PK999" s="23"/>
      <c r="PL999" s="23"/>
      <c r="PM999" s="23"/>
      <c r="PN999" s="23"/>
      <c r="PO999" s="23"/>
      <c r="PP999" s="23"/>
      <c r="PQ999" s="23"/>
      <c r="PR999" s="23"/>
      <c r="PS999" s="23"/>
      <c r="PT999" s="23"/>
      <c r="PU999" s="23"/>
      <c r="PV999" s="23"/>
      <c r="PW999" s="23"/>
      <c r="PX999" s="23"/>
      <c r="PY999" s="23"/>
      <c r="PZ999" s="23"/>
      <c r="QA999" s="23"/>
      <c r="QB999" s="23"/>
      <c r="QC999" s="23"/>
      <c r="QD999" s="23"/>
      <c r="QE999" s="23"/>
      <c r="QF999" s="23"/>
      <c r="QG999" s="23"/>
      <c r="QH999" s="23"/>
      <c r="QI999" s="23"/>
      <c r="QJ999" s="23"/>
      <c r="QK999" s="23"/>
      <c r="QL999" s="23"/>
      <c r="QM999" s="23"/>
      <c r="QN999" s="23"/>
      <c r="QO999" s="23"/>
      <c r="QP999" s="23"/>
      <c r="QQ999" s="23"/>
      <c r="QR999" s="23"/>
      <c r="QS999" s="23"/>
      <c r="QT999" s="23"/>
      <c r="QU999" s="23"/>
      <c r="QV999" s="23"/>
      <c r="QW999" s="23"/>
      <c r="QX999" s="23"/>
      <c r="QY999" s="23"/>
      <c r="QZ999" s="23"/>
      <c r="RA999" s="23"/>
      <c r="RB999" s="23"/>
      <c r="RC999" s="23"/>
      <c r="RD999" s="23"/>
      <c r="RE999" s="23"/>
      <c r="RF999" s="23"/>
      <c r="RG999" s="23"/>
      <c r="RH999" s="23"/>
      <c r="RI999" s="23"/>
      <c r="RJ999" s="23"/>
      <c r="RK999" s="23"/>
      <c r="RL999" s="23"/>
      <c r="RM999" s="23"/>
      <c r="RN999" s="23"/>
      <c r="RO999" s="23"/>
      <c r="RP999" s="23"/>
      <c r="RQ999" s="23"/>
      <c r="RR999" s="23"/>
      <c r="RS999" s="23"/>
      <c r="RT999" s="23"/>
      <c r="RU999" s="23"/>
      <c r="RV999" s="23"/>
      <c r="RW999" s="23"/>
      <c r="RX999" s="23"/>
      <c r="RY999" s="23"/>
      <c r="RZ999" s="23"/>
      <c r="SA999" s="23"/>
      <c r="SB999" s="23"/>
      <c r="SC999" s="23"/>
      <c r="SD999" s="23"/>
      <c r="SE999" s="23"/>
      <c r="SF999" s="23"/>
      <c r="SG999" s="23"/>
      <c r="SH999" s="23"/>
      <c r="SI999" s="23"/>
      <c r="SJ999" s="23"/>
      <c r="SK999" s="23"/>
      <c r="SL999" s="23"/>
      <c r="SM999" s="23"/>
      <c r="SN999" s="23"/>
      <c r="SO999" s="23"/>
      <c r="SP999" s="23"/>
      <c r="SQ999" s="23"/>
      <c r="SR999" s="23"/>
      <c r="SS999" s="23"/>
      <c r="ST999" s="23"/>
      <c r="SU999" s="23"/>
      <c r="SV999" s="23"/>
      <c r="SW999" s="23"/>
      <c r="SX999" s="23"/>
      <c r="SY999" s="23"/>
      <c r="SZ999" s="23"/>
      <c r="TA999" s="23"/>
      <c r="TB999" s="23"/>
      <c r="TC999" s="23"/>
      <c r="TD999" s="23"/>
      <c r="TE999" s="23"/>
      <c r="TF999" s="23"/>
      <c r="TG999" s="23"/>
      <c r="TH999" s="23"/>
      <c r="TI999" s="23"/>
      <c r="TJ999" s="23"/>
      <c r="TK999" s="23"/>
      <c r="TL999" s="23"/>
      <c r="TM999" s="23"/>
      <c r="TN999" s="23"/>
      <c r="TO999" s="23"/>
      <c r="TP999" s="23"/>
      <c r="TQ999" s="23"/>
      <c r="TR999" s="23"/>
      <c r="TS999" s="23"/>
      <c r="TT999" s="23"/>
      <c r="TU999" s="23"/>
      <c r="TV999" s="23"/>
      <c r="TW999" s="23"/>
      <c r="TX999" s="23"/>
      <c r="TY999" s="23"/>
      <c r="TZ999" s="23"/>
      <c r="UA999" s="23"/>
      <c r="UB999" s="23"/>
      <c r="UC999" s="23"/>
      <c r="UD999" s="23"/>
      <c r="UE999" s="23"/>
      <c r="UF999" s="23"/>
      <c r="UG999" s="23"/>
      <c r="UH999" s="23"/>
      <c r="UI999" s="23"/>
      <c r="UJ999" s="23"/>
      <c r="UK999" s="23"/>
      <c r="UL999" s="23"/>
      <c r="UM999" s="23"/>
      <c r="UN999" s="23"/>
      <c r="UO999" s="23"/>
      <c r="UP999" s="23"/>
      <c r="UQ999" s="23"/>
      <c r="UR999" s="23"/>
      <c r="US999" s="23"/>
      <c r="UT999" s="23"/>
      <c r="UU999" s="23"/>
      <c r="UV999" s="23"/>
      <c r="UW999" s="23"/>
      <c r="UX999" s="23"/>
      <c r="UY999" s="23"/>
      <c r="UZ999" s="23"/>
      <c r="VA999" s="23"/>
      <c r="VB999" s="23"/>
      <c r="VC999" s="23"/>
      <c r="VD999" s="23"/>
      <c r="VE999" s="23"/>
      <c r="VF999" s="23"/>
      <c r="VG999" s="23"/>
      <c r="VH999" s="23"/>
      <c r="VI999" s="23"/>
      <c r="VJ999" s="23"/>
      <c r="VK999" s="23"/>
      <c r="VL999" s="23"/>
      <c r="VM999" s="23"/>
      <c r="VN999" s="23"/>
      <c r="VO999" s="23"/>
      <c r="VP999" s="23"/>
      <c r="VQ999" s="23"/>
      <c r="VR999" s="23"/>
      <c r="VS999" s="23"/>
      <c r="VT999" s="23"/>
      <c r="VU999" s="23"/>
      <c r="VV999" s="23"/>
      <c r="VW999" s="23"/>
      <c r="VX999" s="23"/>
      <c r="VY999" s="23"/>
      <c r="VZ999" s="23"/>
      <c r="WA999" s="23"/>
      <c r="WB999" s="23"/>
      <c r="WC999" s="23"/>
      <c r="WD999" s="23"/>
      <c r="WE999" s="23"/>
      <c r="WF999" s="23"/>
      <c r="WG999" s="23"/>
      <c r="WH999" s="23"/>
      <c r="WI999" s="23"/>
      <c r="WJ999" s="23"/>
      <c r="WK999" s="23"/>
      <c r="WL999" s="23"/>
      <c r="WM999" s="23"/>
      <c r="WN999" s="23"/>
      <c r="WO999" s="23"/>
      <c r="WP999" s="23"/>
      <c r="WQ999" s="23"/>
      <c r="WR999" s="23"/>
      <c r="WS999" s="23"/>
      <c r="WT999" s="23"/>
      <c r="WU999" s="23"/>
      <c r="WV999" s="23"/>
      <c r="WW999" s="23"/>
      <c r="WX999" s="23"/>
      <c r="WY999" s="23"/>
      <c r="WZ999" s="23"/>
      <c r="XA999" s="23"/>
      <c r="XB999" s="23"/>
      <c r="XC999" s="23"/>
      <c r="XD999" s="23"/>
      <c r="XE999" s="23"/>
      <c r="XF999" s="23"/>
      <c r="XG999" s="23"/>
      <c r="XH999" s="23"/>
      <c r="XI999" s="23"/>
      <c r="XJ999" s="23"/>
      <c r="XK999" s="23"/>
      <c r="XL999" s="23"/>
      <c r="XM999" s="23"/>
      <c r="XN999" s="23"/>
      <c r="XO999" s="23"/>
      <c r="XP999" s="23"/>
      <c r="XQ999" s="23"/>
      <c r="XR999" s="23"/>
      <c r="XS999" s="23"/>
      <c r="XT999" s="23"/>
      <c r="XU999" s="23"/>
      <c r="XV999" s="23"/>
      <c r="XW999" s="23"/>
      <c r="XX999" s="23"/>
      <c r="XY999" s="23"/>
      <c r="XZ999" s="23"/>
      <c r="YA999" s="23"/>
      <c r="YB999" s="23"/>
      <c r="YC999" s="23"/>
      <c r="YD999" s="23"/>
      <c r="YE999" s="23"/>
      <c r="YF999" s="23"/>
      <c r="YG999" s="23"/>
      <c r="YH999" s="23"/>
      <c r="YI999" s="23"/>
      <c r="YJ999" s="23"/>
      <c r="YK999" s="23"/>
      <c r="YL999" s="23"/>
      <c r="YM999" s="23"/>
      <c r="YN999" s="23"/>
      <c r="YO999" s="23"/>
      <c r="YP999" s="23"/>
      <c r="YQ999" s="23"/>
      <c r="YR999" s="23"/>
      <c r="YS999" s="23"/>
      <c r="YT999" s="23"/>
      <c r="YU999" s="23"/>
      <c r="YV999" s="23"/>
      <c r="YW999" s="23"/>
      <c r="YX999" s="23"/>
      <c r="YY999" s="23"/>
      <c r="YZ999" s="23"/>
      <c r="ZA999" s="23"/>
      <c r="ZB999" s="23"/>
      <c r="ZC999" s="23"/>
      <c r="ZD999" s="23"/>
      <c r="ZE999" s="23"/>
      <c r="ZF999" s="23"/>
      <c r="ZG999" s="23"/>
      <c r="ZH999" s="23"/>
      <c r="ZI999" s="23"/>
      <c r="ZJ999" s="23"/>
      <c r="ZK999" s="23"/>
      <c r="ZL999" s="23"/>
      <c r="ZM999" s="23"/>
      <c r="ZN999" s="23"/>
      <c r="ZO999" s="23"/>
      <c r="ZP999" s="23"/>
      <c r="ZQ999" s="23"/>
      <c r="ZR999" s="23"/>
      <c r="ZS999" s="23"/>
      <c r="ZT999" s="23"/>
      <c r="ZU999" s="23"/>
      <c r="ZV999" s="23"/>
      <c r="ZW999" s="23"/>
      <c r="ZX999" s="23"/>
      <c r="ZY999" s="23"/>
      <c r="ZZ999" s="23"/>
      <c r="AAA999" s="23"/>
      <c r="AAB999" s="23"/>
      <c r="AAC999" s="23"/>
      <c r="AAD999" s="23"/>
      <c r="AAE999" s="23"/>
      <c r="AAF999" s="23"/>
      <c r="AAG999" s="23"/>
      <c r="AAH999" s="23"/>
      <c r="AAI999" s="23"/>
      <c r="AAJ999" s="23"/>
      <c r="AAK999" s="23"/>
      <c r="AAL999" s="23"/>
      <c r="AAM999" s="23"/>
      <c r="AAN999" s="23"/>
      <c r="AAO999" s="23"/>
      <c r="AAP999" s="23"/>
      <c r="AAQ999" s="23"/>
      <c r="AAR999" s="23"/>
      <c r="AAS999" s="23"/>
      <c r="AAT999" s="23"/>
      <c r="AAU999" s="23"/>
      <c r="AAV999" s="23"/>
      <c r="AAW999" s="23"/>
      <c r="AAX999" s="23"/>
      <c r="AAY999" s="23"/>
      <c r="AAZ999" s="23"/>
      <c r="ABA999" s="23"/>
      <c r="ABB999" s="23"/>
      <c r="ABC999" s="23"/>
      <c r="ABD999" s="23"/>
      <c r="ABE999" s="23"/>
      <c r="ABF999" s="23"/>
      <c r="ABG999" s="23"/>
      <c r="ABH999" s="23"/>
      <c r="ABI999" s="23"/>
      <c r="ABJ999" s="23"/>
      <c r="ABK999" s="23"/>
      <c r="ABL999" s="23"/>
      <c r="ABM999" s="23"/>
      <c r="ABN999" s="23"/>
      <c r="ABO999" s="23"/>
      <c r="ABP999" s="23"/>
      <c r="ABQ999" s="23"/>
      <c r="ABR999" s="23"/>
      <c r="ABS999" s="23"/>
      <c r="ABT999" s="23"/>
      <c r="ABU999" s="23"/>
      <c r="ABV999" s="23"/>
      <c r="ABW999" s="23"/>
      <c r="ABX999" s="23"/>
      <c r="ABY999" s="23"/>
      <c r="ABZ999" s="23"/>
      <c r="ACA999" s="23"/>
      <c r="ACB999" s="23"/>
      <c r="ACC999" s="23"/>
      <c r="ACD999" s="23"/>
      <c r="ACE999" s="23"/>
      <c r="ACF999" s="23"/>
      <c r="ACG999" s="23"/>
      <c r="ACH999" s="23"/>
      <c r="ACI999" s="23"/>
      <c r="ACJ999" s="23"/>
      <c r="ACK999" s="23"/>
      <c r="ACL999" s="23"/>
      <c r="ACM999" s="23"/>
      <c r="ACN999" s="23"/>
      <c r="ACO999" s="23"/>
      <c r="ACP999" s="23"/>
      <c r="ACQ999" s="23"/>
      <c r="ACR999" s="23"/>
      <c r="ACS999" s="23"/>
      <c r="ACT999" s="23"/>
      <c r="ACU999" s="23"/>
      <c r="ACV999" s="23"/>
      <c r="ACW999" s="23"/>
      <c r="ACX999" s="23"/>
      <c r="ACY999" s="23"/>
      <c r="ACZ999" s="23"/>
      <c r="ADA999" s="23"/>
      <c r="ADB999" s="23"/>
      <c r="ADC999" s="23"/>
      <c r="ADD999" s="23"/>
      <c r="ADE999" s="23"/>
      <c r="ADF999" s="23"/>
      <c r="ADG999" s="23"/>
      <c r="ADH999" s="23"/>
      <c r="ADI999" s="23"/>
      <c r="ADJ999" s="23"/>
      <c r="ADK999" s="23"/>
      <c r="ADL999" s="23"/>
      <c r="ADM999" s="23"/>
      <c r="ADN999" s="23"/>
      <c r="ADO999" s="23"/>
      <c r="ADP999" s="23"/>
      <c r="ADQ999" s="23"/>
      <c r="ADR999" s="23"/>
      <c r="ADS999" s="23"/>
      <c r="ADT999" s="23"/>
      <c r="ADU999" s="23"/>
      <c r="ADV999" s="23"/>
      <c r="ADW999" s="23"/>
      <c r="ADX999" s="23"/>
      <c r="ADY999" s="23"/>
      <c r="ADZ999" s="23"/>
      <c r="AEA999" s="23"/>
      <c r="AEB999" s="23"/>
      <c r="AEC999" s="23"/>
      <c r="AED999" s="23"/>
      <c r="AEE999" s="23"/>
      <c r="AEF999" s="23"/>
      <c r="AEG999" s="23"/>
      <c r="AEH999" s="23"/>
      <c r="AEI999" s="23"/>
      <c r="AEJ999" s="23"/>
      <c r="AEK999" s="23"/>
      <c r="AEL999" s="23"/>
      <c r="AEM999" s="23"/>
      <c r="AEN999" s="23"/>
      <c r="AEO999" s="23"/>
      <c r="AEP999" s="23"/>
      <c r="AEQ999" s="23"/>
      <c r="AER999" s="23"/>
      <c r="AES999" s="23"/>
      <c r="AET999" s="23"/>
      <c r="AEU999" s="23"/>
      <c r="AEV999" s="23"/>
      <c r="AEW999" s="23"/>
      <c r="AEX999" s="23"/>
      <c r="AEY999" s="23"/>
      <c r="AEZ999" s="23"/>
      <c r="AFA999" s="23"/>
      <c r="AFB999" s="23"/>
      <c r="AFC999" s="23"/>
      <c r="AFD999" s="23"/>
      <c r="AFE999" s="23"/>
      <c r="AFF999" s="23"/>
      <c r="AFG999" s="23"/>
      <c r="AFH999" s="23"/>
      <c r="AFI999" s="23"/>
      <c r="AFJ999" s="23"/>
      <c r="AFK999" s="23"/>
      <c r="AFL999" s="23"/>
      <c r="AFM999" s="23"/>
      <c r="AFN999" s="23"/>
      <c r="AFO999" s="23"/>
      <c r="AFP999" s="23"/>
      <c r="AFQ999" s="23"/>
      <c r="AFR999" s="23"/>
      <c r="AFS999" s="23"/>
      <c r="AFT999" s="23"/>
      <c r="AFU999" s="23"/>
      <c r="AFV999" s="23"/>
      <c r="AFW999" s="23"/>
      <c r="AFX999" s="23"/>
      <c r="AFY999" s="23"/>
      <c r="AFZ999" s="23"/>
      <c r="AGA999" s="23"/>
      <c r="AGB999" s="23"/>
      <c r="AGC999" s="23"/>
      <c r="AGD999" s="23"/>
      <c r="AGE999" s="23"/>
      <c r="AGF999" s="23"/>
      <c r="AGG999" s="23"/>
      <c r="AGH999" s="23"/>
      <c r="AGI999" s="23"/>
      <c r="AGJ999" s="23"/>
      <c r="AGK999" s="23"/>
      <c r="AGL999" s="23"/>
      <c r="AGM999" s="23"/>
      <c r="AGN999" s="23"/>
      <c r="AGO999" s="23"/>
      <c r="AGP999" s="23"/>
      <c r="AGQ999" s="23"/>
      <c r="AGR999" s="23"/>
      <c r="AGS999" s="23"/>
      <c r="AGT999" s="23"/>
      <c r="AGU999" s="23"/>
      <c r="AGV999" s="23"/>
      <c r="AGW999" s="23"/>
      <c r="AGX999" s="23"/>
      <c r="AGY999" s="23"/>
      <c r="AGZ999" s="23"/>
      <c r="AHA999" s="23"/>
      <c r="AHB999" s="23"/>
      <c r="AHC999" s="23"/>
      <c r="AHD999" s="23"/>
      <c r="AHE999" s="23"/>
      <c r="AHF999" s="23"/>
      <c r="AHG999" s="23"/>
      <c r="AHH999" s="23"/>
      <c r="AHI999" s="23"/>
      <c r="AHJ999" s="23"/>
      <c r="AHK999" s="23"/>
      <c r="AHL999" s="23"/>
      <c r="AHM999" s="23"/>
      <c r="AHN999" s="23"/>
      <c r="AHO999" s="23"/>
      <c r="AHP999" s="23"/>
      <c r="AHQ999" s="23"/>
      <c r="AHR999" s="23"/>
      <c r="AHS999" s="23"/>
      <c r="AHT999" s="23"/>
      <c r="AHU999" s="23"/>
      <c r="AHV999" s="23"/>
      <c r="AHW999" s="23"/>
      <c r="AHX999" s="23"/>
      <c r="AHY999" s="23"/>
      <c r="AHZ999" s="23"/>
      <c r="AIA999" s="23"/>
      <c r="AIB999" s="23"/>
      <c r="AIC999" s="23"/>
      <c r="AID999" s="23"/>
      <c r="AIE999" s="23"/>
      <c r="AIF999" s="23"/>
      <c r="AIG999" s="23"/>
      <c r="AIH999" s="23"/>
      <c r="AII999" s="23"/>
      <c r="AIJ999" s="23"/>
      <c r="AIK999" s="23"/>
      <c r="AIL999" s="23"/>
      <c r="AIM999" s="23"/>
      <c r="AIN999" s="23"/>
      <c r="AIO999" s="23"/>
      <c r="AIP999" s="23"/>
      <c r="AIQ999" s="23"/>
      <c r="AIR999" s="23"/>
      <c r="AIS999" s="23"/>
      <c r="AIT999" s="23"/>
      <c r="AIU999" s="23"/>
      <c r="AIV999" s="23"/>
      <c r="AIW999" s="23"/>
      <c r="AIX999" s="23"/>
      <c r="AIY999" s="23"/>
      <c r="AIZ999" s="23"/>
      <c r="AJA999" s="23"/>
      <c r="AJB999" s="23"/>
      <c r="AJC999" s="23"/>
      <c r="AJD999" s="23"/>
      <c r="AJE999" s="23"/>
      <c r="AJF999" s="23"/>
      <c r="AJG999" s="23"/>
      <c r="AJH999" s="23"/>
      <c r="AJI999" s="23"/>
      <c r="AJJ999" s="23"/>
      <c r="AJK999" s="23"/>
      <c r="AJL999" s="23"/>
      <c r="AJM999" s="23"/>
      <c r="AJN999" s="23"/>
      <c r="AJO999" s="23"/>
      <c r="AJP999" s="23"/>
      <c r="AJQ999" s="23"/>
      <c r="AJR999" s="23"/>
      <c r="AJS999" s="23"/>
      <c r="AJT999" s="23"/>
      <c r="AJU999" s="23"/>
      <c r="AJV999" s="23"/>
      <c r="AJW999" s="23"/>
      <c r="AJX999" s="23"/>
      <c r="AJY999" s="23"/>
      <c r="AJZ999" s="23"/>
      <c r="AKA999" s="23"/>
      <c r="AKB999" s="23"/>
      <c r="AKC999" s="23"/>
      <c r="AKD999" s="23"/>
      <c r="AKE999" s="23"/>
      <c r="AKF999" s="23"/>
      <c r="AKG999" s="23"/>
      <c r="AKH999" s="23"/>
      <c r="AKI999" s="23"/>
      <c r="AKJ999" s="23"/>
      <c r="AKK999" s="23"/>
      <c r="AKL999" s="23"/>
      <c r="AKM999" s="23"/>
      <c r="AKN999" s="23"/>
      <c r="AKO999" s="23"/>
      <c r="AKP999" s="23"/>
      <c r="AKQ999" s="23"/>
      <c r="AKR999" s="23"/>
      <c r="AKS999" s="23"/>
      <c r="AKT999" s="23"/>
      <c r="AKU999" s="23"/>
      <c r="AKV999" s="23"/>
      <c r="AKW999" s="23"/>
      <c r="AKX999" s="23"/>
      <c r="AKY999" s="23"/>
      <c r="AKZ999" s="23"/>
      <c r="ALA999" s="23"/>
      <c r="ALB999" s="23"/>
      <c r="ALC999" s="23"/>
      <c r="ALD999" s="23"/>
      <c r="ALE999" s="23"/>
      <c r="ALF999" s="23"/>
      <c r="ALG999" s="23"/>
      <c r="ALH999" s="23"/>
      <c r="ALI999" s="23"/>
      <c r="ALJ999" s="23"/>
      <c r="ALK999" s="23"/>
      <c r="ALL999" s="23"/>
      <c r="ALM999" s="23"/>
      <c r="ALN999" s="23"/>
      <c r="ALO999" s="23"/>
      <c r="ALP999" s="23"/>
      <c r="ALQ999" s="23"/>
      <c r="ALR999" s="23"/>
      <c r="ALS999" s="23"/>
      <c r="ALT999" s="23"/>
      <c r="ALU999" s="23"/>
      <c r="ALV999" s="23"/>
      <c r="ALW999" s="23"/>
      <c r="ALX999" s="23"/>
      <c r="ALY999" s="23"/>
      <c r="ALZ999" s="23"/>
      <c r="AMA999" s="23"/>
      <c r="AMB999" s="23"/>
      <c r="AMC999" s="23"/>
      <c r="AMD999" s="23"/>
      <c r="AME999" s="23"/>
      <c r="AMF999" s="23"/>
      <c r="AMG999" s="23"/>
      <c r="AMH999" s="23"/>
      <c r="AMI999" s="23"/>
      <c r="AMJ999" s="23"/>
      <c r="AMK999" s="23"/>
      <c r="AML999" s="23"/>
      <c r="AMM999" s="23"/>
      <c r="AMN999" s="23"/>
      <c r="AMO999" s="23"/>
      <c r="AMP999" s="23"/>
      <c r="AMQ999" s="23"/>
      <c r="AMR999" s="23"/>
      <c r="AMS999" s="23"/>
      <c r="AMT999" s="23"/>
      <c r="AMU999" s="23"/>
      <c r="AMV999" s="23"/>
      <c r="AMW999" s="23"/>
      <c r="AMX999" s="23"/>
      <c r="AMY999" s="23"/>
      <c r="AMZ999" s="23"/>
      <c r="ANA999" s="23"/>
      <c r="ANB999" s="23"/>
      <c r="ANC999" s="23"/>
      <c r="AND999" s="23"/>
      <c r="ANE999" s="23"/>
      <c r="ANF999" s="23"/>
      <c r="ANG999" s="23"/>
      <c r="ANH999" s="23"/>
      <c r="ANI999" s="23"/>
      <c r="ANJ999" s="23"/>
      <c r="ANK999" s="23"/>
      <c r="ANL999" s="23"/>
      <c r="ANM999" s="23"/>
      <c r="ANN999" s="23"/>
      <c r="ANO999" s="23"/>
      <c r="ANP999" s="23"/>
      <c r="ANQ999" s="23"/>
      <c r="ANR999" s="23"/>
      <c r="ANS999" s="23"/>
      <c r="ANT999" s="23"/>
      <c r="ANU999" s="23"/>
      <c r="ANV999" s="23"/>
      <c r="ANW999" s="23"/>
      <c r="ANX999" s="23"/>
      <c r="ANY999" s="23"/>
      <c r="ANZ999" s="23"/>
      <c r="AOA999" s="23"/>
      <c r="AOB999" s="23"/>
      <c r="AOC999" s="23"/>
      <c r="AOD999" s="23"/>
      <c r="AOE999" s="23"/>
      <c r="AOF999" s="23"/>
      <c r="AOG999" s="23"/>
      <c r="AOH999" s="23"/>
      <c r="AOI999" s="23"/>
      <c r="AOJ999" s="23"/>
      <c r="AOK999" s="23"/>
      <c r="AOL999" s="23"/>
      <c r="AOM999" s="23"/>
      <c r="AON999" s="23"/>
      <c r="AOO999" s="23"/>
      <c r="AOP999" s="23"/>
      <c r="AOQ999" s="23"/>
      <c r="AOR999" s="23"/>
      <c r="AOS999" s="23"/>
      <c r="AOT999" s="23"/>
      <c r="AOU999" s="23"/>
      <c r="AOV999" s="23"/>
      <c r="AOW999" s="23"/>
      <c r="AOX999" s="23"/>
      <c r="AOY999" s="23"/>
      <c r="AOZ999" s="23"/>
      <c r="APA999" s="23"/>
      <c r="APB999" s="23"/>
      <c r="APC999" s="23"/>
      <c r="APD999" s="23"/>
      <c r="APE999" s="23"/>
      <c r="APF999" s="23"/>
      <c r="APG999" s="23"/>
      <c r="APH999" s="23"/>
      <c r="API999" s="23"/>
      <c r="APJ999" s="23"/>
      <c r="APK999" s="23"/>
      <c r="APL999" s="23"/>
      <c r="APM999" s="23"/>
      <c r="APN999" s="23"/>
      <c r="APO999" s="23"/>
      <c r="APP999" s="23"/>
      <c r="APQ999" s="23"/>
      <c r="APR999" s="23"/>
      <c r="APS999" s="23"/>
      <c r="APT999" s="23"/>
      <c r="APU999" s="23"/>
      <c r="APV999" s="23"/>
      <c r="APW999" s="23"/>
      <c r="APX999" s="23"/>
      <c r="APY999" s="23"/>
      <c r="APZ999" s="23"/>
      <c r="AQA999" s="23"/>
      <c r="AQB999" s="23"/>
      <c r="AQC999" s="23"/>
      <c r="AQD999" s="23"/>
      <c r="AQE999" s="23"/>
      <c r="AQF999" s="23"/>
      <c r="AQG999" s="23"/>
      <c r="AQH999" s="23"/>
      <c r="AQI999" s="23"/>
      <c r="AQJ999" s="23"/>
      <c r="AQK999" s="23"/>
      <c r="AQL999" s="23"/>
      <c r="AQM999" s="23"/>
      <c r="AQN999" s="23"/>
      <c r="AQO999" s="23"/>
      <c r="AQP999" s="23"/>
      <c r="AQQ999" s="23"/>
      <c r="AQR999" s="23"/>
      <c r="AQS999" s="23"/>
      <c r="AQT999" s="23"/>
      <c r="AQU999" s="23"/>
      <c r="AQV999" s="23"/>
      <c r="AQW999" s="23"/>
      <c r="AQX999" s="23"/>
      <c r="AQY999" s="23"/>
      <c r="AQZ999" s="23"/>
      <c r="ARA999" s="23"/>
      <c r="ARB999" s="23"/>
      <c r="ARC999" s="23"/>
      <c r="ARD999" s="23"/>
      <c r="ARE999" s="23"/>
      <c r="ARF999" s="23"/>
      <c r="ARG999" s="23"/>
      <c r="ARH999" s="23"/>
      <c r="ARI999" s="23"/>
      <c r="ARJ999" s="23"/>
      <c r="ARK999" s="23"/>
      <c r="ARL999" s="23"/>
      <c r="ARM999" s="23"/>
      <c r="ARN999" s="23"/>
      <c r="ARO999" s="23"/>
      <c r="ARP999" s="23"/>
      <c r="ARQ999" s="23"/>
      <c r="ARR999" s="23"/>
      <c r="ARS999" s="23"/>
      <c r="ART999" s="23"/>
      <c r="ARU999" s="23"/>
      <c r="ARV999" s="23"/>
      <c r="ARW999" s="23"/>
      <c r="ARX999" s="23"/>
      <c r="ARY999" s="23"/>
      <c r="ARZ999" s="23"/>
      <c r="ASA999" s="23"/>
      <c r="ASB999" s="23"/>
      <c r="ASC999" s="23"/>
      <c r="ASD999" s="23"/>
      <c r="ASE999" s="23"/>
      <c r="ASF999" s="23"/>
      <c r="ASG999" s="23"/>
      <c r="ASH999" s="23"/>
      <c r="ASI999" s="23"/>
      <c r="ASJ999" s="23"/>
      <c r="ASK999" s="23"/>
      <c r="ASL999" s="23"/>
      <c r="ASM999" s="23"/>
      <c r="ASN999" s="23"/>
      <c r="ASO999" s="23"/>
      <c r="ASP999" s="23"/>
      <c r="ASQ999" s="23"/>
      <c r="ASR999" s="23"/>
      <c r="ASS999" s="23"/>
      <c r="AST999" s="23"/>
      <c r="ASU999" s="23"/>
      <c r="ASV999" s="23"/>
      <c r="ASW999" s="23"/>
      <c r="ASX999" s="23"/>
      <c r="ASY999" s="23"/>
      <c r="ASZ999" s="23"/>
      <c r="ATA999" s="23"/>
      <c r="ATB999" s="23"/>
      <c r="ATC999" s="23"/>
      <c r="ATD999" s="23"/>
      <c r="ATE999" s="23"/>
      <c r="ATF999" s="23"/>
      <c r="ATG999" s="23"/>
      <c r="ATH999" s="23"/>
      <c r="ATI999" s="23"/>
      <c r="ATJ999" s="23"/>
      <c r="ATK999" s="23"/>
      <c r="ATL999" s="23"/>
      <c r="ATM999" s="23"/>
      <c r="ATN999" s="23"/>
      <c r="ATO999" s="23"/>
      <c r="ATP999" s="23"/>
      <c r="ATQ999" s="23"/>
      <c r="ATR999" s="23"/>
      <c r="ATS999" s="23"/>
      <c r="ATT999" s="23"/>
      <c r="ATU999" s="23"/>
      <c r="ATV999" s="23"/>
      <c r="ATW999" s="23"/>
      <c r="ATX999" s="23"/>
      <c r="ATY999" s="23"/>
      <c r="ATZ999" s="23"/>
      <c r="AUA999" s="23"/>
      <c r="AUB999" s="23"/>
      <c r="AUC999" s="23"/>
      <c r="AUD999" s="23"/>
      <c r="AUE999" s="23"/>
      <c r="AUF999" s="23"/>
      <c r="AUG999" s="23"/>
      <c r="AUH999" s="23"/>
      <c r="AUI999" s="23"/>
      <c r="AUJ999" s="23"/>
      <c r="AUK999" s="23"/>
      <c r="AUL999" s="23"/>
      <c r="AUM999" s="23"/>
      <c r="AUN999" s="23"/>
      <c r="AUO999" s="23"/>
      <c r="AUP999" s="23"/>
      <c r="AUQ999" s="23"/>
      <c r="AUR999" s="23"/>
      <c r="AUS999" s="23"/>
      <c r="AUT999" s="23"/>
      <c r="AUU999" s="23"/>
      <c r="AUV999" s="23"/>
      <c r="AUW999" s="23"/>
      <c r="AUX999" s="23"/>
      <c r="AUY999" s="23"/>
      <c r="AUZ999" s="23"/>
      <c r="AVA999" s="23"/>
      <c r="AVB999" s="23"/>
      <c r="AVC999" s="23"/>
      <c r="AVD999" s="23"/>
      <c r="AVE999" s="23"/>
      <c r="AVF999" s="23"/>
      <c r="AVG999" s="23"/>
      <c r="AVH999" s="23"/>
      <c r="AVI999" s="23"/>
      <c r="AVJ999" s="23"/>
      <c r="AVK999" s="23"/>
      <c r="AVL999" s="23"/>
      <c r="AVM999" s="23"/>
      <c r="AVN999" s="23"/>
      <c r="AVO999" s="23"/>
      <c r="AVP999" s="23"/>
      <c r="AVQ999" s="23"/>
      <c r="AVR999" s="23"/>
      <c r="AVS999" s="23"/>
      <c r="AVT999" s="23"/>
      <c r="AVU999" s="23"/>
      <c r="AVV999" s="23"/>
      <c r="AVW999" s="23"/>
      <c r="AVX999" s="23"/>
      <c r="AVY999" s="23"/>
      <c r="AVZ999" s="23"/>
      <c r="AWA999" s="23"/>
      <c r="AWB999" s="23"/>
      <c r="AWC999" s="23"/>
      <c r="AWD999" s="23"/>
      <c r="AWE999" s="23"/>
      <c r="AWF999" s="23"/>
      <c r="AWG999" s="23"/>
      <c r="AWH999" s="23"/>
      <c r="AWI999" s="23"/>
      <c r="AWJ999" s="23"/>
      <c r="AWK999" s="23"/>
      <c r="AWL999" s="23"/>
      <c r="AWM999" s="23"/>
      <c r="AWN999" s="23"/>
      <c r="AWO999" s="23"/>
      <c r="AWP999" s="23"/>
      <c r="AWQ999" s="23"/>
      <c r="AWR999" s="23"/>
      <c r="AWS999" s="23"/>
      <c r="AWT999" s="23"/>
      <c r="AWU999" s="23"/>
      <c r="AWV999" s="23"/>
      <c r="AWW999" s="23"/>
      <c r="AWX999" s="23"/>
      <c r="AWY999" s="23"/>
      <c r="AWZ999" s="23"/>
      <c r="AXA999" s="23"/>
      <c r="AXB999" s="23"/>
      <c r="AXC999" s="23"/>
      <c r="AXD999" s="23"/>
      <c r="AXE999" s="23"/>
      <c r="AXF999" s="23"/>
      <c r="AXG999" s="23"/>
      <c r="AXH999" s="23"/>
      <c r="AXI999" s="23"/>
      <c r="AXJ999" s="23"/>
      <c r="AXK999" s="23"/>
      <c r="AXL999" s="23"/>
      <c r="AXM999" s="23"/>
      <c r="AXN999" s="23"/>
      <c r="AXO999" s="23"/>
      <c r="AXP999" s="23"/>
      <c r="AXQ999" s="23"/>
      <c r="AXR999" s="23"/>
      <c r="AXS999" s="23"/>
      <c r="AXT999" s="23"/>
      <c r="AXU999" s="23"/>
      <c r="AXV999" s="23"/>
      <c r="AXW999" s="23"/>
      <c r="AXX999" s="23"/>
      <c r="AXY999" s="23"/>
      <c r="AXZ999" s="23"/>
      <c r="AYA999" s="23"/>
      <c r="AYB999" s="23"/>
      <c r="AYC999" s="23"/>
      <c r="AYD999" s="23"/>
      <c r="AYE999" s="23"/>
      <c r="AYF999" s="23"/>
      <c r="AYG999" s="23"/>
      <c r="AYH999" s="23"/>
      <c r="AYI999" s="23"/>
      <c r="AYJ999" s="23"/>
      <c r="AYK999" s="23"/>
      <c r="AYL999" s="23"/>
      <c r="AYM999" s="23"/>
      <c r="AYN999" s="23"/>
      <c r="AYO999" s="23"/>
      <c r="AYP999" s="23"/>
      <c r="AYQ999" s="23"/>
      <c r="AYR999" s="23"/>
      <c r="AYS999" s="23"/>
      <c r="AYT999" s="23"/>
      <c r="AYU999" s="23"/>
      <c r="AYV999" s="23"/>
      <c r="AYW999" s="23"/>
      <c r="AYX999" s="23"/>
      <c r="AYY999" s="23"/>
      <c r="AYZ999" s="23"/>
      <c r="AZA999" s="23"/>
      <c r="AZB999" s="23"/>
      <c r="AZC999" s="23"/>
      <c r="AZD999" s="23"/>
      <c r="AZE999" s="23"/>
      <c r="AZF999" s="23"/>
      <c r="AZG999" s="23"/>
      <c r="AZH999" s="23"/>
      <c r="AZI999" s="23"/>
      <c r="AZJ999" s="23"/>
      <c r="AZK999" s="23"/>
      <c r="AZL999" s="23"/>
      <c r="AZM999" s="23"/>
      <c r="AZN999" s="23"/>
      <c r="AZO999" s="23"/>
      <c r="AZP999" s="23"/>
      <c r="AZQ999" s="23"/>
      <c r="AZR999" s="23"/>
      <c r="AZS999" s="23"/>
      <c r="AZT999" s="23"/>
      <c r="AZU999" s="23"/>
      <c r="AZV999" s="23"/>
      <c r="AZW999" s="23"/>
      <c r="AZX999" s="23"/>
      <c r="AZY999" s="23"/>
      <c r="AZZ999" s="23"/>
      <c r="BAA999" s="23"/>
      <c r="BAB999" s="23"/>
      <c r="BAC999" s="23"/>
      <c r="BAD999" s="23"/>
      <c r="BAE999" s="23"/>
      <c r="BAF999" s="23"/>
      <c r="BAG999" s="23"/>
      <c r="BAH999" s="23"/>
      <c r="BAI999" s="23"/>
      <c r="BAJ999" s="23"/>
      <c r="BAK999" s="23"/>
      <c r="BAL999" s="23"/>
      <c r="BAM999" s="23"/>
      <c r="BAN999" s="23"/>
      <c r="BAO999" s="23"/>
      <c r="BAP999" s="23"/>
      <c r="BAQ999" s="23"/>
      <c r="BAR999" s="23"/>
      <c r="BAS999" s="23"/>
      <c r="BAT999" s="23"/>
      <c r="BAU999" s="23"/>
      <c r="BAV999" s="23"/>
      <c r="BAW999" s="23"/>
      <c r="BAX999" s="23"/>
      <c r="BAY999" s="23"/>
      <c r="BAZ999" s="23"/>
      <c r="BBA999" s="23"/>
      <c r="BBB999" s="23"/>
      <c r="BBC999" s="23"/>
      <c r="BBD999" s="23"/>
      <c r="BBE999" s="23"/>
      <c r="BBF999" s="23"/>
      <c r="BBG999" s="23"/>
      <c r="BBH999" s="23"/>
      <c r="BBI999" s="23"/>
      <c r="BBJ999" s="23"/>
      <c r="BBK999" s="23"/>
      <c r="BBL999" s="23"/>
      <c r="BBM999" s="23"/>
      <c r="BBN999" s="23"/>
      <c r="BBO999" s="23"/>
      <c r="BBP999" s="23"/>
      <c r="BBQ999" s="23"/>
      <c r="BBR999" s="23"/>
      <c r="BBS999" s="23"/>
      <c r="BBT999" s="23"/>
      <c r="BBU999" s="23"/>
      <c r="BBV999" s="23"/>
      <c r="BBW999" s="23"/>
      <c r="BBX999" s="23"/>
      <c r="BBY999" s="23"/>
      <c r="BBZ999" s="23"/>
      <c r="BCA999" s="23"/>
      <c r="BCB999" s="23"/>
      <c r="BCC999" s="23"/>
      <c r="BCD999" s="23"/>
      <c r="BCE999" s="23"/>
      <c r="BCF999" s="23"/>
      <c r="BCG999" s="23"/>
      <c r="BCH999" s="23"/>
      <c r="BCI999" s="23"/>
      <c r="BCJ999" s="23"/>
      <c r="BCK999" s="23"/>
      <c r="BCL999" s="23"/>
      <c r="BCM999" s="23"/>
      <c r="BCN999" s="23"/>
      <c r="BCO999" s="23"/>
      <c r="BCP999" s="23"/>
      <c r="BCQ999" s="23"/>
      <c r="BCR999" s="23"/>
      <c r="BCS999" s="23"/>
      <c r="BCT999" s="23"/>
      <c r="BCU999" s="23"/>
      <c r="BCV999" s="23"/>
      <c r="BCW999" s="23"/>
      <c r="BCX999" s="23"/>
      <c r="BCY999" s="23"/>
      <c r="BCZ999" s="23"/>
      <c r="BDA999" s="23"/>
      <c r="BDB999" s="23"/>
      <c r="BDC999" s="23"/>
      <c r="BDD999" s="23"/>
      <c r="BDE999" s="23"/>
      <c r="BDF999" s="23"/>
      <c r="BDG999" s="23"/>
      <c r="BDH999" s="23"/>
      <c r="BDI999" s="23"/>
      <c r="BDJ999" s="23"/>
      <c r="BDK999" s="23"/>
      <c r="BDL999" s="23"/>
      <c r="BDM999" s="23"/>
      <c r="BDN999" s="23"/>
      <c r="BDO999" s="23"/>
      <c r="BDP999" s="23"/>
      <c r="BDQ999" s="23"/>
      <c r="BDR999" s="23"/>
      <c r="BDS999" s="23"/>
      <c r="BDT999" s="23"/>
      <c r="BDU999" s="23"/>
      <c r="BDV999" s="23"/>
      <c r="BDW999" s="23"/>
      <c r="BDX999" s="23"/>
      <c r="BDY999" s="23"/>
      <c r="BDZ999" s="23"/>
      <c r="BEA999" s="23"/>
      <c r="BEB999" s="23"/>
      <c r="BEC999" s="23"/>
      <c r="BED999" s="23"/>
      <c r="BEE999" s="23"/>
      <c r="BEF999" s="23"/>
      <c r="BEG999" s="23"/>
      <c r="BEH999" s="23"/>
      <c r="BEI999" s="23"/>
      <c r="BEJ999" s="23"/>
      <c r="BEK999" s="23"/>
      <c r="BEL999" s="23"/>
      <c r="BEM999" s="23"/>
      <c r="BEN999" s="23"/>
      <c r="BEO999" s="23"/>
      <c r="BEP999" s="23"/>
      <c r="BEQ999" s="23"/>
      <c r="BER999" s="23"/>
      <c r="BES999" s="23"/>
      <c r="BET999" s="23"/>
      <c r="BEU999" s="23"/>
      <c r="BEV999" s="23"/>
      <c r="BEW999" s="23"/>
      <c r="BEX999" s="23"/>
      <c r="BEY999" s="23"/>
      <c r="BEZ999" s="23"/>
      <c r="BFA999" s="23"/>
      <c r="BFB999" s="23"/>
      <c r="BFC999" s="23"/>
      <c r="BFD999" s="23"/>
      <c r="BFE999" s="23"/>
      <c r="BFF999" s="23"/>
      <c r="BFG999" s="23"/>
      <c r="BFH999" s="23"/>
      <c r="BFI999" s="23"/>
      <c r="BFJ999" s="23"/>
      <c r="BFK999" s="23"/>
      <c r="BFL999" s="23"/>
      <c r="BFM999" s="23"/>
      <c r="BFN999" s="23"/>
      <c r="BFO999" s="23"/>
      <c r="BFP999" s="23"/>
      <c r="BFQ999" s="23"/>
      <c r="BFR999" s="23"/>
      <c r="BFS999" s="23"/>
      <c r="BFT999" s="23"/>
      <c r="BFU999" s="23"/>
      <c r="BFV999" s="23"/>
      <c r="BFW999" s="23"/>
      <c r="BFX999" s="23"/>
      <c r="BFY999" s="23"/>
      <c r="BFZ999" s="23"/>
      <c r="BGA999" s="23"/>
      <c r="BGB999" s="23"/>
      <c r="BGC999" s="23"/>
      <c r="BGD999" s="23"/>
      <c r="BGE999" s="23"/>
      <c r="BGF999" s="23"/>
      <c r="BGG999" s="23"/>
      <c r="BGH999" s="23"/>
      <c r="BGI999" s="23"/>
      <c r="BGJ999" s="23"/>
      <c r="BGK999" s="23"/>
      <c r="BGL999" s="23"/>
      <c r="BGM999" s="23"/>
      <c r="BGN999" s="23"/>
      <c r="BGO999" s="23"/>
      <c r="BGP999" s="23"/>
      <c r="BGQ999" s="23"/>
      <c r="BGR999" s="23"/>
      <c r="BGS999" s="23"/>
      <c r="BGT999" s="23"/>
      <c r="BGU999" s="23"/>
      <c r="BGV999" s="23"/>
      <c r="BGW999" s="23"/>
      <c r="BGX999" s="23"/>
      <c r="BGY999" s="23"/>
      <c r="BGZ999" s="23"/>
      <c r="BHA999" s="23"/>
      <c r="BHB999" s="23"/>
      <c r="BHC999" s="23"/>
      <c r="BHD999" s="23"/>
      <c r="BHE999" s="23"/>
      <c r="BHF999" s="23"/>
      <c r="BHG999" s="23"/>
      <c r="BHH999" s="23"/>
      <c r="BHI999" s="23"/>
      <c r="BHJ999" s="23"/>
      <c r="BHK999" s="23"/>
      <c r="BHL999" s="23"/>
      <c r="BHM999" s="23"/>
      <c r="BHN999" s="23"/>
      <c r="BHO999" s="23"/>
      <c r="BHP999" s="23"/>
      <c r="BHQ999" s="23"/>
      <c r="BHR999" s="23"/>
      <c r="BHS999" s="23"/>
      <c r="BHT999" s="23"/>
      <c r="BHU999" s="23"/>
      <c r="BHV999" s="23"/>
      <c r="BHW999" s="23"/>
      <c r="BHX999" s="23"/>
      <c r="BHY999" s="23"/>
      <c r="BHZ999" s="23"/>
      <c r="BIA999" s="23"/>
      <c r="BIB999" s="23"/>
      <c r="BIC999" s="23"/>
      <c r="BID999" s="23"/>
      <c r="BIE999" s="23"/>
      <c r="BIF999" s="23"/>
      <c r="BIG999" s="23"/>
      <c r="BIH999" s="23"/>
      <c r="BII999" s="23"/>
      <c r="BIJ999" s="23"/>
      <c r="BIK999" s="23"/>
      <c r="BIL999" s="23"/>
      <c r="BIM999" s="23"/>
      <c r="BIN999" s="23"/>
      <c r="BIO999" s="23"/>
      <c r="BIP999" s="23"/>
      <c r="BIQ999" s="23"/>
      <c r="BIR999" s="23"/>
      <c r="BIS999" s="23"/>
      <c r="BIT999" s="23"/>
      <c r="BIU999" s="23"/>
      <c r="BIV999" s="23"/>
      <c r="BIW999" s="23"/>
      <c r="BIX999" s="23"/>
      <c r="BIY999" s="23"/>
      <c r="BIZ999" s="23"/>
      <c r="BJA999" s="23"/>
      <c r="BJB999" s="23"/>
      <c r="BJC999" s="23"/>
      <c r="BJD999" s="23"/>
      <c r="BJE999" s="23"/>
      <c r="BJF999" s="23"/>
      <c r="BJG999" s="23"/>
      <c r="BJH999" s="23"/>
      <c r="BJI999" s="23"/>
      <c r="BJJ999" s="23"/>
      <c r="BJK999" s="23"/>
      <c r="BJL999" s="23"/>
      <c r="BJM999" s="23"/>
      <c r="BJN999" s="23"/>
      <c r="BJO999" s="23"/>
      <c r="BJP999" s="23"/>
      <c r="BJQ999" s="23"/>
      <c r="BJR999" s="23"/>
      <c r="BJS999" s="23"/>
      <c r="BJT999" s="23"/>
      <c r="BJU999" s="23"/>
      <c r="BJV999" s="23"/>
      <c r="BJW999" s="23"/>
      <c r="BJX999" s="23"/>
      <c r="BJY999" s="23"/>
      <c r="BJZ999" s="23"/>
      <c r="BKA999" s="23"/>
      <c r="BKB999" s="23"/>
      <c r="BKC999" s="23"/>
      <c r="BKD999" s="23"/>
      <c r="BKE999" s="23"/>
      <c r="BKF999" s="23"/>
      <c r="BKG999" s="23"/>
      <c r="BKH999" s="23"/>
      <c r="BKI999" s="23"/>
      <c r="BKJ999" s="23"/>
      <c r="BKK999" s="23"/>
      <c r="BKL999" s="23"/>
      <c r="BKM999" s="23"/>
      <c r="BKN999" s="23"/>
      <c r="BKO999" s="23"/>
      <c r="BKP999" s="23"/>
      <c r="BKQ999" s="23"/>
      <c r="BKR999" s="23"/>
      <c r="BKS999" s="23"/>
      <c r="BKT999" s="23"/>
      <c r="BKU999" s="23"/>
      <c r="BKV999" s="23"/>
      <c r="BKW999" s="23"/>
      <c r="BKX999" s="23"/>
      <c r="BKY999" s="23"/>
      <c r="BKZ999" s="23"/>
      <c r="BLA999" s="23"/>
      <c r="BLB999" s="23"/>
      <c r="BLC999" s="23"/>
      <c r="BLD999" s="23"/>
      <c r="BLE999" s="23"/>
      <c r="BLF999" s="23"/>
      <c r="BLG999" s="23"/>
      <c r="BLH999" s="23"/>
      <c r="BLI999" s="23"/>
      <c r="BLJ999" s="23"/>
      <c r="BLK999" s="23"/>
      <c r="BLL999" s="23"/>
      <c r="BLM999" s="23"/>
      <c r="BLN999" s="23"/>
      <c r="BLO999" s="23"/>
      <c r="BLP999" s="23"/>
      <c r="BLQ999" s="23"/>
      <c r="BLR999" s="23"/>
      <c r="BLS999" s="23"/>
      <c r="BLT999" s="23"/>
      <c r="BLU999" s="23"/>
      <c r="BLV999" s="23"/>
      <c r="BLW999" s="23"/>
      <c r="BLX999" s="23"/>
      <c r="BLY999" s="23"/>
      <c r="BLZ999" s="23"/>
      <c r="BMA999" s="23"/>
      <c r="BMB999" s="23"/>
      <c r="BMC999" s="23"/>
      <c r="BMD999" s="23"/>
      <c r="BME999" s="23"/>
      <c r="BMF999" s="23"/>
      <c r="BMG999" s="23"/>
      <c r="BMH999" s="23"/>
      <c r="BMI999" s="23"/>
      <c r="BMJ999" s="23"/>
      <c r="BMK999" s="23"/>
      <c r="BML999" s="23"/>
      <c r="BMM999" s="23"/>
      <c r="BMN999" s="23"/>
      <c r="BMO999" s="23"/>
      <c r="BMP999" s="23"/>
      <c r="BMQ999" s="23"/>
      <c r="BMR999" s="23"/>
      <c r="BMS999" s="23"/>
      <c r="BMT999" s="23"/>
      <c r="BMU999" s="23"/>
      <c r="BMV999" s="23"/>
      <c r="BMW999" s="23"/>
      <c r="BMX999" s="23"/>
      <c r="BMY999" s="23"/>
      <c r="BMZ999" s="23"/>
      <c r="BNA999" s="23"/>
      <c r="BNB999" s="23"/>
      <c r="BNC999" s="23"/>
      <c r="BND999" s="23"/>
      <c r="BNE999" s="23"/>
      <c r="BNF999" s="23"/>
      <c r="BNG999" s="23"/>
      <c r="BNH999" s="23"/>
      <c r="BNI999" s="23"/>
      <c r="BNJ999" s="23"/>
      <c r="BNK999" s="23"/>
      <c r="BNL999" s="23"/>
      <c r="BNM999" s="23"/>
      <c r="BNN999" s="23"/>
      <c r="BNO999" s="23"/>
      <c r="BNP999" s="23"/>
      <c r="BNQ999" s="23"/>
      <c r="BNR999" s="23"/>
      <c r="BNS999" s="23"/>
      <c r="BNT999" s="23"/>
      <c r="BNU999" s="23"/>
      <c r="BNV999" s="23"/>
      <c r="BNW999" s="23"/>
      <c r="BNX999" s="23"/>
      <c r="BNY999" s="23"/>
      <c r="BNZ999" s="23"/>
      <c r="BOA999" s="23"/>
      <c r="BOB999" s="23"/>
      <c r="BOC999" s="23"/>
      <c r="BOD999" s="23"/>
      <c r="BOE999" s="23"/>
      <c r="BOF999" s="23"/>
      <c r="BOG999" s="23"/>
      <c r="BOH999" s="23"/>
      <c r="BOI999" s="23"/>
      <c r="BOJ999" s="23"/>
      <c r="BOK999" s="23"/>
      <c r="BOL999" s="23"/>
      <c r="BOM999" s="23"/>
      <c r="BON999" s="23"/>
      <c r="BOO999" s="23"/>
      <c r="BOP999" s="23"/>
      <c r="BOQ999" s="23"/>
      <c r="BOR999" s="23"/>
      <c r="BOS999" s="23"/>
      <c r="BOT999" s="23"/>
      <c r="BOU999" s="23"/>
      <c r="BOV999" s="23"/>
      <c r="BOW999" s="23"/>
      <c r="BOX999" s="23"/>
      <c r="BOY999" s="23"/>
      <c r="BOZ999" s="23"/>
      <c r="BPA999" s="23"/>
      <c r="BPB999" s="23"/>
      <c r="BPC999" s="23"/>
      <c r="BPD999" s="23"/>
      <c r="BPE999" s="23"/>
      <c r="BPF999" s="23"/>
      <c r="BPG999" s="23"/>
      <c r="BPH999" s="23"/>
      <c r="BPI999" s="23"/>
      <c r="BPJ999" s="23"/>
      <c r="BPK999" s="23"/>
      <c r="BPL999" s="23"/>
      <c r="BPM999" s="23"/>
      <c r="BPN999" s="23"/>
      <c r="BPO999" s="23"/>
      <c r="BPP999" s="23"/>
      <c r="BPQ999" s="23"/>
      <c r="BPR999" s="23"/>
      <c r="BPS999" s="23"/>
      <c r="BPT999" s="23"/>
      <c r="BPU999" s="23"/>
      <c r="BPV999" s="23"/>
      <c r="BPW999" s="23"/>
      <c r="BPX999" s="23"/>
      <c r="BPY999" s="23"/>
      <c r="BPZ999" s="23"/>
      <c r="BQA999" s="23"/>
      <c r="BQB999" s="23"/>
      <c r="BQC999" s="23"/>
      <c r="BQD999" s="23"/>
      <c r="BQE999" s="23"/>
      <c r="BQF999" s="23"/>
      <c r="BQG999" s="23"/>
      <c r="BQH999" s="23"/>
      <c r="BQI999" s="23"/>
      <c r="BQJ999" s="23"/>
      <c r="BQK999" s="23"/>
      <c r="BQL999" s="23"/>
      <c r="BQM999" s="23"/>
      <c r="BQN999" s="23"/>
      <c r="BQO999" s="23"/>
      <c r="BQP999" s="23"/>
      <c r="BQQ999" s="23"/>
      <c r="BQR999" s="23"/>
      <c r="BQS999" s="23"/>
      <c r="BQT999" s="23"/>
      <c r="BQU999" s="23"/>
      <c r="BQV999" s="23"/>
      <c r="BQW999" s="23"/>
      <c r="BQX999" s="23"/>
      <c r="BQY999" s="23"/>
      <c r="BQZ999" s="23"/>
      <c r="BRA999" s="23"/>
      <c r="BRB999" s="23"/>
      <c r="BRC999" s="23"/>
      <c r="BRD999" s="23"/>
      <c r="BRE999" s="23"/>
      <c r="BRF999" s="23"/>
      <c r="BRG999" s="23"/>
      <c r="BRH999" s="23"/>
      <c r="BRI999" s="23"/>
      <c r="BRJ999" s="23"/>
      <c r="BRK999" s="23"/>
      <c r="BRL999" s="23"/>
      <c r="BRM999" s="23"/>
      <c r="BRN999" s="23"/>
      <c r="BRO999" s="23"/>
      <c r="BRP999" s="23"/>
      <c r="BRQ999" s="23"/>
      <c r="BRR999" s="23"/>
      <c r="BRS999" s="23"/>
      <c r="BRT999" s="23"/>
      <c r="BRU999" s="23"/>
      <c r="BRV999" s="23"/>
      <c r="BRW999" s="23"/>
      <c r="BRX999" s="23"/>
      <c r="BRY999" s="23"/>
      <c r="BRZ999" s="23"/>
      <c r="BSA999" s="23"/>
      <c r="BSB999" s="23"/>
      <c r="BSC999" s="23"/>
      <c r="BSD999" s="23"/>
      <c r="BSE999" s="23"/>
      <c r="BSF999" s="23"/>
      <c r="BSG999" s="23"/>
      <c r="BSH999" s="23"/>
      <c r="BSI999" s="23"/>
      <c r="BSJ999" s="23"/>
      <c r="BSK999" s="23"/>
      <c r="BSL999" s="23"/>
      <c r="BSM999" s="23"/>
      <c r="BSN999" s="23"/>
      <c r="BSO999" s="23"/>
      <c r="BSP999" s="23"/>
      <c r="BSQ999" s="23"/>
      <c r="BSR999" s="23"/>
      <c r="BSS999" s="23"/>
      <c r="BST999" s="23"/>
      <c r="BSU999" s="23"/>
      <c r="BSV999" s="23"/>
      <c r="BSW999" s="23"/>
      <c r="BSX999" s="23"/>
      <c r="BSY999" s="23"/>
      <c r="BSZ999" s="23"/>
      <c r="BTA999" s="23"/>
    </row>
    <row r="1000" spans="1:1873" s="23" customFormat="1" x14ac:dyDescent="0.2">
      <c r="A1000" s="273"/>
      <c r="B1000" s="273"/>
      <c r="C1000" s="273"/>
      <c r="D1000" s="273"/>
      <c r="E1000" s="462"/>
      <c r="F1000" s="462"/>
      <c r="G1000" s="273"/>
      <c r="H1000" s="468"/>
      <c r="I1000" s="273"/>
      <c r="J1000" s="273"/>
      <c r="K1000" s="463" t="s">
        <v>842</v>
      </c>
      <c r="L1000" s="273"/>
      <c r="M1000" s="471"/>
      <c r="N1000" s="273"/>
      <c r="O1000" s="1"/>
      <c r="P1000" s="414"/>
      <c r="Q1000" s="273"/>
      <c r="R1000" s="471"/>
      <c r="S1000" s="273"/>
      <c r="T1000" s="471"/>
      <c r="U1000" s="273"/>
      <c r="V1000" s="273"/>
      <c r="W1000" s="471"/>
      <c r="X1000" s="273"/>
      <c r="Y1000" s="273"/>
      <c r="Z1000" s="273"/>
      <c r="AA1000" s="580"/>
      <c r="AB1000" s="471"/>
      <c r="AC1000" s="273"/>
      <c r="AD1000" s="273"/>
      <c r="AE1000" s="273"/>
      <c r="AF1000" s="273"/>
      <c r="AG1000" s="273"/>
      <c r="AH1000" s="273"/>
      <c r="AI1000" s="273"/>
      <c r="AJ1000" s="273"/>
      <c r="AK1000" s="273"/>
      <c r="AL1000" s="273"/>
      <c r="AM1000" s="273"/>
      <c r="AN1000" s="273"/>
      <c r="AO1000" s="273"/>
      <c r="AP1000" s="273"/>
      <c r="AQ1000" s="273"/>
      <c r="AR1000" s="273"/>
      <c r="AS1000" s="273"/>
      <c r="AT1000" s="273"/>
      <c r="AU1000" s="273"/>
      <c r="AV1000" s="273"/>
      <c r="AW1000" s="273"/>
      <c r="AX1000" s="273"/>
      <c r="AY1000" s="273"/>
      <c r="AZ1000" s="273"/>
      <c r="BA1000" s="273"/>
      <c r="BB1000" s="273"/>
      <c r="BC1000" s="273"/>
      <c r="BD1000" s="273"/>
      <c r="BE1000" s="273"/>
      <c r="BF1000" s="273"/>
      <c r="BG1000" s="273"/>
      <c r="BH1000" s="273"/>
      <c r="BI1000" s="273"/>
      <c r="BJ1000" s="273"/>
      <c r="BK1000" s="273"/>
      <c r="BL1000" s="273"/>
      <c r="BM1000" s="273"/>
      <c r="BN1000" s="273"/>
      <c r="BO1000" s="273"/>
      <c r="BP1000" s="273"/>
      <c r="BQ1000" s="273"/>
      <c r="BR1000" s="273"/>
      <c r="BS1000" s="468"/>
      <c r="BT1000" s="273"/>
      <c r="BU1000" s="273"/>
      <c r="BV1000" s="273"/>
      <c r="BW1000" s="273"/>
      <c r="BX1000" s="273"/>
      <c r="BY1000" s="273"/>
      <c r="BZ1000" s="273"/>
      <c r="CA1000" s="472"/>
      <c r="CB1000" s="473"/>
      <c r="CC1000" s="462"/>
      <c r="CD1000" s="273"/>
      <c r="CE1000" s="342" t="s">
        <v>1576</v>
      </c>
      <c r="CF1000" s="342" t="s">
        <v>1575</v>
      </c>
      <c r="CG1000" s="93"/>
    </row>
    <row r="1001" spans="1:1873" s="23" customFormat="1" x14ac:dyDescent="0.2">
      <c r="A1001" s="273" t="s">
        <v>1759</v>
      </c>
      <c r="B1001" s="273" t="s">
        <v>1134</v>
      </c>
      <c r="C1001" s="273" t="s">
        <v>1138</v>
      </c>
      <c r="D1001" s="273" t="s">
        <v>619</v>
      </c>
      <c r="E1001" s="462" t="s">
        <v>1504</v>
      </c>
      <c r="F1001" s="462">
        <v>1</v>
      </c>
      <c r="G1001" s="273">
        <v>2</v>
      </c>
      <c r="H1001" s="468">
        <v>2</v>
      </c>
      <c r="I1001" s="273" t="s">
        <v>621</v>
      </c>
      <c r="J1001" s="273">
        <v>1967</v>
      </c>
      <c r="K1001" s="463" t="s">
        <v>842</v>
      </c>
      <c r="L1001" s="273">
        <v>1969</v>
      </c>
      <c r="M1001" s="471">
        <v>5.9</v>
      </c>
      <c r="N1001" s="273">
        <v>-9999</v>
      </c>
      <c r="O1001" s="1"/>
      <c r="P1001" s="414">
        <f>+T1001*G1001</f>
        <v>11.8</v>
      </c>
      <c r="Q1001" s="273">
        <v>-9999</v>
      </c>
      <c r="R1001" s="471"/>
      <c r="S1001" s="273"/>
      <c r="T1001" s="471">
        <v>5.9</v>
      </c>
      <c r="U1001" s="273">
        <v>-9999</v>
      </c>
      <c r="V1001" s="273"/>
      <c r="W1001" s="471">
        <v>-9999</v>
      </c>
      <c r="X1001" s="273">
        <v>-9999</v>
      </c>
      <c r="Y1001" s="273"/>
      <c r="Z1001" s="273" t="s">
        <v>838</v>
      </c>
      <c r="AA1001" s="470">
        <v>26874</v>
      </c>
      <c r="AB1001" s="471">
        <v>0.85</v>
      </c>
      <c r="AC1001" s="273">
        <v>-9999</v>
      </c>
      <c r="AD1001" s="273">
        <v>10.8</v>
      </c>
      <c r="AE1001" s="461" t="s">
        <v>1952</v>
      </c>
      <c r="AF1001" s="273">
        <v>3</v>
      </c>
      <c r="AG1001" s="273" t="s">
        <v>839</v>
      </c>
      <c r="AH1001" s="273" t="s">
        <v>623</v>
      </c>
      <c r="AI1001" s="273" t="s">
        <v>840</v>
      </c>
      <c r="AJ1001" s="273" t="s">
        <v>841</v>
      </c>
      <c r="AK1001" s="273" t="s">
        <v>626</v>
      </c>
      <c r="AL1001" s="273">
        <v>-9999</v>
      </c>
      <c r="AM1001" s="273">
        <v>-9999</v>
      </c>
      <c r="AN1001" s="273" t="s">
        <v>631</v>
      </c>
      <c r="AO1001" s="273">
        <v>-9999</v>
      </c>
      <c r="AP1001" s="273">
        <v>-9999</v>
      </c>
      <c r="AQ1001" s="273" t="s">
        <v>779</v>
      </c>
      <c r="AR1001" s="273" t="s">
        <v>1188</v>
      </c>
      <c r="AS1001" s="273"/>
      <c r="AT1001" s="273" t="s">
        <v>828</v>
      </c>
      <c r="AU1001" s="273" t="s">
        <v>1188</v>
      </c>
      <c r="AV1001" s="273"/>
      <c r="AW1001" s="273" t="s">
        <v>828</v>
      </c>
      <c r="AX1001" s="273" t="s">
        <v>1188</v>
      </c>
      <c r="AY1001" s="273"/>
      <c r="AZ1001" s="273" t="s">
        <v>828</v>
      </c>
      <c r="BA1001" s="273">
        <v>-9999</v>
      </c>
      <c r="BB1001" s="273" t="s">
        <v>626</v>
      </c>
      <c r="BC1001" s="273" t="s">
        <v>1146</v>
      </c>
      <c r="BD1001" s="273" t="s">
        <v>1147</v>
      </c>
      <c r="BE1001" s="273" t="s">
        <v>1148</v>
      </c>
      <c r="BF1001" s="273">
        <v>-9999</v>
      </c>
      <c r="BG1001" s="273">
        <v>-9999</v>
      </c>
      <c r="BH1001" s="273">
        <v>-9999</v>
      </c>
      <c r="BI1001" s="273" t="s">
        <v>1150</v>
      </c>
      <c r="BJ1001" s="273">
        <v>-9999</v>
      </c>
      <c r="BK1001" s="273">
        <v>-9999</v>
      </c>
      <c r="BL1001" s="273">
        <v>-9999</v>
      </c>
      <c r="BM1001" s="273">
        <v>-9999</v>
      </c>
      <c r="BN1001" s="273">
        <v>-9999</v>
      </c>
      <c r="BO1001" s="273">
        <v>-9999</v>
      </c>
      <c r="BP1001" s="273">
        <v>-9999</v>
      </c>
      <c r="BQ1001" s="273">
        <v>-9999</v>
      </c>
      <c r="BR1001" s="273">
        <v>-9999</v>
      </c>
      <c r="BS1001" s="468">
        <v>-9999</v>
      </c>
      <c r="BT1001" s="273">
        <v>-9999</v>
      </c>
      <c r="BU1001" s="273">
        <v>-9999</v>
      </c>
      <c r="BV1001" s="273">
        <v>-9999</v>
      </c>
      <c r="BW1001" s="273"/>
      <c r="BX1001" s="273">
        <v>-9999</v>
      </c>
      <c r="BY1001" s="273">
        <v>-9999</v>
      </c>
      <c r="BZ1001" s="273">
        <v>-9999</v>
      </c>
      <c r="CA1001" s="472">
        <v>30</v>
      </c>
      <c r="CB1001" s="473" t="s">
        <v>1151</v>
      </c>
      <c r="CC1001" s="462">
        <v>1</v>
      </c>
      <c r="CD1001" s="273">
        <v>2</v>
      </c>
      <c r="CE1001" s="292">
        <v>5.9</v>
      </c>
      <c r="CF1001" s="292">
        <v>-9999</v>
      </c>
      <c r="CG1001" s="93">
        <v>2</v>
      </c>
    </row>
    <row r="1002" spans="1:1873" s="23" customFormat="1" x14ac:dyDescent="0.2">
      <c r="A1002" s="461" t="s">
        <v>2036</v>
      </c>
      <c r="B1002" s="273" t="s">
        <v>1134</v>
      </c>
      <c r="C1002" s="273" t="s">
        <v>1139</v>
      </c>
      <c r="D1002" s="273" t="s">
        <v>619</v>
      </c>
      <c r="E1002" s="462" t="s">
        <v>1504</v>
      </c>
      <c r="F1002" s="462">
        <v>2</v>
      </c>
      <c r="G1002" s="273">
        <v>2</v>
      </c>
      <c r="H1002" s="468">
        <v>4</v>
      </c>
      <c r="I1002" s="273" t="s">
        <v>621</v>
      </c>
      <c r="J1002" s="273">
        <v>1967</v>
      </c>
      <c r="K1002" s="463" t="s">
        <v>842</v>
      </c>
      <c r="L1002" s="273">
        <v>1971</v>
      </c>
      <c r="M1002" s="471">
        <v>10.8</v>
      </c>
      <c r="N1002" s="273">
        <v>-9999</v>
      </c>
      <c r="O1002" s="1"/>
      <c r="P1002" s="414">
        <f>+(T1002*G1002)+P1001</f>
        <v>33.400000000000006</v>
      </c>
      <c r="Q1002" s="273">
        <v>-9999</v>
      </c>
      <c r="R1002" s="471"/>
      <c r="S1002" s="273"/>
      <c r="T1002" s="471">
        <v>10.8</v>
      </c>
      <c r="U1002" s="273">
        <v>-9999</v>
      </c>
      <c r="V1002" s="273"/>
      <c r="W1002" s="471">
        <v>-9999</v>
      </c>
      <c r="X1002" s="273">
        <v>-9999</v>
      </c>
      <c r="Y1002" s="273"/>
      <c r="Z1002" s="273" t="s">
        <v>838</v>
      </c>
      <c r="AA1002" s="470">
        <v>26874</v>
      </c>
      <c r="AB1002" s="471">
        <v>0.69</v>
      </c>
      <c r="AC1002" s="273">
        <v>-9999</v>
      </c>
      <c r="AD1002" s="273">
        <v>10.8</v>
      </c>
      <c r="AE1002" s="461" t="s">
        <v>1952</v>
      </c>
      <c r="AF1002" s="273">
        <v>3</v>
      </c>
      <c r="AG1002" s="273" t="s">
        <v>839</v>
      </c>
      <c r="AH1002" s="273" t="s">
        <v>623</v>
      </c>
      <c r="AI1002" s="273" t="s">
        <v>840</v>
      </c>
      <c r="AJ1002" s="273" t="s">
        <v>841</v>
      </c>
      <c r="AK1002" s="273" t="s">
        <v>626</v>
      </c>
      <c r="AL1002" s="273">
        <v>-9999</v>
      </c>
      <c r="AM1002" s="273">
        <v>-9999</v>
      </c>
      <c r="AN1002" s="273" t="s">
        <v>631</v>
      </c>
      <c r="AO1002" s="273">
        <v>-9999</v>
      </c>
      <c r="AP1002" s="273">
        <v>-9999</v>
      </c>
      <c r="AQ1002" s="273" t="s">
        <v>779</v>
      </c>
      <c r="AR1002" s="273" t="s">
        <v>1188</v>
      </c>
      <c r="AS1002" s="273"/>
      <c r="AT1002" s="273" t="s">
        <v>828</v>
      </c>
      <c r="AU1002" s="273" t="s">
        <v>1188</v>
      </c>
      <c r="AV1002" s="273"/>
      <c r="AW1002" s="273" t="s">
        <v>828</v>
      </c>
      <c r="AX1002" s="273" t="s">
        <v>1188</v>
      </c>
      <c r="AY1002" s="273"/>
      <c r="AZ1002" s="273" t="s">
        <v>828</v>
      </c>
      <c r="BA1002" s="273">
        <v>-9999</v>
      </c>
      <c r="BB1002" s="273" t="s">
        <v>626</v>
      </c>
      <c r="BC1002" s="273" t="s">
        <v>1146</v>
      </c>
      <c r="BD1002" s="273" t="s">
        <v>1147</v>
      </c>
      <c r="BE1002" s="273" t="s">
        <v>1148</v>
      </c>
      <c r="BF1002" s="273">
        <v>-9999</v>
      </c>
      <c r="BG1002" s="273">
        <v>-9999</v>
      </c>
      <c r="BH1002" s="273">
        <v>-9999</v>
      </c>
      <c r="BI1002" s="273" t="s">
        <v>1150</v>
      </c>
      <c r="BJ1002" s="273">
        <v>-9999</v>
      </c>
      <c r="BK1002" s="273">
        <v>-9999</v>
      </c>
      <c r="BL1002" s="273">
        <v>-9999</v>
      </c>
      <c r="BM1002" s="273">
        <v>-9999</v>
      </c>
      <c r="BN1002" s="273">
        <v>-9999</v>
      </c>
      <c r="BO1002" s="273">
        <v>-9999</v>
      </c>
      <c r="BP1002" s="273">
        <v>-9999</v>
      </c>
      <c r="BQ1002" s="273">
        <v>-9999</v>
      </c>
      <c r="BR1002" s="273">
        <v>-9999</v>
      </c>
      <c r="BS1002" s="468">
        <v>-9999</v>
      </c>
      <c r="BT1002" s="273">
        <v>-9999</v>
      </c>
      <c r="BU1002" s="273">
        <v>-9999</v>
      </c>
      <c r="BV1002" s="273">
        <v>-9999</v>
      </c>
      <c r="BW1002" s="273"/>
      <c r="BX1002" s="273">
        <v>-9999</v>
      </c>
      <c r="BY1002" s="273">
        <v>-9999</v>
      </c>
      <c r="BZ1002" s="273">
        <v>-9999</v>
      </c>
      <c r="CA1002" s="472">
        <v>15</v>
      </c>
      <c r="CB1002" s="473" t="s">
        <v>1151</v>
      </c>
      <c r="CC1002" s="462">
        <v>2</v>
      </c>
      <c r="CD1002" s="273">
        <v>2</v>
      </c>
      <c r="CE1002" s="292">
        <v>10.8</v>
      </c>
      <c r="CF1002" s="292">
        <v>-9999</v>
      </c>
      <c r="CG1002" s="206">
        <v>4</v>
      </c>
      <c r="CH1002" s="301" t="s">
        <v>1757</v>
      </c>
    </row>
    <row r="1003" spans="1:1873" s="23" customFormat="1" x14ac:dyDescent="0.2">
      <c r="A1003" s="461" t="s">
        <v>1759</v>
      </c>
      <c r="B1003" s="273" t="s">
        <v>1134</v>
      </c>
      <c r="C1003" s="273" t="s">
        <v>1140</v>
      </c>
      <c r="D1003" s="273" t="s">
        <v>619</v>
      </c>
      <c r="E1003" s="462" t="s">
        <v>1504</v>
      </c>
      <c r="F1003" s="462">
        <v>3</v>
      </c>
      <c r="G1003" s="273">
        <v>4</v>
      </c>
      <c r="H1003" s="468">
        <v>8</v>
      </c>
      <c r="I1003" s="273" t="s">
        <v>621</v>
      </c>
      <c r="J1003" s="273">
        <v>1967</v>
      </c>
      <c r="K1003" s="463" t="s">
        <v>842</v>
      </c>
      <c r="L1003" s="273">
        <v>1975</v>
      </c>
      <c r="M1003" s="471">
        <v>9.4</v>
      </c>
      <c r="N1003" s="273">
        <v>-9999</v>
      </c>
      <c r="O1003" s="1"/>
      <c r="P1003" s="414">
        <f>+(T1003*G1003)+P1002</f>
        <v>71</v>
      </c>
      <c r="Q1003" s="273">
        <v>-9999</v>
      </c>
      <c r="R1003" s="471"/>
      <c r="S1003" s="273"/>
      <c r="T1003" s="471">
        <v>9.4</v>
      </c>
      <c r="U1003" s="273">
        <v>-9999</v>
      </c>
      <c r="V1003" s="273"/>
      <c r="W1003" s="471">
        <v>-9999</v>
      </c>
      <c r="X1003" s="273">
        <v>-9999</v>
      </c>
      <c r="Y1003" s="273"/>
      <c r="Z1003" s="273" t="s">
        <v>838</v>
      </c>
      <c r="AA1003" s="470">
        <v>26874</v>
      </c>
      <c r="AB1003" s="471">
        <v>0.53</v>
      </c>
      <c r="AC1003" s="273">
        <v>-9999</v>
      </c>
      <c r="AD1003" s="273">
        <v>10.8</v>
      </c>
      <c r="AE1003" s="461" t="s">
        <v>1952</v>
      </c>
      <c r="AF1003" s="273">
        <v>3</v>
      </c>
      <c r="AG1003" s="273" t="s">
        <v>839</v>
      </c>
      <c r="AH1003" s="273" t="s">
        <v>623</v>
      </c>
      <c r="AI1003" s="273" t="s">
        <v>840</v>
      </c>
      <c r="AJ1003" s="273" t="s">
        <v>841</v>
      </c>
      <c r="AK1003" s="273" t="s">
        <v>626</v>
      </c>
      <c r="AL1003" s="273">
        <v>-9999</v>
      </c>
      <c r="AM1003" s="273">
        <v>-9999</v>
      </c>
      <c r="AN1003" s="273" t="s">
        <v>631</v>
      </c>
      <c r="AO1003" s="273">
        <v>-9999</v>
      </c>
      <c r="AP1003" s="273">
        <v>-9999</v>
      </c>
      <c r="AQ1003" s="273" t="s">
        <v>779</v>
      </c>
      <c r="AR1003" s="273" t="s">
        <v>1188</v>
      </c>
      <c r="AS1003" s="273"/>
      <c r="AT1003" s="273" t="s">
        <v>828</v>
      </c>
      <c r="AU1003" s="273" t="s">
        <v>1188</v>
      </c>
      <c r="AV1003" s="273"/>
      <c r="AW1003" s="273" t="s">
        <v>828</v>
      </c>
      <c r="AX1003" s="273" t="s">
        <v>1188</v>
      </c>
      <c r="AY1003" s="273"/>
      <c r="AZ1003" s="273" t="s">
        <v>828</v>
      </c>
      <c r="BA1003" s="273">
        <v>-9999</v>
      </c>
      <c r="BB1003" s="273" t="s">
        <v>626</v>
      </c>
      <c r="BC1003" s="273" t="s">
        <v>1146</v>
      </c>
      <c r="BD1003" s="273" t="s">
        <v>1147</v>
      </c>
      <c r="BE1003" s="273" t="s">
        <v>1148</v>
      </c>
      <c r="BF1003" s="273">
        <v>-9999</v>
      </c>
      <c r="BG1003" s="273">
        <v>-9999</v>
      </c>
      <c r="BH1003" s="273">
        <v>-9999</v>
      </c>
      <c r="BI1003" s="273" t="s">
        <v>1150</v>
      </c>
      <c r="BJ1003" s="273">
        <v>-9999</v>
      </c>
      <c r="BK1003" s="273">
        <v>-9999</v>
      </c>
      <c r="BL1003" s="273">
        <v>-9999</v>
      </c>
      <c r="BM1003" s="273">
        <v>-9999</v>
      </c>
      <c r="BN1003" s="273">
        <v>-9999</v>
      </c>
      <c r="BO1003" s="273">
        <v>-9999</v>
      </c>
      <c r="BP1003" s="273">
        <v>-9999</v>
      </c>
      <c r="BQ1003" s="273">
        <v>-9999</v>
      </c>
      <c r="BR1003" s="273">
        <v>-9999</v>
      </c>
      <c r="BS1003" s="468">
        <v>-9999</v>
      </c>
      <c r="BT1003" s="273">
        <v>-9999</v>
      </c>
      <c r="BU1003" s="273">
        <v>-9999</v>
      </c>
      <c r="BV1003" s="273">
        <v>-9999</v>
      </c>
      <c r="BW1003" s="273"/>
      <c r="BX1003" s="273">
        <v>-9999</v>
      </c>
      <c r="BY1003" s="273">
        <v>-9999</v>
      </c>
      <c r="BZ1003" s="273">
        <v>-9999</v>
      </c>
      <c r="CA1003" s="472">
        <v>15</v>
      </c>
      <c r="CB1003" s="473" t="s">
        <v>1151</v>
      </c>
      <c r="CC1003" s="462">
        <v>3</v>
      </c>
      <c r="CD1003" s="273">
        <v>4</v>
      </c>
      <c r="CE1003" s="292">
        <v>9.4</v>
      </c>
      <c r="CF1003" s="292">
        <v>-9999</v>
      </c>
      <c r="CG1003" s="468">
        <v>8</v>
      </c>
    </row>
    <row r="1004" spans="1:1873" s="23" customFormat="1" x14ac:dyDescent="0.2">
      <c r="A1004" s="273"/>
      <c r="B1004" s="273"/>
      <c r="C1004" s="273"/>
      <c r="D1004" s="273"/>
      <c r="E1004" s="462"/>
      <c r="F1004" s="462"/>
      <c r="G1004" s="273"/>
      <c r="H1004" s="468"/>
      <c r="I1004" s="273"/>
      <c r="J1004" s="273"/>
      <c r="K1004" s="463"/>
      <c r="L1004" s="273"/>
      <c r="M1004" s="471"/>
      <c r="N1004" s="273"/>
      <c r="O1004" s="1"/>
      <c r="P1004" s="414"/>
      <c r="Q1004" s="273"/>
      <c r="R1004" s="471"/>
      <c r="S1004" s="273"/>
      <c r="T1004" s="471"/>
      <c r="U1004" s="273"/>
      <c r="V1004" s="273"/>
      <c r="W1004" s="471"/>
      <c r="X1004" s="273"/>
      <c r="Y1004" s="273"/>
      <c r="Z1004" s="273"/>
      <c r="AA1004" s="580"/>
      <c r="AB1004" s="471"/>
      <c r="AC1004" s="273"/>
      <c r="AD1004" s="273"/>
      <c r="AE1004" s="273"/>
      <c r="AF1004" s="273"/>
      <c r="AG1004" s="273"/>
      <c r="AH1004" s="273"/>
      <c r="AI1004" s="273"/>
      <c r="AJ1004" s="273"/>
      <c r="AK1004" s="273"/>
      <c r="AL1004" s="273"/>
      <c r="AM1004" s="273"/>
      <c r="AN1004" s="273"/>
      <c r="AO1004" s="273"/>
      <c r="AP1004" s="273"/>
      <c r="AQ1004" s="273"/>
      <c r="AR1004" s="273"/>
      <c r="AS1004" s="273"/>
      <c r="AT1004" s="273"/>
      <c r="AU1004" s="273"/>
      <c r="AV1004" s="273"/>
      <c r="AW1004" s="273"/>
      <c r="AX1004" s="273"/>
      <c r="AY1004" s="273"/>
      <c r="AZ1004" s="273"/>
      <c r="BA1004" s="273"/>
      <c r="BB1004" s="273"/>
      <c r="BC1004" s="273"/>
      <c r="BD1004" s="273"/>
      <c r="BE1004" s="273"/>
      <c r="BF1004" s="273"/>
      <c r="BG1004" s="273"/>
      <c r="BH1004" s="273"/>
      <c r="BI1004" s="273"/>
      <c r="BJ1004" s="273"/>
      <c r="BK1004" s="273"/>
      <c r="BL1004" s="273"/>
      <c r="BM1004" s="273"/>
      <c r="BN1004" s="273"/>
      <c r="BO1004" s="273"/>
      <c r="BP1004" s="273"/>
      <c r="BQ1004" s="273"/>
      <c r="BR1004" s="273"/>
      <c r="BS1004" s="468"/>
      <c r="BT1004" s="273"/>
      <c r="BU1004" s="273"/>
      <c r="BV1004" s="273"/>
      <c r="BW1004" s="273"/>
      <c r="BX1004" s="273"/>
      <c r="BY1004" s="273"/>
      <c r="BZ1004" s="273"/>
      <c r="CA1004" s="472"/>
      <c r="CB1004" s="473"/>
      <c r="CC1004" s="462"/>
      <c r="CD1004" s="273"/>
      <c r="CE1004" s="342" t="s">
        <v>1576</v>
      </c>
      <c r="CF1004" s="342" t="s">
        <v>1575</v>
      </c>
      <c r="CG1004" s="93"/>
    </row>
    <row r="1005" spans="1:1873" s="23" customFormat="1" x14ac:dyDescent="0.2">
      <c r="A1005" s="461" t="s">
        <v>1759</v>
      </c>
      <c r="B1005" s="273" t="s">
        <v>1134</v>
      </c>
      <c r="C1005" s="273" t="s">
        <v>1142</v>
      </c>
      <c r="D1005" s="273" t="s">
        <v>619</v>
      </c>
      <c r="E1005" s="462" t="s">
        <v>1504</v>
      </c>
      <c r="F1005" s="462">
        <v>1</v>
      </c>
      <c r="G1005" s="273">
        <v>2</v>
      </c>
      <c r="H1005" s="468">
        <v>2</v>
      </c>
      <c r="I1005" s="273" t="s">
        <v>621</v>
      </c>
      <c r="J1005" s="273">
        <v>1967</v>
      </c>
      <c r="K1005" s="463" t="s">
        <v>842</v>
      </c>
      <c r="L1005" s="273">
        <v>1969</v>
      </c>
      <c r="M1005" s="471">
        <v>2.8</v>
      </c>
      <c r="N1005" s="273">
        <v>-9999</v>
      </c>
      <c r="O1005" s="1"/>
      <c r="P1005" s="414">
        <f>+T1005*G1005</f>
        <v>5.6</v>
      </c>
      <c r="Q1005" s="273">
        <v>-9999</v>
      </c>
      <c r="R1005" s="471"/>
      <c r="S1005" s="273"/>
      <c r="T1005" s="471">
        <v>2.8</v>
      </c>
      <c r="U1005" s="273">
        <v>-9999</v>
      </c>
      <c r="V1005" s="273"/>
      <c r="W1005" s="471">
        <v>-9999</v>
      </c>
      <c r="X1005" s="273">
        <v>-9999</v>
      </c>
      <c r="Y1005" s="273"/>
      <c r="Z1005" s="273" t="s">
        <v>87</v>
      </c>
      <c r="AA1005" s="470">
        <v>6719</v>
      </c>
      <c r="AB1005" s="471">
        <v>0.92</v>
      </c>
      <c r="AC1005" s="273">
        <v>-9999</v>
      </c>
      <c r="AD1005" s="273">
        <v>10.8</v>
      </c>
      <c r="AE1005" s="461" t="s">
        <v>1738</v>
      </c>
      <c r="AF1005" s="273">
        <v>3</v>
      </c>
      <c r="AG1005" s="273" t="s">
        <v>839</v>
      </c>
      <c r="AH1005" s="273" t="s">
        <v>623</v>
      </c>
      <c r="AI1005" s="273" t="s">
        <v>840</v>
      </c>
      <c r="AJ1005" s="273" t="s">
        <v>841</v>
      </c>
      <c r="AK1005" s="273" t="s">
        <v>626</v>
      </c>
      <c r="AL1005" s="273">
        <v>-9999</v>
      </c>
      <c r="AM1005" s="273">
        <v>-9999</v>
      </c>
      <c r="AN1005" s="273" t="s">
        <v>631</v>
      </c>
      <c r="AO1005" s="273">
        <v>-9999</v>
      </c>
      <c r="AP1005" s="273">
        <v>-9999</v>
      </c>
      <c r="AQ1005" s="273" t="s">
        <v>779</v>
      </c>
      <c r="AR1005" s="273" t="s">
        <v>1188</v>
      </c>
      <c r="AS1005" s="273"/>
      <c r="AT1005" s="273" t="s">
        <v>828</v>
      </c>
      <c r="AU1005" s="273" t="s">
        <v>1188</v>
      </c>
      <c r="AV1005" s="273"/>
      <c r="AW1005" s="273" t="s">
        <v>828</v>
      </c>
      <c r="AX1005" s="273" t="s">
        <v>1188</v>
      </c>
      <c r="AY1005" s="273"/>
      <c r="AZ1005" s="273" t="s">
        <v>828</v>
      </c>
      <c r="BA1005" s="273">
        <v>-9999</v>
      </c>
      <c r="BB1005" s="273" t="s">
        <v>626</v>
      </c>
      <c r="BC1005" s="273" t="s">
        <v>1146</v>
      </c>
      <c r="BD1005" s="273" t="s">
        <v>1147</v>
      </c>
      <c r="BE1005" s="273" t="s">
        <v>1148</v>
      </c>
      <c r="BF1005" s="273">
        <v>-9999</v>
      </c>
      <c r="BG1005" s="273">
        <v>-9999</v>
      </c>
      <c r="BH1005" s="273">
        <v>-9999</v>
      </c>
      <c r="BI1005" s="273" t="s">
        <v>1150</v>
      </c>
      <c r="BJ1005" s="273">
        <v>-9999</v>
      </c>
      <c r="BK1005" s="273">
        <v>-9999</v>
      </c>
      <c r="BL1005" s="273">
        <v>-9999</v>
      </c>
      <c r="BM1005" s="273">
        <v>-9999</v>
      </c>
      <c r="BN1005" s="273">
        <v>-9999</v>
      </c>
      <c r="BO1005" s="273">
        <v>-9999</v>
      </c>
      <c r="BP1005" s="273">
        <v>-9999</v>
      </c>
      <c r="BQ1005" s="273">
        <v>-9999</v>
      </c>
      <c r="BR1005" s="273">
        <v>-9999</v>
      </c>
      <c r="BS1005" s="468">
        <v>-9999</v>
      </c>
      <c r="BT1005" s="273">
        <v>-9999</v>
      </c>
      <c r="BU1005" s="273">
        <v>-9999</v>
      </c>
      <c r="BV1005" s="273">
        <v>-9999</v>
      </c>
      <c r="BW1005" s="273"/>
      <c r="BX1005" s="273">
        <v>-9999</v>
      </c>
      <c r="BY1005" s="273">
        <v>-9999</v>
      </c>
      <c r="BZ1005" s="273">
        <v>-9999</v>
      </c>
      <c r="CA1005" s="472">
        <v>30</v>
      </c>
      <c r="CB1005" s="473" t="s">
        <v>1151</v>
      </c>
      <c r="CC1005" s="462">
        <v>1</v>
      </c>
      <c r="CD1005" s="273">
        <v>2</v>
      </c>
      <c r="CE1005" s="292">
        <v>2.8</v>
      </c>
      <c r="CF1005" s="292">
        <v>-9999</v>
      </c>
      <c r="CG1005" s="93">
        <v>2</v>
      </c>
    </row>
    <row r="1006" spans="1:1873" s="23" customFormat="1" x14ac:dyDescent="0.2">
      <c r="A1006" s="273" t="s">
        <v>1759</v>
      </c>
      <c r="B1006" s="273" t="s">
        <v>1134</v>
      </c>
      <c r="C1006" s="273" t="s">
        <v>1143</v>
      </c>
      <c r="D1006" s="273" t="s">
        <v>619</v>
      </c>
      <c r="E1006" s="462" t="s">
        <v>1504</v>
      </c>
      <c r="F1006" s="462">
        <v>2</v>
      </c>
      <c r="G1006" s="273">
        <v>2</v>
      </c>
      <c r="H1006" s="468">
        <v>4</v>
      </c>
      <c r="I1006" s="273" t="s">
        <v>621</v>
      </c>
      <c r="J1006" s="273">
        <v>1967</v>
      </c>
      <c r="K1006" s="463" t="s">
        <v>842</v>
      </c>
      <c r="L1006" s="273">
        <v>1971</v>
      </c>
      <c r="M1006" s="471">
        <v>7.6</v>
      </c>
      <c r="N1006" s="273">
        <v>-9999</v>
      </c>
      <c r="O1006" s="1"/>
      <c r="P1006" s="414">
        <f>+(T1006*G1006)+P1005</f>
        <v>20.799999999999997</v>
      </c>
      <c r="Q1006" s="273">
        <v>-9999</v>
      </c>
      <c r="R1006" s="471"/>
      <c r="S1006" s="273"/>
      <c r="T1006" s="471">
        <v>7.6</v>
      </c>
      <c r="U1006" s="273">
        <v>-9999</v>
      </c>
      <c r="V1006" s="273"/>
      <c r="W1006" s="471">
        <v>-9999</v>
      </c>
      <c r="X1006" s="273">
        <v>-9999</v>
      </c>
      <c r="Y1006" s="273"/>
      <c r="Z1006" s="273" t="s">
        <v>87</v>
      </c>
      <c r="AA1006" s="470">
        <v>6719</v>
      </c>
      <c r="AB1006" s="471">
        <v>0.86</v>
      </c>
      <c r="AC1006" s="273">
        <v>-9999</v>
      </c>
      <c r="AD1006" s="273">
        <v>10.8</v>
      </c>
      <c r="AE1006" s="461" t="s">
        <v>1738</v>
      </c>
      <c r="AF1006" s="273">
        <v>3</v>
      </c>
      <c r="AG1006" s="273" t="s">
        <v>839</v>
      </c>
      <c r="AH1006" s="273" t="s">
        <v>623</v>
      </c>
      <c r="AI1006" s="273" t="s">
        <v>840</v>
      </c>
      <c r="AJ1006" s="273" t="s">
        <v>841</v>
      </c>
      <c r="AK1006" s="273" t="s">
        <v>626</v>
      </c>
      <c r="AL1006" s="273">
        <v>-9999</v>
      </c>
      <c r="AM1006" s="273">
        <v>-9999</v>
      </c>
      <c r="AN1006" s="273" t="s">
        <v>631</v>
      </c>
      <c r="AO1006" s="273">
        <v>-9999</v>
      </c>
      <c r="AP1006" s="273">
        <v>-9999</v>
      </c>
      <c r="AQ1006" s="273" t="s">
        <v>779</v>
      </c>
      <c r="AR1006" s="273" t="s">
        <v>1188</v>
      </c>
      <c r="AS1006" s="273"/>
      <c r="AT1006" s="273" t="s">
        <v>828</v>
      </c>
      <c r="AU1006" s="273" t="s">
        <v>1188</v>
      </c>
      <c r="AV1006" s="273"/>
      <c r="AW1006" s="273" t="s">
        <v>828</v>
      </c>
      <c r="AX1006" s="273" t="s">
        <v>1188</v>
      </c>
      <c r="AY1006" s="273"/>
      <c r="AZ1006" s="273" t="s">
        <v>828</v>
      </c>
      <c r="BA1006" s="273">
        <v>-9999</v>
      </c>
      <c r="BB1006" s="273" t="s">
        <v>626</v>
      </c>
      <c r="BC1006" s="273" t="s">
        <v>1146</v>
      </c>
      <c r="BD1006" s="273" t="s">
        <v>1147</v>
      </c>
      <c r="BE1006" s="273" t="s">
        <v>1148</v>
      </c>
      <c r="BF1006" s="273">
        <v>-9999</v>
      </c>
      <c r="BG1006" s="273">
        <v>-9999</v>
      </c>
      <c r="BH1006" s="273">
        <v>-9999</v>
      </c>
      <c r="BI1006" s="273" t="s">
        <v>1150</v>
      </c>
      <c r="BJ1006" s="273">
        <v>-9999</v>
      </c>
      <c r="BK1006" s="273">
        <v>-9999</v>
      </c>
      <c r="BL1006" s="273">
        <v>-9999</v>
      </c>
      <c r="BM1006" s="273">
        <v>-9999</v>
      </c>
      <c r="BN1006" s="273">
        <v>-9999</v>
      </c>
      <c r="BO1006" s="273">
        <v>-9999</v>
      </c>
      <c r="BP1006" s="273">
        <v>-9999</v>
      </c>
      <c r="BQ1006" s="273">
        <v>-9999</v>
      </c>
      <c r="BR1006" s="273">
        <v>-9999</v>
      </c>
      <c r="BS1006" s="468">
        <v>-9999</v>
      </c>
      <c r="BT1006" s="273">
        <v>-9999</v>
      </c>
      <c r="BU1006" s="273">
        <v>-9999</v>
      </c>
      <c r="BV1006" s="273">
        <v>-9999</v>
      </c>
      <c r="BW1006" s="273"/>
      <c r="BX1006" s="273">
        <v>-9999</v>
      </c>
      <c r="BY1006" s="273">
        <v>-9999</v>
      </c>
      <c r="BZ1006" s="273">
        <v>-9999</v>
      </c>
      <c r="CA1006" s="472">
        <v>15</v>
      </c>
      <c r="CB1006" s="473" t="s">
        <v>1151</v>
      </c>
      <c r="CC1006" s="462">
        <v>2</v>
      </c>
      <c r="CD1006" s="273">
        <v>2</v>
      </c>
      <c r="CE1006" s="292">
        <v>7.6</v>
      </c>
      <c r="CF1006" s="292">
        <v>-9999</v>
      </c>
      <c r="CG1006" s="93">
        <v>4</v>
      </c>
    </row>
    <row r="1007" spans="1:1873" s="207" customFormat="1" x14ac:dyDescent="0.2">
      <c r="A1007" s="461" t="s">
        <v>2036</v>
      </c>
      <c r="B1007" s="273" t="s">
        <v>1134</v>
      </c>
      <c r="C1007" s="273" t="s">
        <v>1144</v>
      </c>
      <c r="D1007" s="273" t="s">
        <v>619</v>
      </c>
      <c r="E1007" s="462" t="s">
        <v>1504</v>
      </c>
      <c r="F1007" s="462">
        <v>3</v>
      </c>
      <c r="G1007" s="273">
        <v>4</v>
      </c>
      <c r="H1007" s="468">
        <v>8</v>
      </c>
      <c r="I1007" s="273" t="s">
        <v>621</v>
      </c>
      <c r="J1007" s="273">
        <v>1967</v>
      </c>
      <c r="K1007" s="463" t="s">
        <v>842</v>
      </c>
      <c r="L1007" s="273">
        <v>1975</v>
      </c>
      <c r="M1007" s="471">
        <v>9.1999999999999993</v>
      </c>
      <c r="N1007" s="273">
        <v>-9999</v>
      </c>
      <c r="O1007" s="1"/>
      <c r="P1007" s="414">
        <f>+(T1007*G1007)+P1006</f>
        <v>57.599999999999994</v>
      </c>
      <c r="Q1007" s="273">
        <v>-9999</v>
      </c>
      <c r="R1007" s="471"/>
      <c r="S1007" s="273"/>
      <c r="T1007" s="471">
        <v>9.1999999999999993</v>
      </c>
      <c r="U1007" s="273">
        <v>-9999</v>
      </c>
      <c r="V1007" s="273"/>
      <c r="W1007" s="471">
        <v>-9999</v>
      </c>
      <c r="X1007" s="273">
        <v>-9999</v>
      </c>
      <c r="Y1007" s="273"/>
      <c r="Z1007" s="273" t="s">
        <v>87</v>
      </c>
      <c r="AA1007" s="470">
        <v>6719</v>
      </c>
      <c r="AB1007" s="471">
        <v>0.83</v>
      </c>
      <c r="AC1007" s="273">
        <v>-9999</v>
      </c>
      <c r="AD1007" s="273">
        <v>10.8</v>
      </c>
      <c r="AE1007" s="461" t="s">
        <v>1738</v>
      </c>
      <c r="AF1007" s="273">
        <v>3</v>
      </c>
      <c r="AG1007" s="273" t="s">
        <v>839</v>
      </c>
      <c r="AH1007" s="273" t="s">
        <v>623</v>
      </c>
      <c r="AI1007" s="273" t="s">
        <v>840</v>
      </c>
      <c r="AJ1007" s="273" t="s">
        <v>841</v>
      </c>
      <c r="AK1007" s="273" t="s">
        <v>626</v>
      </c>
      <c r="AL1007" s="273">
        <v>-9999</v>
      </c>
      <c r="AM1007" s="273">
        <v>-9999</v>
      </c>
      <c r="AN1007" s="273" t="s">
        <v>631</v>
      </c>
      <c r="AO1007" s="273">
        <v>-9999</v>
      </c>
      <c r="AP1007" s="273">
        <v>-9999</v>
      </c>
      <c r="AQ1007" s="273" t="s">
        <v>779</v>
      </c>
      <c r="AR1007" s="273" t="s">
        <v>1188</v>
      </c>
      <c r="AS1007" s="273"/>
      <c r="AT1007" s="273" t="s">
        <v>828</v>
      </c>
      <c r="AU1007" s="273" t="s">
        <v>1188</v>
      </c>
      <c r="AV1007" s="273"/>
      <c r="AW1007" s="273" t="s">
        <v>828</v>
      </c>
      <c r="AX1007" s="273" t="s">
        <v>1188</v>
      </c>
      <c r="AY1007" s="273"/>
      <c r="AZ1007" s="273" t="s">
        <v>828</v>
      </c>
      <c r="BA1007" s="273">
        <v>-9999</v>
      </c>
      <c r="BB1007" s="273" t="s">
        <v>626</v>
      </c>
      <c r="BC1007" s="273" t="s">
        <v>1146</v>
      </c>
      <c r="BD1007" s="273" t="s">
        <v>1147</v>
      </c>
      <c r="BE1007" s="273" t="s">
        <v>1148</v>
      </c>
      <c r="BF1007" s="273">
        <v>-9999</v>
      </c>
      <c r="BG1007" s="273">
        <v>-9999</v>
      </c>
      <c r="BH1007" s="273">
        <v>-9999</v>
      </c>
      <c r="BI1007" s="273" t="s">
        <v>1150</v>
      </c>
      <c r="BJ1007" s="273">
        <v>-9999</v>
      </c>
      <c r="BK1007" s="273">
        <v>-9999</v>
      </c>
      <c r="BL1007" s="273">
        <v>-9999</v>
      </c>
      <c r="BM1007" s="273">
        <v>-9999</v>
      </c>
      <c r="BN1007" s="273">
        <v>-9999</v>
      </c>
      <c r="BO1007" s="273">
        <v>-9999</v>
      </c>
      <c r="BP1007" s="273">
        <v>-9999</v>
      </c>
      <c r="BQ1007" s="273">
        <v>-9999</v>
      </c>
      <c r="BR1007" s="273">
        <v>-9999</v>
      </c>
      <c r="BS1007" s="468">
        <v>-9999</v>
      </c>
      <c r="BT1007" s="273">
        <v>-9999</v>
      </c>
      <c r="BU1007" s="273">
        <v>-9999</v>
      </c>
      <c r="BV1007" s="273">
        <v>-9999</v>
      </c>
      <c r="BW1007" s="273"/>
      <c r="BX1007" s="273">
        <v>-9999</v>
      </c>
      <c r="BY1007" s="273">
        <v>-9999</v>
      </c>
      <c r="BZ1007" s="273">
        <v>-9999</v>
      </c>
      <c r="CA1007" s="472">
        <v>15</v>
      </c>
      <c r="CB1007" s="473" t="s">
        <v>1151</v>
      </c>
      <c r="CC1007" s="462">
        <v>3</v>
      </c>
      <c r="CD1007" s="273">
        <v>4</v>
      </c>
      <c r="CE1007" s="292">
        <v>9.1999999999999993</v>
      </c>
      <c r="CF1007" s="292">
        <v>-9999</v>
      </c>
      <c r="CG1007" s="206">
        <v>8</v>
      </c>
      <c r="CH1007" s="301" t="s">
        <v>1757</v>
      </c>
      <c r="CI1007" s="23"/>
      <c r="CJ1007" s="23"/>
      <c r="CK1007" s="23"/>
      <c r="CL1007" s="23"/>
      <c r="CM1007" s="23"/>
      <c r="CN1007" s="23"/>
      <c r="CO1007" s="23"/>
      <c r="CP1007" s="23"/>
      <c r="CQ1007" s="23"/>
      <c r="CR1007" s="23"/>
      <c r="CS1007" s="23"/>
      <c r="CT1007" s="23"/>
      <c r="CU1007" s="23"/>
      <c r="CV1007" s="23"/>
      <c r="CW1007" s="23"/>
      <c r="CX1007" s="23"/>
      <c r="CY1007" s="23"/>
      <c r="CZ1007" s="23"/>
      <c r="DA1007" s="23"/>
      <c r="DB1007" s="23"/>
      <c r="DC1007" s="23"/>
      <c r="DD1007" s="23"/>
      <c r="DE1007" s="23"/>
      <c r="DF1007" s="23"/>
      <c r="DG1007" s="23"/>
      <c r="DH1007" s="23"/>
      <c r="DI1007" s="23"/>
      <c r="DJ1007" s="23"/>
      <c r="DK1007" s="23"/>
      <c r="DL1007" s="23"/>
      <c r="DM1007" s="23"/>
      <c r="DN1007" s="23"/>
      <c r="DO1007" s="23"/>
      <c r="DP1007" s="23"/>
      <c r="DQ1007" s="23"/>
      <c r="DR1007" s="23"/>
      <c r="DS1007" s="23"/>
      <c r="DT1007" s="23"/>
      <c r="DU1007" s="23"/>
      <c r="DV1007" s="23"/>
      <c r="DW1007" s="23"/>
      <c r="DX1007" s="23"/>
      <c r="DY1007" s="23"/>
      <c r="DZ1007" s="23"/>
      <c r="EA1007" s="23"/>
      <c r="EB1007" s="23"/>
      <c r="EC1007" s="23"/>
      <c r="ED1007" s="23"/>
      <c r="EE1007" s="23"/>
      <c r="EF1007" s="23"/>
      <c r="EG1007" s="23"/>
      <c r="EH1007" s="23"/>
      <c r="EI1007" s="23"/>
      <c r="EJ1007" s="23"/>
      <c r="EK1007" s="23"/>
      <c r="EL1007" s="23"/>
      <c r="EM1007" s="23"/>
      <c r="EN1007" s="23"/>
      <c r="EO1007" s="23"/>
      <c r="EP1007" s="23"/>
      <c r="EQ1007" s="23"/>
      <c r="ER1007" s="23"/>
      <c r="ES1007" s="23"/>
      <c r="ET1007" s="23"/>
      <c r="EU1007" s="23"/>
      <c r="EV1007" s="23"/>
      <c r="EW1007" s="23"/>
      <c r="EX1007" s="23"/>
      <c r="EY1007" s="23"/>
      <c r="EZ1007" s="23"/>
      <c r="FA1007" s="23"/>
      <c r="FB1007" s="23"/>
      <c r="FC1007" s="23"/>
      <c r="FD1007" s="23"/>
      <c r="FE1007" s="23"/>
      <c r="FF1007" s="23"/>
      <c r="FG1007" s="23"/>
      <c r="FH1007" s="23"/>
      <c r="FI1007" s="23"/>
      <c r="FJ1007" s="23"/>
      <c r="FK1007" s="23"/>
      <c r="FL1007" s="23"/>
      <c r="FM1007" s="23"/>
      <c r="FN1007" s="23"/>
      <c r="FO1007" s="23"/>
      <c r="FP1007" s="23"/>
      <c r="FQ1007" s="23"/>
      <c r="FR1007" s="23"/>
      <c r="FS1007" s="23"/>
      <c r="FT1007" s="23"/>
      <c r="FU1007" s="23"/>
      <c r="FV1007" s="23"/>
      <c r="FW1007" s="23"/>
      <c r="FX1007" s="23"/>
      <c r="FY1007" s="23"/>
      <c r="FZ1007" s="23"/>
      <c r="GA1007" s="23"/>
      <c r="GB1007" s="23"/>
      <c r="GC1007" s="23"/>
      <c r="GD1007" s="23"/>
      <c r="GE1007" s="23"/>
      <c r="GF1007" s="23"/>
      <c r="GG1007" s="23"/>
      <c r="GH1007" s="23"/>
      <c r="GI1007" s="23"/>
      <c r="GJ1007" s="23"/>
      <c r="GK1007" s="23"/>
      <c r="GL1007" s="23"/>
      <c r="GM1007" s="23"/>
      <c r="GN1007" s="23"/>
      <c r="GO1007" s="23"/>
      <c r="GP1007" s="23"/>
      <c r="GQ1007" s="23"/>
      <c r="GR1007" s="23"/>
      <c r="GS1007" s="23"/>
      <c r="GT1007" s="23"/>
      <c r="GU1007" s="23"/>
      <c r="GV1007" s="23"/>
      <c r="GW1007" s="23"/>
      <c r="GX1007" s="23"/>
      <c r="GY1007" s="23"/>
      <c r="GZ1007" s="23"/>
      <c r="HA1007" s="23"/>
      <c r="HB1007" s="23"/>
      <c r="HC1007" s="23"/>
      <c r="HD1007" s="23"/>
      <c r="HE1007" s="23"/>
      <c r="HF1007" s="23"/>
      <c r="HG1007" s="23"/>
      <c r="HH1007" s="23"/>
      <c r="HI1007" s="23"/>
      <c r="HJ1007" s="23"/>
      <c r="HK1007" s="23"/>
      <c r="HL1007" s="23"/>
      <c r="HM1007" s="23"/>
      <c r="HN1007" s="23"/>
      <c r="HO1007" s="23"/>
      <c r="HP1007" s="23"/>
      <c r="HQ1007" s="23"/>
      <c r="HR1007" s="23"/>
      <c r="HS1007" s="23"/>
      <c r="HT1007" s="23"/>
      <c r="HU1007" s="23"/>
      <c r="HV1007" s="23"/>
      <c r="HW1007" s="23"/>
      <c r="HX1007" s="23"/>
      <c r="HY1007" s="23"/>
      <c r="HZ1007" s="23"/>
      <c r="IA1007" s="23"/>
      <c r="IB1007" s="23"/>
      <c r="IC1007" s="23"/>
      <c r="ID1007" s="23"/>
      <c r="IE1007" s="23"/>
      <c r="IF1007" s="23"/>
      <c r="IG1007" s="23"/>
      <c r="IH1007" s="23"/>
      <c r="II1007" s="23"/>
      <c r="IJ1007" s="23"/>
      <c r="IK1007" s="23"/>
      <c r="IL1007" s="23"/>
      <c r="IM1007" s="23"/>
      <c r="IN1007" s="23"/>
      <c r="IO1007" s="23"/>
      <c r="IP1007" s="23"/>
      <c r="IQ1007" s="23"/>
      <c r="IR1007" s="23"/>
      <c r="IS1007" s="23"/>
      <c r="IT1007" s="23"/>
      <c r="IU1007" s="23"/>
      <c r="IV1007" s="23"/>
      <c r="IW1007" s="23"/>
      <c r="IX1007" s="23"/>
      <c r="IY1007" s="23"/>
      <c r="IZ1007" s="23"/>
      <c r="JA1007" s="23"/>
      <c r="JB1007" s="23"/>
      <c r="JC1007" s="23"/>
      <c r="JD1007" s="23"/>
      <c r="JE1007" s="23"/>
      <c r="JF1007" s="23"/>
      <c r="JG1007" s="23"/>
      <c r="JH1007" s="23"/>
      <c r="JI1007" s="23"/>
      <c r="JJ1007" s="23"/>
      <c r="JK1007" s="23"/>
      <c r="JL1007" s="23"/>
      <c r="JM1007" s="23"/>
      <c r="JN1007" s="23"/>
      <c r="JO1007" s="23"/>
      <c r="JP1007" s="23"/>
      <c r="JQ1007" s="23"/>
      <c r="JR1007" s="23"/>
      <c r="JS1007" s="23"/>
      <c r="JT1007" s="23"/>
      <c r="JU1007" s="23"/>
      <c r="JV1007" s="23"/>
      <c r="JW1007" s="23"/>
      <c r="JX1007" s="23"/>
      <c r="JY1007" s="23"/>
      <c r="JZ1007" s="23"/>
      <c r="KA1007" s="23"/>
      <c r="KB1007" s="23"/>
      <c r="KC1007" s="23"/>
      <c r="KD1007" s="23"/>
      <c r="KE1007" s="23"/>
      <c r="KF1007" s="23"/>
      <c r="KG1007" s="23"/>
      <c r="KH1007" s="23"/>
      <c r="KI1007" s="23"/>
      <c r="KJ1007" s="23"/>
      <c r="KK1007" s="23"/>
      <c r="KL1007" s="23"/>
      <c r="KM1007" s="23"/>
      <c r="KN1007" s="23"/>
      <c r="KO1007" s="23"/>
      <c r="KP1007" s="23"/>
      <c r="KQ1007" s="23"/>
      <c r="KR1007" s="23"/>
      <c r="KS1007" s="23"/>
      <c r="KT1007" s="23"/>
      <c r="KU1007" s="23"/>
      <c r="KV1007" s="23"/>
      <c r="KW1007" s="23"/>
      <c r="KX1007" s="23"/>
      <c r="KY1007" s="23"/>
      <c r="KZ1007" s="23"/>
      <c r="LA1007" s="23"/>
      <c r="LB1007" s="23"/>
      <c r="LC1007" s="23"/>
      <c r="LD1007" s="23"/>
      <c r="LE1007" s="23"/>
      <c r="LF1007" s="23"/>
      <c r="LG1007" s="23"/>
      <c r="LH1007" s="23"/>
      <c r="LI1007" s="23"/>
      <c r="LJ1007" s="23"/>
      <c r="LK1007" s="23"/>
      <c r="LL1007" s="23"/>
      <c r="LM1007" s="23"/>
      <c r="LN1007" s="23"/>
      <c r="LO1007" s="23"/>
      <c r="LP1007" s="23"/>
      <c r="LQ1007" s="23"/>
      <c r="LR1007" s="23"/>
      <c r="LS1007" s="23"/>
      <c r="LT1007" s="23"/>
      <c r="LU1007" s="23"/>
      <c r="LV1007" s="23"/>
      <c r="LW1007" s="23"/>
      <c r="LX1007" s="23"/>
      <c r="LY1007" s="23"/>
      <c r="LZ1007" s="23"/>
      <c r="MA1007" s="23"/>
      <c r="MB1007" s="23"/>
      <c r="MC1007" s="23"/>
      <c r="MD1007" s="23"/>
      <c r="ME1007" s="23"/>
      <c r="MF1007" s="23"/>
      <c r="MG1007" s="23"/>
      <c r="MH1007" s="23"/>
      <c r="MI1007" s="23"/>
      <c r="MJ1007" s="23"/>
      <c r="MK1007" s="23"/>
      <c r="ML1007" s="23"/>
      <c r="MM1007" s="23"/>
      <c r="MN1007" s="23"/>
      <c r="MO1007" s="23"/>
      <c r="MP1007" s="23"/>
      <c r="MQ1007" s="23"/>
      <c r="MR1007" s="23"/>
      <c r="MS1007" s="23"/>
      <c r="MT1007" s="23"/>
      <c r="MU1007" s="23"/>
      <c r="MV1007" s="23"/>
      <c r="MW1007" s="23"/>
      <c r="MX1007" s="23"/>
      <c r="MY1007" s="23"/>
      <c r="MZ1007" s="23"/>
      <c r="NA1007" s="23"/>
      <c r="NB1007" s="23"/>
      <c r="NC1007" s="23"/>
      <c r="ND1007" s="23"/>
      <c r="NE1007" s="23"/>
      <c r="NF1007" s="23"/>
      <c r="NG1007" s="23"/>
      <c r="NH1007" s="23"/>
      <c r="NI1007" s="23"/>
      <c r="NJ1007" s="23"/>
      <c r="NK1007" s="23"/>
      <c r="NL1007" s="23"/>
      <c r="NM1007" s="23"/>
      <c r="NN1007" s="23"/>
      <c r="NO1007" s="23"/>
      <c r="NP1007" s="23"/>
      <c r="NQ1007" s="23"/>
      <c r="NR1007" s="23"/>
      <c r="NS1007" s="23"/>
      <c r="NT1007" s="23"/>
      <c r="NU1007" s="23"/>
      <c r="NV1007" s="23"/>
      <c r="NW1007" s="23"/>
      <c r="NX1007" s="23"/>
      <c r="NY1007" s="23"/>
      <c r="NZ1007" s="23"/>
      <c r="OA1007" s="23"/>
      <c r="OB1007" s="23"/>
      <c r="OC1007" s="23"/>
      <c r="OD1007" s="23"/>
      <c r="OE1007" s="23"/>
      <c r="OF1007" s="23"/>
      <c r="OG1007" s="23"/>
      <c r="OH1007" s="23"/>
      <c r="OI1007" s="23"/>
      <c r="OJ1007" s="23"/>
      <c r="OK1007" s="23"/>
      <c r="OL1007" s="23"/>
      <c r="OM1007" s="23"/>
      <c r="ON1007" s="23"/>
      <c r="OO1007" s="23"/>
      <c r="OP1007" s="23"/>
      <c r="OQ1007" s="23"/>
      <c r="OR1007" s="23"/>
      <c r="OS1007" s="23"/>
      <c r="OT1007" s="23"/>
      <c r="OU1007" s="23"/>
      <c r="OV1007" s="23"/>
      <c r="OW1007" s="23"/>
      <c r="OX1007" s="23"/>
      <c r="OY1007" s="23"/>
      <c r="OZ1007" s="23"/>
      <c r="PA1007" s="23"/>
      <c r="PB1007" s="23"/>
      <c r="PC1007" s="23"/>
      <c r="PD1007" s="23"/>
      <c r="PE1007" s="23"/>
      <c r="PF1007" s="23"/>
      <c r="PG1007" s="23"/>
      <c r="PH1007" s="23"/>
      <c r="PI1007" s="23"/>
      <c r="PJ1007" s="23"/>
      <c r="PK1007" s="23"/>
      <c r="PL1007" s="23"/>
      <c r="PM1007" s="23"/>
      <c r="PN1007" s="23"/>
      <c r="PO1007" s="23"/>
      <c r="PP1007" s="23"/>
      <c r="PQ1007" s="23"/>
      <c r="PR1007" s="23"/>
      <c r="PS1007" s="23"/>
      <c r="PT1007" s="23"/>
      <c r="PU1007" s="23"/>
      <c r="PV1007" s="23"/>
      <c r="PW1007" s="23"/>
      <c r="PX1007" s="23"/>
      <c r="PY1007" s="23"/>
      <c r="PZ1007" s="23"/>
      <c r="QA1007" s="23"/>
      <c r="QB1007" s="23"/>
      <c r="QC1007" s="23"/>
      <c r="QD1007" s="23"/>
      <c r="QE1007" s="23"/>
      <c r="QF1007" s="23"/>
      <c r="QG1007" s="23"/>
      <c r="QH1007" s="23"/>
      <c r="QI1007" s="23"/>
      <c r="QJ1007" s="23"/>
      <c r="QK1007" s="23"/>
      <c r="QL1007" s="23"/>
      <c r="QM1007" s="23"/>
      <c r="QN1007" s="23"/>
      <c r="QO1007" s="23"/>
      <c r="QP1007" s="23"/>
      <c r="QQ1007" s="23"/>
      <c r="QR1007" s="23"/>
      <c r="QS1007" s="23"/>
      <c r="QT1007" s="23"/>
      <c r="QU1007" s="23"/>
      <c r="QV1007" s="23"/>
      <c r="QW1007" s="23"/>
      <c r="QX1007" s="23"/>
      <c r="QY1007" s="23"/>
      <c r="QZ1007" s="23"/>
      <c r="RA1007" s="23"/>
      <c r="RB1007" s="23"/>
      <c r="RC1007" s="23"/>
      <c r="RD1007" s="23"/>
      <c r="RE1007" s="23"/>
      <c r="RF1007" s="23"/>
      <c r="RG1007" s="23"/>
      <c r="RH1007" s="23"/>
      <c r="RI1007" s="23"/>
      <c r="RJ1007" s="23"/>
      <c r="RK1007" s="23"/>
      <c r="RL1007" s="23"/>
      <c r="RM1007" s="23"/>
      <c r="RN1007" s="23"/>
      <c r="RO1007" s="23"/>
      <c r="RP1007" s="23"/>
      <c r="RQ1007" s="23"/>
      <c r="RR1007" s="23"/>
      <c r="RS1007" s="23"/>
      <c r="RT1007" s="23"/>
      <c r="RU1007" s="23"/>
      <c r="RV1007" s="23"/>
      <c r="RW1007" s="23"/>
      <c r="RX1007" s="23"/>
      <c r="RY1007" s="23"/>
      <c r="RZ1007" s="23"/>
      <c r="SA1007" s="23"/>
      <c r="SB1007" s="23"/>
      <c r="SC1007" s="23"/>
      <c r="SD1007" s="23"/>
      <c r="SE1007" s="23"/>
      <c r="SF1007" s="23"/>
      <c r="SG1007" s="23"/>
      <c r="SH1007" s="23"/>
      <c r="SI1007" s="23"/>
      <c r="SJ1007" s="23"/>
      <c r="SK1007" s="23"/>
      <c r="SL1007" s="23"/>
      <c r="SM1007" s="23"/>
      <c r="SN1007" s="23"/>
      <c r="SO1007" s="23"/>
      <c r="SP1007" s="23"/>
      <c r="SQ1007" s="23"/>
      <c r="SR1007" s="23"/>
      <c r="SS1007" s="23"/>
      <c r="ST1007" s="23"/>
      <c r="SU1007" s="23"/>
      <c r="SV1007" s="23"/>
      <c r="SW1007" s="23"/>
      <c r="SX1007" s="23"/>
      <c r="SY1007" s="23"/>
      <c r="SZ1007" s="23"/>
      <c r="TA1007" s="23"/>
      <c r="TB1007" s="23"/>
      <c r="TC1007" s="23"/>
      <c r="TD1007" s="23"/>
      <c r="TE1007" s="23"/>
      <c r="TF1007" s="23"/>
      <c r="TG1007" s="23"/>
      <c r="TH1007" s="23"/>
      <c r="TI1007" s="23"/>
      <c r="TJ1007" s="23"/>
      <c r="TK1007" s="23"/>
      <c r="TL1007" s="23"/>
      <c r="TM1007" s="23"/>
      <c r="TN1007" s="23"/>
      <c r="TO1007" s="23"/>
      <c r="TP1007" s="23"/>
      <c r="TQ1007" s="23"/>
      <c r="TR1007" s="23"/>
      <c r="TS1007" s="23"/>
      <c r="TT1007" s="23"/>
      <c r="TU1007" s="23"/>
      <c r="TV1007" s="23"/>
      <c r="TW1007" s="23"/>
      <c r="TX1007" s="23"/>
      <c r="TY1007" s="23"/>
      <c r="TZ1007" s="23"/>
      <c r="UA1007" s="23"/>
      <c r="UB1007" s="23"/>
      <c r="UC1007" s="23"/>
      <c r="UD1007" s="23"/>
      <c r="UE1007" s="23"/>
      <c r="UF1007" s="23"/>
      <c r="UG1007" s="23"/>
      <c r="UH1007" s="23"/>
      <c r="UI1007" s="23"/>
      <c r="UJ1007" s="23"/>
      <c r="UK1007" s="23"/>
      <c r="UL1007" s="23"/>
      <c r="UM1007" s="23"/>
      <c r="UN1007" s="23"/>
      <c r="UO1007" s="23"/>
      <c r="UP1007" s="23"/>
      <c r="UQ1007" s="23"/>
      <c r="UR1007" s="23"/>
      <c r="US1007" s="23"/>
      <c r="UT1007" s="23"/>
      <c r="UU1007" s="23"/>
      <c r="UV1007" s="23"/>
      <c r="UW1007" s="23"/>
      <c r="UX1007" s="23"/>
      <c r="UY1007" s="23"/>
      <c r="UZ1007" s="23"/>
      <c r="VA1007" s="23"/>
      <c r="VB1007" s="23"/>
      <c r="VC1007" s="23"/>
      <c r="VD1007" s="23"/>
      <c r="VE1007" s="23"/>
      <c r="VF1007" s="23"/>
      <c r="VG1007" s="23"/>
      <c r="VH1007" s="23"/>
      <c r="VI1007" s="23"/>
      <c r="VJ1007" s="23"/>
      <c r="VK1007" s="23"/>
      <c r="VL1007" s="23"/>
      <c r="VM1007" s="23"/>
      <c r="VN1007" s="23"/>
      <c r="VO1007" s="23"/>
      <c r="VP1007" s="23"/>
      <c r="VQ1007" s="23"/>
      <c r="VR1007" s="23"/>
      <c r="VS1007" s="23"/>
      <c r="VT1007" s="23"/>
      <c r="VU1007" s="23"/>
      <c r="VV1007" s="23"/>
      <c r="VW1007" s="23"/>
      <c r="VX1007" s="23"/>
      <c r="VY1007" s="23"/>
      <c r="VZ1007" s="23"/>
      <c r="WA1007" s="23"/>
      <c r="WB1007" s="23"/>
      <c r="WC1007" s="23"/>
      <c r="WD1007" s="23"/>
      <c r="WE1007" s="23"/>
      <c r="WF1007" s="23"/>
      <c r="WG1007" s="23"/>
      <c r="WH1007" s="23"/>
      <c r="WI1007" s="23"/>
      <c r="WJ1007" s="23"/>
      <c r="WK1007" s="23"/>
      <c r="WL1007" s="23"/>
      <c r="WM1007" s="23"/>
      <c r="WN1007" s="23"/>
      <c r="WO1007" s="23"/>
      <c r="WP1007" s="23"/>
      <c r="WQ1007" s="23"/>
      <c r="WR1007" s="23"/>
      <c r="WS1007" s="23"/>
      <c r="WT1007" s="23"/>
      <c r="WU1007" s="23"/>
      <c r="WV1007" s="23"/>
      <c r="WW1007" s="23"/>
      <c r="WX1007" s="23"/>
      <c r="WY1007" s="23"/>
      <c r="WZ1007" s="23"/>
      <c r="XA1007" s="23"/>
      <c r="XB1007" s="23"/>
      <c r="XC1007" s="23"/>
      <c r="XD1007" s="23"/>
      <c r="XE1007" s="23"/>
      <c r="XF1007" s="23"/>
      <c r="XG1007" s="23"/>
      <c r="XH1007" s="23"/>
      <c r="XI1007" s="23"/>
      <c r="XJ1007" s="23"/>
      <c r="XK1007" s="23"/>
      <c r="XL1007" s="23"/>
      <c r="XM1007" s="23"/>
      <c r="XN1007" s="23"/>
      <c r="XO1007" s="23"/>
      <c r="XP1007" s="23"/>
      <c r="XQ1007" s="23"/>
      <c r="XR1007" s="23"/>
      <c r="XS1007" s="23"/>
      <c r="XT1007" s="23"/>
      <c r="XU1007" s="23"/>
      <c r="XV1007" s="23"/>
      <c r="XW1007" s="23"/>
      <c r="XX1007" s="23"/>
      <c r="XY1007" s="23"/>
      <c r="XZ1007" s="23"/>
      <c r="YA1007" s="23"/>
      <c r="YB1007" s="23"/>
      <c r="YC1007" s="23"/>
      <c r="YD1007" s="23"/>
      <c r="YE1007" s="23"/>
      <c r="YF1007" s="23"/>
      <c r="YG1007" s="23"/>
      <c r="YH1007" s="23"/>
      <c r="YI1007" s="23"/>
      <c r="YJ1007" s="23"/>
      <c r="YK1007" s="23"/>
      <c r="YL1007" s="23"/>
      <c r="YM1007" s="23"/>
      <c r="YN1007" s="23"/>
      <c r="YO1007" s="23"/>
      <c r="YP1007" s="23"/>
      <c r="YQ1007" s="23"/>
      <c r="YR1007" s="23"/>
      <c r="YS1007" s="23"/>
      <c r="YT1007" s="23"/>
      <c r="YU1007" s="23"/>
      <c r="YV1007" s="23"/>
      <c r="YW1007" s="23"/>
      <c r="YX1007" s="23"/>
      <c r="YY1007" s="23"/>
      <c r="YZ1007" s="23"/>
      <c r="ZA1007" s="23"/>
      <c r="ZB1007" s="23"/>
      <c r="ZC1007" s="23"/>
      <c r="ZD1007" s="23"/>
      <c r="ZE1007" s="23"/>
      <c r="ZF1007" s="23"/>
      <c r="ZG1007" s="23"/>
      <c r="ZH1007" s="23"/>
      <c r="ZI1007" s="23"/>
      <c r="ZJ1007" s="23"/>
      <c r="ZK1007" s="23"/>
      <c r="ZL1007" s="23"/>
      <c r="ZM1007" s="23"/>
      <c r="ZN1007" s="23"/>
      <c r="ZO1007" s="23"/>
      <c r="ZP1007" s="23"/>
      <c r="ZQ1007" s="23"/>
      <c r="ZR1007" s="23"/>
      <c r="ZS1007" s="23"/>
      <c r="ZT1007" s="23"/>
      <c r="ZU1007" s="23"/>
      <c r="ZV1007" s="23"/>
      <c r="ZW1007" s="23"/>
      <c r="ZX1007" s="23"/>
      <c r="ZY1007" s="23"/>
      <c r="ZZ1007" s="23"/>
      <c r="AAA1007" s="23"/>
      <c r="AAB1007" s="23"/>
      <c r="AAC1007" s="23"/>
      <c r="AAD1007" s="23"/>
      <c r="AAE1007" s="23"/>
      <c r="AAF1007" s="23"/>
      <c r="AAG1007" s="23"/>
      <c r="AAH1007" s="23"/>
      <c r="AAI1007" s="23"/>
      <c r="AAJ1007" s="23"/>
      <c r="AAK1007" s="23"/>
      <c r="AAL1007" s="23"/>
      <c r="AAM1007" s="23"/>
      <c r="AAN1007" s="23"/>
      <c r="AAO1007" s="23"/>
      <c r="AAP1007" s="23"/>
      <c r="AAQ1007" s="23"/>
      <c r="AAR1007" s="23"/>
      <c r="AAS1007" s="23"/>
      <c r="AAT1007" s="23"/>
      <c r="AAU1007" s="23"/>
      <c r="AAV1007" s="23"/>
      <c r="AAW1007" s="23"/>
      <c r="AAX1007" s="23"/>
      <c r="AAY1007" s="23"/>
      <c r="AAZ1007" s="23"/>
      <c r="ABA1007" s="23"/>
      <c r="ABB1007" s="23"/>
      <c r="ABC1007" s="23"/>
      <c r="ABD1007" s="23"/>
      <c r="ABE1007" s="23"/>
      <c r="ABF1007" s="23"/>
      <c r="ABG1007" s="23"/>
      <c r="ABH1007" s="23"/>
      <c r="ABI1007" s="23"/>
      <c r="ABJ1007" s="23"/>
      <c r="ABK1007" s="23"/>
      <c r="ABL1007" s="23"/>
      <c r="ABM1007" s="23"/>
      <c r="ABN1007" s="23"/>
      <c r="ABO1007" s="23"/>
      <c r="ABP1007" s="23"/>
      <c r="ABQ1007" s="23"/>
      <c r="ABR1007" s="23"/>
      <c r="ABS1007" s="23"/>
      <c r="ABT1007" s="23"/>
      <c r="ABU1007" s="23"/>
      <c r="ABV1007" s="23"/>
      <c r="ABW1007" s="23"/>
      <c r="ABX1007" s="23"/>
      <c r="ABY1007" s="23"/>
      <c r="ABZ1007" s="23"/>
      <c r="ACA1007" s="23"/>
      <c r="ACB1007" s="23"/>
      <c r="ACC1007" s="23"/>
      <c r="ACD1007" s="23"/>
      <c r="ACE1007" s="23"/>
      <c r="ACF1007" s="23"/>
      <c r="ACG1007" s="23"/>
      <c r="ACH1007" s="23"/>
      <c r="ACI1007" s="23"/>
      <c r="ACJ1007" s="23"/>
      <c r="ACK1007" s="23"/>
      <c r="ACL1007" s="23"/>
      <c r="ACM1007" s="23"/>
      <c r="ACN1007" s="23"/>
      <c r="ACO1007" s="23"/>
      <c r="ACP1007" s="23"/>
      <c r="ACQ1007" s="23"/>
      <c r="ACR1007" s="23"/>
      <c r="ACS1007" s="23"/>
      <c r="ACT1007" s="23"/>
      <c r="ACU1007" s="23"/>
      <c r="ACV1007" s="23"/>
      <c r="ACW1007" s="23"/>
      <c r="ACX1007" s="23"/>
      <c r="ACY1007" s="23"/>
      <c r="ACZ1007" s="23"/>
      <c r="ADA1007" s="23"/>
      <c r="ADB1007" s="23"/>
      <c r="ADC1007" s="23"/>
      <c r="ADD1007" s="23"/>
      <c r="ADE1007" s="23"/>
      <c r="ADF1007" s="23"/>
      <c r="ADG1007" s="23"/>
      <c r="ADH1007" s="23"/>
      <c r="ADI1007" s="23"/>
      <c r="ADJ1007" s="23"/>
      <c r="ADK1007" s="23"/>
      <c r="ADL1007" s="23"/>
      <c r="ADM1007" s="23"/>
      <c r="ADN1007" s="23"/>
      <c r="ADO1007" s="23"/>
      <c r="ADP1007" s="23"/>
      <c r="ADQ1007" s="23"/>
      <c r="ADR1007" s="23"/>
      <c r="ADS1007" s="23"/>
      <c r="ADT1007" s="23"/>
      <c r="ADU1007" s="23"/>
      <c r="ADV1007" s="23"/>
      <c r="ADW1007" s="23"/>
      <c r="ADX1007" s="23"/>
      <c r="ADY1007" s="23"/>
      <c r="ADZ1007" s="23"/>
      <c r="AEA1007" s="23"/>
      <c r="AEB1007" s="23"/>
      <c r="AEC1007" s="23"/>
      <c r="AED1007" s="23"/>
      <c r="AEE1007" s="23"/>
      <c r="AEF1007" s="23"/>
      <c r="AEG1007" s="23"/>
      <c r="AEH1007" s="23"/>
      <c r="AEI1007" s="23"/>
      <c r="AEJ1007" s="23"/>
      <c r="AEK1007" s="23"/>
      <c r="AEL1007" s="23"/>
      <c r="AEM1007" s="23"/>
      <c r="AEN1007" s="23"/>
      <c r="AEO1007" s="23"/>
      <c r="AEP1007" s="23"/>
      <c r="AEQ1007" s="23"/>
      <c r="AER1007" s="23"/>
      <c r="AES1007" s="23"/>
      <c r="AET1007" s="23"/>
      <c r="AEU1007" s="23"/>
      <c r="AEV1007" s="23"/>
      <c r="AEW1007" s="23"/>
      <c r="AEX1007" s="23"/>
      <c r="AEY1007" s="23"/>
      <c r="AEZ1007" s="23"/>
      <c r="AFA1007" s="23"/>
      <c r="AFB1007" s="23"/>
      <c r="AFC1007" s="23"/>
      <c r="AFD1007" s="23"/>
      <c r="AFE1007" s="23"/>
      <c r="AFF1007" s="23"/>
      <c r="AFG1007" s="23"/>
      <c r="AFH1007" s="23"/>
      <c r="AFI1007" s="23"/>
      <c r="AFJ1007" s="23"/>
      <c r="AFK1007" s="23"/>
      <c r="AFL1007" s="23"/>
      <c r="AFM1007" s="23"/>
      <c r="AFN1007" s="23"/>
      <c r="AFO1007" s="23"/>
      <c r="AFP1007" s="23"/>
      <c r="AFQ1007" s="23"/>
      <c r="AFR1007" s="23"/>
      <c r="AFS1007" s="23"/>
      <c r="AFT1007" s="23"/>
      <c r="AFU1007" s="23"/>
      <c r="AFV1007" s="23"/>
      <c r="AFW1007" s="23"/>
      <c r="AFX1007" s="23"/>
      <c r="AFY1007" s="23"/>
      <c r="AFZ1007" s="23"/>
      <c r="AGA1007" s="23"/>
      <c r="AGB1007" s="23"/>
      <c r="AGC1007" s="23"/>
      <c r="AGD1007" s="23"/>
      <c r="AGE1007" s="23"/>
      <c r="AGF1007" s="23"/>
      <c r="AGG1007" s="23"/>
      <c r="AGH1007" s="23"/>
      <c r="AGI1007" s="23"/>
      <c r="AGJ1007" s="23"/>
      <c r="AGK1007" s="23"/>
      <c r="AGL1007" s="23"/>
      <c r="AGM1007" s="23"/>
      <c r="AGN1007" s="23"/>
      <c r="AGO1007" s="23"/>
      <c r="AGP1007" s="23"/>
      <c r="AGQ1007" s="23"/>
      <c r="AGR1007" s="23"/>
      <c r="AGS1007" s="23"/>
      <c r="AGT1007" s="23"/>
      <c r="AGU1007" s="23"/>
      <c r="AGV1007" s="23"/>
      <c r="AGW1007" s="23"/>
      <c r="AGX1007" s="23"/>
      <c r="AGY1007" s="23"/>
      <c r="AGZ1007" s="23"/>
      <c r="AHA1007" s="23"/>
      <c r="AHB1007" s="23"/>
      <c r="AHC1007" s="23"/>
      <c r="AHD1007" s="23"/>
      <c r="AHE1007" s="23"/>
      <c r="AHF1007" s="23"/>
      <c r="AHG1007" s="23"/>
      <c r="AHH1007" s="23"/>
      <c r="AHI1007" s="23"/>
      <c r="AHJ1007" s="23"/>
      <c r="AHK1007" s="23"/>
      <c r="AHL1007" s="23"/>
      <c r="AHM1007" s="23"/>
      <c r="AHN1007" s="23"/>
      <c r="AHO1007" s="23"/>
      <c r="AHP1007" s="23"/>
      <c r="AHQ1007" s="23"/>
      <c r="AHR1007" s="23"/>
      <c r="AHS1007" s="23"/>
      <c r="AHT1007" s="23"/>
      <c r="AHU1007" s="23"/>
      <c r="AHV1007" s="23"/>
      <c r="AHW1007" s="23"/>
      <c r="AHX1007" s="23"/>
      <c r="AHY1007" s="23"/>
      <c r="AHZ1007" s="23"/>
      <c r="AIA1007" s="23"/>
      <c r="AIB1007" s="23"/>
      <c r="AIC1007" s="23"/>
      <c r="AID1007" s="23"/>
      <c r="AIE1007" s="23"/>
      <c r="AIF1007" s="23"/>
      <c r="AIG1007" s="23"/>
      <c r="AIH1007" s="23"/>
      <c r="AII1007" s="23"/>
      <c r="AIJ1007" s="23"/>
      <c r="AIK1007" s="23"/>
      <c r="AIL1007" s="23"/>
      <c r="AIM1007" s="23"/>
      <c r="AIN1007" s="23"/>
      <c r="AIO1007" s="23"/>
      <c r="AIP1007" s="23"/>
      <c r="AIQ1007" s="23"/>
      <c r="AIR1007" s="23"/>
      <c r="AIS1007" s="23"/>
      <c r="AIT1007" s="23"/>
      <c r="AIU1007" s="23"/>
      <c r="AIV1007" s="23"/>
      <c r="AIW1007" s="23"/>
      <c r="AIX1007" s="23"/>
      <c r="AIY1007" s="23"/>
      <c r="AIZ1007" s="23"/>
      <c r="AJA1007" s="23"/>
      <c r="AJB1007" s="23"/>
      <c r="AJC1007" s="23"/>
      <c r="AJD1007" s="23"/>
      <c r="AJE1007" s="23"/>
      <c r="AJF1007" s="23"/>
      <c r="AJG1007" s="23"/>
      <c r="AJH1007" s="23"/>
      <c r="AJI1007" s="23"/>
      <c r="AJJ1007" s="23"/>
      <c r="AJK1007" s="23"/>
      <c r="AJL1007" s="23"/>
      <c r="AJM1007" s="23"/>
      <c r="AJN1007" s="23"/>
      <c r="AJO1007" s="23"/>
      <c r="AJP1007" s="23"/>
      <c r="AJQ1007" s="23"/>
      <c r="AJR1007" s="23"/>
      <c r="AJS1007" s="23"/>
      <c r="AJT1007" s="23"/>
      <c r="AJU1007" s="23"/>
      <c r="AJV1007" s="23"/>
      <c r="AJW1007" s="23"/>
      <c r="AJX1007" s="23"/>
      <c r="AJY1007" s="23"/>
      <c r="AJZ1007" s="23"/>
      <c r="AKA1007" s="23"/>
      <c r="AKB1007" s="23"/>
      <c r="AKC1007" s="23"/>
      <c r="AKD1007" s="23"/>
      <c r="AKE1007" s="23"/>
      <c r="AKF1007" s="23"/>
      <c r="AKG1007" s="23"/>
      <c r="AKH1007" s="23"/>
      <c r="AKI1007" s="23"/>
      <c r="AKJ1007" s="23"/>
      <c r="AKK1007" s="23"/>
      <c r="AKL1007" s="23"/>
      <c r="AKM1007" s="23"/>
      <c r="AKN1007" s="23"/>
      <c r="AKO1007" s="23"/>
      <c r="AKP1007" s="23"/>
      <c r="AKQ1007" s="23"/>
      <c r="AKR1007" s="23"/>
      <c r="AKS1007" s="23"/>
      <c r="AKT1007" s="23"/>
      <c r="AKU1007" s="23"/>
      <c r="AKV1007" s="23"/>
      <c r="AKW1007" s="23"/>
      <c r="AKX1007" s="23"/>
      <c r="AKY1007" s="23"/>
      <c r="AKZ1007" s="23"/>
      <c r="ALA1007" s="23"/>
      <c r="ALB1007" s="23"/>
      <c r="ALC1007" s="23"/>
      <c r="ALD1007" s="23"/>
      <c r="ALE1007" s="23"/>
      <c r="ALF1007" s="23"/>
      <c r="ALG1007" s="23"/>
      <c r="ALH1007" s="23"/>
      <c r="ALI1007" s="23"/>
      <c r="ALJ1007" s="23"/>
      <c r="ALK1007" s="23"/>
      <c r="ALL1007" s="23"/>
      <c r="ALM1007" s="23"/>
      <c r="ALN1007" s="23"/>
      <c r="ALO1007" s="23"/>
      <c r="ALP1007" s="23"/>
      <c r="ALQ1007" s="23"/>
      <c r="ALR1007" s="23"/>
      <c r="ALS1007" s="23"/>
      <c r="ALT1007" s="23"/>
      <c r="ALU1007" s="23"/>
      <c r="ALV1007" s="23"/>
      <c r="ALW1007" s="23"/>
      <c r="ALX1007" s="23"/>
      <c r="ALY1007" s="23"/>
      <c r="ALZ1007" s="23"/>
      <c r="AMA1007" s="23"/>
      <c r="AMB1007" s="23"/>
      <c r="AMC1007" s="23"/>
      <c r="AMD1007" s="23"/>
      <c r="AME1007" s="23"/>
      <c r="AMF1007" s="23"/>
      <c r="AMG1007" s="23"/>
      <c r="AMH1007" s="23"/>
      <c r="AMI1007" s="23"/>
      <c r="AMJ1007" s="23"/>
      <c r="AMK1007" s="23"/>
      <c r="AML1007" s="23"/>
      <c r="AMM1007" s="23"/>
      <c r="AMN1007" s="23"/>
      <c r="AMO1007" s="23"/>
      <c r="AMP1007" s="23"/>
      <c r="AMQ1007" s="23"/>
      <c r="AMR1007" s="23"/>
      <c r="AMS1007" s="23"/>
      <c r="AMT1007" s="23"/>
      <c r="AMU1007" s="23"/>
      <c r="AMV1007" s="23"/>
      <c r="AMW1007" s="23"/>
      <c r="AMX1007" s="23"/>
      <c r="AMY1007" s="23"/>
      <c r="AMZ1007" s="23"/>
      <c r="ANA1007" s="23"/>
      <c r="ANB1007" s="23"/>
      <c r="ANC1007" s="23"/>
      <c r="AND1007" s="23"/>
      <c r="ANE1007" s="23"/>
      <c r="ANF1007" s="23"/>
      <c r="ANG1007" s="23"/>
      <c r="ANH1007" s="23"/>
      <c r="ANI1007" s="23"/>
      <c r="ANJ1007" s="23"/>
      <c r="ANK1007" s="23"/>
      <c r="ANL1007" s="23"/>
      <c r="ANM1007" s="23"/>
      <c r="ANN1007" s="23"/>
      <c r="ANO1007" s="23"/>
      <c r="ANP1007" s="23"/>
      <c r="ANQ1007" s="23"/>
      <c r="ANR1007" s="23"/>
      <c r="ANS1007" s="23"/>
      <c r="ANT1007" s="23"/>
      <c r="ANU1007" s="23"/>
      <c r="ANV1007" s="23"/>
      <c r="ANW1007" s="23"/>
      <c r="ANX1007" s="23"/>
      <c r="ANY1007" s="23"/>
      <c r="ANZ1007" s="23"/>
      <c r="AOA1007" s="23"/>
      <c r="AOB1007" s="23"/>
      <c r="AOC1007" s="23"/>
      <c r="AOD1007" s="23"/>
      <c r="AOE1007" s="23"/>
      <c r="AOF1007" s="23"/>
      <c r="AOG1007" s="23"/>
      <c r="AOH1007" s="23"/>
      <c r="AOI1007" s="23"/>
      <c r="AOJ1007" s="23"/>
      <c r="AOK1007" s="23"/>
      <c r="AOL1007" s="23"/>
      <c r="AOM1007" s="23"/>
      <c r="AON1007" s="23"/>
      <c r="AOO1007" s="23"/>
      <c r="AOP1007" s="23"/>
      <c r="AOQ1007" s="23"/>
      <c r="AOR1007" s="23"/>
      <c r="AOS1007" s="23"/>
      <c r="AOT1007" s="23"/>
      <c r="AOU1007" s="23"/>
      <c r="AOV1007" s="23"/>
      <c r="AOW1007" s="23"/>
      <c r="AOX1007" s="23"/>
      <c r="AOY1007" s="23"/>
      <c r="AOZ1007" s="23"/>
      <c r="APA1007" s="23"/>
      <c r="APB1007" s="23"/>
      <c r="APC1007" s="23"/>
      <c r="APD1007" s="23"/>
      <c r="APE1007" s="23"/>
      <c r="APF1007" s="23"/>
      <c r="APG1007" s="23"/>
      <c r="APH1007" s="23"/>
      <c r="API1007" s="23"/>
      <c r="APJ1007" s="23"/>
      <c r="APK1007" s="23"/>
      <c r="APL1007" s="23"/>
      <c r="APM1007" s="23"/>
      <c r="APN1007" s="23"/>
      <c r="APO1007" s="23"/>
      <c r="APP1007" s="23"/>
      <c r="APQ1007" s="23"/>
      <c r="APR1007" s="23"/>
      <c r="APS1007" s="23"/>
      <c r="APT1007" s="23"/>
      <c r="APU1007" s="23"/>
      <c r="APV1007" s="23"/>
      <c r="APW1007" s="23"/>
      <c r="APX1007" s="23"/>
      <c r="APY1007" s="23"/>
      <c r="APZ1007" s="23"/>
      <c r="AQA1007" s="23"/>
      <c r="AQB1007" s="23"/>
      <c r="AQC1007" s="23"/>
      <c r="AQD1007" s="23"/>
      <c r="AQE1007" s="23"/>
      <c r="AQF1007" s="23"/>
      <c r="AQG1007" s="23"/>
      <c r="AQH1007" s="23"/>
      <c r="AQI1007" s="23"/>
      <c r="AQJ1007" s="23"/>
      <c r="AQK1007" s="23"/>
      <c r="AQL1007" s="23"/>
      <c r="AQM1007" s="23"/>
      <c r="AQN1007" s="23"/>
      <c r="AQO1007" s="23"/>
      <c r="AQP1007" s="23"/>
      <c r="AQQ1007" s="23"/>
      <c r="AQR1007" s="23"/>
      <c r="AQS1007" s="23"/>
      <c r="AQT1007" s="23"/>
      <c r="AQU1007" s="23"/>
      <c r="AQV1007" s="23"/>
      <c r="AQW1007" s="23"/>
      <c r="AQX1007" s="23"/>
      <c r="AQY1007" s="23"/>
      <c r="AQZ1007" s="23"/>
      <c r="ARA1007" s="23"/>
      <c r="ARB1007" s="23"/>
      <c r="ARC1007" s="23"/>
      <c r="ARD1007" s="23"/>
      <c r="ARE1007" s="23"/>
      <c r="ARF1007" s="23"/>
      <c r="ARG1007" s="23"/>
      <c r="ARH1007" s="23"/>
      <c r="ARI1007" s="23"/>
      <c r="ARJ1007" s="23"/>
      <c r="ARK1007" s="23"/>
      <c r="ARL1007" s="23"/>
      <c r="ARM1007" s="23"/>
      <c r="ARN1007" s="23"/>
      <c r="ARO1007" s="23"/>
      <c r="ARP1007" s="23"/>
      <c r="ARQ1007" s="23"/>
      <c r="ARR1007" s="23"/>
      <c r="ARS1007" s="23"/>
      <c r="ART1007" s="23"/>
      <c r="ARU1007" s="23"/>
      <c r="ARV1007" s="23"/>
      <c r="ARW1007" s="23"/>
      <c r="ARX1007" s="23"/>
      <c r="ARY1007" s="23"/>
      <c r="ARZ1007" s="23"/>
      <c r="ASA1007" s="23"/>
      <c r="ASB1007" s="23"/>
      <c r="ASC1007" s="23"/>
      <c r="ASD1007" s="23"/>
      <c r="ASE1007" s="23"/>
      <c r="ASF1007" s="23"/>
      <c r="ASG1007" s="23"/>
      <c r="ASH1007" s="23"/>
      <c r="ASI1007" s="23"/>
      <c r="ASJ1007" s="23"/>
      <c r="ASK1007" s="23"/>
      <c r="ASL1007" s="23"/>
      <c r="ASM1007" s="23"/>
      <c r="ASN1007" s="23"/>
      <c r="ASO1007" s="23"/>
      <c r="ASP1007" s="23"/>
      <c r="ASQ1007" s="23"/>
      <c r="ASR1007" s="23"/>
      <c r="ASS1007" s="23"/>
      <c r="AST1007" s="23"/>
      <c r="ASU1007" s="23"/>
      <c r="ASV1007" s="23"/>
      <c r="ASW1007" s="23"/>
      <c r="ASX1007" s="23"/>
      <c r="ASY1007" s="23"/>
      <c r="ASZ1007" s="23"/>
      <c r="ATA1007" s="23"/>
      <c r="ATB1007" s="23"/>
      <c r="ATC1007" s="23"/>
      <c r="ATD1007" s="23"/>
      <c r="ATE1007" s="23"/>
      <c r="ATF1007" s="23"/>
      <c r="ATG1007" s="23"/>
      <c r="ATH1007" s="23"/>
      <c r="ATI1007" s="23"/>
      <c r="ATJ1007" s="23"/>
      <c r="ATK1007" s="23"/>
      <c r="ATL1007" s="23"/>
      <c r="ATM1007" s="23"/>
      <c r="ATN1007" s="23"/>
      <c r="ATO1007" s="23"/>
      <c r="ATP1007" s="23"/>
      <c r="ATQ1007" s="23"/>
      <c r="ATR1007" s="23"/>
      <c r="ATS1007" s="23"/>
      <c r="ATT1007" s="23"/>
      <c r="ATU1007" s="23"/>
      <c r="ATV1007" s="23"/>
      <c r="ATW1007" s="23"/>
      <c r="ATX1007" s="23"/>
      <c r="ATY1007" s="23"/>
      <c r="ATZ1007" s="23"/>
      <c r="AUA1007" s="23"/>
      <c r="AUB1007" s="23"/>
      <c r="AUC1007" s="23"/>
      <c r="AUD1007" s="23"/>
      <c r="AUE1007" s="23"/>
      <c r="AUF1007" s="23"/>
      <c r="AUG1007" s="23"/>
      <c r="AUH1007" s="23"/>
      <c r="AUI1007" s="23"/>
      <c r="AUJ1007" s="23"/>
      <c r="AUK1007" s="23"/>
      <c r="AUL1007" s="23"/>
      <c r="AUM1007" s="23"/>
      <c r="AUN1007" s="23"/>
      <c r="AUO1007" s="23"/>
      <c r="AUP1007" s="23"/>
      <c r="AUQ1007" s="23"/>
      <c r="AUR1007" s="23"/>
      <c r="AUS1007" s="23"/>
      <c r="AUT1007" s="23"/>
      <c r="AUU1007" s="23"/>
      <c r="AUV1007" s="23"/>
      <c r="AUW1007" s="23"/>
      <c r="AUX1007" s="23"/>
      <c r="AUY1007" s="23"/>
      <c r="AUZ1007" s="23"/>
      <c r="AVA1007" s="23"/>
      <c r="AVB1007" s="23"/>
      <c r="AVC1007" s="23"/>
      <c r="AVD1007" s="23"/>
      <c r="AVE1007" s="23"/>
      <c r="AVF1007" s="23"/>
      <c r="AVG1007" s="23"/>
      <c r="AVH1007" s="23"/>
      <c r="AVI1007" s="23"/>
      <c r="AVJ1007" s="23"/>
      <c r="AVK1007" s="23"/>
      <c r="AVL1007" s="23"/>
      <c r="AVM1007" s="23"/>
      <c r="AVN1007" s="23"/>
      <c r="AVO1007" s="23"/>
      <c r="AVP1007" s="23"/>
      <c r="AVQ1007" s="23"/>
      <c r="AVR1007" s="23"/>
      <c r="AVS1007" s="23"/>
      <c r="AVT1007" s="23"/>
      <c r="AVU1007" s="23"/>
      <c r="AVV1007" s="23"/>
      <c r="AVW1007" s="23"/>
      <c r="AVX1007" s="23"/>
      <c r="AVY1007" s="23"/>
      <c r="AVZ1007" s="23"/>
      <c r="AWA1007" s="23"/>
      <c r="AWB1007" s="23"/>
      <c r="AWC1007" s="23"/>
      <c r="AWD1007" s="23"/>
      <c r="AWE1007" s="23"/>
      <c r="AWF1007" s="23"/>
      <c r="AWG1007" s="23"/>
      <c r="AWH1007" s="23"/>
      <c r="AWI1007" s="23"/>
      <c r="AWJ1007" s="23"/>
      <c r="AWK1007" s="23"/>
      <c r="AWL1007" s="23"/>
      <c r="AWM1007" s="23"/>
      <c r="AWN1007" s="23"/>
      <c r="AWO1007" s="23"/>
      <c r="AWP1007" s="23"/>
      <c r="AWQ1007" s="23"/>
      <c r="AWR1007" s="23"/>
      <c r="AWS1007" s="23"/>
      <c r="AWT1007" s="23"/>
      <c r="AWU1007" s="23"/>
      <c r="AWV1007" s="23"/>
      <c r="AWW1007" s="23"/>
      <c r="AWX1007" s="23"/>
      <c r="AWY1007" s="23"/>
      <c r="AWZ1007" s="23"/>
      <c r="AXA1007" s="23"/>
      <c r="AXB1007" s="23"/>
      <c r="AXC1007" s="23"/>
      <c r="AXD1007" s="23"/>
      <c r="AXE1007" s="23"/>
      <c r="AXF1007" s="23"/>
      <c r="AXG1007" s="23"/>
      <c r="AXH1007" s="23"/>
      <c r="AXI1007" s="23"/>
      <c r="AXJ1007" s="23"/>
      <c r="AXK1007" s="23"/>
      <c r="AXL1007" s="23"/>
      <c r="AXM1007" s="23"/>
      <c r="AXN1007" s="23"/>
      <c r="AXO1007" s="23"/>
      <c r="AXP1007" s="23"/>
      <c r="AXQ1007" s="23"/>
      <c r="AXR1007" s="23"/>
      <c r="AXS1007" s="23"/>
      <c r="AXT1007" s="23"/>
      <c r="AXU1007" s="23"/>
      <c r="AXV1007" s="23"/>
      <c r="AXW1007" s="23"/>
      <c r="AXX1007" s="23"/>
      <c r="AXY1007" s="23"/>
      <c r="AXZ1007" s="23"/>
      <c r="AYA1007" s="23"/>
      <c r="AYB1007" s="23"/>
      <c r="AYC1007" s="23"/>
      <c r="AYD1007" s="23"/>
      <c r="AYE1007" s="23"/>
      <c r="AYF1007" s="23"/>
      <c r="AYG1007" s="23"/>
      <c r="AYH1007" s="23"/>
      <c r="AYI1007" s="23"/>
      <c r="AYJ1007" s="23"/>
      <c r="AYK1007" s="23"/>
      <c r="AYL1007" s="23"/>
      <c r="AYM1007" s="23"/>
      <c r="AYN1007" s="23"/>
      <c r="AYO1007" s="23"/>
      <c r="AYP1007" s="23"/>
      <c r="AYQ1007" s="23"/>
      <c r="AYR1007" s="23"/>
      <c r="AYS1007" s="23"/>
      <c r="AYT1007" s="23"/>
      <c r="AYU1007" s="23"/>
      <c r="AYV1007" s="23"/>
      <c r="AYW1007" s="23"/>
      <c r="AYX1007" s="23"/>
      <c r="AYY1007" s="23"/>
      <c r="AYZ1007" s="23"/>
      <c r="AZA1007" s="23"/>
      <c r="AZB1007" s="23"/>
      <c r="AZC1007" s="23"/>
      <c r="AZD1007" s="23"/>
      <c r="AZE1007" s="23"/>
      <c r="AZF1007" s="23"/>
      <c r="AZG1007" s="23"/>
      <c r="AZH1007" s="23"/>
      <c r="AZI1007" s="23"/>
      <c r="AZJ1007" s="23"/>
      <c r="AZK1007" s="23"/>
      <c r="AZL1007" s="23"/>
      <c r="AZM1007" s="23"/>
      <c r="AZN1007" s="23"/>
      <c r="AZO1007" s="23"/>
      <c r="AZP1007" s="23"/>
      <c r="AZQ1007" s="23"/>
      <c r="AZR1007" s="23"/>
      <c r="AZS1007" s="23"/>
      <c r="AZT1007" s="23"/>
      <c r="AZU1007" s="23"/>
      <c r="AZV1007" s="23"/>
      <c r="AZW1007" s="23"/>
      <c r="AZX1007" s="23"/>
      <c r="AZY1007" s="23"/>
      <c r="AZZ1007" s="23"/>
      <c r="BAA1007" s="23"/>
      <c r="BAB1007" s="23"/>
      <c r="BAC1007" s="23"/>
      <c r="BAD1007" s="23"/>
      <c r="BAE1007" s="23"/>
      <c r="BAF1007" s="23"/>
      <c r="BAG1007" s="23"/>
      <c r="BAH1007" s="23"/>
      <c r="BAI1007" s="23"/>
      <c r="BAJ1007" s="23"/>
      <c r="BAK1007" s="23"/>
      <c r="BAL1007" s="23"/>
      <c r="BAM1007" s="23"/>
      <c r="BAN1007" s="23"/>
      <c r="BAO1007" s="23"/>
      <c r="BAP1007" s="23"/>
      <c r="BAQ1007" s="23"/>
      <c r="BAR1007" s="23"/>
      <c r="BAS1007" s="23"/>
      <c r="BAT1007" s="23"/>
      <c r="BAU1007" s="23"/>
      <c r="BAV1007" s="23"/>
      <c r="BAW1007" s="23"/>
      <c r="BAX1007" s="23"/>
      <c r="BAY1007" s="23"/>
      <c r="BAZ1007" s="23"/>
      <c r="BBA1007" s="23"/>
      <c r="BBB1007" s="23"/>
      <c r="BBC1007" s="23"/>
      <c r="BBD1007" s="23"/>
      <c r="BBE1007" s="23"/>
      <c r="BBF1007" s="23"/>
      <c r="BBG1007" s="23"/>
      <c r="BBH1007" s="23"/>
      <c r="BBI1007" s="23"/>
      <c r="BBJ1007" s="23"/>
      <c r="BBK1007" s="23"/>
      <c r="BBL1007" s="23"/>
      <c r="BBM1007" s="23"/>
      <c r="BBN1007" s="23"/>
      <c r="BBO1007" s="23"/>
      <c r="BBP1007" s="23"/>
      <c r="BBQ1007" s="23"/>
      <c r="BBR1007" s="23"/>
      <c r="BBS1007" s="23"/>
      <c r="BBT1007" s="23"/>
      <c r="BBU1007" s="23"/>
      <c r="BBV1007" s="23"/>
      <c r="BBW1007" s="23"/>
      <c r="BBX1007" s="23"/>
      <c r="BBY1007" s="23"/>
      <c r="BBZ1007" s="23"/>
      <c r="BCA1007" s="23"/>
      <c r="BCB1007" s="23"/>
      <c r="BCC1007" s="23"/>
      <c r="BCD1007" s="23"/>
      <c r="BCE1007" s="23"/>
      <c r="BCF1007" s="23"/>
      <c r="BCG1007" s="23"/>
      <c r="BCH1007" s="23"/>
      <c r="BCI1007" s="23"/>
      <c r="BCJ1007" s="23"/>
      <c r="BCK1007" s="23"/>
      <c r="BCL1007" s="23"/>
      <c r="BCM1007" s="23"/>
      <c r="BCN1007" s="23"/>
      <c r="BCO1007" s="23"/>
      <c r="BCP1007" s="23"/>
      <c r="BCQ1007" s="23"/>
      <c r="BCR1007" s="23"/>
      <c r="BCS1007" s="23"/>
      <c r="BCT1007" s="23"/>
      <c r="BCU1007" s="23"/>
      <c r="BCV1007" s="23"/>
      <c r="BCW1007" s="23"/>
      <c r="BCX1007" s="23"/>
      <c r="BCY1007" s="23"/>
      <c r="BCZ1007" s="23"/>
      <c r="BDA1007" s="23"/>
      <c r="BDB1007" s="23"/>
      <c r="BDC1007" s="23"/>
      <c r="BDD1007" s="23"/>
      <c r="BDE1007" s="23"/>
      <c r="BDF1007" s="23"/>
      <c r="BDG1007" s="23"/>
      <c r="BDH1007" s="23"/>
      <c r="BDI1007" s="23"/>
      <c r="BDJ1007" s="23"/>
      <c r="BDK1007" s="23"/>
      <c r="BDL1007" s="23"/>
      <c r="BDM1007" s="23"/>
      <c r="BDN1007" s="23"/>
      <c r="BDO1007" s="23"/>
      <c r="BDP1007" s="23"/>
      <c r="BDQ1007" s="23"/>
      <c r="BDR1007" s="23"/>
      <c r="BDS1007" s="23"/>
      <c r="BDT1007" s="23"/>
      <c r="BDU1007" s="23"/>
      <c r="BDV1007" s="23"/>
      <c r="BDW1007" s="23"/>
      <c r="BDX1007" s="23"/>
      <c r="BDY1007" s="23"/>
      <c r="BDZ1007" s="23"/>
      <c r="BEA1007" s="23"/>
      <c r="BEB1007" s="23"/>
      <c r="BEC1007" s="23"/>
      <c r="BED1007" s="23"/>
      <c r="BEE1007" s="23"/>
      <c r="BEF1007" s="23"/>
      <c r="BEG1007" s="23"/>
      <c r="BEH1007" s="23"/>
      <c r="BEI1007" s="23"/>
      <c r="BEJ1007" s="23"/>
      <c r="BEK1007" s="23"/>
      <c r="BEL1007" s="23"/>
      <c r="BEM1007" s="23"/>
      <c r="BEN1007" s="23"/>
      <c r="BEO1007" s="23"/>
      <c r="BEP1007" s="23"/>
      <c r="BEQ1007" s="23"/>
      <c r="BER1007" s="23"/>
      <c r="BES1007" s="23"/>
      <c r="BET1007" s="23"/>
      <c r="BEU1007" s="23"/>
      <c r="BEV1007" s="23"/>
      <c r="BEW1007" s="23"/>
      <c r="BEX1007" s="23"/>
      <c r="BEY1007" s="23"/>
      <c r="BEZ1007" s="23"/>
      <c r="BFA1007" s="23"/>
      <c r="BFB1007" s="23"/>
      <c r="BFC1007" s="23"/>
      <c r="BFD1007" s="23"/>
      <c r="BFE1007" s="23"/>
      <c r="BFF1007" s="23"/>
      <c r="BFG1007" s="23"/>
      <c r="BFH1007" s="23"/>
      <c r="BFI1007" s="23"/>
      <c r="BFJ1007" s="23"/>
      <c r="BFK1007" s="23"/>
      <c r="BFL1007" s="23"/>
      <c r="BFM1007" s="23"/>
      <c r="BFN1007" s="23"/>
      <c r="BFO1007" s="23"/>
      <c r="BFP1007" s="23"/>
      <c r="BFQ1007" s="23"/>
      <c r="BFR1007" s="23"/>
      <c r="BFS1007" s="23"/>
      <c r="BFT1007" s="23"/>
      <c r="BFU1007" s="23"/>
      <c r="BFV1007" s="23"/>
      <c r="BFW1007" s="23"/>
      <c r="BFX1007" s="23"/>
      <c r="BFY1007" s="23"/>
      <c r="BFZ1007" s="23"/>
      <c r="BGA1007" s="23"/>
      <c r="BGB1007" s="23"/>
      <c r="BGC1007" s="23"/>
      <c r="BGD1007" s="23"/>
      <c r="BGE1007" s="23"/>
      <c r="BGF1007" s="23"/>
      <c r="BGG1007" s="23"/>
      <c r="BGH1007" s="23"/>
      <c r="BGI1007" s="23"/>
      <c r="BGJ1007" s="23"/>
      <c r="BGK1007" s="23"/>
      <c r="BGL1007" s="23"/>
      <c r="BGM1007" s="23"/>
      <c r="BGN1007" s="23"/>
      <c r="BGO1007" s="23"/>
      <c r="BGP1007" s="23"/>
      <c r="BGQ1007" s="23"/>
      <c r="BGR1007" s="23"/>
      <c r="BGS1007" s="23"/>
      <c r="BGT1007" s="23"/>
      <c r="BGU1007" s="23"/>
      <c r="BGV1007" s="23"/>
      <c r="BGW1007" s="23"/>
      <c r="BGX1007" s="23"/>
      <c r="BGY1007" s="23"/>
      <c r="BGZ1007" s="23"/>
      <c r="BHA1007" s="23"/>
      <c r="BHB1007" s="23"/>
      <c r="BHC1007" s="23"/>
      <c r="BHD1007" s="23"/>
      <c r="BHE1007" s="23"/>
      <c r="BHF1007" s="23"/>
      <c r="BHG1007" s="23"/>
      <c r="BHH1007" s="23"/>
      <c r="BHI1007" s="23"/>
      <c r="BHJ1007" s="23"/>
      <c r="BHK1007" s="23"/>
      <c r="BHL1007" s="23"/>
      <c r="BHM1007" s="23"/>
      <c r="BHN1007" s="23"/>
      <c r="BHO1007" s="23"/>
      <c r="BHP1007" s="23"/>
      <c r="BHQ1007" s="23"/>
      <c r="BHR1007" s="23"/>
      <c r="BHS1007" s="23"/>
      <c r="BHT1007" s="23"/>
      <c r="BHU1007" s="23"/>
      <c r="BHV1007" s="23"/>
      <c r="BHW1007" s="23"/>
      <c r="BHX1007" s="23"/>
      <c r="BHY1007" s="23"/>
      <c r="BHZ1007" s="23"/>
      <c r="BIA1007" s="23"/>
      <c r="BIB1007" s="23"/>
      <c r="BIC1007" s="23"/>
      <c r="BID1007" s="23"/>
      <c r="BIE1007" s="23"/>
      <c r="BIF1007" s="23"/>
      <c r="BIG1007" s="23"/>
      <c r="BIH1007" s="23"/>
      <c r="BII1007" s="23"/>
      <c r="BIJ1007" s="23"/>
      <c r="BIK1007" s="23"/>
      <c r="BIL1007" s="23"/>
      <c r="BIM1007" s="23"/>
      <c r="BIN1007" s="23"/>
      <c r="BIO1007" s="23"/>
      <c r="BIP1007" s="23"/>
      <c r="BIQ1007" s="23"/>
      <c r="BIR1007" s="23"/>
      <c r="BIS1007" s="23"/>
      <c r="BIT1007" s="23"/>
      <c r="BIU1007" s="23"/>
      <c r="BIV1007" s="23"/>
      <c r="BIW1007" s="23"/>
      <c r="BIX1007" s="23"/>
      <c r="BIY1007" s="23"/>
      <c r="BIZ1007" s="23"/>
      <c r="BJA1007" s="23"/>
      <c r="BJB1007" s="23"/>
      <c r="BJC1007" s="23"/>
      <c r="BJD1007" s="23"/>
      <c r="BJE1007" s="23"/>
      <c r="BJF1007" s="23"/>
      <c r="BJG1007" s="23"/>
      <c r="BJH1007" s="23"/>
      <c r="BJI1007" s="23"/>
      <c r="BJJ1007" s="23"/>
      <c r="BJK1007" s="23"/>
      <c r="BJL1007" s="23"/>
      <c r="BJM1007" s="23"/>
      <c r="BJN1007" s="23"/>
      <c r="BJO1007" s="23"/>
      <c r="BJP1007" s="23"/>
      <c r="BJQ1007" s="23"/>
      <c r="BJR1007" s="23"/>
      <c r="BJS1007" s="23"/>
      <c r="BJT1007" s="23"/>
      <c r="BJU1007" s="23"/>
      <c r="BJV1007" s="23"/>
      <c r="BJW1007" s="23"/>
      <c r="BJX1007" s="23"/>
      <c r="BJY1007" s="23"/>
      <c r="BJZ1007" s="23"/>
      <c r="BKA1007" s="23"/>
      <c r="BKB1007" s="23"/>
      <c r="BKC1007" s="23"/>
      <c r="BKD1007" s="23"/>
      <c r="BKE1007" s="23"/>
      <c r="BKF1007" s="23"/>
      <c r="BKG1007" s="23"/>
      <c r="BKH1007" s="23"/>
      <c r="BKI1007" s="23"/>
      <c r="BKJ1007" s="23"/>
      <c r="BKK1007" s="23"/>
      <c r="BKL1007" s="23"/>
      <c r="BKM1007" s="23"/>
      <c r="BKN1007" s="23"/>
      <c r="BKO1007" s="23"/>
      <c r="BKP1007" s="23"/>
      <c r="BKQ1007" s="23"/>
      <c r="BKR1007" s="23"/>
      <c r="BKS1007" s="23"/>
      <c r="BKT1007" s="23"/>
      <c r="BKU1007" s="23"/>
      <c r="BKV1007" s="23"/>
      <c r="BKW1007" s="23"/>
      <c r="BKX1007" s="23"/>
      <c r="BKY1007" s="23"/>
      <c r="BKZ1007" s="23"/>
      <c r="BLA1007" s="23"/>
      <c r="BLB1007" s="23"/>
      <c r="BLC1007" s="23"/>
      <c r="BLD1007" s="23"/>
      <c r="BLE1007" s="23"/>
      <c r="BLF1007" s="23"/>
      <c r="BLG1007" s="23"/>
      <c r="BLH1007" s="23"/>
      <c r="BLI1007" s="23"/>
      <c r="BLJ1007" s="23"/>
      <c r="BLK1007" s="23"/>
      <c r="BLL1007" s="23"/>
      <c r="BLM1007" s="23"/>
      <c r="BLN1007" s="23"/>
      <c r="BLO1007" s="23"/>
      <c r="BLP1007" s="23"/>
      <c r="BLQ1007" s="23"/>
      <c r="BLR1007" s="23"/>
      <c r="BLS1007" s="23"/>
      <c r="BLT1007" s="23"/>
      <c r="BLU1007" s="23"/>
      <c r="BLV1007" s="23"/>
      <c r="BLW1007" s="23"/>
      <c r="BLX1007" s="23"/>
      <c r="BLY1007" s="23"/>
      <c r="BLZ1007" s="23"/>
      <c r="BMA1007" s="23"/>
      <c r="BMB1007" s="23"/>
      <c r="BMC1007" s="23"/>
      <c r="BMD1007" s="23"/>
      <c r="BME1007" s="23"/>
      <c r="BMF1007" s="23"/>
      <c r="BMG1007" s="23"/>
      <c r="BMH1007" s="23"/>
      <c r="BMI1007" s="23"/>
      <c r="BMJ1007" s="23"/>
      <c r="BMK1007" s="23"/>
      <c r="BML1007" s="23"/>
      <c r="BMM1007" s="23"/>
      <c r="BMN1007" s="23"/>
      <c r="BMO1007" s="23"/>
      <c r="BMP1007" s="23"/>
      <c r="BMQ1007" s="23"/>
      <c r="BMR1007" s="23"/>
      <c r="BMS1007" s="23"/>
      <c r="BMT1007" s="23"/>
      <c r="BMU1007" s="23"/>
      <c r="BMV1007" s="23"/>
      <c r="BMW1007" s="23"/>
      <c r="BMX1007" s="23"/>
      <c r="BMY1007" s="23"/>
      <c r="BMZ1007" s="23"/>
      <c r="BNA1007" s="23"/>
      <c r="BNB1007" s="23"/>
      <c r="BNC1007" s="23"/>
      <c r="BND1007" s="23"/>
      <c r="BNE1007" s="23"/>
      <c r="BNF1007" s="23"/>
      <c r="BNG1007" s="23"/>
      <c r="BNH1007" s="23"/>
      <c r="BNI1007" s="23"/>
      <c r="BNJ1007" s="23"/>
      <c r="BNK1007" s="23"/>
      <c r="BNL1007" s="23"/>
      <c r="BNM1007" s="23"/>
      <c r="BNN1007" s="23"/>
      <c r="BNO1007" s="23"/>
      <c r="BNP1007" s="23"/>
      <c r="BNQ1007" s="23"/>
      <c r="BNR1007" s="23"/>
      <c r="BNS1007" s="23"/>
      <c r="BNT1007" s="23"/>
      <c r="BNU1007" s="23"/>
      <c r="BNV1007" s="23"/>
      <c r="BNW1007" s="23"/>
      <c r="BNX1007" s="23"/>
      <c r="BNY1007" s="23"/>
      <c r="BNZ1007" s="23"/>
      <c r="BOA1007" s="23"/>
      <c r="BOB1007" s="23"/>
      <c r="BOC1007" s="23"/>
      <c r="BOD1007" s="23"/>
      <c r="BOE1007" s="23"/>
      <c r="BOF1007" s="23"/>
      <c r="BOG1007" s="23"/>
      <c r="BOH1007" s="23"/>
      <c r="BOI1007" s="23"/>
      <c r="BOJ1007" s="23"/>
      <c r="BOK1007" s="23"/>
      <c r="BOL1007" s="23"/>
      <c r="BOM1007" s="23"/>
      <c r="BON1007" s="23"/>
      <c r="BOO1007" s="23"/>
      <c r="BOP1007" s="23"/>
      <c r="BOQ1007" s="23"/>
      <c r="BOR1007" s="23"/>
      <c r="BOS1007" s="23"/>
      <c r="BOT1007" s="23"/>
      <c r="BOU1007" s="23"/>
      <c r="BOV1007" s="23"/>
      <c r="BOW1007" s="23"/>
      <c r="BOX1007" s="23"/>
      <c r="BOY1007" s="23"/>
      <c r="BOZ1007" s="23"/>
      <c r="BPA1007" s="23"/>
      <c r="BPB1007" s="23"/>
      <c r="BPC1007" s="23"/>
      <c r="BPD1007" s="23"/>
      <c r="BPE1007" s="23"/>
      <c r="BPF1007" s="23"/>
      <c r="BPG1007" s="23"/>
      <c r="BPH1007" s="23"/>
      <c r="BPI1007" s="23"/>
      <c r="BPJ1007" s="23"/>
      <c r="BPK1007" s="23"/>
      <c r="BPL1007" s="23"/>
      <c r="BPM1007" s="23"/>
      <c r="BPN1007" s="23"/>
      <c r="BPO1007" s="23"/>
      <c r="BPP1007" s="23"/>
      <c r="BPQ1007" s="23"/>
      <c r="BPR1007" s="23"/>
      <c r="BPS1007" s="23"/>
      <c r="BPT1007" s="23"/>
      <c r="BPU1007" s="23"/>
      <c r="BPV1007" s="23"/>
      <c r="BPW1007" s="23"/>
      <c r="BPX1007" s="23"/>
      <c r="BPY1007" s="23"/>
      <c r="BPZ1007" s="23"/>
      <c r="BQA1007" s="23"/>
      <c r="BQB1007" s="23"/>
      <c r="BQC1007" s="23"/>
      <c r="BQD1007" s="23"/>
      <c r="BQE1007" s="23"/>
      <c r="BQF1007" s="23"/>
      <c r="BQG1007" s="23"/>
      <c r="BQH1007" s="23"/>
      <c r="BQI1007" s="23"/>
      <c r="BQJ1007" s="23"/>
      <c r="BQK1007" s="23"/>
      <c r="BQL1007" s="23"/>
      <c r="BQM1007" s="23"/>
      <c r="BQN1007" s="23"/>
      <c r="BQO1007" s="23"/>
      <c r="BQP1007" s="23"/>
      <c r="BQQ1007" s="23"/>
      <c r="BQR1007" s="23"/>
      <c r="BQS1007" s="23"/>
      <c r="BQT1007" s="23"/>
      <c r="BQU1007" s="23"/>
      <c r="BQV1007" s="23"/>
      <c r="BQW1007" s="23"/>
      <c r="BQX1007" s="23"/>
      <c r="BQY1007" s="23"/>
      <c r="BQZ1007" s="23"/>
      <c r="BRA1007" s="23"/>
      <c r="BRB1007" s="23"/>
      <c r="BRC1007" s="23"/>
      <c r="BRD1007" s="23"/>
      <c r="BRE1007" s="23"/>
      <c r="BRF1007" s="23"/>
      <c r="BRG1007" s="23"/>
      <c r="BRH1007" s="23"/>
      <c r="BRI1007" s="23"/>
      <c r="BRJ1007" s="23"/>
      <c r="BRK1007" s="23"/>
      <c r="BRL1007" s="23"/>
      <c r="BRM1007" s="23"/>
      <c r="BRN1007" s="23"/>
      <c r="BRO1007" s="23"/>
      <c r="BRP1007" s="23"/>
      <c r="BRQ1007" s="23"/>
      <c r="BRR1007" s="23"/>
      <c r="BRS1007" s="23"/>
      <c r="BRT1007" s="23"/>
      <c r="BRU1007" s="23"/>
      <c r="BRV1007" s="23"/>
      <c r="BRW1007" s="23"/>
      <c r="BRX1007" s="23"/>
      <c r="BRY1007" s="23"/>
      <c r="BRZ1007" s="23"/>
      <c r="BSA1007" s="23"/>
      <c r="BSB1007" s="23"/>
      <c r="BSC1007" s="23"/>
      <c r="BSD1007" s="23"/>
      <c r="BSE1007" s="23"/>
      <c r="BSF1007" s="23"/>
      <c r="BSG1007" s="23"/>
      <c r="BSH1007" s="23"/>
      <c r="BSI1007" s="23"/>
      <c r="BSJ1007" s="23"/>
      <c r="BSK1007" s="23"/>
      <c r="BSL1007" s="23"/>
      <c r="BSM1007" s="23"/>
      <c r="BSN1007" s="23"/>
      <c r="BSO1007" s="23"/>
      <c r="BSP1007" s="23"/>
      <c r="BSQ1007" s="23"/>
      <c r="BSR1007" s="23"/>
      <c r="BSS1007" s="23"/>
      <c r="BST1007" s="23"/>
      <c r="BSU1007" s="23"/>
      <c r="BSV1007" s="23"/>
      <c r="BSW1007" s="23"/>
      <c r="BSX1007" s="23"/>
      <c r="BSY1007" s="23"/>
      <c r="BSZ1007" s="23"/>
      <c r="BTA1007" s="23"/>
    </row>
    <row r="1008" spans="1:1873" s="23" customFormat="1" x14ac:dyDescent="0.2">
      <c r="A1008" s="29"/>
      <c r="B1008" s="29"/>
      <c r="C1008" s="29"/>
      <c r="D1008" s="29"/>
      <c r="E1008" s="66"/>
      <c r="F1008" s="66"/>
      <c r="G1008" s="29"/>
      <c r="H1008" s="30"/>
      <c r="I1008" s="29"/>
      <c r="J1008" s="29"/>
      <c r="K1008" s="29"/>
      <c r="L1008" s="29"/>
      <c r="M1008" s="31"/>
      <c r="N1008" s="29"/>
      <c r="O1008" s="29"/>
      <c r="P1008" s="31"/>
      <c r="Q1008" s="29"/>
      <c r="R1008" s="31"/>
      <c r="S1008" s="29"/>
      <c r="T1008" s="31"/>
      <c r="U1008" s="29"/>
      <c r="V1008" s="29"/>
      <c r="W1008" s="31"/>
      <c r="X1008" s="29"/>
      <c r="Y1008" s="29"/>
      <c r="Z1008" s="29"/>
      <c r="AA1008" s="116"/>
      <c r="AB1008" s="31"/>
      <c r="AC1008" s="29"/>
      <c r="AD1008" s="29"/>
      <c r="AE1008" s="29"/>
      <c r="AF1008" s="29"/>
      <c r="AG1008" s="29"/>
      <c r="AH1008" s="29"/>
      <c r="AI1008" s="29"/>
      <c r="AJ1008" s="29"/>
      <c r="AK1008" s="29"/>
      <c r="AL1008" s="29"/>
      <c r="AM1008" s="29"/>
      <c r="AN1008" s="29"/>
      <c r="AO1008" s="29"/>
      <c r="AP1008" s="29"/>
      <c r="AQ1008" s="29"/>
      <c r="AR1008" s="29"/>
      <c r="AS1008" s="29"/>
      <c r="AT1008" s="29"/>
      <c r="AU1008" s="29"/>
      <c r="AV1008" s="29"/>
      <c r="AW1008" s="29"/>
      <c r="AX1008" s="29"/>
      <c r="AY1008" s="29"/>
      <c r="AZ1008" s="29"/>
      <c r="BA1008" s="29"/>
      <c r="BB1008" s="29"/>
      <c r="BC1008" s="29"/>
      <c r="BD1008" s="29"/>
      <c r="BE1008" s="29"/>
      <c r="BF1008" s="29"/>
      <c r="BG1008" s="29"/>
      <c r="BH1008" s="29"/>
      <c r="BI1008" s="29"/>
      <c r="BJ1008" s="29"/>
      <c r="BK1008" s="29"/>
      <c r="BL1008" s="29"/>
      <c r="BM1008" s="29"/>
      <c r="BN1008" s="29"/>
      <c r="BO1008" s="29"/>
      <c r="BP1008" s="29"/>
      <c r="BQ1008" s="29"/>
      <c r="BR1008" s="29"/>
      <c r="BS1008" s="30"/>
      <c r="BT1008" s="29"/>
      <c r="BU1008" s="29"/>
      <c r="BV1008" s="29"/>
      <c r="BW1008" s="29"/>
      <c r="BX1008" s="29"/>
      <c r="BY1008" s="29"/>
      <c r="BZ1008" s="29"/>
      <c r="CA1008" s="98"/>
      <c r="CC1008" s="66"/>
      <c r="CD1008" s="29"/>
      <c r="CE1008" s="342" t="s">
        <v>1576</v>
      </c>
      <c r="CF1008" s="342" t="s">
        <v>1575</v>
      </c>
      <c r="CG1008" s="30"/>
    </row>
    <row r="1009" spans="1:1873" s="23" customFormat="1" ht="12.6" customHeight="1" x14ac:dyDescent="0.2">
      <c r="A1009" s="273" t="s">
        <v>837</v>
      </c>
      <c r="B1009" s="273" t="s">
        <v>1135</v>
      </c>
      <c r="C1009" s="273" t="s">
        <v>1153</v>
      </c>
      <c r="D1009" s="273" t="s">
        <v>619</v>
      </c>
      <c r="E1009" s="462" t="s">
        <v>1504</v>
      </c>
      <c r="F1009" s="273">
        <v>1</v>
      </c>
      <c r="G1009" s="273">
        <v>4</v>
      </c>
      <c r="H1009" s="468">
        <v>4</v>
      </c>
      <c r="I1009" s="273" t="s">
        <v>842</v>
      </c>
      <c r="J1009" s="273">
        <v>1971</v>
      </c>
      <c r="K1009" s="463" t="s">
        <v>842</v>
      </c>
      <c r="L1009" s="273">
        <v>1975</v>
      </c>
      <c r="M1009" s="414">
        <f>+T1009*G1009</f>
        <v>24.8</v>
      </c>
      <c r="N1009" s="273">
        <v>-9999</v>
      </c>
      <c r="O1009" s="29"/>
      <c r="P1009" s="414">
        <f>+T1009*G1009</f>
        <v>24.8</v>
      </c>
      <c r="Q1009" s="273">
        <v>-9999</v>
      </c>
      <c r="R1009" s="471"/>
      <c r="S1009" s="273"/>
      <c r="T1009" s="471">
        <v>6.2</v>
      </c>
      <c r="U1009" s="273">
        <v>-9999</v>
      </c>
      <c r="V1009" s="273"/>
      <c r="W1009" s="471">
        <v>-9999</v>
      </c>
      <c r="X1009" s="273">
        <v>-9999</v>
      </c>
      <c r="Y1009" s="273"/>
      <c r="Z1009" s="273" t="s">
        <v>88</v>
      </c>
      <c r="AA1009" s="470">
        <v>27322</v>
      </c>
      <c r="AB1009" s="471">
        <v>0.95</v>
      </c>
      <c r="AC1009" s="273">
        <v>-9999</v>
      </c>
      <c r="AD1009" s="273">
        <v>66.400000000000006</v>
      </c>
      <c r="AE1009" s="461" t="s">
        <v>523</v>
      </c>
      <c r="AF1009" s="273">
        <v>3</v>
      </c>
      <c r="AG1009" s="273" t="s">
        <v>843</v>
      </c>
      <c r="AH1009" s="273" t="s">
        <v>623</v>
      </c>
      <c r="AI1009" s="273" t="s">
        <v>844</v>
      </c>
      <c r="AJ1009" s="273" t="s">
        <v>845</v>
      </c>
      <c r="AK1009" s="273" t="s">
        <v>779</v>
      </c>
      <c r="AL1009" s="273" t="s">
        <v>653</v>
      </c>
      <c r="AM1009" s="273">
        <v>-9999</v>
      </c>
      <c r="AN1009" s="273" t="s">
        <v>777</v>
      </c>
      <c r="AO1009" s="273">
        <v>-9999</v>
      </c>
      <c r="AP1009" s="273">
        <v>-9999</v>
      </c>
      <c r="AQ1009" s="273" t="s">
        <v>777</v>
      </c>
      <c r="AR1009" s="273">
        <v>0</v>
      </c>
      <c r="AS1009" s="273">
        <v>-9999</v>
      </c>
      <c r="AT1009" s="273">
        <v>-9999</v>
      </c>
      <c r="AU1009" s="273">
        <v>0</v>
      </c>
      <c r="AV1009" s="273">
        <v>-9999</v>
      </c>
      <c r="AW1009" s="273">
        <v>-9999</v>
      </c>
      <c r="AX1009" s="273">
        <v>0</v>
      </c>
      <c r="AY1009" s="273">
        <v>-9999</v>
      </c>
      <c r="AZ1009" s="273">
        <v>-9999</v>
      </c>
      <c r="BA1009" s="273">
        <v>-9999</v>
      </c>
      <c r="BB1009" s="273" t="s">
        <v>626</v>
      </c>
      <c r="BC1009" s="273" t="s">
        <v>89</v>
      </c>
      <c r="BD1009" s="273" t="s">
        <v>90</v>
      </c>
      <c r="BE1009" s="273">
        <v>-9999</v>
      </c>
      <c r="BF1009" s="273">
        <v>-9999</v>
      </c>
      <c r="BG1009" s="273">
        <v>-9999</v>
      </c>
      <c r="BH1009" s="273">
        <v>-9999</v>
      </c>
      <c r="BI1009" s="273" t="s">
        <v>1152</v>
      </c>
      <c r="BJ1009" s="273">
        <v>-9999</v>
      </c>
      <c r="BK1009" s="273">
        <v>-9999</v>
      </c>
      <c r="BL1009" s="273">
        <v>5.5</v>
      </c>
      <c r="BM1009" s="273">
        <v>-9999</v>
      </c>
      <c r="BN1009" s="273">
        <v>2.7</v>
      </c>
      <c r="BO1009" s="273">
        <v>-9999</v>
      </c>
      <c r="BP1009" s="273">
        <v>-9999</v>
      </c>
      <c r="BQ1009" s="273">
        <v>-9999</v>
      </c>
      <c r="BR1009" s="273">
        <v>-9999</v>
      </c>
      <c r="BS1009" s="468">
        <v>-9999</v>
      </c>
      <c r="BT1009" s="273">
        <v>-9999</v>
      </c>
      <c r="BU1009" s="273">
        <v>-9999</v>
      </c>
      <c r="BV1009" s="273">
        <v>-9999</v>
      </c>
      <c r="BW1009" s="273"/>
      <c r="BX1009" s="273">
        <v>-9999</v>
      </c>
      <c r="BY1009" s="273">
        <v>-9999</v>
      </c>
      <c r="BZ1009" s="273">
        <v>-9999</v>
      </c>
      <c r="CA1009" s="472">
        <v>-9999</v>
      </c>
      <c r="CB1009" s="473" t="s">
        <v>1168</v>
      </c>
      <c r="CC1009" s="273">
        <v>1</v>
      </c>
      <c r="CD1009" s="273">
        <v>4</v>
      </c>
      <c r="CE1009" s="292">
        <v>6.2</v>
      </c>
      <c r="CF1009" s="292">
        <v>-9999</v>
      </c>
      <c r="CG1009" s="93">
        <v>4</v>
      </c>
    </row>
    <row r="1010" spans="1:1873" s="23" customFormat="1" ht="12.6" customHeight="1" x14ac:dyDescent="0.2">
      <c r="A1010" s="273" t="s">
        <v>837</v>
      </c>
      <c r="B1010" s="273" t="s">
        <v>1135</v>
      </c>
      <c r="C1010" s="273" t="s">
        <v>1154</v>
      </c>
      <c r="D1010" s="273" t="s">
        <v>619</v>
      </c>
      <c r="E1010" s="462" t="s">
        <v>1504</v>
      </c>
      <c r="F1010" s="273">
        <v>2</v>
      </c>
      <c r="G1010" s="273">
        <v>4</v>
      </c>
      <c r="H1010" s="468">
        <v>8</v>
      </c>
      <c r="I1010" s="273" t="s">
        <v>842</v>
      </c>
      <c r="J1010" s="273">
        <v>1971</v>
      </c>
      <c r="K1010" s="463" t="s">
        <v>842</v>
      </c>
      <c r="L1010" s="273">
        <v>1979</v>
      </c>
      <c r="M1010" s="414">
        <f>+T1010*G1010</f>
        <v>23.6</v>
      </c>
      <c r="N1010" s="273">
        <v>-9999</v>
      </c>
      <c r="O1010" s="29"/>
      <c r="P1010" s="414">
        <f>+(T1010*G1010)+P1009</f>
        <v>48.400000000000006</v>
      </c>
      <c r="Q1010" s="273">
        <v>-9999</v>
      </c>
      <c r="R1010" s="471"/>
      <c r="S1010" s="273"/>
      <c r="T1010" s="471">
        <v>5.9</v>
      </c>
      <c r="U1010" s="273">
        <v>-9999</v>
      </c>
      <c r="V1010" s="273"/>
      <c r="W1010" s="471">
        <v>-9999</v>
      </c>
      <c r="X1010" s="273">
        <v>-9999</v>
      </c>
      <c r="Y1010" s="273"/>
      <c r="Z1010" s="273" t="s">
        <v>88</v>
      </c>
      <c r="AA1010" s="470">
        <v>27322</v>
      </c>
      <c r="AB1010" s="471">
        <v>0.95</v>
      </c>
      <c r="AC1010" s="273">
        <v>-9999</v>
      </c>
      <c r="AD1010" s="273">
        <v>66.400000000000006</v>
      </c>
      <c r="AE1010" s="461" t="s">
        <v>523</v>
      </c>
      <c r="AF1010" s="273">
        <v>3</v>
      </c>
      <c r="AG1010" s="273" t="s">
        <v>843</v>
      </c>
      <c r="AH1010" s="273" t="s">
        <v>623</v>
      </c>
      <c r="AI1010" s="273" t="s">
        <v>844</v>
      </c>
      <c r="AJ1010" s="273" t="s">
        <v>845</v>
      </c>
      <c r="AK1010" s="273" t="s">
        <v>779</v>
      </c>
      <c r="AL1010" s="273" t="s">
        <v>653</v>
      </c>
      <c r="AM1010" s="273">
        <v>-9999</v>
      </c>
      <c r="AN1010" s="273" t="s">
        <v>777</v>
      </c>
      <c r="AO1010" s="273">
        <v>-9999</v>
      </c>
      <c r="AP1010" s="273">
        <v>-9999</v>
      </c>
      <c r="AQ1010" s="273" t="s">
        <v>777</v>
      </c>
      <c r="AR1010" s="273">
        <v>0</v>
      </c>
      <c r="AS1010" s="273">
        <v>-9999</v>
      </c>
      <c r="AT1010" s="273">
        <v>-9999</v>
      </c>
      <c r="AU1010" s="273">
        <v>0</v>
      </c>
      <c r="AV1010" s="273">
        <v>-9999</v>
      </c>
      <c r="AW1010" s="273">
        <v>-9999</v>
      </c>
      <c r="AX1010" s="273">
        <v>0</v>
      </c>
      <c r="AY1010" s="273">
        <v>-9999</v>
      </c>
      <c r="AZ1010" s="273">
        <v>-9999</v>
      </c>
      <c r="BA1010" s="273">
        <v>-9999</v>
      </c>
      <c r="BB1010" s="273" t="s">
        <v>626</v>
      </c>
      <c r="BC1010" s="273" t="s">
        <v>89</v>
      </c>
      <c r="BD1010" s="273" t="s">
        <v>90</v>
      </c>
      <c r="BE1010" s="273">
        <v>-9999</v>
      </c>
      <c r="BF1010" s="273">
        <v>-9999</v>
      </c>
      <c r="BG1010" s="273">
        <v>-9999</v>
      </c>
      <c r="BH1010" s="273">
        <v>-9999</v>
      </c>
      <c r="BI1010" s="273" t="s">
        <v>1152</v>
      </c>
      <c r="BJ1010" s="273">
        <v>-9999</v>
      </c>
      <c r="BK1010" s="273">
        <v>-9999</v>
      </c>
      <c r="BL1010" s="273">
        <v>5.4</v>
      </c>
      <c r="BM1010" s="273">
        <v>-9999</v>
      </c>
      <c r="BN1010" s="273">
        <v>2.7</v>
      </c>
      <c r="BO1010" s="273">
        <v>-9999</v>
      </c>
      <c r="BP1010" s="273">
        <v>-9999</v>
      </c>
      <c r="BQ1010" s="273">
        <v>-9999</v>
      </c>
      <c r="BR1010" s="273">
        <v>-9999</v>
      </c>
      <c r="BS1010" s="468">
        <v>-9999</v>
      </c>
      <c r="BT1010" s="273">
        <v>-9999</v>
      </c>
      <c r="BU1010" s="273">
        <v>-9999</v>
      </c>
      <c r="BV1010" s="273">
        <v>-9999</v>
      </c>
      <c r="BW1010" s="273"/>
      <c r="BX1010" s="273">
        <v>-9999</v>
      </c>
      <c r="BY1010" s="273">
        <v>-9999</v>
      </c>
      <c r="BZ1010" s="273">
        <v>-9999</v>
      </c>
      <c r="CA1010" s="472">
        <v>-9999</v>
      </c>
      <c r="CB1010" s="473" t="s">
        <v>1168</v>
      </c>
      <c r="CC1010" s="273">
        <v>2</v>
      </c>
      <c r="CD1010" s="273">
        <v>4</v>
      </c>
      <c r="CE1010" s="292">
        <v>5.9</v>
      </c>
      <c r="CF1010" s="292">
        <v>-9999</v>
      </c>
      <c r="CG1010" s="93">
        <v>8</v>
      </c>
    </row>
    <row r="1011" spans="1:1873" s="207" customFormat="1" ht="12.6" customHeight="1" x14ac:dyDescent="0.2">
      <c r="A1011" s="461" t="s">
        <v>837</v>
      </c>
      <c r="B1011" s="273" t="s">
        <v>1135</v>
      </c>
      <c r="C1011" s="273" t="s">
        <v>1155</v>
      </c>
      <c r="D1011" s="273" t="s">
        <v>619</v>
      </c>
      <c r="E1011" s="462" t="s">
        <v>1504</v>
      </c>
      <c r="F1011" s="462">
        <v>1</v>
      </c>
      <c r="G1011" s="273">
        <v>8</v>
      </c>
      <c r="H1011" s="468">
        <v>8</v>
      </c>
      <c r="I1011" s="273" t="s">
        <v>842</v>
      </c>
      <c r="J1011" s="273">
        <v>1971</v>
      </c>
      <c r="K1011" s="463" t="s">
        <v>842</v>
      </c>
      <c r="L1011" s="273">
        <v>1979</v>
      </c>
      <c r="M1011" s="414">
        <f>+T1011*G1011</f>
        <v>63.2</v>
      </c>
      <c r="N1011" s="273">
        <v>-9999</v>
      </c>
      <c r="O1011" s="29"/>
      <c r="P1011" s="414">
        <f>+(T1011*G1011)+P1010</f>
        <v>111.60000000000001</v>
      </c>
      <c r="Q1011" s="273">
        <v>-9999</v>
      </c>
      <c r="R1011" s="471"/>
      <c r="S1011" s="273"/>
      <c r="T1011" s="471">
        <v>7.9</v>
      </c>
      <c r="U1011" s="273">
        <v>-9999</v>
      </c>
      <c r="V1011" s="273"/>
      <c r="W1011" s="471">
        <v>-9999</v>
      </c>
      <c r="X1011" s="273">
        <v>-9999</v>
      </c>
      <c r="Y1011" s="273"/>
      <c r="Z1011" s="273" t="s">
        <v>88</v>
      </c>
      <c r="AA1011" s="470">
        <v>27322</v>
      </c>
      <c r="AB1011" s="471">
        <v>0.95</v>
      </c>
      <c r="AC1011" s="273">
        <v>-9999</v>
      </c>
      <c r="AD1011" s="273">
        <v>66.400000000000006</v>
      </c>
      <c r="AE1011" s="461" t="s">
        <v>523</v>
      </c>
      <c r="AF1011" s="273">
        <v>3</v>
      </c>
      <c r="AG1011" s="273" t="s">
        <v>843</v>
      </c>
      <c r="AH1011" s="273" t="s">
        <v>623</v>
      </c>
      <c r="AI1011" s="273" t="s">
        <v>844</v>
      </c>
      <c r="AJ1011" s="273" t="s">
        <v>845</v>
      </c>
      <c r="AK1011" s="273" t="s">
        <v>779</v>
      </c>
      <c r="AL1011" s="273" t="s">
        <v>653</v>
      </c>
      <c r="AM1011" s="273">
        <v>-9999</v>
      </c>
      <c r="AN1011" s="273" t="s">
        <v>777</v>
      </c>
      <c r="AO1011" s="273">
        <v>-9999</v>
      </c>
      <c r="AP1011" s="273">
        <v>-9999</v>
      </c>
      <c r="AQ1011" s="273" t="s">
        <v>777</v>
      </c>
      <c r="AR1011" s="273">
        <v>0</v>
      </c>
      <c r="AS1011" s="273">
        <v>-9999</v>
      </c>
      <c r="AT1011" s="273">
        <v>-9999</v>
      </c>
      <c r="AU1011" s="273">
        <v>0</v>
      </c>
      <c r="AV1011" s="273">
        <v>-9999</v>
      </c>
      <c r="AW1011" s="273">
        <v>-9999</v>
      </c>
      <c r="AX1011" s="273">
        <v>0</v>
      </c>
      <c r="AY1011" s="273">
        <v>-9999</v>
      </c>
      <c r="AZ1011" s="273">
        <v>-9999</v>
      </c>
      <c r="BA1011" s="273">
        <v>-9999</v>
      </c>
      <c r="BB1011" s="273" t="s">
        <v>626</v>
      </c>
      <c r="BC1011" s="273" t="s">
        <v>89</v>
      </c>
      <c r="BD1011" s="273" t="s">
        <v>90</v>
      </c>
      <c r="BE1011" s="273">
        <v>-9999</v>
      </c>
      <c r="BF1011" s="273">
        <v>-9999</v>
      </c>
      <c r="BG1011" s="273">
        <v>-9999</v>
      </c>
      <c r="BH1011" s="273">
        <v>-9999</v>
      </c>
      <c r="BI1011" s="273" t="s">
        <v>1152</v>
      </c>
      <c r="BJ1011" s="273">
        <v>-9999</v>
      </c>
      <c r="BK1011" s="273">
        <v>-9999</v>
      </c>
      <c r="BL1011" s="273">
        <v>8.6999999999999993</v>
      </c>
      <c r="BM1011" s="273">
        <v>-9999</v>
      </c>
      <c r="BN1011" s="273">
        <v>4.5999999999999996</v>
      </c>
      <c r="BO1011" s="273">
        <v>-9999</v>
      </c>
      <c r="BP1011" s="273">
        <v>-9999</v>
      </c>
      <c r="BQ1011" s="273">
        <v>-9999</v>
      </c>
      <c r="BR1011" s="273">
        <v>-9999</v>
      </c>
      <c r="BS1011" s="468">
        <v>-9999</v>
      </c>
      <c r="BT1011" s="273">
        <v>-9999</v>
      </c>
      <c r="BU1011" s="273">
        <v>-9999</v>
      </c>
      <c r="BV1011" s="273">
        <v>-9999</v>
      </c>
      <c r="BW1011" s="273"/>
      <c r="BX1011" s="273">
        <v>-9999</v>
      </c>
      <c r="BY1011" s="273">
        <v>-9999</v>
      </c>
      <c r="BZ1011" s="273">
        <v>-9999</v>
      </c>
      <c r="CA1011" s="472">
        <v>-9999</v>
      </c>
      <c r="CB1011" s="473" t="s">
        <v>1168</v>
      </c>
      <c r="CC1011" s="462">
        <v>1</v>
      </c>
      <c r="CD1011" s="273">
        <v>8</v>
      </c>
      <c r="CE1011" s="292">
        <v>7.9</v>
      </c>
      <c r="CF1011" s="292">
        <v>-9999</v>
      </c>
      <c r="CG1011" s="206">
        <v>8</v>
      </c>
      <c r="CH1011" s="301" t="s">
        <v>1757</v>
      </c>
      <c r="CI1011" s="23"/>
      <c r="CJ1011" s="23"/>
      <c r="CK1011" s="23"/>
      <c r="CL1011" s="23"/>
      <c r="CM1011" s="23"/>
      <c r="CN1011" s="23"/>
      <c r="CO1011" s="23"/>
      <c r="CP1011" s="23"/>
      <c r="CQ1011" s="23"/>
      <c r="CR1011" s="23"/>
      <c r="CS1011" s="23"/>
      <c r="CT1011" s="23"/>
      <c r="CU1011" s="23"/>
      <c r="CV1011" s="23"/>
      <c r="CW1011" s="23"/>
      <c r="CX1011" s="23"/>
      <c r="CY1011" s="23"/>
      <c r="CZ1011" s="23"/>
      <c r="DA1011" s="23"/>
      <c r="DB1011" s="23"/>
      <c r="DC1011" s="23"/>
      <c r="DD1011" s="23"/>
      <c r="DE1011" s="23"/>
      <c r="DF1011" s="23"/>
      <c r="DG1011" s="23"/>
      <c r="DH1011" s="23"/>
      <c r="DI1011" s="23"/>
      <c r="DJ1011" s="23"/>
      <c r="DK1011" s="23"/>
      <c r="DL1011" s="23"/>
      <c r="DM1011" s="23"/>
      <c r="DN1011" s="23"/>
      <c r="DO1011" s="23"/>
      <c r="DP1011" s="23"/>
      <c r="DQ1011" s="23"/>
      <c r="DR1011" s="23"/>
      <c r="DS1011" s="23"/>
      <c r="DT1011" s="23"/>
      <c r="DU1011" s="23"/>
      <c r="DV1011" s="23"/>
      <c r="DW1011" s="23"/>
      <c r="DX1011" s="23"/>
      <c r="DY1011" s="23"/>
      <c r="DZ1011" s="23"/>
      <c r="EA1011" s="23"/>
      <c r="EB1011" s="23"/>
      <c r="EC1011" s="23"/>
      <c r="ED1011" s="23"/>
      <c r="EE1011" s="23"/>
      <c r="EF1011" s="23"/>
      <c r="EG1011" s="23"/>
      <c r="EH1011" s="23"/>
      <c r="EI1011" s="23"/>
      <c r="EJ1011" s="23"/>
      <c r="EK1011" s="23"/>
      <c r="EL1011" s="23"/>
      <c r="EM1011" s="23"/>
      <c r="EN1011" s="23"/>
      <c r="EO1011" s="23"/>
      <c r="EP1011" s="23"/>
      <c r="EQ1011" s="23"/>
      <c r="ER1011" s="23"/>
      <c r="ES1011" s="23"/>
      <c r="ET1011" s="23"/>
      <c r="EU1011" s="23"/>
      <c r="EV1011" s="23"/>
      <c r="EW1011" s="23"/>
      <c r="EX1011" s="23"/>
      <c r="EY1011" s="23"/>
      <c r="EZ1011" s="23"/>
      <c r="FA1011" s="23"/>
      <c r="FB1011" s="23"/>
      <c r="FC1011" s="23"/>
      <c r="FD1011" s="23"/>
      <c r="FE1011" s="23"/>
      <c r="FF1011" s="23"/>
      <c r="FG1011" s="23"/>
      <c r="FH1011" s="23"/>
      <c r="FI1011" s="23"/>
      <c r="FJ1011" s="23"/>
      <c r="FK1011" s="23"/>
      <c r="FL1011" s="23"/>
      <c r="FM1011" s="23"/>
      <c r="FN1011" s="23"/>
      <c r="FO1011" s="23"/>
      <c r="FP1011" s="23"/>
      <c r="FQ1011" s="23"/>
      <c r="FR1011" s="23"/>
      <c r="FS1011" s="23"/>
      <c r="FT1011" s="23"/>
      <c r="FU1011" s="23"/>
      <c r="FV1011" s="23"/>
      <c r="FW1011" s="23"/>
      <c r="FX1011" s="23"/>
      <c r="FY1011" s="23"/>
      <c r="FZ1011" s="23"/>
      <c r="GA1011" s="23"/>
      <c r="GB1011" s="23"/>
      <c r="GC1011" s="23"/>
      <c r="GD1011" s="23"/>
      <c r="GE1011" s="23"/>
      <c r="GF1011" s="23"/>
      <c r="GG1011" s="23"/>
      <c r="GH1011" s="23"/>
      <c r="GI1011" s="23"/>
      <c r="GJ1011" s="23"/>
      <c r="GK1011" s="23"/>
      <c r="GL1011" s="23"/>
      <c r="GM1011" s="23"/>
      <c r="GN1011" s="23"/>
      <c r="GO1011" s="23"/>
      <c r="GP1011" s="23"/>
      <c r="GQ1011" s="23"/>
      <c r="GR1011" s="23"/>
      <c r="GS1011" s="23"/>
      <c r="GT1011" s="23"/>
      <c r="GU1011" s="23"/>
      <c r="GV1011" s="23"/>
      <c r="GW1011" s="23"/>
      <c r="GX1011" s="23"/>
      <c r="GY1011" s="23"/>
      <c r="GZ1011" s="23"/>
      <c r="HA1011" s="23"/>
      <c r="HB1011" s="23"/>
      <c r="HC1011" s="23"/>
      <c r="HD1011" s="23"/>
      <c r="HE1011" s="23"/>
      <c r="HF1011" s="23"/>
      <c r="HG1011" s="23"/>
      <c r="HH1011" s="23"/>
      <c r="HI1011" s="23"/>
      <c r="HJ1011" s="23"/>
      <c r="HK1011" s="23"/>
      <c r="HL1011" s="23"/>
      <c r="HM1011" s="23"/>
      <c r="HN1011" s="23"/>
      <c r="HO1011" s="23"/>
      <c r="HP1011" s="23"/>
      <c r="HQ1011" s="23"/>
      <c r="HR1011" s="23"/>
      <c r="HS1011" s="23"/>
      <c r="HT1011" s="23"/>
      <c r="HU1011" s="23"/>
      <c r="HV1011" s="23"/>
      <c r="HW1011" s="23"/>
      <c r="HX1011" s="23"/>
      <c r="HY1011" s="23"/>
      <c r="HZ1011" s="23"/>
      <c r="IA1011" s="23"/>
      <c r="IB1011" s="23"/>
      <c r="IC1011" s="23"/>
      <c r="ID1011" s="23"/>
      <c r="IE1011" s="23"/>
      <c r="IF1011" s="23"/>
      <c r="IG1011" s="23"/>
      <c r="IH1011" s="23"/>
      <c r="II1011" s="23"/>
      <c r="IJ1011" s="23"/>
      <c r="IK1011" s="23"/>
      <c r="IL1011" s="23"/>
      <c r="IM1011" s="23"/>
      <c r="IN1011" s="23"/>
      <c r="IO1011" s="23"/>
      <c r="IP1011" s="23"/>
      <c r="IQ1011" s="23"/>
      <c r="IR1011" s="23"/>
      <c r="IS1011" s="23"/>
      <c r="IT1011" s="23"/>
      <c r="IU1011" s="23"/>
      <c r="IV1011" s="23"/>
      <c r="IW1011" s="23"/>
      <c r="IX1011" s="23"/>
      <c r="IY1011" s="23"/>
      <c r="IZ1011" s="23"/>
      <c r="JA1011" s="23"/>
      <c r="JB1011" s="23"/>
      <c r="JC1011" s="23"/>
      <c r="JD1011" s="23"/>
      <c r="JE1011" s="23"/>
      <c r="JF1011" s="23"/>
      <c r="JG1011" s="23"/>
      <c r="JH1011" s="23"/>
      <c r="JI1011" s="23"/>
      <c r="JJ1011" s="23"/>
      <c r="JK1011" s="23"/>
      <c r="JL1011" s="23"/>
      <c r="JM1011" s="23"/>
      <c r="JN1011" s="23"/>
      <c r="JO1011" s="23"/>
      <c r="JP1011" s="23"/>
      <c r="JQ1011" s="23"/>
      <c r="JR1011" s="23"/>
      <c r="JS1011" s="23"/>
      <c r="JT1011" s="23"/>
      <c r="JU1011" s="23"/>
      <c r="JV1011" s="23"/>
      <c r="JW1011" s="23"/>
      <c r="JX1011" s="23"/>
      <c r="JY1011" s="23"/>
      <c r="JZ1011" s="23"/>
      <c r="KA1011" s="23"/>
      <c r="KB1011" s="23"/>
      <c r="KC1011" s="23"/>
      <c r="KD1011" s="23"/>
      <c r="KE1011" s="23"/>
      <c r="KF1011" s="23"/>
      <c r="KG1011" s="23"/>
      <c r="KH1011" s="23"/>
      <c r="KI1011" s="23"/>
      <c r="KJ1011" s="23"/>
      <c r="KK1011" s="23"/>
      <c r="KL1011" s="23"/>
      <c r="KM1011" s="23"/>
      <c r="KN1011" s="23"/>
      <c r="KO1011" s="23"/>
      <c r="KP1011" s="23"/>
      <c r="KQ1011" s="23"/>
      <c r="KR1011" s="23"/>
      <c r="KS1011" s="23"/>
      <c r="KT1011" s="23"/>
      <c r="KU1011" s="23"/>
      <c r="KV1011" s="23"/>
      <c r="KW1011" s="23"/>
      <c r="KX1011" s="23"/>
      <c r="KY1011" s="23"/>
      <c r="KZ1011" s="23"/>
      <c r="LA1011" s="23"/>
      <c r="LB1011" s="23"/>
      <c r="LC1011" s="23"/>
      <c r="LD1011" s="23"/>
      <c r="LE1011" s="23"/>
      <c r="LF1011" s="23"/>
      <c r="LG1011" s="23"/>
      <c r="LH1011" s="23"/>
      <c r="LI1011" s="23"/>
      <c r="LJ1011" s="23"/>
      <c r="LK1011" s="23"/>
      <c r="LL1011" s="23"/>
      <c r="LM1011" s="23"/>
      <c r="LN1011" s="23"/>
      <c r="LO1011" s="23"/>
      <c r="LP1011" s="23"/>
      <c r="LQ1011" s="23"/>
      <c r="LR1011" s="23"/>
      <c r="LS1011" s="23"/>
      <c r="LT1011" s="23"/>
      <c r="LU1011" s="23"/>
      <c r="LV1011" s="23"/>
      <c r="LW1011" s="23"/>
      <c r="LX1011" s="23"/>
      <c r="LY1011" s="23"/>
      <c r="LZ1011" s="23"/>
      <c r="MA1011" s="23"/>
      <c r="MB1011" s="23"/>
      <c r="MC1011" s="23"/>
      <c r="MD1011" s="23"/>
      <c r="ME1011" s="23"/>
      <c r="MF1011" s="23"/>
      <c r="MG1011" s="23"/>
      <c r="MH1011" s="23"/>
      <c r="MI1011" s="23"/>
      <c r="MJ1011" s="23"/>
      <c r="MK1011" s="23"/>
      <c r="ML1011" s="23"/>
      <c r="MM1011" s="23"/>
      <c r="MN1011" s="23"/>
      <c r="MO1011" s="23"/>
      <c r="MP1011" s="23"/>
      <c r="MQ1011" s="23"/>
      <c r="MR1011" s="23"/>
      <c r="MS1011" s="23"/>
      <c r="MT1011" s="23"/>
      <c r="MU1011" s="23"/>
      <c r="MV1011" s="23"/>
      <c r="MW1011" s="23"/>
      <c r="MX1011" s="23"/>
      <c r="MY1011" s="23"/>
      <c r="MZ1011" s="23"/>
      <c r="NA1011" s="23"/>
      <c r="NB1011" s="23"/>
      <c r="NC1011" s="23"/>
      <c r="ND1011" s="23"/>
      <c r="NE1011" s="23"/>
      <c r="NF1011" s="23"/>
      <c r="NG1011" s="23"/>
      <c r="NH1011" s="23"/>
      <c r="NI1011" s="23"/>
      <c r="NJ1011" s="23"/>
      <c r="NK1011" s="23"/>
      <c r="NL1011" s="23"/>
      <c r="NM1011" s="23"/>
      <c r="NN1011" s="23"/>
      <c r="NO1011" s="23"/>
      <c r="NP1011" s="23"/>
      <c r="NQ1011" s="23"/>
      <c r="NR1011" s="23"/>
      <c r="NS1011" s="23"/>
      <c r="NT1011" s="23"/>
      <c r="NU1011" s="23"/>
      <c r="NV1011" s="23"/>
      <c r="NW1011" s="23"/>
      <c r="NX1011" s="23"/>
      <c r="NY1011" s="23"/>
      <c r="NZ1011" s="23"/>
      <c r="OA1011" s="23"/>
      <c r="OB1011" s="23"/>
      <c r="OC1011" s="23"/>
      <c r="OD1011" s="23"/>
      <c r="OE1011" s="23"/>
      <c r="OF1011" s="23"/>
      <c r="OG1011" s="23"/>
      <c r="OH1011" s="23"/>
      <c r="OI1011" s="23"/>
      <c r="OJ1011" s="23"/>
      <c r="OK1011" s="23"/>
      <c r="OL1011" s="23"/>
      <c r="OM1011" s="23"/>
      <c r="ON1011" s="23"/>
      <c r="OO1011" s="23"/>
      <c r="OP1011" s="23"/>
      <c r="OQ1011" s="23"/>
      <c r="OR1011" s="23"/>
      <c r="OS1011" s="23"/>
      <c r="OT1011" s="23"/>
      <c r="OU1011" s="23"/>
      <c r="OV1011" s="23"/>
      <c r="OW1011" s="23"/>
      <c r="OX1011" s="23"/>
      <c r="OY1011" s="23"/>
      <c r="OZ1011" s="23"/>
      <c r="PA1011" s="23"/>
      <c r="PB1011" s="23"/>
      <c r="PC1011" s="23"/>
      <c r="PD1011" s="23"/>
      <c r="PE1011" s="23"/>
      <c r="PF1011" s="23"/>
      <c r="PG1011" s="23"/>
      <c r="PH1011" s="23"/>
      <c r="PI1011" s="23"/>
      <c r="PJ1011" s="23"/>
      <c r="PK1011" s="23"/>
      <c r="PL1011" s="23"/>
      <c r="PM1011" s="23"/>
      <c r="PN1011" s="23"/>
      <c r="PO1011" s="23"/>
      <c r="PP1011" s="23"/>
      <c r="PQ1011" s="23"/>
      <c r="PR1011" s="23"/>
      <c r="PS1011" s="23"/>
      <c r="PT1011" s="23"/>
      <c r="PU1011" s="23"/>
      <c r="PV1011" s="23"/>
      <c r="PW1011" s="23"/>
      <c r="PX1011" s="23"/>
      <c r="PY1011" s="23"/>
      <c r="PZ1011" s="23"/>
      <c r="QA1011" s="23"/>
      <c r="QB1011" s="23"/>
      <c r="QC1011" s="23"/>
      <c r="QD1011" s="23"/>
      <c r="QE1011" s="23"/>
      <c r="QF1011" s="23"/>
      <c r="QG1011" s="23"/>
      <c r="QH1011" s="23"/>
      <c r="QI1011" s="23"/>
      <c r="QJ1011" s="23"/>
      <c r="QK1011" s="23"/>
      <c r="QL1011" s="23"/>
      <c r="QM1011" s="23"/>
      <c r="QN1011" s="23"/>
      <c r="QO1011" s="23"/>
      <c r="QP1011" s="23"/>
      <c r="QQ1011" s="23"/>
      <c r="QR1011" s="23"/>
      <c r="QS1011" s="23"/>
      <c r="QT1011" s="23"/>
      <c r="QU1011" s="23"/>
      <c r="QV1011" s="23"/>
      <c r="QW1011" s="23"/>
      <c r="QX1011" s="23"/>
      <c r="QY1011" s="23"/>
      <c r="QZ1011" s="23"/>
      <c r="RA1011" s="23"/>
      <c r="RB1011" s="23"/>
      <c r="RC1011" s="23"/>
      <c r="RD1011" s="23"/>
      <c r="RE1011" s="23"/>
      <c r="RF1011" s="23"/>
      <c r="RG1011" s="23"/>
      <c r="RH1011" s="23"/>
      <c r="RI1011" s="23"/>
      <c r="RJ1011" s="23"/>
      <c r="RK1011" s="23"/>
      <c r="RL1011" s="23"/>
      <c r="RM1011" s="23"/>
      <c r="RN1011" s="23"/>
      <c r="RO1011" s="23"/>
      <c r="RP1011" s="23"/>
      <c r="RQ1011" s="23"/>
      <c r="RR1011" s="23"/>
      <c r="RS1011" s="23"/>
      <c r="RT1011" s="23"/>
      <c r="RU1011" s="23"/>
      <c r="RV1011" s="23"/>
      <c r="RW1011" s="23"/>
      <c r="RX1011" s="23"/>
      <c r="RY1011" s="23"/>
      <c r="RZ1011" s="23"/>
      <c r="SA1011" s="23"/>
      <c r="SB1011" s="23"/>
      <c r="SC1011" s="23"/>
      <c r="SD1011" s="23"/>
      <c r="SE1011" s="23"/>
      <c r="SF1011" s="23"/>
      <c r="SG1011" s="23"/>
      <c r="SH1011" s="23"/>
      <c r="SI1011" s="23"/>
      <c r="SJ1011" s="23"/>
      <c r="SK1011" s="23"/>
      <c r="SL1011" s="23"/>
      <c r="SM1011" s="23"/>
      <c r="SN1011" s="23"/>
      <c r="SO1011" s="23"/>
      <c r="SP1011" s="23"/>
      <c r="SQ1011" s="23"/>
      <c r="SR1011" s="23"/>
      <c r="SS1011" s="23"/>
      <c r="ST1011" s="23"/>
      <c r="SU1011" s="23"/>
      <c r="SV1011" s="23"/>
      <c r="SW1011" s="23"/>
      <c r="SX1011" s="23"/>
      <c r="SY1011" s="23"/>
      <c r="SZ1011" s="23"/>
      <c r="TA1011" s="23"/>
      <c r="TB1011" s="23"/>
      <c r="TC1011" s="23"/>
      <c r="TD1011" s="23"/>
      <c r="TE1011" s="23"/>
      <c r="TF1011" s="23"/>
      <c r="TG1011" s="23"/>
      <c r="TH1011" s="23"/>
      <c r="TI1011" s="23"/>
      <c r="TJ1011" s="23"/>
      <c r="TK1011" s="23"/>
      <c r="TL1011" s="23"/>
      <c r="TM1011" s="23"/>
      <c r="TN1011" s="23"/>
      <c r="TO1011" s="23"/>
      <c r="TP1011" s="23"/>
      <c r="TQ1011" s="23"/>
      <c r="TR1011" s="23"/>
      <c r="TS1011" s="23"/>
      <c r="TT1011" s="23"/>
      <c r="TU1011" s="23"/>
      <c r="TV1011" s="23"/>
      <c r="TW1011" s="23"/>
      <c r="TX1011" s="23"/>
      <c r="TY1011" s="23"/>
      <c r="TZ1011" s="23"/>
      <c r="UA1011" s="23"/>
      <c r="UB1011" s="23"/>
      <c r="UC1011" s="23"/>
      <c r="UD1011" s="23"/>
      <c r="UE1011" s="23"/>
      <c r="UF1011" s="23"/>
      <c r="UG1011" s="23"/>
      <c r="UH1011" s="23"/>
      <c r="UI1011" s="23"/>
      <c r="UJ1011" s="23"/>
      <c r="UK1011" s="23"/>
      <c r="UL1011" s="23"/>
      <c r="UM1011" s="23"/>
      <c r="UN1011" s="23"/>
      <c r="UO1011" s="23"/>
      <c r="UP1011" s="23"/>
      <c r="UQ1011" s="23"/>
      <c r="UR1011" s="23"/>
      <c r="US1011" s="23"/>
      <c r="UT1011" s="23"/>
      <c r="UU1011" s="23"/>
      <c r="UV1011" s="23"/>
      <c r="UW1011" s="23"/>
      <c r="UX1011" s="23"/>
      <c r="UY1011" s="23"/>
      <c r="UZ1011" s="23"/>
      <c r="VA1011" s="23"/>
      <c r="VB1011" s="23"/>
      <c r="VC1011" s="23"/>
      <c r="VD1011" s="23"/>
      <c r="VE1011" s="23"/>
      <c r="VF1011" s="23"/>
      <c r="VG1011" s="23"/>
      <c r="VH1011" s="23"/>
      <c r="VI1011" s="23"/>
      <c r="VJ1011" s="23"/>
      <c r="VK1011" s="23"/>
      <c r="VL1011" s="23"/>
      <c r="VM1011" s="23"/>
      <c r="VN1011" s="23"/>
      <c r="VO1011" s="23"/>
      <c r="VP1011" s="23"/>
      <c r="VQ1011" s="23"/>
      <c r="VR1011" s="23"/>
      <c r="VS1011" s="23"/>
      <c r="VT1011" s="23"/>
      <c r="VU1011" s="23"/>
      <c r="VV1011" s="23"/>
      <c r="VW1011" s="23"/>
      <c r="VX1011" s="23"/>
      <c r="VY1011" s="23"/>
      <c r="VZ1011" s="23"/>
      <c r="WA1011" s="23"/>
      <c r="WB1011" s="23"/>
      <c r="WC1011" s="23"/>
      <c r="WD1011" s="23"/>
      <c r="WE1011" s="23"/>
      <c r="WF1011" s="23"/>
      <c r="WG1011" s="23"/>
      <c r="WH1011" s="23"/>
      <c r="WI1011" s="23"/>
      <c r="WJ1011" s="23"/>
      <c r="WK1011" s="23"/>
      <c r="WL1011" s="23"/>
      <c r="WM1011" s="23"/>
      <c r="WN1011" s="23"/>
      <c r="WO1011" s="23"/>
      <c r="WP1011" s="23"/>
      <c r="WQ1011" s="23"/>
      <c r="WR1011" s="23"/>
      <c r="WS1011" s="23"/>
      <c r="WT1011" s="23"/>
      <c r="WU1011" s="23"/>
      <c r="WV1011" s="23"/>
      <c r="WW1011" s="23"/>
      <c r="WX1011" s="23"/>
      <c r="WY1011" s="23"/>
      <c r="WZ1011" s="23"/>
      <c r="XA1011" s="23"/>
      <c r="XB1011" s="23"/>
      <c r="XC1011" s="23"/>
      <c r="XD1011" s="23"/>
      <c r="XE1011" s="23"/>
      <c r="XF1011" s="23"/>
      <c r="XG1011" s="23"/>
      <c r="XH1011" s="23"/>
      <c r="XI1011" s="23"/>
      <c r="XJ1011" s="23"/>
      <c r="XK1011" s="23"/>
      <c r="XL1011" s="23"/>
      <c r="XM1011" s="23"/>
      <c r="XN1011" s="23"/>
      <c r="XO1011" s="23"/>
      <c r="XP1011" s="23"/>
      <c r="XQ1011" s="23"/>
      <c r="XR1011" s="23"/>
      <c r="XS1011" s="23"/>
      <c r="XT1011" s="23"/>
      <c r="XU1011" s="23"/>
      <c r="XV1011" s="23"/>
      <c r="XW1011" s="23"/>
      <c r="XX1011" s="23"/>
      <c r="XY1011" s="23"/>
      <c r="XZ1011" s="23"/>
      <c r="YA1011" s="23"/>
      <c r="YB1011" s="23"/>
      <c r="YC1011" s="23"/>
      <c r="YD1011" s="23"/>
      <c r="YE1011" s="23"/>
      <c r="YF1011" s="23"/>
      <c r="YG1011" s="23"/>
      <c r="YH1011" s="23"/>
      <c r="YI1011" s="23"/>
      <c r="YJ1011" s="23"/>
      <c r="YK1011" s="23"/>
      <c r="YL1011" s="23"/>
      <c r="YM1011" s="23"/>
      <c r="YN1011" s="23"/>
      <c r="YO1011" s="23"/>
      <c r="YP1011" s="23"/>
      <c r="YQ1011" s="23"/>
      <c r="YR1011" s="23"/>
      <c r="YS1011" s="23"/>
      <c r="YT1011" s="23"/>
      <c r="YU1011" s="23"/>
      <c r="YV1011" s="23"/>
      <c r="YW1011" s="23"/>
      <c r="YX1011" s="23"/>
      <c r="YY1011" s="23"/>
      <c r="YZ1011" s="23"/>
      <c r="ZA1011" s="23"/>
      <c r="ZB1011" s="23"/>
      <c r="ZC1011" s="23"/>
      <c r="ZD1011" s="23"/>
      <c r="ZE1011" s="23"/>
      <c r="ZF1011" s="23"/>
      <c r="ZG1011" s="23"/>
      <c r="ZH1011" s="23"/>
      <c r="ZI1011" s="23"/>
      <c r="ZJ1011" s="23"/>
      <c r="ZK1011" s="23"/>
      <c r="ZL1011" s="23"/>
      <c r="ZM1011" s="23"/>
      <c r="ZN1011" s="23"/>
      <c r="ZO1011" s="23"/>
      <c r="ZP1011" s="23"/>
      <c r="ZQ1011" s="23"/>
      <c r="ZR1011" s="23"/>
      <c r="ZS1011" s="23"/>
      <c r="ZT1011" s="23"/>
      <c r="ZU1011" s="23"/>
      <c r="ZV1011" s="23"/>
      <c r="ZW1011" s="23"/>
      <c r="ZX1011" s="23"/>
      <c r="ZY1011" s="23"/>
      <c r="ZZ1011" s="23"/>
      <c r="AAA1011" s="23"/>
      <c r="AAB1011" s="23"/>
      <c r="AAC1011" s="23"/>
      <c r="AAD1011" s="23"/>
      <c r="AAE1011" s="23"/>
      <c r="AAF1011" s="23"/>
      <c r="AAG1011" s="23"/>
      <c r="AAH1011" s="23"/>
      <c r="AAI1011" s="23"/>
      <c r="AAJ1011" s="23"/>
      <c r="AAK1011" s="23"/>
      <c r="AAL1011" s="23"/>
      <c r="AAM1011" s="23"/>
      <c r="AAN1011" s="23"/>
      <c r="AAO1011" s="23"/>
      <c r="AAP1011" s="23"/>
      <c r="AAQ1011" s="23"/>
      <c r="AAR1011" s="23"/>
      <c r="AAS1011" s="23"/>
      <c r="AAT1011" s="23"/>
      <c r="AAU1011" s="23"/>
      <c r="AAV1011" s="23"/>
      <c r="AAW1011" s="23"/>
      <c r="AAX1011" s="23"/>
      <c r="AAY1011" s="23"/>
      <c r="AAZ1011" s="23"/>
      <c r="ABA1011" s="23"/>
      <c r="ABB1011" s="23"/>
      <c r="ABC1011" s="23"/>
      <c r="ABD1011" s="23"/>
      <c r="ABE1011" s="23"/>
      <c r="ABF1011" s="23"/>
      <c r="ABG1011" s="23"/>
      <c r="ABH1011" s="23"/>
      <c r="ABI1011" s="23"/>
      <c r="ABJ1011" s="23"/>
      <c r="ABK1011" s="23"/>
      <c r="ABL1011" s="23"/>
      <c r="ABM1011" s="23"/>
      <c r="ABN1011" s="23"/>
      <c r="ABO1011" s="23"/>
      <c r="ABP1011" s="23"/>
      <c r="ABQ1011" s="23"/>
      <c r="ABR1011" s="23"/>
      <c r="ABS1011" s="23"/>
      <c r="ABT1011" s="23"/>
      <c r="ABU1011" s="23"/>
      <c r="ABV1011" s="23"/>
      <c r="ABW1011" s="23"/>
      <c r="ABX1011" s="23"/>
      <c r="ABY1011" s="23"/>
      <c r="ABZ1011" s="23"/>
      <c r="ACA1011" s="23"/>
      <c r="ACB1011" s="23"/>
      <c r="ACC1011" s="23"/>
      <c r="ACD1011" s="23"/>
      <c r="ACE1011" s="23"/>
      <c r="ACF1011" s="23"/>
      <c r="ACG1011" s="23"/>
      <c r="ACH1011" s="23"/>
      <c r="ACI1011" s="23"/>
      <c r="ACJ1011" s="23"/>
      <c r="ACK1011" s="23"/>
      <c r="ACL1011" s="23"/>
      <c r="ACM1011" s="23"/>
      <c r="ACN1011" s="23"/>
      <c r="ACO1011" s="23"/>
      <c r="ACP1011" s="23"/>
      <c r="ACQ1011" s="23"/>
      <c r="ACR1011" s="23"/>
      <c r="ACS1011" s="23"/>
      <c r="ACT1011" s="23"/>
      <c r="ACU1011" s="23"/>
      <c r="ACV1011" s="23"/>
      <c r="ACW1011" s="23"/>
      <c r="ACX1011" s="23"/>
      <c r="ACY1011" s="23"/>
      <c r="ACZ1011" s="23"/>
      <c r="ADA1011" s="23"/>
      <c r="ADB1011" s="23"/>
      <c r="ADC1011" s="23"/>
      <c r="ADD1011" s="23"/>
      <c r="ADE1011" s="23"/>
      <c r="ADF1011" s="23"/>
      <c r="ADG1011" s="23"/>
      <c r="ADH1011" s="23"/>
      <c r="ADI1011" s="23"/>
      <c r="ADJ1011" s="23"/>
      <c r="ADK1011" s="23"/>
      <c r="ADL1011" s="23"/>
      <c r="ADM1011" s="23"/>
      <c r="ADN1011" s="23"/>
      <c r="ADO1011" s="23"/>
      <c r="ADP1011" s="23"/>
      <c r="ADQ1011" s="23"/>
      <c r="ADR1011" s="23"/>
      <c r="ADS1011" s="23"/>
      <c r="ADT1011" s="23"/>
      <c r="ADU1011" s="23"/>
      <c r="ADV1011" s="23"/>
      <c r="ADW1011" s="23"/>
      <c r="ADX1011" s="23"/>
      <c r="ADY1011" s="23"/>
      <c r="ADZ1011" s="23"/>
      <c r="AEA1011" s="23"/>
      <c r="AEB1011" s="23"/>
      <c r="AEC1011" s="23"/>
      <c r="AED1011" s="23"/>
      <c r="AEE1011" s="23"/>
      <c r="AEF1011" s="23"/>
      <c r="AEG1011" s="23"/>
      <c r="AEH1011" s="23"/>
      <c r="AEI1011" s="23"/>
      <c r="AEJ1011" s="23"/>
      <c r="AEK1011" s="23"/>
      <c r="AEL1011" s="23"/>
      <c r="AEM1011" s="23"/>
      <c r="AEN1011" s="23"/>
      <c r="AEO1011" s="23"/>
      <c r="AEP1011" s="23"/>
      <c r="AEQ1011" s="23"/>
      <c r="AER1011" s="23"/>
      <c r="AES1011" s="23"/>
      <c r="AET1011" s="23"/>
      <c r="AEU1011" s="23"/>
      <c r="AEV1011" s="23"/>
      <c r="AEW1011" s="23"/>
      <c r="AEX1011" s="23"/>
      <c r="AEY1011" s="23"/>
      <c r="AEZ1011" s="23"/>
      <c r="AFA1011" s="23"/>
      <c r="AFB1011" s="23"/>
      <c r="AFC1011" s="23"/>
      <c r="AFD1011" s="23"/>
      <c r="AFE1011" s="23"/>
      <c r="AFF1011" s="23"/>
      <c r="AFG1011" s="23"/>
      <c r="AFH1011" s="23"/>
      <c r="AFI1011" s="23"/>
      <c r="AFJ1011" s="23"/>
      <c r="AFK1011" s="23"/>
      <c r="AFL1011" s="23"/>
      <c r="AFM1011" s="23"/>
      <c r="AFN1011" s="23"/>
      <c r="AFO1011" s="23"/>
      <c r="AFP1011" s="23"/>
      <c r="AFQ1011" s="23"/>
      <c r="AFR1011" s="23"/>
      <c r="AFS1011" s="23"/>
      <c r="AFT1011" s="23"/>
      <c r="AFU1011" s="23"/>
      <c r="AFV1011" s="23"/>
      <c r="AFW1011" s="23"/>
      <c r="AFX1011" s="23"/>
      <c r="AFY1011" s="23"/>
      <c r="AFZ1011" s="23"/>
      <c r="AGA1011" s="23"/>
      <c r="AGB1011" s="23"/>
      <c r="AGC1011" s="23"/>
      <c r="AGD1011" s="23"/>
      <c r="AGE1011" s="23"/>
      <c r="AGF1011" s="23"/>
      <c r="AGG1011" s="23"/>
      <c r="AGH1011" s="23"/>
      <c r="AGI1011" s="23"/>
      <c r="AGJ1011" s="23"/>
      <c r="AGK1011" s="23"/>
      <c r="AGL1011" s="23"/>
      <c r="AGM1011" s="23"/>
      <c r="AGN1011" s="23"/>
      <c r="AGO1011" s="23"/>
      <c r="AGP1011" s="23"/>
      <c r="AGQ1011" s="23"/>
      <c r="AGR1011" s="23"/>
      <c r="AGS1011" s="23"/>
      <c r="AGT1011" s="23"/>
      <c r="AGU1011" s="23"/>
      <c r="AGV1011" s="23"/>
      <c r="AGW1011" s="23"/>
      <c r="AGX1011" s="23"/>
      <c r="AGY1011" s="23"/>
      <c r="AGZ1011" s="23"/>
      <c r="AHA1011" s="23"/>
      <c r="AHB1011" s="23"/>
      <c r="AHC1011" s="23"/>
      <c r="AHD1011" s="23"/>
      <c r="AHE1011" s="23"/>
      <c r="AHF1011" s="23"/>
      <c r="AHG1011" s="23"/>
      <c r="AHH1011" s="23"/>
      <c r="AHI1011" s="23"/>
      <c r="AHJ1011" s="23"/>
      <c r="AHK1011" s="23"/>
      <c r="AHL1011" s="23"/>
      <c r="AHM1011" s="23"/>
      <c r="AHN1011" s="23"/>
      <c r="AHO1011" s="23"/>
      <c r="AHP1011" s="23"/>
      <c r="AHQ1011" s="23"/>
      <c r="AHR1011" s="23"/>
      <c r="AHS1011" s="23"/>
      <c r="AHT1011" s="23"/>
      <c r="AHU1011" s="23"/>
      <c r="AHV1011" s="23"/>
      <c r="AHW1011" s="23"/>
      <c r="AHX1011" s="23"/>
      <c r="AHY1011" s="23"/>
      <c r="AHZ1011" s="23"/>
      <c r="AIA1011" s="23"/>
      <c r="AIB1011" s="23"/>
      <c r="AIC1011" s="23"/>
      <c r="AID1011" s="23"/>
      <c r="AIE1011" s="23"/>
      <c r="AIF1011" s="23"/>
      <c r="AIG1011" s="23"/>
      <c r="AIH1011" s="23"/>
      <c r="AII1011" s="23"/>
      <c r="AIJ1011" s="23"/>
      <c r="AIK1011" s="23"/>
      <c r="AIL1011" s="23"/>
      <c r="AIM1011" s="23"/>
      <c r="AIN1011" s="23"/>
      <c r="AIO1011" s="23"/>
      <c r="AIP1011" s="23"/>
      <c r="AIQ1011" s="23"/>
      <c r="AIR1011" s="23"/>
      <c r="AIS1011" s="23"/>
      <c r="AIT1011" s="23"/>
      <c r="AIU1011" s="23"/>
      <c r="AIV1011" s="23"/>
      <c r="AIW1011" s="23"/>
      <c r="AIX1011" s="23"/>
      <c r="AIY1011" s="23"/>
      <c r="AIZ1011" s="23"/>
      <c r="AJA1011" s="23"/>
      <c r="AJB1011" s="23"/>
      <c r="AJC1011" s="23"/>
      <c r="AJD1011" s="23"/>
      <c r="AJE1011" s="23"/>
      <c r="AJF1011" s="23"/>
      <c r="AJG1011" s="23"/>
      <c r="AJH1011" s="23"/>
      <c r="AJI1011" s="23"/>
      <c r="AJJ1011" s="23"/>
      <c r="AJK1011" s="23"/>
      <c r="AJL1011" s="23"/>
      <c r="AJM1011" s="23"/>
      <c r="AJN1011" s="23"/>
      <c r="AJO1011" s="23"/>
      <c r="AJP1011" s="23"/>
      <c r="AJQ1011" s="23"/>
      <c r="AJR1011" s="23"/>
      <c r="AJS1011" s="23"/>
      <c r="AJT1011" s="23"/>
      <c r="AJU1011" s="23"/>
      <c r="AJV1011" s="23"/>
      <c r="AJW1011" s="23"/>
      <c r="AJX1011" s="23"/>
      <c r="AJY1011" s="23"/>
      <c r="AJZ1011" s="23"/>
      <c r="AKA1011" s="23"/>
      <c r="AKB1011" s="23"/>
      <c r="AKC1011" s="23"/>
      <c r="AKD1011" s="23"/>
      <c r="AKE1011" s="23"/>
      <c r="AKF1011" s="23"/>
      <c r="AKG1011" s="23"/>
      <c r="AKH1011" s="23"/>
      <c r="AKI1011" s="23"/>
      <c r="AKJ1011" s="23"/>
      <c r="AKK1011" s="23"/>
      <c r="AKL1011" s="23"/>
      <c r="AKM1011" s="23"/>
      <c r="AKN1011" s="23"/>
      <c r="AKO1011" s="23"/>
      <c r="AKP1011" s="23"/>
      <c r="AKQ1011" s="23"/>
      <c r="AKR1011" s="23"/>
      <c r="AKS1011" s="23"/>
      <c r="AKT1011" s="23"/>
      <c r="AKU1011" s="23"/>
      <c r="AKV1011" s="23"/>
      <c r="AKW1011" s="23"/>
      <c r="AKX1011" s="23"/>
      <c r="AKY1011" s="23"/>
      <c r="AKZ1011" s="23"/>
      <c r="ALA1011" s="23"/>
      <c r="ALB1011" s="23"/>
      <c r="ALC1011" s="23"/>
      <c r="ALD1011" s="23"/>
      <c r="ALE1011" s="23"/>
      <c r="ALF1011" s="23"/>
      <c r="ALG1011" s="23"/>
      <c r="ALH1011" s="23"/>
      <c r="ALI1011" s="23"/>
      <c r="ALJ1011" s="23"/>
      <c r="ALK1011" s="23"/>
      <c r="ALL1011" s="23"/>
      <c r="ALM1011" s="23"/>
      <c r="ALN1011" s="23"/>
      <c r="ALO1011" s="23"/>
      <c r="ALP1011" s="23"/>
      <c r="ALQ1011" s="23"/>
      <c r="ALR1011" s="23"/>
      <c r="ALS1011" s="23"/>
      <c r="ALT1011" s="23"/>
      <c r="ALU1011" s="23"/>
      <c r="ALV1011" s="23"/>
      <c r="ALW1011" s="23"/>
      <c r="ALX1011" s="23"/>
      <c r="ALY1011" s="23"/>
      <c r="ALZ1011" s="23"/>
      <c r="AMA1011" s="23"/>
      <c r="AMB1011" s="23"/>
      <c r="AMC1011" s="23"/>
      <c r="AMD1011" s="23"/>
      <c r="AME1011" s="23"/>
      <c r="AMF1011" s="23"/>
      <c r="AMG1011" s="23"/>
      <c r="AMH1011" s="23"/>
      <c r="AMI1011" s="23"/>
      <c r="AMJ1011" s="23"/>
      <c r="AMK1011" s="23"/>
      <c r="AML1011" s="23"/>
      <c r="AMM1011" s="23"/>
      <c r="AMN1011" s="23"/>
      <c r="AMO1011" s="23"/>
      <c r="AMP1011" s="23"/>
      <c r="AMQ1011" s="23"/>
      <c r="AMR1011" s="23"/>
      <c r="AMS1011" s="23"/>
      <c r="AMT1011" s="23"/>
      <c r="AMU1011" s="23"/>
      <c r="AMV1011" s="23"/>
      <c r="AMW1011" s="23"/>
      <c r="AMX1011" s="23"/>
      <c r="AMY1011" s="23"/>
      <c r="AMZ1011" s="23"/>
      <c r="ANA1011" s="23"/>
      <c r="ANB1011" s="23"/>
      <c r="ANC1011" s="23"/>
      <c r="AND1011" s="23"/>
      <c r="ANE1011" s="23"/>
      <c r="ANF1011" s="23"/>
      <c r="ANG1011" s="23"/>
      <c r="ANH1011" s="23"/>
      <c r="ANI1011" s="23"/>
      <c r="ANJ1011" s="23"/>
      <c r="ANK1011" s="23"/>
      <c r="ANL1011" s="23"/>
      <c r="ANM1011" s="23"/>
      <c r="ANN1011" s="23"/>
      <c r="ANO1011" s="23"/>
      <c r="ANP1011" s="23"/>
      <c r="ANQ1011" s="23"/>
      <c r="ANR1011" s="23"/>
      <c r="ANS1011" s="23"/>
      <c r="ANT1011" s="23"/>
      <c r="ANU1011" s="23"/>
      <c r="ANV1011" s="23"/>
      <c r="ANW1011" s="23"/>
      <c r="ANX1011" s="23"/>
      <c r="ANY1011" s="23"/>
      <c r="ANZ1011" s="23"/>
      <c r="AOA1011" s="23"/>
      <c r="AOB1011" s="23"/>
      <c r="AOC1011" s="23"/>
      <c r="AOD1011" s="23"/>
      <c r="AOE1011" s="23"/>
      <c r="AOF1011" s="23"/>
      <c r="AOG1011" s="23"/>
      <c r="AOH1011" s="23"/>
      <c r="AOI1011" s="23"/>
      <c r="AOJ1011" s="23"/>
      <c r="AOK1011" s="23"/>
      <c r="AOL1011" s="23"/>
      <c r="AOM1011" s="23"/>
      <c r="AON1011" s="23"/>
      <c r="AOO1011" s="23"/>
      <c r="AOP1011" s="23"/>
      <c r="AOQ1011" s="23"/>
      <c r="AOR1011" s="23"/>
      <c r="AOS1011" s="23"/>
      <c r="AOT1011" s="23"/>
      <c r="AOU1011" s="23"/>
      <c r="AOV1011" s="23"/>
      <c r="AOW1011" s="23"/>
      <c r="AOX1011" s="23"/>
      <c r="AOY1011" s="23"/>
      <c r="AOZ1011" s="23"/>
      <c r="APA1011" s="23"/>
      <c r="APB1011" s="23"/>
      <c r="APC1011" s="23"/>
      <c r="APD1011" s="23"/>
      <c r="APE1011" s="23"/>
      <c r="APF1011" s="23"/>
      <c r="APG1011" s="23"/>
      <c r="APH1011" s="23"/>
      <c r="API1011" s="23"/>
      <c r="APJ1011" s="23"/>
      <c r="APK1011" s="23"/>
      <c r="APL1011" s="23"/>
      <c r="APM1011" s="23"/>
      <c r="APN1011" s="23"/>
      <c r="APO1011" s="23"/>
      <c r="APP1011" s="23"/>
      <c r="APQ1011" s="23"/>
      <c r="APR1011" s="23"/>
      <c r="APS1011" s="23"/>
      <c r="APT1011" s="23"/>
      <c r="APU1011" s="23"/>
      <c r="APV1011" s="23"/>
      <c r="APW1011" s="23"/>
      <c r="APX1011" s="23"/>
      <c r="APY1011" s="23"/>
      <c r="APZ1011" s="23"/>
      <c r="AQA1011" s="23"/>
      <c r="AQB1011" s="23"/>
      <c r="AQC1011" s="23"/>
      <c r="AQD1011" s="23"/>
      <c r="AQE1011" s="23"/>
      <c r="AQF1011" s="23"/>
      <c r="AQG1011" s="23"/>
      <c r="AQH1011" s="23"/>
      <c r="AQI1011" s="23"/>
      <c r="AQJ1011" s="23"/>
      <c r="AQK1011" s="23"/>
      <c r="AQL1011" s="23"/>
      <c r="AQM1011" s="23"/>
      <c r="AQN1011" s="23"/>
      <c r="AQO1011" s="23"/>
      <c r="AQP1011" s="23"/>
      <c r="AQQ1011" s="23"/>
      <c r="AQR1011" s="23"/>
      <c r="AQS1011" s="23"/>
      <c r="AQT1011" s="23"/>
      <c r="AQU1011" s="23"/>
      <c r="AQV1011" s="23"/>
      <c r="AQW1011" s="23"/>
      <c r="AQX1011" s="23"/>
      <c r="AQY1011" s="23"/>
      <c r="AQZ1011" s="23"/>
      <c r="ARA1011" s="23"/>
      <c r="ARB1011" s="23"/>
      <c r="ARC1011" s="23"/>
      <c r="ARD1011" s="23"/>
      <c r="ARE1011" s="23"/>
      <c r="ARF1011" s="23"/>
      <c r="ARG1011" s="23"/>
      <c r="ARH1011" s="23"/>
      <c r="ARI1011" s="23"/>
      <c r="ARJ1011" s="23"/>
      <c r="ARK1011" s="23"/>
      <c r="ARL1011" s="23"/>
      <c r="ARM1011" s="23"/>
      <c r="ARN1011" s="23"/>
      <c r="ARO1011" s="23"/>
      <c r="ARP1011" s="23"/>
      <c r="ARQ1011" s="23"/>
      <c r="ARR1011" s="23"/>
      <c r="ARS1011" s="23"/>
      <c r="ART1011" s="23"/>
      <c r="ARU1011" s="23"/>
      <c r="ARV1011" s="23"/>
      <c r="ARW1011" s="23"/>
      <c r="ARX1011" s="23"/>
      <c r="ARY1011" s="23"/>
      <c r="ARZ1011" s="23"/>
      <c r="ASA1011" s="23"/>
      <c r="ASB1011" s="23"/>
      <c r="ASC1011" s="23"/>
      <c r="ASD1011" s="23"/>
      <c r="ASE1011" s="23"/>
      <c r="ASF1011" s="23"/>
      <c r="ASG1011" s="23"/>
      <c r="ASH1011" s="23"/>
      <c r="ASI1011" s="23"/>
      <c r="ASJ1011" s="23"/>
      <c r="ASK1011" s="23"/>
      <c r="ASL1011" s="23"/>
      <c r="ASM1011" s="23"/>
      <c r="ASN1011" s="23"/>
      <c r="ASO1011" s="23"/>
      <c r="ASP1011" s="23"/>
      <c r="ASQ1011" s="23"/>
      <c r="ASR1011" s="23"/>
      <c r="ASS1011" s="23"/>
      <c r="AST1011" s="23"/>
      <c r="ASU1011" s="23"/>
      <c r="ASV1011" s="23"/>
      <c r="ASW1011" s="23"/>
      <c r="ASX1011" s="23"/>
      <c r="ASY1011" s="23"/>
      <c r="ASZ1011" s="23"/>
      <c r="ATA1011" s="23"/>
      <c r="ATB1011" s="23"/>
      <c r="ATC1011" s="23"/>
      <c r="ATD1011" s="23"/>
      <c r="ATE1011" s="23"/>
      <c r="ATF1011" s="23"/>
      <c r="ATG1011" s="23"/>
      <c r="ATH1011" s="23"/>
      <c r="ATI1011" s="23"/>
      <c r="ATJ1011" s="23"/>
      <c r="ATK1011" s="23"/>
      <c r="ATL1011" s="23"/>
      <c r="ATM1011" s="23"/>
      <c r="ATN1011" s="23"/>
      <c r="ATO1011" s="23"/>
      <c r="ATP1011" s="23"/>
      <c r="ATQ1011" s="23"/>
      <c r="ATR1011" s="23"/>
      <c r="ATS1011" s="23"/>
      <c r="ATT1011" s="23"/>
      <c r="ATU1011" s="23"/>
      <c r="ATV1011" s="23"/>
      <c r="ATW1011" s="23"/>
      <c r="ATX1011" s="23"/>
      <c r="ATY1011" s="23"/>
      <c r="ATZ1011" s="23"/>
      <c r="AUA1011" s="23"/>
      <c r="AUB1011" s="23"/>
      <c r="AUC1011" s="23"/>
      <c r="AUD1011" s="23"/>
      <c r="AUE1011" s="23"/>
      <c r="AUF1011" s="23"/>
      <c r="AUG1011" s="23"/>
      <c r="AUH1011" s="23"/>
      <c r="AUI1011" s="23"/>
      <c r="AUJ1011" s="23"/>
      <c r="AUK1011" s="23"/>
      <c r="AUL1011" s="23"/>
      <c r="AUM1011" s="23"/>
      <c r="AUN1011" s="23"/>
      <c r="AUO1011" s="23"/>
      <c r="AUP1011" s="23"/>
      <c r="AUQ1011" s="23"/>
      <c r="AUR1011" s="23"/>
      <c r="AUS1011" s="23"/>
      <c r="AUT1011" s="23"/>
      <c r="AUU1011" s="23"/>
      <c r="AUV1011" s="23"/>
      <c r="AUW1011" s="23"/>
      <c r="AUX1011" s="23"/>
      <c r="AUY1011" s="23"/>
      <c r="AUZ1011" s="23"/>
      <c r="AVA1011" s="23"/>
      <c r="AVB1011" s="23"/>
      <c r="AVC1011" s="23"/>
      <c r="AVD1011" s="23"/>
      <c r="AVE1011" s="23"/>
      <c r="AVF1011" s="23"/>
      <c r="AVG1011" s="23"/>
      <c r="AVH1011" s="23"/>
      <c r="AVI1011" s="23"/>
      <c r="AVJ1011" s="23"/>
      <c r="AVK1011" s="23"/>
      <c r="AVL1011" s="23"/>
      <c r="AVM1011" s="23"/>
      <c r="AVN1011" s="23"/>
      <c r="AVO1011" s="23"/>
      <c r="AVP1011" s="23"/>
      <c r="AVQ1011" s="23"/>
      <c r="AVR1011" s="23"/>
      <c r="AVS1011" s="23"/>
      <c r="AVT1011" s="23"/>
      <c r="AVU1011" s="23"/>
      <c r="AVV1011" s="23"/>
      <c r="AVW1011" s="23"/>
      <c r="AVX1011" s="23"/>
      <c r="AVY1011" s="23"/>
      <c r="AVZ1011" s="23"/>
      <c r="AWA1011" s="23"/>
      <c r="AWB1011" s="23"/>
      <c r="AWC1011" s="23"/>
      <c r="AWD1011" s="23"/>
      <c r="AWE1011" s="23"/>
      <c r="AWF1011" s="23"/>
      <c r="AWG1011" s="23"/>
      <c r="AWH1011" s="23"/>
      <c r="AWI1011" s="23"/>
      <c r="AWJ1011" s="23"/>
      <c r="AWK1011" s="23"/>
      <c r="AWL1011" s="23"/>
      <c r="AWM1011" s="23"/>
      <c r="AWN1011" s="23"/>
      <c r="AWO1011" s="23"/>
      <c r="AWP1011" s="23"/>
      <c r="AWQ1011" s="23"/>
      <c r="AWR1011" s="23"/>
      <c r="AWS1011" s="23"/>
      <c r="AWT1011" s="23"/>
      <c r="AWU1011" s="23"/>
      <c r="AWV1011" s="23"/>
      <c r="AWW1011" s="23"/>
      <c r="AWX1011" s="23"/>
      <c r="AWY1011" s="23"/>
      <c r="AWZ1011" s="23"/>
      <c r="AXA1011" s="23"/>
      <c r="AXB1011" s="23"/>
      <c r="AXC1011" s="23"/>
      <c r="AXD1011" s="23"/>
      <c r="AXE1011" s="23"/>
      <c r="AXF1011" s="23"/>
      <c r="AXG1011" s="23"/>
      <c r="AXH1011" s="23"/>
      <c r="AXI1011" s="23"/>
      <c r="AXJ1011" s="23"/>
      <c r="AXK1011" s="23"/>
      <c r="AXL1011" s="23"/>
      <c r="AXM1011" s="23"/>
      <c r="AXN1011" s="23"/>
      <c r="AXO1011" s="23"/>
      <c r="AXP1011" s="23"/>
      <c r="AXQ1011" s="23"/>
      <c r="AXR1011" s="23"/>
      <c r="AXS1011" s="23"/>
      <c r="AXT1011" s="23"/>
      <c r="AXU1011" s="23"/>
      <c r="AXV1011" s="23"/>
      <c r="AXW1011" s="23"/>
      <c r="AXX1011" s="23"/>
      <c r="AXY1011" s="23"/>
      <c r="AXZ1011" s="23"/>
      <c r="AYA1011" s="23"/>
      <c r="AYB1011" s="23"/>
      <c r="AYC1011" s="23"/>
      <c r="AYD1011" s="23"/>
      <c r="AYE1011" s="23"/>
      <c r="AYF1011" s="23"/>
      <c r="AYG1011" s="23"/>
      <c r="AYH1011" s="23"/>
      <c r="AYI1011" s="23"/>
      <c r="AYJ1011" s="23"/>
      <c r="AYK1011" s="23"/>
      <c r="AYL1011" s="23"/>
      <c r="AYM1011" s="23"/>
      <c r="AYN1011" s="23"/>
      <c r="AYO1011" s="23"/>
      <c r="AYP1011" s="23"/>
      <c r="AYQ1011" s="23"/>
      <c r="AYR1011" s="23"/>
      <c r="AYS1011" s="23"/>
      <c r="AYT1011" s="23"/>
      <c r="AYU1011" s="23"/>
      <c r="AYV1011" s="23"/>
      <c r="AYW1011" s="23"/>
      <c r="AYX1011" s="23"/>
      <c r="AYY1011" s="23"/>
      <c r="AYZ1011" s="23"/>
      <c r="AZA1011" s="23"/>
      <c r="AZB1011" s="23"/>
      <c r="AZC1011" s="23"/>
      <c r="AZD1011" s="23"/>
      <c r="AZE1011" s="23"/>
      <c r="AZF1011" s="23"/>
      <c r="AZG1011" s="23"/>
      <c r="AZH1011" s="23"/>
      <c r="AZI1011" s="23"/>
      <c r="AZJ1011" s="23"/>
      <c r="AZK1011" s="23"/>
      <c r="AZL1011" s="23"/>
      <c r="AZM1011" s="23"/>
      <c r="AZN1011" s="23"/>
      <c r="AZO1011" s="23"/>
      <c r="AZP1011" s="23"/>
      <c r="AZQ1011" s="23"/>
      <c r="AZR1011" s="23"/>
      <c r="AZS1011" s="23"/>
      <c r="AZT1011" s="23"/>
      <c r="AZU1011" s="23"/>
      <c r="AZV1011" s="23"/>
      <c r="AZW1011" s="23"/>
      <c r="AZX1011" s="23"/>
      <c r="AZY1011" s="23"/>
      <c r="AZZ1011" s="23"/>
      <c r="BAA1011" s="23"/>
      <c r="BAB1011" s="23"/>
      <c r="BAC1011" s="23"/>
      <c r="BAD1011" s="23"/>
      <c r="BAE1011" s="23"/>
      <c r="BAF1011" s="23"/>
      <c r="BAG1011" s="23"/>
      <c r="BAH1011" s="23"/>
      <c r="BAI1011" s="23"/>
      <c r="BAJ1011" s="23"/>
      <c r="BAK1011" s="23"/>
      <c r="BAL1011" s="23"/>
      <c r="BAM1011" s="23"/>
      <c r="BAN1011" s="23"/>
      <c r="BAO1011" s="23"/>
      <c r="BAP1011" s="23"/>
      <c r="BAQ1011" s="23"/>
      <c r="BAR1011" s="23"/>
      <c r="BAS1011" s="23"/>
      <c r="BAT1011" s="23"/>
      <c r="BAU1011" s="23"/>
      <c r="BAV1011" s="23"/>
      <c r="BAW1011" s="23"/>
      <c r="BAX1011" s="23"/>
      <c r="BAY1011" s="23"/>
      <c r="BAZ1011" s="23"/>
      <c r="BBA1011" s="23"/>
      <c r="BBB1011" s="23"/>
      <c r="BBC1011" s="23"/>
      <c r="BBD1011" s="23"/>
      <c r="BBE1011" s="23"/>
      <c r="BBF1011" s="23"/>
      <c r="BBG1011" s="23"/>
      <c r="BBH1011" s="23"/>
      <c r="BBI1011" s="23"/>
      <c r="BBJ1011" s="23"/>
      <c r="BBK1011" s="23"/>
      <c r="BBL1011" s="23"/>
      <c r="BBM1011" s="23"/>
      <c r="BBN1011" s="23"/>
      <c r="BBO1011" s="23"/>
      <c r="BBP1011" s="23"/>
      <c r="BBQ1011" s="23"/>
      <c r="BBR1011" s="23"/>
      <c r="BBS1011" s="23"/>
      <c r="BBT1011" s="23"/>
      <c r="BBU1011" s="23"/>
      <c r="BBV1011" s="23"/>
      <c r="BBW1011" s="23"/>
      <c r="BBX1011" s="23"/>
      <c r="BBY1011" s="23"/>
      <c r="BBZ1011" s="23"/>
      <c r="BCA1011" s="23"/>
      <c r="BCB1011" s="23"/>
      <c r="BCC1011" s="23"/>
      <c r="BCD1011" s="23"/>
      <c r="BCE1011" s="23"/>
      <c r="BCF1011" s="23"/>
      <c r="BCG1011" s="23"/>
      <c r="BCH1011" s="23"/>
      <c r="BCI1011" s="23"/>
      <c r="BCJ1011" s="23"/>
      <c r="BCK1011" s="23"/>
      <c r="BCL1011" s="23"/>
      <c r="BCM1011" s="23"/>
      <c r="BCN1011" s="23"/>
      <c r="BCO1011" s="23"/>
      <c r="BCP1011" s="23"/>
      <c r="BCQ1011" s="23"/>
      <c r="BCR1011" s="23"/>
      <c r="BCS1011" s="23"/>
      <c r="BCT1011" s="23"/>
      <c r="BCU1011" s="23"/>
      <c r="BCV1011" s="23"/>
      <c r="BCW1011" s="23"/>
      <c r="BCX1011" s="23"/>
      <c r="BCY1011" s="23"/>
      <c r="BCZ1011" s="23"/>
      <c r="BDA1011" s="23"/>
      <c r="BDB1011" s="23"/>
      <c r="BDC1011" s="23"/>
      <c r="BDD1011" s="23"/>
      <c r="BDE1011" s="23"/>
      <c r="BDF1011" s="23"/>
      <c r="BDG1011" s="23"/>
      <c r="BDH1011" s="23"/>
      <c r="BDI1011" s="23"/>
      <c r="BDJ1011" s="23"/>
      <c r="BDK1011" s="23"/>
      <c r="BDL1011" s="23"/>
      <c r="BDM1011" s="23"/>
      <c r="BDN1011" s="23"/>
      <c r="BDO1011" s="23"/>
      <c r="BDP1011" s="23"/>
      <c r="BDQ1011" s="23"/>
      <c r="BDR1011" s="23"/>
      <c r="BDS1011" s="23"/>
      <c r="BDT1011" s="23"/>
      <c r="BDU1011" s="23"/>
      <c r="BDV1011" s="23"/>
      <c r="BDW1011" s="23"/>
      <c r="BDX1011" s="23"/>
      <c r="BDY1011" s="23"/>
      <c r="BDZ1011" s="23"/>
      <c r="BEA1011" s="23"/>
      <c r="BEB1011" s="23"/>
      <c r="BEC1011" s="23"/>
      <c r="BED1011" s="23"/>
      <c r="BEE1011" s="23"/>
      <c r="BEF1011" s="23"/>
      <c r="BEG1011" s="23"/>
      <c r="BEH1011" s="23"/>
      <c r="BEI1011" s="23"/>
      <c r="BEJ1011" s="23"/>
      <c r="BEK1011" s="23"/>
      <c r="BEL1011" s="23"/>
      <c r="BEM1011" s="23"/>
      <c r="BEN1011" s="23"/>
      <c r="BEO1011" s="23"/>
      <c r="BEP1011" s="23"/>
      <c r="BEQ1011" s="23"/>
      <c r="BER1011" s="23"/>
      <c r="BES1011" s="23"/>
      <c r="BET1011" s="23"/>
      <c r="BEU1011" s="23"/>
      <c r="BEV1011" s="23"/>
      <c r="BEW1011" s="23"/>
      <c r="BEX1011" s="23"/>
      <c r="BEY1011" s="23"/>
      <c r="BEZ1011" s="23"/>
      <c r="BFA1011" s="23"/>
      <c r="BFB1011" s="23"/>
      <c r="BFC1011" s="23"/>
      <c r="BFD1011" s="23"/>
      <c r="BFE1011" s="23"/>
      <c r="BFF1011" s="23"/>
      <c r="BFG1011" s="23"/>
      <c r="BFH1011" s="23"/>
      <c r="BFI1011" s="23"/>
      <c r="BFJ1011" s="23"/>
      <c r="BFK1011" s="23"/>
      <c r="BFL1011" s="23"/>
      <c r="BFM1011" s="23"/>
      <c r="BFN1011" s="23"/>
      <c r="BFO1011" s="23"/>
      <c r="BFP1011" s="23"/>
      <c r="BFQ1011" s="23"/>
      <c r="BFR1011" s="23"/>
      <c r="BFS1011" s="23"/>
      <c r="BFT1011" s="23"/>
      <c r="BFU1011" s="23"/>
      <c r="BFV1011" s="23"/>
      <c r="BFW1011" s="23"/>
      <c r="BFX1011" s="23"/>
      <c r="BFY1011" s="23"/>
      <c r="BFZ1011" s="23"/>
      <c r="BGA1011" s="23"/>
      <c r="BGB1011" s="23"/>
      <c r="BGC1011" s="23"/>
      <c r="BGD1011" s="23"/>
      <c r="BGE1011" s="23"/>
      <c r="BGF1011" s="23"/>
      <c r="BGG1011" s="23"/>
      <c r="BGH1011" s="23"/>
      <c r="BGI1011" s="23"/>
      <c r="BGJ1011" s="23"/>
      <c r="BGK1011" s="23"/>
      <c r="BGL1011" s="23"/>
      <c r="BGM1011" s="23"/>
      <c r="BGN1011" s="23"/>
      <c r="BGO1011" s="23"/>
      <c r="BGP1011" s="23"/>
      <c r="BGQ1011" s="23"/>
      <c r="BGR1011" s="23"/>
      <c r="BGS1011" s="23"/>
      <c r="BGT1011" s="23"/>
      <c r="BGU1011" s="23"/>
      <c r="BGV1011" s="23"/>
      <c r="BGW1011" s="23"/>
      <c r="BGX1011" s="23"/>
      <c r="BGY1011" s="23"/>
      <c r="BGZ1011" s="23"/>
      <c r="BHA1011" s="23"/>
      <c r="BHB1011" s="23"/>
      <c r="BHC1011" s="23"/>
      <c r="BHD1011" s="23"/>
      <c r="BHE1011" s="23"/>
      <c r="BHF1011" s="23"/>
      <c r="BHG1011" s="23"/>
      <c r="BHH1011" s="23"/>
      <c r="BHI1011" s="23"/>
      <c r="BHJ1011" s="23"/>
      <c r="BHK1011" s="23"/>
      <c r="BHL1011" s="23"/>
      <c r="BHM1011" s="23"/>
      <c r="BHN1011" s="23"/>
      <c r="BHO1011" s="23"/>
      <c r="BHP1011" s="23"/>
      <c r="BHQ1011" s="23"/>
      <c r="BHR1011" s="23"/>
      <c r="BHS1011" s="23"/>
      <c r="BHT1011" s="23"/>
      <c r="BHU1011" s="23"/>
      <c r="BHV1011" s="23"/>
      <c r="BHW1011" s="23"/>
      <c r="BHX1011" s="23"/>
      <c r="BHY1011" s="23"/>
      <c r="BHZ1011" s="23"/>
      <c r="BIA1011" s="23"/>
      <c r="BIB1011" s="23"/>
      <c r="BIC1011" s="23"/>
      <c r="BID1011" s="23"/>
      <c r="BIE1011" s="23"/>
      <c r="BIF1011" s="23"/>
      <c r="BIG1011" s="23"/>
      <c r="BIH1011" s="23"/>
      <c r="BII1011" s="23"/>
      <c r="BIJ1011" s="23"/>
      <c r="BIK1011" s="23"/>
      <c r="BIL1011" s="23"/>
      <c r="BIM1011" s="23"/>
      <c r="BIN1011" s="23"/>
      <c r="BIO1011" s="23"/>
      <c r="BIP1011" s="23"/>
      <c r="BIQ1011" s="23"/>
      <c r="BIR1011" s="23"/>
      <c r="BIS1011" s="23"/>
      <c r="BIT1011" s="23"/>
      <c r="BIU1011" s="23"/>
      <c r="BIV1011" s="23"/>
      <c r="BIW1011" s="23"/>
      <c r="BIX1011" s="23"/>
      <c r="BIY1011" s="23"/>
      <c r="BIZ1011" s="23"/>
      <c r="BJA1011" s="23"/>
      <c r="BJB1011" s="23"/>
      <c r="BJC1011" s="23"/>
      <c r="BJD1011" s="23"/>
      <c r="BJE1011" s="23"/>
      <c r="BJF1011" s="23"/>
      <c r="BJG1011" s="23"/>
      <c r="BJH1011" s="23"/>
      <c r="BJI1011" s="23"/>
      <c r="BJJ1011" s="23"/>
      <c r="BJK1011" s="23"/>
      <c r="BJL1011" s="23"/>
      <c r="BJM1011" s="23"/>
      <c r="BJN1011" s="23"/>
      <c r="BJO1011" s="23"/>
      <c r="BJP1011" s="23"/>
      <c r="BJQ1011" s="23"/>
      <c r="BJR1011" s="23"/>
      <c r="BJS1011" s="23"/>
      <c r="BJT1011" s="23"/>
      <c r="BJU1011" s="23"/>
      <c r="BJV1011" s="23"/>
      <c r="BJW1011" s="23"/>
      <c r="BJX1011" s="23"/>
      <c r="BJY1011" s="23"/>
      <c r="BJZ1011" s="23"/>
      <c r="BKA1011" s="23"/>
      <c r="BKB1011" s="23"/>
      <c r="BKC1011" s="23"/>
      <c r="BKD1011" s="23"/>
      <c r="BKE1011" s="23"/>
      <c r="BKF1011" s="23"/>
      <c r="BKG1011" s="23"/>
      <c r="BKH1011" s="23"/>
      <c r="BKI1011" s="23"/>
      <c r="BKJ1011" s="23"/>
      <c r="BKK1011" s="23"/>
      <c r="BKL1011" s="23"/>
      <c r="BKM1011" s="23"/>
      <c r="BKN1011" s="23"/>
      <c r="BKO1011" s="23"/>
      <c r="BKP1011" s="23"/>
      <c r="BKQ1011" s="23"/>
      <c r="BKR1011" s="23"/>
      <c r="BKS1011" s="23"/>
      <c r="BKT1011" s="23"/>
      <c r="BKU1011" s="23"/>
      <c r="BKV1011" s="23"/>
      <c r="BKW1011" s="23"/>
      <c r="BKX1011" s="23"/>
      <c r="BKY1011" s="23"/>
      <c r="BKZ1011" s="23"/>
      <c r="BLA1011" s="23"/>
      <c r="BLB1011" s="23"/>
      <c r="BLC1011" s="23"/>
      <c r="BLD1011" s="23"/>
      <c r="BLE1011" s="23"/>
      <c r="BLF1011" s="23"/>
      <c r="BLG1011" s="23"/>
      <c r="BLH1011" s="23"/>
      <c r="BLI1011" s="23"/>
      <c r="BLJ1011" s="23"/>
      <c r="BLK1011" s="23"/>
      <c r="BLL1011" s="23"/>
      <c r="BLM1011" s="23"/>
      <c r="BLN1011" s="23"/>
      <c r="BLO1011" s="23"/>
      <c r="BLP1011" s="23"/>
      <c r="BLQ1011" s="23"/>
      <c r="BLR1011" s="23"/>
      <c r="BLS1011" s="23"/>
      <c r="BLT1011" s="23"/>
      <c r="BLU1011" s="23"/>
      <c r="BLV1011" s="23"/>
      <c r="BLW1011" s="23"/>
      <c r="BLX1011" s="23"/>
      <c r="BLY1011" s="23"/>
      <c r="BLZ1011" s="23"/>
      <c r="BMA1011" s="23"/>
      <c r="BMB1011" s="23"/>
      <c r="BMC1011" s="23"/>
      <c r="BMD1011" s="23"/>
      <c r="BME1011" s="23"/>
      <c r="BMF1011" s="23"/>
      <c r="BMG1011" s="23"/>
      <c r="BMH1011" s="23"/>
      <c r="BMI1011" s="23"/>
      <c r="BMJ1011" s="23"/>
      <c r="BMK1011" s="23"/>
      <c r="BML1011" s="23"/>
      <c r="BMM1011" s="23"/>
      <c r="BMN1011" s="23"/>
      <c r="BMO1011" s="23"/>
      <c r="BMP1011" s="23"/>
      <c r="BMQ1011" s="23"/>
      <c r="BMR1011" s="23"/>
      <c r="BMS1011" s="23"/>
      <c r="BMT1011" s="23"/>
      <c r="BMU1011" s="23"/>
      <c r="BMV1011" s="23"/>
      <c r="BMW1011" s="23"/>
      <c r="BMX1011" s="23"/>
      <c r="BMY1011" s="23"/>
      <c r="BMZ1011" s="23"/>
      <c r="BNA1011" s="23"/>
      <c r="BNB1011" s="23"/>
      <c r="BNC1011" s="23"/>
      <c r="BND1011" s="23"/>
      <c r="BNE1011" s="23"/>
      <c r="BNF1011" s="23"/>
      <c r="BNG1011" s="23"/>
      <c r="BNH1011" s="23"/>
      <c r="BNI1011" s="23"/>
      <c r="BNJ1011" s="23"/>
      <c r="BNK1011" s="23"/>
      <c r="BNL1011" s="23"/>
      <c r="BNM1011" s="23"/>
      <c r="BNN1011" s="23"/>
      <c r="BNO1011" s="23"/>
      <c r="BNP1011" s="23"/>
      <c r="BNQ1011" s="23"/>
      <c r="BNR1011" s="23"/>
      <c r="BNS1011" s="23"/>
      <c r="BNT1011" s="23"/>
      <c r="BNU1011" s="23"/>
      <c r="BNV1011" s="23"/>
      <c r="BNW1011" s="23"/>
      <c r="BNX1011" s="23"/>
      <c r="BNY1011" s="23"/>
      <c r="BNZ1011" s="23"/>
      <c r="BOA1011" s="23"/>
      <c r="BOB1011" s="23"/>
      <c r="BOC1011" s="23"/>
      <c r="BOD1011" s="23"/>
      <c r="BOE1011" s="23"/>
      <c r="BOF1011" s="23"/>
      <c r="BOG1011" s="23"/>
      <c r="BOH1011" s="23"/>
      <c r="BOI1011" s="23"/>
      <c r="BOJ1011" s="23"/>
      <c r="BOK1011" s="23"/>
      <c r="BOL1011" s="23"/>
      <c r="BOM1011" s="23"/>
      <c r="BON1011" s="23"/>
      <c r="BOO1011" s="23"/>
      <c r="BOP1011" s="23"/>
      <c r="BOQ1011" s="23"/>
      <c r="BOR1011" s="23"/>
      <c r="BOS1011" s="23"/>
      <c r="BOT1011" s="23"/>
      <c r="BOU1011" s="23"/>
      <c r="BOV1011" s="23"/>
      <c r="BOW1011" s="23"/>
      <c r="BOX1011" s="23"/>
      <c r="BOY1011" s="23"/>
      <c r="BOZ1011" s="23"/>
      <c r="BPA1011" s="23"/>
      <c r="BPB1011" s="23"/>
      <c r="BPC1011" s="23"/>
      <c r="BPD1011" s="23"/>
      <c r="BPE1011" s="23"/>
      <c r="BPF1011" s="23"/>
      <c r="BPG1011" s="23"/>
      <c r="BPH1011" s="23"/>
      <c r="BPI1011" s="23"/>
      <c r="BPJ1011" s="23"/>
      <c r="BPK1011" s="23"/>
      <c r="BPL1011" s="23"/>
      <c r="BPM1011" s="23"/>
      <c r="BPN1011" s="23"/>
      <c r="BPO1011" s="23"/>
      <c r="BPP1011" s="23"/>
      <c r="BPQ1011" s="23"/>
      <c r="BPR1011" s="23"/>
      <c r="BPS1011" s="23"/>
      <c r="BPT1011" s="23"/>
      <c r="BPU1011" s="23"/>
      <c r="BPV1011" s="23"/>
      <c r="BPW1011" s="23"/>
      <c r="BPX1011" s="23"/>
      <c r="BPY1011" s="23"/>
      <c r="BPZ1011" s="23"/>
      <c r="BQA1011" s="23"/>
      <c r="BQB1011" s="23"/>
      <c r="BQC1011" s="23"/>
      <c r="BQD1011" s="23"/>
      <c r="BQE1011" s="23"/>
      <c r="BQF1011" s="23"/>
      <c r="BQG1011" s="23"/>
      <c r="BQH1011" s="23"/>
      <c r="BQI1011" s="23"/>
      <c r="BQJ1011" s="23"/>
      <c r="BQK1011" s="23"/>
      <c r="BQL1011" s="23"/>
      <c r="BQM1011" s="23"/>
      <c r="BQN1011" s="23"/>
      <c r="BQO1011" s="23"/>
      <c r="BQP1011" s="23"/>
      <c r="BQQ1011" s="23"/>
      <c r="BQR1011" s="23"/>
      <c r="BQS1011" s="23"/>
      <c r="BQT1011" s="23"/>
      <c r="BQU1011" s="23"/>
      <c r="BQV1011" s="23"/>
      <c r="BQW1011" s="23"/>
      <c r="BQX1011" s="23"/>
      <c r="BQY1011" s="23"/>
      <c r="BQZ1011" s="23"/>
      <c r="BRA1011" s="23"/>
      <c r="BRB1011" s="23"/>
      <c r="BRC1011" s="23"/>
      <c r="BRD1011" s="23"/>
      <c r="BRE1011" s="23"/>
      <c r="BRF1011" s="23"/>
      <c r="BRG1011" s="23"/>
      <c r="BRH1011" s="23"/>
      <c r="BRI1011" s="23"/>
      <c r="BRJ1011" s="23"/>
      <c r="BRK1011" s="23"/>
      <c r="BRL1011" s="23"/>
      <c r="BRM1011" s="23"/>
      <c r="BRN1011" s="23"/>
      <c r="BRO1011" s="23"/>
      <c r="BRP1011" s="23"/>
      <c r="BRQ1011" s="23"/>
      <c r="BRR1011" s="23"/>
      <c r="BRS1011" s="23"/>
      <c r="BRT1011" s="23"/>
      <c r="BRU1011" s="23"/>
      <c r="BRV1011" s="23"/>
      <c r="BRW1011" s="23"/>
      <c r="BRX1011" s="23"/>
      <c r="BRY1011" s="23"/>
      <c r="BRZ1011" s="23"/>
      <c r="BSA1011" s="23"/>
      <c r="BSB1011" s="23"/>
      <c r="BSC1011" s="23"/>
      <c r="BSD1011" s="23"/>
      <c r="BSE1011" s="23"/>
      <c r="BSF1011" s="23"/>
      <c r="BSG1011" s="23"/>
      <c r="BSH1011" s="23"/>
      <c r="BSI1011" s="23"/>
      <c r="BSJ1011" s="23"/>
      <c r="BSK1011" s="23"/>
      <c r="BSL1011" s="23"/>
      <c r="BSM1011" s="23"/>
      <c r="BSN1011" s="23"/>
      <c r="BSO1011" s="23"/>
      <c r="BSP1011" s="23"/>
      <c r="BSQ1011" s="23"/>
      <c r="BSR1011" s="23"/>
      <c r="BSS1011" s="23"/>
      <c r="BST1011" s="23"/>
      <c r="BSU1011" s="23"/>
      <c r="BSV1011" s="23"/>
      <c r="BSW1011" s="23"/>
      <c r="BSX1011" s="23"/>
      <c r="BSY1011" s="23"/>
      <c r="BSZ1011" s="23"/>
      <c r="BTA1011" s="23"/>
    </row>
    <row r="1012" spans="1:1873" s="23" customFormat="1" ht="12.6" customHeight="1" x14ac:dyDescent="0.2">
      <c r="A1012" s="273"/>
      <c r="B1012" s="273"/>
      <c r="C1012" s="273"/>
      <c r="D1012" s="273"/>
      <c r="E1012" s="462"/>
      <c r="F1012" s="462"/>
      <c r="G1012" s="273"/>
      <c r="H1012" s="468"/>
      <c r="I1012" s="273"/>
      <c r="J1012" s="273"/>
      <c r="K1012" s="463"/>
      <c r="L1012" s="273"/>
      <c r="M1012" s="414"/>
      <c r="N1012" s="273"/>
      <c r="O1012" s="29"/>
      <c r="P1012" s="414"/>
      <c r="Q1012" s="273"/>
      <c r="R1012" s="471"/>
      <c r="S1012" s="273"/>
      <c r="T1012" s="471"/>
      <c r="U1012" s="273"/>
      <c r="V1012" s="273"/>
      <c r="W1012" s="471"/>
      <c r="X1012" s="273"/>
      <c r="Y1012" s="273"/>
      <c r="Z1012" s="273"/>
      <c r="AA1012" s="580"/>
      <c r="AB1012" s="471"/>
      <c r="AC1012" s="273"/>
      <c r="AD1012" s="273"/>
      <c r="AE1012" s="273"/>
      <c r="AF1012" s="273"/>
      <c r="AG1012" s="273"/>
      <c r="AH1012" s="273"/>
      <c r="AI1012" s="273"/>
      <c r="AJ1012" s="273"/>
      <c r="AK1012" s="273"/>
      <c r="AL1012" s="273"/>
      <c r="AM1012" s="273"/>
      <c r="AN1012" s="273"/>
      <c r="AO1012" s="273"/>
      <c r="AP1012" s="273"/>
      <c r="AQ1012" s="273"/>
      <c r="AR1012" s="273"/>
      <c r="AS1012" s="273"/>
      <c r="AT1012" s="273"/>
      <c r="AU1012" s="273"/>
      <c r="AV1012" s="273"/>
      <c r="AW1012" s="273"/>
      <c r="AX1012" s="273"/>
      <c r="AY1012" s="273"/>
      <c r="AZ1012" s="273"/>
      <c r="BA1012" s="273"/>
      <c r="BB1012" s="273"/>
      <c r="BC1012" s="273"/>
      <c r="BD1012" s="273"/>
      <c r="BE1012" s="273"/>
      <c r="BF1012" s="273"/>
      <c r="BG1012" s="273"/>
      <c r="BH1012" s="273"/>
      <c r="BI1012" s="273"/>
      <c r="BJ1012" s="273"/>
      <c r="BK1012" s="273"/>
      <c r="BL1012" s="273"/>
      <c r="BM1012" s="273"/>
      <c r="BN1012" s="273"/>
      <c r="BO1012" s="273"/>
      <c r="BP1012" s="273"/>
      <c r="BQ1012" s="273"/>
      <c r="BR1012" s="273"/>
      <c r="BS1012" s="468"/>
      <c r="BT1012" s="273"/>
      <c r="BU1012" s="273"/>
      <c r="BV1012" s="273"/>
      <c r="BW1012" s="273"/>
      <c r="BX1012" s="273"/>
      <c r="BY1012" s="273"/>
      <c r="BZ1012" s="273"/>
      <c r="CA1012" s="472"/>
      <c r="CB1012" s="473"/>
      <c r="CC1012" s="462"/>
      <c r="CD1012" s="273"/>
      <c r="CE1012" s="342" t="s">
        <v>1576</v>
      </c>
      <c r="CF1012" s="342" t="s">
        <v>1575</v>
      </c>
      <c r="CG1012" s="93"/>
    </row>
    <row r="1013" spans="1:1873" s="23" customFormat="1" ht="12.6" customHeight="1" x14ac:dyDescent="0.2">
      <c r="A1013" s="273" t="s">
        <v>837</v>
      </c>
      <c r="B1013" s="273" t="s">
        <v>1135</v>
      </c>
      <c r="C1013" s="273" t="s">
        <v>1156</v>
      </c>
      <c r="D1013" s="273" t="s">
        <v>619</v>
      </c>
      <c r="E1013" s="462" t="s">
        <v>1504</v>
      </c>
      <c r="F1013" s="462">
        <v>1</v>
      </c>
      <c r="G1013" s="273">
        <v>4</v>
      </c>
      <c r="H1013" s="468">
        <v>4</v>
      </c>
      <c r="I1013" s="273" t="s">
        <v>842</v>
      </c>
      <c r="J1013" s="273">
        <v>1971</v>
      </c>
      <c r="K1013" s="463" t="s">
        <v>842</v>
      </c>
      <c r="L1013" s="273">
        <v>1975</v>
      </c>
      <c r="M1013" s="414">
        <f>+T1013*G1013</f>
        <v>24</v>
      </c>
      <c r="N1013" s="273">
        <v>-9999</v>
      </c>
      <c r="O1013" s="29"/>
      <c r="P1013" s="414">
        <f>+T1013*G1013</f>
        <v>24</v>
      </c>
      <c r="Q1013" s="273">
        <v>-9999</v>
      </c>
      <c r="R1013" s="471"/>
      <c r="S1013" s="273"/>
      <c r="T1013" s="471">
        <v>6</v>
      </c>
      <c r="U1013" s="273">
        <v>-9999</v>
      </c>
      <c r="V1013" s="273"/>
      <c r="W1013" s="471">
        <v>-9999</v>
      </c>
      <c r="X1013" s="273">
        <v>-9999</v>
      </c>
      <c r="Y1013" s="273"/>
      <c r="Z1013" s="273" t="s">
        <v>784</v>
      </c>
      <c r="AA1013" s="470">
        <v>13437</v>
      </c>
      <c r="AB1013" s="471">
        <v>0.95</v>
      </c>
      <c r="AC1013" s="273">
        <v>-9999</v>
      </c>
      <c r="AD1013" s="273">
        <v>66.400000000000006</v>
      </c>
      <c r="AE1013" s="461" t="s">
        <v>1095</v>
      </c>
      <c r="AF1013" s="273">
        <v>3</v>
      </c>
      <c r="AG1013" s="273" t="s">
        <v>843</v>
      </c>
      <c r="AH1013" s="273" t="s">
        <v>623</v>
      </c>
      <c r="AI1013" s="273" t="s">
        <v>844</v>
      </c>
      <c r="AJ1013" s="273" t="s">
        <v>845</v>
      </c>
      <c r="AK1013" s="273" t="s">
        <v>779</v>
      </c>
      <c r="AL1013" s="273" t="s">
        <v>653</v>
      </c>
      <c r="AM1013" s="273">
        <v>-9999</v>
      </c>
      <c r="AN1013" s="273" t="s">
        <v>777</v>
      </c>
      <c r="AO1013" s="273">
        <v>-9999</v>
      </c>
      <c r="AP1013" s="273">
        <v>-9999</v>
      </c>
      <c r="AQ1013" s="273" t="s">
        <v>777</v>
      </c>
      <c r="AR1013" s="273">
        <v>0</v>
      </c>
      <c r="AS1013" s="273">
        <v>-9999</v>
      </c>
      <c r="AT1013" s="273">
        <v>-9999</v>
      </c>
      <c r="AU1013" s="273">
        <v>0</v>
      </c>
      <c r="AV1013" s="273">
        <v>-9999</v>
      </c>
      <c r="AW1013" s="273">
        <v>-9999</v>
      </c>
      <c r="AX1013" s="273">
        <v>0</v>
      </c>
      <c r="AY1013" s="273">
        <v>-9999</v>
      </c>
      <c r="AZ1013" s="273">
        <v>-9999</v>
      </c>
      <c r="BA1013" s="273">
        <v>-9999</v>
      </c>
      <c r="BB1013" s="273" t="s">
        <v>626</v>
      </c>
      <c r="BC1013" s="273" t="s">
        <v>89</v>
      </c>
      <c r="BD1013" s="273" t="s">
        <v>90</v>
      </c>
      <c r="BE1013" s="273">
        <v>-9999</v>
      </c>
      <c r="BF1013" s="273">
        <v>-9999</v>
      </c>
      <c r="BG1013" s="273">
        <v>-9999</v>
      </c>
      <c r="BH1013" s="273">
        <v>-9999</v>
      </c>
      <c r="BI1013" s="273" t="s">
        <v>1152</v>
      </c>
      <c r="BJ1013" s="273">
        <v>-9999</v>
      </c>
      <c r="BK1013" s="273">
        <v>-9999</v>
      </c>
      <c r="BL1013" s="273">
        <v>6</v>
      </c>
      <c r="BM1013" s="273">
        <v>-9999</v>
      </c>
      <c r="BN1013" s="273">
        <v>3.6</v>
      </c>
      <c r="BO1013" s="273">
        <v>-9999</v>
      </c>
      <c r="BP1013" s="273">
        <v>-9999</v>
      </c>
      <c r="BQ1013" s="273">
        <v>-9999</v>
      </c>
      <c r="BR1013" s="273">
        <v>-9999</v>
      </c>
      <c r="BS1013" s="468">
        <v>-9999</v>
      </c>
      <c r="BT1013" s="273">
        <v>-9999</v>
      </c>
      <c r="BU1013" s="273">
        <v>-9999</v>
      </c>
      <c r="BV1013" s="273">
        <v>-9999</v>
      </c>
      <c r="BW1013" s="273"/>
      <c r="BX1013" s="273">
        <v>-9999</v>
      </c>
      <c r="BY1013" s="273">
        <v>-9999</v>
      </c>
      <c r="BZ1013" s="273">
        <v>-9999</v>
      </c>
      <c r="CA1013" s="472">
        <v>-9999</v>
      </c>
      <c r="CB1013" s="473" t="s">
        <v>1168</v>
      </c>
      <c r="CC1013" s="462">
        <v>1</v>
      </c>
      <c r="CD1013" s="273">
        <v>4</v>
      </c>
      <c r="CE1013" s="292">
        <v>6</v>
      </c>
      <c r="CF1013" s="292">
        <v>-9999</v>
      </c>
      <c r="CG1013" s="93">
        <v>4</v>
      </c>
    </row>
    <row r="1014" spans="1:1873" s="23" customFormat="1" ht="12.6" customHeight="1" x14ac:dyDescent="0.2">
      <c r="A1014" s="273" t="s">
        <v>837</v>
      </c>
      <c r="B1014" s="273" t="s">
        <v>1135</v>
      </c>
      <c r="C1014" s="273" t="s">
        <v>1157</v>
      </c>
      <c r="D1014" s="273" t="s">
        <v>619</v>
      </c>
      <c r="E1014" s="462" t="s">
        <v>1504</v>
      </c>
      <c r="F1014" s="462">
        <v>2</v>
      </c>
      <c r="G1014" s="273">
        <v>4</v>
      </c>
      <c r="H1014" s="468">
        <v>8</v>
      </c>
      <c r="I1014" s="273" t="s">
        <v>842</v>
      </c>
      <c r="J1014" s="273">
        <v>1971</v>
      </c>
      <c r="K1014" s="463" t="s">
        <v>842</v>
      </c>
      <c r="L1014" s="273">
        <v>1979</v>
      </c>
      <c r="M1014" s="414">
        <f>+T1014*G1014</f>
        <v>25.6</v>
      </c>
      <c r="N1014" s="273">
        <v>-9999</v>
      </c>
      <c r="O1014" s="29"/>
      <c r="P1014" s="414">
        <f>+(T1014*G1014)+P1013</f>
        <v>49.6</v>
      </c>
      <c r="Q1014" s="273">
        <v>-9999</v>
      </c>
      <c r="R1014" s="471"/>
      <c r="S1014" s="273"/>
      <c r="T1014" s="471">
        <v>6.4</v>
      </c>
      <c r="U1014" s="273">
        <v>-9999</v>
      </c>
      <c r="V1014" s="273"/>
      <c r="W1014" s="471">
        <v>-9999</v>
      </c>
      <c r="X1014" s="273">
        <v>-9999</v>
      </c>
      <c r="Y1014" s="273"/>
      <c r="Z1014" s="273" t="s">
        <v>784</v>
      </c>
      <c r="AA1014" s="470">
        <v>13437</v>
      </c>
      <c r="AB1014" s="471">
        <v>0.95</v>
      </c>
      <c r="AC1014" s="273">
        <v>-9999</v>
      </c>
      <c r="AD1014" s="273">
        <v>66.400000000000006</v>
      </c>
      <c r="AE1014" s="461" t="s">
        <v>1095</v>
      </c>
      <c r="AF1014" s="273">
        <v>3</v>
      </c>
      <c r="AG1014" s="273" t="s">
        <v>843</v>
      </c>
      <c r="AH1014" s="273" t="s">
        <v>623</v>
      </c>
      <c r="AI1014" s="273" t="s">
        <v>844</v>
      </c>
      <c r="AJ1014" s="273" t="s">
        <v>845</v>
      </c>
      <c r="AK1014" s="273" t="s">
        <v>779</v>
      </c>
      <c r="AL1014" s="273" t="s">
        <v>653</v>
      </c>
      <c r="AM1014" s="273">
        <v>-9999</v>
      </c>
      <c r="AN1014" s="273" t="s">
        <v>777</v>
      </c>
      <c r="AO1014" s="273">
        <v>-9999</v>
      </c>
      <c r="AP1014" s="273">
        <v>-9999</v>
      </c>
      <c r="AQ1014" s="273" t="s">
        <v>777</v>
      </c>
      <c r="AR1014" s="273">
        <v>0</v>
      </c>
      <c r="AS1014" s="273">
        <v>-9999</v>
      </c>
      <c r="AT1014" s="273">
        <v>-9999</v>
      </c>
      <c r="AU1014" s="273">
        <v>0</v>
      </c>
      <c r="AV1014" s="273">
        <v>-9999</v>
      </c>
      <c r="AW1014" s="273">
        <v>-9999</v>
      </c>
      <c r="AX1014" s="273">
        <v>0</v>
      </c>
      <c r="AY1014" s="273">
        <v>-9999</v>
      </c>
      <c r="AZ1014" s="273">
        <v>-9999</v>
      </c>
      <c r="BA1014" s="273">
        <v>-9999</v>
      </c>
      <c r="BB1014" s="273" t="s">
        <v>626</v>
      </c>
      <c r="BC1014" s="273" t="s">
        <v>89</v>
      </c>
      <c r="BD1014" s="273" t="s">
        <v>90</v>
      </c>
      <c r="BE1014" s="273">
        <v>-9999</v>
      </c>
      <c r="BF1014" s="273">
        <v>-9999</v>
      </c>
      <c r="BG1014" s="273">
        <v>-9999</v>
      </c>
      <c r="BH1014" s="273">
        <v>-9999</v>
      </c>
      <c r="BI1014" s="273" t="s">
        <v>1152</v>
      </c>
      <c r="BJ1014" s="273">
        <v>-9999</v>
      </c>
      <c r="BK1014" s="273">
        <v>-9999</v>
      </c>
      <c r="BL1014" s="273">
        <v>6</v>
      </c>
      <c r="BM1014" s="273">
        <v>-9999</v>
      </c>
      <c r="BN1014" s="273">
        <v>3.3</v>
      </c>
      <c r="BO1014" s="273">
        <v>-9999</v>
      </c>
      <c r="BP1014" s="273">
        <v>-9999</v>
      </c>
      <c r="BQ1014" s="273">
        <v>-9999</v>
      </c>
      <c r="BR1014" s="273">
        <v>-9999</v>
      </c>
      <c r="BS1014" s="468">
        <v>-9999</v>
      </c>
      <c r="BT1014" s="273">
        <v>-9999</v>
      </c>
      <c r="BU1014" s="273">
        <v>-9999</v>
      </c>
      <c r="BV1014" s="273">
        <v>-9999</v>
      </c>
      <c r="BW1014" s="273"/>
      <c r="BX1014" s="273">
        <v>-9999</v>
      </c>
      <c r="BY1014" s="273">
        <v>-9999</v>
      </c>
      <c r="BZ1014" s="273">
        <v>-9999</v>
      </c>
      <c r="CA1014" s="472">
        <v>-9999</v>
      </c>
      <c r="CB1014" s="473" t="s">
        <v>1168</v>
      </c>
      <c r="CC1014" s="462">
        <v>2</v>
      </c>
      <c r="CD1014" s="273">
        <v>4</v>
      </c>
      <c r="CE1014" s="292">
        <v>6.4</v>
      </c>
      <c r="CF1014" s="292">
        <v>-9999</v>
      </c>
      <c r="CG1014" s="93">
        <v>8</v>
      </c>
    </row>
    <row r="1015" spans="1:1873" s="207" customFormat="1" ht="12.6" customHeight="1" x14ac:dyDescent="0.2">
      <c r="A1015" s="461" t="s">
        <v>837</v>
      </c>
      <c r="B1015" s="273" t="s">
        <v>1135</v>
      </c>
      <c r="C1015" s="273" t="s">
        <v>1158</v>
      </c>
      <c r="D1015" s="273" t="s">
        <v>619</v>
      </c>
      <c r="E1015" s="462" t="s">
        <v>1504</v>
      </c>
      <c r="F1015" s="462">
        <v>1</v>
      </c>
      <c r="G1015" s="273">
        <v>8</v>
      </c>
      <c r="H1015" s="468">
        <v>8</v>
      </c>
      <c r="I1015" s="273" t="s">
        <v>842</v>
      </c>
      <c r="J1015" s="273">
        <v>1971</v>
      </c>
      <c r="K1015" s="463" t="s">
        <v>842</v>
      </c>
      <c r="L1015" s="273">
        <v>1979</v>
      </c>
      <c r="M1015" s="414">
        <f>+T1015*G1015</f>
        <v>76.8</v>
      </c>
      <c r="N1015" s="273">
        <v>-9999</v>
      </c>
      <c r="O1015" s="29"/>
      <c r="P1015" s="414">
        <f>+(T1015*G1015)+P1014</f>
        <v>126.4</v>
      </c>
      <c r="Q1015" s="273">
        <v>-9999</v>
      </c>
      <c r="R1015" s="471"/>
      <c r="S1015" s="273"/>
      <c r="T1015" s="471">
        <v>9.6</v>
      </c>
      <c r="U1015" s="273">
        <v>-9999</v>
      </c>
      <c r="V1015" s="273"/>
      <c r="W1015" s="471">
        <v>-9999</v>
      </c>
      <c r="X1015" s="273">
        <v>-9999</v>
      </c>
      <c r="Y1015" s="273"/>
      <c r="Z1015" s="273" t="s">
        <v>784</v>
      </c>
      <c r="AA1015" s="470">
        <v>13437</v>
      </c>
      <c r="AB1015" s="471">
        <v>0.95</v>
      </c>
      <c r="AC1015" s="273">
        <v>-9999</v>
      </c>
      <c r="AD1015" s="273">
        <v>66.400000000000006</v>
      </c>
      <c r="AE1015" s="461" t="s">
        <v>1095</v>
      </c>
      <c r="AF1015" s="273">
        <v>3</v>
      </c>
      <c r="AG1015" s="273" t="s">
        <v>843</v>
      </c>
      <c r="AH1015" s="273" t="s">
        <v>623</v>
      </c>
      <c r="AI1015" s="273" t="s">
        <v>844</v>
      </c>
      <c r="AJ1015" s="273" t="s">
        <v>845</v>
      </c>
      <c r="AK1015" s="273" t="s">
        <v>779</v>
      </c>
      <c r="AL1015" s="273" t="s">
        <v>653</v>
      </c>
      <c r="AM1015" s="273">
        <v>-9999</v>
      </c>
      <c r="AN1015" s="273" t="s">
        <v>777</v>
      </c>
      <c r="AO1015" s="273">
        <v>-9999</v>
      </c>
      <c r="AP1015" s="273">
        <v>-9999</v>
      </c>
      <c r="AQ1015" s="273" t="s">
        <v>777</v>
      </c>
      <c r="AR1015" s="273">
        <v>0</v>
      </c>
      <c r="AS1015" s="273">
        <v>-9999</v>
      </c>
      <c r="AT1015" s="273">
        <v>-9999</v>
      </c>
      <c r="AU1015" s="273">
        <v>0</v>
      </c>
      <c r="AV1015" s="273">
        <v>-9999</v>
      </c>
      <c r="AW1015" s="273">
        <v>-9999</v>
      </c>
      <c r="AX1015" s="273">
        <v>0</v>
      </c>
      <c r="AY1015" s="273">
        <v>-9999</v>
      </c>
      <c r="AZ1015" s="273">
        <v>-9999</v>
      </c>
      <c r="BA1015" s="273">
        <v>-9999</v>
      </c>
      <c r="BB1015" s="273" t="s">
        <v>626</v>
      </c>
      <c r="BC1015" s="273" t="s">
        <v>89</v>
      </c>
      <c r="BD1015" s="273" t="s">
        <v>90</v>
      </c>
      <c r="BE1015" s="273">
        <v>-9999</v>
      </c>
      <c r="BF1015" s="273">
        <v>-9999</v>
      </c>
      <c r="BG1015" s="273">
        <v>-9999</v>
      </c>
      <c r="BH1015" s="273">
        <v>-9999</v>
      </c>
      <c r="BI1015" s="273" t="s">
        <v>1152</v>
      </c>
      <c r="BJ1015" s="273">
        <v>-9999</v>
      </c>
      <c r="BK1015" s="273">
        <v>-9999</v>
      </c>
      <c r="BL1015" s="273">
        <v>9.4</v>
      </c>
      <c r="BM1015" s="273">
        <v>-9999</v>
      </c>
      <c r="BN1015" s="273">
        <v>5.4</v>
      </c>
      <c r="BO1015" s="273">
        <v>-9999</v>
      </c>
      <c r="BP1015" s="273">
        <v>-9999</v>
      </c>
      <c r="BQ1015" s="273">
        <v>-9999</v>
      </c>
      <c r="BR1015" s="273">
        <v>-9999</v>
      </c>
      <c r="BS1015" s="468">
        <v>-9999</v>
      </c>
      <c r="BT1015" s="273">
        <v>-9999</v>
      </c>
      <c r="BU1015" s="273">
        <v>-9999</v>
      </c>
      <c r="BV1015" s="273">
        <v>-9999</v>
      </c>
      <c r="BW1015" s="273"/>
      <c r="BX1015" s="273">
        <v>-9999</v>
      </c>
      <c r="BY1015" s="273">
        <v>-9999</v>
      </c>
      <c r="BZ1015" s="273">
        <v>-9999</v>
      </c>
      <c r="CA1015" s="472">
        <v>-9999</v>
      </c>
      <c r="CB1015" s="473" t="s">
        <v>1168</v>
      </c>
      <c r="CC1015" s="462">
        <v>1</v>
      </c>
      <c r="CD1015" s="273">
        <v>8</v>
      </c>
      <c r="CE1015" s="292">
        <v>9.6</v>
      </c>
      <c r="CF1015" s="292">
        <v>-9999</v>
      </c>
      <c r="CG1015" s="206">
        <v>8</v>
      </c>
      <c r="CH1015" s="301" t="s">
        <v>1757</v>
      </c>
      <c r="CI1015" s="23"/>
      <c r="CJ1015" s="23"/>
      <c r="CK1015" s="23"/>
      <c r="CL1015" s="23"/>
      <c r="CM1015" s="23"/>
      <c r="CN1015" s="23"/>
      <c r="CO1015" s="23"/>
      <c r="CP1015" s="23"/>
      <c r="CQ1015" s="23"/>
      <c r="CR1015" s="23"/>
      <c r="CS1015" s="23"/>
      <c r="CT1015" s="23"/>
      <c r="CU1015" s="23"/>
      <c r="CV1015" s="23"/>
      <c r="CW1015" s="23"/>
      <c r="CX1015" s="23"/>
      <c r="CY1015" s="23"/>
      <c r="CZ1015" s="23"/>
      <c r="DA1015" s="23"/>
      <c r="DB1015" s="23"/>
      <c r="DC1015" s="23"/>
      <c r="DD1015" s="23"/>
      <c r="DE1015" s="23"/>
      <c r="DF1015" s="23"/>
      <c r="DG1015" s="23"/>
      <c r="DH1015" s="23"/>
      <c r="DI1015" s="23"/>
      <c r="DJ1015" s="23"/>
      <c r="DK1015" s="23"/>
      <c r="DL1015" s="23"/>
      <c r="DM1015" s="23"/>
      <c r="DN1015" s="23"/>
      <c r="DO1015" s="23"/>
      <c r="DP1015" s="23"/>
      <c r="DQ1015" s="23"/>
      <c r="DR1015" s="23"/>
      <c r="DS1015" s="23"/>
      <c r="DT1015" s="23"/>
      <c r="DU1015" s="23"/>
      <c r="DV1015" s="23"/>
      <c r="DW1015" s="23"/>
      <c r="DX1015" s="23"/>
      <c r="DY1015" s="23"/>
      <c r="DZ1015" s="23"/>
      <c r="EA1015" s="23"/>
      <c r="EB1015" s="23"/>
      <c r="EC1015" s="23"/>
      <c r="ED1015" s="23"/>
      <c r="EE1015" s="23"/>
      <c r="EF1015" s="23"/>
      <c r="EG1015" s="23"/>
      <c r="EH1015" s="23"/>
      <c r="EI1015" s="23"/>
      <c r="EJ1015" s="23"/>
      <c r="EK1015" s="23"/>
      <c r="EL1015" s="23"/>
      <c r="EM1015" s="23"/>
      <c r="EN1015" s="23"/>
      <c r="EO1015" s="23"/>
      <c r="EP1015" s="23"/>
      <c r="EQ1015" s="23"/>
      <c r="ER1015" s="23"/>
      <c r="ES1015" s="23"/>
      <c r="ET1015" s="23"/>
      <c r="EU1015" s="23"/>
      <c r="EV1015" s="23"/>
      <c r="EW1015" s="23"/>
      <c r="EX1015" s="23"/>
      <c r="EY1015" s="23"/>
      <c r="EZ1015" s="23"/>
      <c r="FA1015" s="23"/>
      <c r="FB1015" s="23"/>
      <c r="FC1015" s="23"/>
      <c r="FD1015" s="23"/>
      <c r="FE1015" s="23"/>
      <c r="FF1015" s="23"/>
      <c r="FG1015" s="23"/>
      <c r="FH1015" s="23"/>
      <c r="FI1015" s="23"/>
      <c r="FJ1015" s="23"/>
      <c r="FK1015" s="23"/>
      <c r="FL1015" s="23"/>
      <c r="FM1015" s="23"/>
      <c r="FN1015" s="23"/>
      <c r="FO1015" s="23"/>
      <c r="FP1015" s="23"/>
      <c r="FQ1015" s="23"/>
      <c r="FR1015" s="23"/>
      <c r="FS1015" s="23"/>
      <c r="FT1015" s="23"/>
      <c r="FU1015" s="23"/>
      <c r="FV1015" s="23"/>
      <c r="FW1015" s="23"/>
      <c r="FX1015" s="23"/>
      <c r="FY1015" s="23"/>
      <c r="FZ1015" s="23"/>
      <c r="GA1015" s="23"/>
      <c r="GB1015" s="23"/>
      <c r="GC1015" s="23"/>
      <c r="GD1015" s="23"/>
      <c r="GE1015" s="23"/>
      <c r="GF1015" s="23"/>
      <c r="GG1015" s="23"/>
      <c r="GH1015" s="23"/>
      <c r="GI1015" s="23"/>
      <c r="GJ1015" s="23"/>
      <c r="GK1015" s="23"/>
      <c r="GL1015" s="23"/>
      <c r="GM1015" s="23"/>
      <c r="GN1015" s="23"/>
      <c r="GO1015" s="23"/>
      <c r="GP1015" s="23"/>
      <c r="GQ1015" s="23"/>
      <c r="GR1015" s="23"/>
      <c r="GS1015" s="23"/>
      <c r="GT1015" s="23"/>
      <c r="GU1015" s="23"/>
      <c r="GV1015" s="23"/>
      <c r="GW1015" s="23"/>
      <c r="GX1015" s="23"/>
      <c r="GY1015" s="23"/>
      <c r="GZ1015" s="23"/>
      <c r="HA1015" s="23"/>
      <c r="HB1015" s="23"/>
      <c r="HC1015" s="23"/>
      <c r="HD1015" s="23"/>
      <c r="HE1015" s="23"/>
      <c r="HF1015" s="23"/>
      <c r="HG1015" s="23"/>
      <c r="HH1015" s="23"/>
      <c r="HI1015" s="23"/>
      <c r="HJ1015" s="23"/>
      <c r="HK1015" s="23"/>
      <c r="HL1015" s="23"/>
      <c r="HM1015" s="23"/>
      <c r="HN1015" s="23"/>
      <c r="HO1015" s="23"/>
      <c r="HP1015" s="23"/>
      <c r="HQ1015" s="23"/>
      <c r="HR1015" s="23"/>
      <c r="HS1015" s="23"/>
      <c r="HT1015" s="23"/>
      <c r="HU1015" s="23"/>
      <c r="HV1015" s="23"/>
      <c r="HW1015" s="23"/>
      <c r="HX1015" s="23"/>
      <c r="HY1015" s="23"/>
      <c r="HZ1015" s="23"/>
      <c r="IA1015" s="23"/>
      <c r="IB1015" s="23"/>
      <c r="IC1015" s="23"/>
      <c r="ID1015" s="23"/>
      <c r="IE1015" s="23"/>
      <c r="IF1015" s="23"/>
      <c r="IG1015" s="23"/>
      <c r="IH1015" s="23"/>
      <c r="II1015" s="23"/>
      <c r="IJ1015" s="23"/>
      <c r="IK1015" s="23"/>
      <c r="IL1015" s="23"/>
      <c r="IM1015" s="23"/>
      <c r="IN1015" s="23"/>
      <c r="IO1015" s="23"/>
      <c r="IP1015" s="23"/>
      <c r="IQ1015" s="23"/>
      <c r="IR1015" s="23"/>
      <c r="IS1015" s="23"/>
      <c r="IT1015" s="23"/>
      <c r="IU1015" s="23"/>
      <c r="IV1015" s="23"/>
      <c r="IW1015" s="23"/>
      <c r="IX1015" s="23"/>
      <c r="IY1015" s="23"/>
      <c r="IZ1015" s="23"/>
      <c r="JA1015" s="23"/>
      <c r="JB1015" s="23"/>
      <c r="JC1015" s="23"/>
      <c r="JD1015" s="23"/>
      <c r="JE1015" s="23"/>
      <c r="JF1015" s="23"/>
      <c r="JG1015" s="23"/>
      <c r="JH1015" s="23"/>
      <c r="JI1015" s="23"/>
      <c r="JJ1015" s="23"/>
      <c r="JK1015" s="23"/>
      <c r="JL1015" s="23"/>
      <c r="JM1015" s="23"/>
      <c r="JN1015" s="23"/>
      <c r="JO1015" s="23"/>
      <c r="JP1015" s="23"/>
      <c r="JQ1015" s="23"/>
      <c r="JR1015" s="23"/>
      <c r="JS1015" s="23"/>
      <c r="JT1015" s="23"/>
      <c r="JU1015" s="23"/>
      <c r="JV1015" s="23"/>
      <c r="JW1015" s="23"/>
      <c r="JX1015" s="23"/>
      <c r="JY1015" s="23"/>
      <c r="JZ1015" s="23"/>
      <c r="KA1015" s="23"/>
      <c r="KB1015" s="23"/>
      <c r="KC1015" s="23"/>
      <c r="KD1015" s="23"/>
      <c r="KE1015" s="23"/>
      <c r="KF1015" s="23"/>
      <c r="KG1015" s="23"/>
      <c r="KH1015" s="23"/>
      <c r="KI1015" s="23"/>
      <c r="KJ1015" s="23"/>
      <c r="KK1015" s="23"/>
      <c r="KL1015" s="23"/>
      <c r="KM1015" s="23"/>
      <c r="KN1015" s="23"/>
      <c r="KO1015" s="23"/>
      <c r="KP1015" s="23"/>
      <c r="KQ1015" s="23"/>
      <c r="KR1015" s="23"/>
      <c r="KS1015" s="23"/>
      <c r="KT1015" s="23"/>
      <c r="KU1015" s="23"/>
      <c r="KV1015" s="23"/>
      <c r="KW1015" s="23"/>
      <c r="KX1015" s="23"/>
      <c r="KY1015" s="23"/>
      <c r="KZ1015" s="23"/>
      <c r="LA1015" s="23"/>
      <c r="LB1015" s="23"/>
      <c r="LC1015" s="23"/>
      <c r="LD1015" s="23"/>
      <c r="LE1015" s="23"/>
      <c r="LF1015" s="23"/>
      <c r="LG1015" s="23"/>
      <c r="LH1015" s="23"/>
      <c r="LI1015" s="23"/>
      <c r="LJ1015" s="23"/>
      <c r="LK1015" s="23"/>
      <c r="LL1015" s="23"/>
      <c r="LM1015" s="23"/>
      <c r="LN1015" s="23"/>
      <c r="LO1015" s="23"/>
      <c r="LP1015" s="23"/>
      <c r="LQ1015" s="23"/>
      <c r="LR1015" s="23"/>
      <c r="LS1015" s="23"/>
      <c r="LT1015" s="23"/>
      <c r="LU1015" s="23"/>
      <c r="LV1015" s="23"/>
      <c r="LW1015" s="23"/>
      <c r="LX1015" s="23"/>
      <c r="LY1015" s="23"/>
      <c r="LZ1015" s="23"/>
      <c r="MA1015" s="23"/>
      <c r="MB1015" s="23"/>
      <c r="MC1015" s="23"/>
      <c r="MD1015" s="23"/>
      <c r="ME1015" s="23"/>
      <c r="MF1015" s="23"/>
      <c r="MG1015" s="23"/>
      <c r="MH1015" s="23"/>
      <c r="MI1015" s="23"/>
      <c r="MJ1015" s="23"/>
      <c r="MK1015" s="23"/>
      <c r="ML1015" s="23"/>
      <c r="MM1015" s="23"/>
      <c r="MN1015" s="23"/>
      <c r="MO1015" s="23"/>
      <c r="MP1015" s="23"/>
      <c r="MQ1015" s="23"/>
      <c r="MR1015" s="23"/>
      <c r="MS1015" s="23"/>
      <c r="MT1015" s="23"/>
      <c r="MU1015" s="23"/>
      <c r="MV1015" s="23"/>
      <c r="MW1015" s="23"/>
      <c r="MX1015" s="23"/>
      <c r="MY1015" s="23"/>
      <c r="MZ1015" s="23"/>
      <c r="NA1015" s="23"/>
      <c r="NB1015" s="23"/>
      <c r="NC1015" s="23"/>
      <c r="ND1015" s="23"/>
      <c r="NE1015" s="23"/>
      <c r="NF1015" s="23"/>
      <c r="NG1015" s="23"/>
      <c r="NH1015" s="23"/>
      <c r="NI1015" s="23"/>
      <c r="NJ1015" s="23"/>
      <c r="NK1015" s="23"/>
      <c r="NL1015" s="23"/>
      <c r="NM1015" s="23"/>
      <c r="NN1015" s="23"/>
      <c r="NO1015" s="23"/>
      <c r="NP1015" s="23"/>
      <c r="NQ1015" s="23"/>
      <c r="NR1015" s="23"/>
      <c r="NS1015" s="23"/>
      <c r="NT1015" s="23"/>
      <c r="NU1015" s="23"/>
      <c r="NV1015" s="23"/>
      <c r="NW1015" s="23"/>
      <c r="NX1015" s="23"/>
      <c r="NY1015" s="23"/>
      <c r="NZ1015" s="23"/>
      <c r="OA1015" s="23"/>
      <c r="OB1015" s="23"/>
      <c r="OC1015" s="23"/>
      <c r="OD1015" s="23"/>
      <c r="OE1015" s="23"/>
      <c r="OF1015" s="23"/>
      <c r="OG1015" s="23"/>
      <c r="OH1015" s="23"/>
      <c r="OI1015" s="23"/>
      <c r="OJ1015" s="23"/>
      <c r="OK1015" s="23"/>
      <c r="OL1015" s="23"/>
      <c r="OM1015" s="23"/>
      <c r="ON1015" s="23"/>
      <c r="OO1015" s="23"/>
      <c r="OP1015" s="23"/>
      <c r="OQ1015" s="23"/>
      <c r="OR1015" s="23"/>
      <c r="OS1015" s="23"/>
      <c r="OT1015" s="23"/>
      <c r="OU1015" s="23"/>
      <c r="OV1015" s="23"/>
      <c r="OW1015" s="23"/>
      <c r="OX1015" s="23"/>
      <c r="OY1015" s="23"/>
      <c r="OZ1015" s="23"/>
      <c r="PA1015" s="23"/>
      <c r="PB1015" s="23"/>
      <c r="PC1015" s="23"/>
      <c r="PD1015" s="23"/>
      <c r="PE1015" s="23"/>
      <c r="PF1015" s="23"/>
      <c r="PG1015" s="23"/>
      <c r="PH1015" s="23"/>
      <c r="PI1015" s="23"/>
      <c r="PJ1015" s="23"/>
      <c r="PK1015" s="23"/>
      <c r="PL1015" s="23"/>
      <c r="PM1015" s="23"/>
      <c r="PN1015" s="23"/>
      <c r="PO1015" s="23"/>
      <c r="PP1015" s="23"/>
      <c r="PQ1015" s="23"/>
      <c r="PR1015" s="23"/>
      <c r="PS1015" s="23"/>
      <c r="PT1015" s="23"/>
      <c r="PU1015" s="23"/>
      <c r="PV1015" s="23"/>
      <c r="PW1015" s="23"/>
      <c r="PX1015" s="23"/>
      <c r="PY1015" s="23"/>
      <c r="PZ1015" s="23"/>
      <c r="QA1015" s="23"/>
      <c r="QB1015" s="23"/>
      <c r="QC1015" s="23"/>
      <c r="QD1015" s="23"/>
      <c r="QE1015" s="23"/>
      <c r="QF1015" s="23"/>
      <c r="QG1015" s="23"/>
      <c r="QH1015" s="23"/>
      <c r="QI1015" s="23"/>
      <c r="QJ1015" s="23"/>
      <c r="QK1015" s="23"/>
      <c r="QL1015" s="23"/>
      <c r="QM1015" s="23"/>
      <c r="QN1015" s="23"/>
      <c r="QO1015" s="23"/>
      <c r="QP1015" s="23"/>
      <c r="QQ1015" s="23"/>
      <c r="QR1015" s="23"/>
      <c r="QS1015" s="23"/>
      <c r="QT1015" s="23"/>
      <c r="QU1015" s="23"/>
      <c r="QV1015" s="23"/>
      <c r="QW1015" s="23"/>
      <c r="QX1015" s="23"/>
      <c r="QY1015" s="23"/>
      <c r="QZ1015" s="23"/>
      <c r="RA1015" s="23"/>
      <c r="RB1015" s="23"/>
      <c r="RC1015" s="23"/>
      <c r="RD1015" s="23"/>
      <c r="RE1015" s="23"/>
      <c r="RF1015" s="23"/>
      <c r="RG1015" s="23"/>
      <c r="RH1015" s="23"/>
      <c r="RI1015" s="23"/>
      <c r="RJ1015" s="23"/>
      <c r="RK1015" s="23"/>
      <c r="RL1015" s="23"/>
      <c r="RM1015" s="23"/>
      <c r="RN1015" s="23"/>
      <c r="RO1015" s="23"/>
      <c r="RP1015" s="23"/>
      <c r="RQ1015" s="23"/>
      <c r="RR1015" s="23"/>
      <c r="RS1015" s="23"/>
      <c r="RT1015" s="23"/>
      <c r="RU1015" s="23"/>
      <c r="RV1015" s="23"/>
      <c r="RW1015" s="23"/>
      <c r="RX1015" s="23"/>
      <c r="RY1015" s="23"/>
      <c r="RZ1015" s="23"/>
      <c r="SA1015" s="23"/>
      <c r="SB1015" s="23"/>
      <c r="SC1015" s="23"/>
      <c r="SD1015" s="23"/>
      <c r="SE1015" s="23"/>
      <c r="SF1015" s="23"/>
      <c r="SG1015" s="23"/>
      <c r="SH1015" s="23"/>
      <c r="SI1015" s="23"/>
      <c r="SJ1015" s="23"/>
      <c r="SK1015" s="23"/>
      <c r="SL1015" s="23"/>
      <c r="SM1015" s="23"/>
      <c r="SN1015" s="23"/>
      <c r="SO1015" s="23"/>
      <c r="SP1015" s="23"/>
      <c r="SQ1015" s="23"/>
      <c r="SR1015" s="23"/>
      <c r="SS1015" s="23"/>
      <c r="ST1015" s="23"/>
      <c r="SU1015" s="23"/>
      <c r="SV1015" s="23"/>
      <c r="SW1015" s="23"/>
      <c r="SX1015" s="23"/>
      <c r="SY1015" s="23"/>
      <c r="SZ1015" s="23"/>
      <c r="TA1015" s="23"/>
      <c r="TB1015" s="23"/>
      <c r="TC1015" s="23"/>
      <c r="TD1015" s="23"/>
      <c r="TE1015" s="23"/>
      <c r="TF1015" s="23"/>
      <c r="TG1015" s="23"/>
      <c r="TH1015" s="23"/>
      <c r="TI1015" s="23"/>
      <c r="TJ1015" s="23"/>
      <c r="TK1015" s="23"/>
      <c r="TL1015" s="23"/>
      <c r="TM1015" s="23"/>
      <c r="TN1015" s="23"/>
      <c r="TO1015" s="23"/>
      <c r="TP1015" s="23"/>
      <c r="TQ1015" s="23"/>
      <c r="TR1015" s="23"/>
      <c r="TS1015" s="23"/>
      <c r="TT1015" s="23"/>
      <c r="TU1015" s="23"/>
      <c r="TV1015" s="23"/>
      <c r="TW1015" s="23"/>
      <c r="TX1015" s="23"/>
      <c r="TY1015" s="23"/>
      <c r="TZ1015" s="23"/>
      <c r="UA1015" s="23"/>
      <c r="UB1015" s="23"/>
      <c r="UC1015" s="23"/>
      <c r="UD1015" s="23"/>
      <c r="UE1015" s="23"/>
      <c r="UF1015" s="23"/>
      <c r="UG1015" s="23"/>
      <c r="UH1015" s="23"/>
      <c r="UI1015" s="23"/>
      <c r="UJ1015" s="23"/>
      <c r="UK1015" s="23"/>
      <c r="UL1015" s="23"/>
      <c r="UM1015" s="23"/>
      <c r="UN1015" s="23"/>
      <c r="UO1015" s="23"/>
      <c r="UP1015" s="23"/>
      <c r="UQ1015" s="23"/>
      <c r="UR1015" s="23"/>
      <c r="US1015" s="23"/>
      <c r="UT1015" s="23"/>
      <c r="UU1015" s="23"/>
      <c r="UV1015" s="23"/>
      <c r="UW1015" s="23"/>
      <c r="UX1015" s="23"/>
      <c r="UY1015" s="23"/>
      <c r="UZ1015" s="23"/>
      <c r="VA1015" s="23"/>
      <c r="VB1015" s="23"/>
      <c r="VC1015" s="23"/>
      <c r="VD1015" s="23"/>
      <c r="VE1015" s="23"/>
      <c r="VF1015" s="23"/>
      <c r="VG1015" s="23"/>
      <c r="VH1015" s="23"/>
      <c r="VI1015" s="23"/>
      <c r="VJ1015" s="23"/>
      <c r="VK1015" s="23"/>
      <c r="VL1015" s="23"/>
      <c r="VM1015" s="23"/>
      <c r="VN1015" s="23"/>
      <c r="VO1015" s="23"/>
      <c r="VP1015" s="23"/>
      <c r="VQ1015" s="23"/>
      <c r="VR1015" s="23"/>
      <c r="VS1015" s="23"/>
      <c r="VT1015" s="23"/>
      <c r="VU1015" s="23"/>
      <c r="VV1015" s="23"/>
      <c r="VW1015" s="23"/>
      <c r="VX1015" s="23"/>
      <c r="VY1015" s="23"/>
      <c r="VZ1015" s="23"/>
      <c r="WA1015" s="23"/>
      <c r="WB1015" s="23"/>
      <c r="WC1015" s="23"/>
      <c r="WD1015" s="23"/>
      <c r="WE1015" s="23"/>
      <c r="WF1015" s="23"/>
      <c r="WG1015" s="23"/>
      <c r="WH1015" s="23"/>
      <c r="WI1015" s="23"/>
      <c r="WJ1015" s="23"/>
      <c r="WK1015" s="23"/>
      <c r="WL1015" s="23"/>
      <c r="WM1015" s="23"/>
      <c r="WN1015" s="23"/>
      <c r="WO1015" s="23"/>
      <c r="WP1015" s="23"/>
      <c r="WQ1015" s="23"/>
      <c r="WR1015" s="23"/>
      <c r="WS1015" s="23"/>
      <c r="WT1015" s="23"/>
      <c r="WU1015" s="23"/>
      <c r="WV1015" s="23"/>
      <c r="WW1015" s="23"/>
      <c r="WX1015" s="23"/>
      <c r="WY1015" s="23"/>
      <c r="WZ1015" s="23"/>
      <c r="XA1015" s="23"/>
      <c r="XB1015" s="23"/>
      <c r="XC1015" s="23"/>
      <c r="XD1015" s="23"/>
      <c r="XE1015" s="23"/>
      <c r="XF1015" s="23"/>
      <c r="XG1015" s="23"/>
      <c r="XH1015" s="23"/>
      <c r="XI1015" s="23"/>
      <c r="XJ1015" s="23"/>
      <c r="XK1015" s="23"/>
      <c r="XL1015" s="23"/>
      <c r="XM1015" s="23"/>
      <c r="XN1015" s="23"/>
      <c r="XO1015" s="23"/>
      <c r="XP1015" s="23"/>
      <c r="XQ1015" s="23"/>
      <c r="XR1015" s="23"/>
      <c r="XS1015" s="23"/>
      <c r="XT1015" s="23"/>
      <c r="XU1015" s="23"/>
      <c r="XV1015" s="23"/>
      <c r="XW1015" s="23"/>
      <c r="XX1015" s="23"/>
      <c r="XY1015" s="23"/>
      <c r="XZ1015" s="23"/>
      <c r="YA1015" s="23"/>
      <c r="YB1015" s="23"/>
      <c r="YC1015" s="23"/>
      <c r="YD1015" s="23"/>
      <c r="YE1015" s="23"/>
      <c r="YF1015" s="23"/>
      <c r="YG1015" s="23"/>
      <c r="YH1015" s="23"/>
      <c r="YI1015" s="23"/>
      <c r="YJ1015" s="23"/>
      <c r="YK1015" s="23"/>
      <c r="YL1015" s="23"/>
      <c r="YM1015" s="23"/>
      <c r="YN1015" s="23"/>
      <c r="YO1015" s="23"/>
      <c r="YP1015" s="23"/>
      <c r="YQ1015" s="23"/>
      <c r="YR1015" s="23"/>
      <c r="YS1015" s="23"/>
      <c r="YT1015" s="23"/>
      <c r="YU1015" s="23"/>
      <c r="YV1015" s="23"/>
      <c r="YW1015" s="23"/>
      <c r="YX1015" s="23"/>
      <c r="YY1015" s="23"/>
      <c r="YZ1015" s="23"/>
      <c r="ZA1015" s="23"/>
      <c r="ZB1015" s="23"/>
      <c r="ZC1015" s="23"/>
      <c r="ZD1015" s="23"/>
      <c r="ZE1015" s="23"/>
      <c r="ZF1015" s="23"/>
      <c r="ZG1015" s="23"/>
      <c r="ZH1015" s="23"/>
      <c r="ZI1015" s="23"/>
      <c r="ZJ1015" s="23"/>
      <c r="ZK1015" s="23"/>
      <c r="ZL1015" s="23"/>
      <c r="ZM1015" s="23"/>
      <c r="ZN1015" s="23"/>
      <c r="ZO1015" s="23"/>
      <c r="ZP1015" s="23"/>
      <c r="ZQ1015" s="23"/>
      <c r="ZR1015" s="23"/>
      <c r="ZS1015" s="23"/>
      <c r="ZT1015" s="23"/>
      <c r="ZU1015" s="23"/>
      <c r="ZV1015" s="23"/>
      <c r="ZW1015" s="23"/>
      <c r="ZX1015" s="23"/>
      <c r="ZY1015" s="23"/>
      <c r="ZZ1015" s="23"/>
      <c r="AAA1015" s="23"/>
      <c r="AAB1015" s="23"/>
      <c r="AAC1015" s="23"/>
      <c r="AAD1015" s="23"/>
      <c r="AAE1015" s="23"/>
      <c r="AAF1015" s="23"/>
      <c r="AAG1015" s="23"/>
      <c r="AAH1015" s="23"/>
      <c r="AAI1015" s="23"/>
      <c r="AAJ1015" s="23"/>
      <c r="AAK1015" s="23"/>
      <c r="AAL1015" s="23"/>
      <c r="AAM1015" s="23"/>
      <c r="AAN1015" s="23"/>
      <c r="AAO1015" s="23"/>
      <c r="AAP1015" s="23"/>
      <c r="AAQ1015" s="23"/>
      <c r="AAR1015" s="23"/>
      <c r="AAS1015" s="23"/>
      <c r="AAT1015" s="23"/>
      <c r="AAU1015" s="23"/>
      <c r="AAV1015" s="23"/>
      <c r="AAW1015" s="23"/>
      <c r="AAX1015" s="23"/>
      <c r="AAY1015" s="23"/>
      <c r="AAZ1015" s="23"/>
      <c r="ABA1015" s="23"/>
      <c r="ABB1015" s="23"/>
      <c r="ABC1015" s="23"/>
      <c r="ABD1015" s="23"/>
      <c r="ABE1015" s="23"/>
      <c r="ABF1015" s="23"/>
      <c r="ABG1015" s="23"/>
      <c r="ABH1015" s="23"/>
      <c r="ABI1015" s="23"/>
      <c r="ABJ1015" s="23"/>
      <c r="ABK1015" s="23"/>
      <c r="ABL1015" s="23"/>
      <c r="ABM1015" s="23"/>
      <c r="ABN1015" s="23"/>
      <c r="ABO1015" s="23"/>
      <c r="ABP1015" s="23"/>
      <c r="ABQ1015" s="23"/>
      <c r="ABR1015" s="23"/>
      <c r="ABS1015" s="23"/>
      <c r="ABT1015" s="23"/>
      <c r="ABU1015" s="23"/>
      <c r="ABV1015" s="23"/>
      <c r="ABW1015" s="23"/>
      <c r="ABX1015" s="23"/>
      <c r="ABY1015" s="23"/>
      <c r="ABZ1015" s="23"/>
      <c r="ACA1015" s="23"/>
      <c r="ACB1015" s="23"/>
      <c r="ACC1015" s="23"/>
      <c r="ACD1015" s="23"/>
      <c r="ACE1015" s="23"/>
      <c r="ACF1015" s="23"/>
      <c r="ACG1015" s="23"/>
      <c r="ACH1015" s="23"/>
      <c r="ACI1015" s="23"/>
      <c r="ACJ1015" s="23"/>
      <c r="ACK1015" s="23"/>
      <c r="ACL1015" s="23"/>
      <c r="ACM1015" s="23"/>
      <c r="ACN1015" s="23"/>
      <c r="ACO1015" s="23"/>
      <c r="ACP1015" s="23"/>
      <c r="ACQ1015" s="23"/>
      <c r="ACR1015" s="23"/>
      <c r="ACS1015" s="23"/>
      <c r="ACT1015" s="23"/>
      <c r="ACU1015" s="23"/>
      <c r="ACV1015" s="23"/>
      <c r="ACW1015" s="23"/>
      <c r="ACX1015" s="23"/>
      <c r="ACY1015" s="23"/>
      <c r="ACZ1015" s="23"/>
      <c r="ADA1015" s="23"/>
      <c r="ADB1015" s="23"/>
      <c r="ADC1015" s="23"/>
      <c r="ADD1015" s="23"/>
      <c r="ADE1015" s="23"/>
      <c r="ADF1015" s="23"/>
      <c r="ADG1015" s="23"/>
      <c r="ADH1015" s="23"/>
      <c r="ADI1015" s="23"/>
      <c r="ADJ1015" s="23"/>
      <c r="ADK1015" s="23"/>
      <c r="ADL1015" s="23"/>
      <c r="ADM1015" s="23"/>
      <c r="ADN1015" s="23"/>
      <c r="ADO1015" s="23"/>
      <c r="ADP1015" s="23"/>
      <c r="ADQ1015" s="23"/>
      <c r="ADR1015" s="23"/>
      <c r="ADS1015" s="23"/>
      <c r="ADT1015" s="23"/>
      <c r="ADU1015" s="23"/>
      <c r="ADV1015" s="23"/>
      <c r="ADW1015" s="23"/>
      <c r="ADX1015" s="23"/>
      <c r="ADY1015" s="23"/>
      <c r="ADZ1015" s="23"/>
      <c r="AEA1015" s="23"/>
      <c r="AEB1015" s="23"/>
      <c r="AEC1015" s="23"/>
      <c r="AED1015" s="23"/>
      <c r="AEE1015" s="23"/>
      <c r="AEF1015" s="23"/>
      <c r="AEG1015" s="23"/>
      <c r="AEH1015" s="23"/>
      <c r="AEI1015" s="23"/>
      <c r="AEJ1015" s="23"/>
      <c r="AEK1015" s="23"/>
      <c r="AEL1015" s="23"/>
      <c r="AEM1015" s="23"/>
      <c r="AEN1015" s="23"/>
      <c r="AEO1015" s="23"/>
      <c r="AEP1015" s="23"/>
      <c r="AEQ1015" s="23"/>
      <c r="AER1015" s="23"/>
      <c r="AES1015" s="23"/>
      <c r="AET1015" s="23"/>
      <c r="AEU1015" s="23"/>
      <c r="AEV1015" s="23"/>
      <c r="AEW1015" s="23"/>
      <c r="AEX1015" s="23"/>
      <c r="AEY1015" s="23"/>
      <c r="AEZ1015" s="23"/>
      <c r="AFA1015" s="23"/>
      <c r="AFB1015" s="23"/>
      <c r="AFC1015" s="23"/>
      <c r="AFD1015" s="23"/>
      <c r="AFE1015" s="23"/>
      <c r="AFF1015" s="23"/>
      <c r="AFG1015" s="23"/>
      <c r="AFH1015" s="23"/>
      <c r="AFI1015" s="23"/>
      <c r="AFJ1015" s="23"/>
      <c r="AFK1015" s="23"/>
      <c r="AFL1015" s="23"/>
      <c r="AFM1015" s="23"/>
      <c r="AFN1015" s="23"/>
      <c r="AFO1015" s="23"/>
      <c r="AFP1015" s="23"/>
      <c r="AFQ1015" s="23"/>
      <c r="AFR1015" s="23"/>
      <c r="AFS1015" s="23"/>
      <c r="AFT1015" s="23"/>
      <c r="AFU1015" s="23"/>
      <c r="AFV1015" s="23"/>
      <c r="AFW1015" s="23"/>
      <c r="AFX1015" s="23"/>
      <c r="AFY1015" s="23"/>
      <c r="AFZ1015" s="23"/>
      <c r="AGA1015" s="23"/>
      <c r="AGB1015" s="23"/>
      <c r="AGC1015" s="23"/>
      <c r="AGD1015" s="23"/>
      <c r="AGE1015" s="23"/>
      <c r="AGF1015" s="23"/>
      <c r="AGG1015" s="23"/>
      <c r="AGH1015" s="23"/>
      <c r="AGI1015" s="23"/>
      <c r="AGJ1015" s="23"/>
      <c r="AGK1015" s="23"/>
      <c r="AGL1015" s="23"/>
      <c r="AGM1015" s="23"/>
      <c r="AGN1015" s="23"/>
      <c r="AGO1015" s="23"/>
      <c r="AGP1015" s="23"/>
      <c r="AGQ1015" s="23"/>
      <c r="AGR1015" s="23"/>
      <c r="AGS1015" s="23"/>
      <c r="AGT1015" s="23"/>
      <c r="AGU1015" s="23"/>
      <c r="AGV1015" s="23"/>
      <c r="AGW1015" s="23"/>
      <c r="AGX1015" s="23"/>
      <c r="AGY1015" s="23"/>
      <c r="AGZ1015" s="23"/>
      <c r="AHA1015" s="23"/>
      <c r="AHB1015" s="23"/>
      <c r="AHC1015" s="23"/>
      <c r="AHD1015" s="23"/>
      <c r="AHE1015" s="23"/>
      <c r="AHF1015" s="23"/>
      <c r="AHG1015" s="23"/>
      <c r="AHH1015" s="23"/>
      <c r="AHI1015" s="23"/>
      <c r="AHJ1015" s="23"/>
      <c r="AHK1015" s="23"/>
      <c r="AHL1015" s="23"/>
      <c r="AHM1015" s="23"/>
      <c r="AHN1015" s="23"/>
      <c r="AHO1015" s="23"/>
      <c r="AHP1015" s="23"/>
      <c r="AHQ1015" s="23"/>
      <c r="AHR1015" s="23"/>
      <c r="AHS1015" s="23"/>
      <c r="AHT1015" s="23"/>
      <c r="AHU1015" s="23"/>
      <c r="AHV1015" s="23"/>
      <c r="AHW1015" s="23"/>
      <c r="AHX1015" s="23"/>
      <c r="AHY1015" s="23"/>
      <c r="AHZ1015" s="23"/>
      <c r="AIA1015" s="23"/>
      <c r="AIB1015" s="23"/>
      <c r="AIC1015" s="23"/>
      <c r="AID1015" s="23"/>
      <c r="AIE1015" s="23"/>
      <c r="AIF1015" s="23"/>
      <c r="AIG1015" s="23"/>
      <c r="AIH1015" s="23"/>
      <c r="AII1015" s="23"/>
      <c r="AIJ1015" s="23"/>
      <c r="AIK1015" s="23"/>
      <c r="AIL1015" s="23"/>
      <c r="AIM1015" s="23"/>
      <c r="AIN1015" s="23"/>
      <c r="AIO1015" s="23"/>
      <c r="AIP1015" s="23"/>
      <c r="AIQ1015" s="23"/>
      <c r="AIR1015" s="23"/>
      <c r="AIS1015" s="23"/>
      <c r="AIT1015" s="23"/>
      <c r="AIU1015" s="23"/>
      <c r="AIV1015" s="23"/>
      <c r="AIW1015" s="23"/>
      <c r="AIX1015" s="23"/>
      <c r="AIY1015" s="23"/>
      <c r="AIZ1015" s="23"/>
      <c r="AJA1015" s="23"/>
      <c r="AJB1015" s="23"/>
      <c r="AJC1015" s="23"/>
      <c r="AJD1015" s="23"/>
      <c r="AJE1015" s="23"/>
      <c r="AJF1015" s="23"/>
      <c r="AJG1015" s="23"/>
      <c r="AJH1015" s="23"/>
      <c r="AJI1015" s="23"/>
      <c r="AJJ1015" s="23"/>
      <c r="AJK1015" s="23"/>
      <c r="AJL1015" s="23"/>
      <c r="AJM1015" s="23"/>
      <c r="AJN1015" s="23"/>
      <c r="AJO1015" s="23"/>
      <c r="AJP1015" s="23"/>
      <c r="AJQ1015" s="23"/>
      <c r="AJR1015" s="23"/>
      <c r="AJS1015" s="23"/>
      <c r="AJT1015" s="23"/>
      <c r="AJU1015" s="23"/>
      <c r="AJV1015" s="23"/>
      <c r="AJW1015" s="23"/>
      <c r="AJX1015" s="23"/>
      <c r="AJY1015" s="23"/>
      <c r="AJZ1015" s="23"/>
      <c r="AKA1015" s="23"/>
      <c r="AKB1015" s="23"/>
      <c r="AKC1015" s="23"/>
      <c r="AKD1015" s="23"/>
      <c r="AKE1015" s="23"/>
      <c r="AKF1015" s="23"/>
      <c r="AKG1015" s="23"/>
      <c r="AKH1015" s="23"/>
      <c r="AKI1015" s="23"/>
      <c r="AKJ1015" s="23"/>
      <c r="AKK1015" s="23"/>
      <c r="AKL1015" s="23"/>
      <c r="AKM1015" s="23"/>
      <c r="AKN1015" s="23"/>
      <c r="AKO1015" s="23"/>
      <c r="AKP1015" s="23"/>
      <c r="AKQ1015" s="23"/>
      <c r="AKR1015" s="23"/>
      <c r="AKS1015" s="23"/>
      <c r="AKT1015" s="23"/>
      <c r="AKU1015" s="23"/>
      <c r="AKV1015" s="23"/>
      <c r="AKW1015" s="23"/>
      <c r="AKX1015" s="23"/>
      <c r="AKY1015" s="23"/>
      <c r="AKZ1015" s="23"/>
      <c r="ALA1015" s="23"/>
      <c r="ALB1015" s="23"/>
      <c r="ALC1015" s="23"/>
      <c r="ALD1015" s="23"/>
      <c r="ALE1015" s="23"/>
      <c r="ALF1015" s="23"/>
      <c r="ALG1015" s="23"/>
      <c r="ALH1015" s="23"/>
      <c r="ALI1015" s="23"/>
      <c r="ALJ1015" s="23"/>
      <c r="ALK1015" s="23"/>
      <c r="ALL1015" s="23"/>
      <c r="ALM1015" s="23"/>
      <c r="ALN1015" s="23"/>
      <c r="ALO1015" s="23"/>
      <c r="ALP1015" s="23"/>
      <c r="ALQ1015" s="23"/>
      <c r="ALR1015" s="23"/>
      <c r="ALS1015" s="23"/>
      <c r="ALT1015" s="23"/>
      <c r="ALU1015" s="23"/>
      <c r="ALV1015" s="23"/>
      <c r="ALW1015" s="23"/>
      <c r="ALX1015" s="23"/>
      <c r="ALY1015" s="23"/>
      <c r="ALZ1015" s="23"/>
      <c r="AMA1015" s="23"/>
      <c r="AMB1015" s="23"/>
      <c r="AMC1015" s="23"/>
      <c r="AMD1015" s="23"/>
      <c r="AME1015" s="23"/>
      <c r="AMF1015" s="23"/>
      <c r="AMG1015" s="23"/>
      <c r="AMH1015" s="23"/>
      <c r="AMI1015" s="23"/>
      <c r="AMJ1015" s="23"/>
      <c r="AMK1015" s="23"/>
      <c r="AML1015" s="23"/>
      <c r="AMM1015" s="23"/>
      <c r="AMN1015" s="23"/>
      <c r="AMO1015" s="23"/>
      <c r="AMP1015" s="23"/>
      <c r="AMQ1015" s="23"/>
      <c r="AMR1015" s="23"/>
      <c r="AMS1015" s="23"/>
      <c r="AMT1015" s="23"/>
      <c r="AMU1015" s="23"/>
      <c r="AMV1015" s="23"/>
      <c r="AMW1015" s="23"/>
      <c r="AMX1015" s="23"/>
      <c r="AMY1015" s="23"/>
      <c r="AMZ1015" s="23"/>
      <c r="ANA1015" s="23"/>
      <c r="ANB1015" s="23"/>
      <c r="ANC1015" s="23"/>
      <c r="AND1015" s="23"/>
      <c r="ANE1015" s="23"/>
      <c r="ANF1015" s="23"/>
      <c r="ANG1015" s="23"/>
      <c r="ANH1015" s="23"/>
      <c r="ANI1015" s="23"/>
      <c r="ANJ1015" s="23"/>
      <c r="ANK1015" s="23"/>
      <c r="ANL1015" s="23"/>
      <c r="ANM1015" s="23"/>
      <c r="ANN1015" s="23"/>
      <c r="ANO1015" s="23"/>
      <c r="ANP1015" s="23"/>
      <c r="ANQ1015" s="23"/>
      <c r="ANR1015" s="23"/>
      <c r="ANS1015" s="23"/>
      <c r="ANT1015" s="23"/>
      <c r="ANU1015" s="23"/>
      <c r="ANV1015" s="23"/>
      <c r="ANW1015" s="23"/>
      <c r="ANX1015" s="23"/>
      <c r="ANY1015" s="23"/>
      <c r="ANZ1015" s="23"/>
      <c r="AOA1015" s="23"/>
      <c r="AOB1015" s="23"/>
      <c r="AOC1015" s="23"/>
      <c r="AOD1015" s="23"/>
      <c r="AOE1015" s="23"/>
      <c r="AOF1015" s="23"/>
      <c r="AOG1015" s="23"/>
      <c r="AOH1015" s="23"/>
      <c r="AOI1015" s="23"/>
      <c r="AOJ1015" s="23"/>
      <c r="AOK1015" s="23"/>
      <c r="AOL1015" s="23"/>
      <c r="AOM1015" s="23"/>
      <c r="AON1015" s="23"/>
      <c r="AOO1015" s="23"/>
      <c r="AOP1015" s="23"/>
      <c r="AOQ1015" s="23"/>
      <c r="AOR1015" s="23"/>
      <c r="AOS1015" s="23"/>
      <c r="AOT1015" s="23"/>
      <c r="AOU1015" s="23"/>
      <c r="AOV1015" s="23"/>
      <c r="AOW1015" s="23"/>
      <c r="AOX1015" s="23"/>
      <c r="AOY1015" s="23"/>
      <c r="AOZ1015" s="23"/>
      <c r="APA1015" s="23"/>
      <c r="APB1015" s="23"/>
      <c r="APC1015" s="23"/>
      <c r="APD1015" s="23"/>
      <c r="APE1015" s="23"/>
      <c r="APF1015" s="23"/>
      <c r="APG1015" s="23"/>
      <c r="APH1015" s="23"/>
      <c r="API1015" s="23"/>
      <c r="APJ1015" s="23"/>
      <c r="APK1015" s="23"/>
      <c r="APL1015" s="23"/>
      <c r="APM1015" s="23"/>
      <c r="APN1015" s="23"/>
      <c r="APO1015" s="23"/>
      <c r="APP1015" s="23"/>
      <c r="APQ1015" s="23"/>
      <c r="APR1015" s="23"/>
      <c r="APS1015" s="23"/>
      <c r="APT1015" s="23"/>
      <c r="APU1015" s="23"/>
      <c r="APV1015" s="23"/>
      <c r="APW1015" s="23"/>
      <c r="APX1015" s="23"/>
      <c r="APY1015" s="23"/>
      <c r="APZ1015" s="23"/>
      <c r="AQA1015" s="23"/>
      <c r="AQB1015" s="23"/>
      <c r="AQC1015" s="23"/>
      <c r="AQD1015" s="23"/>
      <c r="AQE1015" s="23"/>
      <c r="AQF1015" s="23"/>
      <c r="AQG1015" s="23"/>
      <c r="AQH1015" s="23"/>
      <c r="AQI1015" s="23"/>
      <c r="AQJ1015" s="23"/>
      <c r="AQK1015" s="23"/>
      <c r="AQL1015" s="23"/>
      <c r="AQM1015" s="23"/>
      <c r="AQN1015" s="23"/>
      <c r="AQO1015" s="23"/>
      <c r="AQP1015" s="23"/>
      <c r="AQQ1015" s="23"/>
      <c r="AQR1015" s="23"/>
      <c r="AQS1015" s="23"/>
      <c r="AQT1015" s="23"/>
      <c r="AQU1015" s="23"/>
      <c r="AQV1015" s="23"/>
      <c r="AQW1015" s="23"/>
      <c r="AQX1015" s="23"/>
      <c r="AQY1015" s="23"/>
      <c r="AQZ1015" s="23"/>
      <c r="ARA1015" s="23"/>
      <c r="ARB1015" s="23"/>
      <c r="ARC1015" s="23"/>
      <c r="ARD1015" s="23"/>
      <c r="ARE1015" s="23"/>
      <c r="ARF1015" s="23"/>
      <c r="ARG1015" s="23"/>
      <c r="ARH1015" s="23"/>
      <c r="ARI1015" s="23"/>
      <c r="ARJ1015" s="23"/>
      <c r="ARK1015" s="23"/>
      <c r="ARL1015" s="23"/>
      <c r="ARM1015" s="23"/>
      <c r="ARN1015" s="23"/>
      <c r="ARO1015" s="23"/>
      <c r="ARP1015" s="23"/>
      <c r="ARQ1015" s="23"/>
      <c r="ARR1015" s="23"/>
      <c r="ARS1015" s="23"/>
      <c r="ART1015" s="23"/>
      <c r="ARU1015" s="23"/>
      <c r="ARV1015" s="23"/>
      <c r="ARW1015" s="23"/>
      <c r="ARX1015" s="23"/>
      <c r="ARY1015" s="23"/>
      <c r="ARZ1015" s="23"/>
      <c r="ASA1015" s="23"/>
      <c r="ASB1015" s="23"/>
      <c r="ASC1015" s="23"/>
      <c r="ASD1015" s="23"/>
      <c r="ASE1015" s="23"/>
      <c r="ASF1015" s="23"/>
      <c r="ASG1015" s="23"/>
      <c r="ASH1015" s="23"/>
      <c r="ASI1015" s="23"/>
      <c r="ASJ1015" s="23"/>
      <c r="ASK1015" s="23"/>
      <c r="ASL1015" s="23"/>
      <c r="ASM1015" s="23"/>
      <c r="ASN1015" s="23"/>
      <c r="ASO1015" s="23"/>
      <c r="ASP1015" s="23"/>
      <c r="ASQ1015" s="23"/>
      <c r="ASR1015" s="23"/>
      <c r="ASS1015" s="23"/>
      <c r="AST1015" s="23"/>
      <c r="ASU1015" s="23"/>
      <c r="ASV1015" s="23"/>
      <c r="ASW1015" s="23"/>
      <c r="ASX1015" s="23"/>
      <c r="ASY1015" s="23"/>
      <c r="ASZ1015" s="23"/>
      <c r="ATA1015" s="23"/>
      <c r="ATB1015" s="23"/>
      <c r="ATC1015" s="23"/>
      <c r="ATD1015" s="23"/>
      <c r="ATE1015" s="23"/>
      <c r="ATF1015" s="23"/>
      <c r="ATG1015" s="23"/>
      <c r="ATH1015" s="23"/>
      <c r="ATI1015" s="23"/>
      <c r="ATJ1015" s="23"/>
      <c r="ATK1015" s="23"/>
      <c r="ATL1015" s="23"/>
      <c r="ATM1015" s="23"/>
      <c r="ATN1015" s="23"/>
      <c r="ATO1015" s="23"/>
      <c r="ATP1015" s="23"/>
      <c r="ATQ1015" s="23"/>
      <c r="ATR1015" s="23"/>
      <c r="ATS1015" s="23"/>
      <c r="ATT1015" s="23"/>
      <c r="ATU1015" s="23"/>
      <c r="ATV1015" s="23"/>
      <c r="ATW1015" s="23"/>
      <c r="ATX1015" s="23"/>
      <c r="ATY1015" s="23"/>
      <c r="ATZ1015" s="23"/>
      <c r="AUA1015" s="23"/>
      <c r="AUB1015" s="23"/>
      <c r="AUC1015" s="23"/>
      <c r="AUD1015" s="23"/>
      <c r="AUE1015" s="23"/>
      <c r="AUF1015" s="23"/>
      <c r="AUG1015" s="23"/>
      <c r="AUH1015" s="23"/>
      <c r="AUI1015" s="23"/>
      <c r="AUJ1015" s="23"/>
      <c r="AUK1015" s="23"/>
      <c r="AUL1015" s="23"/>
      <c r="AUM1015" s="23"/>
      <c r="AUN1015" s="23"/>
      <c r="AUO1015" s="23"/>
      <c r="AUP1015" s="23"/>
      <c r="AUQ1015" s="23"/>
      <c r="AUR1015" s="23"/>
      <c r="AUS1015" s="23"/>
      <c r="AUT1015" s="23"/>
      <c r="AUU1015" s="23"/>
      <c r="AUV1015" s="23"/>
      <c r="AUW1015" s="23"/>
      <c r="AUX1015" s="23"/>
      <c r="AUY1015" s="23"/>
      <c r="AUZ1015" s="23"/>
      <c r="AVA1015" s="23"/>
      <c r="AVB1015" s="23"/>
      <c r="AVC1015" s="23"/>
      <c r="AVD1015" s="23"/>
      <c r="AVE1015" s="23"/>
      <c r="AVF1015" s="23"/>
      <c r="AVG1015" s="23"/>
      <c r="AVH1015" s="23"/>
      <c r="AVI1015" s="23"/>
      <c r="AVJ1015" s="23"/>
      <c r="AVK1015" s="23"/>
      <c r="AVL1015" s="23"/>
      <c r="AVM1015" s="23"/>
      <c r="AVN1015" s="23"/>
      <c r="AVO1015" s="23"/>
      <c r="AVP1015" s="23"/>
      <c r="AVQ1015" s="23"/>
      <c r="AVR1015" s="23"/>
      <c r="AVS1015" s="23"/>
      <c r="AVT1015" s="23"/>
      <c r="AVU1015" s="23"/>
      <c r="AVV1015" s="23"/>
      <c r="AVW1015" s="23"/>
      <c r="AVX1015" s="23"/>
      <c r="AVY1015" s="23"/>
      <c r="AVZ1015" s="23"/>
      <c r="AWA1015" s="23"/>
      <c r="AWB1015" s="23"/>
      <c r="AWC1015" s="23"/>
      <c r="AWD1015" s="23"/>
      <c r="AWE1015" s="23"/>
      <c r="AWF1015" s="23"/>
      <c r="AWG1015" s="23"/>
      <c r="AWH1015" s="23"/>
      <c r="AWI1015" s="23"/>
      <c r="AWJ1015" s="23"/>
      <c r="AWK1015" s="23"/>
      <c r="AWL1015" s="23"/>
      <c r="AWM1015" s="23"/>
      <c r="AWN1015" s="23"/>
      <c r="AWO1015" s="23"/>
      <c r="AWP1015" s="23"/>
      <c r="AWQ1015" s="23"/>
      <c r="AWR1015" s="23"/>
      <c r="AWS1015" s="23"/>
      <c r="AWT1015" s="23"/>
      <c r="AWU1015" s="23"/>
      <c r="AWV1015" s="23"/>
      <c r="AWW1015" s="23"/>
      <c r="AWX1015" s="23"/>
      <c r="AWY1015" s="23"/>
      <c r="AWZ1015" s="23"/>
      <c r="AXA1015" s="23"/>
      <c r="AXB1015" s="23"/>
      <c r="AXC1015" s="23"/>
      <c r="AXD1015" s="23"/>
      <c r="AXE1015" s="23"/>
      <c r="AXF1015" s="23"/>
      <c r="AXG1015" s="23"/>
      <c r="AXH1015" s="23"/>
      <c r="AXI1015" s="23"/>
      <c r="AXJ1015" s="23"/>
      <c r="AXK1015" s="23"/>
      <c r="AXL1015" s="23"/>
      <c r="AXM1015" s="23"/>
      <c r="AXN1015" s="23"/>
      <c r="AXO1015" s="23"/>
      <c r="AXP1015" s="23"/>
      <c r="AXQ1015" s="23"/>
      <c r="AXR1015" s="23"/>
      <c r="AXS1015" s="23"/>
      <c r="AXT1015" s="23"/>
      <c r="AXU1015" s="23"/>
      <c r="AXV1015" s="23"/>
      <c r="AXW1015" s="23"/>
      <c r="AXX1015" s="23"/>
      <c r="AXY1015" s="23"/>
      <c r="AXZ1015" s="23"/>
      <c r="AYA1015" s="23"/>
      <c r="AYB1015" s="23"/>
      <c r="AYC1015" s="23"/>
      <c r="AYD1015" s="23"/>
      <c r="AYE1015" s="23"/>
      <c r="AYF1015" s="23"/>
      <c r="AYG1015" s="23"/>
      <c r="AYH1015" s="23"/>
      <c r="AYI1015" s="23"/>
      <c r="AYJ1015" s="23"/>
      <c r="AYK1015" s="23"/>
      <c r="AYL1015" s="23"/>
      <c r="AYM1015" s="23"/>
      <c r="AYN1015" s="23"/>
      <c r="AYO1015" s="23"/>
      <c r="AYP1015" s="23"/>
      <c r="AYQ1015" s="23"/>
      <c r="AYR1015" s="23"/>
      <c r="AYS1015" s="23"/>
      <c r="AYT1015" s="23"/>
      <c r="AYU1015" s="23"/>
      <c r="AYV1015" s="23"/>
      <c r="AYW1015" s="23"/>
      <c r="AYX1015" s="23"/>
      <c r="AYY1015" s="23"/>
      <c r="AYZ1015" s="23"/>
      <c r="AZA1015" s="23"/>
      <c r="AZB1015" s="23"/>
      <c r="AZC1015" s="23"/>
      <c r="AZD1015" s="23"/>
      <c r="AZE1015" s="23"/>
      <c r="AZF1015" s="23"/>
      <c r="AZG1015" s="23"/>
      <c r="AZH1015" s="23"/>
      <c r="AZI1015" s="23"/>
      <c r="AZJ1015" s="23"/>
      <c r="AZK1015" s="23"/>
      <c r="AZL1015" s="23"/>
      <c r="AZM1015" s="23"/>
      <c r="AZN1015" s="23"/>
      <c r="AZO1015" s="23"/>
      <c r="AZP1015" s="23"/>
      <c r="AZQ1015" s="23"/>
      <c r="AZR1015" s="23"/>
      <c r="AZS1015" s="23"/>
      <c r="AZT1015" s="23"/>
      <c r="AZU1015" s="23"/>
      <c r="AZV1015" s="23"/>
      <c r="AZW1015" s="23"/>
      <c r="AZX1015" s="23"/>
      <c r="AZY1015" s="23"/>
      <c r="AZZ1015" s="23"/>
      <c r="BAA1015" s="23"/>
      <c r="BAB1015" s="23"/>
      <c r="BAC1015" s="23"/>
      <c r="BAD1015" s="23"/>
      <c r="BAE1015" s="23"/>
      <c r="BAF1015" s="23"/>
      <c r="BAG1015" s="23"/>
      <c r="BAH1015" s="23"/>
      <c r="BAI1015" s="23"/>
      <c r="BAJ1015" s="23"/>
      <c r="BAK1015" s="23"/>
      <c r="BAL1015" s="23"/>
      <c r="BAM1015" s="23"/>
      <c r="BAN1015" s="23"/>
      <c r="BAO1015" s="23"/>
      <c r="BAP1015" s="23"/>
      <c r="BAQ1015" s="23"/>
      <c r="BAR1015" s="23"/>
      <c r="BAS1015" s="23"/>
      <c r="BAT1015" s="23"/>
      <c r="BAU1015" s="23"/>
      <c r="BAV1015" s="23"/>
      <c r="BAW1015" s="23"/>
      <c r="BAX1015" s="23"/>
      <c r="BAY1015" s="23"/>
      <c r="BAZ1015" s="23"/>
      <c r="BBA1015" s="23"/>
      <c r="BBB1015" s="23"/>
      <c r="BBC1015" s="23"/>
      <c r="BBD1015" s="23"/>
      <c r="BBE1015" s="23"/>
      <c r="BBF1015" s="23"/>
      <c r="BBG1015" s="23"/>
      <c r="BBH1015" s="23"/>
      <c r="BBI1015" s="23"/>
      <c r="BBJ1015" s="23"/>
      <c r="BBK1015" s="23"/>
      <c r="BBL1015" s="23"/>
      <c r="BBM1015" s="23"/>
      <c r="BBN1015" s="23"/>
      <c r="BBO1015" s="23"/>
      <c r="BBP1015" s="23"/>
      <c r="BBQ1015" s="23"/>
      <c r="BBR1015" s="23"/>
      <c r="BBS1015" s="23"/>
      <c r="BBT1015" s="23"/>
      <c r="BBU1015" s="23"/>
      <c r="BBV1015" s="23"/>
      <c r="BBW1015" s="23"/>
      <c r="BBX1015" s="23"/>
      <c r="BBY1015" s="23"/>
      <c r="BBZ1015" s="23"/>
      <c r="BCA1015" s="23"/>
      <c r="BCB1015" s="23"/>
      <c r="BCC1015" s="23"/>
      <c r="BCD1015" s="23"/>
      <c r="BCE1015" s="23"/>
      <c r="BCF1015" s="23"/>
      <c r="BCG1015" s="23"/>
      <c r="BCH1015" s="23"/>
      <c r="BCI1015" s="23"/>
      <c r="BCJ1015" s="23"/>
      <c r="BCK1015" s="23"/>
      <c r="BCL1015" s="23"/>
      <c r="BCM1015" s="23"/>
      <c r="BCN1015" s="23"/>
      <c r="BCO1015" s="23"/>
      <c r="BCP1015" s="23"/>
      <c r="BCQ1015" s="23"/>
      <c r="BCR1015" s="23"/>
      <c r="BCS1015" s="23"/>
      <c r="BCT1015" s="23"/>
      <c r="BCU1015" s="23"/>
      <c r="BCV1015" s="23"/>
      <c r="BCW1015" s="23"/>
      <c r="BCX1015" s="23"/>
      <c r="BCY1015" s="23"/>
      <c r="BCZ1015" s="23"/>
      <c r="BDA1015" s="23"/>
      <c r="BDB1015" s="23"/>
      <c r="BDC1015" s="23"/>
      <c r="BDD1015" s="23"/>
      <c r="BDE1015" s="23"/>
      <c r="BDF1015" s="23"/>
      <c r="BDG1015" s="23"/>
      <c r="BDH1015" s="23"/>
      <c r="BDI1015" s="23"/>
      <c r="BDJ1015" s="23"/>
      <c r="BDK1015" s="23"/>
      <c r="BDL1015" s="23"/>
      <c r="BDM1015" s="23"/>
      <c r="BDN1015" s="23"/>
      <c r="BDO1015" s="23"/>
      <c r="BDP1015" s="23"/>
      <c r="BDQ1015" s="23"/>
      <c r="BDR1015" s="23"/>
      <c r="BDS1015" s="23"/>
      <c r="BDT1015" s="23"/>
      <c r="BDU1015" s="23"/>
      <c r="BDV1015" s="23"/>
      <c r="BDW1015" s="23"/>
      <c r="BDX1015" s="23"/>
      <c r="BDY1015" s="23"/>
      <c r="BDZ1015" s="23"/>
      <c r="BEA1015" s="23"/>
      <c r="BEB1015" s="23"/>
      <c r="BEC1015" s="23"/>
      <c r="BED1015" s="23"/>
      <c r="BEE1015" s="23"/>
      <c r="BEF1015" s="23"/>
      <c r="BEG1015" s="23"/>
      <c r="BEH1015" s="23"/>
      <c r="BEI1015" s="23"/>
      <c r="BEJ1015" s="23"/>
      <c r="BEK1015" s="23"/>
      <c r="BEL1015" s="23"/>
      <c r="BEM1015" s="23"/>
      <c r="BEN1015" s="23"/>
      <c r="BEO1015" s="23"/>
      <c r="BEP1015" s="23"/>
      <c r="BEQ1015" s="23"/>
      <c r="BER1015" s="23"/>
      <c r="BES1015" s="23"/>
      <c r="BET1015" s="23"/>
      <c r="BEU1015" s="23"/>
      <c r="BEV1015" s="23"/>
      <c r="BEW1015" s="23"/>
      <c r="BEX1015" s="23"/>
      <c r="BEY1015" s="23"/>
      <c r="BEZ1015" s="23"/>
      <c r="BFA1015" s="23"/>
      <c r="BFB1015" s="23"/>
      <c r="BFC1015" s="23"/>
      <c r="BFD1015" s="23"/>
      <c r="BFE1015" s="23"/>
      <c r="BFF1015" s="23"/>
      <c r="BFG1015" s="23"/>
      <c r="BFH1015" s="23"/>
      <c r="BFI1015" s="23"/>
      <c r="BFJ1015" s="23"/>
      <c r="BFK1015" s="23"/>
      <c r="BFL1015" s="23"/>
      <c r="BFM1015" s="23"/>
      <c r="BFN1015" s="23"/>
      <c r="BFO1015" s="23"/>
      <c r="BFP1015" s="23"/>
      <c r="BFQ1015" s="23"/>
      <c r="BFR1015" s="23"/>
      <c r="BFS1015" s="23"/>
      <c r="BFT1015" s="23"/>
      <c r="BFU1015" s="23"/>
      <c r="BFV1015" s="23"/>
      <c r="BFW1015" s="23"/>
      <c r="BFX1015" s="23"/>
      <c r="BFY1015" s="23"/>
      <c r="BFZ1015" s="23"/>
      <c r="BGA1015" s="23"/>
      <c r="BGB1015" s="23"/>
      <c r="BGC1015" s="23"/>
      <c r="BGD1015" s="23"/>
      <c r="BGE1015" s="23"/>
      <c r="BGF1015" s="23"/>
      <c r="BGG1015" s="23"/>
      <c r="BGH1015" s="23"/>
      <c r="BGI1015" s="23"/>
      <c r="BGJ1015" s="23"/>
      <c r="BGK1015" s="23"/>
      <c r="BGL1015" s="23"/>
      <c r="BGM1015" s="23"/>
      <c r="BGN1015" s="23"/>
      <c r="BGO1015" s="23"/>
      <c r="BGP1015" s="23"/>
      <c r="BGQ1015" s="23"/>
      <c r="BGR1015" s="23"/>
      <c r="BGS1015" s="23"/>
      <c r="BGT1015" s="23"/>
      <c r="BGU1015" s="23"/>
      <c r="BGV1015" s="23"/>
      <c r="BGW1015" s="23"/>
      <c r="BGX1015" s="23"/>
      <c r="BGY1015" s="23"/>
      <c r="BGZ1015" s="23"/>
      <c r="BHA1015" s="23"/>
      <c r="BHB1015" s="23"/>
      <c r="BHC1015" s="23"/>
      <c r="BHD1015" s="23"/>
      <c r="BHE1015" s="23"/>
      <c r="BHF1015" s="23"/>
      <c r="BHG1015" s="23"/>
      <c r="BHH1015" s="23"/>
      <c r="BHI1015" s="23"/>
      <c r="BHJ1015" s="23"/>
      <c r="BHK1015" s="23"/>
      <c r="BHL1015" s="23"/>
      <c r="BHM1015" s="23"/>
      <c r="BHN1015" s="23"/>
      <c r="BHO1015" s="23"/>
      <c r="BHP1015" s="23"/>
      <c r="BHQ1015" s="23"/>
      <c r="BHR1015" s="23"/>
      <c r="BHS1015" s="23"/>
      <c r="BHT1015" s="23"/>
      <c r="BHU1015" s="23"/>
      <c r="BHV1015" s="23"/>
      <c r="BHW1015" s="23"/>
      <c r="BHX1015" s="23"/>
      <c r="BHY1015" s="23"/>
      <c r="BHZ1015" s="23"/>
      <c r="BIA1015" s="23"/>
      <c r="BIB1015" s="23"/>
      <c r="BIC1015" s="23"/>
      <c r="BID1015" s="23"/>
      <c r="BIE1015" s="23"/>
      <c r="BIF1015" s="23"/>
      <c r="BIG1015" s="23"/>
      <c r="BIH1015" s="23"/>
      <c r="BII1015" s="23"/>
      <c r="BIJ1015" s="23"/>
      <c r="BIK1015" s="23"/>
      <c r="BIL1015" s="23"/>
      <c r="BIM1015" s="23"/>
      <c r="BIN1015" s="23"/>
      <c r="BIO1015" s="23"/>
      <c r="BIP1015" s="23"/>
      <c r="BIQ1015" s="23"/>
      <c r="BIR1015" s="23"/>
      <c r="BIS1015" s="23"/>
      <c r="BIT1015" s="23"/>
      <c r="BIU1015" s="23"/>
      <c r="BIV1015" s="23"/>
      <c r="BIW1015" s="23"/>
      <c r="BIX1015" s="23"/>
      <c r="BIY1015" s="23"/>
      <c r="BIZ1015" s="23"/>
      <c r="BJA1015" s="23"/>
      <c r="BJB1015" s="23"/>
      <c r="BJC1015" s="23"/>
      <c r="BJD1015" s="23"/>
      <c r="BJE1015" s="23"/>
      <c r="BJF1015" s="23"/>
      <c r="BJG1015" s="23"/>
      <c r="BJH1015" s="23"/>
      <c r="BJI1015" s="23"/>
      <c r="BJJ1015" s="23"/>
      <c r="BJK1015" s="23"/>
      <c r="BJL1015" s="23"/>
      <c r="BJM1015" s="23"/>
      <c r="BJN1015" s="23"/>
      <c r="BJO1015" s="23"/>
      <c r="BJP1015" s="23"/>
      <c r="BJQ1015" s="23"/>
      <c r="BJR1015" s="23"/>
      <c r="BJS1015" s="23"/>
      <c r="BJT1015" s="23"/>
      <c r="BJU1015" s="23"/>
      <c r="BJV1015" s="23"/>
      <c r="BJW1015" s="23"/>
      <c r="BJX1015" s="23"/>
      <c r="BJY1015" s="23"/>
      <c r="BJZ1015" s="23"/>
      <c r="BKA1015" s="23"/>
      <c r="BKB1015" s="23"/>
      <c r="BKC1015" s="23"/>
      <c r="BKD1015" s="23"/>
      <c r="BKE1015" s="23"/>
      <c r="BKF1015" s="23"/>
      <c r="BKG1015" s="23"/>
      <c r="BKH1015" s="23"/>
      <c r="BKI1015" s="23"/>
      <c r="BKJ1015" s="23"/>
      <c r="BKK1015" s="23"/>
      <c r="BKL1015" s="23"/>
      <c r="BKM1015" s="23"/>
      <c r="BKN1015" s="23"/>
      <c r="BKO1015" s="23"/>
      <c r="BKP1015" s="23"/>
      <c r="BKQ1015" s="23"/>
      <c r="BKR1015" s="23"/>
      <c r="BKS1015" s="23"/>
      <c r="BKT1015" s="23"/>
      <c r="BKU1015" s="23"/>
      <c r="BKV1015" s="23"/>
      <c r="BKW1015" s="23"/>
      <c r="BKX1015" s="23"/>
      <c r="BKY1015" s="23"/>
      <c r="BKZ1015" s="23"/>
      <c r="BLA1015" s="23"/>
      <c r="BLB1015" s="23"/>
      <c r="BLC1015" s="23"/>
      <c r="BLD1015" s="23"/>
      <c r="BLE1015" s="23"/>
      <c r="BLF1015" s="23"/>
      <c r="BLG1015" s="23"/>
      <c r="BLH1015" s="23"/>
      <c r="BLI1015" s="23"/>
      <c r="BLJ1015" s="23"/>
      <c r="BLK1015" s="23"/>
      <c r="BLL1015" s="23"/>
      <c r="BLM1015" s="23"/>
      <c r="BLN1015" s="23"/>
      <c r="BLO1015" s="23"/>
      <c r="BLP1015" s="23"/>
      <c r="BLQ1015" s="23"/>
      <c r="BLR1015" s="23"/>
      <c r="BLS1015" s="23"/>
      <c r="BLT1015" s="23"/>
      <c r="BLU1015" s="23"/>
      <c r="BLV1015" s="23"/>
      <c r="BLW1015" s="23"/>
      <c r="BLX1015" s="23"/>
      <c r="BLY1015" s="23"/>
      <c r="BLZ1015" s="23"/>
      <c r="BMA1015" s="23"/>
      <c r="BMB1015" s="23"/>
      <c r="BMC1015" s="23"/>
      <c r="BMD1015" s="23"/>
      <c r="BME1015" s="23"/>
      <c r="BMF1015" s="23"/>
      <c r="BMG1015" s="23"/>
      <c r="BMH1015" s="23"/>
      <c r="BMI1015" s="23"/>
      <c r="BMJ1015" s="23"/>
      <c r="BMK1015" s="23"/>
      <c r="BML1015" s="23"/>
      <c r="BMM1015" s="23"/>
      <c r="BMN1015" s="23"/>
      <c r="BMO1015" s="23"/>
      <c r="BMP1015" s="23"/>
      <c r="BMQ1015" s="23"/>
      <c r="BMR1015" s="23"/>
      <c r="BMS1015" s="23"/>
      <c r="BMT1015" s="23"/>
      <c r="BMU1015" s="23"/>
      <c r="BMV1015" s="23"/>
      <c r="BMW1015" s="23"/>
      <c r="BMX1015" s="23"/>
      <c r="BMY1015" s="23"/>
      <c r="BMZ1015" s="23"/>
      <c r="BNA1015" s="23"/>
      <c r="BNB1015" s="23"/>
      <c r="BNC1015" s="23"/>
      <c r="BND1015" s="23"/>
      <c r="BNE1015" s="23"/>
      <c r="BNF1015" s="23"/>
      <c r="BNG1015" s="23"/>
      <c r="BNH1015" s="23"/>
      <c r="BNI1015" s="23"/>
      <c r="BNJ1015" s="23"/>
      <c r="BNK1015" s="23"/>
      <c r="BNL1015" s="23"/>
      <c r="BNM1015" s="23"/>
      <c r="BNN1015" s="23"/>
      <c r="BNO1015" s="23"/>
      <c r="BNP1015" s="23"/>
      <c r="BNQ1015" s="23"/>
      <c r="BNR1015" s="23"/>
      <c r="BNS1015" s="23"/>
      <c r="BNT1015" s="23"/>
      <c r="BNU1015" s="23"/>
      <c r="BNV1015" s="23"/>
      <c r="BNW1015" s="23"/>
      <c r="BNX1015" s="23"/>
      <c r="BNY1015" s="23"/>
      <c r="BNZ1015" s="23"/>
      <c r="BOA1015" s="23"/>
      <c r="BOB1015" s="23"/>
      <c r="BOC1015" s="23"/>
      <c r="BOD1015" s="23"/>
      <c r="BOE1015" s="23"/>
      <c r="BOF1015" s="23"/>
      <c r="BOG1015" s="23"/>
      <c r="BOH1015" s="23"/>
      <c r="BOI1015" s="23"/>
      <c r="BOJ1015" s="23"/>
      <c r="BOK1015" s="23"/>
      <c r="BOL1015" s="23"/>
      <c r="BOM1015" s="23"/>
      <c r="BON1015" s="23"/>
      <c r="BOO1015" s="23"/>
      <c r="BOP1015" s="23"/>
      <c r="BOQ1015" s="23"/>
      <c r="BOR1015" s="23"/>
      <c r="BOS1015" s="23"/>
      <c r="BOT1015" s="23"/>
      <c r="BOU1015" s="23"/>
      <c r="BOV1015" s="23"/>
      <c r="BOW1015" s="23"/>
      <c r="BOX1015" s="23"/>
      <c r="BOY1015" s="23"/>
      <c r="BOZ1015" s="23"/>
      <c r="BPA1015" s="23"/>
      <c r="BPB1015" s="23"/>
      <c r="BPC1015" s="23"/>
      <c r="BPD1015" s="23"/>
      <c r="BPE1015" s="23"/>
      <c r="BPF1015" s="23"/>
      <c r="BPG1015" s="23"/>
      <c r="BPH1015" s="23"/>
      <c r="BPI1015" s="23"/>
      <c r="BPJ1015" s="23"/>
      <c r="BPK1015" s="23"/>
      <c r="BPL1015" s="23"/>
      <c r="BPM1015" s="23"/>
      <c r="BPN1015" s="23"/>
      <c r="BPO1015" s="23"/>
      <c r="BPP1015" s="23"/>
      <c r="BPQ1015" s="23"/>
      <c r="BPR1015" s="23"/>
      <c r="BPS1015" s="23"/>
      <c r="BPT1015" s="23"/>
      <c r="BPU1015" s="23"/>
      <c r="BPV1015" s="23"/>
      <c r="BPW1015" s="23"/>
      <c r="BPX1015" s="23"/>
      <c r="BPY1015" s="23"/>
      <c r="BPZ1015" s="23"/>
      <c r="BQA1015" s="23"/>
      <c r="BQB1015" s="23"/>
      <c r="BQC1015" s="23"/>
      <c r="BQD1015" s="23"/>
      <c r="BQE1015" s="23"/>
      <c r="BQF1015" s="23"/>
      <c r="BQG1015" s="23"/>
      <c r="BQH1015" s="23"/>
      <c r="BQI1015" s="23"/>
      <c r="BQJ1015" s="23"/>
      <c r="BQK1015" s="23"/>
      <c r="BQL1015" s="23"/>
      <c r="BQM1015" s="23"/>
      <c r="BQN1015" s="23"/>
      <c r="BQO1015" s="23"/>
      <c r="BQP1015" s="23"/>
      <c r="BQQ1015" s="23"/>
      <c r="BQR1015" s="23"/>
      <c r="BQS1015" s="23"/>
      <c r="BQT1015" s="23"/>
      <c r="BQU1015" s="23"/>
      <c r="BQV1015" s="23"/>
      <c r="BQW1015" s="23"/>
      <c r="BQX1015" s="23"/>
      <c r="BQY1015" s="23"/>
      <c r="BQZ1015" s="23"/>
      <c r="BRA1015" s="23"/>
      <c r="BRB1015" s="23"/>
      <c r="BRC1015" s="23"/>
      <c r="BRD1015" s="23"/>
      <c r="BRE1015" s="23"/>
      <c r="BRF1015" s="23"/>
      <c r="BRG1015" s="23"/>
      <c r="BRH1015" s="23"/>
      <c r="BRI1015" s="23"/>
      <c r="BRJ1015" s="23"/>
      <c r="BRK1015" s="23"/>
      <c r="BRL1015" s="23"/>
      <c r="BRM1015" s="23"/>
      <c r="BRN1015" s="23"/>
      <c r="BRO1015" s="23"/>
      <c r="BRP1015" s="23"/>
      <c r="BRQ1015" s="23"/>
      <c r="BRR1015" s="23"/>
      <c r="BRS1015" s="23"/>
      <c r="BRT1015" s="23"/>
      <c r="BRU1015" s="23"/>
      <c r="BRV1015" s="23"/>
      <c r="BRW1015" s="23"/>
      <c r="BRX1015" s="23"/>
      <c r="BRY1015" s="23"/>
      <c r="BRZ1015" s="23"/>
      <c r="BSA1015" s="23"/>
      <c r="BSB1015" s="23"/>
      <c r="BSC1015" s="23"/>
      <c r="BSD1015" s="23"/>
      <c r="BSE1015" s="23"/>
      <c r="BSF1015" s="23"/>
      <c r="BSG1015" s="23"/>
      <c r="BSH1015" s="23"/>
      <c r="BSI1015" s="23"/>
      <c r="BSJ1015" s="23"/>
      <c r="BSK1015" s="23"/>
      <c r="BSL1015" s="23"/>
      <c r="BSM1015" s="23"/>
      <c r="BSN1015" s="23"/>
      <c r="BSO1015" s="23"/>
      <c r="BSP1015" s="23"/>
      <c r="BSQ1015" s="23"/>
      <c r="BSR1015" s="23"/>
      <c r="BSS1015" s="23"/>
      <c r="BST1015" s="23"/>
      <c r="BSU1015" s="23"/>
      <c r="BSV1015" s="23"/>
      <c r="BSW1015" s="23"/>
      <c r="BSX1015" s="23"/>
      <c r="BSY1015" s="23"/>
      <c r="BSZ1015" s="23"/>
      <c r="BTA1015" s="23"/>
    </row>
    <row r="1016" spans="1:1873" s="23" customFormat="1" ht="12.6" customHeight="1" x14ac:dyDescent="0.2">
      <c r="A1016" s="273"/>
      <c r="B1016" s="273"/>
      <c r="C1016" s="273"/>
      <c r="D1016" s="273"/>
      <c r="E1016" s="462"/>
      <c r="F1016" s="462"/>
      <c r="G1016" s="273"/>
      <c r="H1016" s="468"/>
      <c r="I1016" s="273"/>
      <c r="J1016" s="273"/>
      <c r="K1016" s="463"/>
      <c r="L1016" s="273"/>
      <c r="M1016" s="414"/>
      <c r="N1016" s="273"/>
      <c r="O1016" s="29"/>
      <c r="P1016" s="414"/>
      <c r="Q1016" s="273"/>
      <c r="R1016" s="471"/>
      <c r="S1016" s="273"/>
      <c r="T1016" s="471"/>
      <c r="U1016" s="273"/>
      <c r="V1016" s="273"/>
      <c r="W1016" s="471"/>
      <c r="X1016" s="273"/>
      <c r="Y1016" s="273"/>
      <c r="Z1016" s="273"/>
      <c r="AA1016" s="580"/>
      <c r="AB1016" s="471"/>
      <c r="AC1016" s="273"/>
      <c r="AD1016" s="273"/>
      <c r="AE1016" s="273"/>
      <c r="AF1016" s="273"/>
      <c r="AG1016" s="273"/>
      <c r="AH1016" s="273"/>
      <c r="AI1016" s="273"/>
      <c r="AJ1016" s="273"/>
      <c r="AK1016" s="273"/>
      <c r="AL1016" s="273"/>
      <c r="AM1016" s="273"/>
      <c r="AN1016" s="273"/>
      <c r="AO1016" s="273"/>
      <c r="AP1016" s="273"/>
      <c r="AQ1016" s="273"/>
      <c r="AR1016" s="273"/>
      <c r="AS1016" s="273"/>
      <c r="AT1016" s="273"/>
      <c r="AU1016" s="273"/>
      <c r="AV1016" s="273"/>
      <c r="AW1016" s="273"/>
      <c r="AX1016" s="273"/>
      <c r="AY1016" s="273"/>
      <c r="AZ1016" s="273"/>
      <c r="BA1016" s="273"/>
      <c r="BB1016" s="273"/>
      <c r="BC1016" s="273"/>
      <c r="BD1016" s="273"/>
      <c r="BE1016" s="273"/>
      <c r="BF1016" s="273"/>
      <c r="BG1016" s="273"/>
      <c r="BH1016" s="273"/>
      <c r="BI1016" s="273"/>
      <c r="BJ1016" s="273"/>
      <c r="BK1016" s="273"/>
      <c r="BL1016" s="273"/>
      <c r="BM1016" s="273"/>
      <c r="BN1016" s="273"/>
      <c r="BO1016" s="273"/>
      <c r="BP1016" s="273"/>
      <c r="BQ1016" s="273"/>
      <c r="BR1016" s="273"/>
      <c r="BS1016" s="468"/>
      <c r="BT1016" s="273"/>
      <c r="BU1016" s="273"/>
      <c r="BV1016" s="273"/>
      <c r="BW1016" s="273"/>
      <c r="BX1016" s="273"/>
      <c r="BY1016" s="273"/>
      <c r="BZ1016" s="273"/>
      <c r="CA1016" s="472"/>
      <c r="CB1016" s="473"/>
      <c r="CC1016" s="462"/>
      <c r="CD1016" s="273"/>
      <c r="CE1016" s="342" t="s">
        <v>1576</v>
      </c>
      <c r="CF1016" s="342" t="s">
        <v>1575</v>
      </c>
      <c r="CG1016" s="93"/>
    </row>
    <row r="1017" spans="1:1873" s="23" customFormat="1" ht="12.6" customHeight="1" x14ac:dyDescent="0.2">
      <c r="A1017" s="273" t="s">
        <v>837</v>
      </c>
      <c r="B1017" s="273" t="s">
        <v>1135</v>
      </c>
      <c r="C1017" s="273" t="s">
        <v>1159</v>
      </c>
      <c r="D1017" s="273" t="s">
        <v>619</v>
      </c>
      <c r="E1017" s="462" t="s">
        <v>1504</v>
      </c>
      <c r="F1017" s="462">
        <v>1</v>
      </c>
      <c r="G1017" s="273">
        <v>4</v>
      </c>
      <c r="H1017" s="468">
        <v>4</v>
      </c>
      <c r="I1017" s="273" t="s">
        <v>842</v>
      </c>
      <c r="J1017" s="273">
        <v>1971</v>
      </c>
      <c r="K1017" s="463" t="s">
        <v>842</v>
      </c>
      <c r="L1017" s="273">
        <v>1975</v>
      </c>
      <c r="M1017" s="414">
        <f>+T1017*G1017</f>
        <v>23.2</v>
      </c>
      <c r="N1017" s="273">
        <v>-9999</v>
      </c>
      <c r="O1017" s="29"/>
      <c r="P1017" s="414">
        <f>+T1017*G1017</f>
        <v>23.2</v>
      </c>
      <c r="Q1017" s="273">
        <v>-9999</v>
      </c>
      <c r="R1017" s="471"/>
      <c r="S1017" s="273"/>
      <c r="T1017" s="471">
        <v>5.8</v>
      </c>
      <c r="U1017" s="273">
        <v>-9999</v>
      </c>
      <c r="V1017" s="273"/>
      <c r="W1017" s="471">
        <v>-9999</v>
      </c>
      <c r="X1017" s="273">
        <v>-9999</v>
      </c>
      <c r="Y1017" s="273"/>
      <c r="Z1017" s="273" t="s">
        <v>91</v>
      </c>
      <c r="AA1017" s="580">
        <v>6719</v>
      </c>
      <c r="AB1017" s="471">
        <v>0.95</v>
      </c>
      <c r="AC1017" s="273">
        <v>-9999</v>
      </c>
      <c r="AD1017" s="273">
        <v>66.400000000000006</v>
      </c>
      <c r="AE1017" s="461" t="s">
        <v>1962</v>
      </c>
      <c r="AF1017" s="273">
        <v>3</v>
      </c>
      <c r="AG1017" s="273" t="s">
        <v>843</v>
      </c>
      <c r="AH1017" s="273" t="s">
        <v>623</v>
      </c>
      <c r="AI1017" s="273" t="s">
        <v>844</v>
      </c>
      <c r="AJ1017" s="273" t="s">
        <v>845</v>
      </c>
      <c r="AK1017" s="273" t="s">
        <v>779</v>
      </c>
      <c r="AL1017" s="273" t="s">
        <v>653</v>
      </c>
      <c r="AM1017" s="273">
        <v>-9999</v>
      </c>
      <c r="AN1017" s="273" t="s">
        <v>777</v>
      </c>
      <c r="AO1017" s="273">
        <v>-9999</v>
      </c>
      <c r="AP1017" s="273">
        <v>-9999</v>
      </c>
      <c r="AQ1017" s="273" t="s">
        <v>777</v>
      </c>
      <c r="AR1017" s="273">
        <v>0</v>
      </c>
      <c r="AS1017" s="273">
        <v>-9999</v>
      </c>
      <c r="AT1017" s="273">
        <v>-9999</v>
      </c>
      <c r="AU1017" s="273">
        <v>0</v>
      </c>
      <c r="AV1017" s="273">
        <v>-9999</v>
      </c>
      <c r="AW1017" s="273">
        <v>-9999</v>
      </c>
      <c r="AX1017" s="273">
        <v>0</v>
      </c>
      <c r="AY1017" s="273">
        <v>-9999</v>
      </c>
      <c r="AZ1017" s="273">
        <v>-9999</v>
      </c>
      <c r="BA1017" s="273">
        <v>-9999</v>
      </c>
      <c r="BB1017" s="273" t="s">
        <v>626</v>
      </c>
      <c r="BC1017" s="273" t="s">
        <v>89</v>
      </c>
      <c r="BD1017" s="273" t="s">
        <v>90</v>
      </c>
      <c r="BE1017" s="273">
        <v>-9999</v>
      </c>
      <c r="BF1017" s="273">
        <v>-9999</v>
      </c>
      <c r="BG1017" s="273">
        <v>-9999</v>
      </c>
      <c r="BH1017" s="273">
        <v>-9999</v>
      </c>
      <c r="BI1017" s="273" t="s">
        <v>1152</v>
      </c>
      <c r="BJ1017" s="273">
        <v>-9999</v>
      </c>
      <c r="BK1017" s="273">
        <v>-9999</v>
      </c>
      <c r="BL1017" s="273">
        <v>6.6</v>
      </c>
      <c r="BM1017" s="273">
        <v>-9999</v>
      </c>
      <c r="BN1017" s="273">
        <v>4.4000000000000004</v>
      </c>
      <c r="BO1017" s="273">
        <v>-9999</v>
      </c>
      <c r="BP1017" s="273">
        <v>-9999</v>
      </c>
      <c r="BQ1017" s="273">
        <v>-9999</v>
      </c>
      <c r="BR1017" s="273">
        <v>-9999</v>
      </c>
      <c r="BS1017" s="468">
        <v>-9999</v>
      </c>
      <c r="BT1017" s="273">
        <v>-9999</v>
      </c>
      <c r="BU1017" s="273">
        <v>-9999</v>
      </c>
      <c r="BV1017" s="273">
        <v>-9999</v>
      </c>
      <c r="BW1017" s="273"/>
      <c r="BX1017" s="273">
        <v>-9999</v>
      </c>
      <c r="BY1017" s="273">
        <v>-9999</v>
      </c>
      <c r="BZ1017" s="273">
        <v>-9999</v>
      </c>
      <c r="CA1017" s="472">
        <v>-9999</v>
      </c>
      <c r="CB1017" s="473" t="s">
        <v>1167</v>
      </c>
      <c r="CC1017" s="462">
        <v>1</v>
      </c>
      <c r="CD1017" s="273">
        <v>4</v>
      </c>
      <c r="CE1017" s="292">
        <v>5.8</v>
      </c>
      <c r="CF1017" s="292">
        <v>-9999</v>
      </c>
      <c r="CG1017" s="93">
        <v>4</v>
      </c>
    </row>
    <row r="1018" spans="1:1873" s="23" customFormat="1" ht="12.6" customHeight="1" x14ac:dyDescent="0.2">
      <c r="A1018" s="273" t="s">
        <v>837</v>
      </c>
      <c r="B1018" s="273" t="s">
        <v>1135</v>
      </c>
      <c r="C1018" s="273" t="s">
        <v>1144</v>
      </c>
      <c r="D1018" s="273" t="s">
        <v>619</v>
      </c>
      <c r="E1018" s="462" t="s">
        <v>1504</v>
      </c>
      <c r="F1018" s="462">
        <v>2</v>
      </c>
      <c r="G1018" s="273">
        <v>4</v>
      </c>
      <c r="H1018" s="468">
        <v>8</v>
      </c>
      <c r="I1018" s="273" t="s">
        <v>842</v>
      </c>
      <c r="J1018" s="273">
        <v>1971</v>
      </c>
      <c r="K1018" s="463" t="s">
        <v>842</v>
      </c>
      <c r="L1018" s="273">
        <v>1979</v>
      </c>
      <c r="M1018" s="414">
        <f>+T1018*G1018</f>
        <v>23.6</v>
      </c>
      <c r="N1018" s="273">
        <v>-9999</v>
      </c>
      <c r="O1018" s="29"/>
      <c r="P1018" s="414">
        <f>+(T1018*G1018)+P1017</f>
        <v>46.8</v>
      </c>
      <c r="Q1018" s="273">
        <v>-9999</v>
      </c>
      <c r="R1018" s="471"/>
      <c r="S1018" s="273"/>
      <c r="T1018" s="471">
        <v>5.9</v>
      </c>
      <c r="U1018" s="273">
        <v>-9999</v>
      </c>
      <c r="V1018" s="273"/>
      <c r="W1018" s="471">
        <v>-9999</v>
      </c>
      <c r="X1018" s="273">
        <v>-9999</v>
      </c>
      <c r="Y1018" s="273"/>
      <c r="Z1018" s="273" t="s">
        <v>91</v>
      </c>
      <c r="AA1018" s="580">
        <v>6719</v>
      </c>
      <c r="AB1018" s="471">
        <v>0.95</v>
      </c>
      <c r="AC1018" s="273">
        <v>-9999</v>
      </c>
      <c r="AD1018" s="273">
        <v>66.400000000000006</v>
      </c>
      <c r="AE1018" s="461" t="s">
        <v>1962</v>
      </c>
      <c r="AF1018" s="273">
        <v>3</v>
      </c>
      <c r="AG1018" s="273" t="s">
        <v>843</v>
      </c>
      <c r="AH1018" s="273" t="s">
        <v>623</v>
      </c>
      <c r="AI1018" s="273" t="s">
        <v>844</v>
      </c>
      <c r="AJ1018" s="273" t="s">
        <v>845</v>
      </c>
      <c r="AK1018" s="273" t="s">
        <v>779</v>
      </c>
      <c r="AL1018" s="273" t="s">
        <v>653</v>
      </c>
      <c r="AM1018" s="273">
        <v>-9999</v>
      </c>
      <c r="AN1018" s="273" t="s">
        <v>777</v>
      </c>
      <c r="AO1018" s="273">
        <v>-9999</v>
      </c>
      <c r="AP1018" s="273">
        <v>-9999</v>
      </c>
      <c r="AQ1018" s="273" t="s">
        <v>777</v>
      </c>
      <c r="AR1018" s="273">
        <v>0</v>
      </c>
      <c r="AS1018" s="273">
        <v>-9999</v>
      </c>
      <c r="AT1018" s="273">
        <v>-9999</v>
      </c>
      <c r="AU1018" s="273">
        <v>0</v>
      </c>
      <c r="AV1018" s="273">
        <v>-9999</v>
      </c>
      <c r="AW1018" s="273">
        <v>-9999</v>
      </c>
      <c r="AX1018" s="273">
        <v>0</v>
      </c>
      <c r="AY1018" s="273">
        <v>-9999</v>
      </c>
      <c r="AZ1018" s="273">
        <v>-9999</v>
      </c>
      <c r="BA1018" s="273">
        <v>-9999</v>
      </c>
      <c r="BB1018" s="273" t="s">
        <v>626</v>
      </c>
      <c r="BC1018" s="273" t="s">
        <v>89</v>
      </c>
      <c r="BD1018" s="273" t="s">
        <v>90</v>
      </c>
      <c r="BE1018" s="273">
        <v>-9999</v>
      </c>
      <c r="BF1018" s="273">
        <v>-9999</v>
      </c>
      <c r="BG1018" s="273">
        <v>-9999</v>
      </c>
      <c r="BH1018" s="273">
        <v>-9999</v>
      </c>
      <c r="BI1018" s="273" t="s">
        <v>1152</v>
      </c>
      <c r="BJ1018" s="273">
        <v>-9999</v>
      </c>
      <c r="BK1018" s="273">
        <v>-9999</v>
      </c>
      <c r="BL1018" s="273">
        <v>6.4</v>
      </c>
      <c r="BM1018" s="273">
        <v>-9999</v>
      </c>
      <c r="BN1018" s="273">
        <v>3.7</v>
      </c>
      <c r="BO1018" s="273">
        <v>-9999</v>
      </c>
      <c r="BP1018" s="273">
        <v>-9999</v>
      </c>
      <c r="BQ1018" s="273">
        <v>-9999</v>
      </c>
      <c r="BR1018" s="273">
        <v>-9999</v>
      </c>
      <c r="BS1018" s="468">
        <v>-9999</v>
      </c>
      <c r="BT1018" s="273">
        <v>-9999</v>
      </c>
      <c r="BU1018" s="273">
        <v>-9999</v>
      </c>
      <c r="BV1018" s="273">
        <v>-9999</v>
      </c>
      <c r="BW1018" s="273"/>
      <c r="BX1018" s="273">
        <v>-9999</v>
      </c>
      <c r="BY1018" s="273">
        <v>-9999</v>
      </c>
      <c r="BZ1018" s="273">
        <v>-9999</v>
      </c>
      <c r="CA1018" s="472">
        <v>-9999</v>
      </c>
      <c r="CB1018" s="473" t="s">
        <v>1167</v>
      </c>
      <c r="CC1018" s="462">
        <v>2</v>
      </c>
      <c r="CD1018" s="273">
        <v>4</v>
      </c>
      <c r="CE1018" s="292">
        <v>5.9</v>
      </c>
      <c r="CF1018" s="292">
        <v>-9999</v>
      </c>
      <c r="CG1018" s="93">
        <v>8</v>
      </c>
    </row>
    <row r="1019" spans="1:1873" s="207" customFormat="1" ht="12.6" customHeight="1" x14ac:dyDescent="0.2">
      <c r="A1019" s="461" t="s">
        <v>837</v>
      </c>
      <c r="B1019" s="273" t="s">
        <v>1135</v>
      </c>
      <c r="C1019" s="273" t="s">
        <v>1160</v>
      </c>
      <c r="D1019" s="273" t="s">
        <v>619</v>
      </c>
      <c r="E1019" s="462" t="s">
        <v>1504</v>
      </c>
      <c r="F1019" s="462">
        <v>1</v>
      </c>
      <c r="G1019" s="273">
        <v>8</v>
      </c>
      <c r="H1019" s="468">
        <v>8</v>
      </c>
      <c r="I1019" s="273" t="s">
        <v>842</v>
      </c>
      <c r="J1019" s="273">
        <v>1971</v>
      </c>
      <c r="K1019" s="463" t="s">
        <v>842</v>
      </c>
      <c r="L1019" s="273">
        <v>1979</v>
      </c>
      <c r="M1019" s="414">
        <f>+T1019*G1019</f>
        <v>52.8</v>
      </c>
      <c r="N1019" s="273">
        <v>-9999</v>
      </c>
      <c r="O1019" s="29"/>
      <c r="P1019" s="414">
        <f>+(T1019*G1019)+P1018</f>
        <v>99.6</v>
      </c>
      <c r="Q1019" s="273">
        <v>-9999</v>
      </c>
      <c r="R1019" s="471"/>
      <c r="S1019" s="273"/>
      <c r="T1019" s="471">
        <v>6.6</v>
      </c>
      <c r="U1019" s="273">
        <v>-9999</v>
      </c>
      <c r="V1019" s="273"/>
      <c r="W1019" s="471">
        <v>-9999</v>
      </c>
      <c r="X1019" s="273">
        <v>-9999</v>
      </c>
      <c r="Y1019" s="273"/>
      <c r="Z1019" s="273" t="s">
        <v>91</v>
      </c>
      <c r="AA1019" s="580">
        <v>6719</v>
      </c>
      <c r="AB1019" s="471">
        <v>0.95</v>
      </c>
      <c r="AC1019" s="273">
        <v>-9999</v>
      </c>
      <c r="AD1019" s="273">
        <v>66.400000000000006</v>
      </c>
      <c r="AE1019" s="461" t="s">
        <v>1962</v>
      </c>
      <c r="AF1019" s="273">
        <v>3</v>
      </c>
      <c r="AG1019" s="273" t="s">
        <v>843</v>
      </c>
      <c r="AH1019" s="273" t="s">
        <v>623</v>
      </c>
      <c r="AI1019" s="273" t="s">
        <v>844</v>
      </c>
      <c r="AJ1019" s="273" t="s">
        <v>845</v>
      </c>
      <c r="AK1019" s="273" t="s">
        <v>779</v>
      </c>
      <c r="AL1019" s="273" t="s">
        <v>653</v>
      </c>
      <c r="AM1019" s="273">
        <v>-9999</v>
      </c>
      <c r="AN1019" s="273" t="s">
        <v>777</v>
      </c>
      <c r="AO1019" s="273">
        <v>-9999</v>
      </c>
      <c r="AP1019" s="273">
        <v>-9999</v>
      </c>
      <c r="AQ1019" s="273" t="s">
        <v>777</v>
      </c>
      <c r="AR1019" s="273">
        <v>0</v>
      </c>
      <c r="AS1019" s="273">
        <v>-9999</v>
      </c>
      <c r="AT1019" s="273">
        <v>-9999</v>
      </c>
      <c r="AU1019" s="273">
        <v>0</v>
      </c>
      <c r="AV1019" s="273">
        <v>-9999</v>
      </c>
      <c r="AW1019" s="273">
        <v>-9999</v>
      </c>
      <c r="AX1019" s="273">
        <v>0</v>
      </c>
      <c r="AY1019" s="273">
        <v>-9999</v>
      </c>
      <c r="AZ1019" s="273">
        <v>-9999</v>
      </c>
      <c r="BA1019" s="273">
        <v>-9999</v>
      </c>
      <c r="BB1019" s="273" t="s">
        <v>626</v>
      </c>
      <c r="BC1019" s="273" t="s">
        <v>89</v>
      </c>
      <c r="BD1019" s="273" t="s">
        <v>90</v>
      </c>
      <c r="BE1019" s="273">
        <v>-9999</v>
      </c>
      <c r="BF1019" s="273">
        <v>-9999</v>
      </c>
      <c r="BG1019" s="273">
        <v>-9999</v>
      </c>
      <c r="BH1019" s="273">
        <v>-9999</v>
      </c>
      <c r="BI1019" s="273" t="s">
        <v>1152</v>
      </c>
      <c r="BJ1019" s="273">
        <v>-9999</v>
      </c>
      <c r="BK1019" s="273">
        <v>-9999</v>
      </c>
      <c r="BL1019" s="273">
        <v>10.9</v>
      </c>
      <c r="BM1019" s="273">
        <v>-9999</v>
      </c>
      <c r="BN1019" s="273">
        <v>6.9</v>
      </c>
      <c r="BO1019" s="273">
        <v>-9999</v>
      </c>
      <c r="BP1019" s="273">
        <v>-9999</v>
      </c>
      <c r="BQ1019" s="273">
        <v>-9999</v>
      </c>
      <c r="BR1019" s="273">
        <v>-9999</v>
      </c>
      <c r="BS1019" s="468">
        <v>-9999</v>
      </c>
      <c r="BT1019" s="273">
        <v>-9999</v>
      </c>
      <c r="BU1019" s="273">
        <v>-9999</v>
      </c>
      <c r="BV1019" s="273">
        <v>-9999</v>
      </c>
      <c r="BW1019" s="273"/>
      <c r="BX1019" s="273">
        <v>-9999</v>
      </c>
      <c r="BY1019" s="273">
        <v>-9999</v>
      </c>
      <c r="BZ1019" s="273">
        <v>-9999</v>
      </c>
      <c r="CA1019" s="472">
        <v>-9999</v>
      </c>
      <c r="CB1019" s="473" t="s">
        <v>1167</v>
      </c>
      <c r="CC1019" s="462">
        <v>1</v>
      </c>
      <c r="CD1019" s="273">
        <v>8</v>
      </c>
      <c r="CE1019" s="292">
        <v>6.6</v>
      </c>
      <c r="CF1019" s="292">
        <v>-9999</v>
      </c>
      <c r="CG1019" s="206">
        <v>8</v>
      </c>
      <c r="CH1019" s="301" t="s">
        <v>1757</v>
      </c>
      <c r="CI1019" s="23"/>
      <c r="CJ1019" s="23"/>
      <c r="CK1019" s="23"/>
      <c r="CL1019" s="23"/>
      <c r="CM1019" s="23"/>
      <c r="CN1019" s="23"/>
      <c r="CO1019" s="23"/>
      <c r="CP1019" s="23"/>
      <c r="CQ1019" s="23"/>
      <c r="CR1019" s="23"/>
      <c r="CS1019" s="23"/>
      <c r="CT1019" s="23"/>
      <c r="CU1019" s="23"/>
      <c r="CV1019" s="23"/>
      <c r="CW1019" s="23"/>
      <c r="CX1019" s="23"/>
      <c r="CY1019" s="23"/>
      <c r="CZ1019" s="23"/>
      <c r="DA1019" s="23"/>
      <c r="DB1019" s="23"/>
      <c r="DC1019" s="23"/>
      <c r="DD1019" s="23"/>
      <c r="DE1019" s="23"/>
      <c r="DF1019" s="23"/>
      <c r="DG1019" s="23"/>
      <c r="DH1019" s="23"/>
      <c r="DI1019" s="23"/>
      <c r="DJ1019" s="23"/>
      <c r="DK1019" s="23"/>
      <c r="DL1019" s="23"/>
      <c r="DM1019" s="23"/>
      <c r="DN1019" s="23"/>
      <c r="DO1019" s="23"/>
      <c r="DP1019" s="23"/>
      <c r="DQ1019" s="23"/>
      <c r="DR1019" s="23"/>
      <c r="DS1019" s="23"/>
      <c r="DT1019" s="23"/>
      <c r="DU1019" s="23"/>
      <c r="DV1019" s="23"/>
      <c r="DW1019" s="23"/>
      <c r="DX1019" s="23"/>
      <c r="DY1019" s="23"/>
      <c r="DZ1019" s="23"/>
      <c r="EA1019" s="23"/>
      <c r="EB1019" s="23"/>
      <c r="EC1019" s="23"/>
      <c r="ED1019" s="23"/>
      <c r="EE1019" s="23"/>
      <c r="EF1019" s="23"/>
      <c r="EG1019" s="23"/>
      <c r="EH1019" s="23"/>
      <c r="EI1019" s="23"/>
      <c r="EJ1019" s="23"/>
      <c r="EK1019" s="23"/>
      <c r="EL1019" s="23"/>
      <c r="EM1019" s="23"/>
      <c r="EN1019" s="23"/>
      <c r="EO1019" s="23"/>
      <c r="EP1019" s="23"/>
      <c r="EQ1019" s="23"/>
      <c r="ER1019" s="23"/>
      <c r="ES1019" s="23"/>
      <c r="ET1019" s="23"/>
      <c r="EU1019" s="23"/>
      <c r="EV1019" s="23"/>
      <c r="EW1019" s="23"/>
      <c r="EX1019" s="23"/>
      <c r="EY1019" s="23"/>
      <c r="EZ1019" s="23"/>
      <c r="FA1019" s="23"/>
      <c r="FB1019" s="23"/>
      <c r="FC1019" s="23"/>
      <c r="FD1019" s="23"/>
      <c r="FE1019" s="23"/>
      <c r="FF1019" s="23"/>
      <c r="FG1019" s="23"/>
      <c r="FH1019" s="23"/>
      <c r="FI1019" s="23"/>
      <c r="FJ1019" s="23"/>
      <c r="FK1019" s="23"/>
      <c r="FL1019" s="23"/>
      <c r="FM1019" s="23"/>
      <c r="FN1019" s="23"/>
      <c r="FO1019" s="23"/>
      <c r="FP1019" s="23"/>
      <c r="FQ1019" s="23"/>
      <c r="FR1019" s="23"/>
      <c r="FS1019" s="23"/>
      <c r="FT1019" s="23"/>
      <c r="FU1019" s="23"/>
      <c r="FV1019" s="23"/>
      <c r="FW1019" s="23"/>
      <c r="FX1019" s="23"/>
      <c r="FY1019" s="23"/>
      <c r="FZ1019" s="23"/>
      <c r="GA1019" s="23"/>
      <c r="GB1019" s="23"/>
      <c r="GC1019" s="23"/>
      <c r="GD1019" s="23"/>
      <c r="GE1019" s="23"/>
      <c r="GF1019" s="23"/>
      <c r="GG1019" s="23"/>
      <c r="GH1019" s="23"/>
      <c r="GI1019" s="23"/>
      <c r="GJ1019" s="23"/>
      <c r="GK1019" s="23"/>
      <c r="GL1019" s="23"/>
      <c r="GM1019" s="23"/>
      <c r="GN1019" s="23"/>
      <c r="GO1019" s="23"/>
      <c r="GP1019" s="23"/>
      <c r="GQ1019" s="23"/>
      <c r="GR1019" s="23"/>
      <c r="GS1019" s="23"/>
      <c r="GT1019" s="23"/>
      <c r="GU1019" s="23"/>
      <c r="GV1019" s="23"/>
      <c r="GW1019" s="23"/>
      <c r="GX1019" s="23"/>
      <c r="GY1019" s="23"/>
      <c r="GZ1019" s="23"/>
      <c r="HA1019" s="23"/>
      <c r="HB1019" s="23"/>
      <c r="HC1019" s="23"/>
      <c r="HD1019" s="23"/>
      <c r="HE1019" s="23"/>
      <c r="HF1019" s="23"/>
      <c r="HG1019" s="23"/>
      <c r="HH1019" s="23"/>
      <c r="HI1019" s="23"/>
      <c r="HJ1019" s="23"/>
      <c r="HK1019" s="23"/>
      <c r="HL1019" s="23"/>
      <c r="HM1019" s="23"/>
      <c r="HN1019" s="23"/>
      <c r="HO1019" s="23"/>
      <c r="HP1019" s="23"/>
      <c r="HQ1019" s="23"/>
      <c r="HR1019" s="23"/>
      <c r="HS1019" s="23"/>
      <c r="HT1019" s="23"/>
      <c r="HU1019" s="23"/>
      <c r="HV1019" s="23"/>
      <c r="HW1019" s="23"/>
      <c r="HX1019" s="23"/>
      <c r="HY1019" s="23"/>
      <c r="HZ1019" s="23"/>
      <c r="IA1019" s="23"/>
      <c r="IB1019" s="23"/>
      <c r="IC1019" s="23"/>
      <c r="ID1019" s="23"/>
      <c r="IE1019" s="23"/>
      <c r="IF1019" s="23"/>
      <c r="IG1019" s="23"/>
      <c r="IH1019" s="23"/>
      <c r="II1019" s="23"/>
      <c r="IJ1019" s="23"/>
      <c r="IK1019" s="23"/>
      <c r="IL1019" s="23"/>
      <c r="IM1019" s="23"/>
      <c r="IN1019" s="23"/>
      <c r="IO1019" s="23"/>
      <c r="IP1019" s="23"/>
      <c r="IQ1019" s="23"/>
      <c r="IR1019" s="23"/>
      <c r="IS1019" s="23"/>
      <c r="IT1019" s="23"/>
      <c r="IU1019" s="23"/>
      <c r="IV1019" s="23"/>
      <c r="IW1019" s="23"/>
      <c r="IX1019" s="23"/>
      <c r="IY1019" s="23"/>
      <c r="IZ1019" s="23"/>
      <c r="JA1019" s="23"/>
      <c r="JB1019" s="23"/>
      <c r="JC1019" s="23"/>
      <c r="JD1019" s="23"/>
      <c r="JE1019" s="23"/>
      <c r="JF1019" s="23"/>
      <c r="JG1019" s="23"/>
      <c r="JH1019" s="23"/>
      <c r="JI1019" s="23"/>
      <c r="JJ1019" s="23"/>
      <c r="JK1019" s="23"/>
      <c r="JL1019" s="23"/>
      <c r="JM1019" s="23"/>
      <c r="JN1019" s="23"/>
      <c r="JO1019" s="23"/>
      <c r="JP1019" s="23"/>
      <c r="JQ1019" s="23"/>
      <c r="JR1019" s="23"/>
      <c r="JS1019" s="23"/>
      <c r="JT1019" s="23"/>
      <c r="JU1019" s="23"/>
      <c r="JV1019" s="23"/>
      <c r="JW1019" s="23"/>
      <c r="JX1019" s="23"/>
      <c r="JY1019" s="23"/>
      <c r="JZ1019" s="23"/>
      <c r="KA1019" s="23"/>
      <c r="KB1019" s="23"/>
      <c r="KC1019" s="23"/>
      <c r="KD1019" s="23"/>
      <c r="KE1019" s="23"/>
      <c r="KF1019" s="23"/>
      <c r="KG1019" s="23"/>
      <c r="KH1019" s="23"/>
      <c r="KI1019" s="23"/>
      <c r="KJ1019" s="23"/>
      <c r="KK1019" s="23"/>
      <c r="KL1019" s="23"/>
      <c r="KM1019" s="23"/>
      <c r="KN1019" s="23"/>
      <c r="KO1019" s="23"/>
      <c r="KP1019" s="23"/>
      <c r="KQ1019" s="23"/>
      <c r="KR1019" s="23"/>
      <c r="KS1019" s="23"/>
      <c r="KT1019" s="23"/>
      <c r="KU1019" s="23"/>
      <c r="KV1019" s="23"/>
      <c r="KW1019" s="23"/>
      <c r="KX1019" s="23"/>
      <c r="KY1019" s="23"/>
      <c r="KZ1019" s="23"/>
      <c r="LA1019" s="23"/>
      <c r="LB1019" s="23"/>
      <c r="LC1019" s="23"/>
      <c r="LD1019" s="23"/>
      <c r="LE1019" s="23"/>
      <c r="LF1019" s="23"/>
      <c r="LG1019" s="23"/>
      <c r="LH1019" s="23"/>
      <c r="LI1019" s="23"/>
      <c r="LJ1019" s="23"/>
      <c r="LK1019" s="23"/>
      <c r="LL1019" s="23"/>
      <c r="LM1019" s="23"/>
      <c r="LN1019" s="23"/>
      <c r="LO1019" s="23"/>
      <c r="LP1019" s="23"/>
      <c r="LQ1019" s="23"/>
      <c r="LR1019" s="23"/>
      <c r="LS1019" s="23"/>
      <c r="LT1019" s="23"/>
      <c r="LU1019" s="23"/>
      <c r="LV1019" s="23"/>
      <c r="LW1019" s="23"/>
      <c r="LX1019" s="23"/>
      <c r="LY1019" s="23"/>
      <c r="LZ1019" s="23"/>
      <c r="MA1019" s="23"/>
      <c r="MB1019" s="23"/>
      <c r="MC1019" s="23"/>
      <c r="MD1019" s="23"/>
      <c r="ME1019" s="23"/>
      <c r="MF1019" s="23"/>
      <c r="MG1019" s="23"/>
      <c r="MH1019" s="23"/>
      <c r="MI1019" s="23"/>
      <c r="MJ1019" s="23"/>
      <c r="MK1019" s="23"/>
      <c r="ML1019" s="23"/>
      <c r="MM1019" s="23"/>
      <c r="MN1019" s="23"/>
      <c r="MO1019" s="23"/>
      <c r="MP1019" s="23"/>
      <c r="MQ1019" s="23"/>
      <c r="MR1019" s="23"/>
      <c r="MS1019" s="23"/>
      <c r="MT1019" s="23"/>
      <c r="MU1019" s="23"/>
      <c r="MV1019" s="23"/>
      <c r="MW1019" s="23"/>
      <c r="MX1019" s="23"/>
      <c r="MY1019" s="23"/>
      <c r="MZ1019" s="23"/>
      <c r="NA1019" s="23"/>
      <c r="NB1019" s="23"/>
      <c r="NC1019" s="23"/>
      <c r="ND1019" s="23"/>
      <c r="NE1019" s="23"/>
      <c r="NF1019" s="23"/>
      <c r="NG1019" s="23"/>
      <c r="NH1019" s="23"/>
      <c r="NI1019" s="23"/>
      <c r="NJ1019" s="23"/>
      <c r="NK1019" s="23"/>
      <c r="NL1019" s="23"/>
      <c r="NM1019" s="23"/>
      <c r="NN1019" s="23"/>
      <c r="NO1019" s="23"/>
      <c r="NP1019" s="23"/>
      <c r="NQ1019" s="23"/>
      <c r="NR1019" s="23"/>
      <c r="NS1019" s="23"/>
      <c r="NT1019" s="23"/>
      <c r="NU1019" s="23"/>
      <c r="NV1019" s="23"/>
      <c r="NW1019" s="23"/>
      <c r="NX1019" s="23"/>
      <c r="NY1019" s="23"/>
      <c r="NZ1019" s="23"/>
      <c r="OA1019" s="23"/>
      <c r="OB1019" s="23"/>
      <c r="OC1019" s="23"/>
      <c r="OD1019" s="23"/>
      <c r="OE1019" s="23"/>
      <c r="OF1019" s="23"/>
      <c r="OG1019" s="23"/>
      <c r="OH1019" s="23"/>
      <c r="OI1019" s="23"/>
      <c r="OJ1019" s="23"/>
      <c r="OK1019" s="23"/>
      <c r="OL1019" s="23"/>
      <c r="OM1019" s="23"/>
      <c r="ON1019" s="23"/>
      <c r="OO1019" s="23"/>
      <c r="OP1019" s="23"/>
      <c r="OQ1019" s="23"/>
      <c r="OR1019" s="23"/>
      <c r="OS1019" s="23"/>
      <c r="OT1019" s="23"/>
      <c r="OU1019" s="23"/>
      <c r="OV1019" s="23"/>
      <c r="OW1019" s="23"/>
      <c r="OX1019" s="23"/>
      <c r="OY1019" s="23"/>
      <c r="OZ1019" s="23"/>
      <c r="PA1019" s="23"/>
      <c r="PB1019" s="23"/>
      <c r="PC1019" s="23"/>
      <c r="PD1019" s="23"/>
      <c r="PE1019" s="23"/>
      <c r="PF1019" s="23"/>
      <c r="PG1019" s="23"/>
      <c r="PH1019" s="23"/>
      <c r="PI1019" s="23"/>
      <c r="PJ1019" s="23"/>
      <c r="PK1019" s="23"/>
      <c r="PL1019" s="23"/>
      <c r="PM1019" s="23"/>
      <c r="PN1019" s="23"/>
      <c r="PO1019" s="23"/>
      <c r="PP1019" s="23"/>
      <c r="PQ1019" s="23"/>
      <c r="PR1019" s="23"/>
      <c r="PS1019" s="23"/>
      <c r="PT1019" s="23"/>
      <c r="PU1019" s="23"/>
      <c r="PV1019" s="23"/>
      <c r="PW1019" s="23"/>
      <c r="PX1019" s="23"/>
      <c r="PY1019" s="23"/>
      <c r="PZ1019" s="23"/>
      <c r="QA1019" s="23"/>
      <c r="QB1019" s="23"/>
      <c r="QC1019" s="23"/>
      <c r="QD1019" s="23"/>
      <c r="QE1019" s="23"/>
      <c r="QF1019" s="23"/>
      <c r="QG1019" s="23"/>
      <c r="QH1019" s="23"/>
      <c r="QI1019" s="23"/>
      <c r="QJ1019" s="23"/>
      <c r="QK1019" s="23"/>
      <c r="QL1019" s="23"/>
      <c r="QM1019" s="23"/>
      <c r="QN1019" s="23"/>
      <c r="QO1019" s="23"/>
      <c r="QP1019" s="23"/>
      <c r="QQ1019" s="23"/>
      <c r="QR1019" s="23"/>
      <c r="QS1019" s="23"/>
      <c r="QT1019" s="23"/>
      <c r="QU1019" s="23"/>
      <c r="QV1019" s="23"/>
      <c r="QW1019" s="23"/>
      <c r="QX1019" s="23"/>
      <c r="QY1019" s="23"/>
      <c r="QZ1019" s="23"/>
      <c r="RA1019" s="23"/>
      <c r="RB1019" s="23"/>
      <c r="RC1019" s="23"/>
      <c r="RD1019" s="23"/>
      <c r="RE1019" s="23"/>
      <c r="RF1019" s="23"/>
      <c r="RG1019" s="23"/>
      <c r="RH1019" s="23"/>
      <c r="RI1019" s="23"/>
      <c r="RJ1019" s="23"/>
      <c r="RK1019" s="23"/>
      <c r="RL1019" s="23"/>
      <c r="RM1019" s="23"/>
      <c r="RN1019" s="23"/>
      <c r="RO1019" s="23"/>
      <c r="RP1019" s="23"/>
      <c r="RQ1019" s="23"/>
      <c r="RR1019" s="23"/>
      <c r="RS1019" s="23"/>
      <c r="RT1019" s="23"/>
      <c r="RU1019" s="23"/>
      <c r="RV1019" s="23"/>
      <c r="RW1019" s="23"/>
      <c r="RX1019" s="23"/>
      <c r="RY1019" s="23"/>
      <c r="RZ1019" s="23"/>
      <c r="SA1019" s="23"/>
      <c r="SB1019" s="23"/>
      <c r="SC1019" s="23"/>
      <c r="SD1019" s="23"/>
      <c r="SE1019" s="23"/>
      <c r="SF1019" s="23"/>
      <c r="SG1019" s="23"/>
      <c r="SH1019" s="23"/>
      <c r="SI1019" s="23"/>
      <c r="SJ1019" s="23"/>
      <c r="SK1019" s="23"/>
      <c r="SL1019" s="23"/>
      <c r="SM1019" s="23"/>
      <c r="SN1019" s="23"/>
      <c r="SO1019" s="23"/>
      <c r="SP1019" s="23"/>
      <c r="SQ1019" s="23"/>
      <c r="SR1019" s="23"/>
      <c r="SS1019" s="23"/>
      <c r="ST1019" s="23"/>
      <c r="SU1019" s="23"/>
      <c r="SV1019" s="23"/>
      <c r="SW1019" s="23"/>
      <c r="SX1019" s="23"/>
      <c r="SY1019" s="23"/>
      <c r="SZ1019" s="23"/>
      <c r="TA1019" s="23"/>
      <c r="TB1019" s="23"/>
      <c r="TC1019" s="23"/>
      <c r="TD1019" s="23"/>
      <c r="TE1019" s="23"/>
      <c r="TF1019" s="23"/>
      <c r="TG1019" s="23"/>
      <c r="TH1019" s="23"/>
      <c r="TI1019" s="23"/>
      <c r="TJ1019" s="23"/>
      <c r="TK1019" s="23"/>
      <c r="TL1019" s="23"/>
      <c r="TM1019" s="23"/>
      <c r="TN1019" s="23"/>
      <c r="TO1019" s="23"/>
      <c r="TP1019" s="23"/>
      <c r="TQ1019" s="23"/>
      <c r="TR1019" s="23"/>
      <c r="TS1019" s="23"/>
      <c r="TT1019" s="23"/>
      <c r="TU1019" s="23"/>
      <c r="TV1019" s="23"/>
      <c r="TW1019" s="23"/>
      <c r="TX1019" s="23"/>
      <c r="TY1019" s="23"/>
      <c r="TZ1019" s="23"/>
      <c r="UA1019" s="23"/>
      <c r="UB1019" s="23"/>
      <c r="UC1019" s="23"/>
      <c r="UD1019" s="23"/>
      <c r="UE1019" s="23"/>
      <c r="UF1019" s="23"/>
      <c r="UG1019" s="23"/>
      <c r="UH1019" s="23"/>
      <c r="UI1019" s="23"/>
      <c r="UJ1019" s="23"/>
      <c r="UK1019" s="23"/>
      <c r="UL1019" s="23"/>
      <c r="UM1019" s="23"/>
      <c r="UN1019" s="23"/>
      <c r="UO1019" s="23"/>
      <c r="UP1019" s="23"/>
      <c r="UQ1019" s="23"/>
      <c r="UR1019" s="23"/>
      <c r="US1019" s="23"/>
      <c r="UT1019" s="23"/>
      <c r="UU1019" s="23"/>
      <c r="UV1019" s="23"/>
      <c r="UW1019" s="23"/>
      <c r="UX1019" s="23"/>
      <c r="UY1019" s="23"/>
      <c r="UZ1019" s="23"/>
      <c r="VA1019" s="23"/>
      <c r="VB1019" s="23"/>
      <c r="VC1019" s="23"/>
      <c r="VD1019" s="23"/>
      <c r="VE1019" s="23"/>
      <c r="VF1019" s="23"/>
      <c r="VG1019" s="23"/>
      <c r="VH1019" s="23"/>
      <c r="VI1019" s="23"/>
      <c r="VJ1019" s="23"/>
      <c r="VK1019" s="23"/>
      <c r="VL1019" s="23"/>
      <c r="VM1019" s="23"/>
      <c r="VN1019" s="23"/>
      <c r="VO1019" s="23"/>
      <c r="VP1019" s="23"/>
      <c r="VQ1019" s="23"/>
      <c r="VR1019" s="23"/>
      <c r="VS1019" s="23"/>
      <c r="VT1019" s="23"/>
      <c r="VU1019" s="23"/>
      <c r="VV1019" s="23"/>
      <c r="VW1019" s="23"/>
      <c r="VX1019" s="23"/>
      <c r="VY1019" s="23"/>
      <c r="VZ1019" s="23"/>
      <c r="WA1019" s="23"/>
      <c r="WB1019" s="23"/>
      <c r="WC1019" s="23"/>
      <c r="WD1019" s="23"/>
      <c r="WE1019" s="23"/>
      <c r="WF1019" s="23"/>
      <c r="WG1019" s="23"/>
      <c r="WH1019" s="23"/>
      <c r="WI1019" s="23"/>
      <c r="WJ1019" s="23"/>
      <c r="WK1019" s="23"/>
      <c r="WL1019" s="23"/>
      <c r="WM1019" s="23"/>
      <c r="WN1019" s="23"/>
      <c r="WO1019" s="23"/>
      <c r="WP1019" s="23"/>
      <c r="WQ1019" s="23"/>
      <c r="WR1019" s="23"/>
      <c r="WS1019" s="23"/>
      <c r="WT1019" s="23"/>
      <c r="WU1019" s="23"/>
      <c r="WV1019" s="23"/>
      <c r="WW1019" s="23"/>
      <c r="WX1019" s="23"/>
      <c r="WY1019" s="23"/>
      <c r="WZ1019" s="23"/>
      <c r="XA1019" s="23"/>
      <c r="XB1019" s="23"/>
      <c r="XC1019" s="23"/>
      <c r="XD1019" s="23"/>
      <c r="XE1019" s="23"/>
      <c r="XF1019" s="23"/>
      <c r="XG1019" s="23"/>
      <c r="XH1019" s="23"/>
      <c r="XI1019" s="23"/>
      <c r="XJ1019" s="23"/>
      <c r="XK1019" s="23"/>
      <c r="XL1019" s="23"/>
      <c r="XM1019" s="23"/>
      <c r="XN1019" s="23"/>
      <c r="XO1019" s="23"/>
      <c r="XP1019" s="23"/>
      <c r="XQ1019" s="23"/>
      <c r="XR1019" s="23"/>
      <c r="XS1019" s="23"/>
      <c r="XT1019" s="23"/>
      <c r="XU1019" s="23"/>
      <c r="XV1019" s="23"/>
      <c r="XW1019" s="23"/>
      <c r="XX1019" s="23"/>
      <c r="XY1019" s="23"/>
      <c r="XZ1019" s="23"/>
      <c r="YA1019" s="23"/>
      <c r="YB1019" s="23"/>
      <c r="YC1019" s="23"/>
      <c r="YD1019" s="23"/>
      <c r="YE1019" s="23"/>
      <c r="YF1019" s="23"/>
      <c r="YG1019" s="23"/>
      <c r="YH1019" s="23"/>
      <c r="YI1019" s="23"/>
      <c r="YJ1019" s="23"/>
      <c r="YK1019" s="23"/>
      <c r="YL1019" s="23"/>
      <c r="YM1019" s="23"/>
      <c r="YN1019" s="23"/>
      <c r="YO1019" s="23"/>
      <c r="YP1019" s="23"/>
      <c r="YQ1019" s="23"/>
      <c r="YR1019" s="23"/>
      <c r="YS1019" s="23"/>
      <c r="YT1019" s="23"/>
      <c r="YU1019" s="23"/>
      <c r="YV1019" s="23"/>
      <c r="YW1019" s="23"/>
      <c r="YX1019" s="23"/>
      <c r="YY1019" s="23"/>
      <c r="YZ1019" s="23"/>
      <c r="ZA1019" s="23"/>
      <c r="ZB1019" s="23"/>
      <c r="ZC1019" s="23"/>
      <c r="ZD1019" s="23"/>
      <c r="ZE1019" s="23"/>
      <c r="ZF1019" s="23"/>
      <c r="ZG1019" s="23"/>
      <c r="ZH1019" s="23"/>
      <c r="ZI1019" s="23"/>
      <c r="ZJ1019" s="23"/>
      <c r="ZK1019" s="23"/>
      <c r="ZL1019" s="23"/>
      <c r="ZM1019" s="23"/>
      <c r="ZN1019" s="23"/>
      <c r="ZO1019" s="23"/>
      <c r="ZP1019" s="23"/>
      <c r="ZQ1019" s="23"/>
      <c r="ZR1019" s="23"/>
      <c r="ZS1019" s="23"/>
      <c r="ZT1019" s="23"/>
      <c r="ZU1019" s="23"/>
      <c r="ZV1019" s="23"/>
      <c r="ZW1019" s="23"/>
      <c r="ZX1019" s="23"/>
      <c r="ZY1019" s="23"/>
      <c r="ZZ1019" s="23"/>
      <c r="AAA1019" s="23"/>
      <c r="AAB1019" s="23"/>
      <c r="AAC1019" s="23"/>
      <c r="AAD1019" s="23"/>
      <c r="AAE1019" s="23"/>
      <c r="AAF1019" s="23"/>
      <c r="AAG1019" s="23"/>
      <c r="AAH1019" s="23"/>
      <c r="AAI1019" s="23"/>
      <c r="AAJ1019" s="23"/>
      <c r="AAK1019" s="23"/>
      <c r="AAL1019" s="23"/>
      <c r="AAM1019" s="23"/>
      <c r="AAN1019" s="23"/>
      <c r="AAO1019" s="23"/>
      <c r="AAP1019" s="23"/>
      <c r="AAQ1019" s="23"/>
      <c r="AAR1019" s="23"/>
      <c r="AAS1019" s="23"/>
      <c r="AAT1019" s="23"/>
      <c r="AAU1019" s="23"/>
      <c r="AAV1019" s="23"/>
      <c r="AAW1019" s="23"/>
      <c r="AAX1019" s="23"/>
      <c r="AAY1019" s="23"/>
      <c r="AAZ1019" s="23"/>
      <c r="ABA1019" s="23"/>
      <c r="ABB1019" s="23"/>
      <c r="ABC1019" s="23"/>
      <c r="ABD1019" s="23"/>
      <c r="ABE1019" s="23"/>
      <c r="ABF1019" s="23"/>
      <c r="ABG1019" s="23"/>
      <c r="ABH1019" s="23"/>
      <c r="ABI1019" s="23"/>
      <c r="ABJ1019" s="23"/>
      <c r="ABK1019" s="23"/>
      <c r="ABL1019" s="23"/>
      <c r="ABM1019" s="23"/>
      <c r="ABN1019" s="23"/>
      <c r="ABO1019" s="23"/>
      <c r="ABP1019" s="23"/>
      <c r="ABQ1019" s="23"/>
      <c r="ABR1019" s="23"/>
      <c r="ABS1019" s="23"/>
      <c r="ABT1019" s="23"/>
      <c r="ABU1019" s="23"/>
      <c r="ABV1019" s="23"/>
      <c r="ABW1019" s="23"/>
      <c r="ABX1019" s="23"/>
      <c r="ABY1019" s="23"/>
      <c r="ABZ1019" s="23"/>
      <c r="ACA1019" s="23"/>
      <c r="ACB1019" s="23"/>
      <c r="ACC1019" s="23"/>
      <c r="ACD1019" s="23"/>
      <c r="ACE1019" s="23"/>
      <c r="ACF1019" s="23"/>
      <c r="ACG1019" s="23"/>
      <c r="ACH1019" s="23"/>
      <c r="ACI1019" s="23"/>
      <c r="ACJ1019" s="23"/>
      <c r="ACK1019" s="23"/>
      <c r="ACL1019" s="23"/>
      <c r="ACM1019" s="23"/>
      <c r="ACN1019" s="23"/>
      <c r="ACO1019" s="23"/>
      <c r="ACP1019" s="23"/>
      <c r="ACQ1019" s="23"/>
      <c r="ACR1019" s="23"/>
      <c r="ACS1019" s="23"/>
      <c r="ACT1019" s="23"/>
      <c r="ACU1019" s="23"/>
      <c r="ACV1019" s="23"/>
      <c r="ACW1019" s="23"/>
      <c r="ACX1019" s="23"/>
      <c r="ACY1019" s="23"/>
      <c r="ACZ1019" s="23"/>
      <c r="ADA1019" s="23"/>
      <c r="ADB1019" s="23"/>
      <c r="ADC1019" s="23"/>
      <c r="ADD1019" s="23"/>
      <c r="ADE1019" s="23"/>
      <c r="ADF1019" s="23"/>
      <c r="ADG1019" s="23"/>
      <c r="ADH1019" s="23"/>
      <c r="ADI1019" s="23"/>
      <c r="ADJ1019" s="23"/>
      <c r="ADK1019" s="23"/>
      <c r="ADL1019" s="23"/>
      <c r="ADM1019" s="23"/>
      <c r="ADN1019" s="23"/>
      <c r="ADO1019" s="23"/>
      <c r="ADP1019" s="23"/>
      <c r="ADQ1019" s="23"/>
      <c r="ADR1019" s="23"/>
      <c r="ADS1019" s="23"/>
      <c r="ADT1019" s="23"/>
      <c r="ADU1019" s="23"/>
      <c r="ADV1019" s="23"/>
      <c r="ADW1019" s="23"/>
      <c r="ADX1019" s="23"/>
      <c r="ADY1019" s="23"/>
      <c r="ADZ1019" s="23"/>
      <c r="AEA1019" s="23"/>
      <c r="AEB1019" s="23"/>
      <c r="AEC1019" s="23"/>
      <c r="AED1019" s="23"/>
      <c r="AEE1019" s="23"/>
      <c r="AEF1019" s="23"/>
      <c r="AEG1019" s="23"/>
      <c r="AEH1019" s="23"/>
      <c r="AEI1019" s="23"/>
      <c r="AEJ1019" s="23"/>
      <c r="AEK1019" s="23"/>
      <c r="AEL1019" s="23"/>
      <c r="AEM1019" s="23"/>
      <c r="AEN1019" s="23"/>
      <c r="AEO1019" s="23"/>
      <c r="AEP1019" s="23"/>
      <c r="AEQ1019" s="23"/>
      <c r="AER1019" s="23"/>
      <c r="AES1019" s="23"/>
      <c r="AET1019" s="23"/>
      <c r="AEU1019" s="23"/>
      <c r="AEV1019" s="23"/>
      <c r="AEW1019" s="23"/>
      <c r="AEX1019" s="23"/>
      <c r="AEY1019" s="23"/>
      <c r="AEZ1019" s="23"/>
      <c r="AFA1019" s="23"/>
      <c r="AFB1019" s="23"/>
      <c r="AFC1019" s="23"/>
      <c r="AFD1019" s="23"/>
      <c r="AFE1019" s="23"/>
      <c r="AFF1019" s="23"/>
      <c r="AFG1019" s="23"/>
      <c r="AFH1019" s="23"/>
      <c r="AFI1019" s="23"/>
      <c r="AFJ1019" s="23"/>
      <c r="AFK1019" s="23"/>
      <c r="AFL1019" s="23"/>
      <c r="AFM1019" s="23"/>
      <c r="AFN1019" s="23"/>
      <c r="AFO1019" s="23"/>
      <c r="AFP1019" s="23"/>
      <c r="AFQ1019" s="23"/>
      <c r="AFR1019" s="23"/>
      <c r="AFS1019" s="23"/>
      <c r="AFT1019" s="23"/>
      <c r="AFU1019" s="23"/>
      <c r="AFV1019" s="23"/>
      <c r="AFW1019" s="23"/>
      <c r="AFX1019" s="23"/>
      <c r="AFY1019" s="23"/>
      <c r="AFZ1019" s="23"/>
      <c r="AGA1019" s="23"/>
      <c r="AGB1019" s="23"/>
      <c r="AGC1019" s="23"/>
      <c r="AGD1019" s="23"/>
      <c r="AGE1019" s="23"/>
      <c r="AGF1019" s="23"/>
      <c r="AGG1019" s="23"/>
      <c r="AGH1019" s="23"/>
      <c r="AGI1019" s="23"/>
      <c r="AGJ1019" s="23"/>
      <c r="AGK1019" s="23"/>
      <c r="AGL1019" s="23"/>
      <c r="AGM1019" s="23"/>
      <c r="AGN1019" s="23"/>
      <c r="AGO1019" s="23"/>
      <c r="AGP1019" s="23"/>
      <c r="AGQ1019" s="23"/>
      <c r="AGR1019" s="23"/>
      <c r="AGS1019" s="23"/>
      <c r="AGT1019" s="23"/>
      <c r="AGU1019" s="23"/>
      <c r="AGV1019" s="23"/>
      <c r="AGW1019" s="23"/>
      <c r="AGX1019" s="23"/>
      <c r="AGY1019" s="23"/>
      <c r="AGZ1019" s="23"/>
      <c r="AHA1019" s="23"/>
      <c r="AHB1019" s="23"/>
      <c r="AHC1019" s="23"/>
      <c r="AHD1019" s="23"/>
      <c r="AHE1019" s="23"/>
      <c r="AHF1019" s="23"/>
      <c r="AHG1019" s="23"/>
      <c r="AHH1019" s="23"/>
      <c r="AHI1019" s="23"/>
      <c r="AHJ1019" s="23"/>
      <c r="AHK1019" s="23"/>
      <c r="AHL1019" s="23"/>
      <c r="AHM1019" s="23"/>
      <c r="AHN1019" s="23"/>
      <c r="AHO1019" s="23"/>
      <c r="AHP1019" s="23"/>
      <c r="AHQ1019" s="23"/>
      <c r="AHR1019" s="23"/>
      <c r="AHS1019" s="23"/>
      <c r="AHT1019" s="23"/>
      <c r="AHU1019" s="23"/>
      <c r="AHV1019" s="23"/>
      <c r="AHW1019" s="23"/>
      <c r="AHX1019" s="23"/>
      <c r="AHY1019" s="23"/>
      <c r="AHZ1019" s="23"/>
      <c r="AIA1019" s="23"/>
      <c r="AIB1019" s="23"/>
      <c r="AIC1019" s="23"/>
      <c r="AID1019" s="23"/>
      <c r="AIE1019" s="23"/>
      <c r="AIF1019" s="23"/>
      <c r="AIG1019" s="23"/>
      <c r="AIH1019" s="23"/>
      <c r="AII1019" s="23"/>
      <c r="AIJ1019" s="23"/>
      <c r="AIK1019" s="23"/>
      <c r="AIL1019" s="23"/>
      <c r="AIM1019" s="23"/>
      <c r="AIN1019" s="23"/>
      <c r="AIO1019" s="23"/>
      <c r="AIP1019" s="23"/>
      <c r="AIQ1019" s="23"/>
      <c r="AIR1019" s="23"/>
      <c r="AIS1019" s="23"/>
      <c r="AIT1019" s="23"/>
      <c r="AIU1019" s="23"/>
      <c r="AIV1019" s="23"/>
      <c r="AIW1019" s="23"/>
      <c r="AIX1019" s="23"/>
      <c r="AIY1019" s="23"/>
      <c r="AIZ1019" s="23"/>
      <c r="AJA1019" s="23"/>
      <c r="AJB1019" s="23"/>
      <c r="AJC1019" s="23"/>
      <c r="AJD1019" s="23"/>
      <c r="AJE1019" s="23"/>
      <c r="AJF1019" s="23"/>
      <c r="AJG1019" s="23"/>
      <c r="AJH1019" s="23"/>
      <c r="AJI1019" s="23"/>
      <c r="AJJ1019" s="23"/>
      <c r="AJK1019" s="23"/>
      <c r="AJL1019" s="23"/>
      <c r="AJM1019" s="23"/>
      <c r="AJN1019" s="23"/>
      <c r="AJO1019" s="23"/>
      <c r="AJP1019" s="23"/>
      <c r="AJQ1019" s="23"/>
      <c r="AJR1019" s="23"/>
      <c r="AJS1019" s="23"/>
      <c r="AJT1019" s="23"/>
      <c r="AJU1019" s="23"/>
      <c r="AJV1019" s="23"/>
      <c r="AJW1019" s="23"/>
      <c r="AJX1019" s="23"/>
      <c r="AJY1019" s="23"/>
      <c r="AJZ1019" s="23"/>
      <c r="AKA1019" s="23"/>
      <c r="AKB1019" s="23"/>
      <c r="AKC1019" s="23"/>
      <c r="AKD1019" s="23"/>
      <c r="AKE1019" s="23"/>
      <c r="AKF1019" s="23"/>
      <c r="AKG1019" s="23"/>
      <c r="AKH1019" s="23"/>
      <c r="AKI1019" s="23"/>
      <c r="AKJ1019" s="23"/>
      <c r="AKK1019" s="23"/>
      <c r="AKL1019" s="23"/>
      <c r="AKM1019" s="23"/>
      <c r="AKN1019" s="23"/>
      <c r="AKO1019" s="23"/>
      <c r="AKP1019" s="23"/>
      <c r="AKQ1019" s="23"/>
      <c r="AKR1019" s="23"/>
      <c r="AKS1019" s="23"/>
      <c r="AKT1019" s="23"/>
      <c r="AKU1019" s="23"/>
      <c r="AKV1019" s="23"/>
      <c r="AKW1019" s="23"/>
      <c r="AKX1019" s="23"/>
      <c r="AKY1019" s="23"/>
      <c r="AKZ1019" s="23"/>
      <c r="ALA1019" s="23"/>
      <c r="ALB1019" s="23"/>
      <c r="ALC1019" s="23"/>
      <c r="ALD1019" s="23"/>
      <c r="ALE1019" s="23"/>
      <c r="ALF1019" s="23"/>
      <c r="ALG1019" s="23"/>
      <c r="ALH1019" s="23"/>
      <c r="ALI1019" s="23"/>
      <c r="ALJ1019" s="23"/>
      <c r="ALK1019" s="23"/>
      <c r="ALL1019" s="23"/>
      <c r="ALM1019" s="23"/>
      <c r="ALN1019" s="23"/>
      <c r="ALO1019" s="23"/>
      <c r="ALP1019" s="23"/>
      <c r="ALQ1019" s="23"/>
      <c r="ALR1019" s="23"/>
      <c r="ALS1019" s="23"/>
      <c r="ALT1019" s="23"/>
      <c r="ALU1019" s="23"/>
      <c r="ALV1019" s="23"/>
      <c r="ALW1019" s="23"/>
      <c r="ALX1019" s="23"/>
      <c r="ALY1019" s="23"/>
      <c r="ALZ1019" s="23"/>
      <c r="AMA1019" s="23"/>
      <c r="AMB1019" s="23"/>
      <c r="AMC1019" s="23"/>
      <c r="AMD1019" s="23"/>
      <c r="AME1019" s="23"/>
      <c r="AMF1019" s="23"/>
      <c r="AMG1019" s="23"/>
      <c r="AMH1019" s="23"/>
      <c r="AMI1019" s="23"/>
      <c r="AMJ1019" s="23"/>
      <c r="AMK1019" s="23"/>
      <c r="AML1019" s="23"/>
      <c r="AMM1019" s="23"/>
      <c r="AMN1019" s="23"/>
      <c r="AMO1019" s="23"/>
      <c r="AMP1019" s="23"/>
      <c r="AMQ1019" s="23"/>
      <c r="AMR1019" s="23"/>
      <c r="AMS1019" s="23"/>
      <c r="AMT1019" s="23"/>
      <c r="AMU1019" s="23"/>
      <c r="AMV1019" s="23"/>
      <c r="AMW1019" s="23"/>
      <c r="AMX1019" s="23"/>
      <c r="AMY1019" s="23"/>
      <c r="AMZ1019" s="23"/>
      <c r="ANA1019" s="23"/>
      <c r="ANB1019" s="23"/>
      <c r="ANC1019" s="23"/>
      <c r="AND1019" s="23"/>
      <c r="ANE1019" s="23"/>
      <c r="ANF1019" s="23"/>
      <c r="ANG1019" s="23"/>
      <c r="ANH1019" s="23"/>
      <c r="ANI1019" s="23"/>
      <c r="ANJ1019" s="23"/>
      <c r="ANK1019" s="23"/>
      <c r="ANL1019" s="23"/>
      <c r="ANM1019" s="23"/>
      <c r="ANN1019" s="23"/>
      <c r="ANO1019" s="23"/>
      <c r="ANP1019" s="23"/>
      <c r="ANQ1019" s="23"/>
      <c r="ANR1019" s="23"/>
      <c r="ANS1019" s="23"/>
      <c r="ANT1019" s="23"/>
      <c r="ANU1019" s="23"/>
      <c r="ANV1019" s="23"/>
      <c r="ANW1019" s="23"/>
      <c r="ANX1019" s="23"/>
      <c r="ANY1019" s="23"/>
      <c r="ANZ1019" s="23"/>
      <c r="AOA1019" s="23"/>
      <c r="AOB1019" s="23"/>
      <c r="AOC1019" s="23"/>
      <c r="AOD1019" s="23"/>
      <c r="AOE1019" s="23"/>
      <c r="AOF1019" s="23"/>
      <c r="AOG1019" s="23"/>
      <c r="AOH1019" s="23"/>
      <c r="AOI1019" s="23"/>
      <c r="AOJ1019" s="23"/>
      <c r="AOK1019" s="23"/>
      <c r="AOL1019" s="23"/>
      <c r="AOM1019" s="23"/>
      <c r="AON1019" s="23"/>
      <c r="AOO1019" s="23"/>
      <c r="AOP1019" s="23"/>
      <c r="AOQ1019" s="23"/>
      <c r="AOR1019" s="23"/>
      <c r="AOS1019" s="23"/>
      <c r="AOT1019" s="23"/>
      <c r="AOU1019" s="23"/>
      <c r="AOV1019" s="23"/>
      <c r="AOW1019" s="23"/>
      <c r="AOX1019" s="23"/>
      <c r="AOY1019" s="23"/>
      <c r="AOZ1019" s="23"/>
      <c r="APA1019" s="23"/>
      <c r="APB1019" s="23"/>
      <c r="APC1019" s="23"/>
      <c r="APD1019" s="23"/>
      <c r="APE1019" s="23"/>
      <c r="APF1019" s="23"/>
      <c r="APG1019" s="23"/>
      <c r="APH1019" s="23"/>
      <c r="API1019" s="23"/>
      <c r="APJ1019" s="23"/>
      <c r="APK1019" s="23"/>
      <c r="APL1019" s="23"/>
      <c r="APM1019" s="23"/>
      <c r="APN1019" s="23"/>
      <c r="APO1019" s="23"/>
      <c r="APP1019" s="23"/>
      <c r="APQ1019" s="23"/>
      <c r="APR1019" s="23"/>
      <c r="APS1019" s="23"/>
      <c r="APT1019" s="23"/>
      <c r="APU1019" s="23"/>
      <c r="APV1019" s="23"/>
      <c r="APW1019" s="23"/>
      <c r="APX1019" s="23"/>
      <c r="APY1019" s="23"/>
      <c r="APZ1019" s="23"/>
      <c r="AQA1019" s="23"/>
      <c r="AQB1019" s="23"/>
      <c r="AQC1019" s="23"/>
      <c r="AQD1019" s="23"/>
      <c r="AQE1019" s="23"/>
      <c r="AQF1019" s="23"/>
      <c r="AQG1019" s="23"/>
      <c r="AQH1019" s="23"/>
      <c r="AQI1019" s="23"/>
      <c r="AQJ1019" s="23"/>
      <c r="AQK1019" s="23"/>
      <c r="AQL1019" s="23"/>
      <c r="AQM1019" s="23"/>
      <c r="AQN1019" s="23"/>
      <c r="AQO1019" s="23"/>
      <c r="AQP1019" s="23"/>
      <c r="AQQ1019" s="23"/>
      <c r="AQR1019" s="23"/>
      <c r="AQS1019" s="23"/>
      <c r="AQT1019" s="23"/>
      <c r="AQU1019" s="23"/>
      <c r="AQV1019" s="23"/>
      <c r="AQW1019" s="23"/>
      <c r="AQX1019" s="23"/>
      <c r="AQY1019" s="23"/>
      <c r="AQZ1019" s="23"/>
      <c r="ARA1019" s="23"/>
      <c r="ARB1019" s="23"/>
      <c r="ARC1019" s="23"/>
      <c r="ARD1019" s="23"/>
      <c r="ARE1019" s="23"/>
      <c r="ARF1019" s="23"/>
      <c r="ARG1019" s="23"/>
      <c r="ARH1019" s="23"/>
      <c r="ARI1019" s="23"/>
      <c r="ARJ1019" s="23"/>
      <c r="ARK1019" s="23"/>
      <c r="ARL1019" s="23"/>
      <c r="ARM1019" s="23"/>
      <c r="ARN1019" s="23"/>
      <c r="ARO1019" s="23"/>
      <c r="ARP1019" s="23"/>
      <c r="ARQ1019" s="23"/>
      <c r="ARR1019" s="23"/>
      <c r="ARS1019" s="23"/>
      <c r="ART1019" s="23"/>
      <c r="ARU1019" s="23"/>
      <c r="ARV1019" s="23"/>
      <c r="ARW1019" s="23"/>
      <c r="ARX1019" s="23"/>
      <c r="ARY1019" s="23"/>
      <c r="ARZ1019" s="23"/>
      <c r="ASA1019" s="23"/>
      <c r="ASB1019" s="23"/>
      <c r="ASC1019" s="23"/>
      <c r="ASD1019" s="23"/>
      <c r="ASE1019" s="23"/>
      <c r="ASF1019" s="23"/>
      <c r="ASG1019" s="23"/>
      <c r="ASH1019" s="23"/>
      <c r="ASI1019" s="23"/>
      <c r="ASJ1019" s="23"/>
      <c r="ASK1019" s="23"/>
      <c r="ASL1019" s="23"/>
      <c r="ASM1019" s="23"/>
      <c r="ASN1019" s="23"/>
      <c r="ASO1019" s="23"/>
      <c r="ASP1019" s="23"/>
      <c r="ASQ1019" s="23"/>
      <c r="ASR1019" s="23"/>
      <c r="ASS1019" s="23"/>
      <c r="AST1019" s="23"/>
      <c r="ASU1019" s="23"/>
      <c r="ASV1019" s="23"/>
      <c r="ASW1019" s="23"/>
      <c r="ASX1019" s="23"/>
      <c r="ASY1019" s="23"/>
      <c r="ASZ1019" s="23"/>
      <c r="ATA1019" s="23"/>
      <c r="ATB1019" s="23"/>
      <c r="ATC1019" s="23"/>
      <c r="ATD1019" s="23"/>
      <c r="ATE1019" s="23"/>
      <c r="ATF1019" s="23"/>
      <c r="ATG1019" s="23"/>
      <c r="ATH1019" s="23"/>
      <c r="ATI1019" s="23"/>
      <c r="ATJ1019" s="23"/>
      <c r="ATK1019" s="23"/>
      <c r="ATL1019" s="23"/>
      <c r="ATM1019" s="23"/>
      <c r="ATN1019" s="23"/>
      <c r="ATO1019" s="23"/>
      <c r="ATP1019" s="23"/>
      <c r="ATQ1019" s="23"/>
      <c r="ATR1019" s="23"/>
      <c r="ATS1019" s="23"/>
      <c r="ATT1019" s="23"/>
      <c r="ATU1019" s="23"/>
      <c r="ATV1019" s="23"/>
      <c r="ATW1019" s="23"/>
      <c r="ATX1019" s="23"/>
      <c r="ATY1019" s="23"/>
      <c r="ATZ1019" s="23"/>
      <c r="AUA1019" s="23"/>
      <c r="AUB1019" s="23"/>
      <c r="AUC1019" s="23"/>
      <c r="AUD1019" s="23"/>
      <c r="AUE1019" s="23"/>
      <c r="AUF1019" s="23"/>
      <c r="AUG1019" s="23"/>
      <c r="AUH1019" s="23"/>
      <c r="AUI1019" s="23"/>
      <c r="AUJ1019" s="23"/>
      <c r="AUK1019" s="23"/>
      <c r="AUL1019" s="23"/>
      <c r="AUM1019" s="23"/>
      <c r="AUN1019" s="23"/>
      <c r="AUO1019" s="23"/>
      <c r="AUP1019" s="23"/>
      <c r="AUQ1019" s="23"/>
      <c r="AUR1019" s="23"/>
      <c r="AUS1019" s="23"/>
      <c r="AUT1019" s="23"/>
      <c r="AUU1019" s="23"/>
      <c r="AUV1019" s="23"/>
      <c r="AUW1019" s="23"/>
      <c r="AUX1019" s="23"/>
      <c r="AUY1019" s="23"/>
      <c r="AUZ1019" s="23"/>
      <c r="AVA1019" s="23"/>
      <c r="AVB1019" s="23"/>
      <c r="AVC1019" s="23"/>
      <c r="AVD1019" s="23"/>
      <c r="AVE1019" s="23"/>
      <c r="AVF1019" s="23"/>
      <c r="AVG1019" s="23"/>
      <c r="AVH1019" s="23"/>
      <c r="AVI1019" s="23"/>
      <c r="AVJ1019" s="23"/>
      <c r="AVK1019" s="23"/>
      <c r="AVL1019" s="23"/>
      <c r="AVM1019" s="23"/>
      <c r="AVN1019" s="23"/>
      <c r="AVO1019" s="23"/>
      <c r="AVP1019" s="23"/>
      <c r="AVQ1019" s="23"/>
      <c r="AVR1019" s="23"/>
      <c r="AVS1019" s="23"/>
      <c r="AVT1019" s="23"/>
      <c r="AVU1019" s="23"/>
      <c r="AVV1019" s="23"/>
      <c r="AVW1019" s="23"/>
      <c r="AVX1019" s="23"/>
      <c r="AVY1019" s="23"/>
      <c r="AVZ1019" s="23"/>
      <c r="AWA1019" s="23"/>
      <c r="AWB1019" s="23"/>
      <c r="AWC1019" s="23"/>
      <c r="AWD1019" s="23"/>
      <c r="AWE1019" s="23"/>
      <c r="AWF1019" s="23"/>
      <c r="AWG1019" s="23"/>
      <c r="AWH1019" s="23"/>
      <c r="AWI1019" s="23"/>
      <c r="AWJ1019" s="23"/>
      <c r="AWK1019" s="23"/>
      <c r="AWL1019" s="23"/>
      <c r="AWM1019" s="23"/>
      <c r="AWN1019" s="23"/>
      <c r="AWO1019" s="23"/>
      <c r="AWP1019" s="23"/>
      <c r="AWQ1019" s="23"/>
      <c r="AWR1019" s="23"/>
      <c r="AWS1019" s="23"/>
      <c r="AWT1019" s="23"/>
      <c r="AWU1019" s="23"/>
      <c r="AWV1019" s="23"/>
      <c r="AWW1019" s="23"/>
      <c r="AWX1019" s="23"/>
      <c r="AWY1019" s="23"/>
      <c r="AWZ1019" s="23"/>
      <c r="AXA1019" s="23"/>
      <c r="AXB1019" s="23"/>
      <c r="AXC1019" s="23"/>
      <c r="AXD1019" s="23"/>
      <c r="AXE1019" s="23"/>
      <c r="AXF1019" s="23"/>
      <c r="AXG1019" s="23"/>
      <c r="AXH1019" s="23"/>
      <c r="AXI1019" s="23"/>
      <c r="AXJ1019" s="23"/>
      <c r="AXK1019" s="23"/>
      <c r="AXL1019" s="23"/>
      <c r="AXM1019" s="23"/>
      <c r="AXN1019" s="23"/>
      <c r="AXO1019" s="23"/>
      <c r="AXP1019" s="23"/>
      <c r="AXQ1019" s="23"/>
      <c r="AXR1019" s="23"/>
      <c r="AXS1019" s="23"/>
      <c r="AXT1019" s="23"/>
      <c r="AXU1019" s="23"/>
      <c r="AXV1019" s="23"/>
      <c r="AXW1019" s="23"/>
      <c r="AXX1019" s="23"/>
      <c r="AXY1019" s="23"/>
      <c r="AXZ1019" s="23"/>
      <c r="AYA1019" s="23"/>
      <c r="AYB1019" s="23"/>
      <c r="AYC1019" s="23"/>
      <c r="AYD1019" s="23"/>
      <c r="AYE1019" s="23"/>
      <c r="AYF1019" s="23"/>
      <c r="AYG1019" s="23"/>
      <c r="AYH1019" s="23"/>
      <c r="AYI1019" s="23"/>
      <c r="AYJ1019" s="23"/>
      <c r="AYK1019" s="23"/>
      <c r="AYL1019" s="23"/>
      <c r="AYM1019" s="23"/>
      <c r="AYN1019" s="23"/>
      <c r="AYO1019" s="23"/>
      <c r="AYP1019" s="23"/>
      <c r="AYQ1019" s="23"/>
      <c r="AYR1019" s="23"/>
      <c r="AYS1019" s="23"/>
      <c r="AYT1019" s="23"/>
      <c r="AYU1019" s="23"/>
      <c r="AYV1019" s="23"/>
      <c r="AYW1019" s="23"/>
      <c r="AYX1019" s="23"/>
      <c r="AYY1019" s="23"/>
      <c r="AYZ1019" s="23"/>
      <c r="AZA1019" s="23"/>
      <c r="AZB1019" s="23"/>
      <c r="AZC1019" s="23"/>
      <c r="AZD1019" s="23"/>
      <c r="AZE1019" s="23"/>
      <c r="AZF1019" s="23"/>
      <c r="AZG1019" s="23"/>
      <c r="AZH1019" s="23"/>
      <c r="AZI1019" s="23"/>
      <c r="AZJ1019" s="23"/>
      <c r="AZK1019" s="23"/>
      <c r="AZL1019" s="23"/>
      <c r="AZM1019" s="23"/>
      <c r="AZN1019" s="23"/>
      <c r="AZO1019" s="23"/>
      <c r="AZP1019" s="23"/>
      <c r="AZQ1019" s="23"/>
      <c r="AZR1019" s="23"/>
      <c r="AZS1019" s="23"/>
      <c r="AZT1019" s="23"/>
      <c r="AZU1019" s="23"/>
      <c r="AZV1019" s="23"/>
      <c r="AZW1019" s="23"/>
      <c r="AZX1019" s="23"/>
      <c r="AZY1019" s="23"/>
      <c r="AZZ1019" s="23"/>
      <c r="BAA1019" s="23"/>
      <c r="BAB1019" s="23"/>
      <c r="BAC1019" s="23"/>
      <c r="BAD1019" s="23"/>
      <c r="BAE1019" s="23"/>
      <c r="BAF1019" s="23"/>
      <c r="BAG1019" s="23"/>
      <c r="BAH1019" s="23"/>
      <c r="BAI1019" s="23"/>
      <c r="BAJ1019" s="23"/>
      <c r="BAK1019" s="23"/>
      <c r="BAL1019" s="23"/>
      <c r="BAM1019" s="23"/>
      <c r="BAN1019" s="23"/>
      <c r="BAO1019" s="23"/>
      <c r="BAP1019" s="23"/>
      <c r="BAQ1019" s="23"/>
      <c r="BAR1019" s="23"/>
      <c r="BAS1019" s="23"/>
      <c r="BAT1019" s="23"/>
      <c r="BAU1019" s="23"/>
      <c r="BAV1019" s="23"/>
      <c r="BAW1019" s="23"/>
      <c r="BAX1019" s="23"/>
      <c r="BAY1019" s="23"/>
      <c r="BAZ1019" s="23"/>
      <c r="BBA1019" s="23"/>
      <c r="BBB1019" s="23"/>
      <c r="BBC1019" s="23"/>
      <c r="BBD1019" s="23"/>
      <c r="BBE1019" s="23"/>
      <c r="BBF1019" s="23"/>
      <c r="BBG1019" s="23"/>
      <c r="BBH1019" s="23"/>
      <c r="BBI1019" s="23"/>
      <c r="BBJ1019" s="23"/>
      <c r="BBK1019" s="23"/>
      <c r="BBL1019" s="23"/>
      <c r="BBM1019" s="23"/>
      <c r="BBN1019" s="23"/>
      <c r="BBO1019" s="23"/>
      <c r="BBP1019" s="23"/>
      <c r="BBQ1019" s="23"/>
      <c r="BBR1019" s="23"/>
      <c r="BBS1019" s="23"/>
      <c r="BBT1019" s="23"/>
      <c r="BBU1019" s="23"/>
      <c r="BBV1019" s="23"/>
      <c r="BBW1019" s="23"/>
      <c r="BBX1019" s="23"/>
      <c r="BBY1019" s="23"/>
      <c r="BBZ1019" s="23"/>
      <c r="BCA1019" s="23"/>
      <c r="BCB1019" s="23"/>
      <c r="BCC1019" s="23"/>
      <c r="BCD1019" s="23"/>
      <c r="BCE1019" s="23"/>
      <c r="BCF1019" s="23"/>
      <c r="BCG1019" s="23"/>
      <c r="BCH1019" s="23"/>
      <c r="BCI1019" s="23"/>
      <c r="BCJ1019" s="23"/>
      <c r="BCK1019" s="23"/>
      <c r="BCL1019" s="23"/>
      <c r="BCM1019" s="23"/>
      <c r="BCN1019" s="23"/>
      <c r="BCO1019" s="23"/>
      <c r="BCP1019" s="23"/>
      <c r="BCQ1019" s="23"/>
      <c r="BCR1019" s="23"/>
      <c r="BCS1019" s="23"/>
      <c r="BCT1019" s="23"/>
      <c r="BCU1019" s="23"/>
      <c r="BCV1019" s="23"/>
      <c r="BCW1019" s="23"/>
      <c r="BCX1019" s="23"/>
      <c r="BCY1019" s="23"/>
      <c r="BCZ1019" s="23"/>
      <c r="BDA1019" s="23"/>
      <c r="BDB1019" s="23"/>
      <c r="BDC1019" s="23"/>
      <c r="BDD1019" s="23"/>
      <c r="BDE1019" s="23"/>
      <c r="BDF1019" s="23"/>
      <c r="BDG1019" s="23"/>
      <c r="BDH1019" s="23"/>
      <c r="BDI1019" s="23"/>
      <c r="BDJ1019" s="23"/>
      <c r="BDK1019" s="23"/>
      <c r="BDL1019" s="23"/>
      <c r="BDM1019" s="23"/>
      <c r="BDN1019" s="23"/>
      <c r="BDO1019" s="23"/>
      <c r="BDP1019" s="23"/>
      <c r="BDQ1019" s="23"/>
      <c r="BDR1019" s="23"/>
      <c r="BDS1019" s="23"/>
      <c r="BDT1019" s="23"/>
      <c r="BDU1019" s="23"/>
      <c r="BDV1019" s="23"/>
      <c r="BDW1019" s="23"/>
      <c r="BDX1019" s="23"/>
      <c r="BDY1019" s="23"/>
      <c r="BDZ1019" s="23"/>
      <c r="BEA1019" s="23"/>
      <c r="BEB1019" s="23"/>
      <c r="BEC1019" s="23"/>
      <c r="BED1019" s="23"/>
      <c r="BEE1019" s="23"/>
      <c r="BEF1019" s="23"/>
      <c r="BEG1019" s="23"/>
      <c r="BEH1019" s="23"/>
      <c r="BEI1019" s="23"/>
      <c r="BEJ1019" s="23"/>
      <c r="BEK1019" s="23"/>
      <c r="BEL1019" s="23"/>
      <c r="BEM1019" s="23"/>
      <c r="BEN1019" s="23"/>
      <c r="BEO1019" s="23"/>
      <c r="BEP1019" s="23"/>
      <c r="BEQ1019" s="23"/>
      <c r="BER1019" s="23"/>
      <c r="BES1019" s="23"/>
      <c r="BET1019" s="23"/>
      <c r="BEU1019" s="23"/>
      <c r="BEV1019" s="23"/>
      <c r="BEW1019" s="23"/>
      <c r="BEX1019" s="23"/>
      <c r="BEY1019" s="23"/>
      <c r="BEZ1019" s="23"/>
      <c r="BFA1019" s="23"/>
      <c r="BFB1019" s="23"/>
      <c r="BFC1019" s="23"/>
      <c r="BFD1019" s="23"/>
      <c r="BFE1019" s="23"/>
      <c r="BFF1019" s="23"/>
      <c r="BFG1019" s="23"/>
      <c r="BFH1019" s="23"/>
      <c r="BFI1019" s="23"/>
      <c r="BFJ1019" s="23"/>
      <c r="BFK1019" s="23"/>
      <c r="BFL1019" s="23"/>
      <c r="BFM1019" s="23"/>
      <c r="BFN1019" s="23"/>
      <c r="BFO1019" s="23"/>
      <c r="BFP1019" s="23"/>
      <c r="BFQ1019" s="23"/>
      <c r="BFR1019" s="23"/>
      <c r="BFS1019" s="23"/>
      <c r="BFT1019" s="23"/>
      <c r="BFU1019" s="23"/>
      <c r="BFV1019" s="23"/>
      <c r="BFW1019" s="23"/>
      <c r="BFX1019" s="23"/>
      <c r="BFY1019" s="23"/>
      <c r="BFZ1019" s="23"/>
      <c r="BGA1019" s="23"/>
      <c r="BGB1019" s="23"/>
      <c r="BGC1019" s="23"/>
      <c r="BGD1019" s="23"/>
      <c r="BGE1019" s="23"/>
      <c r="BGF1019" s="23"/>
      <c r="BGG1019" s="23"/>
      <c r="BGH1019" s="23"/>
      <c r="BGI1019" s="23"/>
      <c r="BGJ1019" s="23"/>
      <c r="BGK1019" s="23"/>
      <c r="BGL1019" s="23"/>
      <c r="BGM1019" s="23"/>
      <c r="BGN1019" s="23"/>
      <c r="BGO1019" s="23"/>
      <c r="BGP1019" s="23"/>
      <c r="BGQ1019" s="23"/>
      <c r="BGR1019" s="23"/>
      <c r="BGS1019" s="23"/>
      <c r="BGT1019" s="23"/>
      <c r="BGU1019" s="23"/>
      <c r="BGV1019" s="23"/>
      <c r="BGW1019" s="23"/>
      <c r="BGX1019" s="23"/>
      <c r="BGY1019" s="23"/>
      <c r="BGZ1019" s="23"/>
      <c r="BHA1019" s="23"/>
      <c r="BHB1019" s="23"/>
      <c r="BHC1019" s="23"/>
      <c r="BHD1019" s="23"/>
      <c r="BHE1019" s="23"/>
      <c r="BHF1019" s="23"/>
      <c r="BHG1019" s="23"/>
      <c r="BHH1019" s="23"/>
      <c r="BHI1019" s="23"/>
      <c r="BHJ1019" s="23"/>
      <c r="BHK1019" s="23"/>
      <c r="BHL1019" s="23"/>
      <c r="BHM1019" s="23"/>
      <c r="BHN1019" s="23"/>
      <c r="BHO1019" s="23"/>
      <c r="BHP1019" s="23"/>
      <c r="BHQ1019" s="23"/>
      <c r="BHR1019" s="23"/>
      <c r="BHS1019" s="23"/>
      <c r="BHT1019" s="23"/>
      <c r="BHU1019" s="23"/>
      <c r="BHV1019" s="23"/>
      <c r="BHW1019" s="23"/>
      <c r="BHX1019" s="23"/>
      <c r="BHY1019" s="23"/>
      <c r="BHZ1019" s="23"/>
      <c r="BIA1019" s="23"/>
      <c r="BIB1019" s="23"/>
      <c r="BIC1019" s="23"/>
      <c r="BID1019" s="23"/>
      <c r="BIE1019" s="23"/>
      <c r="BIF1019" s="23"/>
      <c r="BIG1019" s="23"/>
      <c r="BIH1019" s="23"/>
      <c r="BII1019" s="23"/>
      <c r="BIJ1019" s="23"/>
      <c r="BIK1019" s="23"/>
      <c r="BIL1019" s="23"/>
      <c r="BIM1019" s="23"/>
      <c r="BIN1019" s="23"/>
      <c r="BIO1019" s="23"/>
      <c r="BIP1019" s="23"/>
      <c r="BIQ1019" s="23"/>
      <c r="BIR1019" s="23"/>
      <c r="BIS1019" s="23"/>
      <c r="BIT1019" s="23"/>
      <c r="BIU1019" s="23"/>
      <c r="BIV1019" s="23"/>
      <c r="BIW1019" s="23"/>
      <c r="BIX1019" s="23"/>
      <c r="BIY1019" s="23"/>
      <c r="BIZ1019" s="23"/>
      <c r="BJA1019" s="23"/>
      <c r="BJB1019" s="23"/>
      <c r="BJC1019" s="23"/>
      <c r="BJD1019" s="23"/>
      <c r="BJE1019" s="23"/>
      <c r="BJF1019" s="23"/>
      <c r="BJG1019" s="23"/>
      <c r="BJH1019" s="23"/>
      <c r="BJI1019" s="23"/>
      <c r="BJJ1019" s="23"/>
      <c r="BJK1019" s="23"/>
      <c r="BJL1019" s="23"/>
      <c r="BJM1019" s="23"/>
      <c r="BJN1019" s="23"/>
      <c r="BJO1019" s="23"/>
      <c r="BJP1019" s="23"/>
      <c r="BJQ1019" s="23"/>
      <c r="BJR1019" s="23"/>
      <c r="BJS1019" s="23"/>
      <c r="BJT1019" s="23"/>
      <c r="BJU1019" s="23"/>
      <c r="BJV1019" s="23"/>
      <c r="BJW1019" s="23"/>
      <c r="BJX1019" s="23"/>
      <c r="BJY1019" s="23"/>
      <c r="BJZ1019" s="23"/>
      <c r="BKA1019" s="23"/>
      <c r="BKB1019" s="23"/>
      <c r="BKC1019" s="23"/>
      <c r="BKD1019" s="23"/>
      <c r="BKE1019" s="23"/>
      <c r="BKF1019" s="23"/>
      <c r="BKG1019" s="23"/>
      <c r="BKH1019" s="23"/>
      <c r="BKI1019" s="23"/>
      <c r="BKJ1019" s="23"/>
      <c r="BKK1019" s="23"/>
      <c r="BKL1019" s="23"/>
      <c r="BKM1019" s="23"/>
      <c r="BKN1019" s="23"/>
      <c r="BKO1019" s="23"/>
      <c r="BKP1019" s="23"/>
      <c r="BKQ1019" s="23"/>
      <c r="BKR1019" s="23"/>
      <c r="BKS1019" s="23"/>
      <c r="BKT1019" s="23"/>
      <c r="BKU1019" s="23"/>
      <c r="BKV1019" s="23"/>
      <c r="BKW1019" s="23"/>
      <c r="BKX1019" s="23"/>
      <c r="BKY1019" s="23"/>
      <c r="BKZ1019" s="23"/>
      <c r="BLA1019" s="23"/>
      <c r="BLB1019" s="23"/>
      <c r="BLC1019" s="23"/>
      <c r="BLD1019" s="23"/>
      <c r="BLE1019" s="23"/>
      <c r="BLF1019" s="23"/>
      <c r="BLG1019" s="23"/>
      <c r="BLH1019" s="23"/>
      <c r="BLI1019" s="23"/>
      <c r="BLJ1019" s="23"/>
      <c r="BLK1019" s="23"/>
      <c r="BLL1019" s="23"/>
      <c r="BLM1019" s="23"/>
      <c r="BLN1019" s="23"/>
      <c r="BLO1019" s="23"/>
      <c r="BLP1019" s="23"/>
      <c r="BLQ1019" s="23"/>
      <c r="BLR1019" s="23"/>
      <c r="BLS1019" s="23"/>
      <c r="BLT1019" s="23"/>
      <c r="BLU1019" s="23"/>
      <c r="BLV1019" s="23"/>
      <c r="BLW1019" s="23"/>
      <c r="BLX1019" s="23"/>
      <c r="BLY1019" s="23"/>
      <c r="BLZ1019" s="23"/>
      <c r="BMA1019" s="23"/>
      <c r="BMB1019" s="23"/>
      <c r="BMC1019" s="23"/>
      <c r="BMD1019" s="23"/>
      <c r="BME1019" s="23"/>
      <c r="BMF1019" s="23"/>
      <c r="BMG1019" s="23"/>
      <c r="BMH1019" s="23"/>
      <c r="BMI1019" s="23"/>
      <c r="BMJ1019" s="23"/>
      <c r="BMK1019" s="23"/>
      <c r="BML1019" s="23"/>
      <c r="BMM1019" s="23"/>
      <c r="BMN1019" s="23"/>
      <c r="BMO1019" s="23"/>
      <c r="BMP1019" s="23"/>
      <c r="BMQ1019" s="23"/>
      <c r="BMR1019" s="23"/>
      <c r="BMS1019" s="23"/>
      <c r="BMT1019" s="23"/>
      <c r="BMU1019" s="23"/>
      <c r="BMV1019" s="23"/>
      <c r="BMW1019" s="23"/>
      <c r="BMX1019" s="23"/>
      <c r="BMY1019" s="23"/>
      <c r="BMZ1019" s="23"/>
      <c r="BNA1019" s="23"/>
      <c r="BNB1019" s="23"/>
      <c r="BNC1019" s="23"/>
      <c r="BND1019" s="23"/>
      <c r="BNE1019" s="23"/>
      <c r="BNF1019" s="23"/>
      <c r="BNG1019" s="23"/>
      <c r="BNH1019" s="23"/>
      <c r="BNI1019" s="23"/>
      <c r="BNJ1019" s="23"/>
      <c r="BNK1019" s="23"/>
      <c r="BNL1019" s="23"/>
      <c r="BNM1019" s="23"/>
      <c r="BNN1019" s="23"/>
      <c r="BNO1019" s="23"/>
      <c r="BNP1019" s="23"/>
      <c r="BNQ1019" s="23"/>
      <c r="BNR1019" s="23"/>
      <c r="BNS1019" s="23"/>
      <c r="BNT1019" s="23"/>
      <c r="BNU1019" s="23"/>
      <c r="BNV1019" s="23"/>
      <c r="BNW1019" s="23"/>
      <c r="BNX1019" s="23"/>
      <c r="BNY1019" s="23"/>
      <c r="BNZ1019" s="23"/>
      <c r="BOA1019" s="23"/>
      <c r="BOB1019" s="23"/>
      <c r="BOC1019" s="23"/>
      <c r="BOD1019" s="23"/>
      <c r="BOE1019" s="23"/>
      <c r="BOF1019" s="23"/>
      <c r="BOG1019" s="23"/>
      <c r="BOH1019" s="23"/>
      <c r="BOI1019" s="23"/>
      <c r="BOJ1019" s="23"/>
      <c r="BOK1019" s="23"/>
      <c r="BOL1019" s="23"/>
      <c r="BOM1019" s="23"/>
      <c r="BON1019" s="23"/>
      <c r="BOO1019" s="23"/>
      <c r="BOP1019" s="23"/>
      <c r="BOQ1019" s="23"/>
      <c r="BOR1019" s="23"/>
      <c r="BOS1019" s="23"/>
      <c r="BOT1019" s="23"/>
      <c r="BOU1019" s="23"/>
      <c r="BOV1019" s="23"/>
      <c r="BOW1019" s="23"/>
      <c r="BOX1019" s="23"/>
      <c r="BOY1019" s="23"/>
      <c r="BOZ1019" s="23"/>
      <c r="BPA1019" s="23"/>
      <c r="BPB1019" s="23"/>
      <c r="BPC1019" s="23"/>
      <c r="BPD1019" s="23"/>
      <c r="BPE1019" s="23"/>
      <c r="BPF1019" s="23"/>
      <c r="BPG1019" s="23"/>
      <c r="BPH1019" s="23"/>
      <c r="BPI1019" s="23"/>
      <c r="BPJ1019" s="23"/>
      <c r="BPK1019" s="23"/>
      <c r="BPL1019" s="23"/>
      <c r="BPM1019" s="23"/>
      <c r="BPN1019" s="23"/>
      <c r="BPO1019" s="23"/>
      <c r="BPP1019" s="23"/>
      <c r="BPQ1019" s="23"/>
      <c r="BPR1019" s="23"/>
      <c r="BPS1019" s="23"/>
      <c r="BPT1019" s="23"/>
      <c r="BPU1019" s="23"/>
      <c r="BPV1019" s="23"/>
      <c r="BPW1019" s="23"/>
      <c r="BPX1019" s="23"/>
      <c r="BPY1019" s="23"/>
      <c r="BPZ1019" s="23"/>
      <c r="BQA1019" s="23"/>
      <c r="BQB1019" s="23"/>
      <c r="BQC1019" s="23"/>
      <c r="BQD1019" s="23"/>
      <c r="BQE1019" s="23"/>
      <c r="BQF1019" s="23"/>
      <c r="BQG1019" s="23"/>
      <c r="BQH1019" s="23"/>
      <c r="BQI1019" s="23"/>
      <c r="BQJ1019" s="23"/>
      <c r="BQK1019" s="23"/>
      <c r="BQL1019" s="23"/>
      <c r="BQM1019" s="23"/>
      <c r="BQN1019" s="23"/>
      <c r="BQO1019" s="23"/>
      <c r="BQP1019" s="23"/>
      <c r="BQQ1019" s="23"/>
      <c r="BQR1019" s="23"/>
      <c r="BQS1019" s="23"/>
      <c r="BQT1019" s="23"/>
      <c r="BQU1019" s="23"/>
      <c r="BQV1019" s="23"/>
      <c r="BQW1019" s="23"/>
      <c r="BQX1019" s="23"/>
      <c r="BQY1019" s="23"/>
      <c r="BQZ1019" s="23"/>
      <c r="BRA1019" s="23"/>
      <c r="BRB1019" s="23"/>
      <c r="BRC1019" s="23"/>
      <c r="BRD1019" s="23"/>
      <c r="BRE1019" s="23"/>
      <c r="BRF1019" s="23"/>
      <c r="BRG1019" s="23"/>
      <c r="BRH1019" s="23"/>
      <c r="BRI1019" s="23"/>
      <c r="BRJ1019" s="23"/>
      <c r="BRK1019" s="23"/>
      <c r="BRL1019" s="23"/>
      <c r="BRM1019" s="23"/>
      <c r="BRN1019" s="23"/>
      <c r="BRO1019" s="23"/>
      <c r="BRP1019" s="23"/>
      <c r="BRQ1019" s="23"/>
      <c r="BRR1019" s="23"/>
      <c r="BRS1019" s="23"/>
      <c r="BRT1019" s="23"/>
      <c r="BRU1019" s="23"/>
      <c r="BRV1019" s="23"/>
      <c r="BRW1019" s="23"/>
      <c r="BRX1019" s="23"/>
      <c r="BRY1019" s="23"/>
      <c r="BRZ1019" s="23"/>
      <c r="BSA1019" s="23"/>
      <c r="BSB1019" s="23"/>
      <c r="BSC1019" s="23"/>
      <c r="BSD1019" s="23"/>
      <c r="BSE1019" s="23"/>
      <c r="BSF1019" s="23"/>
      <c r="BSG1019" s="23"/>
      <c r="BSH1019" s="23"/>
      <c r="BSI1019" s="23"/>
      <c r="BSJ1019" s="23"/>
      <c r="BSK1019" s="23"/>
      <c r="BSL1019" s="23"/>
      <c r="BSM1019" s="23"/>
      <c r="BSN1019" s="23"/>
      <c r="BSO1019" s="23"/>
      <c r="BSP1019" s="23"/>
      <c r="BSQ1019" s="23"/>
      <c r="BSR1019" s="23"/>
      <c r="BSS1019" s="23"/>
      <c r="BST1019" s="23"/>
      <c r="BSU1019" s="23"/>
      <c r="BSV1019" s="23"/>
      <c r="BSW1019" s="23"/>
      <c r="BSX1019" s="23"/>
      <c r="BSY1019" s="23"/>
      <c r="BSZ1019" s="23"/>
      <c r="BTA1019" s="23"/>
    </row>
    <row r="1020" spans="1:1873" s="23" customFormat="1" ht="12.6" customHeight="1" x14ac:dyDescent="0.2">
      <c r="A1020" s="273"/>
      <c r="B1020" s="273"/>
      <c r="C1020" s="273"/>
      <c r="D1020" s="273"/>
      <c r="E1020" s="462"/>
      <c r="F1020" s="462"/>
      <c r="G1020" s="273"/>
      <c r="H1020" s="468"/>
      <c r="I1020" s="273"/>
      <c r="J1020" s="273"/>
      <c r="K1020" s="463"/>
      <c r="L1020" s="273"/>
      <c r="M1020" s="414"/>
      <c r="N1020" s="273"/>
      <c r="O1020" s="29"/>
      <c r="P1020" s="414"/>
      <c r="Q1020" s="273"/>
      <c r="R1020" s="471"/>
      <c r="S1020" s="273"/>
      <c r="T1020" s="471"/>
      <c r="U1020" s="273"/>
      <c r="V1020" s="273"/>
      <c r="W1020" s="471"/>
      <c r="X1020" s="273"/>
      <c r="Y1020" s="273"/>
      <c r="Z1020" s="273"/>
      <c r="AA1020" s="580"/>
      <c r="AB1020" s="471"/>
      <c r="AC1020" s="273"/>
      <c r="AD1020" s="273"/>
      <c r="AE1020" s="273"/>
      <c r="AF1020" s="273"/>
      <c r="AG1020" s="273"/>
      <c r="AH1020" s="273"/>
      <c r="AI1020" s="273"/>
      <c r="AJ1020" s="273"/>
      <c r="AK1020" s="273"/>
      <c r="AL1020" s="273"/>
      <c r="AM1020" s="273"/>
      <c r="AN1020" s="273"/>
      <c r="AO1020" s="273"/>
      <c r="AP1020" s="273"/>
      <c r="AQ1020" s="273"/>
      <c r="AR1020" s="273"/>
      <c r="AS1020" s="273"/>
      <c r="AT1020" s="273"/>
      <c r="AU1020" s="273"/>
      <c r="AV1020" s="273"/>
      <c r="AW1020" s="273"/>
      <c r="AX1020" s="273"/>
      <c r="AY1020" s="273"/>
      <c r="AZ1020" s="273"/>
      <c r="BA1020" s="273"/>
      <c r="BB1020" s="273"/>
      <c r="BC1020" s="273"/>
      <c r="BD1020" s="273"/>
      <c r="BE1020" s="273"/>
      <c r="BF1020" s="273"/>
      <c r="BG1020" s="273"/>
      <c r="BH1020" s="273"/>
      <c r="BI1020" s="273"/>
      <c r="BJ1020" s="273"/>
      <c r="BK1020" s="273"/>
      <c r="BL1020" s="273"/>
      <c r="BM1020" s="273"/>
      <c r="BN1020" s="273"/>
      <c r="BO1020" s="273"/>
      <c r="BP1020" s="273"/>
      <c r="BQ1020" s="273"/>
      <c r="BR1020" s="273"/>
      <c r="BS1020" s="468"/>
      <c r="BT1020" s="273"/>
      <c r="BU1020" s="273"/>
      <c r="BV1020" s="273"/>
      <c r="BW1020" s="273"/>
      <c r="BX1020" s="273"/>
      <c r="BY1020" s="273"/>
      <c r="BZ1020" s="273"/>
      <c r="CA1020" s="472"/>
      <c r="CB1020" s="473"/>
      <c r="CC1020" s="462"/>
      <c r="CD1020" s="273"/>
      <c r="CE1020" s="342" t="s">
        <v>1576</v>
      </c>
      <c r="CF1020" s="342" t="s">
        <v>1575</v>
      </c>
      <c r="CG1020" s="93"/>
    </row>
    <row r="1021" spans="1:1873" s="23" customFormat="1" ht="12.6" customHeight="1" x14ac:dyDescent="0.2">
      <c r="A1021" s="273" t="s">
        <v>837</v>
      </c>
      <c r="B1021" s="273" t="s">
        <v>1135</v>
      </c>
      <c r="C1021" s="273" t="s">
        <v>1163</v>
      </c>
      <c r="D1021" s="273" t="s">
        <v>619</v>
      </c>
      <c r="E1021" s="462" t="s">
        <v>1504</v>
      </c>
      <c r="F1021" s="462">
        <v>1</v>
      </c>
      <c r="G1021" s="273">
        <v>4</v>
      </c>
      <c r="H1021" s="468">
        <v>4</v>
      </c>
      <c r="I1021" s="273" t="s">
        <v>842</v>
      </c>
      <c r="J1021" s="273">
        <v>1971</v>
      </c>
      <c r="K1021" s="463" t="s">
        <v>842</v>
      </c>
      <c r="L1021" s="273">
        <v>1975</v>
      </c>
      <c r="M1021" s="414">
        <f>+T1021*G1021</f>
        <v>10.8</v>
      </c>
      <c r="N1021" s="273">
        <v>-9999</v>
      </c>
      <c r="O1021" s="29"/>
      <c r="P1021" s="414">
        <f>+T1021*G1021</f>
        <v>10.8</v>
      </c>
      <c r="Q1021" s="273">
        <v>-9999</v>
      </c>
      <c r="R1021" s="471"/>
      <c r="S1021" s="273"/>
      <c r="T1021" s="471">
        <v>2.7</v>
      </c>
      <c r="U1021" s="273">
        <v>-9999</v>
      </c>
      <c r="V1021" s="273"/>
      <c r="W1021" s="471">
        <v>-9999</v>
      </c>
      <c r="X1021" s="273">
        <v>-9999</v>
      </c>
      <c r="Y1021" s="273"/>
      <c r="Z1021" s="273" t="s">
        <v>92</v>
      </c>
      <c r="AA1021" s="580">
        <v>4479</v>
      </c>
      <c r="AB1021" s="471">
        <v>0.95</v>
      </c>
      <c r="AC1021" s="273">
        <v>-9999</v>
      </c>
      <c r="AD1021" s="273">
        <v>66.400000000000006</v>
      </c>
      <c r="AE1021" s="461" t="s">
        <v>1967</v>
      </c>
      <c r="AF1021" s="273">
        <v>3</v>
      </c>
      <c r="AG1021" s="273" t="s">
        <v>843</v>
      </c>
      <c r="AH1021" s="273" t="s">
        <v>623</v>
      </c>
      <c r="AI1021" s="273" t="s">
        <v>844</v>
      </c>
      <c r="AJ1021" s="273" t="s">
        <v>845</v>
      </c>
      <c r="AK1021" s="273" t="s">
        <v>779</v>
      </c>
      <c r="AL1021" s="273" t="s">
        <v>653</v>
      </c>
      <c r="AM1021" s="273">
        <v>-9999</v>
      </c>
      <c r="AN1021" s="273" t="s">
        <v>777</v>
      </c>
      <c r="AO1021" s="273">
        <v>-9999</v>
      </c>
      <c r="AP1021" s="273">
        <v>-9999</v>
      </c>
      <c r="AQ1021" s="273" t="s">
        <v>777</v>
      </c>
      <c r="AR1021" s="273">
        <v>0</v>
      </c>
      <c r="AS1021" s="273">
        <v>-9999</v>
      </c>
      <c r="AT1021" s="273">
        <v>-9999</v>
      </c>
      <c r="AU1021" s="273">
        <v>0</v>
      </c>
      <c r="AV1021" s="273">
        <v>-9999</v>
      </c>
      <c r="AW1021" s="273">
        <v>-9999</v>
      </c>
      <c r="AX1021" s="273">
        <v>0</v>
      </c>
      <c r="AY1021" s="273">
        <v>-9999</v>
      </c>
      <c r="AZ1021" s="273">
        <v>-9999</v>
      </c>
      <c r="BA1021" s="273">
        <v>-9999</v>
      </c>
      <c r="BB1021" s="273" t="s">
        <v>626</v>
      </c>
      <c r="BC1021" s="273" t="s">
        <v>89</v>
      </c>
      <c r="BD1021" s="273" t="s">
        <v>90</v>
      </c>
      <c r="BE1021" s="273">
        <v>-9999</v>
      </c>
      <c r="BF1021" s="273">
        <v>-9999</v>
      </c>
      <c r="BG1021" s="273">
        <v>-9999</v>
      </c>
      <c r="BH1021" s="273">
        <v>-9999</v>
      </c>
      <c r="BI1021" s="273" t="s">
        <v>1152</v>
      </c>
      <c r="BJ1021" s="273">
        <v>-9999</v>
      </c>
      <c r="BK1021" s="273">
        <v>-9999</v>
      </c>
      <c r="BL1021" s="273">
        <v>4.8</v>
      </c>
      <c r="BM1021" s="273">
        <v>-9999</v>
      </c>
      <c r="BN1021" s="273">
        <v>3.5</v>
      </c>
      <c r="BO1021" s="273">
        <v>-9999</v>
      </c>
      <c r="BP1021" s="273">
        <v>-9999</v>
      </c>
      <c r="BQ1021" s="273">
        <v>-9999</v>
      </c>
      <c r="BR1021" s="273">
        <v>-9999</v>
      </c>
      <c r="BS1021" s="468">
        <v>-9999</v>
      </c>
      <c r="BT1021" s="273">
        <v>-9999</v>
      </c>
      <c r="BU1021" s="273">
        <v>-9999</v>
      </c>
      <c r="BV1021" s="273">
        <v>-9999</v>
      </c>
      <c r="BW1021" s="273"/>
      <c r="BX1021" s="273">
        <v>-9999</v>
      </c>
      <c r="BY1021" s="273">
        <v>-9999</v>
      </c>
      <c r="BZ1021" s="273">
        <v>-9999</v>
      </c>
      <c r="CA1021" s="472">
        <v>-9999</v>
      </c>
      <c r="CB1021" s="473" t="s">
        <v>1167</v>
      </c>
      <c r="CC1021" s="462">
        <v>1</v>
      </c>
      <c r="CD1021" s="273">
        <v>4</v>
      </c>
      <c r="CE1021" s="292">
        <v>2.7</v>
      </c>
      <c r="CF1021" s="292">
        <v>-9999</v>
      </c>
      <c r="CG1021" s="93">
        <v>4</v>
      </c>
    </row>
    <row r="1022" spans="1:1873" s="23" customFormat="1" ht="13.15" customHeight="1" x14ac:dyDescent="0.2">
      <c r="A1022" s="273" t="s">
        <v>837</v>
      </c>
      <c r="B1022" s="273" t="s">
        <v>1135</v>
      </c>
      <c r="C1022" s="273" t="s">
        <v>1161</v>
      </c>
      <c r="D1022" s="273" t="s">
        <v>619</v>
      </c>
      <c r="E1022" s="462" t="s">
        <v>1504</v>
      </c>
      <c r="F1022" s="462">
        <v>2</v>
      </c>
      <c r="G1022" s="273">
        <v>4</v>
      </c>
      <c r="H1022" s="468">
        <v>8</v>
      </c>
      <c r="I1022" s="273" t="s">
        <v>842</v>
      </c>
      <c r="J1022" s="273">
        <v>1971</v>
      </c>
      <c r="K1022" s="463" t="s">
        <v>842</v>
      </c>
      <c r="L1022" s="273">
        <v>1979</v>
      </c>
      <c r="M1022" s="414">
        <f>+T1022*G1022</f>
        <v>20.399999999999999</v>
      </c>
      <c r="N1022" s="273">
        <v>-9999</v>
      </c>
      <c r="O1022" s="29"/>
      <c r="P1022" s="414">
        <f>+(T1022*G1022)+P1021</f>
        <v>31.2</v>
      </c>
      <c r="Q1022" s="273">
        <v>-9999</v>
      </c>
      <c r="R1022" s="471"/>
      <c r="S1022" s="273"/>
      <c r="T1022" s="471">
        <v>5.0999999999999996</v>
      </c>
      <c r="U1022" s="273">
        <v>-9999</v>
      </c>
      <c r="V1022" s="273"/>
      <c r="W1022" s="471">
        <v>-9999</v>
      </c>
      <c r="X1022" s="273">
        <v>-9999</v>
      </c>
      <c r="Y1022" s="273"/>
      <c r="Z1022" s="273" t="s">
        <v>92</v>
      </c>
      <c r="AA1022" s="580">
        <v>4479</v>
      </c>
      <c r="AB1022" s="471">
        <v>0.95</v>
      </c>
      <c r="AC1022" s="273">
        <v>-9999</v>
      </c>
      <c r="AD1022" s="273">
        <v>66.400000000000006</v>
      </c>
      <c r="AE1022" s="461" t="s">
        <v>1967</v>
      </c>
      <c r="AF1022" s="273">
        <v>3</v>
      </c>
      <c r="AG1022" s="273" t="s">
        <v>843</v>
      </c>
      <c r="AH1022" s="273" t="s">
        <v>623</v>
      </c>
      <c r="AI1022" s="273" t="s">
        <v>844</v>
      </c>
      <c r="AJ1022" s="273" t="s">
        <v>845</v>
      </c>
      <c r="AK1022" s="273" t="s">
        <v>779</v>
      </c>
      <c r="AL1022" s="273" t="s">
        <v>653</v>
      </c>
      <c r="AM1022" s="273">
        <v>-9999</v>
      </c>
      <c r="AN1022" s="273" t="s">
        <v>777</v>
      </c>
      <c r="AO1022" s="273">
        <v>-9999</v>
      </c>
      <c r="AP1022" s="273">
        <v>-9999</v>
      </c>
      <c r="AQ1022" s="273" t="s">
        <v>777</v>
      </c>
      <c r="AR1022" s="273">
        <v>0</v>
      </c>
      <c r="AS1022" s="273">
        <v>-9999</v>
      </c>
      <c r="AT1022" s="273">
        <v>-9999</v>
      </c>
      <c r="AU1022" s="273">
        <v>0</v>
      </c>
      <c r="AV1022" s="273">
        <v>-9999</v>
      </c>
      <c r="AW1022" s="273">
        <v>-9999</v>
      </c>
      <c r="AX1022" s="273">
        <v>0</v>
      </c>
      <c r="AY1022" s="273">
        <v>-9999</v>
      </c>
      <c r="AZ1022" s="273">
        <v>-9999</v>
      </c>
      <c r="BA1022" s="273">
        <v>-9999</v>
      </c>
      <c r="BB1022" s="273" t="s">
        <v>626</v>
      </c>
      <c r="BC1022" s="273" t="s">
        <v>89</v>
      </c>
      <c r="BD1022" s="273" t="s">
        <v>90</v>
      </c>
      <c r="BE1022" s="273">
        <v>-9999</v>
      </c>
      <c r="BF1022" s="273">
        <v>-9999</v>
      </c>
      <c r="BG1022" s="273">
        <v>-9999</v>
      </c>
      <c r="BH1022" s="273">
        <v>-9999</v>
      </c>
      <c r="BI1022" s="273" t="s">
        <v>1152</v>
      </c>
      <c r="BJ1022" s="273">
        <v>-9999</v>
      </c>
      <c r="BK1022" s="273">
        <v>-9999</v>
      </c>
      <c r="BL1022" s="273">
        <v>7.2</v>
      </c>
      <c r="BM1022" s="273">
        <v>-9999</v>
      </c>
      <c r="BN1022" s="273">
        <v>4.5999999999999996</v>
      </c>
      <c r="BO1022" s="273">
        <v>-9999</v>
      </c>
      <c r="BP1022" s="273">
        <v>-9999</v>
      </c>
      <c r="BQ1022" s="273">
        <v>-9999</v>
      </c>
      <c r="BR1022" s="273">
        <v>-9999</v>
      </c>
      <c r="BS1022" s="468">
        <v>-9999</v>
      </c>
      <c r="BT1022" s="273">
        <v>-9999</v>
      </c>
      <c r="BU1022" s="273">
        <v>-9999</v>
      </c>
      <c r="BV1022" s="273">
        <v>-9999</v>
      </c>
      <c r="BW1022" s="273"/>
      <c r="BX1022" s="273">
        <v>-9999</v>
      </c>
      <c r="BY1022" s="273">
        <v>-9999</v>
      </c>
      <c r="BZ1022" s="273">
        <v>-9999</v>
      </c>
      <c r="CA1022" s="472">
        <v>-9999</v>
      </c>
      <c r="CB1022" s="473" t="s">
        <v>1167</v>
      </c>
      <c r="CC1022" s="462">
        <v>2</v>
      </c>
      <c r="CD1022" s="273">
        <v>4</v>
      </c>
      <c r="CE1022" s="292">
        <v>5.0999999999999996</v>
      </c>
      <c r="CF1022" s="292">
        <v>-9999</v>
      </c>
      <c r="CG1022" s="93">
        <v>8</v>
      </c>
      <c r="CH1022" s="301"/>
    </row>
    <row r="1023" spans="1:1873" s="207" customFormat="1" ht="12.6" customHeight="1" x14ac:dyDescent="0.2">
      <c r="A1023" s="461" t="s">
        <v>837</v>
      </c>
      <c r="B1023" s="273" t="s">
        <v>1135</v>
      </c>
      <c r="C1023" s="273" t="s">
        <v>1162</v>
      </c>
      <c r="D1023" s="273" t="s">
        <v>619</v>
      </c>
      <c r="E1023" s="462" t="s">
        <v>1504</v>
      </c>
      <c r="F1023" s="462">
        <v>1</v>
      </c>
      <c r="G1023" s="273">
        <v>8</v>
      </c>
      <c r="H1023" s="468">
        <v>8</v>
      </c>
      <c r="I1023" s="273" t="s">
        <v>842</v>
      </c>
      <c r="J1023" s="273">
        <v>1971</v>
      </c>
      <c r="K1023" s="463" t="s">
        <v>842</v>
      </c>
      <c r="L1023" s="273">
        <v>1979</v>
      </c>
      <c r="M1023" s="414">
        <f>+T1023*G1023</f>
        <v>44.8</v>
      </c>
      <c r="N1023" s="273">
        <v>-9999</v>
      </c>
      <c r="O1023" s="29"/>
      <c r="P1023" s="414">
        <f>+(T1023*G1023)+P1022</f>
        <v>76</v>
      </c>
      <c r="Q1023" s="273">
        <v>-9999</v>
      </c>
      <c r="R1023" s="471"/>
      <c r="S1023" s="273"/>
      <c r="T1023" s="471">
        <v>5.6</v>
      </c>
      <c r="U1023" s="273">
        <v>-9999</v>
      </c>
      <c r="V1023" s="273"/>
      <c r="W1023" s="471">
        <v>-9999</v>
      </c>
      <c r="X1023" s="273">
        <v>-9999</v>
      </c>
      <c r="Y1023" s="273"/>
      <c r="Z1023" s="273" t="s">
        <v>92</v>
      </c>
      <c r="AA1023" s="580">
        <v>4479</v>
      </c>
      <c r="AB1023" s="471">
        <v>0.95</v>
      </c>
      <c r="AC1023" s="273">
        <v>-9999</v>
      </c>
      <c r="AD1023" s="273">
        <v>66.400000000000006</v>
      </c>
      <c r="AE1023" s="461" t="s">
        <v>1967</v>
      </c>
      <c r="AF1023" s="273">
        <v>3</v>
      </c>
      <c r="AG1023" s="273" t="s">
        <v>843</v>
      </c>
      <c r="AH1023" s="273" t="s">
        <v>623</v>
      </c>
      <c r="AI1023" s="273" t="s">
        <v>844</v>
      </c>
      <c r="AJ1023" s="273" t="s">
        <v>845</v>
      </c>
      <c r="AK1023" s="273" t="s">
        <v>779</v>
      </c>
      <c r="AL1023" s="273" t="s">
        <v>653</v>
      </c>
      <c r="AM1023" s="273">
        <v>-9999</v>
      </c>
      <c r="AN1023" s="273" t="s">
        <v>777</v>
      </c>
      <c r="AO1023" s="273">
        <v>-9999</v>
      </c>
      <c r="AP1023" s="273">
        <v>-9999</v>
      </c>
      <c r="AQ1023" s="273" t="s">
        <v>777</v>
      </c>
      <c r="AR1023" s="273">
        <v>0</v>
      </c>
      <c r="AS1023" s="273">
        <v>-9999</v>
      </c>
      <c r="AT1023" s="273">
        <v>-9999</v>
      </c>
      <c r="AU1023" s="273">
        <v>0</v>
      </c>
      <c r="AV1023" s="273">
        <v>-9999</v>
      </c>
      <c r="AW1023" s="273">
        <v>-9999</v>
      </c>
      <c r="AX1023" s="273">
        <v>0</v>
      </c>
      <c r="AY1023" s="273">
        <v>-9999</v>
      </c>
      <c r="AZ1023" s="273">
        <v>-9999</v>
      </c>
      <c r="BA1023" s="273">
        <v>-9999</v>
      </c>
      <c r="BB1023" s="273" t="s">
        <v>626</v>
      </c>
      <c r="BC1023" s="273" t="s">
        <v>89</v>
      </c>
      <c r="BD1023" s="273" t="s">
        <v>90</v>
      </c>
      <c r="BE1023" s="273">
        <v>-9999</v>
      </c>
      <c r="BF1023" s="273">
        <v>-9999</v>
      </c>
      <c r="BG1023" s="273">
        <v>-9999</v>
      </c>
      <c r="BH1023" s="273">
        <v>-9999</v>
      </c>
      <c r="BI1023" s="273" t="s">
        <v>1152</v>
      </c>
      <c r="BJ1023" s="273">
        <v>-9999</v>
      </c>
      <c r="BK1023" s="273">
        <v>-9999</v>
      </c>
      <c r="BL1023" s="273">
        <v>10.1</v>
      </c>
      <c r="BM1023" s="273">
        <v>-9999</v>
      </c>
      <c r="BN1023" s="273">
        <v>6.8</v>
      </c>
      <c r="BO1023" s="273">
        <v>-9999</v>
      </c>
      <c r="BP1023" s="273">
        <v>-9999</v>
      </c>
      <c r="BQ1023" s="273">
        <v>-9999</v>
      </c>
      <c r="BR1023" s="273">
        <v>-9999</v>
      </c>
      <c r="BS1023" s="468">
        <v>-9999</v>
      </c>
      <c r="BT1023" s="273">
        <v>-9999</v>
      </c>
      <c r="BU1023" s="273">
        <v>-9999</v>
      </c>
      <c r="BV1023" s="273">
        <v>-9999</v>
      </c>
      <c r="BW1023" s="273"/>
      <c r="BX1023" s="273">
        <v>-9999</v>
      </c>
      <c r="BY1023" s="273">
        <v>-9999</v>
      </c>
      <c r="BZ1023" s="273">
        <v>-9999</v>
      </c>
      <c r="CA1023" s="472">
        <v>-9999</v>
      </c>
      <c r="CB1023" s="473" t="s">
        <v>1167</v>
      </c>
      <c r="CC1023" s="462">
        <v>1</v>
      </c>
      <c r="CD1023" s="273">
        <v>8</v>
      </c>
      <c r="CE1023" s="292">
        <v>5.6</v>
      </c>
      <c r="CF1023" s="292">
        <v>-9999</v>
      </c>
      <c r="CG1023" s="206">
        <v>8</v>
      </c>
      <c r="CH1023" s="301" t="s">
        <v>1757</v>
      </c>
      <c r="CI1023" s="23"/>
      <c r="CJ1023" s="23"/>
      <c r="CK1023" s="23"/>
      <c r="CL1023" s="23"/>
      <c r="CM1023" s="23"/>
      <c r="CN1023" s="23"/>
      <c r="CO1023" s="23"/>
      <c r="CP1023" s="23"/>
      <c r="CQ1023" s="23"/>
      <c r="CR1023" s="23"/>
      <c r="CS1023" s="23"/>
      <c r="CT1023" s="23"/>
      <c r="CU1023" s="23"/>
      <c r="CV1023" s="23"/>
      <c r="CW1023" s="23"/>
      <c r="CX1023" s="23"/>
      <c r="CY1023" s="23"/>
      <c r="CZ1023" s="23"/>
      <c r="DA1023" s="23"/>
      <c r="DB1023" s="23"/>
      <c r="DC1023" s="23"/>
      <c r="DD1023" s="23"/>
      <c r="DE1023" s="23"/>
      <c r="DF1023" s="23"/>
      <c r="DG1023" s="23"/>
      <c r="DH1023" s="23"/>
      <c r="DI1023" s="23"/>
      <c r="DJ1023" s="23"/>
      <c r="DK1023" s="23"/>
      <c r="DL1023" s="23"/>
      <c r="DM1023" s="23"/>
      <c r="DN1023" s="23"/>
      <c r="DO1023" s="23"/>
      <c r="DP1023" s="23"/>
      <c r="DQ1023" s="23"/>
      <c r="DR1023" s="23"/>
      <c r="DS1023" s="23"/>
      <c r="DT1023" s="23"/>
      <c r="DU1023" s="23"/>
      <c r="DV1023" s="23"/>
      <c r="DW1023" s="23"/>
      <c r="DX1023" s="23"/>
      <c r="DY1023" s="23"/>
      <c r="DZ1023" s="23"/>
      <c r="EA1023" s="23"/>
      <c r="EB1023" s="23"/>
      <c r="EC1023" s="23"/>
      <c r="ED1023" s="23"/>
      <c r="EE1023" s="23"/>
      <c r="EF1023" s="23"/>
      <c r="EG1023" s="23"/>
      <c r="EH1023" s="23"/>
      <c r="EI1023" s="23"/>
      <c r="EJ1023" s="23"/>
      <c r="EK1023" s="23"/>
      <c r="EL1023" s="23"/>
      <c r="EM1023" s="23"/>
      <c r="EN1023" s="23"/>
      <c r="EO1023" s="23"/>
      <c r="EP1023" s="23"/>
      <c r="EQ1023" s="23"/>
      <c r="ER1023" s="23"/>
      <c r="ES1023" s="23"/>
      <c r="ET1023" s="23"/>
      <c r="EU1023" s="23"/>
      <c r="EV1023" s="23"/>
      <c r="EW1023" s="23"/>
      <c r="EX1023" s="23"/>
      <c r="EY1023" s="23"/>
      <c r="EZ1023" s="23"/>
      <c r="FA1023" s="23"/>
      <c r="FB1023" s="23"/>
      <c r="FC1023" s="23"/>
      <c r="FD1023" s="23"/>
      <c r="FE1023" s="23"/>
      <c r="FF1023" s="23"/>
      <c r="FG1023" s="23"/>
      <c r="FH1023" s="23"/>
      <c r="FI1023" s="23"/>
      <c r="FJ1023" s="23"/>
      <c r="FK1023" s="23"/>
      <c r="FL1023" s="23"/>
      <c r="FM1023" s="23"/>
      <c r="FN1023" s="23"/>
      <c r="FO1023" s="23"/>
      <c r="FP1023" s="23"/>
      <c r="FQ1023" s="23"/>
      <c r="FR1023" s="23"/>
      <c r="FS1023" s="23"/>
      <c r="FT1023" s="23"/>
      <c r="FU1023" s="23"/>
      <c r="FV1023" s="23"/>
      <c r="FW1023" s="23"/>
      <c r="FX1023" s="23"/>
      <c r="FY1023" s="23"/>
      <c r="FZ1023" s="23"/>
      <c r="GA1023" s="23"/>
      <c r="GB1023" s="23"/>
      <c r="GC1023" s="23"/>
      <c r="GD1023" s="23"/>
      <c r="GE1023" s="23"/>
      <c r="GF1023" s="23"/>
      <c r="GG1023" s="23"/>
      <c r="GH1023" s="23"/>
      <c r="GI1023" s="23"/>
      <c r="GJ1023" s="23"/>
      <c r="GK1023" s="23"/>
      <c r="GL1023" s="23"/>
      <c r="GM1023" s="23"/>
      <c r="GN1023" s="23"/>
      <c r="GO1023" s="23"/>
      <c r="GP1023" s="23"/>
      <c r="GQ1023" s="23"/>
      <c r="GR1023" s="23"/>
      <c r="GS1023" s="23"/>
      <c r="GT1023" s="23"/>
      <c r="GU1023" s="23"/>
      <c r="GV1023" s="23"/>
      <c r="GW1023" s="23"/>
      <c r="GX1023" s="23"/>
      <c r="GY1023" s="23"/>
      <c r="GZ1023" s="23"/>
      <c r="HA1023" s="23"/>
      <c r="HB1023" s="23"/>
      <c r="HC1023" s="23"/>
      <c r="HD1023" s="23"/>
      <c r="HE1023" s="23"/>
      <c r="HF1023" s="23"/>
      <c r="HG1023" s="23"/>
      <c r="HH1023" s="23"/>
      <c r="HI1023" s="23"/>
      <c r="HJ1023" s="23"/>
      <c r="HK1023" s="23"/>
      <c r="HL1023" s="23"/>
      <c r="HM1023" s="23"/>
      <c r="HN1023" s="23"/>
      <c r="HO1023" s="23"/>
      <c r="HP1023" s="23"/>
      <c r="HQ1023" s="23"/>
      <c r="HR1023" s="23"/>
      <c r="HS1023" s="23"/>
      <c r="HT1023" s="23"/>
      <c r="HU1023" s="23"/>
      <c r="HV1023" s="23"/>
      <c r="HW1023" s="23"/>
      <c r="HX1023" s="23"/>
      <c r="HY1023" s="23"/>
      <c r="HZ1023" s="23"/>
      <c r="IA1023" s="23"/>
      <c r="IB1023" s="23"/>
      <c r="IC1023" s="23"/>
      <c r="ID1023" s="23"/>
      <c r="IE1023" s="23"/>
      <c r="IF1023" s="23"/>
      <c r="IG1023" s="23"/>
      <c r="IH1023" s="23"/>
      <c r="II1023" s="23"/>
      <c r="IJ1023" s="23"/>
      <c r="IK1023" s="23"/>
      <c r="IL1023" s="23"/>
      <c r="IM1023" s="23"/>
      <c r="IN1023" s="23"/>
      <c r="IO1023" s="23"/>
      <c r="IP1023" s="23"/>
      <c r="IQ1023" s="23"/>
      <c r="IR1023" s="23"/>
      <c r="IS1023" s="23"/>
      <c r="IT1023" s="23"/>
      <c r="IU1023" s="23"/>
      <c r="IV1023" s="23"/>
      <c r="IW1023" s="23"/>
      <c r="IX1023" s="23"/>
      <c r="IY1023" s="23"/>
      <c r="IZ1023" s="23"/>
      <c r="JA1023" s="23"/>
      <c r="JB1023" s="23"/>
      <c r="JC1023" s="23"/>
      <c r="JD1023" s="23"/>
      <c r="JE1023" s="23"/>
      <c r="JF1023" s="23"/>
      <c r="JG1023" s="23"/>
      <c r="JH1023" s="23"/>
      <c r="JI1023" s="23"/>
      <c r="JJ1023" s="23"/>
      <c r="JK1023" s="23"/>
      <c r="JL1023" s="23"/>
      <c r="JM1023" s="23"/>
      <c r="JN1023" s="23"/>
      <c r="JO1023" s="23"/>
      <c r="JP1023" s="23"/>
      <c r="JQ1023" s="23"/>
      <c r="JR1023" s="23"/>
      <c r="JS1023" s="23"/>
      <c r="JT1023" s="23"/>
      <c r="JU1023" s="23"/>
      <c r="JV1023" s="23"/>
      <c r="JW1023" s="23"/>
      <c r="JX1023" s="23"/>
      <c r="JY1023" s="23"/>
      <c r="JZ1023" s="23"/>
      <c r="KA1023" s="23"/>
      <c r="KB1023" s="23"/>
      <c r="KC1023" s="23"/>
      <c r="KD1023" s="23"/>
      <c r="KE1023" s="23"/>
      <c r="KF1023" s="23"/>
      <c r="KG1023" s="23"/>
      <c r="KH1023" s="23"/>
      <c r="KI1023" s="23"/>
      <c r="KJ1023" s="23"/>
      <c r="KK1023" s="23"/>
      <c r="KL1023" s="23"/>
      <c r="KM1023" s="23"/>
      <c r="KN1023" s="23"/>
      <c r="KO1023" s="23"/>
      <c r="KP1023" s="23"/>
      <c r="KQ1023" s="23"/>
      <c r="KR1023" s="23"/>
      <c r="KS1023" s="23"/>
      <c r="KT1023" s="23"/>
      <c r="KU1023" s="23"/>
      <c r="KV1023" s="23"/>
      <c r="KW1023" s="23"/>
      <c r="KX1023" s="23"/>
      <c r="KY1023" s="23"/>
      <c r="KZ1023" s="23"/>
      <c r="LA1023" s="23"/>
      <c r="LB1023" s="23"/>
      <c r="LC1023" s="23"/>
      <c r="LD1023" s="23"/>
      <c r="LE1023" s="23"/>
      <c r="LF1023" s="23"/>
      <c r="LG1023" s="23"/>
      <c r="LH1023" s="23"/>
      <c r="LI1023" s="23"/>
      <c r="LJ1023" s="23"/>
      <c r="LK1023" s="23"/>
      <c r="LL1023" s="23"/>
      <c r="LM1023" s="23"/>
      <c r="LN1023" s="23"/>
      <c r="LO1023" s="23"/>
      <c r="LP1023" s="23"/>
      <c r="LQ1023" s="23"/>
      <c r="LR1023" s="23"/>
      <c r="LS1023" s="23"/>
      <c r="LT1023" s="23"/>
      <c r="LU1023" s="23"/>
      <c r="LV1023" s="23"/>
      <c r="LW1023" s="23"/>
      <c r="LX1023" s="23"/>
      <c r="LY1023" s="23"/>
      <c r="LZ1023" s="23"/>
      <c r="MA1023" s="23"/>
      <c r="MB1023" s="23"/>
      <c r="MC1023" s="23"/>
      <c r="MD1023" s="23"/>
      <c r="ME1023" s="23"/>
      <c r="MF1023" s="23"/>
      <c r="MG1023" s="23"/>
      <c r="MH1023" s="23"/>
      <c r="MI1023" s="23"/>
      <c r="MJ1023" s="23"/>
      <c r="MK1023" s="23"/>
      <c r="ML1023" s="23"/>
      <c r="MM1023" s="23"/>
      <c r="MN1023" s="23"/>
      <c r="MO1023" s="23"/>
      <c r="MP1023" s="23"/>
      <c r="MQ1023" s="23"/>
      <c r="MR1023" s="23"/>
      <c r="MS1023" s="23"/>
      <c r="MT1023" s="23"/>
      <c r="MU1023" s="23"/>
      <c r="MV1023" s="23"/>
      <c r="MW1023" s="23"/>
      <c r="MX1023" s="23"/>
      <c r="MY1023" s="23"/>
      <c r="MZ1023" s="23"/>
      <c r="NA1023" s="23"/>
      <c r="NB1023" s="23"/>
      <c r="NC1023" s="23"/>
      <c r="ND1023" s="23"/>
      <c r="NE1023" s="23"/>
      <c r="NF1023" s="23"/>
      <c r="NG1023" s="23"/>
      <c r="NH1023" s="23"/>
      <c r="NI1023" s="23"/>
      <c r="NJ1023" s="23"/>
      <c r="NK1023" s="23"/>
      <c r="NL1023" s="23"/>
      <c r="NM1023" s="23"/>
      <c r="NN1023" s="23"/>
      <c r="NO1023" s="23"/>
      <c r="NP1023" s="23"/>
      <c r="NQ1023" s="23"/>
      <c r="NR1023" s="23"/>
      <c r="NS1023" s="23"/>
      <c r="NT1023" s="23"/>
      <c r="NU1023" s="23"/>
      <c r="NV1023" s="23"/>
      <c r="NW1023" s="23"/>
      <c r="NX1023" s="23"/>
      <c r="NY1023" s="23"/>
      <c r="NZ1023" s="23"/>
      <c r="OA1023" s="23"/>
      <c r="OB1023" s="23"/>
      <c r="OC1023" s="23"/>
      <c r="OD1023" s="23"/>
      <c r="OE1023" s="23"/>
      <c r="OF1023" s="23"/>
      <c r="OG1023" s="23"/>
      <c r="OH1023" s="23"/>
      <c r="OI1023" s="23"/>
      <c r="OJ1023" s="23"/>
      <c r="OK1023" s="23"/>
      <c r="OL1023" s="23"/>
      <c r="OM1023" s="23"/>
      <c r="ON1023" s="23"/>
      <c r="OO1023" s="23"/>
      <c r="OP1023" s="23"/>
      <c r="OQ1023" s="23"/>
      <c r="OR1023" s="23"/>
      <c r="OS1023" s="23"/>
      <c r="OT1023" s="23"/>
      <c r="OU1023" s="23"/>
      <c r="OV1023" s="23"/>
      <c r="OW1023" s="23"/>
      <c r="OX1023" s="23"/>
      <c r="OY1023" s="23"/>
      <c r="OZ1023" s="23"/>
      <c r="PA1023" s="23"/>
      <c r="PB1023" s="23"/>
      <c r="PC1023" s="23"/>
      <c r="PD1023" s="23"/>
      <c r="PE1023" s="23"/>
      <c r="PF1023" s="23"/>
      <c r="PG1023" s="23"/>
      <c r="PH1023" s="23"/>
      <c r="PI1023" s="23"/>
      <c r="PJ1023" s="23"/>
      <c r="PK1023" s="23"/>
      <c r="PL1023" s="23"/>
      <c r="PM1023" s="23"/>
      <c r="PN1023" s="23"/>
      <c r="PO1023" s="23"/>
      <c r="PP1023" s="23"/>
      <c r="PQ1023" s="23"/>
      <c r="PR1023" s="23"/>
      <c r="PS1023" s="23"/>
      <c r="PT1023" s="23"/>
      <c r="PU1023" s="23"/>
      <c r="PV1023" s="23"/>
      <c r="PW1023" s="23"/>
      <c r="PX1023" s="23"/>
      <c r="PY1023" s="23"/>
      <c r="PZ1023" s="23"/>
      <c r="QA1023" s="23"/>
      <c r="QB1023" s="23"/>
      <c r="QC1023" s="23"/>
      <c r="QD1023" s="23"/>
      <c r="QE1023" s="23"/>
      <c r="QF1023" s="23"/>
      <c r="QG1023" s="23"/>
      <c r="QH1023" s="23"/>
      <c r="QI1023" s="23"/>
      <c r="QJ1023" s="23"/>
      <c r="QK1023" s="23"/>
      <c r="QL1023" s="23"/>
      <c r="QM1023" s="23"/>
      <c r="QN1023" s="23"/>
      <c r="QO1023" s="23"/>
      <c r="QP1023" s="23"/>
      <c r="QQ1023" s="23"/>
      <c r="QR1023" s="23"/>
      <c r="QS1023" s="23"/>
      <c r="QT1023" s="23"/>
      <c r="QU1023" s="23"/>
      <c r="QV1023" s="23"/>
      <c r="QW1023" s="23"/>
      <c r="QX1023" s="23"/>
      <c r="QY1023" s="23"/>
      <c r="QZ1023" s="23"/>
      <c r="RA1023" s="23"/>
      <c r="RB1023" s="23"/>
      <c r="RC1023" s="23"/>
      <c r="RD1023" s="23"/>
      <c r="RE1023" s="23"/>
      <c r="RF1023" s="23"/>
      <c r="RG1023" s="23"/>
      <c r="RH1023" s="23"/>
      <c r="RI1023" s="23"/>
      <c r="RJ1023" s="23"/>
      <c r="RK1023" s="23"/>
      <c r="RL1023" s="23"/>
      <c r="RM1023" s="23"/>
      <c r="RN1023" s="23"/>
      <c r="RO1023" s="23"/>
      <c r="RP1023" s="23"/>
      <c r="RQ1023" s="23"/>
      <c r="RR1023" s="23"/>
      <c r="RS1023" s="23"/>
      <c r="RT1023" s="23"/>
      <c r="RU1023" s="23"/>
      <c r="RV1023" s="23"/>
      <c r="RW1023" s="23"/>
      <c r="RX1023" s="23"/>
      <c r="RY1023" s="23"/>
      <c r="RZ1023" s="23"/>
      <c r="SA1023" s="23"/>
      <c r="SB1023" s="23"/>
      <c r="SC1023" s="23"/>
      <c r="SD1023" s="23"/>
      <c r="SE1023" s="23"/>
      <c r="SF1023" s="23"/>
      <c r="SG1023" s="23"/>
      <c r="SH1023" s="23"/>
      <c r="SI1023" s="23"/>
      <c r="SJ1023" s="23"/>
      <c r="SK1023" s="23"/>
      <c r="SL1023" s="23"/>
      <c r="SM1023" s="23"/>
      <c r="SN1023" s="23"/>
      <c r="SO1023" s="23"/>
      <c r="SP1023" s="23"/>
      <c r="SQ1023" s="23"/>
      <c r="SR1023" s="23"/>
      <c r="SS1023" s="23"/>
      <c r="ST1023" s="23"/>
      <c r="SU1023" s="23"/>
      <c r="SV1023" s="23"/>
      <c r="SW1023" s="23"/>
      <c r="SX1023" s="23"/>
      <c r="SY1023" s="23"/>
      <c r="SZ1023" s="23"/>
      <c r="TA1023" s="23"/>
      <c r="TB1023" s="23"/>
      <c r="TC1023" s="23"/>
      <c r="TD1023" s="23"/>
      <c r="TE1023" s="23"/>
      <c r="TF1023" s="23"/>
      <c r="TG1023" s="23"/>
      <c r="TH1023" s="23"/>
      <c r="TI1023" s="23"/>
      <c r="TJ1023" s="23"/>
      <c r="TK1023" s="23"/>
      <c r="TL1023" s="23"/>
      <c r="TM1023" s="23"/>
      <c r="TN1023" s="23"/>
      <c r="TO1023" s="23"/>
      <c r="TP1023" s="23"/>
      <c r="TQ1023" s="23"/>
      <c r="TR1023" s="23"/>
      <c r="TS1023" s="23"/>
      <c r="TT1023" s="23"/>
      <c r="TU1023" s="23"/>
      <c r="TV1023" s="23"/>
      <c r="TW1023" s="23"/>
      <c r="TX1023" s="23"/>
      <c r="TY1023" s="23"/>
      <c r="TZ1023" s="23"/>
      <c r="UA1023" s="23"/>
      <c r="UB1023" s="23"/>
      <c r="UC1023" s="23"/>
      <c r="UD1023" s="23"/>
      <c r="UE1023" s="23"/>
      <c r="UF1023" s="23"/>
      <c r="UG1023" s="23"/>
      <c r="UH1023" s="23"/>
      <c r="UI1023" s="23"/>
      <c r="UJ1023" s="23"/>
      <c r="UK1023" s="23"/>
      <c r="UL1023" s="23"/>
      <c r="UM1023" s="23"/>
      <c r="UN1023" s="23"/>
      <c r="UO1023" s="23"/>
      <c r="UP1023" s="23"/>
      <c r="UQ1023" s="23"/>
      <c r="UR1023" s="23"/>
      <c r="US1023" s="23"/>
      <c r="UT1023" s="23"/>
      <c r="UU1023" s="23"/>
      <c r="UV1023" s="23"/>
      <c r="UW1023" s="23"/>
      <c r="UX1023" s="23"/>
      <c r="UY1023" s="23"/>
      <c r="UZ1023" s="23"/>
      <c r="VA1023" s="23"/>
      <c r="VB1023" s="23"/>
      <c r="VC1023" s="23"/>
      <c r="VD1023" s="23"/>
      <c r="VE1023" s="23"/>
      <c r="VF1023" s="23"/>
      <c r="VG1023" s="23"/>
      <c r="VH1023" s="23"/>
      <c r="VI1023" s="23"/>
      <c r="VJ1023" s="23"/>
      <c r="VK1023" s="23"/>
      <c r="VL1023" s="23"/>
      <c r="VM1023" s="23"/>
      <c r="VN1023" s="23"/>
      <c r="VO1023" s="23"/>
      <c r="VP1023" s="23"/>
      <c r="VQ1023" s="23"/>
      <c r="VR1023" s="23"/>
      <c r="VS1023" s="23"/>
      <c r="VT1023" s="23"/>
      <c r="VU1023" s="23"/>
      <c r="VV1023" s="23"/>
      <c r="VW1023" s="23"/>
      <c r="VX1023" s="23"/>
      <c r="VY1023" s="23"/>
      <c r="VZ1023" s="23"/>
      <c r="WA1023" s="23"/>
      <c r="WB1023" s="23"/>
      <c r="WC1023" s="23"/>
      <c r="WD1023" s="23"/>
      <c r="WE1023" s="23"/>
      <c r="WF1023" s="23"/>
      <c r="WG1023" s="23"/>
      <c r="WH1023" s="23"/>
      <c r="WI1023" s="23"/>
      <c r="WJ1023" s="23"/>
      <c r="WK1023" s="23"/>
      <c r="WL1023" s="23"/>
      <c r="WM1023" s="23"/>
      <c r="WN1023" s="23"/>
      <c r="WO1023" s="23"/>
      <c r="WP1023" s="23"/>
      <c r="WQ1023" s="23"/>
      <c r="WR1023" s="23"/>
      <c r="WS1023" s="23"/>
      <c r="WT1023" s="23"/>
      <c r="WU1023" s="23"/>
      <c r="WV1023" s="23"/>
      <c r="WW1023" s="23"/>
      <c r="WX1023" s="23"/>
      <c r="WY1023" s="23"/>
      <c r="WZ1023" s="23"/>
      <c r="XA1023" s="23"/>
      <c r="XB1023" s="23"/>
      <c r="XC1023" s="23"/>
      <c r="XD1023" s="23"/>
      <c r="XE1023" s="23"/>
      <c r="XF1023" s="23"/>
      <c r="XG1023" s="23"/>
      <c r="XH1023" s="23"/>
      <c r="XI1023" s="23"/>
      <c r="XJ1023" s="23"/>
      <c r="XK1023" s="23"/>
      <c r="XL1023" s="23"/>
      <c r="XM1023" s="23"/>
      <c r="XN1023" s="23"/>
      <c r="XO1023" s="23"/>
      <c r="XP1023" s="23"/>
      <c r="XQ1023" s="23"/>
      <c r="XR1023" s="23"/>
      <c r="XS1023" s="23"/>
      <c r="XT1023" s="23"/>
      <c r="XU1023" s="23"/>
      <c r="XV1023" s="23"/>
      <c r="XW1023" s="23"/>
      <c r="XX1023" s="23"/>
      <c r="XY1023" s="23"/>
      <c r="XZ1023" s="23"/>
      <c r="YA1023" s="23"/>
      <c r="YB1023" s="23"/>
      <c r="YC1023" s="23"/>
      <c r="YD1023" s="23"/>
      <c r="YE1023" s="23"/>
      <c r="YF1023" s="23"/>
      <c r="YG1023" s="23"/>
      <c r="YH1023" s="23"/>
      <c r="YI1023" s="23"/>
      <c r="YJ1023" s="23"/>
      <c r="YK1023" s="23"/>
      <c r="YL1023" s="23"/>
      <c r="YM1023" s="23"/>
      <c r="YN1023" s="23"/>
      <c r="YO1023" s="23"/>
      <c r="YP1023" s="23"/>
      <c r="YQ1023" s="23"/>
      <c r="YR1023" s="23"/>
      <c r="YS1023" s="23"/>
      <c r="YT1023" s="23"/>
      <c r="YU1023" s="23"/>
      <c r="YV1023" s="23"/>
      <c r="YW1023" s="23"/>
      <c r="YX1023" s="23"/>
      <c r="YY1023" s="23"/>
      <c r="YZ1023" s="23"/>
      <c r="ZA1023" s="23"/>
      <c r="ZB1023" s="23"/>
      <c r="ZC1023" s="23"/>
      <c r="ZD1023" s="23"/>
      <c r="ZE1023" s="23"/>
      <c r="ZF1023" s="23"/>
      <c r="ZG1023" s="23"/>
      <c r="ZH1023" s="23"/>
      <c r="ZI1023" s="23"/>
      <c r="ZJ1023" s="23"/>
      <c r="ZK1023" s="23"/>
      <c r="ZL1023" s="23"/>
      <c r="ZM1023" s="23"/>
      <c r="ZN1023" s="23"/>
      <c r="ZO1023" s="23"/>
      <c r="ZP1023" s="23"/>
      <c r="ZQ1023" s="23"/>
      <c r="ZR1023" s="23"/>
      <c r="ZS1023" s="23"/>
      <c r="ZT1023" s="23"/>
      <c r="ZU1023" s="23"/>
      <c r="ZV1023" s="23"/>
      <c r="ZW1023" s="23"/>
      <c r="ZX1023" s="23"/>
      <c r="ZY1023" s="23"/>
      <c r="ZZ1023" s="23"/>
      <c r="AAA1023" s="23"/>
      <c r="AAB1023" s="23"/>
      <c r="AAC1023" s="23"/>
      <c r="AAD1023" s="23"/>
      <c r="AAE1023" s="23"/>
      <c r="AAF1023" s="23"/>
      <c r="AAG1023" s="23"/>
      <c r="AAH1023" s="23"/>
      <c r="AAI1023" s="23"/>
      <c r="AAJ1023" s="23"/>
      <c r="AAK1023" s="23"/>
      <c r="AAL1023" s="23"/>
      <c r="AAM1023" s="23"/>
      <c r="AAN1023" s="23"/>
      <c r="AAO1023" s="23"/>
      <c r="AAP1023" s="23"/>
      <c r="AAQ1023" s="23"/>
      <c r="AAR1023" s="23"/>
      <c r="AAS1023" s="23"/>
      <c r="AAT1023" s="23"/>
      <c r="AAU1023" s="23"/>
      <c r="AAV1023" s="23"/>
      <c r="AAW1023" s="23"/>
      <c r="AAX1023" s="23"/>
      <c r="AAY1023" s="23"/>
      <c r="AAZ1023" s="23"/>
      <c r="ABA1023" s="23"/>
      <c r="ABB1023" s="23"/>
      <c r="ABC1023" s="23"/>
      <c r="ABD1023" s="23"/>
      <c r="ABE1023" s="23"/>
      <c r="ABF1023" s="23"/>
      <c r="ABG1023" s="23"/>
      <c r="ABH1023" s="23"/>
      <c r="ABI1023" s="23"/>
      <c r="ABJ1023" s="23"/>
      <c r="ABK1023" s="23"/>
      <c r="ABL1023" s="23"/>
      <c r="ABM1023" s="23"/>
      <c r="ABN1023" s="23"/>
      <c r="ABO1023" s="23"/>
      <c r="ABP1023" s="23"/>
      <c r="ABQ1023" s="23"/>
      <c r="ABR1023" s="23"/>
      <c r="ABS1023" s="23"/>
      <c r="ABT1023" s="23"/>
      <c r="ABU1023" s="23"/>
      <c r="ABV1023" s="23"/>
      <c r="ABW1023" s="23"/>
      <c r="ABX1023" s="23"/>
      <c r="ABY1023" s="23"/>
      <c r="ABZ1023" s="23"/>
      <c r="ACA1023" s="23"/>
      <c r="ACB1023" s="23"/>
      <c r="ACC1023" s="23"/>
      <c r="ACD1023" s="23"/>
      <c r="ACE1023" s="23"/>
      <c r="ACF1023" s="23"/>
      <c r="ACG1023" s="23"/>
      <c r="ACH1023" s="23"/>
      <c r="ACI1023" s="23"/>
      <c r="ACJ1023" s="23"/>
      <c r="ACK1023" s="23"/>
      <c r="ACL1023" s="23"/>
      <c r="ACM1023" s="23"/>
      <c r="ACN1023" s="23"/>
      <c r="ACO1023" s="23"/>
      <c r="ACP1023" s="23"/>
      <c r="ACQ1023" s="23"/>
      <c r="ACR1023" s="23"/>
      <c r="ACS1023" s="23"/>
      <c r="ACT1023" s="23"/>
      <c r="ACU1023" s="23"/>
      <c r="ACV1023" s="23"/>
      <c r="ACW1023" s="23"/>
      <c r="ACX1023" s="23"/>
      <c r="ACY1023" s="23"/>
      <c r="ACZ1023" s="23"/>
      <c r="ADA1023" s="23"/>
      <c r="ADB1023" s="23"/>
      <c r="ADC1023" s="23"/>
      <c r="ADD1023" s="23"/>
      <c r="ADE1023" s="23"/>
      <c r="ADF1023" s="23"/>
      <c r="ADG1023" s="23"/>
      <c r="ADH1023" s="23"/>
      <c r="ADI1023" s="23"/>
      <c r="ADJ1023" s="23"/>
      <c r="ADK1023" s="23"/>
      <c r="ADL1023" s="23"/>
      <c r="ADM1023" s="23"/>
      <c r="ADN1023" s="23"/>
      <c r="ADO1023" s="23"/>
      <c r="ADP1023" s="23"/>
      <c r="ADQ1023" s="23"/>
      <c r="ADR1023" s="23"/>
      <c r="ADS1023" s="23"/>
      <c r="ADT1023" s="23"/>
      <c r="ADU1023" s="23"/>
      <c r="ADV1023" s="23"/>
      <c r="ADW1023" s="23"/>
      <c r="ADX1023" s="23"/>
      <c r="ADY1023" s="23"/>
      <c r="ADZ1023" s="23"/>
      <c r="AEA1023" s="23"/>
      <c r="AEB1023" s="23"/>
      <c r="AEC1023" s="23"/>
      <c r="AED1023" s="23"/>
      <c r="AEE1023" s="23"/>
      <c r="AEF1023" s="23"/>
      <c r="AEG1023" s="23"/>
      <c r="AEH1023" s="23"/>
      <c r="AEI1023" s="23"/>
      <c r="AEJ1023" s="23"/>
      <c r="AEK1023" s="23"/>
      <c r="AEL1023" s="23"/>
      <c r="AEM1023" s="23"/>
      <c r="AEN1023" s="23"/>
      <c r="AEO1023" s="23"/>
      <c r="AEP1023" s="23"/>
      <c r="AEQ1023" s="23"/>
      <c r="AER1023" s="23"/>
      <c r="AES1023" s="23"/>
      <c r="AET1023" s="23"/>
      <c r="AEU1023" s="23"/>
      <c r="AEV1023" s="23"/>
      <c r="AEW1023" s="23"/>
      <c r="AEX1023" s="23"/>
      <c r="AEY1023" s="23"/>
      <c r="AEZ1023" s="23"/>
      <c r="AFA1023" s="23"/>
      <c r="AFB1023" s="23"/>
      <c r="AFC1023" s="23"/>
      <c r="AFD1023" s="23"/>
      <c r="AFE1023" s="23"/>
      <c r="AFF1023" s="23"/>
      <c r="AFG1023" s="23"/>
      <c r="AFH1023" s="23"/>
      <c r="AFI1023" s="23"/>
      <c r="AFJ1023" s="23"/>
      <c r="AFK1023" s="23"/>
      <c r="AFL1023" s="23"/>
      <c r="AFM1023" s="23"/>
      <c r="AFN1023" s="23"/>
      <c r="AFO1023" s="23"/>
      <c r="AFP1023" s="23"/>
      <c r="AFQ1023" s="23"/>
      <c r="AFR1023" s="23"/>
      <c r="AFS1023" s="23"/>
      <c r="AFT1023" s="23"/>
      <c r="AFU1023" s="23"/>
      <c r="AFV1023" s="23"/>
      <c r="AFW1023" s="23"/>
      <c r="AFX1023" s="23"/>
      <c r="AFY1023" s="23"/>
      <c r="AFZ1023" s="23"/>
      <c r="AGA1023" s="23"/>
      <c r="AGB1023" s="23"/>
      <c r="AGC1023" s="23"/>
      <c r="AGD1023" s="23"/>
      <c r="AGE1023" s="23"/>
      <c r="AGF1023" s="23"/>
      <c r="AGG1023" s="23"/>
      <c r="AGH1023" s="23"/>
      <c r="AGI1023" s="23"/>
      <c r="AGJ1023" s="23"/>
      <c r="AGK1023" s="23"/>
      <c r="AGL1023" s="23"/>
      <c r="AGM1023" s="23"/>
      <c r="AGN1023" s="23"/>
      <c r="AGO1023" s="23"/>
      <c r="AGP1023" s="23"/>
      <c r="AGQ1023" s="23"/>
      <c r="AGR1023" s="23"/>
      <c r="AGS1023" s="23"/>
      <c r="AGT1023" s="23"/>
      <c r="AGU1023" s="23"/>
      <c r="AGV1023" s="23"/>
      <c r="AGW1023" s="23"/>
      <c r="AGX1023" s="23"/>
      <c r="AGY1023" s="23"/>
      <c r="AGZ1023" s="23"/>
      <c r="AHA1023" s="23"/>
      <c r="AHB1023" s="23"/>
      <c r="AHC1023" s="23"/>
      <c r="AHD1023" s="23"/>
      <c r="AHE1023" s="23"/>
      <c r="AHF1023" s="23"/>
      <c r="AHG1023" s="23"/>
      <c r="AHH1023" s="23"/>
      <c r="AHI1023" s="23"/>
      <c r="AHJ1023" s="23"/>
      <c r="AHK1023" s="23"/>
      <c r="AHL1023" s="23"/>
      <c r="AHM1023" s="23"/>
      <c r="AHN1023" s="23"/>
      <c r="AHO1023" s="23"/>
      <c r="AHP1023" s="23"/>
      <c r="AHQ1023" s="23"/>
      <c r="AHR1023" s="23"/>
      <c r="AHS1023" s="23"/>
      <c r="AHT1023" s="23"/>
      <c r="AHU1023" s="23"/>
      <c r="AHV1023" s="23"/>
      <c r="AHW1023" s="23"/>
      <c r="AHX1023" s="23"/>
      <c r="AHY1023" s="23"/>
      <c r="AHZ1023" s="23"/>
      <c r="AIA1023" s="23"/>
      <c r="AIB1023" s="23"/>
      <c r="AIC1023" s="23"/>
      <c r="AID1023" s="23"/>
      <c r="AIE1023" s="23"/>
      <c r="AIF1023" s="23"/>
      <c r="AIG1023" s="23"/>
      <c r="AIH1023" s="23"/>
      <c r="AII1023" s="23"/>
      <c r="AIJ1023" s="23"/>
      <c r="AIK1023" s="23"/>
      <c r="AIL1023" s="23"/>
      <c r="AIM1023" s="23"/>
      <c r="AIN1023" s="23"/>
      <c r="AIO1023" s="23"/>
      <c r="AIP1023" s="23"/>
      <c r="AIQ1023" s="23"/>
      <c r="AIR1023" s="23"/>
      <c r="AIS1023" s="23"/>
      <c r="AIT1023" s="23"/>
      <c r="AIU1023" s="23"/>
      <c r="AIV1023" s="23"/>
      <c r="AIW1023" s="23"/>
      <c r="AIX1023" s="23"/>
      <c r="AIY1023" s="23"/>
      <c r="AIZ1023" s="23"/>
      <c r="AJA1023" s="23"/>
      <c r="AJB1023" s="23"/>
      <c r="AJC1023" s="23"/>
      <c r="AJD1023" s="23"/>
      <c r="AJE1023" s="23"/>
      <c r="AJF1023" s="23"/>
      <c r="AJG1023" s="23"/>
      <c r="AJH1023" s="23"/>
      <c r="AJI1023" s="23"/>
      <c r="AJJ1023" s="23"/>
      <c r="AJK1023" s="23"/>
      <c r="AJL1023" s="23"/>
      <c r="AJM1023" s="23"/>
      <c r="AJN1023" s="23"/>
      <c r="AJO1023" s="23"/>
      <c r="AJP1023" s="23"/>
      <c r="AJQ1023" s="23"/>
      <c r="AJR1023" s="23"/>
      <c r="AJS1023" s="23"/>
      <c r="AJT1023" s="23"/>
      <c r="AJU1023" s="23"/>
      <c r="AJV1023" s="23"/>
      <c r="AJW1023" s="23"/>
      <c r="AJX1023" s="23"/>
      <c r="AJY1023" s="23"/>
      <c r="AJZ1023" s="23"/>
      <c r="AKA1023" s="23"/>
      <c r="AKB1023" s="23"/>
      <c r="AKC1023" s="23"/>
      <c r="AKD1023" s="23"/>
      <c r="AKE1023" s="23"/>
      <c r="AKF1023" s="23"/>
      <c r="AKG1023" s="23"/>
      <c r="AKH1023" s="23"/>
      <c r="AKI1023" s="23"/>
      <c r="AKJ1023" s="23"/>
      <c r="AKK1023" s="23"/>
      <c r="AKL1023" s="23"/>
      <c r="AKM1023" s="23"/>
      <c r="AKN1023" s="23"/>
      <c r="AKO1023" s="23"/>
      <c r="AKP1023" s="23"/>
      <c r="AKQ1023" s="23"/>
      <c r="AKR1023" s="23"/>
      <c r="AKS1023" s="23"/>
      <c r="AKT1023" s="23"/>
      <c r="AKU1023" s="23"/>
      <c r="AKV1023" s="23"/>
      <c r="AKW1023" s="23"/>
      <c r="AKX1023" s="23"/>
      <c r="AKY1023" s="23"/>
      <c r="AKZ1023" s="23"/>
      <c r="ALA1023" s="23"/>
      <c r="ALB1023" s="23"/>
      <c r="ALC1023" s="23"/>
      <c r="ALD1023" s="23"/>
      <c r="ALE1023" s="23"/>
      <c r="ALF1023" s="23"/>
      <c r="ALG1023" s="23"/>
      <c r="ALH1023" s="23"/>
      <c r="ALI1023" s="23"/>
      <c r="ALJ1023" s="23"/>
      <c r="ALK1023" s="23"/>
      <c r="ALL1023" s="23"/>
      <c r="ALM1023" s="23"/>
      <c r="ALN1023" s="23"/>
      <c r="ALO1023" s="23"/>
      <c r="ALP1023" s="23"/>
      <c r="ALQ1023" s="23"/>
      <c r="ALR1023" s="23"/>
      <c r="ALS1023" s="23"/>
      <c r="ALT1023" s="23"/>
      <c r="ALU1023" s="23"/>
      <c r="ALV1023" s="23"/>
      <c r="ALW1023" s="23"/>
      <c r="ALX1023" s="23"/>
      <c r="ALY1023" s="23"/>
      <c r="ALZ1023" s="23"/>
      <c r="AMA1023" s="23"/>
      <c r="AMB1023" s="23"/>
      <c r="AMC1023" s="23"/>
      <c r="AMD1023" s="23"/>
      <c r="AME1023" s="23"/>
      <c r="AMF1023" s="23"/>
      <c r="AMG1023" s="23"/>
      <c r="AMH1023" s="23"/>
      <c r="AMI1023" s="23"/>
      <c r="AMJ1023" s="23"/>
      <c r="AMK1023" s="23"/>
      <c r="AML1023" s="23"/>
      <c r="AMM1023" s="23"/>
      <c r="AMN1023" s="23"/>
      <c r="AMO1023" s="23"/>
      <c r="AMP1023" s="23"/>
      <c r="AMQ1023" s="23"/>
      <c r="AMR1023" s="23"/>
      <c r="AMS1023" s="23"/>
      <c r="AMT1023" s="23"/>
      <c r="AMU1023" s="23"/>
      <c r="AMV1023" s="23"/>
      <c r="AMW1023" s="23"/>
      <c r="AMX1023" s="23"/>
      <c r="AMY1023" s="23"/>
      <c r="AMZ1023" s="23"/>
      <c r="ANA1023" s="23"/>
      <c r="ANB1023" s="23"/>
      <c r="ANC1023" s="23"/>
      <c r="AND1023" s="23"/>
      <c r="ANE1023" s="23"/>
      <c r="ANF1023" s="23"/>
      <c r="ANG1023" s="23"/>
      <c r="ANH1023" s="23"/>
      <c r="ANI1023" s="23"/>
      <c r="ANJ1023" s="23"/>
      <c r="ANK1023" s="23"/>
      <c r="ANL1023" s="23"/>
      <c r="ANM1023" s="23"/>
      <c r="ANN1023" s="23"/>
      <c r="ANO1023" s="23"/>
      <c r="ANP1023" s="23"/>
      <c r="ANQ1023" s="23"/>
      <c r="ANR1023" s="23"/>
      <c r="ANS1023" s="23"/>
      <c r="ANT1023" s="23"/>
      <c r="ANU1023" s="23"/>
      <c r="ANV1023" s="23"/>
      <c r="ANW1023" s="23"/>
      <c r="ANX1023" s="23"/>
      <c r="ANY1023" s="23"/>
      <c r="ANZ1023" s="23"/>
      <c r="AOA1023" s="23"/>
      <c r="AOB1023" s="23"/>
      <c r="AOC1023" s="23"/>
      <c r="AOD1023" s="23"/>
      <c r="AOE1023" s="23"/>
      <c r="AOF1023" s="23"/>
      <c r="AOG1023" s="23"/>
      <c r="AOH1023" s="23"/>
      <c r="AOI1023" s="23"/>
      <c r="AOJ1023" s="23"/>
      <c r="AOK1023" s="23"/>
      <c r="AOL1023" s="23"/>
      <c r="AOM1023" s="23"/>
      <c r="AON1023" s="23"/>
      <c r="AOO1023" s="23"/>
      <c r="AOP1023" s="23"/>
      <c r="AOQ1023" s="23"/>
      <c r="AOR1023" s="23"/>
      <c r="AOS1023" s="23"/>
      <c r="AOT1023" s="23"/>
      <c r="AOU1023" s="23"/>
      <c r="AOV1023" s="23"/>
      <c r="AOW1023" s="23"/>
      <c r="AOX1023" s="23"/>
      <c r="AOY1023" s="23"/>
      <c r="AOZ1023" s="23"/>
      <c r="APA1023" s="23"/>
      <c r="APB1023" s="23"/>
      <c r="APC1023" s="23"/>
      <c r="APD1023" s="23"/>
      <c r="APE1023" s="23"/>
      <c r="APF1023" s="23"/>
      <c r="APG1023" s="23"/>
      <c r="APH1023" s="23"/>
      <c r="API1023" s="23"/>
      <c r="APJ1023" s="23"/>
      <c r="APK1023" s="23"/>
      <c r="APL1023" s="23"/>
      <c r="APM1023" s="23"/>
      <c r="APN1023" s="23"/>
      <c r="APO1023" s="23"/>
      <c r="APP1023" s="23"/>
      <c r="APQ1023" s="23"/>
      <c r="APR1023" s="23"/>
      <c r="APS1023" s="23"/>
      <c r="APT1023" s="23"/>
      <c r="APU1023" s="23"/>
      <c r="APV1023" s="23"/>
      <c r="APW1023" s="23"/>
      <c r="APX1023" s="23"/>
      <c r="APY1023" s="23"/>
      <c r="APZ1023" s="23"/>
      <c r="AQA1023" s="23"/>
      <c r="AQB1023" s="23"/>
      <c r="AQC1023" s="23"/>
      <c r="AQD1023" s="23"/>
      <c r="AQE1023" s="23"/>
      <c r="AQF1023" s="23"/>
      <c r="AQG1023" s="23"/>
      <c r="AQH1023" s="23"/>
      <c r="AQI1023" s="23"/>
      <c r="AQJ1023" s="23"/>
      <c r="AQK1023" s="23"/>
      <c r="AQL1023" s="23"/>
      <c r="AQM1023" s="23"/>
      <c r="AQN1023" s="23"/>
      <c r="AQO1023" s="23"/>
      <c r="AQP1023" s="23"/>
      <c r="AQQ1023" s="23"/>
      <c r="AQR1023" s="23"/>
      <c r="AQS1023" s="23"/>
      <c r="AQT1023" s="23"/>
      <c r="AQU1023" s="23"/>
      <c r="AQV1023" s="23"/>
      <c r="AQW1023" s="23"/>
      <c r="AQX1023" s="23"/>
      <c r="AQY1023" s="23"/>
      <c r="AQZ1023" s="23"/>
      <c r="ARA1023" s="23"/>
      <c r="ARB1023" s="23"/>
      <c r="ARC1023" s="23"/>
      <c r="ARD1023" s="23"/>
      <c r="ARE1023" s="23"/>
      <c r="ARF1023" s="23"/>
      <c r="ARG1023" s="23"/>
      <c r="ARH1023" s="23"/>
      <c r="ARI1023" s="23"/>
      <c r="ARJ1023" s="23"/>
      <c r="ARK1023" s="23"/>
      <c r="ARL1023" s="23"/>
      <c r="ARM1023" s="23"/>
      <c r="ARN1023" s="23"/>
      <c r="ARO1023" s="23"/>
      <c r="ARP1023" s="23"/>
      <c r="ARQ1023" s="23"/>
      <c r="ARR1023" s="23"/>
      <c r="ARS1023" s="23"/>
      <c r="ART1023" s="23"/>
      <c r="ARU1023" s="23"/>
      <c r="ARV1023" s="23"/>
      <c r="ARW1023" s="23"/>
      <c r="ARX1023" s="23"/>
      <c r="ARY1023" s="23"/>
      <c r="ARZ1023" s="23"/>
      <c r="ASA1023" s="23"/>
      <c r="ASB1023" s="23"/>
      <c r="ASC1023" s="23"/>
      <c r="ASD1023" s="23"/>
      <c r="ASE1023" s="23"/>
      <c r="ASF1023" s="23"/>
      <c r="ASG1023" s="23"/>
      <c r="ASH1023" s="23"/>
      <c r="ASI1023" s="23"/>
      <c r="ASJ1023" s="23"/>
      <c r="ASK1023" s="23"/>
      <c r="ASL1023" s="23"/>
      <c r="ASM1023" s="23"/>
      <c r="ASN1023" s="23"/>
      <c r="ASO1023" s="23"/>
      <c r="ASP1023" s="23"/>
      <c r="ASQ1023" s="23"/>
      <c r="ASR1023" s="23"/>
      <c r="ASS1023" s="23"/>
      <c r="AST1023" s="23"/>
      <c r="ASU1023" s="23"/>
      <c r="ASV1023" s="23"/>
      <c r="ASW1023" s="23"/>
      <c r="ASX1023" s="23"/>
      <c r="ASY1023" s="23"/>
      <c r="ASZ1023" s="23"/>
      <c r="ATA1023" s="23"/>
      <c r="ATB1023" s="23"/>
      <c r="ATC1023" s="23"/>
      <c r="ATD1023" s="23"/>
      <c r="ATE1023" s="23"/>
      <c r="ATF1023" s="23"/>
      <c r="ATG1023" s="23"/>
      <c r="ATH1023" s="23"/>
      <c r="ATI1023" s="23"/>
      <c r="ATJ1023" s="23"/>
      <c r="ATK1023" s="23"/>
      <c r="ATL1023" s="23"/>
      <c r="ATM1023" s="23"/>
      <c r="ATN1023" s="23"/>
      <c r="ATO1023" s="23"/>
      <c r="ATP1023" s="23"/>
      <c r="ATQ1023" s="23"/>
      <c r="ATR1023" s="23"/>
      <c r="ATS1023" s="23"/>
      <c r="ATT1023" s="23"/>
      <c r="ATU1023" s="23"/>
      <c r="ATV1023" s="23"/>
      <c r="ATW1023" s="23"/>
      <c r="ATX1023" s="23"/>
      <c r="ATY1023" s="23"/>
      <c r="ATZ1023" s="23"/>
      <c r="AUA1023" s="23"/>
      <c r="AUB1023" s="23"/>
      <c r="AUC1023" s="23"/>
      <c r="AUD1023" s="23"/>
      <c r="AUE1023" s="23"/>
      <c r="AUF1023" s="23"/>
      <c r="AUG1023" s="23"/>
      <c r="AUH1023" s="23"/>
      <c r="AUI1023" s="23"/>
      <c r="AUJ1023" s="23"/>
      <c r="AUK1023" s="23"/>
      <c r="AUL1023" s="23"/>
      <c r="AUM1023" s="23"/>
      <c r="AUN1023" s="23"/>
      <c r="AUO1023" s="23"/>
      <c r="AUP1023" s="23"/>
      <c r="AUQ1023" s="23"/>
      <c r="AUR1023" s="23"/>
      <c r="AUS1023" s="23"/>
      <c r="AUT1023" s="23"/>
      <c r="AUU1023" s="23"/>
      <c r="AUV1023" s="23"/>
      <c r="AUW1023" s="23"/>
      <c r="AUX1023" s="23"/>
      <c r="AUY1023" s="23"/>
      <c r="AUZ1023" s="23"/>
      <c r="AVA1023" s="23"/>
      <c r="AVB1023" s="23"/>
      <c r="AVC1023" s="23"/>
      <c r="AVD1023" s="23"/>
      <c r="AVE1023" s="23"/>
      <c r="AVF1023" s="23"/>
      <c r="AVG1023" s="23"/>
      <c r="AVH1023" s="23"/>
      <c r="AVI1023" s="23"/>
      <c r="AVJ1023" s="23"/>
      <c r="AVK1023" s="23"/>
      <c r="AVL1023" s="23"/>
      <c r="AVM1023" s="23"/>
      <c r="AVN1023" s="23"/>
      <c r="AVO1023" s="23"/>
      <c r="AVP1023" s="23"/>
      <c r="AVQ1023" s="23"/>
      <c r="AVR1023" s="23"/>
      <c r="AVS1023" s="23"/>
      <c r="AVT1023" s="23"/>
      <c r="AVU1023" s="23"/>
      <c r="AVV1023" s="23"/>
      <c r="AVW1023" s="23"/>
      <c r="AVX1023" s="23"/>
      <c r="AVY1023" s="23"/>
      <c r="AVZ1023" s="23"/>
      <c r="AWA1023" s="23"/>
      <c r="AWB1023" s="23"/>
      <c r="AWC1023" s="23"/>
      <c r="AWD1023" s="23"/>
      <c r="AWE1023" s="23"/>
      <c r="AWF1023" s="23"/>
      <c r="AWG1023" s="23"/>
      <c r="AWH1023" s="23"/>
      <c r="AWI1023" s="23"/>
      <c r="AWJ1023" s="23"/>
      <c r="AWK1023" s="23"/>
      <c r="AWL1023" s="23"/>
      <c r="AWM1023" s="23"/>
      <c r="AWN1023" s="23"/>
      <c r="AWO1023" s="23"/>
      <c r="AWP1023" s="23"/>
      <c r="AWQ1023" s="23"/>
      <c r="AWR1023" s="23"/>
      <c r="AWS1023" s="23"/>
      <c r="AWT1023" s="23"/>
      <c r="AWU1023" s="23"/>
      <c r="AWV1023" s="23"/>
      <c r="AWW1023" s="23"/>
      <c r="AWX1023" s="23"/>
      <c r="AWY1023" s="23"/>
      <c r="AWZ1023" s="23"/>
      <c r="AXA1023" s="23"/>
      <c r="AXB1023" s="23"/>
      <c r="AXC1023" s="23"/>
      <c r="AXD1023" s="23"/>
      <c r="AXE1023" s="23"/>
      <c r="AXF1023" s="23"/>
      <c r="AXG1023" s="23"/>
      <c r="AXH1023" s="23"/>
      <c r="AXI1023" s="23"/>
      <c r="AXJ1023" s="23"/>
      <c r="AXK1023" s="23"/>
      <c r="AXL1023" s="23"/>
      <c r="AXM1023" s="23"/>
      <c r="AXN1023" s="23"/>
      <c r="AXO1023" s="23"/>
      <c r="AXP1023" s="23"/>
      <c r="AXQ1023" s="23"/>
      <c r="AXR1023" s="23"/>
      <c r="AXS1023" s="23"/>
      <c r="AXT1023" s="23"/>
      <c r="AXU1023" s="23"/>
      <c r="AXV1023" s="23"/>
      <c r="AXW1023" s="23"/>
      <c r="AXX1023" s="23"/>
      <c r="AXY1023" s="23"/>
      <c r="AXZ1023" s="23"/>
      <c r="AYA1023" s="23"/>
      <c r="AYB1023" s="23"/>
      <c r="AYC1023" s="23"/>
      <c r="AYD1023" s="23"/>
      <c r="AYE1023" s="23"/>
      <c r="AYF1023" s="23"/>
      <c r="AYG1023" s="23"/>
      <c r="AYH1023" s="23"/>
      <c r="AYI1023" s="23"/>
      <c r="AYJ1023" s="23"/>
      <c r="AYK1023" s="23"/>
      <c r="AYL1023" s="23"/>
      <c r="AYM1023" s="23"/>
      <c r="AYN1023" s="23"/>
      <c r="AYO1023" s="23"/>
      <c r="AYP1023" s="23"/>
      <c r="AYQ1023" s="23"/>
      <c r="AYR1023" s="23"/>
      <c r="AYS1023" s="23"/>
      <c r="AYT1023" s="23"/>
      <c r="AYU1023" s="23"/>
      <c r="AYV1023" s="23"/>
      <c r="AYW1023" s="23"/>
      <c r="AYX1023" s="23"/>
      <c r="AYY1023" s="23"/>
      <c r="AYZ1023" s="23"/>
      <c r="AZA1023" s="23"/>
      <c r="AZB1023" s="23"/>
      <c r="AZC1023" s="23"/>
      <c r="AZD1023" s="23"/>
      <c r="AZE1023" s="23"/>
      <c r="AZF1023" s="23"/>
      <c r="AZG1023" s="23"/>
      <c r="AZH1023" s="23"/>
      <c r="AZI1023" s="23"/>
      <c r="AZJ1023" s="23"/>
      <c r="AZK1023" s="23"/>
      <c r="AZL1023" s="23"/>
      <c r="AZM1023" s="23"/>
      <c r="AZN1023" s="23"/>
      <c r="AZO1023" s="23"/>
      <c r="AZP1023" s="23"/>
      <c r="AZQ1023" s="23"/>
      <c r="AZR1023" s="23"/>
      <c r="AZS1023" s="23"/>
      <c r="AZT1023" s="23"/>
      <c r="AZU1023" s="23"/>
      <c r="AZV1023" s="23"/>
      <c r="AZW1023" s="23"/>
      <c r="AZX1023" s="23"/>
      <c r="AZY1023" s="23"/>
      <c r="AZZ1023" s="23"/>
      <c r="BAA1023" s="23"/>
      <c r="BAB1023" s="23"/>
      <c r="BAC1023" s="23"/>
      <c r="BAD1023" s="23"/>
      <c r="BAE1023" s="23"/>
      <c r="BAF1023" s="23"/>
      <c r="BAG1023" s="23"/>
      <c r="BAH1023" s="23"/>
      <c r="BAI1023" s="23"/>
      <c r="BAJ1023" s="23"/>
      <c r="BAK1023" s="23"/>
      <c r="BAL1023" s="23"/>
      <c r="BAM1023" s="23"/>
      <c r="BAN1023" s="23"/>
      <c r="BAO1023" s="23"/>
      <c r="BAP1023" s="23"/>
      <c r="BAQ1023" s="23"/>
      <c r="BAR1023" s="23"/>
      <c r="BAS1023" s="23"/>
      <c r="BAT1023" s="23"/>
      <c r="BAU1023" s="23"/>
      <c r="BAV1023" s="23"/>
      <c r="BAW1023" s="23"/>
      <c r="BAX1023" s="23"/>
      <c r="BAY1023" s="23"/>
      <c r="BAZ1023" s="23"/>
      <c r="BBA1023" s="23"/>
      <c r="BBB1023" s="23"/>
      <c r="BBC1023" s="23"/>
      <c r="BBD1023" s="23"/>
      <c r="BBE1023" s="23"/>
      <c r="BBF1023" s="23"/>
      <c r="BBG1023" s="23"/>
      <c r="BBH1023" s="23"/>
      <c r="BBI1023" s="23"/>
      <c r="BBJ1023" s="23"/>
      <c r="BBK1023" s="23"/>
      <c r="BBL1023" s="23"/>
      <c r="BBM1023" s="23"/>
      <c r="BBN1023" s="23"/>
      <c r="BBO1023" s="23"/>
      <c r="BBP1023" s="23"/>
      <c r="BBQ1023" s="23"/>
      <c r="BBR1023" s="23"/>
      <c r="BBS1023" s="23"/>
      <c r="BBT1023" s="23"/>
      <c r="BBU1023" s="23"/>
      <c r="BBV1023" s="23"/>
      <c r="BBW1023" s="23"/>
      <c r="BBX1023" s="23"/>
      <c r="BBY1023" s="23"/>
      <c r="BBZ1023" s="23"/>
      <c r="BCA1023" s="23"/>
      <c r="BCB1023" s="23"/>
      <c r="BCC1023" s="23"/>
      <c r="BCD1023" s="23"/>
      <c r="BCE1023" s="23"/>
      <c r="BCF1023" s="23"/>
      <c r="BCG1023" s="23"/>
      <c r="BCH1023" s="23"/>
      <c r="BCI1023" s="23"/>
      <c r="BCJ1023" s="23"/>
      <c r="BCK1023" s="23"/>
      <c r="BCL1023" s="23"/>
      <c r="BCM1023" s="23"/>
      <c r="BCN1023" s="23"/>
      <c r="BCO1023" s="23"/>
      <c r="BCP1023" s="23"/>
      <c r="BCQ1023" s="23"/>
      <c r="BCR1023" s="23"/>
      <c r="BCS1023" s="23"/>
      <c r="BCT1023" s="23"/>
      <c r="BCU1023" s="23"/>
      <c r="BCV1023" s="23"/>
      <c r="BCW1023" s="23"/>
      <c r="BCX1023" s="23"/>
      <c r="BCY1023" s="23"/>
      <c r="BCZ1023" s="23"/>
      <c r="BDA1023" s="23"/>
      <c r="BDB1023" s="23"/>
      <c r="BDC1023" s="23"/>
      <c r="BDD1023" s="23"/>
      <c r="BDE1023" s="23"/>
      <c r="BDF1023" s="23"/>
      <c r="BDG1023" s="23"/>
      <c r="BDH1023" s="23"/>
      <c r="BDI1023" s="23"/>
      <c r="BDJ1023" s="23"/>
      <c r="BDK1023" s="23"/>
      <c r="BDL1023" s="23"/>
      <c r="BDM1023" s="23"/>
      <c r="BDN1023" s="23"/>
      <c r="BDO1023" s="23"/>
      <c r="BDP1023" s="23"/>
      <c r="BDQ1023" s="23"/>
      <c r="BDR1023" s="23"/>
      <c r="BDS1023" s="23"/>
      <c r="BDT1023" s="23"/>
      <c r="BDU1023" s="23"/>
      <c r="BDV1023" s="23"/>
      <c r="BDW1023" s="23"/>
      <c r="BDX1023" s="23"/>
      <c r="BDY1023" s="23"/>
      <c r="BDZ1023" s="23"/>
      <c r="BEA1023" s="23"/>
      <c r="BEB1023" s="23"/>
      <c r="BEC1023" s="23"/>
      <c r="BED1023" s="23"/>
      <c r="BEE1023" s="23"/>
      <c r="BEF1023" s="23"/>
      <c r="BEG1023" s="23"/>
      <c r="BEH1023" s="23"/>
      <c r="BEI1023" s="23"/>
      <c r="BEJ1023" s="23"/>
      <c r="BEK1023" s="23"/>
      <c r="BEL1023" s="23"/>
      <c r="BEM1023" s="23"/>
      <c r="BEN1023" s="23"/>
      <c r="BEO1023" s="23"/>
      <c r="BEP1023" s="23"/>
      <c r="BEQ1023" s="23"/>
      <c r="BER1023" s="23"/>
      <c r="BES1023" s="23"/>
      <c r="BET1023" s="23"/>
      <c r="BEU1023" s="23"/>
      <c r="BEV1023" s="23"/>
      <c r="BEW1023" s="23"/>
      <c r="BEX1023" s="23"/>
      <c r="BEY1023" s="23"/>
      <c r="BEZ1023" s="23"/>
      <c r="BFA1023" s="23"/>
      <c r="BFB1023" s="23"/>
      <c r="BFC1023" s="23"/>
      <c r="BFD1023" s="23"/>
      <c r="BFE1023" s="23"/>
      <c r="BFF1023" s="23"/>
      <c r="BFG1023" s="23"/>
      <c r="BFH1023" s="23"/>
      <c r="BFI1023" s="23"/>
      <c r="BFJ1023" s="23"/>
      <c r="BFK1023" s="23"/>
      <c r="BFL1023" s="23"/>
      <c r="BFM1023" s="23"/>
      <c r="BFN1023" s="23"/>
      <c r="BFO1023" s="23"/>
      <c r="BFP1023" s="23"/>
      <c r="BFQ1023" s="23"/>
      <c r="BFR1023" s="23"/>
      <c r="BFS1023" s="23"/>
      <c r="BFT1023" s="23"/>
      <c r="BFU1023" s="23"/>
      <c r="BFV1023" s="23"/>
      <c r="BFW1023" s="23"/>
      <c r="BFX1023" s="23"/>
      <c r="BFY1023" s="23"/>
      <c r="BFZ1023" s="23"/>
      <c r="BGA1023" s="23"/>
      <c r="BGB1023" s="23"/>
      <c r="BGC1023" s="23"/>
      <c r="BGD1023" s="23"/>
      <c r="BGE1023" s="23"/>
      <c r="BGF1023" s="23"/>
      <c r="BGG1023" s="23"/>
      <c r="BGH1023" s="23"/>
      <c r="BGI1023" s="23"/>
      <c r="BGJ1023" s="23"/>
      <c r="BGK1023" s="23"/>
      <c r="BGL1023" s="23"/>
      <c r="BGM1023" s="23"/>
      <c r="BGN1023" s="23"/>
      <c r="BGO1023" s="23"/>
      <c r="BGP1023" s="23"/>
      <c r="BGQ1023" s="23"/>
      <c r="BGR1023" s="23"/>
      <c r="BGS1023" s="23"/>
      <c r="BGT1023" s="23"/>
      <c r="BGU1023" s="23"/>
      <c r="BGV1023" s="23"/>
      <c r="BGW1023" s="23"/>
      <c r="BGX1023" s="23"/>
      <c r="BGY1023" s="23"/>
      <c r="BGZ1023" s="23"/>
      <c r="BHA1023" s="23"/>
      <c r="BHB1023" s="23"/>
      <c r="BHC1023" s="23"/>
      <c r="BHD1023" s="23"/>
      <c r="BHE1023" s="23"/>
      <c r="BHF1023" s="23"/>
      <c r="BHG1023" s="23"/>
      <c r="BHH1023" s="23"/>
      <c r="BHI1023" s="23"/>
      <c r="BHJ1023" s="23"/>
      <c r="BHK1023" s="23"/>
      <c r="BHL1023" s="23"/>
      <c r="BHM1023" s="23"/>
      <c r="BHN1023" s="23"/>
      <c r="BHO1023" s="23"/>
      <c r="BHP1023" s="23"/>
      <c r="BHQ1023" s="23"/>
      <c r="BHR1023" s="23"/>
      <c r="BHS1023" s="23"/>
      <c r="BHT1023" s="23"/>
      <c r="BHU1023" s="23"/>
      <c r="BHV1023" s="23"/>
      <c r="BHW1023" s="23"/>
      <c r="BHX1023" s="23"/>
      <c r="BHY1023" s="23"/>
      <c r="BHZ1023" s="23"/>
      <c r="BIA1023" s="23"/>
      <c r="BIB1023" s="23"/>
      <c r="BIC1023" s="23"/>
      <c r="BID1023" s="23"/>
      <c r="BIE1023" s="23"/>
      <c r="BIF1023" s="23"/>
      <c r="BIG1023" s="23"/>
      <c r="BIH1023" s="23"/>
      <c r="BII1023" s="23"/>
      <c r="BIJ1023" s="23"/>
      <c r="BIK1023" s="23"/>
      <c r="BIL1023" s="23"/>
      <c r="BIM1023" s="23"/>
      <c r="BIN1023" s="23"/>
      <c r="BIO1023" s="23"/>
      <c r="BIP1023" s="23"/>
      <c r="BIQ1023" s="23"/>
      <c r="BIR1023" s="23"/>
      <c r="BIS1023" s="23"/>
      <c r="BIT1023" s="23"/>
      <c r="BIU1023" s="23"/>
      <c r="BIV1023" s="23"/>
      <c r="BIW1023" s="23"/>
      <c r="BIX1023" s="23"/>
      <c r="BIY1023" s="23"/>
      <c r="BIZ1023" s="23"/>
      <c r="BJA1023" s="23"/>
      <c r="BJB1023" s="23"/>
      <c r="BJC1023" s="23"/>
      <c r="BJD1023" s="23"/>
      <c r="BJE1023" s="23"/>
      <c r="BJF1023" s="23"/>
      <c r="BJG1023" s="23"/>
      <c r="BJH1023" s="23"/>
      <c r="BJI1023" s="23"/>
      <c r="BJJ1023" s="23"/>
      <c r="BJK1023" s="23"/>
      <c r="BJL1023" s="23"/>
      <c r="BJM1023" s="23"/>
      <c r="BJN1023" s="23"/>
      <c r="BJO1023" s="23"/>
      <c r="BJP1023" s="23"/>
      <c r="BJQ1023" s="23"/>
      <c r="BJR1023" s="23"/>
      <c r="BJS1023" s="23"/>
      <c r="BJT1023" s="23"/>
      <c r="BJU1023" s="23"/>
      <c r="BJV1023" s="23"/>
      <c r="BJW1023" s="23"/>
      <c r="BJX1023" s="23"/>
      <c r="BJY1023" s="23"/>
      <c r="BJZ1023" s="23"/>
      <c r="BKA1023" s="23"/>
      <c r="BKB1023" s="23"/>
      <c r="BKC1023" s="23"/>
      <c r="BKD1023" s="23"/>
      <c r="BKE1023" s="23"/>
      <c r="BKF1023" s="23"/>
      <c r="BKG1023" s="23"/>
      <c r="BKH1023" s="23"/>
      <c r="BKI1023" s="23"/>
      <c r="BKJ1023" s="23"/>
      <c r="BKK1023" s="23"/>
      <c r="BKL1023" s="23"/>
      <c r="BKM1023" s="23"/>
      <c r="BKN1023" s="23"/>
      <c r="BKO1023" s="23"/>
      <c r="BKP1023" s="23"/>
      <c r="BKQ1023" s="23"/>
      <c r="BKR1023" s="23"/>
      <c r="BKS1023" s="23"/>
      <c r="BKT1023" s="23"/>
      <c r="BKU1023" s="23"/>
      <c r="BKV1023" s="23"/>
      <c r="BKW1023" s="23"/>
      <c r="BKX1023" s="23"/>
      <c r="BKY1023" s="23"/>
      <c r="BKZ1023" s="23"/>
      <c r="BLA1023" s="23"/>
      <c r="BLB1023" s="23"/>
      <c r="BLC1023" s="23"/>
      <c r="BLD1023" s="23"/>
      <c r="BLE1023" s="23"/>
      <c r="BLF1023" s="23"/>
      <c r="BLG1023" s="23"/>
      <c r="BLH1023" s="23"/>
      <c r="BLI1023" s="23"/>
      <c r="BLJ1023" s="23"/>
      <c r="BLK1023" s="23"/>
      <c r="BLL1023" s="23"/>
      <c r="BLM1023" s="23"/>
      <c r="BLN1023" s="23"/>
      <c r="BLO1023" s="23"/>
      <c r="BLP1023" s="23"/>
      <c r="BLQ1023" s="23"/>
      <c r="BLR1023" s="23"/>
      <c r="BLS1023" s="23"/>
      <c r="BLT1023" s="23"/>
      <c r="BLU1023" s="23"/>
      <c r="BLV1023" s="23"/>
      <c r="BLW1023" s="23"/>
      <c r="BLX1023" s="23"/>
      <c r="BLY1023" s="23"/>
      <c r="BLZ1023" s="23"/>
      <c r="BMA1023" s="23"/>
      <c r="BMB1023" s="23"/>
      <c r="BMC1023" s="23"/>
      <c r="BMD1023" s="23"/>
      <c r="BME1023" s="23"/>
      <c r="BMF1023" s="23"/>
      <c r="BMG1023" s="23"/>
      <c r="BMH1023" s="23"/>
      <c r="BMI1023" s="23"/>
      <c r="BMJ1023" s="23"/>
      <c r="BMK1023" s="23"/>
      <c r="BML1023" s="23"/>
      <c r="BMM1023" s="23"/>
      <c r="BMN1023" s="23"/>
      <c r="BMO1023" s="23"/>
      <c r="BMP1023" s="23"/>
      <c r="BMQ1023" s="23"/>
      <c r="BMR1023" s="23"/>
      <c r="BMS1023" s="23"/>
      <c r="BMT1023" s="23"/>
      <c r="BMU1023" s="23"/>
      <c r="BMV1023" s="23"/>
      <c r="BMW1023" s="23"/>
      <c r="BMX1023" s="23"/>
      <c r="BMY1023" s="23"/>
      <c r="BMZ1023" s="23"/>
      <c r="BNA1023" s="23"/>
      <c r="BNB1023" s="23"/>
      <c r="BNC1023" s="23"/>
      <c r="BND1023" s="23"/>
      <c r="BNE1023" s="23"/>
      <c r="BNF1023" s="23"/>
      <c r="BNG1023" s="23"/>
      <c r="BNH1023" s="23"/>
      <c r="BNI1023" s="23"/>
      <c r="BNJ1023" s="23"/>
      <c r="BNK1023" s="23"/>
      <c r="BNL1023" s="23"/>
      <c r="BNM1023" s="23"/>
      <c r="BNN1023" s="23"/>
      <c r="BNO1023" s="23"/>
      <c r="BNP1023" s="23"/>
      <c r="BNQ1023" s="23"/>
      <c r="BNR1023" s="23"/>
      <c r="BNS1023" s="23"/>
      <c r="BNT1023" s="23"/>
      <c r="BNU1023" s="23"/>
      <c r="BNV1023" s="23"/>
      <c r="BNW1023" s="23"/>
      <c r="BNX1023" s="23"/>
      <c r="BNY1023" s="23"/>
      <c r="BNZ1023" s="23"/>
      <c r="BOA1023" s="23"/>
      <c r="BOB1023" s="23"/>
      <c r="BOC1023" s="23"/>
      <c r="BOD1023" s="23"/>
      <c r="BOE1023" s="23"/>
      <c r="BOF1023" s="23"/>
      <c r="BOG1023" s="23"/>
      <c r="BOH1023" s="23"/>
      <c r="BOI1023" s="23"/>
      <c r="BOJ1023" s="23"/>
      <c r="BOK1023" s="23"/>
      <c r="BOL1023" s="23"/>
      <c r="BOM1023" s="23"/>
      <c r="BON1023" s="23"/>
      <c r="BOO1023" s="23"/>
      <c r="BOP1023" s="23"/>
      <c r="BOQ1023" s="23"/>
      <c r="BOR1023" s="23"/>
      <c r="BOS1023" s="23"/>
      <c r="BOT1023" s="23"/>
      <c r="BOU1023" s="23"/>
      <c r="BOV1023" s="23"/>
      <c r="BOW1023" s="23"/>
      <c r="BOX1023" s="23"/>
      <c r="BOY1023" s="23"/>
      <c r="BOZ1023" s="23"/>
      <c r="BPA1023" s="23"/>
      <c r="BPB1023" s="23"/>
      <c r="BPC1023" s="23"/>
      <c r="BPD1023" s="23"/>
      <c r="BPE1023" s="23"/>
      <c r="BPF1023" s="23"/>
      <c r="BPG1023" s="23"/>
      <c r="BPH1023" s="23"/>
      <c r="BPI1023" s="23"/>
      <c r="BPJ1023" s="23"/>
      <c r="BPK1023" s="23"/>
      <c r="BPL1023" s="23"/>
      <c r="BPM1023" s="23"/>
      <c r="BPN1023" s="23"/>
      <c r="BPO1023" s="23"/>
      <c r="BPP1023" s="23"/>
      <c r="BPQ1023" s="23"/>
      <c r="BPR1023" s="23"/>
      <c r="BPS1023" s="23"/>
      <c r="BPT1023" s="23"/>
      <c r="BPU1023" s="23"/>
      <c r="BPV1023" s="23"/>
      <c r="BPW1023" s="23"/>
      <c r="BPX1023" s="23"/>
      <c r="BPY1023" s="23"/>
      <c r="BPZ1023" s="23"/>
      <c r="BQA1023" s="23"/>
      <c r="BQB1023" s="23"/>
      <c r="BQC1023" s="23"/>
      <c r="BQD1023" s="23"/>
      <c r="BQE1023" s="23"/>
      <c r="BQF1023" s="23"/>
      <c r="BQG1023" s="23"/>
      <c r="BQH1023" s="23"/>
      <c r="BQI1023" s="23"/>
      <c r="BQJ1023" s="23"/>
      <c r="BQK1023" s="23"/>
      <c r="BQL1023" s="23"/>
      <c r="BQM1023" s="23"/>
      <c r="BQN1023" s="23"/>
      <c r="BQO1023" s="23"/>
      <c r="BQP1023" s="23"/>
      <c r="BQQ1023" s="23"/>
      <c r="BQR1023" s="23"/>
      <c r="BQS1023" s="23"/>
      <c r="BQT1023" s="23"/>
      <c r="BQU1023" s="23"/>
      <c r="BQV1023" s="23"/>
      <c r="BQW1023" s="23"/>
      <c r="BQX1023" s="23"/>
      <c r="BQY1023" s="23"/>
      <c r="BQZ1023" s="23"/>
      <c r="BRA1023" s="23"/>
      <c r="BRB1023" s="23"/>
      <c r="BRC1023" s="23"/>
      <c r="BRD1023" s="23"/>
      <c r="BRE1023" s="23"/>
      <c r="BRF1023" s="23"/>
      <c r="BRG1023" s="23"/>
      <c r="BRH1023" s="23"/>
      <c r="BRI1023" s="23"/>
      <c r="BRJ1023" s="23"/>
      <c r="BRK1023" s="23"/>
      <c r="BRL1023" s="23"/>
      <c r="BRM1023" s="23"/>
      <c r="BRN1023" s="23"/>
      <c r="BRO1023" s="23"/>
      <c r="BRP1023" s="23"/>
      <c r="BRQ1023" s="23"/>
      <c r="BRR1023" s="23"/>
      <c r="BRS1023" s="23"/>
      <c r="BRT1023" s="23"/>
      <c r="BRU1023" s="23"/>
      <c r="BRV1023" s="23"/>
      <c r="BRW1023" s="23"/>
      <c r="BRX1023" s="23"/>
      <c r="BRY1023" s="23"/>
      <c r="BRZ1023" s="23"/>
      <c r="BSA1023" s="23"/>
      <c r="BSB1023" s="23"/>
      <c r="BSC1023" s="23"/>
      <c r="BSD1023" s="23"/>
      <c r="BSE1023" s="23"/>
      <c r="BSF1023" s="23"/>
      <c r="BSG1023" s="23"/>
      <c r="BSH1023" s="23"/>
      <c r="BSI1023" s="23"/>
      <c r="BSJ1023" s="23"/>
      <c r="BSK1023" s="23"/>
      <c r="BSL1023" s="23"/>
      <c r="BSM1023" s="23"/>
      <c r="BSN1023" s="23"/>
      <c r="BSO1023" s="23"/>
      <c r="BSP1023" s="23"/>
      <c r="BSQ1023" s="23"/>
      <c r="BSR1023" s="23"/>
      <c r="BSS1023" s="23"/>
      <c r="BST1023" s="23"/>
      <c r="BSU1023" s="23"/>
      <c r="BSV1023" s="23"/>
      <c r="BSW1023" s="23"/>
      <c r="BSX1023" s="23"/>
      <c r="BSY1023" s="23"/>
      <c r="BSZ1023" s="23"/>
      <c r="BTA1023" s="23"/>
    </row>
    <row r="1024" spans="1:1873" s="23" customFormat="1" ht="12.6" customHeight="1" x14ac:dyDescent="0.2">
      <c r="A1024" s="273"/>
      <c r="B1024" s="273"/>
      <c r="C1024" s="273"/>
      <c r="D1024" s="273"/>
      <c r="E1024" s="462"/>
      <c r="F1024" s="462"/>
      <c r="G1024" s="273"/>
      <c r="H1024" s="468"/>
      <c r="I1024" s="273"/>
      <c r="J1024" s="273"/>
      <c r="K1024" s="463"/>
      <c r="L1024" s="273"/>
      <c r="M1024" s="414"/>
      <c r="N1024" s="273"/>
      <c r="O1024" s="29"/>
      <c r="P1024" s="414"/>
      <c r="Q1024" s="273"/>
      <c r="R1024" s="471"/>
      <c r="S1024" s="273"/>
      <c r="T1024" s="471"/>
      <c r="U1024" s="273"/>
      <c r="V1024" s="273"/>
      <c r="W1024" s="471"/>
      <c r="X1024" s="273"/>
      <c r="Y1024" s="273"/>
      <c r="Z1024" s="273"/>
      <c r="AA1024" s="580"/>
      <c r="AB1024" s="471"/>
      <c r="AC1024" s="273"/>
      <c r="AD1024" s="273"/>
      <c r="AE1024" s="273"/>
      <c r="AF1024" s="273"/>
      <c r="AG1024" s="273"/>
      <c r="AH1024" s="273"/>
      <c r="AI1024" s="273"/>
      <c r="AJ1024" s="273"/>
      <c r="AK1024" s="273"/>
      <c r="AL1024" s="273"/>
      <c r="AM1024" s="273"/>
      <c r="AN1024" s="273"/>
      <c r="AO1024" s="273"/>
      <c r="AP1024" s="273"/>
      <c r="AQ1024" s="273"/>
      <c r="AR1024" s="273"/>
      <c r="AS1024" s="273"/>
      <c r="AT1024" s="273"/>
      <c r="AU1024" s="273"/>
      <c r="AV1024" s="273"/>
      <c r="AW1024" s="273"/>
      <c r="AX1024" s="273"/>
      <c r="AY1024" s="273"/>
      <c r="AZ1024" s="273"/>
      <c r="BA1024" s="273"/>
      <c r="BB1024" s="273"/>
      <c r="BC1024" s="273"/>
      <c r="BD1024" s="273"/>
      <c r="BE1024" s="273"/>
      <c r="BF1024" s="273"/>
      <c r="BG1024" s="273"/>
      <c r="BH1024" s="273"/>
      <c r="BI1024" s="273"/>
      <c r="BJ1024" s="273"/>
      <c r="BK1024" s="273"/>
      <c r="BL1024" s="273"/>
      <c r="BM1024" s="273"/>
      <c r="BN1024" s="273"/>
      <c r="BO1024" s="273"/>
      <c r="BP1024" s="273"/>
      <c r="BQ1024" s="273"/>
      <c r="BR1024" s="273"/>
      <c r="BS1024" s="468"/>
      <c r="BT1024" s="273"/>
      <c r="BU1024" s="273"/>
      <c r="BV1024" s="273"/>
      <c r="BW1024" s="273"/>
      <c r="BX1024" s="273"/>
      <c r="BY1024" s="273"/>
      <c r="BZ1024" s="273"/>
      <c r="CA1024" s="472"/>
      <c r="CB1024" s="473"/>
      <c r="CC1024" s="462"/>
      <c r="CD1024" s="273"/>
      <c r="CE1024" s="342" t="s">
        <v>1576</v>
      </c>
      <c r="CF1024" s="342" t="s">
        <v>1575</v>
      </c>
      <c r="CG1024" s="93"/>
    </row>
    <row r="1025" spans="1:1873" s="23" customFormat="1" ht="12.6" customHeight="1" x14ac:dyDescent="0.2">
      <c r="A1025" s="273" t="s">
        <v>837</v>
      </c>
      <c r="B1025" s="273" t="s">
        <v>1135</v>
      </c>
      <c r="C1025" s="273" t="s">
        <v>1164</v>
      </c>
      <c r="D1025" s="273" t="s">
        <v>619</v>
      </c>
      <c r="E1025" s="462" t="s">
        <v>1504</v>
      </c>
      <c r="F1025" s="462">
        <v>1</v>
      </c>
      <c r="G1025" s="273">
        <v>4</v>
      </c>
      <c r="H1025" s="468">
        <v>4</v>
      </c>
      <c r="I1025" s="273" t="s">
        <v>842</v>
      </c>
      <c r="J1025" s="273">
        <v>1971</v>
      </c>
      <c r="K1025" s="463" t="s">
        <v>842</v>
      </c>
      <c r="L1025" s="273">
        <v>1975</v>
      </c>
      <c r="M1025" s="414">
        <f>+T1025*G1025</f>
        <v>8.8000000000000007</v>
      </c>
      <c r="N1025" s="273">
        <v>-9999</v>
      </c>
      <c r="O1025" s="29"/>
      <c r="P1025" s="414">
        <f>+T1025*G1025</f>
        <v>8.8000000000000007</v>
      </c>
      <c r="Q1025" s="273">
        <v>-9999</v>
      </c>
      <c r="R1025" s="471"/>
      <c r="S1025" s="273"/>
      <c r="T1025" s="471">
        <v>2.2000000000000002</v>
      </c>
      <c r="U1025" s="273">
        <v>-9999</v>
      </c>
      <c r="V1025" s="273"/>
      <c r="W1025" s="471">
        <v>-9999</v>
      </c>
      <c r="X1025" s="273">
        <v>-9999</v>
      </c>
      <c r="Y1025" s="273"/>
      <c r="Z1025" s="273" t="s">
        <v>93</v>
      </c>
      <c r="AA1025" s="580">
        <v>2986</v>
      </c>
      <c r="AB1025" s="471">
        <v>0.95</v>
      </c>
      <c r="AC1025" s="273">
        <v>-9999</v>
      </c>
      <c r="AD1025" s="273">
        <v>66.400000000000006</v>
      </c>
      <c r="AE1025" s="461" t="s">
        <v>1738</v>
      </c>
      <c r="AF1025" s="273">
        <v>3</v>
      </c>
      <c r="AG1025" s="273" t="s">
        <v>843</v>
      </c>
      <c r="AH1025" s="273" t="s">
        <v>623</v>
      </c>
      <c r="AI1025" s="273" t="s">
        <v>844</v>
      </c>
      <c r="AJ1025" s="273" t="s">
        <v>845</v>
      </c>
      <c r="AK1025" s="273" t="s">
        <v>779</v>
      </c>
      <c r="AL1025" s="273" t="s">
        <v>653</v>
      </c>
      <c r="AM1025" s="273">
        <v>-9999</v>
      </c>
      <c r="AN1025" s="273" t="s">
        <v>777</v>
      </c>
      <c r="AO1025" s="273">
        <v>-9999</v>
      </c>
      <c r="AP1025" s="273">
        <v>-9999</v>
      </c>
      <c r="AQ1025" s="273" t="s">
        <v>777</v>
      </c>
      <c r="AR1025" s="273">
        <v>0</v>
      </c>
      <c r="AS1025" s="273">
        <v>-9999</v>
      </c>
      <c r="AT1025" s="273">
        <v>-9999</v>
      </c>
      <c r="AU1025" s="273">
        <v>0</v>
      </c>
      <c r="AV1025" s="273">
        <v>-9999</v>
      </c>
      <c r="AW1025" s="273">
        <v>-9999</v>
      </c>
      <c r="AX1025" s="273">
        <v>0</v>
      </c>
      <c r="AY1025" s="273">
        <v>-9999</v>
      </c>
      <c r="AZ1025" s="273">
        <v>-9999</v>
      </c>
      <c r="BA1025" s="273">
        <v>-9999</v>
      </c>
      <c r="BB1025" s="273" t="s">
        <v>626</v>
      </c>
      <c r="BC1025" s="273" t="s">
        <v>89</v>
      </c>
      <c r="BD1025" s="273" t="s">
        <v>90</v>
      </c>
      <c r="BE1025" s="273">
        <v>-9999</v>
      </c>
      <c r="BF1025" s="273">
        <v>-9999</v>
      </c>
      <c r="BG1025" s="273">
        <v>-9999</v>
      </c>
      <c r="BH1025" s="273">
        <v>-9999</v>
      </c>
      <c r="BI1025" s="273" t="s">
        <v>1152</v>
      </c>
      <c r="BJ1025" s="273">
        <v>-9999</v>
      </c>
      <c r="BK1025" s="273">
        <v>-9999</v>
      </c>
      <c r="BL1025" s="273">
        <v>5.0999999999999996</v>
      </c>
      <c r="BM1025" s="273">
        <v>-9999</v>
      </c>
      <c r="BN1025" s="273">
        <v>3.5</v>
      </c>
      <c r="BO1025" s="273">
        <v>-9999</v>
      </c>
      <c r="BP1025" s="273">
        <v>-9999</v>
      </c>
      <c r="BQ1025" s="273">
        <v>-9999</v>
      </c>
      <c r="BR1025" s="273">
        <v>-9999</v>
      </c>
      <c r="BS1025" s="468">
        <v>-9999</v>
      </c>
      <c r="BT1025" s="273">
        <v>-9999</v>
      </c>
      <c r="BU1025" s="273">
        <v>-9999</v>
      </c>
      <c r="BV1025" s="273">
        <v>-9999</v>
      </c>
      <c r="BW1025" s="273"/>
      <c r="BX1025" s="273">
        <v>-9999</v>
      </c>
      <c r="BY1025" s="273">
        <v>-9999</v>
      </c>
      <c r="BZ1025" s="273">
        <v>-9999</v>
      </c>
      <c r="CA1025" s="472">
        <v>-9999</v>
      </c>
      <c r="CB1025" s="473" t="s">
        <v>1167</v>
      </c>
      <c r="CC1025" s="462">
        <v>1</v>
      </c>
      <c r="CD1025" s="273">
        <v>4</v>
      </c>
      <c r="CE1025" s="292">
        <v>2.2000000000000002</v>
      </c>
      <c r="CF1025" s="292">
        <v>-9999</v>
      </c>
      <c r="CG1025" s="93">
        <v>4</v>
      </c>
    </row>
    <row r="1026" spans="1:1873" s="23" customFormat="1" ht="12.6" customHeight="1" x14ac:dyDescent="0.2">
      <c r="A1026" s="273" t="s">
        <v>837</v>
      </c>
      <c r="B1026" s="273" t="s">
        <v>1135</v>
      </c>
      <c r="C1026" s="273" t="s">
        <v>1165</v>
      </c>
      <c r="D1026" s="273" t="s">
        <v>619</v>
      </c>
      <c r="E1026" s="462" t="s">
        <v>1504</v>
      </c>
      <c r="F1026" s="462">
        <v>2</v>
      </c>
      <c r="G1026" s="273">
        <v>4</v>
      </c>
      <c r="H1026" s="468">
        <v>8</v>
      </c>
      <c r="I1026" s="273" t="s">
        <v>842</v>
      </c>
      <c r="J1026" s="273">
        <v>1971</v>
      </c>
      <c r="K1026" s="463" t="s">
        <v>842</v>
      </c>
      <c r="L1026" s="273">
        <v>1979</v>
      </c>
      <c r="M1026" s="414">
        <f>+T1026*G1026</f>
        <v>19.2</v>
      </c>
      <c r="N1026" s="273">
        <v>-9999</v>
      </c>
      <c r="O1026" s="29"/>
      <c r="P1026" s="414">
        <f>+(T1026*G1026)+P1025</f>
        <v>28</v>
      </c>
      <c r="Q1026" s="273">
        <v>-9999</v>
      </c>
      <c r="R1026" s="471"/>
      <c r="S1026" s="273"/>
      <c r="T1026" s="471">
        <v>4.8</v>
      </c>
      <c r="U1026" s="273">
        <v>-9999</v>
      </c>
      <c r="V1026" s="273"/>
      <c r="W1026" s="471">
        <v>-9999</v>
      </c>
      <c r="X1026" s="273">
        <v>-9999</v>
      </c>
      <c r="Y1026" s="273"/>
      <c r="Z1026" s="273" t="s">
        <v>93</v>
      </c>
      <c r="AA1026" s="580">
        <v>2986</v>
      </c>
      <c r="AB1026" s="471">
        <v>0.95</v>
      </c>
      <c r="AC1026" s="273">
        <v>-9999</v>
      </c>
      <c r="AD1026" s="273">
        <v>66.400000000000006</v>
      </c>
      <c r="AE1026" s="461" t="s">
        <v>1738</v>
      </c>
      <c r="AF1026" s="273">
        <v>1</v>
      </c>
      <c r="AG1026" s="273" t="s">
        <v>843</v>
      </c>
      <c r="AH1026" s="273" t="s">
        <v>623</v>
      </c>
      <c r="AI1026" s="273" t="s">
        <v>844</v>
      </c>
      <c r="AJ1026" s="273" t="s">
        <v>845</v>
      </c>
      <c r="AK1026" s="273" t="s">
        <v>779</v>
      </c>
      <c r="AL1026" s="273" t="s">
        <v>653</v>
      </c>
      <c r="AM1026" s="273">
        <v>-9999</v>
      </c>
      <c r="AN1026" s="273" t="s">
        <v>777</v>
      </c>
      <c r="AO1026" s="273">
        <v>-9999</v>
      </c>
      <c r="AP1026" s="273">
        <v>-9999</v>
      </c>
      <c r="AQ1026" s="273" t="s">
        <v>777</v>
      </c>
      <c r="AR1026" s="273">
        <v>0</v>
      </c>
      <c r="AS1026" s="273">
        <v>-9999</v>
      </c>
      <c r="AT1026" s="273">
        <v>-9999</v>
      </c>
      <c r="AU1026" s="273">
        <v>0</v>
      </c>
      <c r="AV1026" s="273">
        <v>-9999</v>
      </c>
      <c r="AW1026" s="273">
        <v>-9999</v>
      </c>
      <c r="AX1026" s="273">
        <v>0</v>
      </c>
      <c r="AY1026" s="273">
        <v>-9999</v>
      </c>
      <c r="AZ1026" s="273">
        <v>-9999</v>
      </c>
      <c r="BA1026" s="273">
        <v>-9999</v>
      </c>
      <c r="BB1026" s="273" t="s">
        <v>626</v>
      </c>
      <c r="BC1026" s="273" t="s">
        <v>89</v>
      </c>
      <c r="BD1026" s="273" t="s">
        <v>90</v>
      </c>
      <c r="BE1026" s="273">
        <v>-9999</v>
      </c>
      <c r="BF1026" s="273">
        <v>-9999</v>
      </c>
      <c r="BG1026" s="273">
        <v>-9999</v>
      </c>
      <c r="BH1026" s="273">
        <v>-9999</v>
      </c>
      <c r="BI1026" s="273" t="s">
        <v>1152</v>
      </c>
      <c r="BJ1026" s="273">
        <v>-9999</v>
      </c>
      <c r="BK1026" s="273">
        <v>-9999</v>
      </c>
      <c r="BL1026" s="273">
        <v>7.4</v>
      </c>
      <c r="BM1026" s="273">
        <v>-9999</v>
      </c>
      <c r="BN1026" s="273">
        <v>4.7</v>
      </c>
      <c r="BO1026" s="273">
        <v>-9999</v>
      </c>
      <c r="BP1026" s="273">
        <v>-9999</v>
      </c>
      <c r="BQ1026" s="273">
        <v>-9999</v>
      </c>
      <c r="BR1026" s="273">
        <v>-9999</v>
      </c>
      <c r="BS1026" s="468">
        <v>-9999</v>
      </c>
      <c r="BT1026" s="273">
        <v>-9999</v>
      </c>
      <c r="BU1026" s="273">
        <v>-9999</v>
      </c>
      <c r="BV1026" s="273">
        <v>-9999</v>
      </c>
      <c r="BW1026" s="273"/>
      <c r="BX1026" s="273">
        <v>-9999</v>
      </c>
      <c r="BY1026" s="273">
        <v>-9999</v>
      </c>
      <c r="BZ1026" s="273">
        <v>-9999</v>
      </c>
      <c r="CA1026" s="472">
        <v>-9999</v>
      </c>
      <c r="CB1026" s="473" t="s">
        <v>1167</v>
      </c>
      <c r="CC1026" s="462">
        <v>2</v>
      </c>
      <c r="CD1026" s="273">
        <v>4</v>
      </c>
      <c r="CE1026" s="292">
        <v>4.8</v>
      </c>
      <c r="CF1026" s="292">
        <v>-9999</v>
      </c>
      <c r="CG1026" s="93">
        <v>8</v>
      </c>
    </row>
    <row r="1027" spans="1:1873" s="207" customFormat="1" ht="11.45" customHeight="1" x14ac:dyDescent="0.2">
      <c r="A1027" s="461" t="s">
        <v>837</v>
      </c>
      <c r="B1027" s="273" t="s">
        <v>1135</v>
      </c>
      <c r="C1027" s="273" t="s">
        <v>1166</v>
      </c>
      <c r="D1027" s="273" t="s">
        <v>619</v>
      </c>
      <c r="E1027" s="462" t="s">
        <v>1504</v>
      </c>
      <c r="F1027" s="462">
        <v>1</v>
      </c>
      <c r="G1027" s="273">
        <v>8</v>
      </c>
      <c r="H1027" s="468">
        <v>8</v>
      </c>
      <c r="I1027" s="273" t="s">
        <v>842</v>
      </c>
      <c r="J1027" s="273">
        <v>1971</v>
      </c>
      <c r="K1027" s="463" t="s">
        <v>842</v>
      </c>
      <c r="L1027" s="273">
        <v>1979</v>
      </c>
      <c r="M1027" s="414">
        <f>+T1027*G1027</f>
        <v>60.8</v>
      </c>
      <c r="N1027" s="273">
        <v>-9999</v>
      </c>
      <c r="O1027" s="29"/>
      <c r="P1027" s="414">
        <f>+(T1027*G1027)+P1026</f>
        <v>88.8</v>
      </c>
      <c r="Q1027" s="273">
        <v>-9999</v>
      </c>
      <c r="R1027" s="471"/>
      <c r="S1027" s="273"/>
      <c r="T1027" s="471">
        <v>7.6</v>
      </c>
      <c r="U1027" s="273">
        <v>-9999</v>
      </c>
      <c r="V1027" s="273"/>
      <c r="W1027" s="471">
        <v>-9999</v>
      </c>
      <c r="X1027" s="273">
        <v>-9999</v>
      </c>
      <c r="Y1027" s="273"/>
      <c r="Z1027" s="273" t="s">
        <v>93</v>
      </c>
      <c r="AA1027" s="580">
        <v>2986</v>
      </c>
      <c r="AB1027" s="471">
        <v>0.95</v>
      </c>
      <c r="AC1027" s="273">
        <v>-9999</v>
      </c>
      <c r="AD1027" s="273">
        <v>66.400000000000006</v>
      </c>
      <c r="AE1027" s="461" t="s">
        <v>1738</v>
      </c>
      <c r="AF1027" s="273">
        <v>1</v>
      </c>
      <c r="AG1027" s="273" t="s">
        <v>843</v>
      </c>
      <c r="AH1027" s="273" t="s">
        <v>623</v>
      </c>
      <c r="AI1027" s="273" t="s">
        <v>844</v>
      </c>
      <c r="AJ1027" s="273" t="s">
        <v>845</v>
      </c>
      <c r="AK1027" s="273" t="s">
        <v>779</v>
      </c>
      <c r="AL1027" s="273" t="s">
        <v>653</v>
      </c>
      <c r="AM1027" s="273">
        <v>-9999</v>
      </c>
      <c r="AN1027" s="273" t="s">
        <v>777</v>
      </c>
      <c r="AO1027" s="273">
        <v>-9999</v>
      </c>
      <c r="AP1027" s="273">
        <v>-9999</v>
      </c>
      <c r="AQ1027" s="273" t="s">
        <v>777</v>
      </c>
      <c r="AR1027" s="273">
        <v>0</v>
      </c>
      <c r="AS1027" s="273">
        <v>-9999</v>
      </c>
      <c r="AT1027" s="273">
        <v>-9999</v>
      </c>
      <c r="AU1027" s="273">
        <v>0</v>
      </c>
      <c r="AV1027" s="273">
        <v>-9999</v>
      </c>
      <c r="AW1027" s="273">
        <v>-9999</v>
      </c>
      <c r="AX1027" s="273">
        <v>0</v>
      </c>
      <c r="AY1027" s="273">
        <v>-9999</v>
      </c>
      <c r="AZ1027" s="273">
        <v>-9999</v>
      </c>
      <c r="BA1027" s="273">
        <v>-9999</v>
      </c>
      <c r="BB1027" s="273" t="s">
        <v>626</v>
      </c>
      <c r="BC1027" s="273" t="s">
        <v>89</v>
      </c>
      <c r="BD1027" s="273" t="s">
        <v>90</v>
      </c>
      <c r="BE1027" s="273">
        <v>-9999</v>
      </c>
      <c r="BF1027" s="273">
        <v>-9999</v>
      </c>
      <c r="BG1027" s="273">
        <v>-9999</v>
      </c>
      <c r="BH1027" s="273">
        <v>-9999</v>
      </c>
      <c r="BI1027" s="273" t="s">
        <v>1152</v>
      </c>
      <c r="BJ1027" s="273">
        <v>-9999</v>
      </c>
      <c r="BK1027" s="273">
        <v>-9999</v>
      </c>
      <c r="BL1027" s="273">
        <v>12.5</v>
      </c>
      <c r="BM1027" s="273">
        <v>-9999</v>
      </c>
      <c r="BN1027" s="273">
        <v>8.8000000000000007</v>
      </c>
      <c r="BO1027" s="273">
        <v>-9999</v>
      </c>
      <c r="BP1027" s="273">
        <v>-9999</v>
      </c>
      <c r="BQ1027" s="273">
        <v>-9999</v>
      </c>
      <c r="BR1027" s="273">
        <v>-9999</v>
      </c>
      <c r="BS1027" s="468">
        <v>-9999</v>
      </c>
      <c r="BT1027" s="273">
        <v>-9999</v>
      </c>
      <c r="BU1027" s="273">
        <v>-9999</v>
      </c>
      <c r="BV1027" s="273">
        <v>-9999</v>
      </c>
      <c r="BW1027" s="273"/>
      <c r="BX1027" s="273">
        <v>-9999</v>
      </c>
      <c r="BY1027" s="273">
        <v>-9999</v>
      </c>
      <c r="BZ1027" s="273">
        <v>-9999</v>
      </c>
      <c r="CA1027" s="472">
        <v>-9999</v>
      </c>
      <c r="CB1027" s="473" t="s">
        <v>1167</v>
      </c>
      <c r="CC1027" s="462">
        <v>1</v>
      </c>
      <c r="CD1027" s="273">
        <v>8</v>
      </c>
      <c r="CE1027" s="292">
        <v>7.6</v>
      </c>
      <c r="CF1027" s="292">
        <v>-9999</v>
      </c>
      <c r="CG1027" s="206">
        <v>8</v>
      </c>
      <c r="CH1027" s="301" t="s">
        <v>1757</v>
      </c>
      <c r="CI1027" s="23"/>
      <c r="CJ1027" s="23"/>
      <c r="CK1027" s="23"/>
      <c r="CL1027" s="23"/>
      <c r="CM1027" s="23"/>
      <c r="CN1027" s="23"/>
      <c r="CO1027" s="23"/>
      <c r="CP1027" s="23"/>
      <c r="CQ1027" s="23"/>
      <c r="CR1027" s="23"/>
      <c r="CS1027" s="23"/>
      <c r="CT1027" s="23"/>
      <c r="CU1027" s="23"/>
      <c r="CV1027" s="23"/>
      <c r="CW1027" s="23"/>
      <c r="CX1027" s="23"/>
      <c r="CY1027" s="23"/>
      <c r="CZ1027" s="23"/>
      <c r="DA1027" s="23"/>
      <c r="DB1027" s="23"/>
      <c r="DC1027" s="23"/>
      <c r="DD1027" s="23"/>
      <c r="DE1027" s="23"/>
      <c r="DF1027" s="23"/>
      <c r="DG1027" s="23"/>
      <c r="DH1027" s="23"/>
      <c r="DI1027" s="23"/>
      <c r="DJ1027" s="23"/>
      <c r="DK1027" s="23"/>
      <c r="DL1027" s="23"/>
      <c r="DM1027" s="23"/>
      <c r="DN1027" s="23"/>
      <c r="DO1027" s="23"/>
      <c r="DP1027" s="23"/>
      <c r="DQ1027" s="23"/>
      <c r="DR1027" s="23"/>
      <c r="DS1027" s="23"/>
      <c r="DT1027" s="23"/>
      <c r="DU1027" s="23"/>
      <c r="DV1027" s="23"/>
      <c r="DW1027" s="23"/>
      <c r="DX1027" s="23"/>
      <c r="DY1027" s="23"/>
      <c r="DZ1027" s="23"/>
      <c r="EA1027" s="23"/>
      <c r="EB1027" s="23"/>
      <c r="EC1027" s="23"/>
      <c r="ED1027" s="23"/>
      <c r="EE1027" s="23"/>
      <c r="EF1027" s="23"/>
      <c r="EG1027" s="23"/>
      <c r="EH1027" s="23"/>
      <c r="EI1027" s="23"/>
      <c r="EJ1027" s="23"/>
      <c r="EK1027" s="23"/>
      <c r="EL1027" s="23"/>
      <c r="EM1027" s="23"/>
      <c r="EN1027" s="23"/>
      <c r="EO1027" s="23"/>
      <c r="EP1027" s="23"/>
      <c r="EQ1027" s="23"/>
      <c r="ER1027" s="23"/>
      <c r="ES1027" s="23"/>
      <c r="ET1027" s="23"/>
      <c r="EU1027" s="23"/>
      <c r="EV1027" s="23"/>
      <c r="EW1027" s="23"/>
      <c r="EX1027" s="23"/>
      <c r="EY1027" s="23"/>
      <c r="EZ1027" s="23"/>
      <c r="FA1027" s="23"/>
      <c r="FB1027" s="23"/>
      <c r="FC1027" s="23"/>
      <c r="FD1027" s="23"/>
      <c r="FE1027" s="23"/>
      <c r="FF1027" s="23"/>
      <c r="FG1027" s="23"/>
      <c r="FH1027" s="23"/>
      <c r="FI1027" s="23"/>
      <c r="FJ1027" s="23"/>
      <c r="FK1027" s="23"/>
      <c r="FL1027" s="23"/>
      <c r="FM1027" s="23"/>
      <c r="FN1027" s="23"/>
      <c r="FO1027" s="23"/>
      <c r="FP1027" s="23"/>
      <c r="FQ1027" s="23"/>
      <c r="FR1027" s="23"/>
      <c r="FS1027" s="23"/>
      <c r="FT1027" s="23"/>
      <c r="FU1027" s="23"/>
      <c r="FV1027" s="23"/>
      <c r="FW1027" s="23"/>
      <c r="FX1027" s="23"/>
      <c r="FY1027" s="23"/>
      <c r="FZ1027" s="23"/>
      <c r="GA1027" s="23"/>
      <c r="GB1027" s="23"/>
      <c r="GC1027" s="23"/>
      <c r="GD1027" s="23"/>
      <c r="GE1027" s="23"/>
      <c r="GF1027" s="23"/>
      <c r="GG1027" s="23"/>
      <c r="GH1027" s="23"/>
      <c r="GI1027" s="23"/>
      <c r="GJ1027" s="23"/>
      <c r="GK1027" s="23"/>
      <c r="GL1027" s="23"/>
      <c r="GM1027" s="23"/>
      <c r="GN1027" s="23"/>
      <c r="GO1027" s="23"/>
      <c r="GP1027" s="23"/>
      <c r="GQ1027" s="23"/>
      <c r="GR1027" s="23"/>
      <c r="GS1027" s="23"/>
      <c r="GT1027" s="23"/>
      <c r="GU1027" s="23"/>
      <c r="GV1027" s="23"/>
      <c r="GW1027" s="23"/>
      <c r="GX1027" s="23"/>
      <c r="GY1027" s="23"/>
      <c r="GZ1027" s="23"/>
      <c r="HA1027" s="23"/>
      <c r="HB1027" s="23"/>
      <c r="HC1027" s="23"/>
      <c r="HD1027" s="23"/>
      <c r="HE1027" s="23"/>
      <c r="HF1027" s="23"/>
      <c r="HG1027" s="23"/>
      <c r="HH1027" s="23"/>
      <c r="HI1027" s="23"/>
      <c r="HJ1027" s="23"/>
      <c r="HK1027" s="23"/>
      <c r="HL1027" s="23"/>
      <c r="HM1027" s="23"/>
      <c r="HN1027" s="23"/>
      <c r="HO1027" s="23"/>
      <c r="HP1027" s="23"/>
      <c r="HQ1027" s="23"/>
      <c r="HR1027" s="23"/>
      <c r="HS1027" s="23"/>
      <c r="HT1027" s="23"/>
      <c r="HU1027" s="23"/>
      <c r="HV1027" s="23"/>
      <c r="HW1027" s="23"/>
      <c r="HX1027" s="23"/>
      <c r="HY1027" s="23"/>
      <c r="HZ1027" s="23"/>
      <c r="IA1027" s="23"/>
      <c r="IB1027" s="23"/>
      <c r="IC1027" s="23"/>
      <c r="ID1027" s="23"/>
      <c r="IE1027" s="23"/>
      <c r="IF1027" s="23"/>
      <c r="IG1027" s="23"/>
      <c r="IH1027" s="23"/>
      <c r="II1027" s="23"/>
      <c r="IJ1027" s="23"/>
      <c r="IK1027" s="23"/>
      <c r="IL1027" s="23"/>
      <c r="IM1027" s="23"/>
      <c r="IN1027" s="23"/>
      <c r="IO1027" s="23"/>
      <c r="IP1027" s="23"/>
      <c r="IQ1027" s="23"/>
      <c r="IR1027" s="23"/>
      <c r="IS1027" s="23"/>
      <c r="IT1027" s="23"/>
      <c r="IU1027" s="23"/>
      <c r="IV1027" s="23"/>
      <c r="IW1027" s="23"/>
      <c r="IX1027" s="23"/>
      <c r="IY1027" s="23"/>
      <c r="IZ1027" s="23"/>
      <c r="JA1027" s="23"/>
      <c r="JB1027" s="23"/>
      <c r="JC1027" s="23"/>
      <c r="JD1027" s="23"/>
      <c r="JE1027" s="23"/>
      <c r="JF1027" s="23"/>
      <c r="JG1027" s="23"/>
      <c r="JH1027" s="23"/>
      <c r="JI1027" s="23"/>
      <c r="JJ1027" s="23"/>
      <c r="JK1027" s="23"/>
      <c r="JL1027" s="23"/>
      <c r="JM1027" s="23"/>
      <c r="JN1027" s="23"/>
      <c r="JO1027" s="23"/>
      <c r="JP1027" s="23"/>
      <c r="JQ1027" s="23"/>
      <c r="JR1027" s="23"/>
      <c r="JS1027" s="23"/>
      <c r="JT1027" s="23"/>
      <c r="JU1027" s="23"/>
      <c r="JV1027" s="23"/>
      <c r="JW1027" s="23"/>
      <c r="JX1027" s="23"/>
      <c r="JY1027" s="23"/>
      <c r="JZ1027" s="23"/>
      <c r="KA1027" s="23"/>
      <c r="KB1027" s="23"/>
      <c r="KC1027" s="23"/>
      <c r="KD1027" s="23"/>
      <c r="KE1027" s="23"/>
      <c r="KF1027" s="23"/>
      <c r="KG1027" s="23"/>
      <c r="KH1027" s="23"/>
      <c r="KI1027" s="23"/>
      <c r="KJ1027" s="23"/>
      <c r="KK1027" s="23"/>
      <c r="KL1027" s="23"/>
      <c r="KM1027" s="23"/>
      <c r="KN1027" s="23"/>
      <c r="KO1027" s="23"/>
      <c r="KP1027" s="23"/>
      <c r="KQ1027" s="23"/>
      <c r="KR1027" s="23"/>
      <c r="KS1027" s="23"/>
      <c r="KT1027" s="23"/>
      <c r="KU1027" s="23"/>
      <c r="KV1027" s="23"/>
      <c r="KW1027" s="23"/>
      <c r="KX1027" s="23"/>
      <c r="KY1027" s="23"/>
      <c r="KZ1027" s="23"/>
      <c r="LA1027" s="23"/>
      <c r="LB1027" s="23"/>
      <c r="LC1027" s="23"/>
      <c r="LD1027" s="23"/>
      <c r="LE1027" s="23"/>
      <c r="LF1027" s="23"/>
      <c r="LG1027" s="23"/>
      <c r="LH1027" s="23"/>
      <c r="LI1027" s="23"/>
      <c r="LJ1027" s="23"/>
      <c r="LK1027" s="23"/>
      <c r="LL1027" s="23"/>
      <c r="LM1027" s="23"/>
      <c r="LN1027" s="23"/>
      <c r="LO1027" s="23"/>
      <c r="LP1027" s="23"/>
      <c r="LQ1027" s="23"/>
      <c r="LR1027" s="23"/>
      <c r="LS1027" s="23"/>
      <c r="LT1027" s="23"/>
      <c r="LU1027" s="23"/>
      <c r="LV1027" s="23"/>
      <c r="LW1027" s="23"/>
      <c r="LX1027" s="23"/>
      <c r="LY1027" s="23"/>
      <c r="LZ1027" s="23"/>
      <c r="MA1027" s="23"/>
      <c r="MB1027" s="23"/>
      <c r="MC1027" s="23"/>
      <c r="MD1027" s="23"/>
      <c r="ME1027" s="23"/>
      <c r="MF1027" s="23"/>
      <c r="MG1027" s="23"/>
      <c r="MH1027" s="23"/>
      <c r="MI1027" s="23"/>
      <c r="MJ1027" s="23"/>
      <c r="MK1027" s="23"/>
      <c r="ML1027" s="23"/>
      <c r="MM1027" s="23"/>
      <c r="MN1027" s="23"/>
      <c r="MO1027" s="23"/>
      <c r="MP1027" s="23"/>
      <c r="MQ1027" s="23"/>
      <c r="MR1027" s="23"/>
      <c r="MS1027" s="23"/>
      <c r="MT1027" s="23"/>
      <c r="MU1027" s="23"/>
      <c r="MV1027" s="23"/>
      <c r="MW1027" s="23"/>
      <c r="MX1027" s="23"/>
      <c r="MY1027" s="23"/>
      <c r="MZ1027" s="23"/>
      <c r="NA1027" s="23"/>
      <c r="NB1027" s="23"/>
      <c r="NC1027" s="23"/>
      <c r="ND1027" s="23"/>
      <c r="NE1027" s="23"/>
      <c r="NF1027" s="23"/>
      <c r="NG1027" s="23"/>
      <c r="NH1027" s="23"/>
      <c r="NI1027" s="23"/>
      <c r="NJ1027" s="23"/>
      <c r="NK1027" s="23"/>
      <c r="NL1027" s="23"/>
      <c r="NM1027" s="23"/>
      <c r="NN1027" s="23"/>
      <c r="NO1027" s="23"/>
      <c r="NP1027" s="23"/>
      <c r="NQ1027" s="23"/>
      <c r="NR1027" s="23"/>
      <c r="NS1027" s="23"/>
      <c r="NT1027" s="23"/>
      <c r="NU1027" s="23"/>
      <c r="NV1027" s="23"/>
      <c r="NW1027" s="23"/>
      <c r="NX1027" s="23"/>
      <c r="NY1027" s="23"/>
      <c r="NZ1027" s="23"/>
      <c r="OA1027" s="23"/>
      <c r="OB1027" s="23"/>
      <c r="OC1027" s="23"/>
      <c r="OD1027" s="23"/>
      <c r="OE1027" s="23"/>
      <c r="OF1027" s="23"/>
      <c r="OG1027" s="23"/>
      <c r="OH1027" s="23"/>
      <c r="OI1027" s="23"/>
      <c r="OJ1027" s="23"/>
      <c r="OK1027" s="23"/>
      <c r="OL1027" s="23"/>
      <c r="OM1027" s="23"/>
      <c r="ON1027" s="23"/>
      <c r="OO1027" s="23"/>
      <c r="OP1027" s="23"/>
      <c r="OQ1027" s="23"/>
      <c r="OR1027" s="23"/>
      <c r="OS1027" s="23"/>
      <c r="OT1027" s="23"/>
      <c r="OU1027" s="23"/>
      <c r="OV1027" s="23"/>
      <c r="OW1027" s="23"/>
      <c r="OX1027" s="23"/>
      <c r="OY1027" s="23"/>
      <c r="OZ1027" s="23"/>
      <c r="PA1027" s="23"/>
      <c r="PB1027" s="23"/>
      <c r="PC1027" s="23"/>
      <c r="PD1027" s="23"/>
      <c r="PE1027" s="23"/>
      <c r="PF1027" s="23"/>
      <c r="PG1027" s="23"/>
      <c r="PH1027" s="23"/>
      <c r="PI1027" s="23"/>
      <c r="PJ1027" s="23"/>
      <c r="PK1027" s="23"/>
      <c r="PL1027" s="23"/>
      <c r="PM1027" s="23"/>
      <c r="PN1027" s="23"/>
      <c r="PO1027" s="23"/>
      <c r="PP1027" s="23"/>
      <c r="PQ1027" s="23"/>
      <c r="PR1027" s="23"/>
      <c r="PS1027" s="23"/>
      <c r="PT1027" s="23"/>
      <c r="PU1027" s="23"/>
      <c r="PV1027" s="23"/>
      <c r="PW1027" s="23"/>
      <c r="PX1027" s="23"/>
      <c r="PY1027" s="23"/>
      <c r="PZ1027" s="23"/>
      <c r="QA1027" s="23"/>
      <c r="QB1027" s="23"/>
      <c r="QC1027" s="23"/>
      <c r="QD1027" s="23"/>
      <c r="QE1027" s="23"/>
      <c r="QF1027" s="23"/>
      <c r="QG1027" s="23"/>
      <c r="QH1027" s="23"/>
      <c r="QI1027" s="23"/>
      <c r="QJ1027" s="23"/>
      <c r="QK1027" s="23"/>
      <c r="QL1027" s="23"/>
      <c r="QM1027" s="23"/>
      <c r="QN1027" s="23"/>
      <c r="QO1027" s="23"/>
      <c r="QP1027" s="23"/>
      <c r="QQ1027" s="23"/>
      <c r="QR1027" s="23"/>
      <c r="QS1027" s="23"/>
      <c r="QT1027" s="23"/>
      <c r="QU1027" s="23"/>
      <c r="QV1027" s="23"/>
      <c r="QW1027" s="23"/>
      <c r="QX1027" s="23"/>
      <c r="QY1027" s="23"/>
      <c r="QZ1027" s="23"/>
      <c r="RA1027" s="23"/>
      <c r="RB1027" s="23"/>
      <c r="RC1027" s="23"/>
      <c r="RD1027" s="23"/>
      <c r="RE1027" s="23"/>
      <c r="RF1027" s="23"/>
      <c r="RG1027" s="23"/>
      <c r="RH1027" s="23"/>
      <c r="RI1027" s="23"/>
      <c r="RJ1027" s="23"/>
      <c r="RK1027" s="23"/>
      <c r="RL1027" s="23"/>
      <c r="RM1027" s="23"/>
      <c r="RN1027" s="23"/>
      <c r="RO1027" s="23"/>
      <c r="RP1027" s="23"/>
      <c r="RQ1027" s="23"/>
      <c r="RR1027" s="23"/>
      <c r="RS1027" s="23"/>
      <c r="RT1027" s="23"/>
      <c r="RU1027" s="23"/>
      <c r="RV1027" s="23"/>
      <c r="RW1027" s="23"/>
      <c r="RX1027" s="23"/>
      <c r="RY1027" s="23"/>
      <c r="RZ1027" s="23"/>
      <c r="SA1027" s="23"/>
      <c r="SB1027" s="23"/>
      <c r="SC1027" s="23"/>
      <c r="SD1027" s="23"/>
      <c r="SE1027" s="23"/>
      <c r="SF1027" s="23"/>
      <c r="SG1027" s="23"/>
      <c r="SH1027" s="23"/>
      <c r="SI1027" s="23"/>
      <c r="SJ1027" s="23"/>
      <c r="SK1027" s="23"/>
      <c r="SL1027" s="23"/>
      <c r="SM1027" s="23"/>
      <c r="SN1027" s="23"/>
      <c r="SO1027" s="23"/>
      <c r="SP1027" s="23"/>
      <c r="SQ1027" s="23"/>
      <c r="SR1027" s="23"/>
      <c r="SS1027" s="23"/>
      <c r="ST1027" s="23"/>
      <c r="SU1027" s="23"/>
      <c r="SV1027" s="23"/>
      <c r="SW1027" s="23"/>
      <c r="SX1027" s="23"/>
      <c r="SY1027" s="23"/>
      <c r="SZ1027" s="23"/>
      <c r="TA1027" s="23"/>
      <c r="TB1027" s="23"/>
      <c r="TC1027" s="23"/>
      <c r="TD1027" s="23"/>
      <c r="TE1027" s="23"/>
      <c r="TF1027" s="23"/>
      <c r="TG1027" s="23"/>
      <c r="TH1027" s="23"/>
      <c r="TI1027" s="23"/>
      <c r="TJ1027" s="23"/>
      <c r="TK1027" s="23"/>
      <c r="TL1027" s="23"/>
      <c r="TM1027" s="23"/>
      <c r="TN1027" s="23"/>
      <c r="TO1027" s="23"/>
      <c r="TP1027" s="23"/>
      <c r="TQ1027" s="23"/>
      <c r="TR1027" s="23"/>
      <c r="TS1027" s="23"/>
      <c r="TT1027" s="23"/>
      <c r="TU1027" s="23"/>
      <c r="TV1027" s="23"/>
      <c r="TW1027" s="23"/>
      <c r="TX1027" s="23"/>
      <c r="TY1027" s="23"/>
      <c r="TZ1027" s="23"/>
      <c r="UA1027" s="23"/>
      <c r="UB1027" s="23"/>
      <c r="UC1027" s="23"/>
      <c r="UD1027" s="23"/>
      <c r="UE1027" s="23"/>
      <c r="UF1027" s="23"/>
      <c r="UG1027" s="23"/>
      <c r="UH1027" s="23"/>
      <c r="UI1027" s="23"/>
      <c r="UJ1027" s="23"/>
      <c r="UK1027" s="23"/>
      <c r="UL1027" s="23"/>
      <c r="UM1027" s="23"/>
      <c r="UN1027" s="23"/>
      <c r="UO1027" s="23"/>
      <c r="UP1027" s="23"/>
      <c r="UQ1027" s="23"/>
      <c r="UR1027" s="23"/>
      <c r="US1027" s="23"/>
      <c r="UT1027" s="23"/>
      <c r="UU1027" s="23"/>
      <c r="UV1027" s="23"/>
      <c r="UW1027" s="23"/>
      <c r="UX1027" s="23"/>
      <c r="UY1027" s="23"/>
      <c r="UZ1027" s="23"/>
      <c r="VA1027" s="23"/>
      <c r="VB1027" s="23"/>
      <c r="VC1027" s="23"/>
      <c r="VD1027" s="23"/>
      <c r="VE1027" s="23"/>
      <c r="VF1027" s="23"/>
      <c r="VG1027" s="23"/>
      <c r="VH1027" s="23"/>
      <c r="VI1027" s="23"/>
      <c r="VJ1027" s="23"/>
      <c r="VK1027" s="23"/>
      <c r="VL1027" s="23"/>
      <c r="VM1027" s="23"/>
      <c r="VN1027" s="23"/>
      <c r="VO1027" s="23"/>
      <c r="VP1027" s="23"/>
      <c r="VQ1027" s="23"/>
      <c r="VR1027" s="23"/>
      <c r="VS1027" s="23"/>
      <c r="VT1027" s="23"/>
      <c r="VU1027" s="23"/>
      <c r="VV1027" s="23"/>
      <c r="VW1027" s="23"/>
      <c r="VX1027" s="23"/>
      <c r="VY1027" s="23"/>
      <c r="VZ1027" s="23"/>
      <c r="WA1027" s="23"/>
      <c r="WB1027" s="23"/>
      <c r="WC1027" s="23"/>
      <c r="WD1027" s="23"/>
      <c r="WE1027" s="23"/>
      <c r="WF1027" s="23"/>
      <c r="WG1027" s="23"/>
      <c r="WH1027" s="23"/>
      <c r="WI1027" s="23"/>
      <c r="WJ1027" s="23"/>
      <c r="WK1027" s="23"/>
      <c r="WL1027" s="23"/>
      <c r="WM1027" s="23"/>
      <c r="WN1027" s="23"/>
      <c r="WO1027" s="23"/>
      <c r="WP1027" s="23"/>
      <c r="WQ1027" s="23"/>
      <c r="WR1027" s="23"/>
      <c r="WS1027" s="23"/>
      <c r="WT1027" s="23"/>
      <c r="WU1027" s="23"/>
      <c r="WV1027" s="23"/>
      <c r="WW1027" s="23"/>
      <c r="WX1027" s="23"/>
      <c r="WY1027" s="23"/>
      <c r="WZ1027" s="23"/>
      <c r="XA1027" s="23"/>
      <c r="XB1027" s="23"/>
      <c r="XC1027" s="23"/>
      <c r="XD1027" s="23"/>
      <c r="XE1027" s="23"/>
      <c r="XF1027" s="23"/>
      <c r="XG1027" s="23"/>
      <c r="XH1027" s="23"/>
      <c r="XI1027" s="23"/>
      <c r="XJ1027" s="23"/>
      <c r="XK1027" s="23"/>
      <c r="XL1027" s="23"/>
      <c r="XM1027" s="23"/>
      <c r="XN1027" s="23"/>
      <c r="XO1027" s="23"/>
      <c r="XP1027" s="23"/>
      <c r="XQ1027" s="23"/>
      <c r="XR1027" s="23"/>
      <c r="XS1027" s="23"/>
      <c r="XT1027" s="23"/>
      <c r="XU1027" s="23"/>
      <c r="XV1027" s="23"/>
      <c r="XW1027" s="23"/>
      <c r="XX1027" s="23"/>
      <c r="XY1027" s="23"/>
      <c r="XZ1027" s="23"/>
      <c r="YA1027" s="23"/>
      <c r="YB1027" s="23"/>
      <c r="YC1027" s="23"/>
      <c r="YD1027" s="23"/>
      <c r="YE1027" s="23"/>
      <c r="YF1027" s="23"/>
      <c r="YG1027" s="23"/>
      <c r="YH1027" s="23"/>
      <c r="YI1027" s="23"/>
      <c r="YJ1027" s="23"/>
      <c r="YK1027" s="23"/>
      <c r="YL1027" s="23"/>
      <c r="YM1027" s="23"/>
      <c r="YN1027" s="23"/>
      <c r="YO1027" s="23"/>
      <c r="YP1027" s="23"/>
      <c r="YQ1027" s="23"/>
      <c r="YR1027" s="23"/>
      <c r="YS1027" s="23"/>
      <c r="YT1027" s="23"/>
      <c r="YU1027" s="23"/>
      <c r="YV1027" s="23"/>
      <c r="YW1027" s="23"/>
      <c r="YX1027" s="23"/>
      <c r="YY1027" s="23"/>
      <c r="YZ1027" s="23"/>
      <c r="ZA1027" s="23"/>
      <c r="ZB1027" s="23"/>
      <c r="ZC1027" s="23"/>
      <c r="ZD1027" s="23"/>
      <c r="ZE1027" s="23"/>
      <c r="ZF1027" s="23"/>
      <c r="ZG1027" s="23"/>
      <c r="ZH1027" s="23"/>
      <c r="ZI1027" s="23"/>
      <c r="ZJ1027" s="23"/>
      <c r="ZK1027" s="23"/>
      <c r="ZL1027" s="23"/>
      <c r="ZM1027" s="23"/>
      <c r="ZN1027" s="23"/>
      <c r="ZO1027" s="23"/>
      <c r="ZP1027" s="23"/>
      <c r="ZQ1027" s="23"/>
      <c r="ZR1027" s="23"/>
      <c r="ZS1027" s="23"/>
      <c r="ZT1027" s="23"/>
      <c r="ZU1027" s="23"/>
      <c r="ZV1027" s="23"/>
      <c r="ZW1027" s="23"/>
      <c r="ZX1027" s="23"/>
      <c r="ZY1027" s="23"/>
      <c r="ZZ1027" s="23"/>
      <c r="AAA1027" s="23"/>
      <c r="AAB1027" s="23"/>
      <c r="AAC1027" s="23"/>
      <c r="AAD1027" s="23"/>
      <c r="AAE1027" s="23"/>
      <c r="AAF1027" s="23"/>
      <c r="AAG1027" s="23"/>
      <c r="AAH1027" s="23"/>
      <c r="AAI1027" s="23"/>
      <c r="AAJ1027" s="23"/>
      <c r="AAK1027" s="23"/>
      <c r="AAL1027" s="23"/>
      <c r="AAM1027" s="23"/>
      <c r="AAN1027" s="23"/>
      <c r="AAO1027" s="23"/>
      <c r="AAP1027" s="23"/>
      <c r="AAQ1027" s="23"/>
      <c r="AAR1027" s="23"/>
      <c r="AAS1027" s="23"/>
      <c r="AAT1027" s="23"/>
      <c r="AAU1027" s="23"/>
      <c r="AAV1027" s="23"/>
      <c r="AAW1027" s="23"/>
      <c r="AAX1027" s="23"/>
      <c r="AAY1027" s="23"/>
      <c r="AAZ1027" s="23"/>
      <c r="ABA1027" s="23"/>
      <c r="ABB1027" s="23"/>
      <c r="ABC1027" s="23"/>
      <c r="ABD1027" s="23"/>
      <c r="ABE1027" s="23"/>
      <c r="ABF1027" s="23"/>
      <c r="ABG1027" s="23"/>
      <c r="ABH1027" s="23"/>
      <c r="ABI1027" s="23"/>
      <c r="ABJ1027" s="23"/>
      <c r="ABK1027" s="23"/>
      <c r="ABL1027" s="23"/>
      <c r="ABM1027" s="23"/>
      <c r="ABN1027" s="23"/>
      <c r="ABO1027" s="23"/>
      <c r="ABP1027" s="23"/>
      <c r="ABQ1027" s="23"/>
      <c r="ABR1027" s="23"/>
      <c r="ABS1027" s="23"/>
      <c r="ABT1027" s="23"/>
      <c r="ABU1027" s="23"/>
      <c r="ABV1027" s="23"/>
      <c r="ABW1027" s="23"/>
      <c r="ABX1027" s="23"/>
      <c r="ABY1027" s="23"/>
      <c r="ABZ1027" s="23"/>
      <c r="ACA1027" s="23"/>
      <c r="ACB1027" s="23"/>
      <c r="ACC1027" s="23"/>
      <c r="ACD1027" s="23"/>
      <c r="ACE1027" s="23"/>
      <c r="ACF1027" s="23"/>
      <c r="ACG1027" s="23"/>
      <c r="ACH1027" s="23"/>
      <c r="ACI1027" s="23"/>
      <c r="ACJ1027" s="23"/>
      <c r="ACK1027" s="23"/>
      <c r="ACL1027" s="23"/>
      <c r="ACM1027" s="23"/>
      <c r="ACN1027" s="23"/>
      <c r="ACO1027" s="23"/>
      <c r="ACP1027" s="23"/>
      <c r="ACQ1027" s="23"/>
      <c r="ACR1027" s="23"/>
      <c r="ACS1027" s="23"/>
      <c r="ACT1027" s="23"/>
      <c r="ACU1027" s="23"/>
      <c r="ACV1027" s="23"/>
      <c r="ACW1027" s="23"/>
      <c r="ACX1027" s="23"/>
      <c r="ACY1027" s="23"/>
      <c r="ACZ1027" s="23"/>
      <c r="ADA1027" s="23"/>
      <c r="ADB1027" s="23"/>
      <c r="ADC1027" s="23"/>
      <c r="ADD1027" s="23"/>
      <c r="ADE1027" s="23"/>
      <c r="ADF1027" s="23"/>
      <c r="ADG1027" s="23"/>
      <c r="ADH1027" s="23"/>
      <c r="ADI1027" s="23"/>
      <c r="ADJ1027" s="23"/>
      <c r="ADK1027" s="23"/>
      <c r="ADL1027" s="23"/>
      <c r="ADM1027" s="23"/>
      <c r="ADN1027" s="23"/>
      <c r="ADO1027" s="23"/>
      <c r="ADP1027" s="23"/>
      <c r="ADQ1027" s="23"/>
      <c r="ADR1027" s="23"/>
      <c r="ADS1027" s="23"/>
      <c r="ADT1027" s="23"/>
      <c r="ADU1027" s="23"/>
      <c r="ADV1027" s="23"/>
      <c r="ADW1027" s="23"/>
      <c r="ADX1027" s="23"/>
      <c r="ADY1027" s="23"/>
      <c r="ADZ1027" s="23"/>
      <c r="AEA1027" s="23"/>
      <c r="AEB1027" s="23"/>
      <c r="AEC1027" s="23"/>
      <c r="AED1027" s="23"/>
      <c r="AEE1027" s="23"/>
      <c r="AEF1027" s="23"/>
      <c r="AEG1027" s="23"/>
      <c r="AEH1027" s="23"/>
      <c r="AEI1027" s="23"/>
      <c r="AEJ1027" s="23"/>
      <c r="AEK1027" s="23"/>
      <c r="AEL1027" s="23"/>
      <c r="AEM1027" s="23"/>
      <c r="AEN1027" s="23"/>
      <c r="AEO1027" s="23"/>
      <c r="AEP1027" s="23"/>
      <c r="AEQ1027" s="23"/>
      <c r="AER1027" s="23"/>
      <c r="AES1027" s="23"/>
      <c r="AET1027" s="23"/>
      <c r="AEU1027" s="23"/>
      <c r="AEV1027" s="23"/>
      <c r="AEW1027" s="23"/>
      <c r="AEX1027" s="23"/>
      <c r="AEY1027" s="23"/>
      <c r="AEZ1027" s="23"/>
      <c r="AFA1027" s="23"/>
      <c r="AFB1027" s="23"/>
      <c r="AFC1027" s="23"/>
      <c r="AFD1027" s="23"/>
      <c r="AFE1027" s="23"/>
      <c r="AFF1027" s="23"/>
      <c r="AFG1027" s="23"/>
      <c r="AFH1027" s="23"/>
      <c r="AFI1027" s="23"/>
      <c r="AFJ1027" s="23"/>
      <c r="AFK1027" s="23"/>
      <c r="AFL1027" s="23"/>
      <c r="AFM1027" s="23"/>
      <c r="AFN1027" s="23"/>
      <c r="AFO1027" s="23"/>
      <c r="AFP1027" s="23"/>
      <c r="AFQ1027" s="23"/>
      <c r="AFR1027" s="23"/>
      <c r="AFS1027" s="23"/>
      <c r="AFT1027" s="23"/>
      <c r="AFU1027" s="23"/>
      <c r="AFV1027" s="23"/>
      <c r="AFW1027" s="23"/>
      <c r="AFX1027" s="23"/>
      <c r="AFY1027" s="23"/>
      <c r="AFZ1027" s="23"/>
      <c r="AGA1027" s="23"/>
      <c r="AGB1027" s="23"/>
      <c r="AGC1027" s="23"/>
      <c r="AGD1027" s="23"/>
      <c r="AGE1027" s="23"/>
      <c r="AGF1027" s="23"/>
      <c r="AGG1027" s="23"/>
      <c r="AGH1027" s="23"/>
      <c r="AGI1027" s="23"/>
      <c r="AGJ1027" s="23"/>
      <c r="AGK1027" s="23"/>
      <c r="AGL1027" s="23"/>
      <c r="AGM1027" s="23"/>
      <c r="AGN1027" s="23"/>
      <c r="AGO1027" s="23"/>
      <c r="AGP1027" s="23"/>
      <c r="AGQ1027" s="23"/>
      <c r="AGR1027" s="23"/>
      <c r="AGS1027" s="23"/>
      <c r="AGT1027" s="23"/>
      <c r="AGU1027" s="23"/>
      <c r="AGV1027" s="23"/>
      <c r="AGW1027" s="23"/>
      <c r="AGX1027" s="23"/>
      <c r="AGY1027" s="23"/>
      <c r="AGZ1027" s="23"/>
      <c r="AHA1027" s="23"/>
      <c r="AHB1027" s="23"/>
      <c r="AHC1027" s="23"/>
      <c r="AHD1027" s="23"/>
      <c r="AHE1027" s="23"/>
      <c r="AHF1027" s="23"/>
      <c r="AHG1027" s="23"/>
      <c r="AHH1027" s="23"/>
      <c r="AHI1027" s="23"/>
      <c r="AHJ1027" s="23"/>
      <c r="AHK1027" s="23"/>
      <c r="AHL1027" s="23"/>
      <c r="AHM1027" s="23"/>
      <c r="AHN1027" s="23"/>
      <c r="AHO1027" s="23"/>
      <c r="AHP1027" s="23"/>
      <c r="AHQ1027" s="23"/>
      <c r="AHR1027" s="23"/>
      <c r="AHS1027" s="23"/>
      <c r="AHT1027" s="23"/>
      <c r="AHU1027" s="23"/>
      <c r="AHV1027" s="23"/>
      <c r="AHW1027" s="23"/>
      <c r="AHX1027" s="23"/>
      <c r="AHY1027" s="23"/>
      <c r="AHZ1027" s="23"/>
      <c r="AIA1027" s="23"/>
      <c r="AIB1027" s="23"/>
      <c r="AIC1027" s="23"/>
      <c r="AID1027" s="23"/>
      <c r="AIE1027" s="23"/>
      <c r="AIF1027" s="23"/>
      <c r="AIG1027" s="23"/>
      <c r="AIH1027" s="23"/>
      <c r="AII1027" s="23"/>
      <c r="AIJ1027" s="23"/>
      <c r="AIK1027" s="23"/>
      <c r="AIL1027" s="23"/>
      <c r="AIM1027" s="23"/>
      <c r="AIN1027" s="23"/>
      <c r="AIO1027" s="23"/>
      <c r="AIP1027" s="23"/>
      <c r="AIQ1027" s="23"/>
      <c r="AIR1027" s="23"/>
      <c r="AIS1027" s="23"/>
      <c r="AIT1027" s="23"/>
      <c r="AIU1027" s="23"/>
      <c r="AIV1027" s="23"/>
      <c r="AIW1027" s="23"/>
      <c r="AIX1027" s="23"/>
      <c r="AIY1027" s="23"/>
      <c r="AIZ1027" s="23"/>
      <c r="AJA1027" s="23"/>
      <c r="AJB1027" s="23"/>
      <c r="AJC1027" s="23"/>
      <c r="AJD1027" s="23"/>
      <c r="AJE1027" s="23"/>
      <c r="AJF1027" s="23"/>
      <c r="AJG1027" s="23"/>
      <c r="AJH1027" s="23"/>
      <c r="AJI1027" s="23"/>
      <c r="AJJ1027" s="23"/>
      <c r="AJK1027" s="23"/>
      <c r="AJL1027" s="23"/>
      <c r="AJM1027" s="23"/>
      <c r="AJN1027" s="23"/>
      <c r="AJO1027" s="23"/>
      <c r="AJP1027" s="23"/>
      <c r="AJQ1027" s="23"/>
      <c r="AJR1027" s="23"/>
      <c r="AJS1027" s="23"/>
      <c r="AJT1027" s="23"/>
      <c r="AJU1027" s="23"/>
      <c r="AJV1027" s="23"/>
      <c r="AJW1027" s="23"/>
      <c r="AJX1027" s="23"/>
      <c r="AJY1027" s="23"/>
      <c r="AJZ1027" s="23"/>
      <c r="AKA1027" s="23"/>
      <c r="AKB1027" s="23"/>
      <c r="AKC1027" s="23"/>
      <c r="AKD1027" s="23"/>
      <c r="AKE1027" s="23"/>
      <c r="AKF1027" s="23"/>
      <c r="AKG1027" s="23"/>
      <c r="AKH1027" s="23"/>
      <c r="AKI1027" s="23"/>
      <c r="AKJ1027" s="23"/>
      <c r="AKK1027" s="23"/>
      <c r="AKL1027" s="23"/>
      <c r="AKM1027" s="23"/>
      <c r="AKN1027" s="23"/>
      <c r="AKO1027" s="23"/>
      <c r="AKP1027" s="23"/>
      <c r="AKQ1027" s="23"/>
      <c r="AKR1027" s="23"/>
      <c r="AKS1027" s="23"/>
      <c r="AKT1027" s="23"/>
      <c r="AKU1027" s="23"/>
      <c r="AKV1027" s="23"/>
      <c r="AKW1027" s="23"/>
      <c r="AKX1027" s="23"/>
      <c r="AKY1027" s="23"/>
      <c r="AKZ1027" s="23"/>
      <c r="ALA1027" s="23"/>
      <c r="ALB1027" s="23"/>
      <c r="ALC1027" s="23"/>
      <c r="ALD1027" s="23"/>
      <c r="ALE1027" s="23"/>
      <c r="ALF1027" s="23"/>
      <c r="ALG1027" s="23"/>
      <c r="ALH1027" s="23"/>
      <c r="ALI1027" s="23"/>
      <c r="ALJ1027" s="23"/>
      <c r="ALK1027" s="23"/>
      <c r="ALL1027" s="23"/>
      <c r="ALM1027" s="23"/>
      <c r="ALN1027" s="23"/>
      <c r="ALO1027" s="23"/>
      <c r="ALP1027" s="23"/>
      <c r="ALQ1027" s="23"/>
      <c r="ALR1027" s="23"/>
      <c r="ALS1027" s="23"/>
      <c r="ALT1027" s="23"/>
      <c r="ALU1027" s="23"/>
      <c r="ALV1027" s="23"/>
      <c r="ALW1027" s="23"/>
      <c r="ALX1027" s="23"/>
      <c r="ALY1027" s="23"/>
      <c r="ALZ1027" s="23"/>
      <c r="AMA1027" s="23"/>
      <c r="AMB1027" s="23"/>
      <c r="AMC1027" s="23"/>
      <c r="AMD1027" s="23"/>
      <c r="AME1027" s="23"/>
      <c r="AMF1027" s="23"/>
      <c r="AMG1027" s="23"/>
      <c r="AMH1027" s="23"/>
      <c r="AMI1027" s="23"/>
      <c r="AMJ1027" s="23"/>
      <c r="AMK1027" s="23"/>
      <c r="AML1027" s="23"/>
      <c r="AMM1027" s="23"/>
      <c r="AMN1027" s="23"/>
      <c r="AMO1027" s="23"/>
      <c r="AMP1027" s="23"/>
      <c r="AMQ1027" s="23"/>
      <c r="AMR1027" s="23"/>
      <c r="AMS1027" s="23"/>
      <c r="AMT1027" s="23"/>
      <c r="AMU1027" s="23"/>
      <c r="AMV1027" s="23"/>
      <c r="AMW1027" s="23"/>
      <c r="AMX1027" s="23"/>
      <c r="AMY1027" s="23"/>
      <c r="AMZ1027" s="23"/>
      <c r="ANA1027" s="23"/>
      <c r="ANB1027" s="23"/>
      <c r="ANC1027" s="23"/>
      <c r="AND1027" s="23"/>
      <c r="ANE1027" s="23"/>
      <c r="ANF1027" s="23"/>
      <c r="ANG1027" s="23"/>
      <c r="ANH1027" s="23"/>
      <c r="ANI1027" s="23"/>
      <c r="ANJ1027" s="23"/>
      <c r="ANK1027" s="23"/>
      <c r="ANL1027" s="23"/>
      <c r="ANM1027" s="23"/>
      <c r="ANN1027" s="23"/>
      <c r="ANO1027" s="23"/>
      <c r="ANP1027" s="23"/>
      <c r="ANQ1027" s="23"/>
      <c r="ANR1027" s="23"/>
      <c r="ANS1027" s="23"/>
      <c r="ANT1027" s="23"/>
      <c r="ANU1027" s="23"/>
      <c r="ANV1027" s="23"/>
      <c r="ANW1027" s="23"/>
      <c r="ANX1027" s="23"/>
      <c r="ANY1027" s="23"/>
      <c r="ANZ1027" s="23"/>
      <c r="AOA1027" s="23"/>
      <c r="AOB1027" s="23"/>
      <c r="AOC1027" s="23"/>
      <c r="AOD1027" s="23"/>
      <c r="AOE1027" s="23"/>
      <c r="AOF1027" s="23"/>
      <c r="AOG1027" s="23"/>
      <c r="AOH1027" s="23"/>
      <c r="AOI1027" s="23"/>
      <c r="AOJ1027" s="23"/>
      <c r="AOK1027" s="23"/>
      <c r="AOL1027" s="23"/>
      <c r="AOM1027" s="23"/>
      <c r="AON1027" s="23"/>
      <c r="AOO1027" s="23"/>
      <c r="AOP1027" s="23"/>
      <c r="AOQ1027" s="23"/>
      <c r="AOR1027" s="23"/>
      <c r="AOS1027" s="23"/>
      <c r="AOT1027" s="23"/>
      <c r="AOU1027" s="23"/>
      <c r="AOV1027" s="23"/>
      <c r="AOW1027" s="23"/>
      <c r="AOX1027" s="23"/>
      <c r="AOY1027" s="23"/>
      <c r="AOZ1027" s="23"/>
      <c r="APA1027" s="23"/>
      <c r="APB1027" s="23"/>
      <c r="APC1027" s="23"/>
      <c r="APD1027" s="23"/>
      <c r="APE1027" s="23"/>
      <c r="APF1027" s="23"/>
      <c r="APG1027" s="23"/>
      <c r="APH1027" s="23"/>
      <c r="API1027" s="23"/>
      <c r="APJ1027" s="23"/>
      <c r="APK1027" s="23"/>
      <c r="APL1027" s="23"/>
      <c r="APM1027" s="23"/>
      <c r="APN1027" s="23"/>
      <c r="APO1027" s="23"/>
      <c r="APP1027" s="23"/>
      <c r="APQ1027" s="23"/>
      <c r="APR1027" s="23"/>
      <c r="APS1027" s="23"/>
      <c r="APT1027" s="23"/>
      <c r="APU1027" s="23"/>
      <c r="APV1027" s="23"/>
      <c r="APW1027" s="23"/>
      <c r="APX1027" s="23"/>
      <c r="APY1027" s="23"/>
      <c r="APZ1027" s="23"/>
      <c r="AQA1027" s="23"/>
      <c r="AQB1027" s="23"/>
      <c r="AQC1027" s="23"/>
      <c r="AQD1027" s="23"/>
      <c r="AQE1027" s="23"/>
      <c r="AQF1027" s="23"/>
      <c r="AQG1027" s="23"/>
      <c r="AQH1027" s="23"/>
      <c r="AQI1027" s="23"/>
      <c r="AQJ1027" s="23"/>
      <c r="AQK1027" s="23"/>
      <c r="AQL1027" s="23"/>
      <c r="AQM1027" s="23"/>
      <c r="AQN1027" s="23"/>
      <c r="AQO1027" s="23"/>
      <c r="AQP1027" s="23"/>
      <c r="AQQ1027" s="23"/>
      <c r="AQR1027" s="23"/>
      <c r="AQS1027" s="23"/>
      <c r="AQT1027" s="23"/>
      <c r="AQU1027" s="23"/>
      <c r="AQV1027" s="23"/>
      <c r="AQW1027" s="23"/>
      <c r="AQX1027" s="23"/>
      <c r="AQY1027" s="23"/>
      <c r="AQZ1027" s="23"/>
      <c r="ARA1027" s="23"/>
      <c r="ARB1027" s="23"/>
      <c r="ARC1027" s="23"/>
      <c r="ARD1027" s="23"/>
      <c r="ARE1027" s="23"/>
      <c r="ARF1027" s="23"/>
      <c r="ARG1027" s="23"/>
      <c r="ARH1027" s="23"/>
      <c r="ARI1027" s="23"/>
      <c r="ARJ1027" s="23"/>
      <c r="ARK1027" s="23"/>
      <c r="ARL1027" s="23"/>
      <c r="ARM1027" s="23"/>
      <c r="ARN1027" s="23"/>
      <c r="ARO1027" s="23"/>
      <c r="ARP1027" s="23"/>
      <c r="ARQ1027" s="23"/>
      <c r="ARR1027" s="23"/>
      <c r="ARS1027" s="23"/>
      <c r="ART1027" s="23"/>
      <c r="ARU1027" s="23"/>
      <c r="ARV1027" s="23"/>
      <c r="ARW1027" s="23"/>
      <c r="ARX1027" s="23"/>
      <c r="ARY1027" s="23"/>
      <c r="ARZ1027" s="23"/>
      <c r="ASA1027" s="23"/>
      <c r="ASB1027" s="23"/>
      <c r="ASC1027" s="23"/>
      <c r="ASD1027" s="23"/>
      <c r="ASE1027" s="23"/>
      <c r="ASF1027" s="23"/>
      <c r="ASG1027" s="23"/>
      <c r="ASH1027" s="23"/>
      <c r="ASI1027" s="23"/>
      <c r="ASJ1027" s="23"/>
      <c r="ASK1027" s="23"/>
      <c r="ASL1027" s="23"/>
      <c r="ASM1027" s="23"/>
      <c r="ASN1027" s="23"/>
      <c r="ASO1027" s="23"/>
      <c r="ASP1027" s="23"/>
      <c r="ASQ1027" s="23"/>
      <c r="ASR1027" s="23"/>
      <c r="ASS1027" s="23"/>
      <c r="AST1027" s="23"/>
      <c r="ASU1027" s="23"/>
      <c r="ASV1027" s="23"/>
      <c r="ASW1027" s="23"/>
      <c r="ASX1027" s="23"/>
      <c r="ASY1027" s="23"/>
      <c r="ASZ1027" s="23"/>
      <c r="ATA1027" s="23"/>
      <c r="ATB1027" s="23"/>
      <c r="ATC1027" s="23"/>
      <c r="ATD1027" s="23"/>
      <c r="ATE1027" s="23"/>
      <c r="ATF1027" s="23"/>
      <c r="ATG1027" s="23"/>
      <c r="ATH1027" s="23"/>
      <c r="ATI1027" s="23"/>
      <c r="ATJ1027" s="23"/>
      <c r="ATK1027" s="23"/>
      <c r="ATL1027" s="23"/>
      <c r="ATM1027" s="23"/>
      <c r="ATN1027" s="23"/>
      <c r="ATO1027" s="23"/>
      <c r="ATP1027" s="23"/>
      <c r="ATQ1027" s="23"/>
      <c r="ATR1027" s="23"/>
      <c r="ATS1027" s="23"/>
      <c r="ATT1027" s="23"/>
      <c r="ATU1027" s="23"/>
      <c r="ATV1027" s="23"/>
      <c r="ATW1027" s="23"/>
      <c r="ATX1027" s="23"/>
      <c r="ATY1027" s="23"/>
      <c r="ATZ1027" s="23"/>
      <c r="AUA1027" s="23"/>
      <c r="AUB1027" s="23"/>
      <c r="AUC1027" s="23"/>
      <c r="AUD1027" s="23"/>
      <c r="AUE1027" s="23"/>
      <c r="AUF1027" s="23"/>
      <c r="AUG1027" s="23"/>
      <c r="AUH1027" s="23"/>
      <c r="AUI1027" s="23"/>
      <c r="AUJ1027" s="23"/>
      <c r="AUK1027" s="23"/>
      <c r="AUL1027" s="23"/>
      <c r="AUM1027" s="23"/>
      <c r="AUN1027" s="23"/>
      <c r="AUO1027" s="23"/>
      <c r="AUP1027" s="23"/>
      <c r="AUQ1027" s="23"/>
      <c r="AUR1027" s="23"/>
      <c r="AUS1027" s="23"/>
      <c r="AUT1027" s="23"/>
      <c r="AUU1027" s="23"/>
      <c r="AUV1027" s="23"/>
      <c r="AUW1027" s="23"/>
      <c r="AUX1027" s="23"/>
      <c r="AUY1027" s="23"/>
      <c r="AUZ1027" s="23"/>
      <c r="AVA1027" s="23"/>
      <c r="AVB1027" s="23"/>
      <c r="AVC1027" s="23"/>
      <c r="AVD1027" s="23"/>
      <c r="AVE1027" s="23"/>
      <c r="AVF1027" s="23"/>
      <c r="AVG1027" s="23"/>
      <c r="AVH1027" s="23"/>
      <c r="AVI1027" s="23"/>
      <c r="AVJ1027" s="23"/>
      <c r="AVK1027" s="23"/>
      <c r="AVL1027" s="23"/>
      <c r="AVM1027" s="23"/>
      <c r="AVN1027" s="23"/>
      <c r="AVO1027" s="23"/>
      <c r="AVP1027" s="23"/>
      <c r="AVQ1027" s="23"/>
      <c r="AVR1027" s="23"/>
      <c r="AVS1027" s="23"/>
      <c r="AVT1027" s="23"/>
      <c r="AVU1027" s="23"/>
      <c r="AVV1027" s="23"/>
      <c r="AVW1027" s="23"/>
      <c r="AVX1027" s="23"/>
      <c r="AVY1027" s="23"/>
      <c r="AVZ1027" s="23"/>
      <c r="AWA1027" s="23"/>
      <c r="AWB1027" s="23"/>
      <c r="AWC1027" s="23"/>
      <c r="AWD1027" s="23"/>
      <c r="AWE1027" s="23"/>
      <c r="AWF1027" s="23"/>
      <c r="AWG1027" s="23"/>
      <c r="AWH1027" s="23"/>
      <c r="AWI1027" s="23"/>
      <c r="AWJ1027" s="23"/>
      <c r="AWK1027" s="23"/>
      <c r="AWL1027" s="23"/>
      <c r="AWM1027" s="23"/>
      <c r="AWN1027" s="23"/>
      <c r="AWO1027" s="23"/>
      <c r="AWP1027" s="23"/>
      <c r="AWQ1027" s="23"/>
      <c r="AWR1027" s="23"/>
      <c r="AWS1027" s="23"/>
      <c r="AWT1027" s="23"/>
      <c r="AWU1027" s="23"/>
      <c r="AWV1027" s="23"/>
      <c r="AWW1027" s="23"/>
      <c r="AWX1027" s="23"/>
      <c r="AWY1027" s="23"/>
      <c r="AWZ1027" s="23"/>
      <c r="AXA1027" s="23"/>
      <c r="AXB1027" s="23"/>
      <c r="AXC1027" s="23"/>
      <c r="AXD1027" s="23"/>
      <c r="AXE1027" s="23"/>
      <c r="AXF1027" s="23"/>
      <c r="AXG1027" s="23"/>
      <c r="AXH1027" s="23"/>
      <c r="AXI1027" s="23"/>
      <c r="AXJ1027" s="23"/>
      <c r="AXK1027" s="23"/>
      <c r="AXL1027" s="23"/>
      <c r="AXM1027" s="23"/>
      <c r="AXN1027" s="23"/>
      <c r="AXO1027" s="23"/>
      <c r="AXP1027" s="23"/>
      <c r="AXQ1027" s="23"/>
      <c r="AXR1027" s="23"/>
      <c r="AXS1027" s="23"/>
      <c r="AXT1027" s="23"/>
      <c r="AXU1027" s="23"/>
      <c r="AXV1027" s="23"/>
      <c r="AXW1027" s="23"/>
      <c r="AXX1027" s="23"/>
      <c r="AXY1027" s="23"/>
      <c r="AXZ1027" s="23"/>
      <c r="AYA1027" s="23"/>
      <c r="AYB1027" s="23"/>
      <c r="AYC1027" s="23"/>
      <c r="AYD1027" s="23"/>
      <c r="AYE1027" s="23"/>
      <c r="AYF1027" s="23"/>
      <c r="AYG1027" s="23"/>
      <c r="AYH1027" s="23"/>
      <c r="AYI1027" s="23"/>
      <c r="AYJ1027" s="23"/>
      <c r="AYK1027" s="23"/>
      <c r="AYL1027" s="23"/>
      <c r="AYM1027" s="23"/>
      <c r="AYN1027" s="23"/>
      <c r="AYO1027" s="23"/>
      <c r="AYP1027" s="23"/>
      <c r="AYQ1027" s="23"/>
      <c r="AYR1027" s="23"/>
      <c r="AYS1027" s="23"/>
      <c r="AYT1027" s="23"/>
      <c r="AYU1027" s="23"/>
      <c r="AYV1027" s="23"/>
      <c r="AYW1027" s="23"/>
      <c r="AYX1027" s="23"/>
      <c r="AYY1027" s="23"/>
      <c r="AYZ1027" s="23"/>
      <c r="AZA1027" s="23"/>
      <c r="AZB1027" s="23"/>
      <c r="AZC1027" s="23"/>
      <c r="AZD1027" s="23"/>
      <c r="AZE1027" s="23"/>
      <c r="AZF1027" s="23"/>
      <c r="AZG1027" s="23"/>
      <c r="AZH1027" s="23"/>
      <c r="AZI1027" s="23"/>
      <c r="AZJ1027" s="23"/>
      <c r="AZK1027" s="23"/>
      <c r="AZL1027" s="23"/>
      <c r="AZM1027" s="23"/>
      <c r="AZN1027" s="23"/>
      <c r="AZO1027" s="23"/>
      <c r="AZP1027" s="23"/>
      <c r="AZQ1027" s="23"/>
      <c r="AZR1027" s="23"/>
      <c r="AZS1027" s="23"/>
      <c r="AZT1027" s="23"/>
      <c r="AZU1027" s="23"/>
      <c r="AZV1027" s="23"/>
      <c r="AZW1027" s="23"/>
      <c r="AZX1027" s="23"/>
      <c r="AZY1027" s="23"/>
      <c r="AZZ1027" s="23"/>
      <c r="BAA1027" s="23"/>
      <c r="BAB1027" s="23"/>
      <c r="BAC1027" s="23"/>
      <c r="BAD1027" s="23"/>
      <c r="BAE1027" s="23"/>
      <c r="BAF1027" s="23"/>
      <c r="BAG1027" s="23"/>
      <c r="BAH1027" s="23"/>
      <c r="BAI1027" s="23"/>
      <c r="BAJ1027" s="23"/>
      <c r="BAK1027" s="23"/>
      <c r="BAL1027" s="23"/>
      <c r="BAM1027" s="23"/>
      <c r="BAN1027" s="23"/>
      <c r="BAO1027" s="23"/>
      <c r="BAP1027" s="23"/>
      <c r="BAQ1027" s="23"/>
      <c r="BAR1027" s="23"/>
      <c r="BAS1027" s="23"/>
      <c r="BAT1027" s="23"/>
      <c r="BAU1027" s="23"/>
      <c r="BAV1027" s="23"/>
      <c r="BAW1027" s="23"/>
      <c r="BAX1027" s="23"/>
      <c r="BAY1027" s="23"/>
      <c r="BAZ1027" s="23"/>
      <c r="BBA1027" s="23"/>
      <c r="BBB1027" s="23"/>
      <c r="BBC1027" s="23"/>
      <c r="BBD1027" s="23"/>
      <c r="BBE1027" s="23"/>
      <c r="BBF1027" s="23"/>
      <c r="BBG1027" s="23"/>
      <c r="BBH1027" s="23"/>
      <c r="BBI1027" s="23"/>
      <c r="BBJ1027" s="23"/>
      <c r="BBK1027" s="23"/>
      <c r="BBL1027" s="23"/>
      <c r="BBM1027" s="23"/>
      <c r="BBN1027" s="23"/>
      <c r="BBO1027" s="23"/>
      <c r="BBP1027" s="23"/>
      <c r="BBQ1027" s="23"/>
      <c r="BBR1027" s="23"/>
      <c r="BBS1027" s="23"/>
      <c r="BBT1027" s="23"/>
      <c r="BBU1027" s="23"/>
      <c r="BBV1027" s="23"/>
      <c r="BBW1027" s="23"/>
      <c r="BBX1027" s="23"/>
      <c r="BBY1027" s="23"/>
      <c r="BBZ1027" s="23"/>
      <c r="BCA1027" s="23"/>
      <c r="BCB1027" s="23"/>
      <c r="BCC1027" s="23"/>
      <c r="BCD1027" s="23"/>
      <c r="BCE1027" s="23"/>
      <c r="BCF1027" s="23"/>
      <c r="BCG1027" s="23"/>
      <c r="BCH1027" s="23"/>
      <c r="BCI1027" s="23"/>
      <c r="BCJ1027" s="23"/>
      <c r="BCK1027" s="23"/>
      <c r="BCL1027" s="23"/>
      <c r="BCM1027" s="23"/>
      <c r="BCN1027" s="23"/>
      <c r="BCO1027" s="23"/>
      <c r="BCP1027" s="23"/>
      <c r="BCQ1027" s="23"/>
      <c r="BCR1027" s="23"/>
      <c r="BCS1027" s="23"/>
      <c r="BCT1027" s="23"/>
      <c r="BCU1027" s="23"/>
      <c r="BCV1027" s="23"/>
      <c r="BCW1027" s="23"/>
      <c r="BCX1027" s="23"/>
      <c r="BCY1027" s="23"/>
      <c r="BCZ1027" s="23"/>
      <c r="BDA1027" s="23"/>
      <c r="BDB1027" s="23"/>
      <c r="BDC1027" s="23"/>
      <c r="BDD1027" s="23"/>
      <c r="BDE1027" s="23"/>
      <c r="BDF1027" s="23"/>
      <c r="BDG1027" s="23"/>
      <c r="BDH1027" s="23"/>
      <c r="BDI1027" s="23"/>
      <c r="BDJ1027" s="23"/>
      <c r="BDK1027" s="23"/>
      <c r="BDL1027" s="23"/>
      <c r="BDM1027" s="23"/>
      <c r="BDN1027" s="23"/>
      <c r="BDO1027" s="23"/>
      <c r="BDP1027" s="23"/>
      <c r="BDQ1027" s="23"/>
      <c r="BDR1027" s="23"/>
      <c r="BDS1027" s="23"/>
      <c r="BDT1027" s="23"/>
      <c r="BDU1027" s="23"/>
      <c r="BDV1027" s="23"/>
      <c r="BDW1027" s="23"/>
      <c r="BDX1027" s="23"/>
      <c r="BDY1027" s="23"/>
      <c r="BDZ1027" s="23"/>
      <c r="BEA1027" s="23"/>
      <c r="BEB1027" s="23"/>
      <c r="BEC1027" s="23"/>
      <c r="BED1027" s="23"/>
      <c r="BEE1027" s="23"/>
      <c r="BEF1027" s="23"/>
      <c r="BEG1027" s="23"/>
      <c r="BEH1027" s="23"/>
      <c r="BEI1027" s="23"/>
      <c r="BEJ1027" s="23"/>
      <c r="BEK1027" s="23"/>
      <c r="BEL1027" s="23"/>
      <c r="BEM1027" s="23"/>
      <c r="BEN1027" s="23"/>
      <c r="BEO1027" s="23"/>
      <c r="BEP1027" s="23"/>
      <c r="BEQ1027" s="23"/>
      <c r="BER1027" s="23"/>
      <c r="BES1027" s="23"/>
      <c r="BET1027" s="23"/>
      <c r="BEU1027" s="23"/>
      <c r="BEV1027" s="23"/>
      <c r="BEW1027" s="23"/>
      <c r="BEX1027" s="23"/>
      <c r="BEY1027" s="23"/>
      <c r="BEZ1027" s="23"/>
      <c r="BFA1027" s="23"/>
      <c r="BFB1027" s="23"/>
      <c r="BFC1027" s="23"/>
      <c r="BFD1027" s="23"/>
      <c r="BFE1027" s="23"/>
      <c r="BFF1027" s="23"/>
      <c r="BFG1027" s="23"/>
      <c r="BFH1027" s="23"/>
      <c r="BFI1027" s="23"/>
      <c r="BFJ1027" s="23"/>
      <c r="BFK1027" s="23"/>
      <c r="BFL1027" s="23"/>
      <c r="BFM1027" s="23"/>
      <c r="BFN1027" s="23"/>
      <c r="BFO1027" s="23"/>
      <c r="BFP1027" s="23"/>
      <c r="BFQ1027" s="23"/>
      <c r="BFR1027" s="23"/>
      <c r="BFS1027" s="23"/>
      <c r="BFT1027" s="23"/>
      <c r="BFU1027" s="23"/>
      <c r="BFV1027" s="23"/>
      <c r="BFW1027" s="23"/>
      <c r="BFX1027" s="23"/>
      <c r="BFY1027" s="23"/>
      <c r="BFZ1027" s="23"/>
      <c r="BGA1027" s="23"/>
      <c r="BGB1027" s="23"/>
      <c r="BGC1027" s="23"/>
      <c r="BGD1027" s="23"/>
      <c r="BGE1027" s="23"/>
      <c r="BGF1027" s="23"/>
      <c r="BGG1027" s="23"/>
      <c r="BGH1027" s="23"/>
      <c r="BGI1027" s="23"/>
      <c r="BGJ1027" s="23"/>
      <c r="BGK1027" s="23"/>
      <c r="BGL1027" s="23"/>
      <c r="BGM1027" s="23"/>
      <c r="BGN1027" s="23"/>
      <c r="BGO1027" s="23"/>
      <c r="BGP1027" s="23"/>
      <c r="BGQ1027" s="23"/>
      <c r="BGR1027" s="23"/>
      <c r="BGS1027" s="23"/>
      <c r="BGT1027" s="23"/>
      <c r="BGU1027" s="23"/>
      <c r="BGV1027" s="23"/>
      <c r="BGW1027" s="23"/>
      <c r="BGX1027" s="23"/>
      <c r="BGY1027" s="23"/>
      <c r="BGZ1027" s="23"/>
      <c r="BHA1027" s="23"/>
      <c r="BHB1027" s="23"/>
      <c r="BHC1027" s="23"/>
      <c r="BHD1027" s="23"/>
      <c r="BHE1027" s="23"/>
      <c r="BHF1027" s="23"/>
      <c r="BHG1027" s="23"/>
      <c r="BHH1027" s="23"/>
      <c r="BHI1027" s="23"/>
      <c r="BHJ1027" s="23"/>
      <c r="BHK1027" s="23"/>
      <c r="BHL1027" s="23"/>
      <c r="BHM1027" s="23"/>
      <c r="BHN1027" s="23"/>
      <c r="BHO1027" s="23"/>
      <c r="BHP1027" s="23"/>
      <c r="BHQ1027" s="23"/>
      <c r="BHR1027" s="23"/>
      <c r="BHS1027" s="23"/>
      <c r="BHT1027" s="23"/>
      <c r="BHU1027" s="23"/>
      <c r="BHV1027" s="23"/>
      <c r="BHW1027" s="23"/>
      <c r="BHX1027" s="23"/>
      <c r="BHY1027" s="23"/>
      <c r="BHZ1027" s="23"/>
      <c r="BIA1027" s="23"/>
      <c r="BIB1027" s="23"/>
      <c r="BIC1027" s="23"/>
      <c r="BID1027" s="23"/>
      <c r="BIE1027" s="23"/>
      <c r="BIF1027" s="23"/>
      <c r="BIG1027" s="23"/>
      <c r="BIH1027" s="23"/>
      <c r="BII1027" s="23"/>
      <c r="BIJ1027" s="23"/>
      <c r="BIK1027" s="23"/>
      <c r="BIL1027" s="23"/>
      <c r="BIM1027" s="23"/>
      <c r="BIN1027" s="23"/>
      <c r="BIO1027" s="23"/>
      <c r="BIP1027" s="23"/>
      <c r="BIQ1027" s="23"/>
      <c r="BIR1027" s="23"/>
      <c r="BIS1027" s="23"/>
      <c r="BIT1027" s="23"/>
      <c r="BIU1027" s="23"/>
      <c r="BIV1027" s="23"/>
      <c r="BIW1027" s="23"/>
      <c r="BIX1027" s="23"/>
      <c r="BIY1027" s="23"/>
      <c r="BIZ1027" s="23"/>
      <c r="BJA1027" s="23"/>
      <c r="BJB1027" s="23"/>
      <c r="BJC1027" s="23"/>
      <c r="BJD1027" s="23"/>
      <c r="BJE1027" s="23"/>
      <c r="BJF1027" s="23"/>
      <c r="BJG1027" s="23"/>
      <c r="BJH1027" s="23"/>
      <c r="BJI1027" s="23"/>
      <c r="BJJ1027" s="23"/>
      <c r="BJK1027" s="23"/>
      <c r="BJL1027" s="23"/>
      <c r="BJM1027" s="23"/>
      <c r="BJN1027" s="23"/>
      <c r="BJO1027" s="23"/>
      <c r="BJP1027" s="23"/>
      <c r="BJQ1027" s="23"/>
      <c r="BJR1027" s="23"/>
      <c r="BJS1027" s="23"/>
      <c r="BJT1027" s="23"/>
      <c r="BJU1027" s="23"/>
      <c r="BJV1027" s="23"/>
      <c r="BJW1027" s="23"/>
      <c r="BJX1027" s="23"/>
      <c r="BJY1027" s="23"/>
      <c r="BJZ1027" s="23"/>
      <c r="BKA1027" s="23"/>
      <c r="BKB1027" s="23"/>
      <c r="BKC1027" s="23"/>
      <c r="BKD1027" s="23"/>
      <c r="BKE1027" s="23"/>
      <c r="BKF1027" s="23"/>
      <c r="BKG1027" s="23"/>
      <c r="BKH1027" s="23"/>
      <c r="BKI1027" s="23"/>
      <c r="BKJ1027" s="23"/>
      <c r="BKK1027" s="23"/>
      <c r="BKL1027" s="23"/>
      <c r="BKM1027" s="23"/>
      <c r="BKN1027" s="23"/>
      <c r="BKO1027" s="23"/>
      <c r="BKP1027" s="23"/>
      <c r="BKQ1027" s="23"/>
      <c r="BKR1027" s="23"/>
      <c r="BKS1027" s="23"/>
      <c r="BKT1027" s="23"/>
      <c r="BKU1027" s="23"/>
      <c r="BKV1027" s="23"/>
      <c r="BKW1027" s="23"/>
      <c r="BKX1027" s="23"/>
      <c r="BKY1027" s="23"/>
      <c r="BKZ1027" s="23"/>
      <c r="BLA1027" s="23"/>
      <c r="BLB1027" s="23"/>
      <c r="BLC1027" s="23"/>
      <c r="BLD1027" s="23"/>
      <c r="BLE1027" s="23"/>
      <c r="BLF1027" s="23"/>
      <c r="BLG1027" s="23"/>
      <c r="BLH1027" s="23"/>
      <c r="BLI1027" s="23"/>
      <c r="BLJ1027" s="23"/>
      <c r="BLK1027" s="23"/>
      <c r="BLL1027" s="23"/>
      <c r="BLM1027" s="23"/>
      <c r="BLN1027" s="23"/>
      <c r="BLO1027" s="23"/>
      <c r="BLP1027" s="23"/>
      <c r="BLQ1027" s="23"/>
      <c r="BLR1027" s="23"/>
      <c r="BLS1027" s="23"/>
      <c r="BLT1027" s="23"/>
      <c r="BLU1027" s="23"/>
      <c r="BLV1027" s="23"/>
      <c r="BLW1027" s="23"/>
      <c r="BLX1027" s="23"/>
      <c r="BLY1027" s="23"/>
      <c r="BLZ1027" s="23"/>
      <c r="BMA1027" s="23"/>
      <c r="BMB1027" s="23"/>
      <c r="BMC1027" s="23"/>
      <c r="BMD1027" s="23"/>
      <c r="BME1027" s="23"/>
      <c r="BMF1027" s="23"/>
      <c r="BMG1027" s="23"/>
      <c r="BMH1027" s="23"/>
      <c r="BMI1027" s="23"/>
      <c r="BMJ1027" s="23"/>
      <c r="BMK1027" s="23"/>
      <c r="BML1027" s="23"/>
      <c r="BMM1027" s="23"/>
      <c r="BMN1027" s="23"/>
      <c r="BMO1027" s="23"/>
      <c r="BMP1027" s="23"/>
      <c r="BMQ1027" s="23"/>
      <c r="BMR1027" s="23"/>
      <c r="BMS1027" s="23"/>
      <c r="BMT1027" s="23"/>
      <c r="BMU1027" s="23"/>
      <c r="BMV1027" s="23"/>
      <c r="BMW1027" s="23"/>
      <c r="BMX1027" s="23"/>
      <c r="BMY1027" s="23"/>
      <c r="BMZ1027" s="23"/>
      <c r="BNA1027" s="23"/>
      <c r="BNB1027" s="23"/>
      <c r="BNC1027" s="23"/>
      <c r="BND1027" s="23"/>
      <c r="BNE1027" s="23"/>
      <c r="BNF1027" s="23"/>
      <c r="BNG1027" s="23"/>
      <c r="BNH1027" s="23"/>
      <c r="BNI1027" s="23"/>
      <c r="BNJ1027" s="23"/>
      <c r="BNK1027" s="23"/>
      <c r="BNL1027" s="23"/>
      <c r="BNM1027" s="23"/>
      <c r="BNN1027" s="23"/>
      <c r="BNO1027" s="23"/>
      <c r="BNP1027" s="23"/>
      <c r="BNQ1027" s="23"/>
      <c r="BNR1027" s="23"/>
      <c r="BNS1027" s="23"/>
      <c r="BNT1027" s="23"/>
      <c r="BNU1027" s="23"/>
      <c r="BNV1027" s="23"/>
      <c r="BNW1027" s="23"/>
      <c r="BNX1027" s="23"/>
      <c r="BNY1027" s="23"/>
      <c r="BNZ1027" s="23"/>
      <c r="BOA1027" s="23"/>
      <c r="BOB1027" s="23"/>
      <c r="BOC1027" s="23"/>
      <c r="BOD1027" s="23"/>
      <c r="BOE1027" s="23"/>
      <c r="BOF1027" s="23"/>
      <c r="BOG1027" s="23"/>
      <c r="BOH1027" s="23"/>
      <c r="BOI1027" s="23"/>
      <c r="BOJ1027" s="23"/>
      <c r="BOK1027" s="23"/>
      <c r="BOL1027" s="23"/>
      <c r="BOM1027" s="23"/>
      <c r="BON1027" s="23"/>
      <c r="BOO1027" s="23"/>
      <c r="BOP1027" s="23"/>
      <c r="BOQ1027" s="23"/>
      <c r="BOR1027" s="23"/>
      <c r="BOS1027" s="23"/>
      <c r="BOT1027" s="23"/>
      <c r="BOU1027" s="23"/>
      <c r="BOV1027" s="23"/>
      <c r="BOW1027" s="23"/>
      <c r="BOX1027" s="23"/>
      <c r="BOY1027" s="23"/>
      <c r="BOZ1027" s="23"/>
      <c r="BPA1027" s="23"/>
      <c r="BPB1027" s="23"/>
      <c r="BPC1027" s="23"/>
      <c r="BPD1027" s="23"/>
      <c r="BPE1027" s="23"/>
      <c r="BPF1027" s="23"/>
      <c r="BPG1027" s="23"/>
      <c r="BPH1027" s="23"/>
      <c r="BPI1027" s="23"/>
      <c r="BPJ1027" s="23"/>
      <c r="BPK1027" s="23"/>
      <c r="BPL1027" s="23"/>
      <c r="BPM1027" s="23"/>
      <c r="BPN1027" s="23"/>
      <c r="BPO1027" s="23"/>
      <c r="BPP1027" s="23"/>
      <c r="BPQ1027" s="23"/>
      <c r="BPR1027" s="23"/>
      <c r="BPS1027" s="23"/>
      <c r="BPT1027" s="23"/>
      <c r="BPU1027" s="23"/>
      <c r="BPV1027" s="23"/>
      <c r="BPW1027" s="23"/>
      <c r="BPX1027" s="23"/>
      <c r="BPY1027" s="23"/>
      <c r="BPZ1027" s="23"/>
      <c r="BQA1027" s="23"/>
      <c r="BQB1027" s="23"/>
      <c r="BQC1027" s="23"/>
      <c r="BQD1027" s="23"/>
      <c r="BQE1027" s="23"/>
      <c r="BQF1027" s="23"/>
      <c r="BQG1027" s="23"/>
      <c r="BQH1027" s="23"/>
      <c r="BQI1027" s="23"/>
      <c r="BQJ1027" s="23"/>
      <c r="BQK1027" s="23"/>
      <c r="BQL1027" s="23"/>
      <c r="BQM1027" s="23"/>
      <c r="BQN1027" s="23"/>
      <c r="BQO1027" s="23"/>
      <c r="BQP1027" s="23"/>
      <c r="BQQ1027" s="23"/>
      <c r="BQR1027" s="23"/>
      <c r="BQS1027" s="23"/>
      <c r="BQT1027" s="23"/>
      <c r="BQU1027" s="23"/>
      <c r="BQV1027" s="23"/>
      <c r="BQW1027" s="23"/>
      <c r="BQX1027" s="23"/>
      <c r="BQY1027" s="23"/>
      <c r="BQZ1027" s="23"/>
      <c r="BRA1027" s="23"/>
      <c r="BRB1027" s="23"/>
      <c r="BRC1027" s="23"/>
      <c r="BRD1027" s="23"/>
      <c r="BRE1027" s="23"/>
      <c r="BRF1027" s="23"/>
      <c r="BRG1027" s="23"/>
      <c r="BRH1027" s="23"/>
      <c r="BRI1027" s="23"/>
      <c r="BRJ1027" s="23"/>
      <c r="BRK1027" s="23"/>
      <c r="BRL1027" s="23"/>
      <c r="BRM1027" s="23"/>
      <c r="BRN1027" s="23"/>
      <c r="BRO1027" s="23"/>
      <c r="BRP1027" s="23"/>
      <c r="BRQ1027" s="23"/>
      <c r="BRR1027" s="23"/>
      <c r="BRS1027" s="23"/>
      <c r="BRT1027" s="23"/>
      <c r="BRU1027" s="23"/>
      <c r="BRV1027" s="23"/>
      <c r="BRW1027" s="23"/>
      <c r="BRX1027" s="23"/>
      <c r="BRY1027" s="23"/>
      <c r="BRZ1027" s="23"/>
      <c r="BSA1027" s="23"/>
      <c r="BSB1027" s="23"/>
      <c r="BSC1027" s="23"/>
      <c r="BSD1027" s="23"/>
      <c r="BSE1027" s="23"/>
      <c r="BSF1027" s="23"/>
      <c r="BSG1027" s="23"/>
      <c r="BSH1027" s="23"/>
      <c r="BSI1027" s="23"/>
      <c r="BSJ1027" s="23"/>
      <c r="BSK1027" s="23"/>
      <c r="BSL1027" s="23"/>
      <c r="BSM1027" s="23"/>
      <c r="BSN1027" s="23"/>
      <c r="BSO1027" s="23"/>
      <c r="BSP1027" s="23"/>
      <c r="BSQ1027" s="23"/>
      <c r="BSR1027" s="23"/>
      <c r="BSS1027" s="23"/>
      <c r="BST1027" s="23"/>
      <c r="BSU1027" s="23"/>
      <c r="BSV1027" s="23"/>
      <c r="BSW1027" s="23"/>
      <c r="BSX1027" s="23"/>
      <c r="BSY1027" s="23"/>
      <c r="BSZ1027" s="23"/>
      <c r="BTA1027" s="23"/>
    </row>
    <row r="1028" spans="1:1873" s="23" customFormat="1" ht="11.45" customHeight="1" x14ac:dyDescent="0.2">
      <c r="A1028" s="29"/>
      <c r="B1028" s="29"/>
      <c r="C1028" s="29"/>
      <c r="D1028" s="29"/>
      <c r="E1028" s="66"/>
      <c r="F1028" s="66"/>
      <c r="G1028" s="29"/>
      <c r="H1028" s="30"/>
      <c r="I1028" s="29"/>
      <c r="J1028" s="29"/>
      <c r="K1028" s="29"/>
      <c r="L1028" s="29"/>
      <c r="M1028" s="70"/>
      <c r="N1028" s="71"/>
      <c r="O1028" s="29"/>
      <c r="P1028" s="31"/>
      <c r="Q1028" s="29"/>
      <c r="R1028" s="31"/>
      <c r="S1028" s="29"/>
      <c r="T1028" s="31"/>
      <c r="U1028" s="31"/>
      <c r="V1028" s="31"/>
      <c r="W1028" s="31"/>
      <c r="X1028" s="31"/>
      <c r="Y1028" s="31"/>
      <c r="Z1028" s="29"/>
      <c r="AA1028" s="116"/>
      <c r="AB1028" s="31"/>
      <c r="AC1028" s="29"/>
      <c r="AD1028" s="29"/>
      <c r="AE1028" s="29"/>
      <c r="AF1028" s="29"/>
      <c r="AG1028" s="29"/>
      <c r="AH1028" s="29"/>
      <c r="AI1028" s="29"/>
      <c r="AJ1028" s="29"/>
      <c r="AK1028" s="29"/>
      <c r="AL1028" s="29"/>
      <c r="AM1028" s="29"/>
      <c r="AN1028" s="29"/>
      <c r="AO1028" s="29"/>
      <c r="AP1028" s="29"/>
      <c r="AQ1028" s="29"/>
      <c r="AR1028" s="29"/>
      <c r="AS1028" s="29"/>
      <c r="AT1028" s="29"/>
      <c r="AU1028" s="29"/>
      <c r="AV1028" s="29"/>
      <c r="AW1028" s="29"/>
      <c r="AX1028" s="29"/>
      <c r="AY1028" s="29"/>
      <c r="AZ1028" s="29"/>
      <c r="BA1028" s="29"/>
      <c r="BB1028" s="29"/>
      <c r="BC1028" s="29"/>
      <c r="BD1028" s="29"/>
      <c r="BE1028" s="29"/>
      <c r="BF1028" s="29"/>
      <c r="BG1028" s="29"/>
      <c r="BH1028" s="29"/>
      <c r="BI1028" s="29"/>
      <c r="BJ1028" s="29"/>
      <c r="BK1028" s="29"/>
      <c r="BL1028" s="29"/>
      <c r="BM1028" s="29"/>
      <c r="BN1028" s="29"/>
      <c r="BO1028" s="29"/>
      <c r="BP1028" s="29"/>
      <c r="BQ1028" s="29"/>
      <c r="BR1028" s="29"/>
      <c r="BS1028" s="30"/>
      <c r="BT1028" s="29"/>
      <c r="BU1028" s="29"/>
      <c r="BV1028" s="29"/>
      <c r="BW1028" s="29"/>
      <c r="BX1028" s="29"/>
      <c r="BY1028" s="29"/>
      <c r="BZ1028" s="29"/>
      <c r="CA1028" s="330"/>
      <c r="CC1028" s="66"/>
      <c r="CD1028" s="323" t="s">
        <v>1577</v>
      </c>
      <c r="CE1028" s="342" t="s">
        <v>1576</v>
      </c>
      <c r="CF1028" s="342" t="s">
        <v>1575</v>
      </c>
      <c r="CG1028" s="30"/>
    </row>
    <row r="1029" spans="1:1873" s="23" customFormat="1" ht="15.75" x14ac:dyDescent="0.3">
      <c r="A1029" s="273" t="s">
        <v>756</v>
      </c>
      <c r="B1029" s="273" t="s">
        <v>1169</v>
      </c>
      <c r="C1029" s="273" t="s">
        <v>1088</v>
      </c>
      <c r="D1029" s="273" t="s">
        <v>619</v>
      </c>
      <c r="E1029" s="462" t="s">
        <v>1526</v>
      </c>
      <c r="F1029" s="462">
        <v>1</v>
      </c>
      <c r="G1029" s="273">
        <v>1</v>
      </c>
      <c r="H1029" s="273">
        <v>1</v>
      </c>
      <c r="I1029" s="273" t="s">
        <v>320</v>
      </c>
      <c r="J1029" s="273">
        <v>1979</v>
      </c>
      <c r="K1029" s="273" t="s">
        <v>856</v>
      </c>
      <c r="L1029" s="273">
        <v>1980</v>
      </c>
      <c r="M1029" s="471">
        <v>-9999</v>
      </c>
      <c r="N1029" s="273">
        <v>-9999</v>
      </c>
      <c r="O1029" s="29"/>
      <c r="P1029" s="414">
        <f>+T1029*G1029</f>
        <v>1.4</v>
      </c>
      <c r="Q1029" s="273">
        <v>-9999</v>
      </c>
      <c r="R1029" s="471"/>
      <c r="S1029" s="273"/>
      <c r="T1029" s="471">
        <v>1.4</v>
      </c>
      <c r="U1029" s="385">
        <f>+P1029</f>
        <v>1.4</v>
      </c>
      <c r="V1029" s="273"/>
      <c r="W1029" s="471">
        <f>+P1029</f>
        <v>1.4</v>
      </c>
      <c r="X1029" s="273">
        <v>-9999</v>
      </c>
      <c r="Y1029" s="273"/>
      <c r="Z1029" s="461" t="s">
        <v>67</v>
      </c>
      <c r="AA1029" s="580">
        <v>6944</v>
      </c>
      <c r="AB1029" s="471">
        <v>1</v>
      </c>
      <c r="AC1029" s="273">
        <v>-9999</v>
      </c>
      <c r="AD1029" s="273">
        <v>-9999</v>
      </c>
      <c r="AE1029" s="273" t="s">
        <v>1095</v>
      </c>
      <c r="AF1029" s="273">
        <v>5</v>
      </c>
      <c r="AG1029" s="273" t="s">
        <v>1087</v>
      </c>
      <c r="AH1029" s="273" t="s">
        <v>567</v>
      </c>
      <c r="AI1029" s="273" t="s">
        <v>1103</v>
      </c>
      <c r="AJ1029" s="273" t="s">
        <v>1100</v>
      </c>
      <c r="AK1029" s="273" t="s">
        <v>626</v>
      </c>
      <c r="AL1029" s="273" t="s">
        <v>1099</v>
      </c>
      <c r="AM1029" s="273"/>
      <c r="AN1029" s="273" t="s">
        <v>626</v>
      </c>
      <c r="AO1029" s="273" t="s">
        <v>1093</v>
      </c>
      <c r="AP1029" s="273" t="s">
        <v>577</v>
      </c>
      <c r="AQ1029" s="273" t="s">
        <v>777</v>
      </c>
      <c r="AR1029" s="570">
        <v>0</v>
      </c>
      <c r="AS1029" s="273" t="s">
        <v>1201</v>
      </c>
      <c r="AT1029" s="273" t="s">
        <v>738</v>
      </c>
      <c r="AU1029" s="273">
        <v>0</v>
      </c>
      <c r="AV1029" s="273">
        <v>-9999</v>
      </c>
      <c r="AW1029" s="273">
        <v>-9999</v>
      </c>
      <c r="AX1029" s="273">
        <v>0</v>
      </c>
      <c r="AY1029" s="273">
        <v>-9999</v>
      </c>
      <c r="AZ1029" s="273">
        <v>-9999</v>
      </c>
      <c r="BA1029" s="273" t="s">
        <v>1102</v>
      </c>
      <c r="BB1029" s="273" t="s">
        <v>631</v>
      </c>
      <c r="BC1029" s="273">
        <v>-9999</v>
      </c>
      <c r="BD1029" s="273">
        <v>-9999</v>
      </c>
      <c r="BE1029" s="273">
        <v>-9999</v>
      </c>
      <c r="BF1029" s="273">
        <v>-9999</v>
      </c>
      <c r="BG1029" s="273">
        <v>-9999</v>
      </c>
      <c r="BH1029" s="273">
        <v>-9999</v>
      </c>
      <c r="BI1029" s="273">
        <v>-9999</v>
      </c>
      <c r="BJ1029" s="273">
        <v>-9999</v>
      </c>
      <c r="BK1029" s="273">
        <v>-9999</v>
      </c>
      <c r="BL1029" s="273">
        <v>-9999</v>
      </c>
      <c r="BM1029" s="273">
        <v>-9999</v>
      </c>
      <c r="BN1029" s="273">
        <v>-9999</v>
      </c>
      <c r="BO1029" s="273">
        <v>-9999</v>
      </c>
      <c r="BP1029" s="273">
        <v>-9999</v>
      </c>
      <c r="BQ1029" s="273">
        <v>-9999</v>
      </c>
      <c r="BR1029" s="273">
        <v>-9999</v>
      </c>
      <c r="BS1029" s="468">
        <v>-9999</v>
      </c>
      <c r="BT1029" s="273">
        <v>-9999</v>
      </c>
      <c r="BU1029" s="273">
        <v>-9999</v>
      </c>
      <c r="BV1029" s="273">
        <v>-9999</v>
      </c>
      <c r="BW1029" s="273"/>
      <c r="BX1029" s="273">
        <v>-9999</v>
      </c>
      <c r="BY1029" s="273">
        <v>-9999</v>
      </c>
      <c r="BZ1029" s="273">
        <v>-9999</v>
      </c>
      <c r="CA1029" s="472" t="s">
        <v>1096</v>
      </c>
      <c r="CB1029" s="473" t="s">
        <v>1097</v>
      </c>
      <c r="CC1029" s="462">
        <v>1</v>
      </c>
      <c r="CD1029" s="273">
        <v>1</v>
      </c>
      <c r="CE1029" s="292">
        <v>1.4</v>
      </c>
      <c r="CF1029" s="292">
        <v>1.4</v>
      </c>
      <c r="CG1029" s="89">
        <v>1</v>
      </c>
    </row>
    <row r="1030" spans="1:1873" s="23" customFormat="1" ht="15.75" x14ac:dyDescent="0.3">
      <c r="A1030" s="273" t="s">
        <v>756</v>
      </c>
      <c r="B1030" s="273" t="s">
        <v>1169</v>
      </c>
      <c r="C1030" s="273" t="s">
        <v>1088</v>
      </c>
      <c r="D1030" s="273" t="s">
        <v>619</v>
      </c>
      <c r="E1030" s="462" t="s">
        <v>1526</v>
      </c>
      <c r="F1030" s="462">
        <v>1</v>
      </c>
      <c r="G1030" s="273">
        <v>2</v>
      </c>
      <c r="H1030" s="273">
        <v>2</v>
      </c>
      <c r="I1030" s="273" t="s">
        <v>320</v>
      </c>
      <c r="J1030" s="273">
        <v>1979</v>
      </c>
      <c r="K1030" s="273" t="s">
        <v>856</v>
      </c>
      <c r="L1030" s="273">
        <v>1981</v>
      </c>
      <c r="M1030" s="471">
        <v>-9999</v>
      </c>
      <c r="N1030" s="273">
        <v>-9999</v>
      </c>
      <c r="O1030" s="29"/>
      <c r="P1030" s="414">
        <f>+T1030*G1030</f>
        <v>19.8</v>
      </c>
      <c r="Q1030" s="273">
        <v>-9999</v>
      </c>
      <c r="R1030" s="471"/>
      <c r="S1030" s="273"/>
      <c r="T1030" s="471">
        <v>9.9</v>
      </c>
      <c r="U1030" s="385">
        <f>+P1030-P1029</f>
        <v>18.400000000000002</v>
      </c>
      <c r="V1030" s="273"/>
      <c r="W1030" s="471">
        <f>+P1030-P1029</f>
        <v>18.400000000000002</v>
      </c>
      <c r="X1030" s="273">
        <v>-9999</v>
      </c>
      <c r="Y1030" s="273"/>
      <c r="Z1030" s="461" t="s">
        <v>67</v>
      </c>
      <c r="AA1030" s="580">
        <v>6944</v>
      </c>
      <c r="AB1030" s="581">
        <v>1</v>
      </c>
      <c r="AC1030" s="273">
        <v>-9999</v>
      </c>
      <c r="AD1030" s="273">
        <v>-9999</v>
      </c>
      <c r="AE1030" s="273" t="s">
        <v>1095</v>
      </c>
      <c r="AF1030" s="273">
        <v>5</v>
      </c>
      <c r="AG1030" s="273" t="s">
        <v>1087</v>
      </c>
      <c r="AH1030" s="273" t="s">
        <v>567</v>
      </c>
      <c r="AI1030" s="273" t="s">
        <v>1103</v>
      </c>
      <c r="AJ1030" s="273" t="s">
        <v>1100</v>
      </c>
      <c r="AK1030" s="273" t="s">
        <v>626</v>
      </c>
      <c r="AL1030" s="273" t="s">
        <v>1099</v>
      </c>
      <c r="AM1030" s="273"/>
      <c r="AN1030" s="273" t="s">
        <v>626</v>
      </c>
      <c r="AO1030" s="273" t="s">
        <v>1093</v>
      </c>
      <c r="AP1030" s="273" t="s">
        <v>577</v>
      </c>
      <c r="AQ1030" s="273" t="s">
        <v>626</v>
      </c>
      <c r="AR1030" s="273">
        <v>0</v>
      </c>
      <c r="AS1030" s="273" t="s">
        <v>1201</v>
      </c>
      <c r="AT1030" s="273" t="s">
        <v>738</v>
      </c>
      <c r="AU1030" s="273">
        <v>0</v>
      </c>
      <c r="AV1030" s="273">
        <v>-9999</v>
      </c>
      <c r="AW1030" s="273">
        <v>-9999</v>
      </c>
      <c r="AX1030" s="273">
        <v>0</v>
      </c>
      <c r="AY1030" s="273">
        <v>-9999</v>
      </c>
      <c r="AZ1030" s="273">
        <v>-9999</v>
      </c>
      <c r="BA1030" s="273" t="s">
        <v>1102</v>
      </c>
      <c r="BB1030" s="273" t="s">
        <v>631</v>
      </c>
      <c r="BC1030" s="273">
        <v>-9999</v>
      </c>
      <c r="BD1030" s="273">
        <v>-9999</v>
      </c>
      <c r="BE1030" s="273">
        <v>-9999</v>
      </c>
      <c r="BF1030" s="273">
        <v>-9999</v>
      </c>
      <c r="BG1030" s="273">
        <v>-9999</v>
      </c>
      <c r="BH1030" s="273">
        <v>-9999</v>
      </c>
      <c r="BI1030" s="273">
        <v>-9999</v>
      </c>
      <c r="BJ1030" s="273">
        <v>-9999</v>
      </c>
      <c r="BK1030" s="273">
        <v>-9999</v>
      </c>
      <c r="BL1030" s="273">
        <v>-9999</v>
      </c>
      <c r="BM1030" s="273">
        <v>-9999</v>
      </c>
      <c r="BN1030" s="273">
        <v>-9999</v>
      </c>
      <c r="BO1030" s="273">
        <v>-9999</v>
      </c>
      <c r="BP1030" s="273">
        <v>-9999</v>
      </c>
      <c r="BQ1030" s="273">
        <v>-9999</v>
      </c>
      <c r="BR1030" s="273">
        <v>-9999</v>
      </c>
      <c r="BS1030" s="468">
        <v>-9999</v>
      </c>
      <c r="BT1030" s="273">
        <v>-9999</v>
      </c>
      <c r="BU1030" s="273">
        <v>-9999</v>
      </c>
      <c r="BV1030" s="273">
        <v>-9999</v>
      </c>
      <c r="BW1030" s="273"/>
      <c r="BX1030" s="273">
        <v>-9999</v>
      </c>
      <c r="BY1030" s="273">
        <v>-9999</v>
      </c>
      <c r="BZ1030" s="273">
        <v>-9999</v>
      </c>
      <c r="CA1030" s="472" t="s">
        <v>1096</v>
      </c>
      <c r="CB1030" s="473" t="s">
        <v>1098</v>
      </c>
      <c r="CC1030" s="462">
        <v>1</v>
      </c>
      <c r="CD1030" s="273">
        <v>2</v>
      </c>
      <c r="CE1030" s="292">
        <v>9.9</v>
      </c>
      <c r="CF1030" s="292">
        <v>18.400000000000002</v>
      </c>
      <c r="CG1030" s="89">
        <v>2</v>
      </c>
    </row>
    <row r="1031" spans="1:1873" s="23" customFormat="1" ht="15.75" x14ac:dyDescent="0.3">
      <c r="A1031" s="273" t="s">
        <v>756</v>
      </c>
      <c r="B1031" s="273" t="s">
        <v>1169</v>
      </c>
      <c r="C1031" s="273" t="s">
        <v>1088</v>
      </c>
      <c r="D1031" s="273" t="s">
        <v>619</v>
      </c>
      <c r="E1031" s="462" t="s">
        <v>1526</v>
      </c>
      <c r="F1031" s="462">
        <v>1</v>
      </c>
      <c r="G1031" s="273">
        <v>3</v>
      </c>
      <c r="H1031" s="273">
        <v>3</v>
      </c>
      <c r="I1031" s="273" t="s">
        <v>320</v>
      </c>
      <c r="J1031" s="273">
        <v>1979</v>
      </c>
      <c r="K1031" s="273" t="s">
        <v>856</v>
      </c>
      <c r="L1031" s="273">
        <v>1982</v>
      </c>
      <c r="M1031" s="471">
        <v>-9999</v>
      </c>
      <c r="N1031" s="273">
        <v>-9999</v>
      </c>
      <c r="O1031" s="29"/>
      <c r="P1031" s="414">
        <f>+T1031*G1031</f>
        <v>60.300000000000004</v>
      </c>
      <c r="Q1031" s="273">
        <v>-9999</v>
      </c>
      <c r="R1031" s="471"/>
      <c r="S1031" s="273"/>
      <c r="T1031" s="471">
        <v>20.100000000000001</v>
      </c>
      <c r="U1031" s="385">
        <f>+P1031-P1030</f>
        <v>40.5</v>
      </c>
      <c r="V1031" s="273"/>
      <c r="W1031" s="471">
        <f>+P1031-P1030</f>
        <v>40.5</v>
      </c>
      <c r="X1031" s="273">
        <v>-9999</v>
      </c>
      <c r="Y1031" s="273"/>
      <c r="Z1031" s="461" t="s">
        <v>67</v>
      </c>
      <c r="AA1031" s="580">
        <v>6944</v>
      </c>
      <c r="AB1031" s="581">
        <v>0.99</v>
      </c>
      <c r="AC1031" s="273">
        <v>-9999</v>
      </c>
      <c r="AD1031" s="273">
        <v>-9999</v>
      </c>
      <c r="AE1031" s="273" t="s">
        <v>1095</v>
      </c>
      <c r="AF1031" s="273">
        <v>5</v>
      </c>
      <c r="AG1031" s="273" t="s">
        <v>1087</v>
      </c>
      <c r="AH1031" s="273" t="s">
        <v>567</v>
      </c>
      <c r="AI1031" s="273" t="s">
        <v>1103</v>
      </c>
      <c r="AJ1031" s="273" t="s">
        <v>1100</v>
      </c>
      <c r="AK1031" s="273" t="s">
        <v>626</v>
      </c>
      <c r="AL1031" s="273" t="s">
        <v>1099</v>
      </c>
      <c r="AM1031" s="273"/>
      <c r="AN1031" s="273" t="s">
        <v>626</v>
      </c>
      <c r="AO1031" s="273" t="s">
        <v>1092</v>
      </c>
      <c r="AP1031" s="273" t="s">
        <v>577</v>
      </c>
      <c r="AQ1031" s="273" t="s">
        <v>626</v>
      </c>
      <c r="AR1031" s="273">
        <v>150</v>
      </c>
      <c r="AS1031" s="273" t="s">
        <v>1201</v>
      </c>
      <c r="AT1031" s="273" t="s">
        <v>738</v>
      </c>
      <c r="AU1031" s="273">
        <v>0</v>
      </c>
      <c r="AV1031" s="273">
        <v>-9999</v>
      </c>
      <c r="AW1031" s="273">
        <v>-9999</v>
      </c>
      <c r="AX1031" s="273">
        <v>0</v>
      </c>
      <c r="AY1031" s="273">
        <v>-9999</v>
      </c>
      <c r="AZ1031" s="273">
        <v>-9999</v>
      </c>
      <c r="BA1031" s="273" t="s">
        <v>1102</v>
      </c>
      <c r="BB1031" s="273" t="s">
        <v>631</v>
      </c>
      <c r="BC1031" s="273">
        <v>-9999</v>
      </c>
      <c r="BD1031" s="273">
        <v>-9999</v>
      </c>
      <c r="BE1031" s="273">
        <v>-9999</v>
      </c>
      <c r="BF1031" s="273">
        <v>-9999</v>
      </c>
      <c r="BG1031" s="273">
        <v>-9999</v>
      </c>
      <c r="BH1031" s="273">
        <v>-9999</v>
      </c>
      <c r="BI1031" s="273">
        <v>-9999</v>
      </c>
      <c r="BJ1031" s="273">
        <v>-9999</v>
      </c>
      <c r="BK1031" s="273">
        <v>-9999</v>
      </c>
      <c r="BL1031" s="273">
        <v>-9999</v>
      </c>
      <c r="BM1031" s="273">
        <v>-9999</v>
      </c>
      <c r="BN1031" s="273">
        <v>-9999</v>
      </c>
      <c r="BO1031" s="273">
        <v>-9999</v>
      </c>
      <c r="BP1031" s="273">
        <v>-9999</v>
      </c>
      <c r="BQ1031" s="273">
        <v>-9999</v>
      </c>
      <c r="BR1031" s="273">
        <v>-9999</v>
      </c>
      <c r="BS1031" s="468">
        <v>-9999</v>
      </c>
      <c r="BT1031" s="273">
        <v>-9999</v>
      </c>
      <c r="BU1031" s="273">
        <v>-9999</v>
      </c>
      <c r="BV1031" s="273">
        <v>-9999</v>
      </c>
      <c r="BW1031" s="273"/>
      <c r="BX1031" s="273">
        <v>-9999</v>
      </c>
      <c r="BY1031" s="273">
        <v>-9999</v>
      </c>
      <c r="BZ1031" s="273">
        <v>-9999</v>
      </c>
      <c r="CA1031" s="472" t="s">
        <v>1096</v>
      </c>
      <c r="CB1031" s="473"/>
      <c r="CC1031" s="462">
        <v>1</v>
      </c>
      <c r="CD1031" s="273">
        <v>3</v>
      </c>
      <c r="CE1031" s="292">
        <v>20.100000000000001</v>
      </c>
      <c r="CF1031" s="292">
        <v>40.5</v>
      </c>
      <c r="CG1031" s="89">
        <v>3</v>
      </c>
    </row>
    <row r="1032" spans="1:1873" s="210" customFormat="1" ht="14.25" x14ac:dyDescent="0.25">
      <c r="A1032" s="411" t="s">
        <v>756</v>
      </c>
      <c r="B1032" s="411" t="s">
        <v>1169</v>
      </c>
      <c r="C1032" s="411" t="s">
        <v>1088</v>
      </c>
      <c r="D1032" s="411" t="s">
        <v>619</v>
      </c>
      <c r="E1032" s="571" t="s">
        <v>1526</v>
      </c>
      <c r="F1032" s="571">
        <v>1</v>
      </c>
      <c r="G1032" s="411">
        <v>4</v>
      </c>
      <c r="H1032" s="411">
        <v>4</v>
      </c>
      <c r="I1032" s="411" t="s">
        <v>320</v>
      </c>
      <c r="J1032" s="411">
        <v>1979</v>
      </c>
      <c r="K1032" s="411" t="s">
        <v>856</v>
      </c>
      <c r="L1032" s="411">
        <v>1983</v>
      </c>
      <c r="M1032" s="573">
        <v>-9999</v>
      </c>
      <c r="N1032" s="411">
        <v>-9999</v>
      </c>
      <c r="O1032" s="18"/>
      <c r="P1032" s="575">
        <f>+T1032*G1032</f>
        <v>111.2</v>
      </c>
      <c r="Q1032" s="411">
        <v>-9999</v>
      </c>
      <c r="R1032" s="573"/>
      <c r="S1032" s="411"/>
      <c r="T1032" s="573">
        <v>27.8</v>
      </c>
      <c r="U1032" s="385">
        <f>+P1032-P1031</f>
        <v>50.9</v>
      </c>
      <c r="V1032" s="411"/>
      <c r="W1032" s="573">
        <v>-9999</v>
      </c>
      <c r="X1032" s="411">
        <v>-9999</v>
      </c>
      <c r="Y1032" s="411"/>
      <c r="Z1032" s="411" t="s">
        <v>67</v>
      </c>
      <c r="AA1032" s="582">
        <v>6944</v>
      </c>
      <c r="AB1032" s="573">
        <v>0.97799999999999998</v>
      </c>
      <c r="AC1032" s="411">
        <v>-9999</v>
      </c>
      <c r="AD1032" s="411">
        <v>-9999</v>
      </c>
      <c r="AE1032" s="411" t="s">
        <v>1095</v>
      </c>
      <c r="AF1032" s="411">
        <v>5</v>
      </c>
      <c r="AG1032" s="411" t="s">
        <v>1087</v>
      </c>
      <c r="AH1032" s="411" t="s">
        <v>567</v>
      </c>
      <c r="AI1032" s="411" t="s">
        <v>1103</v>
      </c>
      <c r="AJ1032" s="411" t="s">
        <v>1100</v>
      </c>
      <c r="AK1032" s="411" t="s">
        <v>626</v>
      </c>
      <c r="AL1032" s="411" t="s">
        <v>1099</v>
      </c>
      <c r="AM1032" s="411"/>
      <c r="AN1032" s="411" t="s">
        <v>626</v>
      </c>
      <c r="AO1032" s="411" t="s">
        <v>1092</v>
      </c>
      <c r="AP1032" s="411" t="s">
        <v>577</v>
      </c>
      <c r="AQ1032" s="411" t="s">
        <v>626</v>
      </c>
      <c r="AR1032" s="411">
        <f>75+AR1031</f>
        <v>225</v>
      </c>
      <c r="AS1032" s="411" t="s">
        <v>1111</v>
      </c>
      <c r="AT1032" s="411" t="s">
        <v>738</v>
      </c>
      <c r="AU1032" s="411">
        <v>0</v>
      </c>
      <c r="AV1032" s="411">
        <v>-9999</v>
      </c>
      <c r="AW1032" s="411">
        <v>-9999</v>
      </c>
      <c r="AX1032" s="411">
        <v>0</v>
      </c>
      <c r="AY1032" s="411">
        <v>-9999</v>
      </c>
      <c r="AZ1032" s="411">
        <v>-9999</v>
      </c>
      <c r="BA1032" s="411" t="s">
        <v>1102</v>
      </c>
      <c r="BB1032" s="411" t="s">
        <v>631</v>
      </c>
      <c r="BC1032" s="411">
        <v>-9999</v>
      </c>
      <c r="BD1032" s="411">
        <v>-9999</v>
      </c>
      <c r="BE1032" s="411">
        <v>-9999</v>
      </c>
      <c r="BF1032" s="411">
        <v>-9999</v>
      </c>
      <c r="BG1032" s="411">
        <v>-9999</v>
      </c>
      <c r="BH1032" s="411">
        <v>-9999</v>
      </c>
      <c r="BI1032" s="411">
        <v>-9999</v>
      </c>
      <c r="BJ1032" s="411">
        <v>-9999</v>
      </c>
      <c r="BK1032" s="411">
        <v>-9999</v>
      </c>
      <c r="BL1032" s="411">
        <v>11.8</v>
      </c>
      <c r="BM1032" s="411">
        <v>-9999</v>
      </c>
      <c r="BN1032" s="411">
        <v>9.1999999999999993</v>
      </c>
      <c r="BO1032" s="411">
        <v>-9999</v>
      </c>
      <c r="BP1032" s="411">
        <v>-9999</v>
      </c>
      <c r="BQ1032" s="411">
        <v>-9999</v>
      </c>
      <c r="BR1032" s="411">
        <v>-9999</v>
      </c>
      <c r="BS1032" s="583">
        <f>+BT1032*14.286</f>
        <v>3357.21</v>
      </c>
      <c r="BT1032" s="577">
        <v>235</v>
      </c>
      <c r="BU1032" s="411">
        <v>-9999</v>
      </c>
      <c r="BV1032" s="411">
        <v>-9999</v>
      </c>
      <c r="BW1032" s="411"/>
      <c r="BX1032" s="411">
        <v>-9999</v>
      </c>
      <c r="BY1032" s="411">
        <v>-9999</v>
      </c>
      <c r="BZ1032" s="411">
        <v>-9999</v>
      </c>
      <c r="CA1032" s="578" t="s">
        <v>1096</v>
      </c>
      <c r="CB1032" s="579"/>
      <c r="CC1032" s="571">
        <v>1</v>
      </c>
      <c r="CD1032" s="411">
        <v>4</v>
      </c>
      <c r="CE1032" s="99">
        <v>27.8</v>
      </c>
      <c r="CF1032" s="432">
        <f>+P1032-P1031</f>
        <v>50.9</v>
      </c>
      <c r="CG1032" s="208">
        <v>4</v>
      </c>
      <c r="CH1032" s="13" t="s">
        <v>1757</v>
      </c>
      <c r="CI1032" s="13"/>
      <c r="CJ1032" s="13"/>
      <c r="CK1032" s="13"/>
      <c r="CL1032" s="13"/>
      <c r="CM1032" s="13"/>
      <c r="CN1032" s="13"/>
      <c r="CO1032" s="13"/>
      <c r="CP1032" s="13"/>
      <c r="CQ1032" s="13"/>
      <c r="CR1032" s="13"/>
      <c r="CS1032" s="13"/>
      <c r="CT1032" s="13"/>
      <c r="CU1032" s="13"/>
      <c r="CV1032" s="13"/>
      <c r="CW1032" s="13"/>
      <c r="CX1032" s="13"/>
      <c r="CY1032" s="13"/>
      <c r="CZ1032" s="13"/>
      <c r="DA1032" s="13"/>
      <c r="DB1032" s="13"/>
      <c r="DC1032" s="13"/>
      <c r="DD1032" s="13"/>
      <c r="DE1032" s="13"/>
      <c r="DF1032" s="13"/>
      <c r="DG1032" s="13"/>
      <c r="DH1032" s="13"/>
      <c r="DI1032" s="13"/>
      <c r="DJ1032" s="13"/>
      <c r="DK1032" s="13"/>
      <c r="DL1032" s="13"/>
      <c r="DM1032" s="13"/>
      <c r="DN1032" s="13"/>
      <c r="DO1032" s="13"/>
      <c r="DP1032" s="13"/>
      <c r="DQ1032" s="13"/>
      <c r="DR1032" s="13"/>
      <c r="DS1032" s="13"/>
      <c r="DT1032" s="13"/>
      <c r="DU1032" s="13"/>
      <c r="DV1032" s="13"/>
      <c r="DW1032" s="13"/>
      <c r="DX1032" s="13"/>
      <c r="DY1032" s="13"/>
      <c r="DZ1032" s="13"/>
      <c r="EA1032" s="13"/>
      <c r="EB1032" s="13"/>
      <c r="EC1032" s="13"/>
      <c r="ED1032" s="13"/>
      <c r="EE1032" s="13"/>
      <c r="EF1032" s="13"/>
      <c r="EG1032" s="13"/>
      <c r="EH1032" s="13"/>
      <c r="EI1032" s="13"/>
      <c r="EJ1032" s="13"/>
      <c r="EK1032" s="13"/>
      <c r="EL1032" s="13"/>
      <c r="EM1032" s="13"/>
      <c r="EN1032" s="13"/>
      <c r="EO1032" s="13"/>
      <c r="EP1032" s="13"/>
      <c r="EQ1032" s="13"/>
      <c r="ER1032" s="13"/>
      <c r="ES1032" s="13"/>
      <c r="ET1032" s="13"/>
      <c r="EU1032" s="13"/>
      <c r="EV1032" s="13"/>
      <c r="EW1032" s="13"/>
      <c r="EX1032" s="13"/>
      <c r="EY1032" s="13"/>
      <c r="EZ1032" s="13"/>
      <c r="FA1032" s="13"/>
      <c r="FB1032" s="13"/>
      <c r="FC1032" s="13"/>
      <c r="FD1032" s="13"/>
      <c r="FE1032" s="13"/>
      <c r="FF1032" s="13"/>
      <c r="FG1032" s="13"/>
      <c r="FH1032" s="13"/>
      <c r="FI1032" s="13"/>
      <c r="FJ1032" s="13"/>
      <c r="FK1032" s="13"/>
      <c r="FL1032" s="13"/>
      <c r="FM1032" s="13"/>
      <c r="FN1032" s="13"/>
      <c r="FO1032" s="13"/>
      <c r="FP1032" s="13"/>
      <c r="FQ1032" s="13"/>
      <c r="FR1032" s="13"/>
      <c r="FS1032" s="13"/>
      <c r="FT1032" s="13"/>
      <c r="FU1032" s="13"/>
      <c r="FV1032" s="13"/>
      <c r="FW1032" s="13"/>
      <c r="FX1032" s="13"/>
      <c r="FY1032" s="13"/>
      <c r="FZ1032" s="13"/>
      <c r="GA1032" s="13"/>
      <c r="GB1032" s="13"/>
      <c r="GC1032" s="13"/>
      <c r="GD1032" s="13"/>
      <c r="GE1032" s="13"/>
      <c r="GF1032" s="13"/>
      <c r="GG1032" s="13"/>
      <c r="GH1032" s="13"/>
      <c r="GI1032" s="13"/>
      <c r="GJ1032" s="13"/>
      <c r="GK1032" s="13"/>
      <c r="GL1032" s="13"/>
      <c r="GM1032" s="13"/>
      <c r="GN1032" s="13"/>
      <c r="GO1032" s="13"/>
      <c r="GP1032" s="13"/>
      <c r="GQ1032" s="13"/>
      <c r="GR1032" s="13"/>
      <c r="GS1032" s="13"/>
      <c r="GT1032" s="13"/>
      <c r="GU1032" s="13"/>
      <c r="GV1032" s="13"/>
      <c r="GW1032" s="13"/>
      <c r="GX1032" s="13"/>
      <c r="GY1032" s="13"/>
      <c r="GZ1032" s="13"/>
      <c r="HA1032" s="13"/>
      <c r="HB1032" s="13"/>
      <c r="HC1032" s="13"/>
      <c r="HD1032" s="13"/>
      <c r="HE1032" s="13"/>
      <c r="HF1032" s="13"/>
      <c r="HG1032" s="13"/>
      <c r="HH1032" s="13"/>
      <c r="HI1032" s="13"/>
      <c r="HJ1032" s="13"/>
      <c r="HK1032" s="13"/>
      <c r="HL1032" s="13"/>
      <c r="HM1032" s="13"/>
      <c r="HN1032" s="13"/>
      <c r="HO1032" s="13"/>
      <c r="HP1032" s="13"/>
      <c r="HQ1032" s="13"/>
      <c r="HR1032" s="13"/>
      <c r="HS1032" s="13"/>
      <c r="HT1032" s="13"/>
      <c r="HU1032" s="13"/>
      <c r="HV1032" s="13"/>
      <c r="HW1032" s="13"/>
      <c r="HX1032" s="13"/>
      <c r="HY1032" s="13"/>
      <c r="HZ1032" s="13"/>
      <c r="IA1032" s="13"/>
      <c r="IB1032" s="13"/>
      <c r="IC1032" s="13"/>
      <c r="ID1032" s="13"/>
      <c r="IE1032" s="13"/>
      <c r="IF1032" s="13"/>
      <c r="IG1032" s="13"/>
      <c r="IH1032" s="13"/>
      <c r="II1032" s="13"/>
      <c r="IJ1032" s="13"/>
      <c r="IK1032" s="13"/>
      <c r="IL1032" s="13"/>
      <c r="IM1032" s="13"/>
      <c r="IN1032" s="13"/>
      <c r="IO1032" s="13"/>
      <c r="IP1032" s="13"/>
      <c r="IQ1032" s="13"/>
      <c r="IR1032" s="13"/>
      <c r="IS1032" s="13"/>
      <c r="IT1032" s="13"/>
      <c r="IU1032" s="13"/>
      <c r="IV1032" s="13"/>
      <c r="IW1032" s="13"/>
      <c r="IX1032" s="13"/>
      <c r="IY1032" s="13"/>
      <c r="IZ1032" s="13"/>
      <c r="JA1032" s="13"/>
      <c r="JB1032" s="13"/>
      <c r="JC1032" s="13"/>
      <c r="JD1032" s="13"/>
      <c r="JE1032" s="13"/>
      <c r="JF1032" s="13"/>
      <c r="JG1032" s="13"/>
      <c r="JH1032" s="13"/>
      <c r="JI1032" s="13"/>
      <c r="JJ1032" s="13"/>
      <c r="JK1032" s="13"/>
      <c r="JL1032" s="13"/>
      <c r="JM1032" s="13"/>
      <c r="JN1032" s="13"/>
      <c r="JO1032" s="13"/>
      <c r="JP1032" s="13"/>
      <c r="JQ1032" s="13"/>
      <c r="JR1032" s="13"/>
      <c r="JS1032" s="13"/>
      <c r="JT1032" s="13"/>
      <c r="JU1032" s="13"/>
      <c r="JV1032" s="13"/>
      <c r="JW1032" s="13"/>
      <c r="JX1032" s="13"/>
      <c r="JY1032" s="13"/>
      <c r="JZ1032" s="13"/>
      <c r="KA1032" s="13"/>
      <c r="KB1032" s="13"/>
      <c r="KC1032" s="13"/>
      <c r="KD1032" s="13"/>
      <c r="KE1032" s="13"/>
      <c r="KF1032" s="13"/>
      <c r="KG1032" s="13"/>
      <c r="KH1032" s="13"/>
      <c r="KI1032" s="13"/>
      <c r="KJ1032" s="13"/>
      <c r="KK1032" s="13"/>
      <c r="KL1032" s="13"/>
      <c r="KM1032" s="13"/>
      <c r="KN1032" s="13"/>
      <c r="KO1032" s="13"/>
      <c r="KP1032" s="13"/>
      <c r="KQ1032" s="13"/>
      <c r="KR1032" s="13"/>
      <c r="KS1032" s="13"/>
      <c r="KT1032" s="13"/>
      <c r="KU1032" s="13"/>
      <c r="KV1032" s="13"/>
      <c r="KW1032" s="13"/>
      <c r="KX1032" s="13"/>
      <c r="KY1032" s="13"/>
      <c r="KZ1032" s="13"/>
      <c r="LA1032" s="13"/>
      <c r="LB1032" s="13"/>
      <c r="LC1032" s="13"/>
      <c r="LD1032" s="13"/>
      <c r="LE1032" s="13"/>
      <c r="LF1032" s="13"/>
      <c r="LG1032" s="13"/>
      <c r="LH1032" s="13"/>
      <c r="LI1032" s="13"/>
      <c r="LJ1032" s="13"/>
      <c r="LK1032" s="13"/>
      <c r="LL1032" s="13"/>
      <c r="LM1032" s="13"/>
      <c r="LN1032" s="13"/>
      <c r="LO1032" s="13"/>
      <c r="LP1032" s="13"/>
      <c r="LQ1032" s="13"/>
      <c r="LR1032" s="13"/>
      <c r="LS1032" s="13"/>
      <c r="LT1032" s="13"/>
      <c r="LU1032" s="13"/>
      <c r="LV1032" s="13"/>
      <c r="LW1032" s="13"/>
      <c r="LX1032" s="13"/>
      <c r="LY1032" s="13"/>
      <c r="LZ1032" s="13"/>
      <c r="MA1032" s="13"/>
      <c r="MB1032" s="13"/>
      <c r="MC1032" s="13"/>
      <c r="MD1032" s="13"/>
      <c r="ME1032" s="13"/>
      <c r="MF1032" s="13"/>
      <c r="MG1032" s="13"/>
      <c r="MH1032" s="13"/>
      <c r="MI1032" s="13"/>
      <c r="MJ1032" s="13"/>
      <c r="MK1032" s="13"/>
      <c r="ML1032" s="13"/>
      <c r="MM1032" s="13"/>
      <c r="MN1032" s="13"/>
      <c r="MO1032" s="13"/>
      <c r="MP1032" s="13"/>
      <c r="MQ1032" s="13"/>
      <c r="MR1032" s="13"/>
      <c r="MS1032" s="13"/>
      <c r="MT1032" s="13"/>
      <c r="MU1032" s="13"/>
      <c r="MV1032" s="13"/>
      <c r="MW1032" s="13"/>
      <c r="MX1032" s="13"/>
      <c r="MY1032" s="13"/>
      <c r="MZ1032" s="13"/>
      <c r="NA1032" s="13"/>
      <c r="NB1032" s="13"/>
      <c r="NC1032" s="13"/>
      <c r="ND1032" s="13"/>
      <c r="NE1032" s="13"/>
      <c r="NF1032" s="13"/>
      <c r="NG1032" s="13"/>
      <c r="NH1032" s="13"/>
      <c r="NI1032" s="13"/>
      <c r="NJ1032" s="13"/>
      <c r="NK1032" s="13"/>
      <c r="NL1032" s="13"/>
      <c r="NM1032" s="13"/>
      <c r="NN1032" s="13"/>
      <c r="NO1032" s="13"/>
      <c r="NP1032" s="13"/>
      <c r="NQ1032" s="13"/>
      <c r="NR1032" s="13"/>
      <c r="NS1032" s="13"/>
      <c r="NT1032" s="13"/>
      <c r="NU1032" s="13"/>
      <c r="NV1032" s="13"/>
      <c r="NW1032" s="13"/>
      <c r="NX1032" s="13"/>
      <c r="NY1032" s="13"/>
      <c r="NZ1032" s="13"/>
      <c r="OA1032" s="13"/>
      <c r="OB1032" s="13"/>
      <c r="OC1032" s="13"/>
      <c r="OD1032" s="13"/>
      <c r="OE1032" s="13"/>
      <c r="OF1032" s="13"/>
      <c r="OG1032" s="13"/>
      <c r="OH1032" s="13"/>
      <c r="OI1032" s="13"/>
      <c r="OJ1032" s="13"/>
      <c r="OK1032" s="13"/>
      <c r="OL1032" s="13"/>
      <c r="OM1032" s="13"/>
      <c r="ON1032" s="13"/>
      <c r="OO1032" s="13"/>
      <c r="OP1032" s="13"/>
      <c r="OQ1032" s="13"/>
      <c r="OR1032" s="13"/>
      <c r="OS1032" s="13"/>
      <c r="OT1032" s="13"/>
      <c r="OU1032" s="13"/>
      <c r="OV1032" s="13"/>
      <c r="OW1032" s="13"/>
      <c r="OX1032" s="13"/>
      <c r="OY1032" s="13"/>
      <c r="OZ1032" s="13"/>
      <c r="PA1032" s="13"/>
      <c r="PB1032" s="13"/>
      <c r="PC1032" s="13"/>
      <c r="PD1032" s="13"/>
      <c r="PE1032" s="13"/>
      <c r="PF1032" s="13"/>
      <c r="PG1032" s="13"/>
      <c r="PH1032" s="13"/>
      <c r="PI1032" s="13"/>
      <c r="PJ1032" s="13"/>
      <c r="PK1032" s="13"/>
      <c r="PL1032" s="13"/>
      <c r="PM1032" s="13"/>
      <c r="PN1032" s="13"/>
      <c r="PO1032" s="13"/>
      <c r="PP1032" s="13"/>
      <c r="PQ1032" s="13"/>
      <c r="PR1032" s="13"/>
      <c r="PS1032" s="13"/>
      <c r="PT1032" s="13"/>
      <c r="PU1032" s="13"/>
      <c r="PV1032" s="13"/>
      <c r="PW1032" s="13"/>
      <c r="PX1032" s="13"/>
      <c r="PY1032" s="13"/>
      <c r="PZ1032" s="13"/>
      <c r="QA1032" s="13"/>
      <c r="QB1032" s="13"/>
      <c r="QC1032" s="13"/>
      <c r="QD1032" s="13"/>
      <c r="QE1032" s="13"/>
      <c r="QF1032" s="13"/>
      <c r="QG1032" s="13"/>
      <c r="QH1032" s="13"/>
      <c r="QI1032" s="13"/>
      <c r="QJ1032" s="13"/>
      <c r="QK1032" s="13"/>
      <c r="QL1032" s="13"/>
      <c r="QM1032" s="13"/>
      <c r="QN1032" s="13"/>
      <c r="QO1032" s="13"/>
      <c r="QP1032" s="13"/>
      <c r="QQ1032" s="13"/>
      <c r="QR1032" s="13"/>
      <c r="QS1032" s="13"/>
      <c r="QT1032" s="13"/>
      <c r="QU1032" s="13"/>
      <c r="QV1032" s="13"/>
      <c r="QW1032" s="13"/>
      <c r="QX1032" s="13"/>
      <c r="QY1032" s="13"/>
      <c r="QZ1032" s="13"/>
      <c r="RA1032" s="13"/>
      <c r="RB1032" s="13"/>
      <c r="RC1032" s="13"/>
      <c r="RD1032" s="13"/>
      <c r="RE1032" s="13"/>
      <c r="RF1032" s="13"/>
      <c r="RG1032" s="13"/>
      <c r="RH1032" s="13"/>
      <c r="RI1032" s="13"/>
      <c r="RJ1032" s="13"/>
      <c r="RK1032" s="13"/>
      <c r="RL1032" s="13"/>
      <c r="RM1032" s="13"/>
      <c r="RN1032" s="13"/>
      <c r="RO1032" s="13"/>
      <c r="RP1032" s="13"/>
      <c r="RQ1032" s="13"/>
      <c r="RR1032" s="13"/>
      <c r="RS1032" s="13"/>
      <c r="RT1032" s="13"/>
      <c r="RU1032" s="13"/>
      <c r="RV1032" s="13"/>
      <c r="RW1032" s="13"/>
      <c r="RX1032" s="13"/>
      <c r="RY1032" s="13"/>
      <c r="RZ1032" s="13"/>
      <c r="SA1032" s="13"/>
      <c r="SB1032" s="13"/>
      <c r="SC1032" s="13"/>
      <c r="SD1032" s="13"/>
      <c r="SE1032" s="13"/>
      <c r="SF1032" s="13"/>
      <c r="SG1032" s="13"/>
      <c r="SH1032" s="13"/>
      <c r="SI1032" s="13"/>
      <c r="SJ1032" s="13"/>
      <c r="SK1032" s="13"/>
      <c r="SL1032" s="13"/>
      <c r="SM1032" s="13"/>
      <c r="SN1032" s="13"/>
      <c r="SO1032" s="13"/>
      <c r="SP1032" s="13"/>
      <c r="SQ1032" s="13"/>
      <c r="SR1032" s="13"/>
      <c r="SS1032" s="13"/>
      <c r="ST1032" s="13"/>
      <c r="SU1032" s="13"/>
      <c r="SV1032" s="13"/>
      <c r="SW1032" s="13"/>
      <c r="SX1032" s="13"/>
      <c r="SY1032" s="13"/>
      <c r="SZ1032" s="13"/>
      <c r="TA1032" s="13"/>
      <c r="TB1032" s="13"/>
      <c r="TC1032" s="13"/>
      <c r="TD1032" s="13"/>
      <c r="TE1032" s="13"/>
      <c r="TF1032" s="13"/>
      <c r="TG1032" s="13"/>
      <c r="TH1032" s="13"/>
      <c r="TI1032" s="13"/>
      <c r="TJ1032" s="13"/>
      <c r="TK1032" s="13"/>
      <c r="TL1032" s="13"/>
      <c r="TM1032" s="13"/>
      <c r="TN1032" s="13"/>
      <c r="TO1032" s="13"/>
      <c r="TP1032" s="13"/>
      <c r="TQ1032" s="13"/>
      <c r="TR1032" s="13"/>
      <c r="TS1032" s="13"/>
      <c r="TT1032" s="13"/>
      <c r="TU1032" s="13"/>
      <c r="TV1032" s="13"/>
      <c r="TW1032" s="13"/>
      <c r="TX1032" s="13"/>
      <c r="TY1032" s="13"/>
      <c r="TZ1032" s="13"/>
      <c r="UA1032" s="13"/>
      <c r="UB1032" s="13"/>
      <c r="UC1032" s="13"/>
      <c r="UD1032" s="13"/>
      <c r="UE1032" s="13"/>
      <c r="UF1032" s="13"/>
      <c r="UG1032" s="13"/>
      <c r="UH1032" s="13"/>
      <c r="UI1032" s="13"/>
      <c r="UJ1032" s="13"/>
      <c r="UK1032" s="13"/>
      <c r="UL1032" s="13"/>
      <c r="UM1032" s="13"/>
      <c r="UN1032" s="13"/>
      <c r="UO1032" s="13"/>
      <c r="UP1032" s="13"/>
      <c r="UQ1032" s="13"/>
      <c r="UR1032" s="13"/>
      <c r="US1032" s="13"/>
      <c r="UT1032" s="13"/>
      <c r="UU1032" s="13"/>
      <c r="UV1032" s="13"/>
      <c r="UW1032" s="13"/>
      <c r="UX1032" s="13"/>
      <c r="UY1032" s="13"/>
      <c r="UZ1032" s="13"/>
      <c r="VA1032" s="13"/>
      <c r="VB1032" s="13"/>
      <c r="VC1032" s="13"/>
      <c r="VD1032" s="13"/>
      <c r="VE1032" s="13"/>
      <c r="VF1032" s="13"/>
      <c r="VG1032" s="13"/>
      <c r="VH1032" s="13"/>
      <c r="VI1032" s="13"/>
      <c r="VJ1032" s="13"/>
      <c r="VK1032" s="13"/>
      <c r="VL1032" s="13"/>
      <c r="VM1032" s="13"/>
      <c r="VN1032" s="13"/>
      <c r="VO1032" s="13"/>
      <c r="VP1032" s="13"/>
      <c r="VQ1032" s="13"/>
      <c r="VR1032" s="13"/>
      <c r="VS1032" s="13"/>
      <c r="VT1032" s="13"/>
      <c r="VU1032" s="13"/>
      <c r="VV1032" s="13"/>
      <c r="VW1032" s="13"/>
      <c r="VX1032" s="13"/>
      <c r="VY1032" s="13"/>
      <c r="VZ1032" s="13"/>
      <c r="WA1032" s="13"/>
      <c r="WB1032" s="13"/>
      <c r="WC1032" s="13"/>
      <c r="WD1032" s="13"/>
      <c r="WE1032" s="13"/>
      <c r="WF1032" s="13"/>
      <c r="WG1032" s="13"/>
      <c r="WH1032" s="13"/>
      <c r="WI1032" s="13"/>
      <c r="WJ1032" s="13"/>
      <c r="WK1032" s="13"/>
      <c r="WL1032" s="13"/>
      <c r="WM1032" s="13"/>
      <c r="WN1032" s="13"/>
      <c r="WO1032" s="13"/>
      <c r="WP1032" s="13"/>
      <c r="WQ1032" s="13"/>
      <c r="WR1032" s="13"/>
      <c r="WS1032" s="13"/>
      <c r="WT1032" s="13"/>
      <c r="WU1032" s="13"/>
      <c r="WV1032" s="13"/>
      <c r="WW1032" s="13"/>
      <c r="WX1032" s="13"/>
      <c r="WY1032" s="13"/>
      <c r="WZ1032" s="13"/>
      <c r="XA1032" s="13"/>
      <c r="XB1032" s="13"/>
      <c r="XC1032" s="13"/>
      <c r="XD1032" s="13"/>
      <c r="XE1032" s="13"/>
      <c r="XF1032" s="13"/>
      <c r="XG1032" s="13"/>
      <c r="XH1032" s="13"/>
      <c r="XI1032" s="13"/>
      <c r="XJ1032" s="13"/>
      <c r="XK1032" s="13"/>
      <c r="XL1032" s="13"/>
      <c r="XM1032" s="13"/>
      <c r="XN1032" s="13"/>
      <c r="XO1032" s="13"/>
      <c r="XP1032" s="13"/>
      <c r="XQ1032" s="13"/>
      <c r="XR1032" s="13"/>
      <c r="XS1032" s="13"/>
      <c r="XT1032" s="13"/>
      <c r="XU1032" s="13"/>
      <c r="XV1032" s="13"/>
      <c r="XW1032" s="13"/>
      <c r="XX1032" s="13"/>
      <c r="XY1032" s="13"/>
      <c r="XZ1032" s="13"/>
      <c r="YA1032" s="13"/>
      <c r="YB1032" s="13"/>
      <c r="YC1032" s="13"/>
      <c r="YD1032" s="13"/>
      <c r="YE1032" s="13"/>
      <c r="YF1032" s="13"/>
      <c r="YG1032" s="13"/>
      <c r="YH1032" s="13"/>
      <c r="YI1032" s="13"/>
      <c r="YJ1032" s="13"/>
      <c r="YK1032" s="13"/>
      <c r="YL1032" s="13"/>
      <c r="YM1032" s="13"/>
      <c r="YN1032" s="13"/>
      <c r="YO1032" s="13"/>
      <c r="YP1032" s="13"/>
      <c r="YQ1032" s="13"/>
      <c r="YR1032" s="13"/>
      <c r="YS1032" s="13"/>
      <c r="YT1032" s="13"/>
      <c r="YU1032" s="13"/>
      <c r="YV1032" s="13"/>
      <c r="YW1032" s="13"/>
      <c r="YX1032" s="13"/>
      <c r="YY1032" s="13"/>
      <c r="YZ1032" s="13"/>
      <c r="ZA1032" s="13"/>
      <c r="ZB1032" s="13"/>
      <c r="ZC1032" s="13"/>
      <c r="ZD1032" s="13"/>
      <c r="ZE1032" s="13"/>
      <c r="ZF1032" s="13"/>
      <c r="ZG1032" s="13"/>
      <c r="ZH1032" s="13"/>
      <c r="ZI1032" s="13"/>
      <c r="ZJ1032" s="13"/>
      <c r="ZK1032" s="13"/>
      <c r="ZL1032" s="13"/>
      <c r="ZM1032" s="13"/>
      <c r="ZN1032" s="13"/>
      <c r="ZO1032" s="13"/>
      <c r="ZP1032" s="13"/>
      <c r="ZQ1032" s="13"/>
      <c r="ZR1032" s="13"/>
      <c r="ZS1032" s="13"/>
      <c r="ZT1032" s="13"/>
      <c r="ZU1032" s="13"/>
      <c r="ZV1032" s="13"/>
      <c r="ZW1032" s="13"/>
      <c r="ZX1032" s="13"/>
      <c r="ZY1032" s="13"/>
      <c r="ZZ1032" s="13"/>
      <c r="AAA1032" s="13"/>
      <c r="AAB1032" s="13"/>
      <c r="AAC1032" s="13"/>
      <c r="AAD1032" s="13"/>
      <c r="AAE1032" s="13"/>
      <c r="AAF1032" s="13"/>
      <c r="AAG1032" s="13"/>
      <c r="AAH1032" s="13"/>
      <c r="AAI1032" s="13"/>
      <c r="AAJ1032" s="13"/>
      <c r="AAK1032" s="13"/>
      <c r="AAL1032" s="13"/>
      <c r="AAM1032" s="13"/>
      <c r="AAN1032" s="13"/>
      <c r="AAO1032" s="13"/>
      <c r="AAP1032" s="13"/>
      <c r="AAQ1032" s="13"/>
      <c r="AAR1032" s="13"/>
      <c r="AAS1032" s="13"/>
      <c r="AAT1032" s="13"/>
      <c r="AAU1032" s="13"/>
      <c r="AAV1032" s="13"/>
      <c r="AAW1032" s="13"/>
      <c r="AAX1032" s="13"/>
      <c r="AAY1032" s="13"/>
      <c r="AAZ1032" s="13"/>
      <c r="ABA1032" s="13"/>
      <c r="ABB1032" s="13"/>
      <c r="ABC1032" s="13"/>
      <c r="ABD1032" s="13"/>
      <c r="ABE1032" s="13"/>
      <c r="ABF1032" s="13"/>
      <c r="ABG1032" s="13"/>
      <c r="ABH1032" s="13"/>
      <c r="ABI1032" s="13"/>
      <c r="ABJ1032" s="13"/>
      <c r="ABK1032" s="13"/>
      <c r="ABL1032" s="13"/>
      <c r="ABM1032" s="13"/>
      <c r="ABN1032" s="13"/>
      <c r="ABO1032" s="13"/>
      <c r="ABP1032" s="13"/>
      <c r="ABQ1032" s="13"/>
      <c r="ABR1032" s="13"/>
      <c r="ABS1032" s="13"/>
      <c r="ABT1032" s="13"/>
      <c r="ABU1032" s="13"/>
      <c r="ABV1032" s="13"/>
      <c r="ABW1032" s="13"/>
      <c r="ABX1032" s="13"/>
      <c r="ABY1032" s="13"/>
      <c r="ABZ1032" s="13"/>
      <c r="ACA1032" s="13"/>
      <c r="ACB1032" s="13"/>
      <c r="ACC1032" s="13"/>
      <c r="ACD1032" s="13"/>
      <c r="ACE1032" s="13"/>
      <c r="ACF1032" s="13"/>
      <c r="ACG1032" s="13"/>
      <c r="ACH1032" s="13"/>
      <c r="ACI1032" s="13"/>
      <c r="ACJ1032" s="13"/>
      <c r="ACK1032" s="13"/>
      <c r="ACL1032" s="13"/>
      <c r="ACM1032" s="13"/>
      <c r="ACN1032" s="13"/>
      <c r="ACO1032" s="13"/>
      <c r="ACP1032" s="13"/>
      <c r="ACQ1032" s="13"/>
      <c r="ACR1032" s="13"/>
      <c r="ACS1032" s="13"/>
      <c r="ACT1032" s="13"/>
      <c r="ACU1032" s="13"/>
      <c r="ACV1032" s="13"/>
      <c r="ACW1032" s="13"/>
      <c r="ACX1032" s="13"/>
      <c r="ACY1032" s="13"/>
      <c r="ACZ1032" s="13"/>
      <c r="ADA1032" s="13"/>
      <c r="ADB1032" s="13"/>
      <c r="ADC1032" s="13"/>
      <c r="ADD1032" s="13"/>
      <c r="ADE1032" s="13"/>
      <c r="ADF1032" s="13"/>
      <c r="ADG1032" s="13"/>
      <c r="ADH1032" s="13"/>
      <c r="ADI1032" s="13"/>
      <c r="ADJ1032" s="13"/>
      <c r="ADK1032" s="13"/>
      <c r="ADL1032" s="13"/>
      <c r="ADM1032" s="13"/>
      <c r="ADN1032" s="13"/>
      <c r="ADO1032" s="13"/>
      <c r="ADP1032" s="13"/>
      <c r="ADQ1032" s="13"/>
      <c r="ADR1032" s="13"/>
      <c r="ADS1032" s="13"/>
      <c r="ADT1032" s="13"/>
      <c r="ADU1032" s="13"/>
      <c r="ADV1032" s="13"/>
      <c r="ADW1032" s="13"/>
      <c r="ADX1032" s="13"/>
      <c r="ADY1032" s="13"/>
      <c r="ADZ1032" s="13"/>
      <c r="AEA1032" s="13"/>
      <c r="AEB1032" s="13"/>
      <c r="AEC1032" s="13"/>
      <c r="AED1032" s="13"/>
      <c r="AEE1032" s="13"/>
      <c r="AEF1032" s="13"/>
      <c r="AEG1032" s="13"/>
      <c r="AEH1032" s="13"/>
      <c r="AEI1032" s="13"/>
      <c r="AEJ1032" s="13"/>
      <c r="AEK1032" s="13"/>
      <c r="AEL1032" s="13"/>
      <c r="AEM1032" s="13"/>
      <c r="AEN1032" s="13"/>
      <c r="AEO1032" s="13"/>
      <c r="AEP1032" s="13"/>
      <c r="AEQ1032" s="13"/>
      <c r="AER1032" s="13"/>
      <c r="AES1032" s="13"/>
      <c r="AET1032" s="13"/>
      <c r="AEU1032" s="13"/>
      <c r="AEV1032" s="13"/>
      <c r="AEW1032" s="13"/>
      <c r="AEX1032" s="13"/>
      <c r="AEY1032" s="13"/>
      <c r="AEZ1032" s="13"/>
      <c r="AFA1032" s="13"/>
      <c r="AFB1032" s="13"/>
      <c r="AFC1032" s="13"/>
      <c r="AFD1032" s="13"/>
      <c r="AFE1032" s="13"/>
      <c r="AFF1032" s="13"/>
      <c r="AFG1032" s="13"/>
      <c r="AFH1032" s="13"/>
      <c r="AFI1032" s="13"/>
      <c r="AFJ1032" s="13"/>
      <c r="AFK1032" s="13"/>
      <c r="AFL1032" s="13"/>
      <c r="AFM1032" s="13"/>
      <c r="AFN1032" s="13"/>
      <c r="AFO1032" s="13"/>
      <c r="AFP1032" s="13"/>
      <c r="AFQ1032" s="13"/>
      <c r="AFR1032" s="13"/>
      <c r="AFS1032" s="13"/>
      <c r="AFT1032" s="13"/>
      <c r="AFU1032" s="13"/>
      <c r="AFV1032" s="13"/>
      <c r="AFW1032" s="13"/>
      <c r="AFX1032" s="13"/>
      <c r="AFY1032" s="13"/>
      <c r="AFZ1032" s="13"/>
      <c r="AGA1032" s="13"/>
      <c r="AGB1032" s="13"/>
      <c r="AGC1032" s="13"/>
      <c r="AGD1032" s="13"/>
      <c r="AGE1032" s="13"/>
      <c r="AGF1032" s="13"/>
      <c r="AGG1032" s="13"/>
      <c r="AGH1032" s="13"/>
      <c r="AGI1032" s="13"/>
      <c r="AGJ1032" s="13"/>
      <c r="AGK1032" s="13"/>
      <c r="AGL1032" s="13"/>
      <c r="AGM1032" s="13"/>
      <c r="AGN1032" s="13"/>
      <c r="AGO1032" s="13"/>
      <c r="AGP1032" s="13"/>
      <c r="AGQ1032" s="13"/>
      <c r="AGR1032" s="13"/>
      <c r="AGS1032" s="13"/>
      <c r="AGT1032" s="13"/>
      <c r="AGU1032" s="13"/>
      <c r="AGV1032" s="13"/>
      <c r="AGW1032" s="13"/>
      <c r="AGX1032" s="13"/>
      <c r="AGY1032" s="13"/>
      <c r="AGZ1032" s="13"/>
      <c r="AHA1032" s="13"/>
      <c r="AHB1032" s="13"/>
      <c r="AHC1032" s="13"/>
      <c r="AHD1032" s="13"/>
      <c r="AHE1032" s="13"/>
      <c r="AHF1032" s="13"/>
      <c r="AHG1032" s="13"/>
      <c r="AHH1032" s="13"/>
      <c r="AHI1032" s="13"/>
      <c r="AHJ1032" s="13"/>
      <c r="AHK1032" s="13"/>
      <c r="AHL1032" s="13"/>
      <c r="AHM1032" s="13"/>
      <c r="AHN1032" s="13"/>
      <c r="AHO1032" s="13"/>
      <c r="AHP1032" s="13"/>
      <c r="AHQ1032" s="13"/>
      <c r="AHR1032" s="13"/>
      <c r="AHS1032" s="13"/>
      <c r="AHT1032" s="13"/>
      <c r="AHU1032" s="13"/>
      <c r="AHV1032" s="13"/>
      <c r="AHW1032" s="13"/>
      <c r="AHX1032" s="13"/>
      <c r="AHY1032" s="13"/>
      <c r="AHZ1032" s="13"/>
      <c r="AIA1032" s="13"/>
      <c r="AIB1032" s="13"/>
      <c r="AIC1032" s="13"/>
      <c r="AID1032" s="13"/>
      <c r="AIE1032" s="13"/>
      <c r="AIF1032" s="13"/>
      <c r="AIG1032" s="13"/>
      <c r="AIH1032" s="13"/>
      <c r="AII1032" s="13"/>
      <c r="AIJ1032" s="13"/>
      <c r="AIK1032" s="13"/>
      <c r="AIL1032" s="13"/>
      <c r="AIM1032" s="13"/>
      <c r="AIN1032" s="13"/>
      <c r="AIO1032" s="13"/>
      <c r="AIP1032" s="13"/>
      <c r="AIQ1032" s="13"/>
      <c r="AIR1032" s="13"/>
      <c r="AIS1032" s="13"/>
      <c r="AIT1032" s="13"/>
      <c r="AIU1032" s="13"/>
      <c r="AIV1032" s="13"/>
      <c r="AIW1032" s="13"/>
      <c r="AIX1032" s="13"/>
      <c r="AIY1032" s="13"/>
      <c r="AIZ1032" s="13"/>
      <c r="AJA1032" s="13"/>
      <c r="AJB1032" s="13"/>
      <c r="AJC1032" s="13"/>
      <c r="AJD1032" s="13"/>
      <c r="AJE1032" s="13"/>
      <c r="AJF1032" s="13"/>
      <c r="AJG1032" s="13"/>
      <c r="AJH1032" s="13"/>
      <c r="AJI1032" s="13"/>
      <c r="AJJ1032" s="13"/>
      <c r="AJK1032" s="13"/>
      <c r="AJL1032" s="13"/>
      <c r="AJM1032" s="13"/>
      <c r="AJN1032" s="13"/>
      <c r="AJO1032" s="13"/>
      <c r="AJP1032" s="13"/>
      <c r="AJQ1032" s="13"/>
      <c r="AJR1032" s="13"/>
      <c r="AJS1032" s="13"/>
      <c r="AJT1032" s="13"/>
      <c r="AJU1032" s="13"/>
      <c r="AJV1032" s="13"/>
      <c r="AJW1032" s="13"/>
      <c r="AJX1032" s="13"/>
      <c r="AJY1032" s="13"/>
      <c r="AJZ1032" s="13"/>
      <c r="AKA1032" s="13"/>
      <c r="AKB1032" s="13"/>
      <c r="AKC1032" s="13"/>
      <c r="AKD1032" s="13"/>
      <c r="AKE1032" s="13"/>
      <c r="AKF1032" s="13"/>
      <c r="AKG1032" s="13"/>
      <c r="AKH1032" s="13"/>
      <c r="AKI1032" s="13"/>
      <c r="AKJ1032" s="13"/>
      <c r="AKK1032" s="13"/>
      <c r="AKL1032" s="13"/>
      <c r="AKM1032" s="13"/>
      <c r="AKN1032" s="13"/>
      <c r="AKO1032" s="13"/>
      <c r="AKP1032" s="13"/>
      <c r="AKQ1032" s="13"/>
      <c r="AKR1032" s="13"/>
      <c r="AKS1032" s="13"/>
      <c r="AKT1032" s="13"/>
      <c r="AKU1032" s="13"/>
      <c r="AKV1032" s="13"/>
      <c r="AKW1032" s="13"/>
      <c r="AKX1032" s="13"/>
      <c r="AKY1032" s="13"/>
      <c r="AKZ1032" s="13"/>
      <c r="ALA1032" s="13"/>
      <c r="ALB1032" s="13"/>
      <c r="ALC1032" s="13"/>
      <c r="ALD1032" s="13"/>
      <c r="ALE1032" s="13"/>
      <c r="ALF1032" s="13"/>
      <c r="ALG1032" s="13"/>
      <c r="ALH1032" s="13"/>
      <c r="ALI1032" s="13"/>
      <c r="ALJ1032" s="13"/>
      <c r="ALK1032" s="13"/>
      <c r="ALL1032" s="13"/>
      <c r="ALM1032" s="13"/>
      <c r="ALN1032" s="13"/>
      <c r="ALO1032" s="13"/>
      <c r="ALP1032" s="13"/>
      <c r="ALQ1032" s="13"/>
      <c r="ALR1032" s="13"/>
      <c r="ALS1032" s="13"/>
      <c r="ALT1032" s="13"/>
      <c r="ALU1032" s="13"/>
      <c r="ALV1032" s="13"/>
      <c r="ALW1032" s="13"/>
      <c r="ALX1032" s="13"/>
      <c r="ALY1032" s="13"/>
      <c r="ALZ1032" s="13"/>
      <c r="AMA1032" s="13"/>
      <c r="AMB1032" s="13"/>
      <c r="AMC1032" s="13"/>
      <c r="AMD1032" s="13"/>
      <c r="AME1032" s="13"/>
      <c r="AMF1032" s="13"/>
      <c r="AMG1032" s="13"/>
      <c r="AMH1032" s="13"/>
      <c r="AMI1032" s="13"/>
      <c r="AMJ1032" s="13"/>
      <c r="AMK1032" s="13"/>
      <c r="AML1032" s="13"/>
      <c r="AMM1032" s="13"/>
      <c r="AMN1032" s="13"/>
      <c r="AMO1032" s="13"/>
      <c r="AMP1032" s="13"/>
      <c r="AMQ1032" s="13"/>
      <c r="AMR1032" s="13"/>
      <c r="AMS1032" s="13"/>
      <c r="AMT1032" s="13"/>
      <c r="AMU1032" s="13"/>
      <c r="AMV1032" s="13"/>
      <c r="AMW1032" s="13"/>
      <c r="AMX1032" s="13"/>
      <c r="AMY1032" s="13"/>
      <c r="AMZ1032" s="13"/>
      <c r="ANA1032" s="13"/>
      <c r="ANB1032" s="13"/>
      <c r="ANC1032" s="13"/>
      <c r="AND1032" s="13"/>
      <c r="ANE1032" s="13"/>
      <c r="ANF1032" s="13"/>
      <c r="ANG1032" s="13"/>
      <c r="ANH1032" s="13"/>
      <c r="ANI1032" s="13"/>
      <c r="ANJ1032" s="13"/>
      <c r="ANK1032" s="13"/>
      <c r="ANL1032" s="13"/>
      <c r="ANM1032" s="13"/>
      <c r="ANN1032" s="13"/>
      <c r="ANO1032" s="13"/>
      <c r="ANP1032" s="13"/>
      <c r="ANQ1032" s="13"/>
      <c r="ANR1032" s="13"/>
      <c r="ANS1032" s="13"/>
      <c r="ANT1032" s="13"/>
      <c r="ANU1032" s="13"/>
      <c r="ANV1032" s="13"/>
      <c r="ANW1032" s="13"/>
      <c r="ANX1032" s="13"/>
      <c r="ANY1032" s="13"/>
      <c r="ANZ1032" s="13"/>
      <c r="AOA1032" s="13"/>
      <c r="AOB1032" s="13"/>
      <c r="AOC1032" s="13"/>
      <c r="AOD1032" s="13"/>
      <c r="AOE1032" s="13"/>
      <c r="AOF1032" s="13"/>
      <c r="AOG1032" s="13"/>
      <c r="AOH1032" s="13"/>
      <c r="AOI1032" s="13"/>
      <c r="AOJ1032" s="13"/>
      <c r="AOK1032" s="13"/>
      <c r="AOL1032" s="13"/>
      <c r="AOM1032" s="13"/>
      <c r="AON1032" s="13"/>
      <c r="AOO1032" s="13"/>
      <c r="AOP1032" s="13"/>
      <c r="AOQ1032" s="13"/>
      <c r="AOR1032" s="13"/>
      <c r="AOS1032" s="13"/>
      <c r="AOT1032" s="13"/>
      <c r="AOU1032" s="13"/>
      <c r="AOV1032" s="13"/>
      <c r="AOW1032" s="13"/>
      <c r="AOX1032" s="13"/>
      <c r="AOY1032" s="13"/>
      <c r="AOZ1032" s="13"/>
      <c r="APA1032" s="13"/>
      <c r="APB1032" s="13"/>
      <c r="APC1032" s="13"/>
      <c r="APD1032" s="13"/>
      <c r="APE1032" s="13"/>
      <c r="APF1032" s="13"/>
      <c r="APG1032" s="13"/>
      <c r="APH1032" s="13"/>
      <c r="API1032" s="13"/>
      <c r="APJ1032" s="13"/>
      <c r="APK1032" s="13"/>
      <c r="APL1032" s="13"/>
      <c r="APM1032" s="13"/>
      <c r="APN1032" s="13"/>
      <c r="APO1032" s="13"/>
      <c r="APP1032" s="13"/>
      <c r="APQ1032" s="13"/>
      <c r="APR1032" s="13"/>
      <c r="APS1032" s="13"/>
      <c r="APT1032" s="13"/>
      <c r="APU1032" s="13"/>
      <c r="APV1032" s="13"/>
      <c r="APW1032" s="13"/>
      <c r="APX1032" s="13"/>
      <c r="APY1032" s="13"/>
      <c r="APZ1032" s="13"/>
      <c r="AQA1032" s="13"/>
      <c r="AQB1032" s="13"/>
      <c r="AQC1032" s="13"/>
      <c r="AQD1032" s="13"/>
      <c r="AQE1032" s="13"/>
      <c r="AQF1032" s="13"/>
      <c r="AQG1032" s="13"/>
      <c r="AQH1032" s="13"/>
      <c r="AQI1032" s="13"/>
      <c r="AQJ1032" s="13"/>
      <c r="AQK1032" s="13"/>
      <c r="AQL1032" s="13"/>
      <c r="AQM1032" s="13"/>
      <c r="AQN1032" s="13"/>
      <c r="AQO1032" s="13"/>
      <c r="AQP1032" s="13"/>
      <c r="AQQ1032" s="13"/>
      <c r="AQR1032" s="13"/>
      <c r="AQS1032" s="13"/>
      <c r="AQT1032" s="13"/>
      <c r="AQU1032" s="13"/>
      <c r="AQV1032" s="13"/>
      <c r="AQW1032" s="13"/>
      <c r="AQX1032" s="13"/>
      <c r="AQY1032" s="13"/>
      <c r="AQZ1032" s="13"/>
      <c r="ARA1032" s="13"/>
      <c r="ARB1032" s="13"/>
      <c r="ARC1032" s="13"/>
      <c r="ARD1032" s="13"/>
      <c r="ARE1032" s="13"/>
      <c r="ARF1032" s="13"/>
      <c r="ARG1032" s="13"/>
      <c r="ARH1032" s="13"/>
      <c r="ARI1032" s="13"/>
      <c r="ARJ1032" s="13"/>
      <c r="ARK1032" s="13"/>
      <c r="ARL1032" s="13"/>
      <c r="ARM1032" s="13"/>
      <c r="ARN1032" s="13"/>
      <c r="ARO1032" s="13"/>
      <c r="ARP1032" s="13"/>
      <c r="ARQ1032" s="13"/>
      <c r="ARR1032" s="13"/>
      <c r="ARS1032" s="13"/>
      <c r="ART1032" s="13"/>
      <c r="ARU1032" s="13"/>
      <c r="ARV1032" s="13"/>
      <c r="ARW1032" s="13"/>
      <c r="ARX1032" s="13"/>
      <c r="ARY1032" s="13"/>
      <c r="ARZ1032" s="13"/>
      <c r="ASA1032" s="13"/>
      <c r="ASB1032" s="13"/>
      <c r="ASC1032" s="13"/>
      <c r="ASD1032" s="13"/>
      <c r="ASE1032" s="13"/>
      <c r="ASF1032" s="13"/>
      <c r="ASG1032" s="13"/>
      <c r="ASH1032" s="13"/>
      <c r="ASI1032" s="13"/>
      <c r="ASJ1032" s="13"/>
      <c r="ASK1032" s="13"/>
      <c r="ASL1032" s="13"/>
      <c r="ASM1032" s="13"/>
      <c r="ASN1032" s="13"/>
      <c r="ASO1032" s="13"/>
      <c r="ASP1032" s="13"/>
      <c r="ASQ1032" s="13"/>
      <c r="ASR1032" s="13"/>
      <c r="ASS1032" s="13"/>
      <c r="AST1032" s="13"/>
      <c r="ASU1032" s="13"/>
      <c r="ASV1032" s="13"/>
      <c r="ASW1032" s="13"/>
      <c r="ASX1032" s="13"/>
      <c r="ASY1032" s="13"/>
      <c r="ASZ1032" s="13"/>
      <c r="ATA1032" s="13"/>
      <c r="ATB1032" s="13"/>
      <c r="ATC1032" s="13"/>
      <c r="ATD1032" s="13"/>
      <c r="ATE1032" s="13"/>
      <c r="ATF1032" s="13"/>
      <c r="ATG1032" s="13"/>
      <c r="ATH1032" s="13"/>
      <c r="ATI1032" s="13"/>
      <c r="ATJ1032" s="13"/>
      <c r="ATK1032" s="13"/>
      <c r="ATL1032" s="13"/>
      <c r="ATM1032" s="13"/>
      <c r="ATN1032" s="13"/>
      <c r="ATO1032" s="13"/>
      <c r="ATP1032" s="13"/>
      <c r="ATQ1032" s="13"/>
      <c r="ATR1032" s="13"/>
      <c r="ATS1032" s="13"/>
      <c r="ATT1032" s="13"/>
      <c r="ATU1032" s="13"/>
      <c r="ATV1032" s="13"/>
      <c r="ATW1032" s="13"/>
      <c r="ATX1032" s="13"/>
      <c r="ATY1032" s="13"/>
      <c r="ATZ1032" s="13"/>
      <c r="AUA1032" s="13"/>
      <c r="AUB1032" s="13"/>
      <c r="AUC1032" s="13"/>
      <c r="AUD1032" s="13"/>
      <c r="AUE1032" s="13"/>
      <c r="AUF1032" s="13"/>
      <c r="AUG1032" s="13"/>
      <c r="AUH1032" s="13"/>
      <c r="AUI1032" s="13"/>
      <c r="AUJ1032" s="13"/>
      <c r="AUK1032" s="13"/>
      <c r="AUL1032" s="13"/>
      <c r="AUM1032" s="13"/>
      <c r="AUN1032" s="13"/>
      <c r="AUO1032" s="13"/>
      <c r="AUP1032" s="13"/>
      <c r="AUQ1032" s="13"/>
      <c r="AUR1032" s="13"/>
      <c r="AUS1032" s="13"/>
      <c r="AUT1032" s="13"/>
      <c r="AUU1032" s="13"/>
      <c r="AUV1032" s="13"/>
      <c r="AUW1032" s="13"/>
      <c r="AUX1032" s="13"/>
      <c r="AUY1032" s="13"/>
      <c r="AUZ1032" s="13"/>
      <c r="AVA1032" s="13"/>
      <c r="AVB1032" s="13"/>
      <c r="AVC1032" s="13"/>
      <c r="AVD1032" s="13"/>
      <c r="AVE1032" s="13"/>
      <c r="AVF1032" s="13"/>
      <c r="AVG1032" s="13"/>
      <c r="AVH1032" s="13"/>
      <c r="AVI1032" s="13"/>
      <c r="AVJ1032" s="13"/>
      <c r="AVK1032" s="13"/>
      <c r="AVL1032" s="13"/>
      <c r="AVM1032" s="13"/>
      <c r="AVN1032" s="13"/>
      <c r="AVO1032" s="13"/>
      <c r="AVP1032" s="13"/>
      <c r="AVQ1032" s="13"/>
      <c r="AVR1032" s="13"/>
      <c r="AVS1032" s="13"/>
      <c r="AVT1032" s="13"/>
      <c r="AVU1032" s="13"/>
      <c r="AVV1032" s="13"/>
      <c r="AVW1032" s="13"/>
      <c r="AVX1032" s="13"/>
      <c r="AVY1032" s="13"/>
      <c r="AVZ1032" s="13"/>
      <c r="AWA1032" s="13"/>
      <c r="AWB1032" s="13"/>
      <c r="AWC1032" s="13"/>
      <c r="AWD1032" s="13"/>
      <c r="AWE1032" s="13"/>
      <c r="AWF1032" s="13"/>
      <c r="AWG1032" s="13"/>
      <c r="AWH1032" s="13"/>
      <c r="AWI1032" s="13"/>
      <c r="AWJ1032" s="13"/>
      <c r="AWK1032" s="13"/>
      <c r="AWL1032" s="13"/>
      <c r="AWM1032" s="13"/>
      <c r="AWN1032" s="13"/>
      <c r="AWO1032" s="13"/>
      <c r="AWP1032" s="13"/>
      <c r="AWQ1032" s="13"/>
      <c r="AWR1032" s="13"/>
      <c r="AWS1032" s="13"/>
      <c r="AWT1032" s="13"/>
      <c r="AWU1032" s="13"/>
      <c r="AWV1032" s="13"/>
      <c r="AWW1032" s="13"/>
      <c r="AWX1032" s="13"/>
      <c r="AWY1032" s="13"/>
      <c r="AWZ1032" s="13"/>
      <c r="AXA1032" s="13"/>
      <c r="AXB1032" s="13"/>
      <c r="AXC1032" s="13"/>
      <c r="AXD1032" s="13"/>
      <c r="AXE1032" s="13"/>
      <c r="AXF1032" s="13"/>
      <c r="AXG1032" s="13"/>
      <c r="AXH1032" s="13"/>
      <c r="AXI1032" s="13"/>
      <c r="AXJ1032" s="13"/>
      <c r="AXK1032" s="13"/>
      <c r="AXL1032" s="13"/>
      <c r="AXM1032" s="13"/>
      <c r="AXN1032" s="13"/>
      <c r="AXO1032" s="13"/>
      <c r="AXP1032" s="13"/>
      <c r="AXQ1032" s="13"/>
      <c r="AXR1032" s="13"/>
      <c r="AXS1032" s="13"/>
      <c r="AXT1032" s="13"/>
      <c r="AXU1032" s="13"/>
      <c r="AXV1032" s="13"/>
      <c r="AXW1032" s="13"/>
      <c r="AXX1032" s="13"/>
      <c r="AXY1032" s="13"/>
      <c r="AXZ1032" s="13"/>
      <c r="AYA1032" s="13"/>
      <c r="AYB1032" s="13"/>
      <c r="AYC1032" s="13"/>
      <c r="AYD1032" s="13"/>
      <c r="AYE1032" s="13"/>
      <c r="AYF1032" s="13"/>
      <c r="AYG1032" s="13"/>
      <c r="AYH1032" s="13"/>
      <c r="AYI1032" s="13"/>
      <c r="AYJ1032" s="13"/>
      <c r="AYK1032" s="13"/>
      <c r="AYL1032" s="13"/>
      <c r="AYM1032" s="13"/>
      <c r="AYN1032" s="13"/>
      <c r="AYO1032" s="13"/>
      <c r="AYP1032" s="13"/>
      <c r="AYQ1032" s="13"/>
      <c r="AYR1032" s="13"/>
      <c r="AYS1032" s="13"/>
      <c r="AYT1032" s="13"/>
      <c r="AYU1032" s="13"/>
      <c r="AYV1032" s="13"/>
      <c r="AYW1032" s="13"/>
      <c r="AYX1032" s="13"/>
      <c r="AYY1032" s="13"/>
      <c r="AYZ1032" s="13"/>
      <c r="AZA1032" s="13"/>
      <c r="AZB1032" s="13"/>
      <c r="AZC1032" s="13"/>
      <c r="AZD1032" s="13"/>
      <c r="AZE1032" s="13"/>
      <c r="AZF1032" s="13"/>
      <c r="AZG1032" s="13"/>
      <c r="AZH1032" s="13"/>
      <c r="AZI1032" s="13"/>
      <c r="AZJ1032" s="13"/>
      <c r="AZK1032" s="13"/>
      <c r="AZL1032" s="13"/>
      <c r="AZM1032" s="13"/>
      <c r="AZN1032" s="13"/>
      <c r="AZO1032" s="13"/>
      <c r="AZP1032" s="13"/>
      <c r="AZQ1032" s="13"/>
      <c r="AZR1032" s="13"/>
      <c r="AZS1032" s="13"/>
      <c r="AZT1032" s="13"/>
      <c r="AZU1032" s="13"/>
      <c r="AZV1032" s="13"/>
      <c r="AZW1032" s="13"/>
      <c r="AZX1032" s="13"/>
      <c r="AZY1032" s="13"/>
      <c r="AZZ1032" s="13"/>
      <c r="BAA1032" s="13"/>
      <c r="BAB1032" s="13"/>
      <c r="BAC1032" s="13"/>
      <c r="BAD1032" s="13"/>
      <c r="BAE1032" s="13"/>
      <c r="BAF1032" s="13"/>
      <c r="BAG1032" s="13"/>
      <c r="BAH1032" s="13"/>
      <c r="BAI1032" s="13"/>
      <c r="BAJ1032" s="13"/>
      <c r="BAK1032" s="13"/>
      <c r="BAL1032" s="13"/>
      <c r="BAM1032" s="13"/>
      <c r="BAN1032" s="13"/>
      <c r="BAO1032" s="13"/>
      <c r="BAP1032" s="13"/>
      <c r="BAQ1032" s="13"/>
      <c r="BAR1032" s="13"/>
      <c r="BAS1032" s="13"/>
      <c r="BAT1032" s="13"/>
      <c r="BAU1032" s="13"/>
      <c r="BAV1032" s="13"/>
      <c r="BAW1032" s="13"/>
      <c r="BAX1032" s="13"/>
      <c r="BAY1032" s="13"/>
      <c r="BAZ1032" s="13"/>
      <c r="BBA1032" s="13"/>
      <c r="BBB1032" s="13"/>
      <c r="BBC1032" s="13"/>
      <c r="BBD1032" s="13"/>
      <c r="BBE1032" s="13"/>
      <c r="BBF1032" s="13"/>
      <c r="BBG1032" s="13"/>
      <c r="BBH1032" s="13"/>
      <c r="BBI1032" s="13"/>
      <c r="BBJ1032" s="13"/>
      <c r="BBK1032" s="13"/>
      <c r="BBL1032" s="13"/>
      <c r="BBM1032" s="13"/>
      <c r="BBN1032" s="13"/>
      <c r="BBO1032" s="13"/>
      <c r="BBP1032" s="13"/>
      <c r="BBQ1032" s="13"/>
      <c r="BBR1032" s="13"/>
      <c r="BBS1032" s="13"/>
      <c r="BBT1032" s="13"/>
      <c r="BBU1032" s="13"/>
      <c r="BBV1032" s="13"/>
      <c r="BBW1032" s="13"/>
      <c r="BBX1032" s="13"/>
      <c r="BBY1032" s="13"/>
      <c r="BBZ1032" s="13"/>
      <c r="BCA1032" s="13"/>
      <c r="BCB1032" s="13"/>
      <c r="BCC1032" s="13"/>
      <c r="BCD1032" s="13"/>
      <c r="BCE1032" s="13"/>
      <c r="BCF1032" s="13"/>
      <c r="BCG1032" s="13"/>
      <c r="BCH1032" s="13"/>
      <c r="BCI1032" s="13"/>
      <c r="BCJ1032" s="13"/>
      <c r="BCK1032" s="13"/>
      <c r="BCL1032" s="13"/>
      <c r="BCM1032" s="13"/>
      <c r="BCN1032" s="13"/>
      <c r="BCO1032" s="13"/>
      <c r="BCP1032" s="13"/>
      <c r="BCQ1032" s="13"/>
      <c r="BCR1032" s="13"/>
      <c r="BCS1032" s="13"/>
      <c r="BCT1032" s="13"/>
      <c r="BCU1032" s="13"/>
      <c r="BCV1032" s="13"/>
      <c r="BCW1032" s="13"/>
      <c r="BCX1032" s="13"/>
      <c r="BCY1032" s="13"/>
      <c r="BCZ1032" s="13"/>
      <c r="BDA1032" s="13"/>
      <c r="BDB1032" s="13"/>
      <c r="BDC1032" s="13"/>
      <c r="BDD1032" s="13"/>
      <c r="BDE1032" s="13"/>
      <c r="BDF1032" s="13"/>
      <c r="BDG1032" s="13"/>
      <c r="BDH1032" s="13"/>
      <c r="BDI1032" s="13"/>
      <c r="BDJ1032" s="13"/>
      <c r="BDK1032" s="13"/>
      <c r="BDL1032" s="13"/>
      <c r="BDM1032" s="13"/>
      <c r="BDN1032" s="13"/>
      <c r="BDO1032" s="13"/>
      <c r="BDP1032" s="13"/>
      <c r="BDQ1032" s="13"/>
      <c r="BDR1032" s="13"/>
      <c r="BDS1032" s="13"/>
      <c r="BDT1032" s="13"/>
      <c r="BDU1032" s="13"/>
      <c r="BDV1032" s="13"/>
      <c r="BDW1032" s="13"/>
      <c r="BDX1032" s="13"/>
      <c r="BDY1032" s="13"/>
      <c r="BDZ1032" s="13"/>
      <c r="BEA1032" s="13"/>
      <c r="BEB1032" s="13"/>
      <c r="BEC1032" s="13"/>
      <c r="BED1032" s="13"/>
      <c r="BEE1032" s="13"/>
      <c r="BEF1032" s="13"/>
      <c r="BEG1032" s="13"/>
      <c r="BEH1032" s="13"/>
      <c r="BEI1032" s="13"/>
      <c r="BEJ1032" s="13"/>
      <c r="BEK1032" s="13"/>
      <c r="BEL1032" s="13"/>
      <c r="BEM1032" s="13"/>
      <c r="BEN1032" s="13"/>
      <c r="BEO1032" s="13"/>
      <c r="BEP1032" s="13"/>
      <c r="BEQ1032" s="13"/>
      <c r="BER1032" s="13"/>
      <c r="BES1032" s="13"/>
      <c r="BET1032" s="13"/>
      <c r="BEU1032" s="13"/>
      <c r="BEV1032" s="13"/>
      <c r="BEW1032" s="13"/>
      <c r="BEX1032" s="13"/>
      <c r="BEY1032" s="13"/>
      <c r="BEZ1032" s="13"/>
      <c r="BFA1032" s="13"/>
      <c r="BFB1032" s="13"/>
      <c r="BFC1032" s="13"/>
      <c r="BFD1032" s="13"/>
      <c r="BFE1032" s="13"/>
      <c r="BFF1032" s="13"/>
      <c r="BFG1032" s="13"/>
      <c r="BFH1032" s="13"/>
      <c r="BFI1032" s="13"/>
      <c r="BFJ1032" s="13"/>
      <c r="BFK1032" s="13"/>
      <c r="BFL1032" s="13"/>
      <c r="BFM1032" s="13"/>
      <c r="BFN1032" s="13"/>
      <c r="BFO1032" s="13"/>
      <c r="BFP1032" s="13"/>
      <c r="BFQ1032" s="13"/>
      <c r="BFR1032" s="13"/>
      <c r="BFS1032" s="13"/>
      <c r="BFT1032" s="13"/>
      <c r="BFU1032" s="13"/>
      <c r="BFV1032" s="13"/>
      <c r="BFW1032" s="13"/>
      <c r="BFX1032" s="13"/>
      <c r="BFY1032" s="13"/>
      <c r="BFZ1032" s="13"/>
      <c r="BGA1032" s="13"/>
      <c r="BGB1032" s="13"/>
      <c r="BGC1032" s="13"/>
      <c r="BGD1032" s="13"/>
      <c r="BGE1032" s="13"/>
      <c r="BGF1032" s="13"/>
      <c r="BGG1032" s="13"/>
      <c r="BGH1032" s="13"/>
      <c r="BGI1032" s="13"/>
      <c r="BGJ1032" s="13"/>
      <c r="BGK1032" s="13"/>
      <c r="BGL1032" s="13"/>
      <c r="BGM1032" s="13"/>
      <c r="BGN1032" s="13"/>
      <c r="BGO1032" s="13"/>
      <c r="BGP1032" s="13"/>
      <c r="BGQ1032" s="13"/>
      <c r="BGR1032" s="13"/>
      <c r="BGS1032" s="13"/>
      <c r="BGT1032" s="13"/>
      <c r="BGU1032" s="13"/>
      <c r="BGV1032" s="13"/>
      <c r="BGW1032" s="13"/>
      <c r="BGX1032" s="13"/>
      <c r="BGY1032" s="13"/>
      <c r="BGZ1032" s="13"/>
      <c r="BHA1032" s="13"/>
      <c r="BHB1032" s="13"/>
      <c r="BHC1032" s="13"/>
      <c r="BHD1032" s="13"/>
      <c r="BHE1032" s="13"/>
      <c r="BHF1032" s="13"/>
      <c r="BHG1032" s="13"/>
      <c r="BHH1032" s="13"/>
      <c r="BHI1032" s="13"/>
      <c r="BHJ1032" s="13"/>
      <c r="BHK1032" s="13"/>
      <c r="BHL1032" s="13"/>
      <c r="BHM1032" s="13"/>
      <c r="BHN1032" s="13"/>
      <c r="BHO1032" s="13"/>
      <c r="BHP1032" s="13"/>
      <c r="BHQ1032" s="13"/>
      <c r="BHR1032" s="13"/>
      <c r="BHS1032" s="13"/>
      <c r="BHT1032" s="13"/>
      <c r="BHU1032" s="13"/>
      <c r="BHV1032" s="13"/>
      <c r="BHW1032" s="13"/>
      <c r="BHX1032" s="13"/>
      <c r="BHY1032" s="13"/>
      <c r="BHZ1032" s="13"/>
      <c r="BIA1032" s="13"/>
      <c r="BIB1032" s="13"/>
      <c r="BIC1032" s="13"/>
      <c r="BID1032" s="13"/>
      <c r="BIE1032" s="13"/>
      <c r="BIF1032" s="13"/>
      <c r="BIG1032" s="13"/>
      <c r="BIH1032" s="13"/>
      <c r="BII1032" s="13"/>
      <c r="BIJ1032" s="13"/>
      <c r="BIK1032" s="13"/>
      <c r="BIL1032" s="13"/>
      <c r="BIM1032" s="13"/>
      <c r="BIN1032" s="13"/>
      <c r="BIO1032" s="13"/>
      <c r="BIP1032" s="13"/>
      <c r="BIQ1032" s="13"/>
      <c r="BIR1032" s="13"/>
      <c r="BIS1032" s="13"/>
      <c r="BIT1032" s="13"/>
      <c r="BIU1032" s="13"/>
      <c r="BIV1032" s="13"/>
      <c r="BIW1032" s="13"/>
      <c r="BIX1032" s="13"/>
      <c r="BIY1032" s="13"/>
      <c r="BIZ1032" s="13"/>
      <c r="BJA1032" s="13"/>
      <c r="BJB1032" s="13"/>
      <c r="BJC1032" s="13"/>
      <c r="BJD1032" s="13"/>
      <c r="BJE1032" s="13"/>
      <c r="BJF1032" s="13"/>
      <c r="BJG1032" s="13"/>
      <c r="BJH1032" s="13"/>
      <c r="BJI1032" s="13"/>
      <c r="BJJ1032" s="13"/>
      <c r="BJK1032" s="13"/>
      <c r="BJL1032" s="13"/>
      <c r="BJM1032" s="13"/>
      <c r="BJN1032" s="13"/>
      <c r="BJO1032" s="13"/>
      <c r="BJP1032" s="13"/>
      <c r="BJQ1032" s="13"/>
      <c r="BJR1032" s="13"/>
      <c r="BJS1032" s="13"/>
      <c r="BJT1032" s="13"/>
      <c r="BJU1032" s="13"/>
      <c r="BJV1032" s="13"/>
      <c r="BJW1032" s="13"/>
      <c r="BJX1032" s="13"/>
      <c r="BJY1032" s="13"/>
      <c r="BJZ1032" s="13"/>
      <c r="BKA1032" s="13"/>
      <c r="BKB1032" s="13"/>
      <c r="BKC1032" s="13"/>
      <c r="BKD1032" s="13"/>
      <c r="BKE1032" s="13"/>
      <c r="BKF1032" s="13"/>
      <c r="BKG1032" s="13"/>
      <c r="BKH1032" s="13"/>
      <c r="BKI1032" s="13"/>
      <c r="BKJ1032" s="13"/>
      <c r="BKK1032" s="13"/>
      <c r="BKL1032" s="13"/>
      <c r="BKM1032" s="13"/>
      <c r="BKN1032" s="13"/>
      <c r="BKO1032" s="13"/>
      <c r="BKP1032" s="13"/>
      <c r="BKQ1032" s="13"/>
      <c r="BKR1032" s="13"/>
      <c r="BKS1032" s="13"/>
      <c r="BKT1032" s="13"/>
      <c r="BKU1032" s="13"/>
      <c r="BKV1032" s="13"/>
      <c r="BKW1032" s="13"/>
      <c r="BKX1032" s="13"/>
      <c r="BKY1032" s="13"/>
      <c r="BKZ1032" s="13"/>
      <c r="BLA1032" s="13"/>
      <c r="BLB1032" s="13"/>
      <c r="BLC1032" s="13"/>
      <c r="BLD1032" s="13"/>
      <c r="BLE1032" s="13"/>
      <c r="BLF1032" s="13"/>
      <c r="BLG1032" s="13"/>
      <c r="BLH1032" s="13"/>
      <c r="BLI1032" s="13"/>
      <c r="BLJ1032" s="13"/>
      <c r="BLK1032" s="13"/>
      <c r="BLL1032" s="13"/>
      <c r="BLM1032" s="13"/>
      <c r="BLN1032" s="13"/>
      <c r="BLO1032" s="13"/>
      <c r="BLP1032" s="13"/>
      <c r="BLQ1032" s="13"/>
      <c r="BLR1032" s="13"/>
      <c r="BLS1032" s="13"/>
      <c r="BLT1032" s="13"/>
      <c r="BLU1032" s="13"/>
      <c r="BLV1032" s="13"/>
      <c r="BLW1032" s="13"/>
      <c r="BLX1032" s="13"/>
      <c r="BLY1032" s="13"/>
      <c r="BLZ1032" s="13"/>
      <c r="BMA1032" s="13"/>
      <c r="BMB1032" s="13"/>
      <c r="BMC1032" s="13"/>
      <c r="BMD1032" s="13"/>
      <c r="BME1032" s="13"/>
      <c r="BMF1032" s="13"/>
      <c r="BMG1032" s="13"/>
      <c r="BMH1032" s="13"/>
      <c r="BMI1032" s="13"/>
      <c r="BMJ1032" s="13"/>
      <c r="BMK1032" s="13"/>
      <c r="BML1032" s="13"/>
      <c r="BMM1032" s="13"/>
      <c r="BMN1032" s="13"/>
      <c r="BMO1032" s="13"/>
      <c r="BMP1032" s="13"/>
      <c r="BMQ1032" s="13"/>
      <c r="BMR1032" s="13"/>
      <c r="BMS1032" s="13"/>
      <c r="BMT1032" s="13"/>
      <c r="BMU1032" s="13"/>
      <c r="BMV1032" s="13"/>
      <c r="BMW1032" s="13"/>
      <c r="BMX1032" s="13"/>
      <c r="BMY1032" s="13"/>
      <c r="BMZ1032" s="13"/>
      <c r="BNA1032" s="13"/>
      <c r="BNB1032" s="13"/>
      <c r="BNC1032" s="13"/>
      <c r="BND1032" s="13"/>
      <c r="BNE1032" s="13"/>
      <c r="BNF1032" s="13"/>
      <c r="BNG1032" s="13"/>
      <c r="BNH1032" s="13"/>
      <c r="BNI1032" s="13"/>
      <c r="BNJ1032" s="13"/>
      <c r="BNK1032" s="13"/>
      <c r="BNL1032" s="13"/>
      <c r="BNM1032" s="13"/>
      <c r="BNN1032" s="13"/>
      <c r="BNO1032" s="13"/>
      <c r="BNP1032" s="13"/>
      <c r="BNQ1032" s="13"/>
      <c r="BNR1032" s="13"/>
      <c r="BNS1032" s="13"/>
      <c r="BNT1032" s="13"/>
      <c r="BNU1032" s="13"/>
      <c r="BNV1032" s="13"/>
      <c r="BNW1032" s="13"/>
      <c r="BNX1032" s="13"/>
      <c r="BNY1032" s="13"/>
      <c r="BNZ1032" s="13"/>
      <c r="BOA1032" s="13"/>
      <c r="BOB1032" s="13"/>
      <c r="BOC1032" s="13"/>
      <c r="BOD1032" s="13"/>
      <c r="BOE1032" s="13"/>
      <c r="BOF1032" s="13"/>
      <c r="BOG1032" s="13"/>
      <c r="BOH1032" s="13"/>
      <c r="BOI1032" s="13"/>
      <c r="BOJ1032" s="13"/>
      <c r="BOK1032" s="13"/>
      <c r="BOL1032" s="13"/>
      <c r="BOM1032" s="13"/>
      <c r="BON1032" s="13"/>
      <c r="BOO1032" s="13"/>
      <c r="BOP1032" s="13"/>
      <c r="BOQ1032" s="13"/>
      <c r="BOR1032" s="13"/>
      <c r="BOS1032" s="13"/>
      <c r="BOT1032" s="13"/>
      <c r="BOU1032" s="13"/>
      <c r="BOV1032" s="13"/>
      <c r="BOW1032" s="13"/>
      <c r="BOX1032" s="13"/>
      <c r="BOY1032" s="13"/>
      <c r="BOZ1032" s="13"/>
      <c r="BPA1032" s="13"/>
      <c r="BPB1032" s="13"/>
      <c r="BPC1032" s="13"/>
      <c r="BPD1032" s="13"/>
      <c r="BPE1032" s="13"/>
      <c r="BPF1032" s="13"/>
      <c r="BPG1032" s="13"/>
      <c r="BPH1032" s="13"/>
      <c r="BPI1032" s="13"/>
      <c r="BPJ1032" s="13"/>
      <c r="BPK1032" s="13"/>
      <c r="BPL1032" s="13"/>
      <c r="BPM1032" s="13"/>
      <c r="BPN1032" s="13"/>
      <c r="BPO1032" s="13"/>
      <c r="BPP1032" s="13"/>
      <c r="BPQ1032" s="13"/>
      <c r="BPR1032" s="13"/>
      <c r="BPS1032" s="13"/>
      <c r="BPT1032" s="13"/>
      <c r="BPU1032" s="13"/>
      <c r="BPV1032" s="13"/>
      <c r="BPW1032" s="13"/>
      <c r="BPX1032" s="13"/>
      <c r="BPY1032" s="13"/>
      <c r="BPZ1032" s="13"/>
      <c r="BQA1032" s="13"/>
      <c r="BQB1032" s="13"/>
      <c r="BQC1032" s="13"/>
      <c r="BQD1032" s="13"/>
      <c r="BQE1032" s="13"/>
      <c r="BQF1032" s="13"/>
      <c r="BQG1032" s="13"/>
      <c r="BQH1032" s="13"/>
      <c r="BQI1032" s="13"/>
      <c r="BQJ1032" s="13"/>
      <c r="BQK1032" s="13"/>
      <c r="BQL1032" s="13"/>
      <c r="BQM1032" s="13"/>
      <c r="BQN1032" s="13"/>
      <c r="BQO1032" s="13"/>
      <c r="BQP1032" s="13"/>
      <c r="BQQ1032" s="13"/>
      <c r="BQR1032" s="13"/>
      <c r="BQS1032" s="13"/>
      <c r="BQT1032" s="13"/>
      <c r="BQU1032" s="13"/>
      <c r="BQV1032" s="13"/>
      <c r="BQW1032" s="13"/>
      <c r="BQX1032" s="13"/>
      <c r="BQY1032" s="13"/>
      <c r="BQZ1032" s="13"/>
      <c r="BRA1032" s="13"/>
      <c r="BRB1032" s="13"/>
      <c r="BRC1032" s="13"/>
      <c r="BRD1032" s="13"/>
      <c r="BRE1032" s="13"/>
      <c r="BRF1032" s="13"/>
      <c r="BRG1032" s="13"/>
      <c r="BRH1032" s="13"/>
      <c r="BRI1032" s="13"/>
      <c r="BRJ1032" s="13"/>
      <c r="BRK1032" s="13"/>
      <c r="BRL1032" s="13"/>
      <c r="BRM1032" s="13"/>
      <c r="BRN1032" s="13"/>
      <c r="BRO1032" s="13"/>
      <c r="BRP1032" s="13"/>
      <c r="BRQ1032" s="13"/>
      <c r="BRR1032" s="13"/>
      <c r="BRS1032" s="13"/>
      <c r="BRT1032" s="13"/>
      <c r="BRU1032" s="13"/>
      <c r="BRV1032" s="13"/>
      <c r="BRW1032" s="13"/>
      <c r="BRX1032" s="13"/>
      <c r="BRY1032" s="13"/>
      <c r="BRZ1032" s="13"/>
      <c r="BSA1032" s="13"/>
      <c r="BSB1032" s="13"/>
      <c r="BSC1032" s="13"/>
      <c r="BSD1032" s="13"/>
      <c r="BSE1032" s="13"/>
      <c r="BSF1032" s="13"/>
      <c r="BSG1032" s="13"/>
      <c r="BSH1032" s="13"/>
      <c r="BSI1032" s="13"/>
      <c r="BSJ1032" s="13"/>
      <c r="BSK1032" s="13"/>
      <c r="BSL1032" s="13"/>
      <c r="BSM1032" s="13"/>
      <c r="BSN1032" s="13"/>
      <c r="BSO1032" s="13"/>
      <c r="BSP1032" s="13"/>
      <c r="BSQ1032" s="13"/>
      <c r="BSR1032" s="13"/>
      <c r="BSS1032" s="13"/>
      <c r="BST1032" s="13"/>
      <c r="BSU1032" s="13"/>
      <c r="BSV1032" s="13"/>
      <c r="BSW1032" s="13"/>
      <c r="BSX1032" s="13"/>
      <c r="BSY1032" s="13"/>
      <c r="BSZ1032" s="13"/>
      <c r="BTA1032" s="13"/>
    </row>
    <row r="1033" spans="1:1873" s="23" customFormat="1" x14ac:dyDescent="0.2">
      <c r="A1033" s="273"/>
      <c r="B1033" s="273"/>
      <c r="C1033" s="273"/>
      <c r="D1033" s="273"/>
      <c r="E1033" s="462"/>
      <c r="F1033" s="462"/>
      <c r="G1033" s="273"/>
      <c r="H1033" s="273"/>
      <c r="I1033" s="273"/>
      <c r="J1033" s="273"/>
      <c r="K1033" s="273"/>
      <c r="L1033" s="273"/>
      <c r="M1033" s="471"/>
      <c r="N1033" s="273"/>
      <c r="O1033" s="29"/>
      <c r="P1033" s="414"/>
      <c r="Q1033" s="273"/>
      <c r="R1033" s="471"/>
      <c r="S1033" s="273"/>
      <c r="T1033" s="471"/>
      <c r="U1033" s="273"/>
      <c r="V1033" s="273"/>
      <c r="W1033" s="471"/>
      <c r="X1033" s="273"/>
      <c r="Y1033" s="273"/>
      <c r="Z1033" s="461"/>
      <c r="AA1033" s="580"/>
      <c r="AB1033" s="471"/>
      <c r="AC1033" s="273"/>
      <c r="AD1033" s="273"/>
      <c r="AE1033" s="273"/>
      <c r="AF1033" s="273"/>
      <c r="AG1033" s="273"/>
      <c r="AH1033" s="273"/>
      <c r="AI1033" s="273"/>
      <c r="AJ1033" s="273"/>
      <c r="AK1033" s="273"/>
      <c r="AL1033" s="273"/>
      <c r="AM1033" s="273"/>
      <c r="AN1033" s="273"/>
      <c r="AO1033" s="273"/>
      <c r="AP1033" s="273"/>
      <c r="AQ1033" s="273"/>
      <c r="AR1033" s="273"/>
      <c r="AS1033" s="273"/>
      <c r="AT1033" s="273"/>
      <c r="AU1033" s="273"/>
      <c r="AV1033" s="273"/>
      <c r="AW1033" s="273"/>
      <c r="AX1033" s="273"/>
      <c r="AY1033" s="273"/>
      <c r="AZ1033" s="273"/>
      <c r="BA1033" s="273"/>
      <c r="BB1033" s="273"/>
      <c r="BC1033" s="273"/>
      <c r="BD1033" s="273"/>
      <c r="BE1033" s="273"/>
      <c r="BF1033" s="273"/>
      <c r="BG1033" s="273"/>
      <c r="BH1033" s="273"/>
      <c r="BI1033" s="273"/>
      <c r="BJ1033" s="273"/>
      <c r="BK1033" s="273"/>
      <c r="BL1033" s="273"/>
      <c r="BM1033" s="273"/>
      <c r="BN1033" s="273"/>
      <c r="BO1033" s="273"/>
      <c r="BP1033" s="273"/>
      <c r="BQ1033" s="273"/>
      <c r="BR1033" s="273"/>
      <c r="BS1033" s="584"/>
      <c r="BT1033" s="468"/>
      <c r="BU1033" s="273"/>
      <c r="BV1033" s="273"/>
      <c r="BW1033" s="273"/>
      <c r="BX1033" s="273"/>
      <c r="BY1033" s="273"/>
      <c r="BZ1033" s="273"/>
      <c r="CA1033" s="472"/>
      <c r="CB1033" s="473"/>
      <c r="CC1033" s="462"/>
      <c r="CD1033" s="273"/>
      <c r="CE1033" s="292"/>
      <c r="CF1033" s="292"/>
      <c r="CG1033" s="89"/>
    </row>
    <row r="1034" spans="1:1873" s="210" customFormat="1" ht="14.25" x14ac:dyDescent="0.25">
      <c r="A1034" s="411" t="s">
        <v>756</v>
      </c>
      <c r="B1034" s="411" t="s">
        <v>1169</v>
      </c>
      <c r="C1034" s="411" t="s">
        <v>1088</v>
      </c>
      <c r="D1034" s="411" t="s">
        <v>619</v>
      </c>
      <c r="E1034" s="571" t="s">
        <v>1526</v>
      </c>
      <c r="F1034" s="571">
        <v>2</v>
      </c>
      <c r="G1034" s="411">
        <v>4</v>
      </c>
      <c r="H1034" s="411">
        <v>8</v>
      </c>
      <c r="I1034" s="411" t="s">
        <v>320</v>
      </c>
      <c r="J1034" s="411">
        <v>1979</v>
      </c>
      <c r="K1034" s="411" t="s">
        <v>842</v>
      </c>
      <c r="L1034" s="411">
        <v>1987</v>
      </c>
      <c r="M1034" s="573">
        <v>-9999</v>
      </c>
      <c r="N1034" s="411">
        <v>-9999</v>
      </c>
      <c r="O1034" s="18"/>
      <c r="P1034" s="575">
        <f>+T1034*G1034</f>
        <v>134</v>
      </c>
      <c r="Q1034" s="411">
        <v>-9999</v>
      </c>
      <c r="R1034" s="573"/>
      <c r="S1034" s="411"/>
      <c r="T1034" s="573">
        <v>33.5</v>
      </c>
      <c r="U1034" s="411">
        <v>-9999</v>
      </c>
      <c r="V1034" s="411"/>
      <c r="W1034" s="573">
        <v>-9999</v>
      </c>
      <c r="X1034" s="411">
        <v>-9999</v>
      </c>
      <c r="Y1034" s="411"/>
      <c r="Z1034" s="411" t="s">
        <v>67</v>
      </c>
      <c r="AA1034" s="582">
        <v>6944</v>
      </c>
      <c r="AB1034" s="573">
        <v>0.74</v>
      </c>
      <c r="AC1034" s="411">
        <v>-9999</v>
      </c>
      <c r="AD1034" s="411">
        <v>-9999</v>
      </c>
      <c r="AE1034" s="411" t="s">
        <v>1095</v>
      </c>
      <c r="AF1034" s="411">
        <v>3</v>
      </c>
      <c r="AG1034" s="411" t="s">
        <v>1087</v>
      </c>
      <c r="AH1034" s="411" t="s">
        <v>567</v>
      </c>
      <c r="AI1034" s="411" t="s">
        <v>1103</v>
      </c>
      <c r="AJ1034" s="411" t="s">
        <v>1100</v>
      </c>
      <c r="AK1034" s="411" t="s">
        <v>626</v>
      </c>
      <c r="AL1034" s="411" t="s">
        <v>1099</v>
      </c>
      <c r="AM1034" s="411"/>
      <c r="AN1034" s="411" t="s">
        <v>626</v>
      </c>
      <c r="AO1034" s="411" t="s">
        <v>1092</v>
      </c>
      <c r="AP1034" s="411" t="s">
        <v>577</v>
      </c>
      <c r="AQ1034" s="411" t="s">
        <v>626</v>
      </c>
      <c r="AR1034" s="411">
        <v>133</v>
      </c>
      <c r="AS1034" s="411" t="s">
        <v>1111</v>
      </c>
      <c r="AT1034" s="411" t="s">
        <v>739</v>
      </c>
      <c r="AU1034" s="411">
        <v>0</v>
      </c>
      <c r="AV1034" s="411">
        <v>-9999</v>
      </c>
      <c r="AW1034" s="411">
        <v>-9999</v>
      </c>
      <c r="AX1034" s="411">
        <v>0</v>
      </c>
      <c r="AY1034" s="411">
        <v>-9999</v>
      </c>
      <c r="AZ1034" s="411">
        <v>-9999</v>
      </c>
      <c r="BA1034" s="411" t="s">
        <v>1102</v>
      </c>
      <c r="BB1034" s="411" t="s">
        <v>631</v>
      </c>
      <c r="BC1034" s="411">
        <v>-9999</v>
      </c>
      <c r="BD1034" s="411">
        <v>-9999</v>
      </c>
      <c r="BE1034" s="411">
        <v>-9999</v>
      </c>
      <c r="BF1034" s="411">
        <v>-9999</v>
      </c>
      <c r="BG1034" s="411">
        <v>-9999</v>
      </c>
      <c r="BH1034" s="411">
        <v>-9999</v>
      </c>
      <c r="BI1034" s="411" t="s">
        <v>629</v>
      </c>
      <c r="BJ1034" s="411">
        <v>49</v>
      </c>
      <c r="BK1034" s="411">
        <v>-9999</v>
      </c>
      <c r="BL1034" s="411">
        <v>11.2</v>
      </c>
      <c r="BM1034" s="411">
        <v>-9999</v>
      </c>
      <c r="BN1034" s="411">
        <v>7.6</v>
      </c>
      <c r="BO1034" s="411">
        <v>-9999</v>
      </c>
      <c r="BP1034" s="411">
        <v>-9999</v>
      </c>
      <c r="BQ1034" s="411">
        <v>-9999</v>
      </c>
      <c r="BR1034" s="411">
        <v>-9999</v>
      </c>
      <c r="BS1034" s="577">
        <v>-9999</v>
      </c>
      <c r="BT1034" s="411">
        <v>-9999</v>
      </c>
      <c r="BU1034" s="411">
        <v>-9999</v>
      </c>
      <c r="BV1034" s="411">
        <v>-9999</v>
      </c>
      <c r="BW1034" s="411"/>
      <c r="BX1034" s="411">
        <v>-9999</v>
      </c>
      <c r="BY1034" s="411">
        <v>-9999</v>
      </c>
      <c r="BZ1034" s="411">
        <v>-9999</v>
      </c>
      <c r="CA1034" s="578" t="s">
        <v>1096</v>
      </c>
      <c r="CB1034" s="579"/>
      <c r="CC1034" s="571">
        <v>2</v>
      </c>
      <c r="CD1034" s="411">
        <v>4</v>
      </c>
      <c r="CE1034" s="395">
        <v>33.5</v>
      </c>
      <c r="CF1034" s="99"/>
      <c r="CG1034" s="208">
        <v>8</v>
      </c>
      <c r="CH1034" s="437" t="s">
        <v>1757</v>
      </c>
      <c r="CI1034" s="13"/>
      <c r="CJ1034" s="13"/>
      <c r="CK1034" s="13"/>
      <c r="CL1034" s="13"/>
      <c r="CM1034" s="13"/>
      <c r="CN1034" s="13"/>
      <c r="CO1034" s="13"/>
      <c r="CP1034" s="13"/>
      <c r="CQ1034" s="13"/>
      <c r="CR1034" s="13"/>
      <c r="CS1034" s="13"/>
      <c r="CT1034" s="13"/>
      <c r="CU1034" s="13"/>
      <c r="CV1034" s="13"/>
      <c r="CW1034" s="13"/>
      <c r="CX1034" s="13"/>
      <c r="CY1034" s="13"/>
      <c r="CZ1034" s="13"/>
      <c r="DA1034" s="13"/>
      <c r="DB1034" s="13"/>
      <c r="DC1034" s="13"/>
      <c r="DD1034" s="13"/>
      <c r="DE1034" s="13"/>
      <c r="DF1034" s="13"/>
      <c r="DG1034" s="13"/>
      <c r="DH1034" s="13"/>
      <c r="DI1034" s="13"/>
      <c r="DJ1034" s="13"/>
      <c r="DK1034" s="13"/>
      <c r="DL1034" s="13"/>
      <c r="DM1034" s="13"/>
      <c r="DN1034" s="13"/>
      <c r="DO1034" s="13"/>
      <c r="DP1034" s="13"/>
      <c r="DQ1034" s="13"/>
      <c r="DR1034" s="13"/>
      <c r="DS1034" s="13"/>
      <c r="DT1034" s="13"/>
      <c r="DU1034" s="13"/>
      <c r="DV1034" s="13"/>
      <c r="DW1034" s="13"/>
      <c r="DX1034" s="13"/>
      <c r="DY1034" s="13"/>
      <c r="DZ1034" s="13"/>
      <c r="EA1034" s="13"/>
      <c r="EB1034" s="13"/>
      <c r="EC1034" s="13"/>
      <c r="ED1034" s="13"/>
      <c r="EE1034" s="13"/>
      <c r="EF1034" s="13"/>
      <c r="EG1034" s="13"/>
      <c r="EH1034" s="13"/>
      <c r="EI1034" s="13"/>
      <c r="EJ1034" s="13"/>
      <c r="EK1034" s="13"/>
      <c r="EL1034" s="13"/>
      <c r="EM1034" s="13"/>
      <c r="EN1034" s="13"/>
      <c r="EO1034" s="13"/>
      <c r="EP1034" s="13"/>
      <c r="EQ1034" s="13"/>
      <c r="ER1034" s="13"/>
      <c r="ES1034" s="13"/>
      <c r="ET1034" s="13"/>
      <c r="EU1034" s="13"/>
      <c r="EV1034" s="13"/>
      <c r="EW1034" s="13"/>
      <c r="EX1034" s="13"/>
      <c r="EY1034" s="13"/>
      <c r="EZ1034" s="13"/>
      <c r="FA1034" s="13"/>
      <c r="FB1034" s="13"/>
      <c r="FC1034" s="13"/>
      <c r="FD1034" s="13"/>
      <c r="FE1034" s="13"/>
      <c r="FF1034" s="13"/>
      <c r="FG1034" s="13"/>
      <c r="FH1034" s="13"/>
      <c r="FI1034" s="13"/>
      <c r="FJ1034" s="13"/>
      <c r="FK1034" s="13"/>
      <c r="FL1034" s="13"/>
      <c r="FM1034" s="13"/>
      <c r="FN1034" s="13"/>
      <c r="FO1034" s="13"/>
      <c r="FP1034" s="13"/>
      <c r="FQ1034" s="13"/>
      <c r="FR1034" s="13"/>
      <c r="FS1034" s="13"/>
      <c r="FT1034" s="13"/>
      <c r="FU1034" s="13"/>
      <c r="FV1034" s="13"/>
      <c r="FW1034" s="13"/>
      <c r="FX1034" s="13"/>
      <c r="FY1034" s="13"/>
      <c r="FZ1034" s="13"/>
      <c r="GA1034" s="13"/>
      <c r="GB1034" s="13"/>
      <c r="GC1034" s="13"/>
      <c r="GD1034" s="13"/>
      <c r="GE1034" s="13"/>
      <c r="GF1034" s="13"/>
      <c r="GG1034" s="13"/>
      <c r="GH1034" s="13"/>
      <c r="GI1034" s="13"/>
      <c r="GJ1034" s="13"/>
      <c r="GK1034" s="13"/>
      <c r="GL1034" s="13"/>
      <c r="GM1034" s="13"/>
      <c r="GN1034" s="13"/>
      <c r="GO1034" s="13"/>
      <c r="GP1034" s="13"/>
      <c r="GQ1034" s="13"/>
      <c r="GR1034" s="13"/>
      <c r="GS1034" s="13"/>
      <c r="GT1034" s="13"/>
      <c r="GU1034" s="13"/>
      <c r="GV1034" s="13"/>
      <c r="GW1034" s="13"/>
      <c r="GX1034" s="13"/>
      <c r="GY1034" s="13"/>
      <c r="GZ1034" s="13"/>
      <c r="HA1034" s="13"/>
      <c r="HB1034" s="13"/>
      <c r="HC1034" s="13"/>
      <c r="HD1034" s="13"/>
      <c r="HE1034" s="13"/>
      <c r="HF1034" s="13"/>
      <c r="HG1034" s="13"/>
      <c r="HH1034" s="13"/>
      <c r="HI1034" s="13"/>
      <c r="HJ1034" s="13"/>
      <c r="HK1034" s="13"/>
      <c r="HL1034" s="13"/>
      <c r="HM1034" s="13"/>
      <c r="HN1034" s="13"/>
      <c r="HO1034" s="13"/>
      <c r="HP1034" s="13"/>
      <c r="HQ1034" s="13"/>
      <c r="HR1034" s="13"/>
      <c r="HS1034" s="13"/>
      <c r="HT1034" s="13"/>
      <c r="HU1034" s="13"/>
      <c r="HV1034" s="13"/>
      <c r="HW1034" s="13"/>
      <c r="HX1034" s="13"/>
      <c r="HY1034" s="13"/>
      <c r="HZ1034" s="13"/>
      <c r="IA1034" s="13"/>
      <c r="IB1034" s="13"/>
      <c r="IC1034" s="13"/>
      <c r="ID1034" s="13"/>
      <c r="IE1034" s="13"/>
      <c r="IF1034" s="13"/>
      <c r="IG1034" s="13"/>
      <c r="IH1034" s="13"/>
      <c r="II1034" s="13"/>
      <c r="IJ1034" s="13"/>
      <c r="IK1034" s="13"/>
      <c r="IL1034" s="13"/>
      <c r="IM1034" s="13"/>
      <c r="IN1034" s="13"/>
      <c r="IO1034" s="13"/>
      <c r="IP1034" s="13"/>
      <c r="IQ1034" s="13"/>
      <c r="IR1034" s="13"/>
      <c r="IS1034" s="13"/>
      <c r="IT1034" s="13"/>
      <c r="IU1034" s="13"/>
      <c r="IV1034" s="13"/>
      <c r="IW1034" s="13"/>
      <c r="IX1034" s="13"/>
      <c r="IY1034" s="13"/>
      <c r="IZ1034" s="13"/>
      <c r="JA1034" s="13"/>
      <c r="JB1034" s="13"/>
      <c r="JC1034" s="13"/>
      <c r="JD1034" s="13"/>
      <c r="JE1034" s="13"/>
      <c r="JF1034" s="13"/>
      <c r="JG1034" s="13"/>
      <c r="JH1034" s="13"/>
      <c r="JI1034" s="13"/>
      <c r="JJ1034" s="13"/>
      <c r="JK1034" s="13"/>
      <c r="JL1034" s="13"/>
      <c r="JM1034" s="13"/>
      <c r="JN1034" s="13"/>
      <c r="JO1034" s="13"/>
      <c r="JP1034" s="13"/>
      <c r="JQ1034" s="13"/>
      <c r="JR1034" s="13"/>
      <c r="JS1034" s="13"/>
      <c r="JT1034" s="13"/>
      <c r="JU1034" s="13"/>
      <c r="JV1034" s="13"/>
      <c r="JW1034" s="13"/>
      <c r="JX1034" s="13"/>
      <c r="JY1034" s="13"/>
      <c r="JZ1034" s="13"/>
      <c r="KA1034" s="13"/>
      <c r="KB1034" s="13"/>
      <c r="KC1034" s="13"/>
      <c r="KD1034" s="13"/>
      <c r="KE1034" s="13"/>
      <c r="KF1034" s="13"/>
      <c r="KG1034" s="13"/>
      <c r="KH1034" s="13"/>
      <c r="KI1034" s="13"/>
      <c r="KJ1034" s="13"/>
      <c r="KK1034" s="13"/>
      <c r="KL1034" s="13"/>
      <c r="KM1034" s="13"/>
      <c r="KN1034" s="13"/>
      <c r="KO1034" s="13"/>
      <c r="KP1034" s="13"/>
      <c r="KQ1034" s="13"/>
      <c r="KR1034" s="13"/>
      <c r="KS1034" s="13"/>
      <c r="KT1034" s="13"/>
      <c r="KU1034" s="13"/>
      <c r="KV1034" s="13"/>
      <c r="KW1034" s="13"/>
      <c r="KX1034" s="13"/>
      <c r="KY1034" s="13"/>
      <c r="KZ1034" s="13"/>
      <c r="LA1034" s="13"/>
      <c r="LB1034" s="13"/>
      <c r="LC1034" s="13"/>
      <c r="LD1034" s="13"/>
      <c r="LE1034" s="13"/>
      <c r="LF1034" s="13"/>
      <c r="LG1034" s="13"/>
      <c r="LH1034" s="13"/>
      <c r="LI1034" s="13"/>
      <c r="LJ1034" s="13"/>
      <c r="LK1034" s="13"/>
      <c r="LL1034" s="13"/>
      <c r="LM1034" s="13"/>
      <c r="LN1034" s="13"/>
      <c r="LO1034" s="13"/>
      <c r="LP1034" s="13"/>
      <c r="LQ1034" s="13"/>
      <c r="LR1034" s="13"/>
      <c r="LS1034" s="13"/>
      <c r="LT1034" s="13"/>
      <c r="LU1034" s="13"/>
      <c r="LV1034" s="13"/>
      <c r="LW1034" s="13"/>
      <c r="LX1034" s="13"/>
      <c r="LY1034" s="13"/>
      <c r="LZ1034" s="13"/>
      <c r="MA1034" s="13"/>
      <c r="MB1034" s="13"/>
      <c r="MC1034" s="13"/>
      <c r="MD1034" s="13"/>
      <c r="ME1034" s="13"/>
      <c r="MF1034" s="13"/>
      <c r="MG1034" s="13"/>
      <c r="MH1034" s="13"/>
      <c r="MI1034" s="13"/>
      <c r="MJ1034" s="13"/>
      <c r="MK1034" s="13"/>
      <c r="ML1034" s="13"/>
      <c r="MM1034" s="13"/>
      <c r="MN1034" s="13"/>
      <c r="MO1034" s="13"/>
      <c r="MP1034" s="13"/>
      <c r="MQ1034" s="13"/>
      <c r="MR1034" s="13"/>
      <c r="MS1034" s="13"/>
      <c r="MT1034" s="13"/>
      <c r="MU1034" s="13"/>
      <c r="MV1034" s="13"/>
      <c r="MW1034" s="13"/>
      <c r="MX1034" s="13"/>
      <c r="MY1034" s="13"/>
      <c r="MZ1034" s="13"/>
      <c r="NA1034" s="13"/>
      <c r="NB1034" s="13"/>
      <c r="NC1034" s="13"/>
      <c r="ND1034" s="13"/>
      <c r="NE1034" s="13"/>
      <c r="NF1034" s="13"/>
      <c r="NG1034" s="13"/>
      <c r="NH1034" s="13"/>
      <c r="NI1034" s="13"/>
      <c r="NJ1034" s="13"/>
      <c r="NK1034" s="13"/>
      <c r="NL1034" s="13"/>
      <c r="NM1034" s="13"/>
      <c r="NN1034" s="13"/>
      <c r="NO1034" s="13"/>
      <c r="NP1034" s="13"/>
      <c r="NQ1034" s="13"/>
      <c r="NR1034" s="13"/>
      <c r="NS1034" s="13"/>
      <c r="NT1034" s="13"/>
      <c r="NU1034" s="13"/>
      <c r="NV1034" s="13"/>
      <c r="NW1034" s="13"/>
      <c r="NX1034" s="13"/>
      <c r="NY1034" s="13"/>
      <c r="NZ1034" s="13"/>
      <c r="OA1034" s="13"/>
      <c r="OB1034" s="13"/>
      <c r="OC1034" s="13"/>
      <c r="OD1034" s="13"/>
      <c r="OE1034" s="13"/>
      <c r="OF1034" s="13"/>
      <c r="OG1034" s="13"/>
      <c r="OH1034" s="13"/>
      <c r="OI1034" s="13"/>
      <c r="OJ1034" s="13"/>
      <c r="OK1034" s="13"/>
      <c r="OL1034" s="13"/>
      <c r="OM1034" s="13"/>
      <c r="ON1034" s="13"/>
      <c r="OO1034" s="13"/>
      <c r="OP1034" s="13"/>
      <c r="OQ1034" s="13"/>
      <c r="OR1034" s="13"/>
      <c r="OS1034" s="13"/>
      <c r="OT1034" s="13"/>
      <c r="OU1034" s="13"/>
      <c r="OV1034" s="13"/>
      <c r="OW1034" s="13"/>
      <c r="OX1034" s="13"/>
      <c r="OY1034" s="13"/>
      <c r="OZ1034" s="13"/>
      <c r="PA1034" s="13"/>
      <c r="PB1034" s="13"/>
      <c r="PC1034" s="13"/>
      <c r="PD1034" s="13"/>
      <c r="PE1034" s="13"/>
      <c r="PF1034" s="13"/>
      <c r="PG1034" s="13"/>
      <c r="PH1034" s="13"/>
      <c r="PI1034" s="13"/>
      <c r="PJ1034" s="13"/>
      <c r="PK1034" s="13"/>
      <c r="PL1034" s="13"/>
      <c r="PM1034" s="13"/>
      <c r="PN1034" s="13"/>
      <c r="PO1034" s="13"/>
      <c r="PP1034" s="13"/>
      <c r="PQ1034" s="13"/>
      <c r="PR1034" s="13"/>
      <c r="PS1034" s="13"/>
      <c r="PT1034" s="13"/>
      <c r="PU1034" s="13"/>
      <c r="PV1034" s="13"/>
      <c r="PW1034" s="13"/>
      <c r="PX1034" s="13"/>
      <c r="PY1034" s="13"/>
      <c r="PZ1034" s="13"/>
      <c r="QA1034" s="13"/>
      <c r="QB1034" s="13"/>
      <c r="QC1034" s="13"/>
      <c r="QD1034" s="13"/>
      <c r="QE1034" s="13"/>
      <c r="QF1034" s="13"/>
      <c r="QG1034" s="13"/>
      <c r="QH1034" s="13"/>
      <c r="QI1034" s="13"/>
      <c r="QJ1034" s="13"/>
      <c r="QK1034" s="13"/>
      <c r="QL1034" s="13"/>
      <c r="QM1034" s="13"/>
      <c r="QN1034" s="13"/>
      <c r="QO1034" s="13"/>
      <c r="QP1034" s="13"/>
      <c r="QQ1034" s="13"/>
      <c r="QR1034" s="13"/>
      <c r="QS1034" s="13"/>
      <c r="QT1034" s="13"/>
      <c r="QU1034" s="13"/>
      <c r="QV1034" s="13"/>
      <c r="QW1034" s="13"/>
      <c r="QX1034" s="13"/>
      <c r="QY1034" s="13"/>
      <c r="QZ1034" s="13"/>
      <c r="RA1034" s="13"/>
      <c r="RB1034" s="13"/>
      <c r="RC1034" s="13"/>
      <c r="RD1034" s="13"/>
      <c r="RE1034" s="13"/>
      <c r="RF1034" s="13"/>
      <c r="RG1034" s="13"/>
      <c r="RH1034" s="13"/>
      <c r="RI1034" s="13"/>
      <c r="RJ1034" s="13"/>
      <c r="RK1034" s="13"/>
      <c r="RL1034" s="13"/>
      <c r="RM1034" s="13"/>
      <c r="RN1034" s="13"/>
      <c r="RO1034" s="13"/>
      <c r="RP1034" s="13"/>
      <c r="RQ1034" s="13"/>
      <c r="RR1034" s="13"/>
      <c r="RS1034" s="13"/>
      <c r="RT1034" s="13"/>
      <c r="RU1034" s="13"/>
      <c r="RV1034" s="13"/>
      <c r="RW1034" s="13"/>
      <c r="RX1034" s="13"/>
      <c r="RY1034" s="13"/>
      <c r="RZ1034" s="13"/>
      <c r="SA1034" s="13"/>
      <c r="SB1034" s="13"/>
      <c r="SC1034" s="13"/>
      <c r="SD1034" s="13"/>
      <c r="SE1034" s="13"/>
      <c r="SF1034" s="13"/>
      <c r="SG1034" s="13"/>
      <c r="SH1034" s="13"/>
      <c r="SI1034" s="13"/>
      <c r="SJ1034" s="13"/>
      <c r="SK1034" s="13"/>
      <c r="SL1034" s="13"/>
      <c r="SM1034" s="13"/>
      <c r="SN1034" s="13"/>
      <c r="SO1034" s="13"/>
      <c r="SP1034" s="13"/>
      <c r="SQ1034" s="13"/>
      <c r="SR1034" s="13"/>
      <c r="SS1034" s="13"/>
      <c r="ST1034" s="13"/>
      <c r="SU1034" s="13"/>
      <c r="SV1034" s="13"/>
      <c r="SW1034" s="13"/>
      <c r="SX1034" s="13"/>
      <c r="SY1034" s="13"/>
      <c r="SZ1034" s="13"/>
      <c r="TA1034" s="13"/>
      <c r="TB1034" s="13"/>
      <c r="TC1034" s="13"/>
      <c r="TD1034" s="13"/>
      <c r="TE1034" s="13"/>
      <c r="TF1034" s="13"/>
      <c r="TG1034" s="13"/>
      <c r="TH1034" s="13"/>
      <c r="TI1034" s="13"/>
      <c r="TJ1034" s="13"/>
      <c r="TK1034" s="13"/>
      <c r="TL1034" s="13"/>
      <c r="TM1034" s="13"/>
      <c r="TN1034" s="13"/>
      <c r="TO1034" s="13"/>
      <c r="TP1034" s="13"/>
      <c r="TQ1034" s="13"/>
      <c r="TR1034" s="13"/>
      <c r="TS1034" s="13"/>
      <c r="TT1034" s="13"/>
      <c r="TU1034" s="13"/>
      <c r="TV1034" s="13"/>
      <c r="TW1034" s="13"/>
      <c r="TX1034" s="13"/>
      <c r="TY1034" s="13"/>
      <c r="TZ1034" s="13"/>
      <c r="UA1034" s="13"/>
      <c r="UB1034" s="13"/>
      <c r="UC1034" s="13"/>
      <c r="UD1034" s="13"/>
      <c r="UE1034" s="13"/>
      <c r="UF1034" s="13"/>
      <c r="UG1034" s="13"/>
      <c r="UH1034" s="13"/>
      <c r="UI1034" s="13"/>
      <c r="UJ1034" s="13"/>
      <c r="UK1034" s="13"/>
      <c r="UL1034" s="13"/>
      <c r="UM1034" s="13"/>
      <c r="UN1034" s="13"/>
      <c r="UO1034" s="13"/>
      <c r="UP1034" s="13"/>
      <c r="UQ1034" s="13"/>
      <c r="UR1034" s="13"/>
      <c r="US1034" s="13"/>
      <c r="UT1034" s="13"/>
      <c r="UU1034" s="13"/>
      <c r="UV1034" s="13"/>
      <c r="UW1034" s="13"/>
      <c r="UX1034" s="13"/>
      <c r="UY1034" s="13"/>
      <c r="UZ1034" s="13"/>
      <c r="VA1034" s="13"/>
      <c r="VB1034" s="13"/>
      <c r="VC1034" s="13"/>
      <c r="VD1034" s="13"/>
      <c r="VE1034" s="13"/>
      <c r="VF1034" s="13"/>
      <c r="VG1034" s="13"/>
      <c r="VH1034" s="13"/>
      <c r="VI1034" s="13"/>
      <c r="VJ1034" s="13"/>
      <c r="VK1034" s="13"/>
      <c r="VL1034" s="13"/>
      <c r="VM1034" s="13"/>
      <c r="VN1034" s="13"/>
      <c r="VO1034" s="13"/>
      <c r="VP1034" s="13"/>
      <c r="VQ1034" s="13"/>
      <c r="VR1034" s="13"/>
      <c r="VS1034" s="13"/>
      <c r="VT1034" s="13"/>
      <c r="VU1034" s="13"/>
      <c r="VV1034" s="13"/>
      <c r="VW1034" s="13"/>
      <c r="VX1034" s="13"/>
      <c r="VY1034" s="13"/>
      <c r="VZ1034" s="13"/>
      <c r="WA1034" s="13"/>
      <c r="WB1034" s="13"/>
      <c r="WC1034" s="13"/>
      <c r="WD1034" s="13"/>
      <c r="WE1034" s="13"/>
      <c r="WF1034" s="13"/>
      <c r="WG1034" s="13"/>
      <c r="WH1034" s="13"/>
      <c r="WI1034" s="13"/>
      <c r="WJ1034" s="13"/>
      <c r="WK1034" s="13"/>
      <c r="WL1034" s="13"/>
      <c r="WM1034" s="13"/>
      <c r="WN1034" s="13"/>
      <c r="WO1034" s="13"/>
      <c r="WP1034" s="13"/>
      <c r="WQ1034" s="13"/>
      <c r="WR1034" s="13"/>
      <c r="WS1034" s="13"/>
      <c r="WT1034" s="13"/>
      <c r="WU1034" s="13"/>
      <c r="WV1034" s="13"/>
      <c r="WW1034" s="13"/>
      <c r="WX1034" s="13"/>
      <c r="WY1034" s="13"/>
      <c r="WZ1034" s="13"/>
      <c r="XA1034" s="13"/>
      <c r="XB1034" s="13"/>
      <c r="XC1034" s="13"/>
      <c r="XD1034" s="13"/>
      <c r="XE1034" s="13"/>
      <c r="XF1034" s="13"/>
      <c r="XG1034" s="13"/>
      <c r="XH1034" s="13"/>
      <c r="XI1034" s="13"/>
      <c r="XJ1034" s="13"/>
      <c r="XK1034" s="13"/>
      <c r="XL1034" s="13"/>
      <c r="XM1034" s="13"/>
      <c r="XN1034" s="13"/>
      <c r="XO1034" s="13"/>
      <c r="XP1034" s="13"/>
      <c r="XQ1034" s="13"/>
      <c r="XR1034" s="13"/>
      <c r="XS1034" s="13"/>
      <c r="XT1034" s="13"/>
      <c r="XU1034" s="13"/>
      <c r="XV1034" s="13"/>
      <c r="XW1034" s="13"/>
      <c r="XX1034" s="13"/>
      <c r="XY1034" s="13"/>
      <c r="XZ1034" s="13"/>
      <c r="YA1034" s="13"/>
      <c r="YB1034" s="13"/>
      <c r="YC1034" s="13"/>
      <c r="YD1034" s="13"/>
      <c r="YE1034" s="13"/>
      <c r="YF1034" s="13"/>
      <c r="YG1034" s="13"/>
      <c r="YH1034" s="13"/>
      <c r="YI1034" s="13"/>
      <c r="YJ1034" s="13"/>
      <c r="YK1034" s="13"/>
      <c r="YL1034" s="13"/>
      <c r="YM1034" s="13"/>
      <c r="YN1034" s="13"/>
      <c r="YO1034" s="13"/>
      <c r="YP1034" s="13"/>
      <c r="YQ1034" s="13"/>
      <c r="YR1034" s="13"/>
      <c r="YS1034" s="13"/>
      <c r="YT1034" s="13"/>
      <c r="YU1034" s="13"/>
      <c r="YV1034" s="13"/>
      <c r="YW1034" s="13"/>
      <c r="YX1034" s="13"/>
      <c r="YY1034" s="13"/>
      <c r="YZ1034" s="13"/>
      <c r="ZA1034" s="13"/>
      <c r="ZB1034" s="13"/>
      <c r="ZC1034" s="13"/>
      <c r="ZD1034" s="13"/>
      <c r="ZE1034" s="13"/>
      <c r="ZF1034" s="13"/>
      <c r="ZG1034" s="13"/>
      <c r="ZH1034" s="13"/>
      <c r="ZI1034" s="13"/>
      <c r="ZJ1034" s="13"/>
      <c r="ZK1034" s="13"/>
      <c r="ZL1034" s="13"/>
      <c r="ZM1034" s="13"/>
      <c r="ZN1034" s="13"/>
      <c r="ZO1034" s="13"/>
      <c r="ZP1034" s="13"/>
      <c r="ZQ1034" s="13"/>
      <c r="ZR1034" s="13"/>
      <c r="ZS1034" s="13"/>
      <c r="ZT1034" s="13"/>
      <c r="ZU1034" s="13"/>
      <c r="ZV1034" s="13"/>
      <c r="ZW1034" s="13"/>
      <c r="ZX1034" s="13"/>
      <c r="ZY1034" s="13"/>
      <c r="ZZ1034" s="13"/>
      <c r="AAA1034" s="13"/>
      <c r="AAB1034" s="13"/>
      <c r="AAC1034" s="13"/>
      <c r="AAD1034" s="13"/>
      <c r="AAE1034" s="13"/>
      <c r="AAF1034" s="13"/>
      <c r="AAG1034" s="13"/>
      <c r="AAH1034" s="13"/>
      <c r="AAI1034" s="13"/>
      <c r="AAJ1034" s="13"/>
      <c r="AAK1034" s="13"/>
      <c r="AAL1034" s="13"/>
      <c r="AAM1034" s="13"/>
      <c r="AAN1034" s="13"/>
      <c r="AAO1034" s="13"/>
      <c r="AAP1034" s="13"/>
      <c r="AAQ1034" s="13"/>
      <c r="AAR1034" s="13"/>
      <c r="AAS1034" s="13"/>
      <c r="AAT1034" s="13"/>
      <c r="AAU1034" s="13"/>
      <c r="AAV1034" s="13"/>
      <c r="AAW1034" s="13"/>
      <c r="AAX1034" s="13"/>
      <c r="AAY1034" s="13"/>
      <c r="AAZ1034" s="13"/>
      <c r="ABA1034" s="13"/>
      <c r="ABB1034" s="13"/>
      <c r="ABC1034" s="13"/>
      <c r="ABD1034" s="13"/>
      <c r="ABE1034" s="13"/>
      <c r="ABF1034" s="13"/>
      <c r="ABG1034" s="13"/>
      <c r="ABH1034" s="13"/>
      <c r="ABI1034" s="13"/>
      <c r="ABJ1034" s="13"/>
      <c r="ABK1034" s="13"/>
      <c r="ABL1034" s="13"/>
      <c r="ABM1034" s="13"/>
      <c r="ABN1034" s="13"/>
      <c r="ABO1034" s="13"/>
      <c r="ABP1034" s="13"/>
      <c r="ABQ1034" s="13"/>
      <c r="ABR1034" s="13"/>
      <c r="ABS1034" s="13"/>
      <c r="ABT1034" s="13"/>
      <c r="ABU1034" s="13"/>
      <c r="ABV1034" s="13"/>
      <c r="ABW1034" s="13"/>
      <c r="ABX1034" s="13"/>
      <c r="ABY1034" s="13"/>
      <c r="ABZ1034" s="13"/>
      <c r="ACA1034" s="13"/>
      <c r="ACB1034" s="13"/>
      <c r="ACC1034" s="13"/>
      <c r="ACD1034" s="13"/>
      <c r="ACE1034" s="13"/>
      <c r="ACF1034" s="13"/>
      <c r="ACG1034" s="13"/>
      <c r="ACH1034" s="13"/>
      <c r="ACI1034" s="13"/>
      <c r="ACJ1034" s="13"/>
      <c r="ACK1034" s="13"/>
      <c r="ACL1034" s="13"/>
      <c r="ACM1034" s="13"/>
      <c r="ACN1034" s="13"/>
      <c r="ACO1034" s="13"/>
      <c r="ACP1034" s="13"/>
      <c r="ACQ1034" s="13"/>
      <c r="ACR1034" s="13"/>
      <c r="ACS1034" s="13"/>
      <c r="ACT1034" s="13"/>
      <c r="ACU1034" s="13"/>
      <c r="ACV1034" s="13"/>
      <c r="ACW1034" s="13"/>
      <c r="ACX1034" s="13"/>
      <c r="ACY1034" s="13"/>
      <c r="ACZ1034" s="13"/>
      <c r="ADA1034" s="13"/>
      <c r="ADB1034" s="13"/>
      <c r="ADC1034" s="13"/>
      <c r="ADD1034" s="13"/>
      <c r="ADE1034" s="13"/>
      <c r="ADF1034" s="13"/>
      <c r="ADG1034" s="13"/>
      <c r="ADH1034" s="13"/>
      <c r="ADI1034" s="13"/>
      <c r="ADJ1034" s="13"/>
      <c r="ADK1034" s="13"/>
      <c r="ADL1034" s="13"/>
      <c r="ADM1034" s="13"/>
      <c r="ADN1034" s="13"/>
      <c r="ADO1034" s="13"/>
      <c r="ADP1034" s="13"/>
      <c r="ADQ1034" s="13"/>
      <c r="ADR1034" s="13"/>
      <c r="ADS1034" s="13"/>
      <c r="ADT1034" s="13"/>
      <c r="ADU1034" s="13"/>
      <c r="ADV1034" s="13"/>
      <c r="ADW1034" s="13"/>
      <c r="ADX1034" s="13"/>
      <c r="ADY1034" s="13"/>
      <c r="ADZ1034" s="13"/>
      <c r="AEA1034" s="13"/>
      <c r="AEB1034" s="13"/>
      <c r="AEC1034" s="13"/>
      <c r="AED1034" s="13"/>
      <c r="AEE1034" s="13"/>
      <c r="AEF1034" s="13"/>
      <c r="AEG1034" s="13"/>
      <c r="AEH1034" s="13"/>
      <c r="AEI1034" s="13"/>
      <c r="AEJ1034" s="13"/>
      <c r="AEK1034" s="13"/>
      <c r="AEL1034" s="13"/>
      <c r="AEM1034" s="13"/>
      <c r="AEN1034" s="13"/>
      <c r="AEO1034" s="13"/>
      <c r="AEP1034" s="13"/>
      <c r="AEQ1034" s="13"/>
      <c r="AER1034" s="13"/>
      <c r="AES1034" s="13"/>
      <c r="AET1034" s="13"/>
      <c r="AEU1034" s="13"/>
      <c r="AEV1034" s="13"/>
      <c r="AEW1034" s="13"/>
      <c r="AEX1034" s="13"/>
      <c r="AEY1034" s="13"/>
      <c r="AEZ1034" s="13"/>
      <c r="AFA1034" s="13"/>
      <c r="AFB1034" s="13"/>
      <c r="AFC1034" s="13"/>
      <c r="AFD1034" s="13"/>
      <c r="AFE1034" s="13"/>
      <c r="AFF1034" s="13"/>
      <c r="AFG1034" s="13"/>
      <c r="AFH1034" s="13"/>
      <c r="AFI1034" s="13"/>
      <c r="AFJ1034" s="13"/>
      <c r="AFK1034" s="13"/>
      <c r="AFL1034" s="13"/>
      <c r="AFM1034" s="13"/>
      <c r="AFN1034" s="13"/>
      <c r="AFO1034" s="13"/>
      <c r="AFP1034" s="13"/>
      <c r="AFQ1034" s="13"/>
      <c r="AFR1034" s="13"/>
      <c r="AFS1034" s="13"/>
      <c r="AFT1034" s="13"/>
      <c r="AFU1034" s="13"/>
      <c r="AFV1034" s="13"/>
      <c r="AFW1034" s="13"/>
      <c r="AFX1034" s="13"/>
      <c r="AFY1034" s="13"/>
      <c r="AFZ1034" s="13"/>
      <c r="AGA1034" s="13"/>
      <c r="AGB1034" s="13"/>
      <c r="AGC1034" s="13"/>
      <c r="AGD1034" s="13"/>
      <c r="AGE1034" s="13"/>
      <c r="AGF1034" s="13"/>
      <c r="AGG1034" s="13"/>
      <c r="AGH1034" s="13"/>
      <c r="AGI1034" s="13"/>
      <c r="AGJ1034" s="13"/>
      <c r="AGK1034" s="13"/>
      <c r="AGL1034" s="13"/>
      <c r="AGM1034" s="13"/>
      <c r="AGN1034" s="13"/>
      <c r="AGO1034" s="13"/>
      <c r="AGP1034" s="13"/>
      <c r="AGQ1034" s="13"/>
      <c r="AGR1034" s="13"/>
      <c r="AGS1034" s="13"/>
      <c r="AGT1034" s="13"/>
      <c r="AGU1034" s="13"/>
      <c r="AGV1034" s="13"/>
      <c r="AGW1034" s="13"/>
      <c r="AGX1034" s="13"/>
      <c r="AGY1034" s="13"/>
      <c r="AGZ1034" s="13"/>
      <c r="AHA1034" s="13"/>
      <c r="AHB1034" s="13"/>
      <c r="AHC1034" s="13"/>
      <c r="AHD1034" s="13"/>
      <c r="AHE1034" s="13"/>
      <c r="AHF1034" s="13"/>
      <c r="AHG1034" s="13"/>
      <c r="AHH1034" s="13"/>
      <c r="AHI1034" s="13"/>
      <c r="AHJ1034" s="13"/>
      <c r="AHK1034" s="13"/>
      <c r="AHL1034" s="13"/>
      <c r="AHM1034" s="13"/>
      <c r="AHN1034" s="13"/>
      <c r="AHO1034" s="13"/>
      <c r="AHP1034" s="13"/>
      <c r="AHQ1034" s="13"/>
      <c r="AHR1034" s="13"/>
      <c r="AHS1034" s="13"/>
      <c r="AHT1034" s="13"/>
      <c r="AHU1034" s="13"/>
      <c r="AHV1034" s="13"/>
      <c r="AHW1034" s="13"/>
      <c r="AHX1034" s="13"/>
      <c r="AHY1034" s="13"/>
      <c r="AHZ1034" s="13"/>
      <c r="AIA1034" s="13"/>
      <c r="AIB1034" s="13"/>
      <c r="AIC1034" s="13"/>
      <c r="AID1034" s="13"/>
      <c r="AIE1034" s="13"/>
      <c r="AIF1034" s="13"/>
      <c r="AIG1034" s="13"/>
      <c r="AIH1034" s="13"/>
      <c r="AII1034" s="13"/>
      <c r="AIJ1034" s="13"/>
      <c r="AIK1034" s="13"/>
      <c r="AIL1034" s="13"/>
      <c r="AIM1034" s="13"/>
      <c r="AIN1034" s="13"/>
      <c r="AIO1034" s="13"/>
      <c r="AIP1034" s="13"/>
      <c r="AIQ1034" s="13"/>
      <c r="AIR1034" s="13"/>
      <c r="AIS1034" s="13"/>
      <c r="AIT1034" s="13"/>
      <c r="AIU1034" s="13"/>
      <c r="AIV1034" s="13"/>
      <c r="AIW1034" s="13"/>
      <c r="AIX1034" s="13"/>
      <c r="AIY1034" s="13"/>
      <c r="AIZ1034" s="13"/>
      <c r="AJA1034" s="13"/>
      <c r="AJB1034" s="13"/>
      <c r="AJC1034" s="13"/>
      <c r="AJD1034" s="13"/>
      <c r="AJE1034" s="13"/>
      <c r="AJF1034" s="13"/>
      <c r="AJG1034" s="13"/>
      <c r="AJH1034" s="13"/>
      <c r="AJI1034" s="13"/>
      <c r="AJJ1034" s="13"/>
      <c r="AJK1034" s="13"/>
      <c r="AJL1034" s="13"/>
      <c r="AJM1034" s="13"/>
      <c r="AJN1034" s="13"/>
      <c r="AJO1034" s="13"/>
      <c r="AJP1034" s="13"/>
      <c r="AJQ1034" s="13"/>
      <c r="AJR1034" s="13"/>
      <c r="AJS1034" s="13"/>
      <c r="AJT1034" s="13"/>
      <c r="AJU1034" s="13"/>
      <c r="AJV1034" s="13"/>
      <c r="AJW1034" s="13"/>
      <c r="AJX1034" s="13"/>
      <c r="AJY1034" s="13"/>
      <c r="AJZ1034" s="13"/>
      <c r="AKA1034" s="13"/>
      <c r="AKB1034" s="13"/>
      <c r="AKC1034" s="13"/>
      <c r="AKD1034" s="13"/>
      <c r="AKE1034" s="13"/>
      <c r="AKF1034" s="13"/>
      <c r="AKG1034" s="13"/>
      <c r="AKH1034" s="13"/>
      <c r="AKI1034" s="13"/>
      <c r="AKJ1034" s="13"/>
      <c r="AKK1034" s="13"/>
      <c r="AKL1034" s="13"/>
      <c r="AKM1034" s="13"/>
      <c r="AKN1034" s="13"/>
      <c r="AKO1034" s="13"/>
      <c r="AKP1034" s="13"/>
      <c r="AKQ1034" s="13"/>
      <c r="AKR1034" s="13"/>
      <c r="AKS1034" s="13"/>
      <c r="AKT1034" s="13"/>
      <c r="AKU1034" s="13"/>
      <c r="AKV1034" s="13"/>
      <c r="AKW1034" s="13"/>
      <c r="AKX1034" s="13"/>
      <c r="AKY1034" s="13"/>
      <c r="AKZ1034" s="13"/>
      <c r="ALA1034" s="13"/>
      <c r="ALB1034" s="13"/>
      <c r="ALC1034" s="13"/>
      <c r="ALD1034" s="13"/>
      <c r="ALE1034" s="13"/>
      <c r="ALF1034" s="13"/>
      <c r="ALG1034" s="13"/>
      <c r="ALH1034" s="13"/>
      <c r="ALI1034" s="13"/>
      <c r="ALJ1034" s="13"/>
      <c r="ALK1034" s="13"/>
      <c r="ALL1034" s="13"/>
      <c r="ALM1034" s="13"/>
      <c r="ALN1034" s="13"/>
      <c r="ALO1034" s="13"/>
      <c r="ALP1034" s="13"/>
      <c r="ALQ1034" s="13"/>
      <c r="ALR1034" s="13"/>
      <c r="ALS1034" s="13"/>
      <c r="ALT1034" s="13"/>
      <c r="ALU1034" s="13"/>
      <c r="ALV1034" s="13"/>
      <c r="ALW1034" s="13"/>
      <c r="ALX1034" s="13"/>
      <c r="ALY1034" s="13"/>
      <c r="ALZ1034" s="13"/>
      <c r="AMA1034" s="13"/>
      <c r="AMB1034" s="13"/>
      <c r="AMC1034" s="13"/>
      <c r="AMD1034" s="13"/>
      <c r="AME1034" s="13"/>
      <c r="AMF1034" s="13"/>
      <c r="AMG1034" s="13"/>
      <c r="AMH1034" s="13"/>
      <c r="AMI1034" s="13"/>
      <c r="AMJ1034" s="13"/>
      <c r="AMK1034" s="13"/>
      <c r="AML1034" s="13"/>
      <c r="AMM1034" s="13"/>
      <c r="AMN1034" s="13"/>
      <c r="AMO1034" s="13"/>
      <c r="AMP1034" s="13"/>
      <c r="AMQ1034" s="13"/>
      <c r="AMR1034" s="13"/>
      <c r="AMS1034" s="13"/>
      <c r="AMT1034" s="13"/>
      <c r="AMU1034" s="13"/>
      <c r="AMV1034" s="13"/>
      <c r="AMW1034" s="13"/>
      <c r="AMX1034" s="13"/>
      <c r="AMY1034" s="13"/>
      <c r="AMZ1034" s="13"/>
      <c r="ANA1034" s="13"/>
      <c r="ANB1034" s="13"/>
      <c r="ANC1034" s="13"/>
      <c r="AND1034" s="13"/>
      <c r="ANE1034" s="13"/>
      <c r="ANF1034" s="13"/>
      <c r="ANG1034" s="13"/>
      <c r="ANH1034" s="13"/>
      <c r="ANI1034" s="13"/>
      <c r="ANJ1034" s="13"/>
      <c r="ANK1034" s="13"/>
      <c r="ANL1034" s="13"/>
      <c r="ANM1034" s="13"/>
      <c r="ANN1034" s="13"/>
      <c r="ANO1034" s="13"/>
      <c r="ANP1034" s="13"/>
      <c r="ANQ1034" s="13"/>
      <c r="ANR1034" s="13"/>
      <c r="ANS1034" s="13"/>
      <c r="ANT1034" s="13"/>
      <c r="ANU1034" s="13"/>
      <c r="ANV1034" s="13"/>
      <c r="ANW1034" s="13"/>
      <c r="ANX1034" s="13"/>
      <c r="ANY1034" s="13"/>
      <c r="ANZ1034" s="13"/>
      <c r="AOA1034" s="13"/>
      <c r="AOB1034" s="13"/>
      <c r="AOC1034" s="13"/>
      <c r="AOD1034" s="13"/>
      <c r="AOE1034" s="13"/>
      <c r="AOF1034" s="13"/>
      <c r="AOG1034" s="13"/>
      <c r="AOH1034" s="13"/>
      <c r="AOI1034" s="13"/>
      <c r="AOJ1034" s="13"/>
      <c r="AOK1034" s="13"/>
      <c r="AOL1034" s="13"/>
      <c r="AOM1034" s="13"/>
      <c r="AON1034" s="13"/>
      <c r="AOO1034" s="13"/>
      <c r="AOP1034" s="13"/>
      <c r="AOQ1034" s="13"/>
      <c r="AOR1034" s="13"/>
      <c r="AOS1034" s="13"/>
      <c r="AOT1034" s="13"/>
      <c r="AOU1034" s="13"/>
      <c r="AOV1034" s="13"/>
      <c r="AOW1034" s="13"/>
      <c r="AOX1034" s="13"/>
      <c r="AOY1034" s="13"/>
      <c r="AOZ1034" s="13"/>
      <c r="APA1034" s="13"/>
      <c r="APB1034" s="13"/>
      <c r="APC1034" s="13"/>
      <c r="APD1034" s="13"/>
      <c r="APE1034" s="13"/>
      <c r="APF1034" s="13"/>
      <c r="APG1034" s="13"/>
      <c r="APH1034" s="13"/>
      <c r="API1034" s="13"/>
      <c r="APJ1034" s="13"/>
      <c r="APK1034" s="13"/>
      <c r="APL1034" s="13"/>
      <c r="APM1034" s="13"/>
      <c r="APN1034" s="13"/>
      <c r="APO1034" s="13"/>
      <c r="APP1034" s="13"/>
      <c r="APQ1034" s="13"/>
      <c r="APR1034" s="13"/>
      <c r="APS1034" s="13"/>
      <c r="APT1034" s="13"/>
      <c r="APU1034" s="13"/>
      <c r="APV1034" s="13"/>
      <c r="APW1034" s="13"/>
      <c r="APX1034" s="13"/>
      <c r="APY1034" s="13"/>
      <c r="APZ1034" s="13"/>
      <c r="AQA1034" s="13"/>
      <c r="AQB1034" s="13"/>
      <c r="AQC1034" s="13"/>
      <c r="AQD1034" s="13"/>
      <c r="AQE1034" s="13"/>
      <c r="AQF1034" s="13"/>
      <c r="AQG1034" s="13"/>
      <c r="AQH1034" s="13"/>
      <c r="AQI1034" s="13"/>
      <c r="AQJ1034" s="13"/>
      <c r="AQK1034" s="13"/>
      <c r="AQL1034" s="13"/>
      <c r="AQM1034" s="13"/>
      <c r="AQN1034" s="13"/>
      <c r="AQO1034" s="13"/>
      <c r="AQP1034" s="13"/>
      <c r="AQQ1034" s="13"/>
      <c r="AQR1034" s="13"/>
      <c r="AQS1034" s="13"/>
      <c r="AQT1034" s="13"/>
      <c r="AQU1034" s="13"/>
      <c r="AQV1034" s="13"/>
      <c r="AQW1034" s="13"/>
      <c r="AQX1034" s="13"/>
      <c r="AQY1034" s="13"/>
      <c r="AQZ1034" s="13"/>
      <c r="ARA1034" s="13"/>
      <c r="ARB1034" s="13"/>
      <c r="ARC1034" s="13"/>
      <c r="ARD1034" s="13"/>
      <c r="ARE1034" s="13"/>
      <c r="ARF1034" s="13"/>
      <c r="ARG1034" s="13"/>
      <c r="ARH1034" s="13"/>
      <c r="ARI1034" s="13"/>
      <c r="ARJ1034" s="13"/>
      <c r="ARK1034" s="13"/>
      <c r="ARL1034" s="13"/>
      <c r="ARM1034" s="13"/>
      <c r="ARN1034" s="13"/>
      <c r="ARO1034" s="13"/>
      <c r="ARP1034" s="13"/>
      <c r="ARQ1034" s="13"/>
      <c r="ARR1034" s="13"/>
      <c r="ARS1034" s="13"/>
      <c r="ART1034" s="13"/>
      <c r="ARU1034" s="13"/>
      <c r="ARV1034" s="13"/>
      <c r="ARW1034" s="13"/>
      <c r="ARX1034" s="13"/>
      <c r="ARY1034" s="13"/>
      <c r="ARZ1034" s="13"/>
      <c r="ASA1034" s="13"/>
      <c r="ASB1034" s="13"/>
      <c r="ASC1034" s="13"/>
      <c r="ASD1034" s="13"/>
      <c r="ASE1034" s="13"/>
      <c r="ASF1034" s="13"/>
      <c r="ASG1034" s="13"/>
      <c r="ASH1034" s="13"/>
      <c r="ASI1034" s="13"/>
      <c r="ASJ1034" s="13"/>
      <c r="ASK1034" s="13"/>
      <c r="ASL1034" s="13"/>
      <c r="ASM1034" s="13"/>
      <c r="ASN1034" s="13"/>
      <c r="ASO1034" s="13"/>
      <c r="ASP1034" s="13"/>
      <c r="ASQ1034" s="13"/>
      <c r="ASR1034" s="13"/>
      <c r="ASS1034" s="13"/>
      <c r="AST1034" s="13"/>
      <c r="ASU1034" s="13"/>
      <c r="ASV1034" s="13"/>
      <c r="ASW1034" s="13"/>
      <c r="ASX1034" s="13"/>
      <c r="ASY1034" s="13"/>
      <c r="ASZ1034" s="13"/>
      <c r="ATA1034" s="13"/>
      <c r="ATB1034" s="13"/>
      <c r="ATC1034" s="13"/>
      <c r="ATD1034" s="13"/>
      <c r="ATE1034" s="13"/>
      <c r="ATF1034" s="13"/>
      <c r="ATG1034" s="13"/>
      <c r="ATH1034" s="13"/>
      <c r="ATI1034" s="13"/>
      <c r="ATJ1034" s="13"/>
      <c r="ATK1034" s="13"/>
      <c r="ATL1034" s="13"/>
      <c r="ATM1034" s="13"/>
      <c r="ATN1034" s="13"/>
      <c r="ATO1034" s="13"/>
      <c r="ATP1034" s="13"/>
      <c r="ATQ1034" s="13"/>
      <c r="ATR1034" s="13"/>
      <c r="ATS1034" s="13"/>
      <c r="ATT1034" s="13"/>
      <c r="ATU1034" s="13"/>
      <c r="ATV1034" s="13"/>
      <c r="ATW1034" s="13"/>
      <c r="ATX1034" s="13"/>
      <c r="ATY1034" s="13"/>
      <c r="ATZ1034" s="13"/>
      <c r="AUA1034" s="13"/>
      <c r="AUB1034" s="13"/>
      <c r="AUC1034" s="13"/>
      <c r="AUD1034" s="13"/>
      <c r="AUE1034" s="13"/>
      <c r="AUF1034" s="13"/>
      <c r="AUG1034" s="13"/>
      <c r="AUH1034" s="13"/>
      <c r="AUI1034" s="13"/>
      <c r="AUJ1034" s="13"/>
      <c r="AUK1034" s="13"/>
      <c r="AUL1034" s="13"/>
      <c r="AUM1034" s="13"/>
      <c r="AUN1034" s="13"/>
      <c r="AUO1034" s="13"/>
      <c r="AUP1034" s="13"/>
      <c r="AUQ1034" s="13"/>
      <c r="AUR1034" s="13"/>
      <c r="AUS1034" s="13"/>
      <c r="AUT1034" s="13"/>
      <c r="AUU1034" s="13"/>
      <c r="AUV1034" s="13"/>
      <c r="AUW1034" s="13"/>
      <c r="AUX1034" s="13"/>
      <c r="AUY1034" s="13"/>
      <c r="AUZ1034" s="13"/>
      <c r="AVA1034" s="13"/>
      <c r="AVB1034" s="13"/>
      <c r="AVC1034" s="13"/>
      <c r="AVD1034" s="13"/>
      <c r="AVE1034" s="13"/>
      <c r="AVF1034" s="13"/>
      <c r="AVG1034" s="13"/>
      <c r="AVH1034" s="13"/>
      <c r="AVI1034" s="13"/>
      <c r="AVJ1034" s="13"/>
      <c r="AVK1034" s="13"/>
      <c r="AVL1034" s="13"/>
      <c r="AVM1034" s="13"/>
      <c r="AVN1034" s="13"/>
      <c r="AVO1034" s="13"/>
      <c r="AVP1034" s="13"/>
      <c r="AVQ1034" s="13"/>
      <c r="AVR1034" s="13"/>
      <c r="AVS1034" s="13"/>
      <c r="AVT1034" s="13"/>
      <c r="AVU1034" s="13"/>
      <c r="AVV1034" s="13"/>
      <c r="AVW1034" s="13"/>
      <c r="AVX1034" s="13"/>
      <c r="AVY1034" s="13"/>
      <c r="AVZ1034" s="13"/>
      <c r="AWA1034" s="13"/>
      <c r="AWB1034" s="13"/>
      <c r="AWC1034" s="13"/>
      <c r="AWD1034" s="13"/>
      <c r="AWE1034" s="13"/>
      <c r="AWF1034" s="13"/>
      <c r="AWG1034" s="13"/>
      <c r="AWH1034" s="13"/>
      <c r="AWI1034" s="13"/>
      <c r="AWJ1034" s="13"/>
      <c r="AWK1034" s="13"/>
      <c r="AWL1034" s="13"/>
      <c r="AWM1034" s="13"/>
      <c r="AWN1034" s="13"/>
      <c r="AWO1034" s="13"/>
      <c r="AWP1034" s="13"/>
      <c r="AWQ1034" s="13"/>
      <c r="AWR1034" s="13"/>
      <c r="AWS1034" s="13"/>
      <c r="AWT1034" s="13"/>
      <c r="AWU1034" s="13"/>
      <c r="AWV1034" s="13"/>
      <c r="AWW1034" s="13"/>
      <c r="AWX1034" s="13"/>
      <c r="AWY1034" s="13"/>
      <c r="AWZ1034" s="13"/>
      <c r="AXA1034" s="13"/>
      <c r="AXB1034" s="13"/>
      <c r="AXC1034" s="13"/>
      <c r="AXD1034" s="13"/>
      <c r="AXE1034" s="13"/>
      <c r="AXF1034" s="13"/>
      <c r="AXG1034" s="13"/>
      <c r="AXH1034" s="13"/>
      <c r="AXI1034" s="13"/>
      <c r="AXJ1034" s="13"/>
      <c r="AXK1034" s="13"/>
      <c r="AXL1034" s="13"/>
      <c r="AXM1034" s="13"/>
      <c r="AXN1034" s="13"/>
      <c r="AXO1034" s="13"/>
      <c r="AXP1034" s="13"/>
      <c r="AXQ1034" s="13"/>
      <c r="AXR1034" s="13"/>
      <c r="AXS1034" s="13"/>
      <c r="AXT1034" s="13"/>
      <c r="AXU1034" s="13"/>
      <c r="AXV1034" s="13"/>
      <c r="AXW1034" s="13"/>
      <c r="AXX1034" s="13"/>
      <c r="AXY1034" s="13"/>
      <c r="AXZ1034" s="13"/>
      <c r="AYA1034" s="13"/>
      <c r="AYB1034" s="13"/>
      <c r="AYC1034" s="13"/>
      <c r="AYD1034" s="13"/>
      <c r="AYE1034" s="13"/>
      <c r="AYF1034" s="13"/>
      <c r="AYG1034" s="13"/>
      <c r="AYH1034" s="13"/>
      <c r="AYI1034" s="13"/>
      <c r="AYJ1034" s="13"/>
      <c r="AYK1034" s="13"/>
      <c r="AYL1034" s="13"/>
      <c r="AYM1034" s="13"/>
      <c r="AYN1034" s="13"/>
      <c r="AYO1034" s="13"/>
      <c r="AYP1034" s="13"/>
      <c r="AYQ1034" s="13"/>
      <c r="AYR1034" s="13"/>
      <c r="AYS1034" s="13"/>
      <c r="AYT1034" s="13"/>
      <c r="AYU1034" s="13"/>
      <c r="AYV1034" s="13"/>
      <c r="AYW1034" s="13"/>
      <c r="AYX1034" s="13"/>
      <c r="AYY1034" s="13"/>
      <c r="AYZ1034" s="13"/>
      <c r="AZA1034" s="13"/>
      <c r="AZB1034" s="13"/>
      <c r="AZC1034" s="13"/>
      <c r="AZD1034" s="13"/>
      <c r="AZE1034" s="13"/>
      <c r="AZF1034" s="13"/>
      <c r="AZG1034" s="13"/>
      <c r="AZH1034" s="13"/>
      <c r="AZI1034" s="13"/>
      <c r="AZJ1034" s="13"/>
      <c r="AZK1034" s="13"/>
      <c r="AZL1034" s="13"/>
      <c r="AZM1034" s="13"/>
      <c r="AZN1034" s="13"/>
      <c r="AZO1034" s="13"/>
      <c r="AZP1034" s="13"/>
      <c r="AZQ1034" s="13"/>
      <c r="AZR1034" s="13"/>
      <c r="AZS1034" s="13"/>
      <c r="AZT1034" s="13"/>
      <c r="AZU1034" s="13"/>
      <c r="AZV1034" s="13"/>
      <c r="AZW1034" s="13"/>
      <c r="AZX1034" s="13"/>
      <c r="AZY1034" s="13"/>
      <c r="AZZ1034" s="13"/>
      <c r="BAA1034" s="13"/>
      <c r="BAB1034" s="13"/>
      <c r="BAC1034" s="13"/>
      <c r="BAD1034" s="13"/>
      <c r="BAE1034" s="13"/>
      <c r="BAF1034" s="13"/>
      <c r="BAG1034" s="13"/>
      <c r="BAH1034" s="13"/>
      <c r="BAI1034" s="13"/>
      <c r="BAJ1034" s="13"/>
      <c r="BAK1034" s="13"/>
      <c r="BAL1034" s="13"/>
      <c r="BAM1034" s="13"/>
      <c r="BAN1034" s="13"/>
      <c r="BAO1034" s="13"/>
      <c r="BAP1034" s="13"/>
      <c r="BAQ1034" s="13"/>
      <c r="BAR1034" s="13"/>
      <c r="BAS1034" s="13"/>
      <c r="BAT1034" s="13"/>
      <c r="BAU1034" s="13"/>
      <c r="BAV1034" s="13"/>
      <c r="BAW1034" s="13"/>
      <c r="BAX1034" s="13"/>
      <c r="BAY1034" s="13"/>
      <c r="BAZ1034" s="13"/>
      <c r="BBA1034" s="13"/>
      <c r="BBB1034" s="13"/>
      <c r="BBC1034" s="13"/>
      <c r="BBD1034" s="13"/>
      <c r="BBE1034" s="13"/>
      <c r="BBF1034" s="13"/>
      <c r="BBG1034" s="13"/>
      <c r="BBH1034" s="13"/>
      <c r="BBI1034" s="13"/>
      <c r="BBJ1034" s="13"/>
      <c r="BBK1034" s="13"/>
      <c r="BBL1034" s="13"/>
      <c r="BBM1034" s="13"/>
      <c r="BBN1034" s="13"/>
      <c r="BBO1034" s="13"/>
      <c r="BBP1034" s="13"/>
      <c r="BBQ1034" s="13"/>
      <c r="BBR1034" s="13"/>
      <c r="BBS1034" s="13"/>
      <c r="BBT1034" s="13"/>
      <c r="BBU1034" s="13"/>
      <c r="BBV1034" s="13"/>
      <c r="BBW1034" s="13"/>
      <c r="BBX1034" s="13"/>
      <c r="BBY1034" s="13"/>
      <c r="BBZ1034" s="13"/>
      <c r="BCA1034" s="13"/>
      <c r="BCB1034" s="13"/>
      <c r="BCC1034" s="13"/>
      <c r="BCD1034" s="13"/>
      <c r="BCE1034" s="13"/>
      <c r="BCF1034" s="13"/>
      <c r="BCG1034" s="13"/>
      <c r="BCH1034" s="13"/>
      <c r="BCI1034" s="13"/>
      <c r="BCJ1034" s="13"/>
      <c r="BCK1034" s="13"/>
      <c r="BCL1034" s="13"/>
      <c r="BCM1034" s="13"/>
      <c r="BCN1034" s="13"/>
      <c r="BCO1034" s="13"/>
      <c r="BCP1034" s="13"/>
      <c r="BCQ1034" s="13"/>
      <c r="BCR1034" s="13"/>
      <c r="BCS1034" s="13"/>
      <c r="BCT1034" s="13"/>
      <c r="BCU1034" s="13"/>
      <c r="BCV1034" s="13"/>
      <c r="BCW1034" s="13"/>
      <c r="BCX1034" s="13"/>
      <c r="BCY1034" s="13"/>
      <c r="BCZ1034" s="13"/>
      <c r="BDA1034" s="13"/>
      <c r="BDB1034" s="13"/>
      <c r="BDC1034" s="13"/>
      <c r="BDD1034" s="13"/>
      <c r="BDE1034" s="13"/>
      <c r="BDF1034" s="13"/>
      <c r="BDG1034" s="13"/>
      <c r="BDH1034" s="13"/>
      <c r="BDI1034" s="13"/>
      <c r="BDJ1034" s="13"/>
      <c r="BDK1034" s="13"/>
      <c r="BDL1034" s="13"/>
      <c r="BDM1034" s="13"/>
      <c r="BDN1034" s="13"/>
      <c r="BDO1034" s="13"/>
      <c r="BDP1034" s="13"/>
      <c r="BDQ1034" s="13"/>
      <c r="BDR1034" s="13"/>
      <c r="BDS1034" s="13"/>
      <c r="BDT1034" s="13"/>
      <c r="BDU1034" s="13"/>
      <c r="BDV1034" s="13"/>
      <c r="BDW1034" s="13"/>
      <c r="BDX1034" s="13"/>
      <c r="BDY1034" s="13"/>
      <c r="BDZ1034" s="13"/>
      <c r="BEA1034" s="13"/>
      <c r="BEB1034" s="13"/>
      <c r="BEC1034" s="13"/>
      <c r="BED1034" s="13"/>
      <c r="BEE1034" s="13"/>
      <c r="BEF1034" s="13"/>
      <c r="BEG1034" s="13"/>
      <c r="BEH1034" s="13"/>
      <c r="BEI1034" s="13"/>
      <c r="BEJ1034" s="13"/>
      <c r="BEK1034" s="13"/>
      <c r="BEL1034" s="13"/>
      <c r="BEM1034" s="13"/>
      <c r="BEN1034" s="13"/>
      <c r="BEO1034" s="13"/>
      <c r="BEP1034" s="13"/>
      <c r="BEQ1034" s="13"/>
      <c r="BER1034" s="13"/>
      <c r="BES1034" s="13"/>
      <c r="BET1034" s="13"/>
      <c r="BEU1034" s="13"/>
      <c r="BEV1034" s="13"/>
      <c r="BEW1034" s="13"/>
      <c r="BEX1034" s="13"/>
      <c r="BEY1034" s="13"/>
      <c r="BEZ1034" s="13"/>
      <c r="BFA1034" s="13"/>
      <c r="BFB1034" s="13"/>
      <c r="BFC1034" s="13"/>
      <c r="BFD1034" s="13"/>
      <c r="BFE1034" s="13"/>
      <c r="BFF1034" s="13"/>
      <c r="BFG1034" s="13"/>
      <c r="BFH1034" s="13"/>
      <c r="BFI1034" s="13"/>
      <c r="BFJ1034" s="13"/>
      <c r="BFK1034" s="13"/>
      <c r="BFL1034" s="13"/>
      <c r="BFM1034" s="13"/>
      <c r="BFN1034" s="13"/>
      <c r="BFO1034" s="13"/>
      <c r="BFP1034" s="13"/>
      <c r="BFQ1034" s="13"/>
      <c r="BFR1034" s="13"/>
      <c r="BFS1034" s="13"/>
      <c r="BFT1034" s="13"/>
      <c r="BFU1034" s="13"/>
      <c r="BFV1034" s="13"/>
      <c r="BFW1034" s="13"/>
      <c r="BFX1034" s="13"/>
      <c r="BFY1034" s="13"/>
      <c r="BFZ1034" s="13"/>
      <c r="BGA1034" s="13"/>
      <c r="BGB1034" s="13"/>
      <c r="BGC1034" s="13"/>
      <c r="BGD1034" s="13"/>
      <c r="BGE1034" s="13"/>
      <c r="BGF1034" s="13"/>
      <c r="BGG1034" s="13"/>
      <c r="BGH1034" s="13"/>
      <c r="BGI1034" s="13"/>
      <c r="BGJ1034" s="13"/>
      <c r="BGK1034" s="13"/>
      <c r="BGL1034" s="13"/>
      <c r="BGM1034" s="13"/>
      <c r="BGN1034" s="13"/>
      <c r="BGO1034" s="13"/>
      <c r="BGP1034" s="13"/>
      <c r="BGQ1034" s="13"/>
      <c r="BGR1034" s="13"/>
      <c r="BGS1034" s="13"/>
      <c r="BGT1034" s="13"/>
      <c r="BGU1034" s="13"/>
      <c r="BGV1034" s="13"/>
      <c r="BGW1034" s="13"/>
      <c r="BGX1034" s="13"/>
      <c r="BGY1034" s="13"/>
      <c r="BGZ1034" s="13"/>
      <c r="BHA1034" s="13"/>
      <c r="BHB1034" s="13"/>
      <c r="BHC1034" s="13"/>
      <c r="BHD1034" s="13"/>
      <c r="BHE1034" s="13"/>
      <c r="BHF1034" s="13"/>
      <c r="BHG1034" s="13"/>
      <c r="BHH1034" s="13"/>
      <c r="BHI1034" s="13"/>
      <c r="BHJ1034" s="13"/>
      <c r="BHK1034" s="13"/>
      <c r="BHL1034" s="13"/>
      <c r="BHM1034" s="13"/>
      <c r="BHN1034" s="13"/>
      <c r="BHO1034" s="13"/>
      <c r="BHP1034" s="13"/>
      <c r="BHQ1034" s="13"/>
      <c r="BHR1034" s="13"/>
      <c r="BHS1034" s="13"/>
      <c r="BHT1034" s="13"/>
      <c r="BHU1034" s="13"/>
      <c r="BHV1034" s="13"/>
      <c r="BHW1034" s="13"/>
      <c r="BHX1034" s="13"/>
      <c r="BHY1034" s="13"/>
      <c r="BHZ1034" s="13"/>
      <c r="BIA1034" s="13"/>
      <c r="BIB1034" s="13"/>
      <c r="BIC1034" s="13"/>
      <c r="BID1034" s="13"/>
      <c r="BIE1034" s="13"/>
      <c r="BIF1034" s="13"/>
      <c r="BIG1034" s="13"/>
      <c r="BIH1034" s="13"/>
      <c r="BII1034" s="13"/>
      <c r="BIJ1034" s="13"/>
      <c r="BIK1034" s="13"/>
      <c r="BIL1034" s="13"/>
      <c r="BIM1034" s="13"/>
      <c r="BIN1034" s="13"/>
      <c r="BIO1034" s="13"/>
      <c r="BIP1034" s="13"/>
      <c r="BIQ1034" s="13"/>
      <c r="BIR1034" s="13"/>
      <c r="BIS1034" s="13"/>
      <c r="BIT1034" s="13"/>
      <c r="BIU1034" s="13"/>
      <c r="BIV1034" s="13"/>
      <c r="BIW1034" s="13"/>
      <c r="BIX1034" s="13"/>
      <c r="BIY1034" s="13"/>
      <c r="BIZ1034" s="13"/>
      <c r="BJA1034" s="13"/>
      <c r="BJB1034" s="13"/>
      <c r="BJC1034" s="13"/>
      <c r="BJD1034" s="13"/>
      <c r="BJE1034" s="13"/>
      <c r="BJF1034" s="13"/>
      <c r="BJG1034" s="13"/>
      <c r="BJH1034" s="13"/>
      <c r="BJI1034" s="13"/>
      <c r="BJJ1034" s="13"/>
      <c r="BJK1034" s="13"/>
      <c r="BJL1034" s="13"/>
      <c r="BJM1034" s="13"/>
      <c r="BJN1034" s="13"/>
      <c r="BJO1034" s="13"/>
      <c r="BJP1034" s="13"/>
      <c r="BJQ1034" s="13"/>
      <c r="BJR1034" s="13"/>
      <c r="BJS1034" s="13"/>
      <c r="BJT1034" s="13"/>
      <c r="BJU1034" s="13"/>
      <c r="BJV1034" s="13"/>
      <c r="BJW1034" s="13"/>
      <c r="BJX1034" s="13"/>
      <c r="BJY1034" s="13"/>
      <c r="BJZ1034" s="13"/>
      <c r="BKA1034" s="13"/>
      <c r="BKB1034" s="13"/>
      <c r="BKC1034" s="13"/>
      <c r="BKD1034" s="13"/>
      <c r="BKE1034" s="13"/>
      <c r="BKF1034" s="13"/>
      <c r="BKG1034" s="13"/>
      <c r="BKH1034" s="13"/>
      <c r="BKI1034" s="13"/>
      <c r="BKJ1034" s="13"/>
      <c r="BKK1034" s="13"/>
      <c r="BKL1034" s="13"/>
      <c r="BKM1034" s="13"/>
      <c r="BKN1034" s="13"/>
      <c r="BKO1034" s="13"/>
      <c r="BKP1034" s="13"/>
      <c r="BKQ1034" s="13"/>
      <c r="BKR1034" s="13"/>
      <c r="BKS1034" s="13"/>
      <c r="BKT1034" s="13"/>
      <c r="BKU1034" s="13"/>
      <c r="BKV1034" s="13"/>
      <c r="BKW1034" s="13"/>
      <c r="BKX1034" s="13"/>
      <c r="BKY1034" s="13"/>
      <c r="BKZ1034" s="13"/>
      <c r="BLA1034" s="13"/>
      <c r="BLB1034" s="13"/>
      <c r="BLC1034" s="13"/>
      <c r="BLD1034" s="13"/>
      <c r="BLE1034" s="13"/>
      <c r="BLF1034" s="13"/>
      <c r="BLG1034" s="13"/>
      <c r="BLH1034" s="13"/>
      <c r="BLI1034" s="13"/>
      <c r="BLJ1034" s="13"/>
      <c r="BLK1034" s="13"/>
      <c r="BLL1034" s="13"/>
      <c r="BLM1034" s="13"/>
      <c r="BLN1034" s="13"/>
      <c r="BLO1034" s="13"/>
      <c r="BLP1034" s="13"/>
      <c r="BLQ1034" s="13"/>
      <c r="BLR1034" s="13"/>
      <c r="BLS1034" s="13"/>
      <c r="BLT1034" s="13"/>
      <c r="BLU1034" s="13"/>
      <c r="BLV1034" s="13"/>
      <c r="BLW1034" s="13"/>
      <c r="BLX1034" s="13"/>
      <c r="BLY1034" s="13"/>
      <c r="BLZ1034" s="13"/>
      <c r="BMA1034" s="13"/>
      <c r="BMB1034" s="13"/>
      <c r="BMC1034" s="13"/>
      <c r="BMD1034" s="13"/>
      <c r="BME1034" s="13"/>
      <c r="BMF1034" s="13"/>
      <c r="BMG1034" s="13"/>
      <c r="BMH1034" s="13"/>
      <c r="BMI1034" s="13"/>
      <c r="BMJ1034" s="13"/>
      <c r="BMK1034" s="13"/>
      <c r="BML1034" s="13"/>
      <c r="BMM1034" s="13"/>
      <c r="BMN1034" s="13"/>
      <c r="BMO1034" s="13"/>
      <c r="BMP1034" s="13"/>
      <c r="BMQ1034" s="13"/>
      <c r="BMR1034" s="13"/>
      <c r="BMS1034" s="13"/>
      <c r="BMT1034" s="13"/>
      <c r="BMU1034" s="13"/>
      <c r="BMV1034" s="13"/>
      <c r="BMW1034" s="13"/>
      <c r="BMX1034" s="13"/>
      <c r="BMY1034" s="13"/>
      <c r="BMZ1034" s="13"/>
      <c r="BNA1034" s="13"/>
      <c r="BNB1034" s="13"/>
      <c r="BNC1034" s="13"/>
      <c r="BND1034" s="13"/>
      <c r="BNE1034" s="13"/>
      <c r="BNF1034" s="13"/>
      <c r="BNG1034" s="13"/>
      <c r="BNH1034" s="13"/>
      <c r="BNI1034" s="13"/>
      <c r="BNJ1034" s="13"/>
      <c r="BNK1034" s="13"/>
      <c r="BNL1034" s="13"/>
      <c r="BNM1034" s="13"/>
      <c r="BNN1034" s="13"/>
      <c r="BNO1034" s="13"/>
      <c r="BNP1034" s="13"/>
      <c r="BNQ1034" s="13"/>
      <c r="BNR1034" s="13"/>
      <c r="BNS1034" s="13"/>
      <c r="BNT1034" s="13"/>
      <c r="BNU1034" s="13"/>
      <c r="BNV1034" s="13"/>
      <c r="BNW1034" s="13"/>
      <c r="BNX1034" s="13"/>
      <c r="BNY1034" s="13"/>
      <c r="BNZ1034" s="13"/>
      <c r="BOA1034" s="13"/>
      <c r="BOB1034" s="13"/>
      <c r="BOC1034" s="13"/>
      <c r="BOD1034" s="13"/>
      <c r="BOE1034" s="13"/>
      <c r="BOF1034" s="13"/>
      <c r="BOG1034" s="13"/>
      <c r="BOH1034" s="13"/>
      <c r="BOI1034" s="13"/>
      <c r="BOJ1034" s="13"/>
      <c r="BOK1034" s="13"/>
      <c r="BOL1034" s="13"/>
      <c r="BOM1034" s="13"/>
      <c r="BON1034" s="13"/>
      <c r="BOO1034" s="13"/>
      <c r="BOP1034" s="13"/>
      <c r="BOQ1034" s="13"/>
      <c r="BOR1034" s="13"/>
      <c r="BOS1034" s="13"/>
      <c r="BOT1034" s="13"/>
      <c r="BOU1034" s="13"/>
      <c r="BOV1034" s="13"/>
      <c r="BOW1034" s="13"/>
      <c r="BOX1034" s="13"/>
      <c r="BOY1034" s="13"/>
      <c r="BOZ1034" s="13"/>
      <c r="BPA1034" s="13"/>
      <c r="BPB1034" s="13"/>
      <c r="BPC1034" s="13"/>
      <c r="BPD1034" s="13"/>
      <c r="BPE1034" s="13"/>
      <c r="BPF1034" s="13"/>
      <c r="BPG1034" s="13"/>
      <c r="BPH1034" s="13"/>
      <c r="BPI1034" s="13"/>
      <c r="BPJ1034" s="13"/>
      <c r="BPK1034" s="13"/>
      <c r="BPL1034" s="13"/>
      <c r="BPM1034" s="13"/>
      <c r="BPN1034" s="13"/>
      <c r="BPO1034" s="13"/>
      <c r="BPP1034" s="13"/>
      <c r="BPQ1034" s="13"/>
      <c r="BPR1034" s="13"/>
      <c r="BPS1034" s="13"/>
      <c r="BPT1034" s="13"/>
      <c r="BPU1034" s="13"/>
      <c r="BPV1034" s="13"/>
      <c r="BPW1034" s="13"/>
      <c r="BPX1034" s="13"/>
      <c r="BPY1034" s="13"/>
      <c r="BPZ1034" s="13"/>
      <c r="BQA1034" s="13"/>
      <c r="BQB1034" s="13"/>
      <c r="BQC1034" s="13"/>
      <c r="BQD1034" s="13"/>
      <c r="BQE1034" s="13"/>
      <c r="BQF1034" s="13"/>
      <c r="BQG1034" s="13"/>
      <c r="BQH1034" s="13"/>
      <c r="BQI1034" s="13"/>
      <c r="BQJ1034" s="13"/>
      <c r="BQK1034" s="13"/>
      <c r="BQL1034" s="13"/>
      <c r="BQM1034" s="13"/>
      <c r="BQN1034" s="13"/>
      <c r="BQO1034" s="13"/>
      <c r="BQP1034" s="13"/>
      <c r="BQQ1034" s="13"/>
      <c r="BQR1034" s="13"/>
      <c r="BQS1034" s="13"/>
      <c r="BQT1034" s="13"/>
      <c r="BQU1034" s="13"/>
      <c r="BQV1034" s="13"/>
      <c r="BQW1034" s="13"/>
      <c r="BQX1034" s="13"/>
      <c r="BQY1034" s="13"/>
      <c r="BQZ1034" s="13"/>
      <c r="BRA1034" s="13"/>
      <c r="BRB1034" s="13"/>
      <c r="BRC1034" s="13"/>
      <c r="BRD1034" s="13"/>
      <c r="BRE1034" s="13"/>
      <c r="BRF1034" s="13"/>
      <c r="BRG1034" s="13"/>
      <c r="BRH1034" s="13"/>
      <c r="BRI1034" s="13"/>
      <c r="BRJ1034" s="13"/>
      <c r="BRK1034" s="13"/>
      <c r="BRL1034" s="13"/>
      <c r="BRM1034" s="13"/>
      <c r="BRN1034" s="13"/>
      <c r="BRO1034" s="13"/>
      <c r="BRP1034" s="13"/>
      <c r="BRQ1034" s="13"/>
      <c r="BRR1034" s="13"/>
      <c r="BRS1034" s="13"/>
      <c r="BRT1034" s="13"/>
      <c r="BRU1034" s="13"/>
      <c r="BRV1034" s="13"/>
      <c r="BRW1034" s="13"/>
      <c r="BRX1034" s="13"/>
      <c r="BRY1034" s="13"/>
      <c r="BRZ1034" s="13"/>
      <c r="BSA1034" s="13"/>
      <c r="BSB1034" s="13"/>
      <c r="BSC1034" s="13"/>
      <c r="BSD1034" s="13"/>
      <c r="BSE1034" s="13"/>
      <c r="BSF1034" s="13"/>
      <c r="BSG1034" s="13"/>
      <c r="BSH1034" s="13"/>
      <c r="BSI1034" s="13"/>
      <c r="BSJ1034" s="13"/>
      <c r="BSK1034" s="13"/>
      <c r="BSL1034" s="13"/>
      <c r="BSM1034" s="13"/>
      <c r="BSN1034" s="13"/>
      <c r="BSO1034" s="13"/>
      <c r="BSP1034" s="13"/>
      <c r="BSQ1034" s="13"/>
      <c r="BSR1034" s="13"/>
      <c r="BSS1034" s="13"/>
      <c r="BST1034" s="13"/>
      <c r="BSU1034" s="13"/>
      <c r="BSV1034" s="13"/>
      <c r="BSW1034" s="13"/>
      <c r="BSX1034" s="13"/>
      <c r="BSY1034" s="13"/>
      <c r="BSZ1034" s="13"/>
      <c r="BTA1034" s="13"/>
    </row>
    <row r="1035" spans="1:1873" s="23" customFormat="1" x14ac:dyDescent="0.2">
      <c r="A1035" s="273"/>
      <c r="B1035" s="273"/>
      <c r="C1035" s="273"/>
      <c r="D1035" s="273"/>
      <c r="E1035" s="462"/>
      <c r="F1035" s="462"/>
      <c r="G1035" s="273"/>
      <c r="H1035" s="273"/>
      <c r="I1035" s="273"/>
      <c r="J1035" s="273"/>
      <c r="K1035" s="273"/>
      <c r="L1035" s="273"/>
      <c r="M1035" s="471"/>
      <c r="N1035" s="273"/>
      <c r="O1035" s="29"/>
      <c r="P1035" s="414"/>
      <c r="Q1035" s="273"/>
      <c r="R1035" s="471"/>
      <c r="S1035" s="273"/>
      <c r="T1035" s="471"/>
      <c r="U1035" s="273"/>
      <c r="V1035" s="273"/>
      <c r="W1035" s="471"/>
      <c r="X1035" s="273"/>
      <c r="Y1035" s="273"/>
      <c r="Z1035" s="461"/>
      <c r="AA1035" s="580"/>
      <c r="AB1035" s="471"/>
      <c r="AC1035" s="273"/>
      <c r="AD1035" s="273"/>
      <c r="AE1035" s="273"/>
      <c r="AF1035" s="273"/>
      <c r="AG1035" s="273"/>
      <c r="AH1035" s="273"/>
      <c r="AI1035" s="273"/>
      <c r="AJ1035" s="273"/>
      <c r="AK1035" s="273"/>
      <c r="AL1035" s="273"/>
      <c r="AM1035" s="273"/>
      <c r="AN1035" s="273"/>
      <c r="AO1035" s="273"/>
      <c r="AP1035" s="273"/>
      <c r="AQ1035" s="273"/>
      <c r="AR1035" s="273"/>
      <c r="AS1035" s="273"/>
      <c r="AT1035" s="273"/>
      <c r="AU1035" s="273"/>
      <c r="AV1035" s="273"/>
      <c r="AW1035" s="273"/>
      <c r="AX1035" s="273"/>
      <c r="AY1035" s="273"/>
      <c r="AZ1035" s="273"/>
      <c r="BA1035" s="273"/>
      <c r="BB1035" s="273"/>
      <c r="BC1035" s="273"/>
      <c r="BD1035" s="273"/>
      <c r="BE1035" s="273"/>
      <c r="BF1035" s="273"/>
      <c r="BG1035" s="273"/>
      <c r="BH1035" s="273"/>
      <c r="BI1035" s="273"/>
      <c r="BJ1035" s="273"/>
      <c r="BK1035" s="273"/>
      <c r="BL1035" s="273"/>
      <c r="BM1035" s="273"/>
      <c r="BN1035" s="273"/>
      <c r="BO1035" s="273"/>
      <c r="BP1035" s="273"/>
      <c r="BQ1035" s="273"/>
      <c r="BR1035" s="273"/>
      <c r="BS1035" s="468"/>
      <c r="BT1035" s="273"/>
      <c r="BU1035" s="273"/>
      <c r="BV1035" s="273"/>
      <c r="BW1035" s="273"/>
      <c r="BX1035" s="273"/>
      <c r="BY1035" s="273"/>
      <c r="BZ1035" s="273"/>
      <c r="CA1035" s="472"/>
      <c r="CB1035" s="473"/>
      <c r="CC1035" s="462"/>
      <c r="CD1035" s="273"/>
      <c r="CE1035" s="342" t="s">
        <v>1576</v>
      </c>
      <c r="CF1035" s="342" t="s">
        <v>1575</v>
      </c>
      <c r="CG1035" s="89"/>
    </row>
    <row r="1036" spans="1:1873" s="23" customFormat="1" ht="15.75" x14ac:dyDescent="0.3">
      <c r="A1036" s="273" t="s">
        <v>756</v>
      </c>
      <c r="B1036" s="273" t="s">
        <v>1169</v>
      </c>
      <c r="C1036" s="273" t="s">
        <v>1089</v>
      </c>
      <c r="D1036" s="273" t="s">
        <v>619</v>
      </c>
      <c r="E1036" s="462" t="s">
        <v>1527</v>
      </c>
      <c r="F1036" s="462">
        <v>1</v>
      </c>
      <c r="G1036" s="273">
        <v>1</v>
      </c>
      <c r="H1036" s="273">
        <v>1</v>
      </c>
      <c r="I1036" s="273" t="s">
        <v>320</v>
      </c>
      <c r="J1036" s="273">
        <v>1979</v>
      </c>
      <c r="K1036" s="273" t="s">
        <v>856</v>
      </c>
      <c r="L1036" s="273">
        <v>1980</v>
      </c>
      <c r="M1036" s="471">
        <v>-9999</v>
      </c>
      <c r="N1036" s="273">
        <v>-9999</v>
      </c>
      <c r="O1036" s="29"/>
      <c r="P1036" s="414">
        <f>+T1036*G1036</f>
        <v>0.5</v>
      </c>
      <c r="Q1036" s="273">
        <v>-9999</v>
      </c>
      <c r="R1036" s="471"/>
      <c r="S1036" s="273"/>
      <c r="T1036" s="471">
        <v>0.5</v>
      </c>
      <c r="U1036" s="385">
        <f>+P1036</f>
        <v>0.5</v>
      </c>
      <c r="V1036" s="273"/>
      <c r="W1036" s="581">
        <f>+P1036</f>
        <v>0.5</v>
      </c>
      <c r="X1036" s="273">
        <v>-9999</v>
      </c>
      <c r="Y1036" s="273"/>
      <c r="Z1036" s="461" t="s">
        <v>67</v>
      </c>
      <c r="AA1036" s="580">
        <v>6944</v>
      </c>
      <c r="AB1036" s="471">
        <v>0.57799999999999996</v>
      </c>
      <c r="AC1036" s="273">
        <v>-9999</v>
      </c>
      <c r="AD1036" s="273">
        <v>-9999</v>
      </c>
      <c r="AE1036" s="273" t="s">
        <v>1095</v>
      </c>
      <c r="AF1036" s="273">
        <v>5</v>
      </c>
      <c r="AG1036" s="273" t="s">
        <v>1087</v>
      </c>
      <c r="AH1036" s="273" t="s">
        <v>567</v>
      </c>
      <c r="AI1036" s="273" t="s">
        <v>1103</v>
      </c>
      <c r="AJ1036" s="273" t="s">
        <v>1100</v>
      </c>
      <c r="AK1036" s="273" t="s">
        <v>626</v>
      </c>
      <c r="AL1036" s="273" t="s">
        <v>1099</v>
      </c>
      <c r="AM1036" s="273"/>
      <c r="AN1036" s="273" t="s">
        <v>626</v>
      </c>
      <c r="AO1036" s="273" t="s">
        <v>1093</v>
      </c>
      <c r="AP1036" s="273" t="s">
        <v>577</v>
      </c>
      <c r="AQ1036" s="273" t="s">
        <v>777</v>
      </c>
      <c r="AR1036" s="273">
        <v>0</v>
      </c>
      <c r="AS1036" s="273" t="s">
        <v>1201</v>
      </c>
      <c r="AT1036" s="273" t="s">
        <v>738</v>
      </c>
      <c r="AU1036" s="273">
        <v>0</v>
      </c>
      <c r="AV1036" s="273">
        <v>-9999</v>
      </c>
      <c r="AW1036" s="273">
        <v>-9999</v>
      </c>
      <c r="AX1036" s="273">
        <v>0</v>
      </c>
      <c r="AY1036" s="273">
        <v>-9999</v>
      </c>
      <c r="AZ1036" s="273">
        <v>-9999</v>
      </c>
      <c r="BA1036" s="273" t="s">
        <v>1102</v>
      </c>
      <c r="BB1036" s="273" t="s">
        <v>631</v>
      </c>
      <c r="BC1036" s="273">
        <v>-9999</v>
      </c>
      <c r="BD1036" s="273">
        <v>-9999</v>
      </c>
      <c r="BE1036" s="273">
        <v>-9999</v>
      </c>
      <c r="BF1036" s="273">
        <v>-9999</v>
      </c>
      <c r="BG1036" s="273">
        <v>-9999</v>
      </c>
      <c r="BH1036" s="273">
        <v>-9999</v>
      </c>
      <c r="BI1036" s="273">
        <v>-9999</v>
      </c>
      <c r="BJ1036" s="273">
        <v>-9999</v>
      </c>
      <c r="BK1036" s="273">
        <v>-9999</v>
      </c>
      <c r="BL1036" s="273">
        <v>-9999</v>
      </c>
      <c r="BM1036" s="273">
        <v>-9999</v>
      </c>
      <c r="BN1036" s="273">
        <v>-9999</v>
      </c>
      <c r="BO1036" s="273">
        <v>-9999</v>
      </c>
      <c r="BP1036" s="273">
        <v>-9999</v>
      </c>
      <c r="BQ1036" s="273">
        <v>-9999</v>
      </c>
      <c r="BR1036" s="273">
        <v>-9999</v>
      </c>
      <c r="BS1036" s="468">
        <v>-9999</v>
      </c>
      <c r="BT1036" s="273">
        <v>-9999</v>
      </c>
      <c r="BU1036" s="273">
        <v>-9999</v>
      </c>
      <c r="BV1036" s="273">
        <v>-9999</v>
      </c>
      <c r="BW1036" s="273"/>
      <c r="BX1036" s="273">
        <v>-9999</v>
      </c>
      <c r="BY1036" s="273">
        <v>-9999</v>
      </c>
      <c r="BZ1036" s="273">
        <v>-9999</v>
      </c>
      <c r="CA1036" s="472" t="s">
        <v>1096</v>
      </c>
      <c r="CB1036" s="473"/>
      <c r="CC1036" s="462">
        <v>1</v>
      </c>
      <c r="CD1036" s="273">
        <v>1</v>
      </c>
      <c r="CE1036" s="292">
        <v>0.5</v>
      </c>
      <c r="CF1036" s="292">
        <v>0.5</v>
      </c>
      <c r="CG1036" s="89">
        <v>1</v>
      </c>
    </row>
    <row r="1037" spans="1:1873" s="23" customFormat="1" ht="15.75" x14ac:dyDescent="0.3">
      <c r="A1037" s="273" t="s">
        <v>756</v>
      </c>
      <c r="B1037" s="273" t="s">
        <v>1169</v>
      </c>
      <c r="C1037" s="273" t="s">
        <v>1089</v>
      </c>
      <c r="D1037" s="273" t="s">
        <v>619</v>
      </c>
      <c r="E1037" s="462" t="s">
        <v>1527</v>
      </c>
      <c r="F1037" s="462">
        <v>1</v>
      </c>
      <c r="G1037" s="273">
        <v>2</v>
      </c>
      <c r="H1037" s="273">
        <v>2</v>
      </c>
      <c r="I1037" s="273" t="s">
        <v>320</v>
      </c>
      <c r="J1037" s="273">
        <v>1979</v>
      </c>
      <c r="K1037" s="273" t="s">
        <v>856</v>
      </c>
      <c r="L1037" s="273">
        <v>1981</v>
      </c>
      <c r="M1037" s="471">
        <v>-9999</v>
      </c>
      <c r="N1037" s="273">
        <v>-9999</v>
      </c>
      <c r="O1037" s="29"/>
      <c r="P1037" s="414">
        <f>+T1037*G1037</f>
        <v>8.1999999999999993</v>
      </c>
      <c r="Q1037" s="273">
        <v>-9999</v>
      </c>
      <c r="R1037" s="471"/>
      <c r="S1037" s="273"/>
      <c r="T1037" s="471">
        <v>4.0999999999999996</v>
      </c>
      <c r="U1037" s="385">
        <f>+P1037-P1036</f>
        <v>7.6999999999999993</v>
      </c>
      <c r="V1037" s="273"/>
      <c r="W1037" s="581">
        <f>+P1037-P1036</f>
        <v>7.6999999999999993</v>
      </c>
      <c r="X1037" s="273">
        <v>-9999</v>
      </c>
      <c r="Y1037" s="273"/>
      <c r="Z1037" s="461" t="s">
        <v>67</v>
      </c>
      <c r="AA1037" s="580">
        <v>6944</v>
      </c>
      <c r="AB1037" s="581">
        <v>0.55000000000000004</v>
      </c>
      <c r="AC1037" s="273">
        <v>-9999</v>
      </c>
      <c r="AD1037" s="273">
        <v>-9999</v>
      </c>
      <c r="AE1037" s="273" t="s">
        <v>1095</v>
      </c>
      <c r="AF1037" s="273">
        <v>5</v>
      </c>
      <c r="AG1037" s="273" t="s">
        <v>1087</v>
      </c>
      <c r="AH1037" s="273" t="s">
        <v>567</v>
      </c>
      <c r="AI1037" s="273" t="s">
        <v>1103</v>
      </c>
      <c r="AJ1037" s="273" t="s">
        <v>1100</v>
      </c>
      <c r="AK1037" s="273" t="s">
        <v>626</v>
      </c>
      <c r="AL1037" s="273" t="s">
        <v>1099</v>
      </c>
      <c r="AM1037" s="273"/>
      <c r="AN1037" s="273" t="s">
        <v>626</v>
      </c>
      <c r="AO1037" s="273" t="s">
        <v>1093</v>
      </c>
      <c r="AP1037" s="273" t="s">
        <v>577</v>
      </c>
      <c r="AQ1037" s="273" t="s">
        <v>626</v>
      </c>
      <c r="AR1037" s="273">
        <v>0</v>
      </c>
      <c r="AS1037" s="273" t="s">
        <v>1201</v>
      </c>
      <c r="AT1037" s="273" t="s">
        <v>738</v>
      </c>
      <c r="AU1037" s="273">
        <v>0</v>
      </c>
      <c r="AV1037" s="273">
        <v>-9999</v>
      </c>
      <c r="AW1037" s="273">
        <v>-9999</v>
      </c>
      <c r="AX1037" s="273">
        <v>0</v>
      </c>
      <c r="AY1037" s="273">
        <v>-9999</v>
      </c>
      <c r="AZ1037" s="273">
        <v>-9999</v>
      </c>
      <c r="BA1037" s="273" t="s">
        <v>1102</v>
      </c>
      <c r="BB1037" s="273" t="s">
        <v>631</v>
      </c>
      <c r="BC1037" s="273">
        <v>-9999</v>
      </c>
      <c r="BD1037" s="273">
        <v>-9999</v>
      </c>
      <c r="BE1037" s="273">
        <v>-9999</v>
      </c>
      <c r="BF1037" s="273">
        <v>-9999</v>
      </c>
      <c r="BG1037" s="273">
        <v>-9999</v>
      </c>
      <c r="BH1037" s="273">
        <v>-9999</v>
      </c>
      <c r="BI1037" s="273">
        <v>-9999</v>
      </c>
      <c r="BJ1037" s="273">
        <v>-9999</v>
      </c>
      <c r="BK1037" s="273">
        <v>-9999</v>
      </c>
      <c r="BL1037" s="273">
        <v>-9999</v>
      </c>
      <c r="BM1037" s="273">
        <v>-9999</v>
      </c>
      <c r="BN1037" s="273">
        <v>-9999</v>
      </c>
      <c r="BO1037" s="273">
        <v>-9999</v>
      </c>
      <c r="BP1037" s="273">
        <v>-9999</v>
      </c>
      <c r="BQ1037" s="273">
        <v>-9999</v>
      </c>
      <c r="BR1037" s="273">
        <v>-9999</v>
      </c>
      <c r="BS1037" s="468">
        <v>-9999</v>
      </c>
      <c r="BT1037" s="273">
        <v>-9999</v>
      </c>
      <c r="BU1037" s="273">
        <v>-9999</v>
      </c>
      <c r="BV1037" s="273">
        <v>-9999</v>
      </c>
      <c r="BW1037" s="273"/>
      <c r="BX1037" s="273">
        <v>-9999</v>
      </c>
      <c r="BY1037" s="273">
        <v>-9999</v>
      </c>
      <c r="BZ1037" s="273">
        <v>-9999</v>
      </c>
      <c r="CA1037" s="472" t="s">
        <v>1096</v>
      </c>
      <c r="CB1037" s="473"/>
      <c r="CC1037" s="462">
        <v>1</v>
      </c>
      <c r="CD1037" s="273">
        <v>2</v>
      </c>
      <c r="CE1037" s="292">
        <v>4.0999999999999996</v>
      </c>
      <c r="CF1037" s="292">
        <v>7.6999999999999993</v>
      </c>
      <c r="CG1037" s="89">
        <v>2</v>
      </c>
    </row>
    <row r="1038" spans="1:1873" s="23" customFormat="1" ht="15.75" x14ac:dyDescent="0.3">
      <c r="A1038" s="273" t="s">
        <v>756</v>
      </c>
      <c r="B1038" s="273" t="s">
        <v>1169</v>
      </c>
      <c r="C1038" s="273" t="s">
        <v>1089</v>
      </c>
      <c r="D1038" s="273" t="s">
        <v>619</v>
      </c>
      <c r="E1038" s="462" t="s">
        <v>1527</v>
      </c>
      <c r="F1038" s="462">
        <v>1</v>
      </c>
      <c r="G1038" s="273">
        <v>3</v>
      </c>
      <c r="H1038" s="273">
        <v>3</v>
      </c>
      <c r="I1038" s="273" t="s">
        <v>320</v>
      </c>
      <c r="J1038" s="273">
        <v>1979</v>
      </c>
      <c r="K1038" s="273" t="s">
        <v>856</v>
      </c>
      <c r="L1038" s="273">
        <v>1982</v>
      </c>
      <c r="M1038" s="471">
        <v>-9999</v>
      </c>
      <c r="N1038" s="273">
        <v>-9999</v>
      </c>
      <c r="O1038" s="29"/>
      <c r="P1038" s="414">
        <f>+T1038*G1038</f>
        <v>32.099999999999994</v>
      </c>
      <c r="Q1038" s="273">
        <v>-9999</v>
      </c>
      <c r="R1038" s="471"/>
      <c r="S1038" s="273"/>
      <c r="T1038" s="471">
        <v>10.7</v>
      </c>
      <c r="U1038" s="385">
        <f>+P1038-P1037</f>
        <v>23.899999999999995</v>
      </c>
      <c r="V1038" s="273"/>
      <c r="W1038" s="581">
        <f>+P1038-P1037</f>
        <v>23.899999999999995</v>
      </c>
      <c r="X1038" s="273">
        <v>-9999</v>
      </c>
      <c r="Y1038" s="273"/>
      <c r="Z1038" s="461" t="s">
        <v>67</v>
      </c>
      <c r="AA1038" s="580">
        <v>6944</v>
      </c>
      <c r="AB1038" s="581">
        <v>0.53</v>
      </c>
      <c r="AC1038" s="273">
        <v>-9999</v>
      </c>
      <c r="AD1038" s="273">
        <v>-9999</v>
      </c>
      <c r="AE1038" s="273" t="s">
        <v>1095</v>
      </c>
      <c r="AF1038" s="273">
        <v>5</v>
      </c>
      <c r="AG1038" s="273" t="s">
        <v>1087</v>
      </c>
      <c r="AH1038" s="273" t="s">
        <v>567</v>
      </c>
      <c r="AI1038" s="273" t="s">
        <v>1103</v>
      </c>
      <c r="AJ1038" s="273" t="s">
        <v>1100</v>
      </c>
      <c r="AK1038" s="273" t="s">
        <v>626</v>
      </c>
      <c r="AL1038" s="273" t="s">
        <v>1099</v>
      </c>
      <c r="AM1038" s="273"/>
      <c r="AN1038" s="273" t="s">
        <v>626</v>
      </c>
      <c r="AO1038" s="273" t="s">
        <v>1092</v>
      </c>
      <c r="AP1038" s="273" t="s">
        <v>577</v>
      </c>
      <c r="AQ1038" s="273" t="s">
        <v>626</v>
      </c>
      <c r="AR1038" s="273">
        <v>150</v>
      </c>
      <c r="AS1038" s="273" t="s">
        <v>1201</v>
      </c>
      <c r="AT1038" s="273" t="s">
        <v>738</v>
      </c>
      <c r="AU1038" s="273">
        <v>0</v>
      </c>
      <c r="AV1038" s="273">
        <v>-9999</v>
      </c>
      <c r="AW1038" s="273">
        <v>-9999</v>
      </c>
      <c r="AX1038" s="273">
        <v>0</v>
      </c>
      <c r="AY1038" s="273">
        <v>-9999</v>
      </c>
      <c r="AZ1038" s="273">
        <v>-9999</v>
      </c>
      <c r="BA1038" s="273" t="s">
        <v>1102</v>
      </c>
      <c r="BB1038" s="273" t="s">
        <v>631</v>
      </c>
      <c r="BC1038" s="273">
        <v>-9999</v>
      </c>
      <c r="BD1038" s="273">
        <v>-9999</v>
      </c>
      <c r="BE1038" s="273">
        <v>-9999</v>
      </c>
      <c r="BF1038" s="273">
        <v>-9999</v>
      </c>
      <c r="BG1038" s="273">
        <v>-9999</v>
      </c>
      <c r="BH1038" s="273">
        <v>-9999</v>
      </c>
      <c r="BI1038" s="273">
        <v>-9999</v>
      </c>
      <c r="BJ1038" s="273">
        <v>-9999</v>
      </c>
      <c r="BK1038" s="273">
        <v>-9999</v>
      </c>
      <c r="BL1038" s="273">
        <v>-9999</v>
      </c>
      <c r="BM1038" s="273">
        <v>-9999</v>
      </c>
      <c r="BN1038" s="273">
        <v>-9999</v>
      </c>
      <c r="BO1038" s="273">
        <v>-9999</v>
      </c>
      <c r="BP1038" s="273">
        <v>-9999</v>
      </c>
      <c r="BQ1038" s="273">
        <v>-9999</v>
      </c>
      <c r="BR1038" s="273">
        <v>-9999</v>
      </c>
      <c r="BS1038" s="468">
        <v>-9999</v>
      </c>
      <c r="BT1038" s="273">
        <v>-9999</v>
      </c>
      <c r="BU1038" s="273">
        <v>-9999</v>
      </c>
      <c r="BV1038" s="273">
        <v>-9999</v>
      </c>
      <c r="BW1038" s="273"/>
      <c r="BX1038" s="273">
        <v>-9999</v>
      </c>
      <c r="BY1038" s="273">
        <v>-9999</v>
      </c>
      <c r="BZ1038" s="273">
        <v>-9999</v>
      </c>
      <c r="CA1038" s="472" t="s">
        <v>1096</v>
      </c>
      <c r="CB1038" s="473"/>
      <c r="CC1038" s="462">
        <v>1</v>
      </c>
      <c r="CD1038" s="273">
        <v>3</v>
      </c>
      <c r="CE1038" s="292">
        <v>10.7</v>
      </c>
      <c r="CF1038" s="292">
        <v>23.899999999999995</v>
      </c>
      <c r="CG1038" s="89">
        <v>3</v>
      </c>
    </row>
    <row r="1039" spans="1:1873" s="23" customFormat="1" ht="15.75" x14ac:dyDescent="0.3">
      <c r="A1039" s="273" t="s">
        <v>756</v>
      </c>
      <c r="B1039" s="273" t="s">
        <v>1169</v>
      </c>
      <c r="C1039" s="273" t="s">
        <v>1089</v>
      </c>
      <c r="D1039" s="273" t="s">
        <v>619</v>
      </c>
      <c r="E1039" s="462" t="s">
        <v>1527</v>
      </c>
      <c r="F1039" s="462">
        <v>1</v>
      </c>
      <c r="G1039" s="273">
        <v>4</v>
      </c>
      <c r="H1039" s="273">
        <v>4</v>
      </c>
      <c r="I1039" s="273" t="s">
        <v>320</v>
      </c>
      <c r="J1039" s="273">
        <v>1979</v>
      </c>
      <c r="K1039" s="273" t="s">
        <v>856</v>
      </c>
      <c r="L1039" s="273">
        <v>1983</v>
      </c>
      <c r="M1039" s="471">
        <v>-9999</v>
      </c>
      <c r="N1039" s="273">
        <v>-9999</v>
      </c>
      <c r="O1039" s="29"/>
      <c r="P1039" s="414">
        <f>+T1039*G1039</f>
        <v>62.4</v>
      </c>
      <c r="Q1039" s="273">
        <v>-9999</v>
      </c>
      <c r="R1039" s="471"/>
      <c r="S1039" s="273"/>
      <c r="T1039" s="471">
        <v>15.6</v>
      </c>
      <c r="U1039" s="385">
        <f>+P1039-P1038</f>
        <v>30.300000000000004</v>
      </c>
      <c r="V1039" s="273"/>
      <c r="W1039" s="581">
        <f>+P1039-P1038</f>
        <v>30.300000000000004</v>
      </c>
      <c r="X1039" s="273">
        <v>-9999</v>
      </c>
      <c r="Y1039" s="273"/>
      <c r="Z1039" s="461" t="s">
        <v>67</v>
      </c>
      <c r="AA1039" s="580">
        <v>6944</v>
      </c>
      <c r="AB1039" s="471">
        <v>0.51100000000000001</v>
      </c>
      <c r="AC1039" s="273">
        <v>-9999</v>
      </c>
      <c r="AD1039" s="273">
        <v>-9999</v>
      </c>
      <c r="AE1039" s="273" t="s">
        <v>1095</v>
      </c>
      <c r="AF1039" s="273">
        <v>5</v>
      </c>
      <c r="AG1039" s="273" t="s">
        <v>1087</v>
      </c>
      <c r="AH1039" s="273" t="s">
        <v>567</v>
      </c>
      <c r="AI1039" s="273" t="s">
        <v>1103</v>
      </c>
      <c r="AJ1039" s="273" t="s">
        <v>1100</v>
      </c>
      <c r="AK1039" s="273" t="s">
        <v>626</v>
      </c>
      <c r="AL1039" s="273" t="s">
        <v>1099</v>
      </c>
      <c r="AM1039" s="273"/>
      <c r="AN1039" s="273" t="s">
        <v>626</v>
      </c>
      <c r="AO1039" s="273" t="s">
        <v>1092</v>
      </c>
      <c r="AP1039" s="273" t="s">
        <v>577</v>
      </c>
      <c r="AQ1039" s="273" t="s">
        <v>626</v>
      </c>
      <c r="AR1039" s="273">
        <f>+AR1038+75</f>
        <v>225</v>
      </c>
      <c r="AS1039" s="273" t="s">
        <v>1201</v>
      </c>
      <c r="AT1039" s="273" t="s">
        <v>738</v>
      </c>
      <c r="AU1039" s="273">
        <v>0</v>
      </c>
      <c r="AV1039" s="273">
        <v>-9999</v>
      </c>
      <c r="AW1039" s="273">
        <v>-9999</v>
      </c>
      <c r="AX1039" s="273">
        <v>0</v>
      </c>
      <c r="AY1039" s="273">
        <v>-9999</v>
      </c>
      <c r="AZ1039" s="273">
        <v>-9999</v>
      </c>
      <c r="BA1039" s="273" t="s">
        <v>1102</v>
      </c>
      <c r="BB1039" s="273" t="s">
        <v>631</v>
      </c>
      <c r="BC1039" s="273">
        <v>-9999</v>
      </c>
      <c r="BD1039" s="273">
        <v>-9999</v>
      </c>
      <c r="BE1039" s="273">
        <v>-9999</v>
      </c>
      <c r="BF1039" s="273">
        <v>-9999</v>
      </c>
      <c r="BG1039" s="273">
        <v>-9999</v>
      </c>
      <c r="BH1039" s="273">
        <v>-9999</v>
      </c>
      <c r="BI1039" s="273">
        <v>-9999</v>
      </c>
      <c r="BJ1039" s="273">
        <v>-9999</v>
      </c>
      <c r="BK1039" s="273">
        <v>-9999</v>
      </c>
      <c r="BL1039" s="273">
        <v>11.5</v>
      </c>
      <c r="BM1039" s="273">
        <v>-9999</v>
      </c>
      <c r="BN1039" s="273">
        <v>8.6999999999999993</v>
      </c>
      <c r="BO1039" s="273">
        <v>-9999</v>
      </c>
      <c r="BP1039" s="273">
        <v>-9999</v>
      </c>
      <c r="BQ1039" s="273">
        <v>-9999</v>
      </c>
      <c r="BR1039" s="273">
        <v>-9999</v>
      </c>
      <c r="BS1039" s="584">
        <f>+BT1039*14.286</f>
        <v>1914.3239999999998</v>
      </c>
      <c r="BT1039" s="468">
        <v>134</v>
      </c>
      <c r="BU1039" s="273">
        <v>-9999</v>
      </c>
      <c r="BV1039" s="273">
        <v>-9999</v>
      </c>
      <c r="BW1039" s="273"/>
      <c r="BX1039" s="273">
        <v>-9999</v>
      </c>
      <c r="BY1039" s="273">
        <v>-9999</v>
      </c>
      <c r="BZ1039" s="273">
        <v>-9999</v>
      </c>
      <c r="CA1039" s="472" t="s">
        <v>1096</v>
      </c>
      <c r="CB1039" s="473"/>
      <c r="CC1039" s="462">
        <v>1</v>
      </c>
      <c r="CD1039" s="273">
        <v>4</v>
      </c>
      <c r="CE1039" s="292">
        <v>15.6</v>
      </c>
      <c r="CF1039" s="292">
        <v>30.300000000000004</v>
      </c>
      <c r="CG1039" s="89">
        <v>4</v>
      </c>
    </row>
    <row r="1040" spans="1:1873" s="23" customFormat="1" x14ac:dyDescent="0.2">
      <c r="A1040" s="273"/>
      <c r="B1040" s="273"/>
      <c r="C1040" s="273"/>
      <c r="D1040" s="273"/>
      <c r="E1040" s="462"/>
      <c r="F1040" s="462"/>
      <c r="G1040" s="273"/>
      <c r="H1040" s="273"/>
      <c r="I1040" s="273"/>
      <c r="J1040" s="273"/>
      <c r="K1040" s="273"/>
      <c r="L1040" s="273"/>
      <c r="M1040" s="471"/>
      <c r="N1040" s="273"/>
      <c r="O1040" s="29"/>
      <c r="P1040" s="414"/>
      <c r="Q1040" s="273"/>
      <c r="R1040" s="471"/>
      <c r="S1040" s="273"/>
      <c r="T1040" s="471"/>
      <c r="U1040" s="273"/>
      <c r="V1040" s="273"/>
      <c r="W1040" s="471"/>
      <c r="X1040" s="273"/>
      <c r="Y1040" s="273"/>
      <c r="Z1040" s="461"/>
      <c r="AA1040" s="580"/>
      <c r="AB1040" s="471"/>
      <c r="AC1040" s="273"/>
      <c r="AD1040" s="273"/>
      <c r="AE1040" s="273"/>
      <c r="AF1040" s="273"/>
      <c r="AG1040" s="273"/>
      <c r="AH1040" s="273"/>
      <c r="AI1040" s="273"/>
      <c r="AJ1040" s="273"/>
      <c r="AK1040" s="273"/>
      <c r="AL1040" s="273"/>
      <c r="AM1040" s="273"/>
      <c r="AN1040" s="273"/>
      <c r="AO1040" s="273"/>
      <c r="AP1040" s="273"/>
      <c r="AQ1040" s="273"/>
      <c r="AR1040" s="273"/>
      <c r="AS1040" s="273"/>
      <c r="AT1040" s="273"/>
      <c r="AU1040" s="273"/>
      <c r="AV1040" s="273"/>
      <c r="AW1040" s="273"/>
      <c r="AX1040" s="273"/>
      <c r="AY1040" s="273"/>
      <c r="AZ1040" s="273"/>
      <c r="BA1040" s="273"/>
      <c r="BB1040" s="273"/>
      <c r="BC1040" s="273"/>
      <c r="BD1040" s="273"/>
      <c r="BE1040" s="273"/>
      <c r="BF1040" s="273"/>
      <c r="BG1040" s="273"/>
      <c r="BH1040" s="273"/>
      <c r="BI1040" s="273"/>
      <c r="BJ1040" s="273"/>
      <c r="BK1040" s="273"/>
      <c r="BL1040" s="273"/>
      <c r="BM1040" s="273"/>
      <c r="BN1040" s="273"/>
      <c r="BO1040" s="273"/>
      <c r="BP1040" s="273"/>
      <c r="BQ1040" s="273"/>
      <c r="BR1040" s="273"/>
      <c r="BS1040" s="584"/>
      <c r="BT1040" s="468"/>
      <c r="BU1040" s="273"/>
      <c r="BV1040" s="273"/>
      <c r="BW1040" s="273"/>
      <c r="BX1040" s="273"/>
      <c r="BY1040" s="273"/>
      <c r="BZ1040" s="273"/>
      <c r="CA1040" s="472"/>
      <c r="CB1040" s="473"/>
      <c r="CC1040" s="462"/>
      <c r="CD1040" s="273"/>
      <c r="CE1040" s="292"/>
      <c r="CF1040" s="292"/>
      <c r="CG1040" s="89"/>
    </row>
    <row r="1041" spans="1:1873" s="23" customFormat="1" ht="15.75" x14ac:dyDescent="0.3">
      <c r="A1041" s="273" t="s">
        <v>756</v>
      </c>
      <c r="B1041" s="273" t="s">
        <v>1169</v>
      </c>
      <c r="C1041" s="273" t="s">
        <v>1089</v>
      </c>
      <c r="D1041" s="273" t="s">
        <v>619</v>
      </c>
      <c r="E1041" s="462" t="s">
        <v>1527</v>
      </c>
      <c r="F1041" s="462">
        <v>2</v>
      </c>
      <c r="G1041" s="273">
        <v>4</v>
      </c>
      <c r="H1041" s="273">
        <v>8</v>
      </c>
      <c r="I1041" s="273" t="s">
        <v>320</v>
      </c>
      <c r="J1041" s="273">
        <v>1979</v>
      </c>
      <c r="K1041" s="273" t="s">
        <v>842</v>
      </c>
      <c r="L1041" s="273">
        <v>1987</v>
      </c>
      <c r="M1041" s="471">
        <v>-9999</v>
      </c>
      <c r="N1041" s="273">
        <v>-9999</v>
      </c>
      <c r="O1041" s="29"/>
      <c r="P1041" s="414">
        <f>+T1041*G1041</f>
        <v>86</v>
      </c>
      <c r="Q1041" s="273">
        <v>-9999</v>
      </c>
      <c r="R1041" s="471"/>
      <c r="S1041" s="273"/>
      <c r="T1041" s="471">
        <v>21.5</v>
      </c>
      <c r="U1041" s="273">
        <v>-9999</v>
      </c>
      <c r="V1041" s="273"/>
      <c r="W1041" s="471">
        <v>-9999</v>
      </c>
      <c r="X1041" s="273">
        <v>-9999</v>
      </c>
      <c r="Y1041" s="273"/>
      <c r="Z1041" s="461" t="s">
        <v>67</v>
      </c>
      <c r="AA1041" s="580">
        <v>6944</v>
      </c>
      <c r="AB1041" s="471">
        <v>0.27</v>
      </c>
      <c r="AC1041" s="273">
        <v>-9999</v>
      </c>
      <c r="AD1041" s="273">
        <v>-9999</v>
      </c>
      <c r="AE1041" s="273" t="s">
        <v>1095</v>
      </c>
      <c r="AF1041" s="273">
        <v>3</v>
      </c>
      <c r="AG1041" s="273" t="s">
        <v>1087</v>
      </c>
      <c r="AH1041" s="273" t="s">
        <v>567</v>
      </c>
      <c r="AI1041" s="273" t="s">
        <v>1103</v>
      </c>
      <c r="AJ1041" s="273" t="s">
        <v>1100</v>
      </c>
      <c r="AK1041" s="273" t="s">
        <v>626</v>
      </c>
      <c r="AL1041" s="273" t="s">
        <v>1099</v>
      </c>
      <c r="AM1041" s="273"/>
      <c r="AN1041" s="273" t="s">
        <v>626</v>
      </c>
      <c r="AO1041" s="273" t="s">
        <v>1092</v>
      </c>
      <c r="AP1041" s="273" t="s">
        <v>577</v>
      </c>
      <c r="AQ1041" s="273" t="s">
        <v>626</v>
      </c>
      <c r="AR1041" s="273">
        <v>133</v>
      </c>
      <c r="AS1041" s="273" t="s">
        <v>1201</v>
      </c>
      <c r="AT1041" s="273" t="s">
        <v>739</v>
      </c>
      <c r="AU1041" s="273">
        <v>0</v>
      </c>
      <c r="AV1041" s="273">
        <v>-9999</v>
      </c>
      <c r="AW1041" s="273">
        <v>-9999</v>
      </c>
      <c r="AX1041" s="273">
        <v>0</v>
      </c>
      <c r="AY1041" s="273">
        <v>-9999</v>
      </c>
      <c r="AZ1041" s="273">
        <v>-9999</v>
      </c>
      <c r="BA1041" s="273" t="s">
        <v>1102</v>
      </c>
      <c r="BB1041" s="273" t="s">
        <v>631</v>
      </c>
      <c r="BC1041" s="273">
        <v>-9999</v>
      </c>
      <c r="BD1041" s="273">
        <v>-9999</v>
      </c>
      <c r="BE1041" s="273">
        <v>-9999</v>
      </c>
      <c r="BF1041" s="273">
        <v>-9999</v>
      </c>
      <c r="BG1041" s="273">
        <v>-9999</v>
      </c>
      <c r="BH1041" s="273">
        <v>-9999</v>
      </c>
      <c r="BI1041" s="273" t="s">
        <v>629</v>
      </c>
      <c r="BJ1041" s="273">
        <v>33.5</v>
      </c>
      <c r="BK1041" s="273">
        <v>-9999</v>
      </c>
      <c r="BL1041" s="273">
        <v>12.7</v>
      </c>
      <c r="BM1041" s="273">
        <v>-9999</v>
      </c>
      <c r="BN1041" s="273">
        <v>8.5</v>
      </c>
      <c r="BO1041" s="273">
        <v>-9999</v>
      </c>
      <c r="BP1041" s="273">
        <v>-9999</v>
      </c>
      <c r="BQ1041" s="273">
        <v>-9999</v>
      </c>
      <c r="BR1041" s="273">
        <v>-9999</v>
      </c>
      <c r="BS1041" s="468">
        <v>-9999</v>
      </c>
      <c r="BT1041" s="273">
        <v>-9999</v>
      </c>
      <c r="BU1041" s="273">
        <v>-9999</v>
      </c>
      <c r="BV1041" s="273">
        <v>-9999</v>
      </c>
      <c r="BW1041" s="273"/>
      <c r="BX1041" s="273">
        <v>-9999</v>
      </c>
      <c r="BY1041" s="273">
        <v>-9999</v>
      </c>
      <c r="BZ1041" s="273">
        <v>-9999</v>
      </c>
      <c r="CA1041" s="472" t="s">
        <v>1096</v>
      </c>
      <c r="CB1041" s="473"/>
      <c r="CC1041" s="462">
        <v>2</v>
      </c>
      <c r="CD1041" s="273">
        <v>4</v>
      </c>
      <c r="CE1041" s="292">
        <v>21.5</v>
      </c>
      <c r="CF1041" s="292">
        <v>-9999</v>
      </c>
      <c r="CG1041" s="89">
        <v>8</v>
      </c>
    </row>
    <row r="1042" spans="1:1873" s="23" customFormat="1" x14ac:dyDescent="0.2">
      <c r="A1042" s="273"/>
      <c r="B1042" s="273"/>
      <c r="C1042" s="273"/>
      <c r="D1042" s="273"/>
      <c r="E1042" s="462"/>
      <c r="F1042" s="462"/>
      <c r="G1042" s="273"/>
      <c r="H1042" s="273"/>
      <c r="I1042" s="273"/>
      <c r="J1042" s="273"/>
      <c r="K1042" s="273"/>
      <c r="L1042" s="273"/>
      <c r="M1042" s="471"/>
      <c r="N1042" s="273"/>
      <c r="O1042" s="29"/>
      <c r="P1042" s="414"/>
      <c r="Q1042" s="273"/>
      <c r="R1042" s="471"/>
      <c r="S1042" s="273"/>
      <c r="T1042" s="471"/>
      <c r="U1042" s="273"/>
      <c r="V1042" s="273"/>
      <c r="W1042" s="471"/>
      <c r="X1042" s="273"/>
      <c r="Y1042" s="273"/>
      <c r="Z1042" s="461"/>
      <c r="AA1042" s="580"/>
      <c r="AB1042" s="471"/>
      <c r="AC1042" s="273"/>
      <c r="AD1042" s="273"/>
      <c r="AE1042" s="273"/>
      <c r="AF1042" s="273"/>
      <c r="AG1042" s="273"/>
      <c r="AH1042" s="273"/>
      <c r="AI1042" s="273"/>
      <c r="AJ1042" s="273"/>
      <c r="AK1042" s="273"/>
      <c r="AL1042" s="273"/>
      <c r="AM1042" s="273"/>
      <c r="AN1042" s="273"/>
      <c r="AO1042" s="273"/>
      <c r="AP1042" s="273"/>
      <c r="AQ1042" s="273"/>
      <c r="AR1042" s="273"/>
      <c r="AS1042" s="273"/>
      <c r="AT1042" s="273"/>
      <c r="AU1042" s="273"/>
      <c r="AV1042" s="273"/>
      <c r="AW1042" s="273"/>
      <c r="AX1042" s="273"/>
      <c r="AY1042" s="273"/>
      <c r="AZ1042" s="273"/>
      <c r="BA1042" s="273"/>
      <c r="BB1042" s="273"/>
      <c r="BC1042" s="273"/>
      <c r="BD1042" s="273"/>
      <c r="BE1042" s="273"/>
      <c r="BF1042" s="273"/>
      <c r="BG1042" s="273"/>
      <c r="BH1042" s="273"/>
      <c r="BI1042" s="273"/>
      <c r="BJ1042" s="273"/>
      <c r="BK1042" s="273"/>
      <c r="BL1042" s="273"/>
      <c r="BM1042" s="273"/>
      <c r="BN1042" s="273"/>
      <c r="BO1042" s="273"/>
      <c r="BP1042" s="273"/>
      <c r="BQ1042" s="273"/>
      <c r="BR1042" s="273"/>
      <c r="BS1042" s="468"/>
      <c r="BT1042" s="273"/>
      <c r="BU1042" s="273"/>
      <c r="BV1042" s="273"/>
      <c r="BW1042" s="273"/>
      <c r="BX1042" s="273"/>
      <c r="BY1042" s="273"/>
      <c r="BZ1042" s="273"/>
      <c r="CA1042" s="472"/>
      <c r="CB1042" s="473"/>
      <c r="CC1042" s="462"/>
      <c r="CD1042" s="273"/>
      <c r="CE1042" s="342" t="s">
        <v>1576</v>
      </c>
      <c r="CF1042" s="342" t="s">
        <v>1575</v>
      </c>
      <c r="CG1042" s="89"/>
    </row>
    <row r="1043" spans="1:1873" s="23" customFormat="1" ht="15.75" x14ac:dyDescent="0.3">
      <c r="A1043" s="273" t="s">
        <v>756</v>
      </c>
      <c r="B1043" s="273" t="s">
        <v>1169</v>
      </c>
      <c r="C1043" s="273" t="s">
        <v>1090</v>
      </c>
      <c r="D1043" s="273" t="s">
        <v>619</v>
      </c>
      <c r="E1043" s="462" t="s">
        <v>1528</v>
      </c>
      <c r="F1043" s="462">
        <v>1</v>
      </c>
      <c r="G1043" s="273">
        <v>1</v>
      </c>
      <c r="H1043" s="273">
        <v>1</v>
      </c>
      <c r="I1043" s="273" t="s">
        <v>320</v>
      </c>
      <c r="J1043" s="273">
        <v>1979</v>
      </c>
      <c r="K1043" s="273" t="s">
        <v>856</v>
      </c>
      <c r="L1043" s="273">
        <v>1980</v>
      </c>
      <c r="M1043" s="471">
        <v>-9999</v>
      </c>
      <c r="N1043" s="273">
        <v>-9999</v>
      </c>
      <c r="O1043" s="29"/>
      <c r="P1043" s="414">
        <f>+T1043*G1043</f>
        <v>0.8</v>
      </c>
      <c r="Q1043" s="273">
        <v>-9999</v>
      </c>
      <c r="R1043" s="471"/>
      <c r="S1043" s="273"/>
      <c r="T1043" s="471">
        <v>0.8</v>
      </c>
      <c r="U1043" s="385">
        <f>+P1043</f>
        <v>0.8</v>
      </c>
      <c r="V1043" s="273"/>
      <c r="W1043" s="581">
        <f>+P1043</f>
        <v>0.8</v>
      </c>
      <c r="X1043" s="273">
        <v>-9999</v>
      </c>
      <c r="Y1043" s="273"/>
      <c r="Z1043" s="461" t="s">
        <v>67</v>
      </c>
      <c r="AA1043" s="580">
        <v>6944</v>
      </c>
      <c r="AB1043" s="471">
        <v>1</v>
      </c>
      <c r="AC1043" s="273">
        <v>-9999</v>
      </c>
      <c r="AD1043" s="273">
        <v>-9999</v>
      </c>
      <c r="AE1043" s="273" t="s">
        <v>1095</v>
      </c>
      <c r="AF1043" s="273">
        <v>5</v>
      </c>
      <c r="AG1043" s="273" t="s">
        <v>1087</v>
      </c>
      <c r="AH1043" s="273" t="s">
        <v>567</v>
      </c>
      <c r="AI1043" s="273" t="s">
        <v>1103</v>
      </c>
      <c r="AJ1043" s="273" t="s">
        <v>1100</v>
      </c>
      <c r="AK1043" s="273" t="s">
        <v>626</v>
      </c>
      <c r="AL1043" s="273" t="s">
        <v>1099</v>
      </c>
      <c r="AM1043" s="273"/>
      <c r="AN1043" s="273" t="s">
        <v>626</v>
      </c>
      <c r="AO1043" s="273" t="s">
        <v>1093</v>
      </c>
      <c r="AP1043" s="273" t="s">
        <v>577</v>
      </c>
      <c r="AQ1043" s="273" t="s">
        <v>777</v>
      </c>
      <c r="AR1043" s="273">
        <v>0</v>
      </c>
      <c r="AS1043" s="273" t="s">
        <v>1201</v>
      </c>
      <c r="AT1043" s="273" t="s">
        <v>738</v>
      </c>
      <c r="AU1043" s="273">
        <v>0</v>
      </c>
      <c r="AV1043" s="273">
        <v>-9999</v>
      </c>
      <c r="AW1043" s="273">
        <v>-9999</v>
      </c>
      <c r="AX1043" s="273">
        <v>0</v>
      </c>
      <c r="AY1043" s="273">
        <v>-9999</v>
      </c>
      <c r="AZ1043" s="273">
        <v>-9999</v>
      </c>
      <c r="BA1043" s="273" t="s">
        <v>1102</v>
      </c>
      <c r="BB1043" s="273" t="s">
        <v>631</v>
      </c>
      <c r="BC1043" s="273">
        <v>-9999</v>
      </c>
      <c r="BD1043" s="273">
        <v>-9999</v>
      </c>
      <c r="BE1043" s="273">
        <v>-9999</v>
      </c>
      <c r="BF1043" s="273">
        <v>-9999</v>
      </c>
      <c r="BG1043" s="273">
        <v>-9999</v>
      </c>
      <c r="BH1043" s="273">
        <v>-9999</v>
      </c>
      <c r="BI1043" s="273">
        <v>-9999</v>
      </c>
      <c r="BJ1043" s="273">
        <v>-9999</v>
      </c>
      <c r="BK1043" s="273">
        <v>-9999</v>
      </c>
      <c r="BL1043" s="273">
        <v>-9999</v>
      </c>
      <c r="BM1043" s="273">
        <v>-9999</v>
      </c>
      <c r="BN1043" s="273">
        <v>-9999</v>
      </c>
      <c r="BO1043" s="273">
        <v>-9999</v>
      </c>
      <c r="BP1043" s="273">
        <v>-9999</v>
      </c>
      <c r="BQ1043" s="273">
        <v>-9999</v>
      </c>
      <c r="BR1043" s="273">
        <v>-9999</v>
      </c>
      <c r="BS1043" s="468">
        <v>-9999</v>
      </c>
      <c r="BT1043" s="273">
        <v>-9999</v>
      </c>
      <c r="BU1043" s="273">
        <v>-9999</v>
      </c>
      <c r="BV1043" s="273">
        <v>-9999</v>
      </c>
      <c r="BW1043" s="273"/>
      <c r="BX1043" s="273">
        <v>-9999</v>
      </c>
      <c r="BY1043" s="273">
        <v>-9999</v>
      </c>
      <c r="BZ1043" s="273">
        <v>-9999</v>
      </c>
      <c r="CA1043" s="472" t="s">
        <v>1096</v>
      </c>
      <c r="CB1043" s="473"/>
      <c r="CC1043" s="462">
        <v>1</v>
      </c>
      <c r="CD1043" s="273">
        <v>1</v>
      </c>
      <c r="CE1043" s="292">
        <v>0.8</v>
      </c>
      <c r="CF1043" s="292">
        <v>0.8</v>
      </c>
      <c r="CG1043" s="89">
        <v>1</v>
      </c>
    </row>
    <row r="1044" spans="1:1873" s="23" customFormat="1" ht="15.75" x14ac:dyDescent="0.3">
      <c r="A1044" s="273" t="s">
        <v>756</v>
      </c>
      <c r="B1044" s="273" t="s">
        <v>1169</v>
      </c>
      <c r="C1044" s="273" t="s">
        <v>1090</v>
      </c>
      <c r="D1044" s="273" t="s">
        <v>619</v>
      </c>
      <c r="E1044" s="462" t="s">
        <v>1528</v>
      </c>
      <c r="F1044" s="462">
        <v>1</v>
      </c>
      <c r="G1044" s="273">
        <v>2</v>
      </c>
      <c r="H1044" s="273">
        <v>2</v>
      </c>
      <c r="I1044" s="273" t="s">
        <v>320</v>
      </c>
      <c r="J1044" s="273">
        <v>1979</v>
      </c>
      <c r="K1044" s="273" t="s">
        <v>856</v>
      </c>
      <c r="L1044" s="273">
        <v>1981</v>
      </c>
      <c r="M1044" s="471">
        <v>-9999</v>
      </c>
      <c r="N1044" s="273">
        <v>-9999</v>
      </c>
      <c r="O1044" s="29"/>
      <c r="P1044" s="414">
        <f>+T1044*G1044</f>
        <v>17.2</v>
      </c>
      <c r="Q1044" s="273">
        <v>-9999</v>
      </c>
      <c r="R1044" s="471"/>
      <c r="S1044" s="273"/>
      <c r="T1044" s="471">
        <v>8.6</v>
      </c>
      <c r="U1044" s="385">
        <f>+P1044-P1043</f>
        <v>16.399999999999999</v>
      </c>
      <c r="V1044" s="273"/>
      <c r="W1044" s="581">
        <f>+P1044-P1043</f>
        <v>16.399999999999999</v>
      </c>
      <c r="X1044" s="273">
        <v>-9999</v>
      </c>
      <c r="Y1044" s="273"/>
      <c r="Z1044" s="461" t="s">
        <v>67</v>
      </c>
      <c r="AA1044" s="580">
        <v>6944</v>
      </c>
      <c r="AB1044" s="471">
        <v>1</v>
      </c>
      <c r="AC1044" s="273">
        <v>-9999</v>
      </c>
      <c r="AD1044" s="273">
        <v>-9999</v>
      </c>
      <c r="AE1044" s="273" t="s">
        <v>1095</v>
      </c>
      <c r="AF1044" s="273">
        <v>5</v>
      </c>
      <c r="AG1044" s="273" t="s">
        <v>1087</v>
      </c>
      <c r="AH1044" s="273" t="s">
        <v>567</v>
      </c>
      <c r="AI1044" s="273" t="s">
        <v>1103</v>
      </c>
      <c r="AJ1044" s="273" t="s">
        <v>1100</v>
      </c>
      <c r="AK1044" s="273" t="s">
        <v>626</v>
      </c>
      <c r="AL1044" s="273" t="s">
        <v>1099</v>
      </c>
      <c r="AM1044" s="273"/>
      <c r="AN1044" s="273" t="s">
        <v>626</v>
      </c>
      <c r="AO1044" s="273" t="s">
        <v>1093</v>
      </c>
      <c r="AP1044" s="273" t="s">
        <v>577</v>
      </c>
      <c r="AQ1044" s="273" t="s">
        <v>626</v>
      </c>
      <c r="AR1044" s="273">
        <v>0</v>
      </c>
      <c r="AS1044" s="273" t="s">
        <v>1201</v>
      </c>
      <c r="AT1044" s="273" t="s">
        <v>738</v>
      </c>
      <c r="AU1044" s="273">
        <v>0</v>
      </c>
      <c r="AV1044" s="273">
        <v>-9999</v>
      </c>
      <c r="AW1044" s="273">
        <v>-9999</v>
      </c>
      <c r="AX1044" s="273">
        <v>0</v>
      </c>
      <c r="AY1044" s="273">
        <v>-9999</v>
      </c>
      <c r="AZ1044" s="273">
        <v>-9999</v>
      </c>
      <c r="BA1044" s="273" t="s">
        <v>1102</v>
      </c>
      <c r="BB1044" s="273" t="s">
        <v>631</v>
      </c>
      <c r="BC1044" s="273">
        <v>-9999</v>
      </c>
      <c r="BD1044" s="273">
        <v>-9999</v>
      </c>
      <c r="BE1044" s="273">
        <v>-9999</v>
      </c>
      <c r="BF1044" s="273">
        <v>-9999</v>
      </c>
      <c r="BG1044" s="273">
        <v>-9999</v>
      </c>
      <c r="BH1044" s="273">
        <v>-9999</v>
      </c>
      <c r="BI1044" s="273">
        <v>-9999</v>
      </c>
      <c r="BJ1044" s="273">
        <v>-9999</v>
      </c>
      <c r="BK1044" s="273">
        <v>-9999</v>
      </c>
      <c r="BL1044" s="273">
        <v>-9999</v>
      </c>
      <c r="BM1044" s="273">
        <v>-9999</v>
      </c>
      <c r="BN1044" s="273">
        <v>-9999</v>
      </c>
      <c r="BO1044" s="273">
        <v>-9999</v>
      </c>
      <c r="BP1044" s="273">
        <v>-9999</v>
      </c>
      <c r="BQ1044" s="273">
        <v>-9999</v>
      </c>
      <c r="BR1044" s="273">
        <v>-9999</v>
      </c>
      <c r="BS1044" s="468">
        <v>-9999</v>
      </c>
      <c r="BT1044" s="273">
        <v>-9999</v>
      </c>
      <c r="BU1044" s="273">
        <v>-9999</v>
      </c>
      <c r="BV1044" s="273">
        <v>-9999</v>
      </c>
      <c r="BW1044" s="273"/>
      <c r="BX1044" s="273">
        <v>-9999</v>
      </c>
      <c r="BY1044" s="273">
        <v>-9999</v>
      </c>
      <c r="BZ1044" s="273">
        <v>-9999</v>
      </c>
      <c r="CA1044" s="472" t="s">
        <v>1096</v>
      </c>
      <c r="CB1044" s="473"/>
      <c r="CC1044" s="462">
        <v>1</v>
      </c>
      <c r="CD1044" s="273">
        <v>2</v>
      </c>
      <c r="CE1044" s="292">
        <v>8.6</v>
      </c>
      <c r="CF1044" s="292">
        <v>16.399999999999999</v>
      </c>
      <c r="CG1044" s="89">
        <v>2</v>
      </c>
    </row>
    <row r="1045" spans="1:1873" s="23" customFormat="1" ht="15.75" x14ac:dyDescent="0.3">
      <c r="A1045" s="273" t="s">
        <v>756</v>
      </c>
      <c r="B1045" s="273" t="s">
        <v>1169</v>
      </c>
      <c r="C1045" s="273" t="s">
        <v>1090</v>
      </c>
      <c r="D1045" s="273" t="s">
        <v>619</v>
      </c>
      <c r="E1045" s="462" t="s">
        <v>1528</v>
      </c>
      <c r="F1045" s="462">
        <v>1</v>
      </c>
      <c r="G1045" s="273">
        <v>3</v>
      </c>
      <c r="H1045" s="273">
        <v>3</v>
      </c>
      <c r="I1045" s="273" t="s">
        <v>320</v>
      </c>
      <c r="J1045" s="273">
        <v>1979</v>
      </c>
      <c r="K1045" s="273" t="s">
        <v>856</v>
      </c>
      <c r="L1045" s="273">
        <v>1982</v>
      </c>
      <c r="M1045" s="471">
        <v>-9999</v>
      </c>
      <c r="N1045" s="273">
        <v>-9999</v>
      </c>
      <c r="O1045" s="29"/>
      <c r="P1045" s="414">
        <f>+T1045*G1045</f>
        <v>58.5</v>
      </c>
      <c r="Q1045" s="273">
        <v>-9999</v>
      </c>
      <c r="R1045" s="471"/>
      <c r="S1045" s="273"/>
      <c r="T1045" s="471">
        <v>19.5</v>
      </c>
      <c r="U1045" s="385">
        <f>+P1045-P1044</f>
        <v>41.3</v>
      </c>
      <c r="V1045" s="273"/>
      <c r="W1045" s="581">
        <f>+P1045-P1044</f>
        <v>41.3</v>
      </c>
      <c r="X1045" s="273">
        <v>-9999</v>
      </c>
      <c r="Y1045" s="273"/>
      <c r="Z1045" s="461" t="s">
        <v>67</v>
      </c>
      <c r="AA1045" s="580">
        <v>6944</v>
      </c>
      <c r="AB1045" s="471">
        <v>1</v>
      </c>
      <c r="AC1045" s="273">
        <v>-9999</v>
      </c>
      <c r="AD1045" s="273">
        <v>-9999</v>
      </c>
      <c r="AE1045" s="273" t="s">
        <v>1095</v>
      </c>
      <c r="AF1045" s="273">
        <v>5</v>
      </c>
      <c r="AG1045" s="273" t="s">
        <v>1087</v>
      </c>
      <c r="AH1045" s="273" t="s">
        <v>567</v>
      </c>
      <c r="AI1045" s="273" t="s">
        <v>1103</v>
      </c>
      <c r="AJ1045" s="273" t="s">
        <v>1100</v>
      </c>
      <c r="AK1045" s="273" t="s">
        <v>626</v>
      </c>
      <c r="AL1045" s="273" t="s">
        <v>1099</v>
      </c>
      <c r="AM1045" s="273"/>
      <c r="AN1045" s="273" t="s">
        <v>626</v>
      </c>
      <c r="AO1045" s="273" t="s">
        <v>1092</v>
      </c>
      <c r="AP1045" s="273" t="s">
        <v>577</v>
      </c>
      <c r="AQ1045" s="273" t="s">
        <v>626</v>
      </c>
      <c r="AR1045" s="273">
        <v>150</v>
      </c>
      <c r="AS1045" s="273" t="s">
        <v>1201</v>
      </c>
      <c r="AT1045" s="273" t="s">
        <v>738</v>
      </c>
      <c r="AU1045" s="273">
        <v>0</v>
      </c>
      <c r="AV1045" s="273">
        <v>-9999</v>
      </c>
      <c r="AW1045" s="273">
        <v>-9999</v>
      </c>
      <c r="AX1045" s="273">
        <v>0</v>
      </c>
      <c r="AY1045" s="273">
        <v>-9999</v>
      </c>
      <c r="AZ1045" s="273">
        <v>-9999</v>
      </c>
      <c r="BA1045" s="273" t="s">
        <v>1102</v>
      </c>
      <c r="BB1045" s="273" t="s">
        <v>631</v>
      </c>
      <c r="BC1045" s="273">
        <v>-9999</v>
      </c>
      <c r="BD1045" s="273">
        <v>-9999</v>
      </c>
      <c r="BE1045" s="273">
        <v>-9999</v>
      </c>
      <c r="BF1045" s="273">
        <v>-9999</v>
      </c>
      <c r="BG1045" s="273">
        <v>-9999</v>
      </c>
      <c r="BH1045" s="273">
        <v>-9999</v>
      </c>
      <c r="BI1045" s="273">
        <v>-9999</v>
      </c>
      <c r="BJ1045" s="273">
        <v>-9999</v>
      </c>
      <c r="BK1045" s="273">
        <v>-9999</v>
      </c>
      <c r="BL1045" s="273">
        <v>-9999</v>
      </c>
      <c r="BM1045" s="273">
        <v>-9999</v>
      </c>
      <c r="BN1045" s="273">
        <v>-9999</v>
      </c>
      <c r="BO1045" s="273">
        <v>-9999</v>
      </c>
      <c r="BP1045" s="273">
        <v>-9999</v>
      </c>
      <c r="BQ1045" s="273">
        <v>-9999</v>
      </c>
      <c r="BR1045" s="273">
        <v>-9999</v>
      </c>
      <c r="BS1045" s="468">
        <v>-9999</v>
      </c>
      <c r="BT1045" s="273">
        <v>-9999</v>
      </c>
      <c r="BU1045" s="273">
        <v>-9999</v>
      </c>
      <c r="BV1045" s="273">
        <v>-9999</v>
      </c>
      <c r="BW1045" s="273"/>
      <c r="BX1045" s="273">
        <v>-9999</v>
      </c>
      <c r="BY1045" s="273">
        <v>-9999</v>
      </c>
      <c r="BZ1045" s="273">
        <v>-9999</v>
      </c>
      <c r="CA1045" s="472" t="s">
        <v>1096</v>
      </c>
      <c r="CB1045" s="473"/>
      <c r="CC1045" s="462">
        <v>1</v>
      </c>
      <c r="CD1045" s="273">
        <v>3</v>
      </c>
      <c r="CE1045" s="292">
        <v>19.5</v>
      </c>
      <c r="CF1045" s="292">
        <v>41.3</v>
      </c>
      <c r="CG1045" s="89">
        <v>3</v>
      </c>
    </row>
    <row r="1046" spans="1:1873" s="210" customFormat="1" ht="14.25" x14ac:dyDescent="0.25">
      <c r="A1046" s="411" t="s">
        <v>756</v>
      </c>
      <c r="B1046" s="411" t="s">
        <v>1169</v>
      </c>
      <c r="C1046" s="411" t="s">
        <v>1090</v>
      </c>
      <c r="D1046" s="411" t="s">
        <v>619</v>
      </c>
      <c r="E1046" s="571" t="s">
        <v>1528</v>
      </c>
      <c r="F1046" s="571">
        <v>1</v>
      </c>
      <c r="G1046" s="411">
        <v>4</v>
      </c>
      <c r="H1046" s="411">
        <v>4</v>
      </c>
      <c r="I1046" s="411" t="s">
        <v>320</v>
      </c>
      <c r="J1046" s="411">
        <v>1979</v>
      </c>
      <c r="K1046" s="411" t="s">
        <v>856</v>
      </c>
      <c r="L1046" s="411">
        <v>1983</v>
      </c>
      <c r="M1046" s="573">
        <v>-9999</v>
      </c>
      <c r="N1046" s="411">
        <v>-9999</v>
      </c>
      <c r="O1046" s="18"/>
      <c r="P1046" s="575">
        <f>+T1046*G1046</f>
        <v>110</v>
      </c>
      <c r="Q1046" s="411">
        <v>-9999</v>
      </c>
      <c r="R1046" s="573"/>
      <c r="S1046" s="411"/>
      <c r="T1046" s="573">
        <v>27.5</v>
      </c>
      <c r="U1046" s="385">
        <f>+P1046-P1045</f>
        <v>51.5</v>
      </c>
      <c r="V1046" s="411"/>
      <c r="W1046" s="739">
        <f>+P1046-P1045</f>
        <v>51.5</v>
      </c>
      <c r="X1046" s="411">
        <v>-9999</v>
      </c>
      <c r="Y1046" s="411"/>
      <c r="Z1046" s="411" t="s">
        <v>67</v>
      </c>
      <c r="AA1046" s="582">
        <v>6944</v>
      </c>
      <c r="AB1046" s="573">
        <v>1</v>
      </c>
      <c r="AC1046" s="411">
        <v>-9999</v>
      </c>
      <c r="AD1046" s="411">
        <v>-9999</v>
      </c>
      <c r="AE1046" s="411" t="s">
        <v>1095</v>
      </c>
      <c r="AF1046" s="411">
        <v>5</v>
      </c>
      <c r="AG1046" s="411" t="s">
        <v>1087</v>
      </c>
      <c r="AH1046" s="411" t="s">
        <v>567</v>
      </c>
      <c r="AI1046" s="411" t="s">
        <v>1103</v>
      </c>
      <c r="AJ1046" s="411" t="s">
        <v>1100</v>
      </c>
      <c r="AK1046" s="411" t="s">
        <v>626</v>
      </c>
      <c r="AL1046" s="411" t="s">
        <v>1099</v>
      </c>
      <c r="AM1046" s="411"/>
      <c r="AN1046" s="411" t="s">
        <v>626</v>
      </c>
      <c r="AO1046" s="411" t="s">
        <v>1092</v>
      </c>
      <c r="AP1046" s="411" t="s">
        <v>577</v>
      </c>
      <c r="AQ1046" s="411" t="s">
        <v>626</v>
      </c>
      <c r="AR1046" s="411">
        <f>75+AR1045</f>
        <v>225</v>
      </c>
      <c r="AS1046" s="411" t="s">
        <v>1111</v>
      </c>
      <c r="AT1046" s="411" t="s">
        <v>738</v>
      </c>
      <c r="AU1046" s="411">
        <v>0</v>
      </c>
      <c r="AV1046" s="411">
        <v>-9999</v>
      </c>
      <c r="AW1046" s="411">
        <v>-9999</v>
      </c>
      <c r="AX1046" s="411">
        <v>0</v>
      </c>
      <c r="AY1046" s="411">
        <v>-9999</v>
      </c>
      <c r="AZ1046" s="411">
        <v>-9999</v>
      </c>
      <c r="BA1046" s="411" t="s">
        <v>1102</v>
      </c>
      <c r="BB1046" s="411" t="s">
        <v>631</v>
      </c>
      <c r="BC1046" s="411">
        <v>-9999</v>
      </c>
      <c r="BD1046" s="411">
        <v>-9999</v>
      </c>
      <c r="BE1046" s="411">
        <v>-9999</v>
      </c>
      <c r="BF1046" s="411">
        <v>-9999</v>
      </c>
      <c r="BG1046" s="411">
        <v>-9999</v>
      </c>
      <c r="BH1046" s="411">
        <v>-9999</v>
      </c>
      <c r="BI1046" s="411">
        <v>-9999</v>
      </c>
      <c r="BJ1046" s="411">
        <v>-9999</v>
      </c>
      <c r="BK1046" s="411">
        <v>-9999</v>
      </c>
      <c r="BL1046" s="411">
        <v>12.2</v>
      </c>
      <c r="BM1046" s="411">
        <v>-9999</v>
      </c>
      <c r="BN1046" s="411">
        <v>8.9</v>
      </c>
      <c r="BO1046" s="411">
        <v>-9999</v>
      </c>
      <c r="BP1046" s="411">
        <v>-9999</v>
      </c>
      <c r="BQ1046" s="411">
        <v>-9999</v>
      </c>
      <c r="BR1046" s="411">
        <v>-9999</v>
      </c>
      <c r="BS1046" s="583">
        <f>+BT1046*14.286</f>
        <v>3342.924</v>
      </c>
      <c r="BT1046" s="577">
        <v>234</v>
      </c>
      <c r="BU1046" s="411">
        <v>-9999</v>
      </c>
      <c r="BV1046" s="411">
        <v>-9999</v>
      </c>
      <c r="BW1046" s="411"/>
      <c r="BX1046" s="411">
        <v>-9999</v>
      </c>
      <c r="BY1046" s="411">
        <v>-9999</v>
      </c>
      <c r="BZ1046" s="411">
        <v>-9999</v>
      </c>
      <c r="CA1046" s="578" t="s">
        <v>1096</v>
      </c>
      <c r="CB1046" s="579"/>
      <c r="CC1046" s="571">
        <v>1</v>
      </c>
      <c r="CD1046" s="411">
        <v>4</v>
      </c>
      <c r="CE1046" s="99">
        <v>27.5</v>
      </c>
      <c r="CF1046" s="99">
        <v>51.5</v>
      </c>
      <c r="CG1046" s="208">
        <v>4</v>
      </c>
      <c r="CH1046" s="13" t="s">
        <v>1757</v>
      </c>
      <c r="CI1046" s="13"/>
      <c r="CJ1046" s="13"/>
      <c r="CK1046" s="13"/>
      <c r="CL1046" s="13"/>
      <c r="CM1046" s="13"/>
      <c r="CN1046" s="13"/>
      <c r="CO1046" s="13"/>
      <c r="CP1046" s="13"/>
      <c r="CQ1046" s="13"/>
      <c r="CR1046" s="13"/>
      <c r="CS1046" s="13"/>
      <c r="CT1046" s="13"/>
      <c r="CU1046" s="13"/>
      <c r="CV1046" s="13"/>
      <c r="CW1046" s="13"/>
      <c r="CX1046" s="13"/>
      <c r="CY1046" s="13"/>
      <c r="CZ1046" s="13"/>
      <c r="DA1046" s="13"/>
      <c r="DB1046" s="13"/>
      <c r="DC1046" s="13"/>
      <c r="DD1046" s="13"/>
      <c r="DE1046" s="13"/>
      <c r="DF1046" s="13"/>
      <c r="DG1046" s="13"/>
      <c r="DH1046" s="13"/>
      <c r="DI1046" s="13"/>
      <c r="DJ1046" s="13"/>
      <c r="DK1046" s="13"/>
      <c r="DL1046" s="13"/>
      <c r="DM1046" s="13"/>
      <c r="DN1046" s="13"/>
      <c r="DO1046" s="13"/>
      <c r="DP1046" s="13"/>
      <c r="DQ1046" s="13"/>
      <c r="DR1046" s="13"/>
      <c r="DS1046" s="13"/>
      <c r="DT1046" s="13"/>
      <c r="DU1046" s="13"/>
      <c r="DV1046" s="13"/>
      <c r="DW1046" s="13"/>
      <c r="DX1046" s="13"/>
      <c r="DY1046" s="13"/>
      <c r="DZ1046" s="13"/>
      <c r="EA1046" s="13"/>
      <c r="EB1046" s="13"/>
      <c r="EC1046" s="13"/>
      <c r="ED1046" s="13"/>
      <c r="EE1046" s="13"/>
      <c r="EF1046" s="13"/>
      <c r="EG1046" s="13"/>
      <c r="EH1046" s="13"/>
      <c r="EI1046" s="13"/>
      <c r="EJ1046" s="13"/>
      <c r="EK1046" s="13"/>
      <c r="EL1046" s="13"/>
      <c r="EM1046" s="13"/>
      <c r="EN1046" s="13"/>
      <c r="EO1046" s="13"/>
      <c r="EP1046" s="13"/>
      <c r="EQ1046" s="13"/>
      <c r="ER1046" s="13"/>
      <c r="ES1046" s="13"/>
      <c r="ET1046" s="13"/>
      <c r="EU1046" s="13"/>
      <c r="EV1046" s="13"/>
      <c r="EW1046" s="13"/>
      <c r="EX1046" s="13"/>
      <c r="EY1046" s="13"/>
      <c r="EZ1046" s="13"/>
      <c r="FA1046" s="13"/>
      <c r="FB1046" s="13"/>
      <c r="FC1046" s="13"/>
      <c r="FD1046" s="13"/>
      <c r="FE1046" s="13"/>
      <c r="FF1046" s="13"/>
      <c r="FG1046" s="13"/>
      <c r="FH1046" s="13"/>
      <c r="FI1046" s="13"/>
      <c r="FJ1046" s="13"/>
      <c r="FK1046" s="13"/>
      <c r="FL1046" s="13"/>
      <c r="FM1046" s="13"/>
      <c r="FN1046" s="13"/>
      <c r="FO1046" s="13"/>
      <c r="FP1046" s="13"/>
      <c r="FQ1046" s="13"/>
      <c r="FR1046" s="13"/>
      <c r="FS1046" s="13"/>
      <c r="FT1046" s="13"/>
      <c r="FU1046" s="13"/>
      <c r="FV1046" s="13"/>
      <c r="FW1046" s="13"/>
      <c r="FX1046" s="13"/>
      <c r="FY1046" s="13"/>
      <c r="FZ1046" s="13"/>
      <c r="GA1046" s="13"/>
      <c r="GB1046" s="13"/>
      <c r="GC1046" s="13"/>
      <c r="GD1046" s="13"/>
      <c r="GE1046" s="13"/>
      <c r="GF1046" s="13"/>
      <c r="GG1046" s="13"/>
      <c r="GH1046" s="13"/>
      <c r="GI1046" s="13"/>
      <c r="GJ1046" s="13"/>
      <c r="GK1046" s="13"/>
      <c r="GL1046" s="13"/>
      <c r="GM1046" s="13"/>
      <c r="GN1046" s="13"/>
      <c r="GO1046" s="13"/>
      <c r="GP1046" s="13"/>
      <c r="GQ1046" s="13"/>
      <c r="GR1046" s="13"/>
      <c r="GS1046" s="13"/>
      <c r="GT1046" s="13"/>
      <c r="GU1046" s="13"/>
      <c r="GV1046" s="13"/>
      <c r="GW1046" s="13"/>
      <c r="GX1046" s="13"/>
      <c r="GY1046" s="13"/>
      <c r="GZ1046" s="13"/>
      <c r="HA1046" s="13"/>
      <c r="HB1046" s="13"/>
      <c r="HC1046" s="13"/>
      <c r="HD1046" s="13"/>
      <c r="HE1046" s="13"/>
      <c r="HF1046" s="13"/>
      <c r="HG1046" s="13"/>
      <c r="HH1046" s="13"/>
      <c r="HI1046" s="13"/>
      <c r="HJ1046" s="13"/>
      <c r="HK1046" s="13"/>
      <c r="HL1046" s="13"/>
      <c r="HM1046" s="13"/>
      <c r="HN1046" s="13"/>
      <c r="HO1046" s="13"/>
      <c r="HP1046" s="13"/>
      <c r="HQ1046" s="13"/>
      <c r="HR1046" s="13"/>
      <c r="HS1046" s="13"/>
      <c r="HT1046" s="13"/>
      <c r="HU1046" s="13"/>
      <c r="HV1046" s="13"/>
      <c r="HW1046" s="13"/>
      <c r="HX1046" s="13"/>
      <c r="HY1046" s="13"/>
      <c r="HZ1046" s="13"/>
      <c r="IA1046" s="13"/>
      <c r="IB1046" s="13"/>
      <c r="IC1046" s="13"/>
      <c r="ID1046" s="13"/>
      <c r="IE1046" s="13"/>
      <c r="IF1046" s="13"/>
      <c r="IG1046" s="13"/>
      <c r="IH1046" s="13"/>
      <c r="II1046" s="13"/>
      <c r="IJ1046" s="13"/>
      <c r="IK1046" s="13"/>
      <c r="IL1046" s="13"/>
      <c r="IM1046" s="13"/>
      <c r="IN1046" s="13"/>
      <c r="IO1046" s="13"/>
      <c r="IP1046" s="13"/>
      <c r="IQ1046" s="13"/>
      <c r="IR1046" s="13"/>
      <c r="IS1046" s="13"/>
      <c r="IT1046" s="13"/>
      <c r="IU1046" s="13"/>
      <c r="IV1046" s="13"/>
      <c r="IW1046" s="13"/>
      <c r="IX1046" s="13"/>
      <c r="IY1046" s="13"/>
      <c r="IZ1046" s="13"/>
      <c r="JA1046" s="13"/>
      <c r="JB1046" s="13"/>
      <c r="JC1046" s="13"/>
      <c r="JD1046" s="13"/>
      <c r="JE1046" s="13"/>
      <c r="JF1046" s="13"/>
      <c r="JG1046" s="13"/>
      <c r="JH1046" s="13"/>
      <c r="JI1046" s="13"/>
      <c r="JJ1046" s="13"/>
      <c r="JK1046" s="13"/>
      <c r="JL1046" s="13"/>
      <c r="JM1046" s="13"/>
      <c r="JN1046" s="13"/>
      <c r="JO1046" s="13"/>
      <c r="JP1046" s="13"/>
      <c r="JQ1046" s="13"/>
      <c r="JR1046" s="13"/>
      <c r="JS1046" s="13"/>
      <c r="JT1046" s="13"/>
      <c r="JU1046" s="13"/>
      <c r="JV1046" s="13"/>
      <c r="JW1046" s="13"/>
      <c r="JX1046" s="13"/>
      <c r="JY1046" s="13"/>
      <c r="JZ1046" s="13"/>
      <c r="KA1046" s="13"/>
      <c r="KB1046" s="13"/>
      <c r="KC1046" s="13"/>
      <c r="KD1046" s="13"/>
      <c r="KE1046" s="13"/>
      <c r="KF1046" s="13"/>
      <c r="KG1046" s="13"/>
      <c r="KH1046" s="13"/>
      <c r="KI1046" s="13"/>
      <c r="KJ1046" s="13"/>
      <c r="KK1046" s="13"/>
      <c r="KL1046" s="13"/>
      <c r="KM1046" s="13"/>
      <c r="KN1046" s="13"/>
      <c r="KO1046" s="13"/>
      <c r="KP1046" s="13"/>
      <c r="KQ1046" s="13"/>
      <c r="KR1046" s="13"/>
      <c r="KS1046" s="13"/>
      <c r="KT1046" s="13"/>
      <c r="KU1046" s="13"/>
      <c r="KV1046" s="13"/>
      <c r="KW1046" s="13"/>
      <c r="KX1046" s="13"/>
      <c r="KY1046" s="13"/>
      <c r="KZ1046" s="13"/>
      <c r="LA1046" s="13"/>
      <c r="LB1046" s="13"/>
      <c r="LC1046" s="13"/>
      <c r="LD1046" s="13"/>
      <c r="LE1046" s="13"/>
      <c r="LF1046" s="13"/>
      <c r="LG1046" s="13"/>
      <c r="LH1046" s="13"/>
      <c r="LI1046" s="13"/>
      <c r="LJ1046" s="13"/>
      <c r="LK1046" s="13"/>
      <c r="LL1046" s="13"/>
      <c r="LM1046" s="13"/>
      <c r="LN1046" s="13"/>
      <c r="LO1046" s="13"/>
      <c r="LP1046" s="13"/>
      <c r="LQ1046" s="13"/>
      <c r="LR1046" s="13"/>
      <c r="LS1046" s="13"/>
      <c r="LT1046" s="13"/>
      <c r="LU1046" s="13"/>
      <c r="LV1046" s="13"/>
      <c r="LW1046" s="13"/>
      <c r="LX1046" s="13"/>
      <c r="LY1046" s="13"/>
      <c r="LZ1046" s="13"/>
      <c r="MA1046" s="13"/>
      <c r="MB1046" s="13"/>
      <c r="MC1046" s="13"/>
      <c r="MD1046" s="13"/>
      <c r="ME1046" s="13"/>
      <c r="MF1046" s="13"/>
      <c r="MG1046" s="13"/>
      <c r="MH1046" s="13"/>
      <c r="MI1046" s="13"/>
      <c r="MJ1046" s="13"/>
      <c r="MK1046" s="13"/>
      <c r="ML1046" s="13"/>
      <c r="MM1046" s="13"/>
      <c r="MN1046" s="13"/>
      <c r="MO1046" s="13"/>
      <c r="MP1046" s="13"/>
      <c r="MQ1046" s="13"/>
      <c r="MR1046" s="13"/>
      <c r="MS1046" s="13"/>
      <c r="MT1046" s="13"/>
      <c r="MU1046" s="13"/>
      <c r="MV1046" s="13"/>
      <c r="MW1046" s="13"/>
      <c r="MX1046" s="13"/>
      <c r="MY1046" s="13"/>
      <c r="MZ1046" s="13"/>
      <c r="NA1046" s="13"/>
      <c r="NB1046" s="13"/>
      <c r="NC1046" s="13"/>
      <c r="ND1046" s="13"/>
      <c r="NE1046" s="13"/>
      <c r="NF1046" s="13"/>
      <c r="NG1046" s="13"/>
      <c r="NH1046" s="13"/>
      <c r="NI1046" s="13"/>
      <c r="NJ1046" s="13"/>
      <c r="NK1046" s="13"/>
      <c r="NL1046" s="13"/>
      <c r="NM1046" s="13"/>
      <c r="NN1046" s="13"/>
      <c r="NO1046" s="13"/>
      <c r="NP1046" s="13"/>
      <c r="NQ1046" s="13"/>
      <c r="NR1046" s="13"/>
      <c r="NS1046" s="13"/>
      <c r="NT1046" s="13"/>
      <c r="NU1046" s="13"/>
      <c r="NV1046" s="13"/>
      <c r="NW1046" s="13"/>
      <c r="NX1046" s="13"/>
      <c r="NY1046" s="13"/>
      <c r="NZ1046" s="13"/>
      <c r="OA1046" s="13"/>
      <c r="OB1046" s="13"/>
      <c r="OC1046" s="13"/>
      <c r="OD1046" s="13"/>
      <c r="OE1046" s="13"/>
      <c r="OF1046" s="13"/>
      <c r="OG1046" s="13"/>
      <c r="OH1046" s="13"/>
      <c r="OI1046" s="13"/>
      <c r="OJ1046" s="13"/>
      <c r="OK1046" s="13"/>
      <c r="OL1046" s="13"/>
      <c r="OM1046" s="13"/>
      <c r="ON1046" s="13"/>
      <c r="OO1046" s="13"/>
      <c r="OP1046" s="13"/>
      <c r="OQ1046" s="13"/>
      <c r="OR1046" s="13"/>
      <c r="OS1046" s="13"/>
      <c r="OT1046" s="13"/>
      <c r="OU1046" s="13"/>
      <c r="OV1046" s="13"/>
      <c r="OW1046" s="13"/>
      <c r="OX1046" s="13"/>
      <c r="OY1046" s="13"/>
      <c r="OZ1046" s="13"/>
      <c r="PA1046" s="13"/>
      <c r="PB1046" s="13"/>
      <c r="PC1046" s="13"/>
      <c r="PD1046" s="13"/>
      <c r="PE1046" s="13"/>
      <c r="PF1046" s="13"/>
      <c r="PG1046" s="13"/>
      <c r="PH1046" s="13"/>
      <c r="PI1046" s="13"/>
      <c r="PJ1046" s="13"/>
      <c r="PK1046" s="13"/>
      <c r="PL1046" s="13"/>
      <c r="PM1046" s="13"/>
      <c r="PN1046" s="13"/>
      <c r="PO1046" s="13"/>
      <c r="PP1046" s="13"/>
      <c r="PQ1046" s="13"/>
      <c r="PR1046" s="13"/>
      <c r="PS1046" s="13"/>
      <c r="PT1046" s="13"/>
      <c r="PU1046" s="13"/>
      <c r="PV1046" s="13"/>
      <c r="PW1046" s="13"/>
      <c r="PX1046" s="13"/>
      <c r="PY1046" s="13"/>
      <c r="PZ1046" s="13"/>
      <c r="QA1046" s="13"/>
      <c r="QB1046" s="13"/>
      <c r="QC1046" s="13"/>
      <c r="QD1046" s="13"/>
      <c r="QE1046" s="13"/>
      <c r="QF1046" s="13"/>
      <c r="QG1046" s="13"/>
      <c r="QH1046" s="13"/>
      <c r="QI1046" s="13"/>
      <c r="QJ1046" s="13"/>
      <c r="QK1046" s="13"/>
      <c r="QL1046" s="13"/>
      <c r="QM1046" s="13"/>
      <c r="QN1046" s="13"/>
      <c r="QO1046" s="13"/>
      <c r="QP1046" s="13"/>
      <c r="QQ1046" s="13"/>
      <c r="QR1046" s="13"/>
      <c r="QS1046" s="13"/>
      <c r="QT1046" s="13"/>
      <c r="QU1046" s="13"/>
      <c r="QV1046" s="13"/>
      <c r="QW1046" s="13"/>
      <c r="QX1046" s="13"/>
      <c r="QY1046" s="13"/>
      <c r="QZ1046" s="13"/>
      <c r="RA1046" s="13"/>
      <c r="RB1046" s="13"/>
      <c r="RC1046" s="13"/>
      <c r="RD1046" s="13"/>
      <c r="RE1046" s="13"/>
      <c r="RF1046" s="13"/>
      <c r="RG1046" s="13"/>
      <c r="RH1046" s="13"/>
      <c r="RI1046" s="13"/>
      <c r="RJ1046" s="13"/>
      <c r="RK1046" s="13"/>
      <c r="RL1046" s="13"/>
      <c r="RM1046" s="13"/>
      <c r="RN1046" s="13"/>
      <c r="RO1046" s="13"/>
      <c r="RP1046" s="13"/>
      <c r="RQ1046" s="13"/>
      <c r="RR1046" s="13"/>
      <c r="RS1046" s="13"/>
      <c r="RT1046" s="13"/>
      <c r="RU1046" s="13"/>
      <c r="RV1046" s="13"/>
      <c r="RW1046" s="13"/>
      <c r="RX1046" s="13"/>
      <c r="RY1046" s="13"/>
      <c r="RZ1046" s="13"/>
      <c r="SA1046" s="13"/>
      <c r="SB1046" s="13"/>
      <c r="SC1046" s="13"/>
      <c r="SD1046" s="13"/>
      <c r="SE1046" s="13"/>
      <c r="SF1046" s="13"/>
      <c r="SG1046" s="13"/>
      <c r="SH1046" s="13"/>
      <c r="SI1046" s="13"/>
      <c r="SJ1046" s="13"/>
      <c r="SK1046" s="13"/>
      <c r="SL1046" s="13"/>
      <c r="SM1046" s="13"/>
      <c r="SN1046" s="13"/>
      <c r="SO1046" s="13"/>
      <c r="SP1046" s="13"/>
      <c r="SQ1046" s="13"/>
      <c r="SR1046" s="13"/>
      <c r="SS1046" s="13"/>
      <c r="ST1046" s="13"/>
      <c r="SU1046" s="13"/>
      <c r="SV1046" s="13"/>
      <c r="SW1046" s="13"/>
      <c r="SX1046" s="13"/>
      <c r="SY1046" s="13"/>
      <c r="SZ1046" s="13"/>
      <c r="TA1046" s="13"/>
      <c r="TB1046" s="13"/>
      <c r="TC1046" s="13"/>
      <c r="TD1046" s="13"/>
      <c r="TE1046" s="13"/>
      <c r="TF1046" s="13"/>
      <c r="TG1046" s="13"/>
      <c r="TH1046" s="13"/>
      <c r="TI1046" s="13"/>
      <c r="TJ1046" s="13"/>
      <c r="TK1046" s="13"/>
      <c r="TL1046" s="13"/>
      <c r="TM1046" s="13"/>
      <c r="TN1046" s="13"/>
      <c r="TO1046" s="13"/>
      <c r="TP1046" s="13"/>
      <c r="TQ1046" s="13"/>
      <c r="TR1046" s="13"/>
      <c r="TS1046" s="13"/>
      <c r="TT1046" s="13"/>
      <c r="TU1046" s="13"/>
      <c r="TV1046" s="13"/>
      <c r="TW1046" s="13"/>
      <c r="TX1046" s="13"/>
      <c r="TY1046" s="13"/>
      <c r="TZ1046" s="13"/>
      <c r="UA1046" s="13"/>
      <c r="UB1046" s="13"/>
      <c r="UC1046" s="13"/>
      <c r="UD1046" s="13"/>
      <c r="UE1046" s="13"/>
      <c r="UF1046" s="13"/>
      <c r="UG1046" s="13"/>
      <c r="UH1046" s="13"/>
      <c r="UI1046" s="13"/>
      <c r="UJ1046" s="13"/>
      <c r="UK1046" s="13"/>
      <c r="UL1046" s="13"/>
      <c r="UM1046" s="13"/>
      <c r="UN1046" s="13"/>
      <c r="UO1046" s="13"/>
      <c r="UP1046" s="13"/>
      <c r="UQ1046" s="13"/>
      <c r="UR1046" s="13"/>
      <c r="US1046" s="13"/>
      <c r="UT1046" s="13"/>
      <c r="UU1046" s="13"/>
      <c r="UV1046" s="13"/>
      <c r="UW1046" s="13"/>
      <c r="UX1046" s="13"/>
      <c r="UY1046" s="13"/>
      <c r="UZ1046" s="13"/>
      <c r="VA1046" s="13"/>
      <c r="VB1046" s="13"/>
      <c r="VC1046" s="13"/>
      <c r="VD1046" s="13"/>
      <c r="VE1046" s="13"/>
      <c r="VF1046" s="13"/>
      <c r="VG1046" s="13"/>
      <c r="VH1046" s="13"/>
      <c r="VI1046" s="13"/>
      <c r="VJ1046" s="13"/>
      <c r="VK1046" s="13"/>
      <c r="VL1046" s="13"/>
      <c r="VM1046" s="13"/>
      <c r="VN1046" s="13"/>
      <c r="VO1046" s="13"/>
      <c r="VP1046" s="13"/>
      <c r="VQ1046" s="13"/>
      <c r="VR1046" s="13"/>
      <c r="VS1046" s="13"/>
      <c r="VT1046" s="13"/>
      <c r="VU1046" s="13"/>
      <c r="VV1046" s="13"/>
      <c r="VW1046" s="13"/>
      <c r="VX1046" s="13"/>
      <c r="VY1046" s="13"/>
      <c r="VZ1046" s="13"/>
      <c r="WA1046" s="13"/>
      <c r="WB1046" s="13"/>
      <c r="WC1046" s="13"/>
      <c r="WD1046" s="13"/>
      <c r="WE1046" s="13"/>
      <c r="WF1046" s="13"/>
      <c r="WG1046" s="13"/>
      <c r="WH1046" s="13"/>
      <c r="WI1046" s="13"/>
      <c r="WJ1046" s="13"/>
      <c r="WK1046" s="13"/>
      <c r="WL1046" s="13"/>
      <c r="WM1046" s="13"/>
      <c r="WN1046" s="13"/>
      <c r="WO1046" s="13"/>
      <c r="WP1046" s="13"/>
      <c r="WQ1046" s="13"/>
      <c r="WR1046" s="13"/>
      <c r="WS1046" s="13"/>
      <c r="WT1046" s="13"/>
      <c r="WU1046" s="13"/>
      <c r="WV1046" s="13"/>
      <c r="WW1046" s="13"/>
      <c r="WX1046" s="13"/>
      <c r="WY1046" s="13"/>
      <c r="WZ1046" s="13"/>
      <c r="XA1046" s="13"/>
      <c r="XB1046" s="13"/>
      <c r="XC1046" s="13"/>
      <c r="XD1046" s="13"/>
      <c r="XE1046" s="13"/>
      <c r="XF1046" s="13"/>
      <c r="XG1046" s="13"/>
      <c r="XH1046" s="13"/>
      <c r="XI1046" s="13"/>
      <c r="XJ1046" s="13"/>
      <c r="XK1046" s="13"/>
      <c r="XL1046" s="13"/>
      <c r="XM1046" s="13"/>
      <c r="XN1046" s="13"/>
      <c r="XO1046" s="13"/>
      <c r="XP1046" s="13"/>
      <c r="XQ1046" s="13"/>
      <c r="XR1046" s="13"/>
      <c r="XS1046" s="13"/>
      <c r="XT1046" s="13"/>
      <c r="XU1046" s="13"/>
      <c r="XV1046" s="13"/>
      <c r="XW1046" s="13"/>
      <c r="XX1046" s="13"/>
      <c r="XY1046" s="13"/>
      <c r="XZ1046" s="13"/>
      <c r="YA1046" s="13"/>
      <c r="YB1046" s="13"/>
      <c r="YC1046" s="13"/>
      <c r="YD1046" s="13"/>
      <c r="YE1046" s="13"/>
      <c r="YF1046" s="13"/>
      <c r="YG1046" s="13"/>
      <c r="YH1046" s="13"/>
      <c r="YI1046" s="13"/>
      <c r="YJ1046" s="13"/>
      <c r="YK1046" s="13"/>
      <c r="YL1046" s="13"/>
      <c r="YM1046" s="13"/>
      <c r="YN1046" s="13"/>
      <c r="YO1046" s="13"/>
      <c r="YP1046" s="13"/>
      <c r="YQ1046" s="13"/>
      <c r="YR1046" s="13"/>
      <c r="YS1046" s="13"/>
      <c r="YT1046" s="13"/>
      <c r="YU1046" s="13"/>
      <c r="YV1046" s="13"/>
      <c r="YW1046" s="13"/>
      <c r="YX1046" s="13"/>
      <c r="YY1046" s="13"/>
      <c r="YZ1046" s="13"/>
      <c r="ZA1046" s="13"/>
      <c r="ZB1046" s="13"/>
      <c r="ZC1046" s="13"/>
      <c r="ZD1046" s="13"/>
      <c r="ZE1046" s="13"/>
      <c r="ZF1046" s="13"/>
      <c r="ZG1046" s="13"/>
      <c r="ZH1046" s="13"/>
      <c r="ZI1046" s="13"/>
      <c r="ZJ1046" s="13"/>
      <c r="ZK1046" s="13"/>
      <c r="ZL1046" s="13"/>
      <c r="ZM1046" s="13"/>
      <c r="ZN1046" s="13"/>
      <c r="ZO1046" s="13"/>
      <c r="ZP1046" s="13"/>
      <c r="ZQ1046" s="13"/>
      <c r="ZR1046" s="13"/>
      <c r="ZS1046" s="13"/>
      <c r="ZT1046" s="13"/>
      <c r="ZU1046" s="13"/>
      <c r="ZV1046" s="13"/>
      <c r="ZW1046" s="13"/>
      <c r="ZX1046" s="13"/>
      <c r="ZY1046" s="13"/>
      <c r="ZZ1046" s="13"/>
      <c r="AAA1046" s="13"/>
      <c r="AAB1046" s="13"/>
      <c r="AAC1046" s="13"/>
      <c r="AAD1046" s="13"/>
      <c r="AAE1046" s="13"/>
      <c r="AAF1046" s="13"/>
      <c r="AAG1046" s="13"/>
      <c r="AAH1046" s="13"/>
      <c r="AAI1046" s="13"/>
      <c r="AAJ1046" s="13"/>
      <c r="AAK1046" s="13"/>
      <c r="AAL1046" s="13"/>
      <c r="AAM1046" s="13"/>
      <c r="AAN1046" s="13"/>
      <c r="AAO1046" s="13"/>
      <c r="AAP1046" s="13"/>
      <c r="AAQ1046" s="13"/>
      <c r="AAR1046" s="13"/>
      <c r="AAS1046" s="13"/>
      <c r="AAT1046" s="13"/>
      <c r="AAU1046" s="13"/>
      <c r="AAV1046" s="13"/>
      <c r="AAW1046" s="13"/>
      <c r="AAX1046" s="13"/>
      <c r="AAY1046" s="13"/>
      <c r="AAZ1046" s="13"/>
      <c r="ABA1046" s="13"/>
      <c r="ABB1046" s="13"/>
      <c r="ABC1046" s="13"/>
      <c r="ABD1046" s="13"/>
      <c r="ABE1046" s="13"/>
      <c r="ABF1046" s="13"/>
      <c r="ABG1046" s="13"/>
      <c r="ABH1046" s="13"/>
      <c r="ABI1046" s="13"/>
      <c r="ABJ1046" s="13"/>
      <c r="ABK1046" s="13"/>
      <c r="ABL1046" s="13"/>
      <c r="ABM1046" s="13"/>
      <c r="ABN1046" s="13"/>
      <c r="ABO1046" s="13"/>
      <c r="ABP1046" s="13"/>
      <c r="ABQ1046" s="13"/>
      <c r="ABR1046" s="13"/>
      <c r="ABS1046" s="13"/>
      <c r="ABT1046" s="13"/>
      <c r="ABU1046" s="13"/>
      <c r="ABV1046" s="13"/>
      <c r="ABW1046" s="13"/>
      <c r="ABX1046" s="13"/>
      <c r="ABY1046" s="13"/>
      <c r="ABZ1046" s="13"/>
      <c r="ACA1046" s="13"/>
      <c r="ACB1046" s="13"/>
      <c r="ACC1046" s="13"/>
      <c r="ACD1046" s="13"/>
      <c r="ACE1046" s="13"/>
      <c r="ACF1046" s="13"/>
      <c r="ACG1046" s="13"/>
      <c r="ACH1046" s="13"/>
      <c r="ACI1046" s="13"/>
      <c r="ACJ1046" s="13"/>
      <c r="ACK1046" s="13"/>
      <c r="ACL1046" s="13"/>
      <c r="ACM1046" s="13"/>
      <c r="ACN1046" s="13"/>
      <c r="ACO1046" s="13"/>
      <c r="ACP1046" s="13"/>
      <c r="ACQ1046" s="13"/>
      <c r="ACR1046" s="13"/>
      <c r="ACS1046" s="13"/>
      <c r="ACT1046" s="13"/>
      <c r="ACU1046" s="13"/>
      <c r="ACV1046" s="13"/>
      <c r="ACW1046" s="13"/>
      <c r="ACX1046" s="13"/>
      <c r="ACY1046" s="13"/>
      <c r="ACZ1046" s="13"/>
      <c r="ADA1046" s="13"/>
      <c r="ADB1046" s="13"/>
      <c r="ADC1046" s="13"/>
      <c r="ADD1046" s="13"/>
      <c r="ADE1046" s="13"/>
      <c r="ADF1046" s="13"/>
      <c r="ADG1046" s="13"/>
      <c r="ADH1046" s="13"/>
      <c r="ADI1046" s="13"/>
      <c r="ADJ1046" s="13"/>
      <c r="ADK1046" s="13"/>
      <c r="ADL1046" s="13"/>
      <c r="ADM1046" s="13"/>
      <c r="ADN1046" s="13"/>
      <c r="ADO1046" s="13"/>
      <c r="ADP1046" s="13"/>
      <c r="ADQ1046" s="13"/>
      <c r="ADR1046" s="13"/>
      <c r="ADS1046" s="13"/>
      <c r="ADT1046" s="13"/>
      <c r="ADU1046" s="13"/>
      <c r="ADV1046" s="13"/>
      <c r="ADW1046" s="13"/>
      <c r="ADX1046" s="13"/>
      <c r="ADY1046" s="13"/>
      <c r="ADZ1046" s="13"/>
      <c r="AEA1046" s="13"/>
      <c r="AEB1046" s="13"/>
      <c r="AEC1046" s="13"/>
      <c r="AED1046" s="13"/>
      <c r="AEE1046" s="13"/>
      <c r="AEF1046" s="13"/>
      <c r="AEG1046" s="13"/>
      <c r="AEH1046" s="13"/>
      <c r="AEI1046" s="13"/>
      <c r="AEJ1046" s="13"/>
      <c r="AEK1046" s="13"/>
      <c r="AEL1046" s="13"/>
      <c r="AEM1046" s="13"/>
      <c r="AEN1046" s="13"/>
      <c r="AEO1046" s="13"/>
      <c r="AEP1046" s="13"/>
      <c r="AEQ1046" s="13"/>
      <c r="AER1046" s="13"/>
      <c r="AES1046" s="13"/>
      <c r="AET1046" s="13"/>
      <c r="AEU1046" s="13"/>
      <c r="AEV1046" s="13"/>
      <c r="AEW1046" s="13"/>
      <c r="AEX1046" s="13"/>
      <c r="AEY1046" s="13"/>
      <c r="AEZ1046" s="13"/>
      <c r="AFA1046" s="13"/>
      <c r="AFB1046" s="13"/>
      <c r="AFC1046" s="13"/>
      <c r="AFD1046" s="13"/>
      <c r="AFE1046" s="13"/>
      <c r="AFF1046" s="13"/>
      <c r="AFG1046" s="13"/>
      <c r="AFH1046" s="13"/>
      <c r="AFI1046" s="13"/>
      <c r="AFJ1046" s="13"/>
      <c r="AFK1046" s="13"/>
      <c r="AFL1046" s="13"/>
      <c r="AFM1046" s="13"/>
      <c r="AFN1046" s="13"/>
      <c r="AFO1046" s="13"/>
      <c r="AFP1046" s="13"/>
      <c r="AFQ1046" s="13"/>
      <c r="AFR1046" s="13"/>
      <c r="AFS1046" s="13"/>
      <c r="AFT1046" s="13"/>
      <c r="AFU1046" s="13"/>
      <c r="AFV1046" s="13"/>
      <c r="AFW1046" s="13"/>
      <c r="AFX1046" s="13"/>
      <c r="AFY1046" s="13"/>
      <c r="AFZ1046" s="13"/>
      <c r="AGA1046" s="13"/>
      <c r="AGB1046" s="13"/>
      <c r="AGC1046" s="13"/>
      <c r="AGD1046" s="13"/>
      <c r="AGE1046" s="13"/>
      <c r="AGF1046" s="13"/>
      <c r="AGG1046" s="13"/>
      <c r="AGH1046" s="13"/>
      <c r="AGI1046" s="13"/>
      <c r="AGJ1046" s="13"/>
      <c r="AGK1046" s="13"/>
      <c r="AGL1046" s="13"/>
      <c r="AGM1046" s="13"/>
      <c r="AGN1046" s="13"/>
      <c r="AGO1046" s="13"/>
      <c r="AGP1046" s="13"/>
      <c r="AGQ1046" s="13"/>
      <c r="AGR1046" s="13"/>
      <c r="AGS1046" s="13"/>
      <c r="AGT1046" s="13"/>
      <c r="AGU1046" s="13"/>
      <c r="AGV1046" s="13"/>
      <c r="AGW1046" s="13"/>
      <c r="AGX1046" s="13"/>
      <c r="AGY1046" s="13"/>
      <c r="AGZ1046" s="13"/>
      <c r="AHA1046" s="13"/>
      <c r="AHB1046" s="13"/>
      <c r="AHC1046" s="13"/>
      <c r="AHD1046" s="13"/>
      <c r="AHE1046" s="13"/>
      <c r="AHF1046" s="13"/>
      <c r="AHG1046" s="13"/>
      <c r="AHH1046" s="13"/>
      <c r="AHI1046" s="13"/>
      <c r="AHJ1046" s="13"/>
      <c r="AHK1046" s="13"/>
      <c r="AHL1046" s="13"/>
      <c r="AHM1046" s="13"/>
      <c r="AHN1046" s="13"/>
      <c r="AHO1046" s="13"/>
      <c r="AHP1046" s="13"/>
      <c r="AHQ1046" s="13"/>
      <c r="AHR1046" s="13"/>
      <c r="AHS1046" s="13"/>
      <c r="AHT1046" s="13"/>
      <c r="AHU1046" s="13"/>
      <c r="AHV1046" s="13"/>
      <c r="AHW1046" s="13"/>
      <c r="AHX1046" s="13"/>
      <c r="AHY1046" s="13"/>
      <c r="AHZ1046" s="13"/>
      <c r="AIA1046" s="13"/>
      <c r="AIB1046" s="13"/>
      <c r="AIC1046" s="13"/>
      <c r="AID1046" s="13"/>
      <c r="AIE1046" s="13"/>
      <c r="AIF1046" s="13"/>
      <c r="AIG1046" s="13"/>
      <c r="AIH1046" s="13"/>
      <c r="AII1046" s="13"/>
      <c r="AIJ1046" s="13"/>
      <c r="AIK1046" s="13"/>
      <c r="AIL1046" s="13"/>
      <c r="AIM1046" s="13"/>
      <c r="AIN1046" s="13"/>
      <c r="AIO1046" s="13"/>
      <c r="AIP1046" s="13"/>
      <c r="AIQ1046" s="13"/>
      <c r="AIR1046" s="13"/>
      <c r="AIS1046" s="13"/>
      <c r="AIT1046" s="13"/>
      <c r="AIU1046" s="13"/>
      <c r="AIV1046" s="13"/>
      <c r="AIW1046" s="13"/>
      <c r="AIX1046" s="13"/>
      <c r="AIY1046" s="13"/>
      <c r="AIZ1046" s="13"/>
      <c r="AJA1046" s="13"/>
      <c r="AJB1046" s="13"/>
      <c r="AJC1046" s="13"/>
      <c r="AJD1046" s="13"/>
      <c r="AJE1046" s="13"/>
      <c r="AJF1046" s="13"/>
      <c r="AJG1046" s="13"/>
      <c r="AJH1046" s="13"/>
      <c r="AJI1046" s="13"/>
      <c r="AJJ1046" s="13"/>
      <c r="AJK1046" s="13"/>
      <c r="AJL1046" s="13"/>
      <c r="AJM1046" s="13"/>
      <c r="AJN1046" s="13"/>
      <c r="AJO1046" s="13"/>
      <c r="AJP1046" s="13"/>
      <c r="AJQ1046" s="13"/>
      <c r="AJR1046" s="13"/>
      <c r="AJS1046" s="13"/>
      <c r="AJT1046" s="13"/>
      <c r="AJU1046" s="13"/>
      <c r="AJV1046" s="13"/>
      <c r="AJW1046" s="13"/>
      <c r="AJX1046" s="13"/>
      <c r="AJY1046" s="13"/>
      <c r="AJZ1046" s="13"/>
      <c r="AKA1046" s="13"/>
      <c r="AKB1046" s="13"/>
      <c r="AKC1046" s="13"/>
      <c r="AKD1046" s="13"/>
      <c r="AKE1046" s="13"/>
      <c r="AKF1046" s="13"/>
      <c r="AKG1046" s="13"/>
      <c r="AKH1046" s="13"/>
      <c r="AKI1046" s="13"/>
      <c r="AKJ1046" s="13"/>
      <c r="AKK1046" s="13"/>
      <c r="AKL1046" s="13"/>
      <c r="AKM1046" s="13"/>
      <c r="AKN1046" s="13"/>
      <c r="AKO1046" s="13"/>
      <c r="AKP1046" s="13"/>
      <c r="AKQ1046" s="13"/>
      <c r="AKR1046" s="13"/>
      <c r="AKS1046" s="13"/>
      <c r="AKT1046" s="13"/>
      <c r="AKU1046" s="13"/>
      <c r="AKV1046" s="13"/>
      <c r="AKW1046" s="13"/>
      <c r="AKX1046" s="13"/>
      <c r="AKY1046" s="13"/>
      <c r="AKZ1046" s="13"/>
      <c r="ALA1046" s="13"/>
      <c r="ALB1046" s="13"/>
      <c r="ALC1046" s="13"/>
      <c r="ALD1046" s="13"/>
      <c r="ALE1046" s="13"/>
      <c r="ALF1046" s="13"/>
      <c r="ALG1046" s="13"/>
      <c r="ALH1046" s="13"/>
      <c r="ALI1046" s="13"/>
      <c r="ALJ1046" s="13"/>
      <c r="ALK1046" s="13"/>
      <c r="ALL1046" s="13"/>
      <c r="ALM1046" s="13"/>
      <c r="ALN1046" s="13"/>
      <c r="ALO1046" s="13"/>
      <c r="ALP1046" s="13"/>
      <c r="ALQ1046" s="13"/>
      <c r="ALR1046" s="13"/>
      <c r="ALS1046" s="13"/>
      <c r="ALT1046" s="13"/>
      <c r="ALU1046" s="13"/>
      <c r="ALV1046" s="13"/>
      <c r="ALW1046" s="13"/>
      <c r="ALX1046" s="13"/>
      <c r="ALY1046" s="13"/>
      <c r="ALZ1046" s="13"/>
      <c r="AMA1046" s="13"/>
      <c r="AMB1046" s="13"/>
      <c r="AMC1046" s="13"/>
      <c r="AMD1046" s="13"/>
      <c r="AME1046" s="13"/>
      <c r="AMF1046" s="13"/>
      <c r="AMG1046" s="13"/>
      <c r="AMH1046" s="13"/>
      <c r="AMI1046" s="13"/>
      <c r="AMJ1046" s="13"/>
      <c r="AMK1046" s="13"/>
      <c r="AML1046" s="13"/>
      <c r="AMM1046" s="13"/>
      <c r="AMN1046" s="13"/>
      <c r="AMO1046" s="13"/>
      <c r="AMP1046" s="13"/>
      <c r="AMQ1046" s="13"/>
      <c r="AMR1046" s="13"/>
      <c r="AMS1046" s="13"/>
      <c r="AMT1046" s="13"/>
      <c r="AMU1046" s="13"/>
      <c r="AMV1046" s="13"/>
      <c r="AMW1046" s="13"/>
      <c r="AMX1046" s="13"/>
      <c r="AMY1046" s="13"/>
      <c r="AMZ1046" s="13"/>
      <c r="ANA1046" s="13"/>
      <c r="ANB1046" s="13"/>
      <c r="ANC1046" s="13"/>
      <c r="AND1046" s="13"/>
      <c r="ANE1046" s="13"/>
      <c r="ANF1046" s="13"/>
      <c r="ANG1046" s="13"/>
      <c r="ANH1046" s="13"/>
      <c r="ANI1046" s="13"/>
      <c r="ANJ1046" s="13"/>
      <c r="ANK1046" s="13"/>
      <c r="ANL1046" s="13"/>
      <c r="ANM1046" s="13"/>
      <c r="ANN1046" s="13"/>
      <c r="ANO1046" s="13"/>
      <c r="ANP1046" s="13"/>
      <c r="ANQ1046" s="13"/>
      <c r="ANR1046" s="13"/>
      <c r="ANS1046" s="13"/>
      <c r="ANT1046" s="13"/>
      <c r="ANU1046" s="13"/>
      <c r="ANV1046" s="13"/>
      <c r="ANW1046" s="13"/>
      <c r="ANX1046" s="13"/>
      <c r="ANY1046" s="13"/>
      <c r="ANZ1046" s="13"/>
      <c r="AOA1046" s="13"/>
      <c r="AOB1046" s="13"/>
      <c r="AOC1046" s="13"/>
      <c r="AOD1046" s="13"/>
      <c r="AOE1046" s="13"/>
      <c r="AOF1046" s="13"/>
      <c r="AOG1046" s="13"/>
      <c r="AOH1046" s="13"/>
      <c r="AOI1046" s="13"/>
      <c r="AOJ1046" s="13"/>
      <c r="AOK1046" s="13"/>
      <c r="AOL1046" s="13"/>
      <c r="AOM1046" s="13"/>
      <c r="AON1046" s="13"/>
      <c r="AOO1046" s="13"/>
      <c r="AOP1046" s="13"/>
      <c r="AOQ1046" s="13"/>
      <c r="AOR1046" s="13"/>
      <c r="AOS1046" s="13"/>
      <c r="AOT1046" s="13"/>
      <c r="AOU1046" s="13"/>
      <c r="AOV1046" s="13"/>
      <c r="AOW1046" s="13"/>
      <c r="AOX1046" s="13"/>
      <c r="AOY1046" s="13"/>
      <c r="AOZ1046" s="13"/>
      <c r="APA1046" s="13"/>
      <c r="APB1046" s="13"/>
      <c r="APC1046" s="13"/>
      <c r="APD1046" s="13"/>
      <c r="APE1046" s="13"/>
      <c r="APF1046" s="13"/>
      <c r="APG1046" s="13"/>
      <c r="APH1046" s="13"/>
      <c r="API1046" s="13"/>
      <c r="APJ1046" s="13"/>
      <c r="APK1046" s="13"/>
      <c r="APL1046" s="13"/>
      <c r="APM1046" s="13"/>
      <c r="APN1046" s="13"/>
      <c r="APO1046" s="13"/>
      <c r="APP1046" s="13"/>
      <c r="APQ1046" s="13"/>
      <c r="APR1046" s="13"/>
      <c r="APS1046" s="13"/>
      <c r="APT1046" s="13"/>
      <c r="APU1046" s="13"/>
      <c r="APV1046" s="13"/>
      <c r="APW1046" s="13"/>
      <c r="APX1046" s="13"/>
      <c r="APY1046" s="13"/>
      <c r="APZ1046" s="13"/>
      <c r="AQA1046" s="13"/>
      <c r="AQB1046" s="13"/>
      <c r="AQC1046" s="13"/>
      <c r="AQD1046" s="13"/>
      <c r="AQE1046" s="13"/>
      <c r="AQF1046" s="13"/>
      <c r="AQG1046" s="13"/>
      <c r="AQH1046" s="13"/>
      <c r="AQI1046" s="13"/>
      <c r="AQJ1046" s="13"/>
      <c r="AQK1046" s="13"/>
      <c r="AQL1046" s="13"/>
      <c r="AQM1046" s="13"/>
      <c r="AQN1046" s="13"/>
      <c r="AQO1046" s="13"/>
      <c r="AQP1046" s="13"/>
      <c r="AQQ1046" s="13"/>
      <c r="AQR1046" s="13"/>
      <c r="AQS1046" s="13"/>
      <c r="AQT1046" s="13"/>
      <c r="AQU1046" s="13"/>
      <c r="AQV1046" s="13"/>
      <c r="AQW1046" s="13"/>
      <c r="AQX1046" s="13"/>
      <c r="AQY1046" s="13"/>
      <c r="AQZ1046" s="13"/>
      <c r="ARA1046" s="13"/>
      <c r="ARB1046" s="13"/>
      <c r="ARC1046" s="13"/>
      <c r="ARD1046" s="13"/>
      <c r="ARE1046" s="13"/>
      <c r="ARF1046" s="13"/>
      <c r="ARG1046" s="13"/>
      <c r="ARH1046" s="13"/>
      <c r="ARI1046" s="13"/>
      <c r="ARJ1046" s="13"/>
      <c r="ARK1046" s="13"/>
      <c r="ARL1046" s="13"/>
      <c r="ARM1046" s="13"/>
      <c r="ARN1046" s="13"/>
      <c r="ARO1046" s="13"/>
      <c r="ARP1046" s="13"/>
      <c r="ARQ1046" s="13"/>
      <c r="ARR1046" s="13"/>
      <c r="ARS1046" s="13"/>
      <c r="ART1046" s="13"/>
      <c r="ARU1046" s="13"/>
      <c r="ARV1046" s="13"/>
      <c r="ARW1046" s="13"/>
      <c r="ARX1046" s="13"/>
      <c r="ARY1046" s="13"/>
      <c r="ARZ1046" s="13"/>
      <c r="ASA1046" s="13"/>
      <c r="ASB1046" s="13"/>
      <c r="ASC1046" s="13"/>
      <c r="ASD1046" s="13"/>
      <c r="ASE1046" s="13"/>
      <c r="ASF1046" s="13"/>
      <c r="ASG1046" s="13"/>
      <c r="ASH1046" s="13"/>
      <c r="ASI1046" s="13"/>
      <c r="ASJ1046" s="13"/>
      <c r="ASK1046" s="13"/>
      <c r="ASL1046" s="13"/>
      <c r="ASM1046" s="13"/>
      <c r="ASN1046" s="13"/>
      <c r="ASO1046" s="13"/>
      <c r="ASP1046" s="13"/>
      <c r="ASQ1046" s="13"/>
      <c r="ASR1046" s="13"/>
      <c r="ASS1046" s="13"/>
      <c r="AST1046" s="13"/>
      <c r="ASU1046" s="13"/>
      <c r="ASV1046" s="13"/>
      <c r="ASW1046" s="13"/>
      <c r="ASX1046" s="13"/>
      <c r="ASY1046" s="13"/>
      <c r="ASZ1046" s="13"/>
      <c r="ATA1046" s="13"/>
      <c r="ATB1046" s="13"/>
      <c r="ATC1046" s="13"/>
      <c r="ATD1046" s="13"/>
      <c r="ATE1046" s="13"/>
      <c r="ATF1046" s="13"/>
      <c r="ATG1046" s="13"/>
      <c r="ATH1046" s="13"/>
      <c r="ATI1046" s="13"/>
      <c r="ATJ1046" s="13"/>
      <c r="ATK1046" s="13"/>
      <c r="ATL1046" s="13"/>
      <c r="ATM1046" s="13"/>
      <c r="ATN1046" s="13"/>
      <c r="ATO1046" s="13"/>
      <c r="ATP1046" s="13"/>
      <c r="ATQ1046" s="13"/>
      <c r="ATR1046" s="13"/>
      <c r="ATS1046" s="13"/>
      <c r="ATT1046" s="13"/>
      <c r="ATU1046" s="13"/>
      <c r="ATV1046" s="13"/>
      <c r="ATW1046" s="13"/>
      <c r="ATX1046" s="13"/>
      <c r="ATY1046" s="13"/>
      <c r="ATZ1046" s="13"/>
      <c r="AUA1046" s="13"/>
      <c r="AUB1046" s="13"/>
      <c r="AUC1046" s="13"/>
      <c r="AUD1046" s="13"/>
      <c r="AUE1046" s="13"/>
      <c r="AUF1046" s="13"/>
      <c r="AUG1046" s="13"/>
      <c r="AUH1046" s="13"/>
      <c r="AUI1046" s="13"/>
      <c r="AUJ1046" s="13"/>
      <c r="AUK1046" s="13"/>
      <c r="AUL1046" s="13"/>
      <c r="AUM1046" s="13"/>
      <c r="AUN1046" s="13"/>
      <c r="AUO1046" s="13"/>
      <c r="AUP1046" s="13"/>
      <c r="AUQ1046" s="13"/>
      <c r="AUR1046" s="13"/>
      <c r="AUS1046" s="13"/>
      <c r="AUT1046" s="13"/>
      <c r="AUU1046" s="13"/>
      <c r="AUV1046" s="13"/>
      <c r="AUW1046" s="13"/>
      <c r="AUX1046" s="13"/>
      <c r="AUY1046" s="13"/>
      <c r="AUZ1046" s="13"/>
      <c r="AVA1046" s="13"/>
      <c r="AVB1046" s="13"/>
      <c r="AVC1046" s="13"/>
      <c r="AVD1046" s="13"/>
      <c r="AVE1046" s="13"/>
      <c r="AVF1046" s="13"/>
      <c r="AVG1046" s="13"/>
      <c r="AVH1046" s="13"/>
      <c r="AVI1046" s="13"/>
      <c r="AVJ1046" s="13"/>
      <c r="AVK1046" s="13"/>
      <c r="AVL1046" s="13"/>
      <c r="AVM1046" s="13"/>
      <c r="AVN1046" s="13"/>
      <c r="AVO1046" s="13"/>
      <c r="AVP1046" s="13"/>
      <c r="AVQ1046" s="13"/>
      <c r="AVR1046" s="13"/>
      <c r="AVS1046" s="13"/>
      <c r="AVT1046" s="13"/>
      <c r="AVU1046" s="13"/>
      <c r="AVV1046" s="13"/>
      <c r="AVW1046" s="13"/>
      <c r="AVX1046" s="13"/>
      <c r="AVY1046" s="13"/>
      <c r="AVZ1046" s="13"/>
      <c r="AWA1046" s="13"/>
      <c r="AWB1046" s="13"/>
      <c r="AWC1046" s="13"/>
      <c r="AWD1046" s="13"/>
      <c r="AWE1046" s="13"/>
      <c r="AWF1046" s="13"/>
      <c r="AWG1046" s="13"/>
      <c r="AWH1046" s="13"/>
      <c r="AWI1046" s="13"/>
      <c r="AWJ1046" s="13"/>
      <c r="AWK1046" s="13"/>
      <c r="AWL1046" s="13"/>
      <c r="AWM1046" s="13"/>
      <c r="AWN1046" s="13"/>
      <c r="AWO1046" s="13"/>
      <c r="AWP1046" s="13"/>
      <c r="AWQ1046" s="13"/>
      <c r="AWR1046" s="13"/>
      <c r="AWS1046" s="13"/>
      <c r="AWT1046" s="13"/>
      <c r="AWU1046" s="13"/>
      <c r="AWV1046" s="13"/>
      <c r="AWW1046" s="13"/>
      <c r="AWX1046" s="13"/>
      <c r="AWY1046" s="13"/>
      <c r="AWZ1046" s="13"/>
      <c r="AXA1046" s="13"/>
      <c r="AXB1046" s="13"/>
      <c r="AXC1046" s="13"/>
      <c r="AXD1046" s="13"/>
      <c r="AXE1046" s="13"/>
      <c r="AXF1046" s="13"/>
      <c r="AXG1046" s="13"/>
      <c r="AXH1046" s="13"/>
      <c r="AXI1046" s="13"/>
      <c r="AXJ1046" s="13"/>
      <c r="AXK1046" s="13"/>
      <c r="AXL1046" s="13"/>
      <c r="AXM1046" s="13"/>
      <c r="AXN1046" s="13"/>
      <c r="AXO1046" s="13"/>
      <c r="AXP1046" s="13"/>
      <c r="AXQ1046" s="13"/>
      <c r="AXR1046" s="13"/>
      <c r="AXS1046" s="13"/>
      <c r="AXT1046" s="13"/>
      <c r="AXU1046" s="13"/>
      <c r="AXV1046" s="13"/>
      <c r="AXW1046" s="13"/>
      <c r="AXX1046" s="13"/>
      <c r="AXY1046" s="13"/>
      <c r="AXZ1046" s="13"/>
      <c r="AYA1046" s="13"/>
      <c r="AYB1046" s="13"/>
      <c r="AYC1046" s="13"/>
      <c r="AYD1046" s="13"/>
      <c r="AYE1046" s="13"/>
      <c r="AYF1046" s="13"/>
      <c r="AYG1046" s="13"/>
      <c r="AYH1046" s="13"/>
      <c r="AYI1046" s="13"/>
      <c r="AYJ1046" s="13"/>
      <c r="AYK1046" s="13"/>
      <c r="AYL1046" s="13"/>
      <c r="AYM1046" s="13"/>
      <c r="AYN1046" s="13"/>
      <c r="AYO1046" s="13"/>
      <c r="AYP1046" s="13"/>
      <c r="AYQ1046" s="13"/>
      <c r="AYR1046" s="13"/>
      <c r="AYS1046" s="13"/>
      <c r="AYT1046" s="13"/>
      <c r="AYU1046" s="13"/>
      <c r="AYV1046" s="13"/>
      <c r="AYW1046" s="13"/>
      <c r="AYX1046" s="13"/>
      <c r="AYY1046" s="13"/>
      <c r="AYZ1046" s="13"/>
      <c r="AZA1046" s="13"/>
      <c r="AZB1046" s="13"/>
      <c r="AZC1046" s="13"/>
      <c r="AZD1046" s="13"/>
      <c r="AZE1046" s="13"/>
      <c r="AZF1046" s="13"/>
      <c r="AZG1046" s="13"/>
      <c r="AZH1046" s="13"/>
      <c r="AZI1046" s="13"/>
      <c r="AZJ1046" s="13"/>
      <c r="AZK1046" s="13"/>
      <c r="AZL1046" s="13"/>
      <c r="AZM1046" s="13"/>
      <c r="AZN1046" s="13"/>
      <c r="AZO1046" s="13"/>
      <c r="AZP1046" s="13"/>
      <c r="AZQ1046" s="13"/>
      <c r="AZR1046" s="13"/>
      <c r="AZS1046" s="13"/>
      <c r="AZT1046" s="13"/>
      <c r="AZU1046" s="13"/>
      <c r="AZV1046" s="13"/>
      <c r="AZW1046" s="13"/>
      <c r="AZX1046" s="13"/>
      <c r="AZY1046" s="13"/>
      <c r="AZZ1046" s="13"/>
      <c r="BAA1046" s="13"/>
      <c r="BAB1046" s="13"/>
      <c r="BAC1046" s="13"/>
      <c r="BAD1046" s="13"/>
      <c r="BAE1046" s="13"/>
      <c r="BAF1046" s="13"/>
      <c r="BAG1046" s="13"/>
      <c r="BAH1046" s="13"/>
      <c r="BAI1046" s="13"/>
      <c r="BAJ1046" s="13"/>
      <c r="BAK1046" s="13"/>
      <c r="BAL1046" s="13"/>
      <c r="BAM1046" s="13"/>
      <c r="BAN1046" s="13"/>
      <c r="BAO1046" s="13"/>
      <c r="BAP1046" s="13"/>
      <c r="BAQ1046" s="13"/>
      <c r="BAR1046" s="13"/>
      <c r="BAS1046" s="13"/>
      <c r="BAT1046" s="13"/>
      <c r="BAU1046" s="13"/>
      <c r="BAV1046" s="13"/>
      <c r="BAW1046" s="13"/>
      <c r="BAX1046" s="13"/>
      <c r="BAY1046" s="13"/>
      <c r="BAZ1046" s="13"/>
      <c r="BBA1046" s="13"/>
      <c r="BBB1046" s="13"/>
      <c r="BBC1046" s="13"/>
      <c r="BBD1046" s="13"/>
      <c r="BBE1046" s="13"/>
      <c r="BBF1046" s="13"/>
      <c r="BBG1046" s="13"/>
      <c r="BBH1046" s="13"/>
      <c r="BBI1046" s="13"/>
      <c r="BBJ1046" s="13"/>
      <c r="BBK1046" s="13"/>
      <c r="BBL1046" s="13"/>
      <c r="BBM1046" s="13"/>
      <c r="BBN1046" s="13"/>
      <c r="BBO1046" s="13"/>
      <c r="BBP1046" s="13"/>
      <c r="BBQ1046" s="13"/>
      <c r="BBR1046" s="13"/>
      <c r="BBS1046" s="13"/>
      <c r="BBT1046" s="13"/>
      <c r="BBU1046" s="13"/>
      <c r="BBV1046" s="13"/>
      <c r="BBW1046" s="13"/>
      <c r="BBX1046" s="13"/>
      <c r="BBY1046" s="13"/>
      <c r="BBZ1046" s="13"/>
      <c r="BCA1046" s="13"/>
      <c r="BCB1046" s="13"/>
      <c r="BCC1046" s="13"/>
      <c r="BCD1046" s="13"/>
      <c r="BCE1046" s="13"/>
      <c r="BCF1046" s="13"/>
      <c r="BCG1046" s="13"/>
      <c r="BCH1046" s="13"/>
      <c r="BCI1046" s="13"/>
      <c r="BCJ1046" s="13"/>
      <c r="BCK1046" s="13"/>
      <c r="BCL1046" s="13"/>
      <c r="BCM1046" s="13"/>
      <c r="BCN1046" s="13"/>
      <c r="BCO1046" s="13"/>
      <c r="BCP1046" s="13"/>
      <c r="BCQ1046" s="13"/>
      <c r="BCR1046" s="13"/>
      <c r="BCS1046" s="13"/>
      <c r="BCT1046" s="13"/>
      <c r="BCU1046" s="13"/>
      <c r="BCV1046" s="13"/>
      <c r="BCW1046" s="13"/>
      <c r="BCX1046" s="13"/>
      <c r="BCY1046" s="13"/>
      <c r="BCZ1046" s="13"/>
      <c r="BDA1046" s="13"/>
      <c r="BDB1046" s="13"/>
      <c r="BDC1046" s="13"/>
      <c r="BDD1046" s="13"/>
      <c r="BDE1046" s="13"/>
      <c r="BDF1046" s="13"/>
      <c r="BDG1046" s="13"/>
      <c r="BDH1046" s="13"/>
      <c r="BDI1046" s="13"/>
      <c r="BDJ1046" s="13"/>
      <c r="BDK1046" s="13"/>
      <c r="BDL1046" s="13"/>
      <c r="BDM1046" s="13"/>
      <c r="BDN1046" s="13"/>
      <c r="BDO1046" s="13"/>
      <c r="BDP1046" s="13"/>
      <c r="BDQ1046" s="13"/>
      <c r="BDR1046" s="13"/>
      <c r="BDS1046" s="13"/>
      <c r="BDT1046" s="13"/>
      <c r="BDU1046" s="13"/>
      <c r="BDV1046" s="13"/>
      <c r="BDW1046" s="13"/>
      <c r="BDX1046" s="13"/>
      <c r="BDY1046" s="13"/>
      <c r="BDZ1046" s="13"/>
      <c r="BEA1046" s="13"/>
      <c r="BEB1046" s="13"/>
      <c r="BEC1046" s="13"/>
      <c r="BED1046" s="13"/>
      <c r="BEE1046" s="13"/>
      <c r="BEF1046" s="13"/>
      <c r="BEG1046" s="13"/>
      <c r="BEH1046" s="13"/>
      <c r="BEI1046" s="13"/>
      <c r="BEJ1046" s="13"/>
      <c r="BEK1046" s="13"/>
      <c r="BEL1046" s="13"/>
      <c r="BEM1046" s="13"/>
      <c r="BEN1046" s="13"/>
      <c r="BEO1046" s="13"/>
      <c r="BEP1046" s="13"/>
      <c r="BEQ1046" s="13"/>
      <c r="BER1046" s="13"/>
      <c r="BES1046" s="13"/>
      <c r="BET1046" s="13"/>
      <c r="BEU1046" s="13"/>
      <c r="BEV1046" s="13"/>
      <c r="BEW1046" s="13"/>
      <c r="BEX1046" s="13"/>
      <c r="BEY1046" s="13"/>
      <c r="BEZ1046" s="13"/>
      <c r="BFA1046" s="13"/>
      <c r="BFB1046" s="13"/>
      <c r="BFC1046" s="13"/>
      <c r="BFD1046" s="13"/>
      <c r="BFE1046" s="13"/>
      <c r="BFF1046" s="13"/>
      <c r="BFG1046" s="13"/>
      <c r="BFH1046" s="13"/>
      <c r="BFI1046" s="13"/>
      <c r="BFJ1046" s="13"/>
      <c r="BFK1046" s="13"/>
      <c r="BFL1046" s="13"/>
      <c r="BFM1046" s="13"/>
      <c r="BFN1046" s="13"/>
      <c r="BFO1046" s="13"/>
      <c r="BFP1046" s="13"/>
      <c r="BFQ1046" s="13"/>
      <c r="BFR1046" s="13"/>
      <c r="BFS1046" s="13"/>
      <c r="BFT1046" s="13"/>
      <c r="BFU1046" s="13"/>
      <c r="BFV1046" s="13"/>
      <c r="BFW1046" s="13"/>
      <c r="BFX1046" s="13"/>
      <c r="BFY1046" s="13"/>
      <c r="BFZ1046" s="13"/>
      <c r="BGA1046" s="13"/>
      <c r="BGB1046" s="13"/>
      <c r="BGC1046" s="13"/>
      <c r="BGD1046" s="13"/>
      <c r="BGE1046" s="13"/>
      <c r="BGF1046" s="13"/>
      <c r="BGG1046" s="13"/>
      <c r="BGH1046" s="13"/>
      <c r="BGI1046" s="13"/>
      <c r="BGJ1046" s="13"/>
      <c r="BGK1046" s="13"/>
      <c r="BGL1046" s="13"/>
      <c r="BGM1046" s="13"/>
      <c r="BGN1046" s="13"/>
      <c r="BGO1046" s="13"/>
      <c r="BGP1046" s="13"/>
      <c r="BGQ1046" s="13"/>
      <c r="BGR1046" s="13"/>
      <c r="BGS1046" s="13"/>
      <c r="BGT1046" s="13"/>
      <c r="BGU1046" s="13"/>
      <c r="BGV1046" s="13"/>
      <c r="BGW1046" s="13"/>
      <c r="BGX1046" s="13"/>
      <c r="BGY1046" s="13"/>
      <c r="BGZ1046" s="13"/>
      <c r="BHA1046" s="13"/>
      <c r="BHB1046" s="13"/>
      <c r="BHC1046" s="13"/>
      <c r="BHD1046" s="13"/>
      <c r="BHE1046" s="13"/>
      <c r="BHF1046" s="13"/>
      <c r="BHG1046" s="13"/>
      <c r="BHH1046" s="13"/>
      <c r="BHI1046" s="13"/>
      <c r="BHJ1046" s="13"/>
      <c r="BHK1046" s="13"/>
      <c r="BHL1046" s="13"/>
      <c r="BHM1046" s="13"/>
      <c r="BHN1046" s="13"/>
      <c r="BHO1046" s="13"/>
      <c r="BHP1046" s="13"/>
      <c r="BHQ1046" s="13"/>
      <c r="BHR1046" s="13"/>
      <c r="BHS1046" s="13"/>
      <c r="BHT1046" s="13"/>
      <c r="BHU1046" s="13"/>
      <c r="BHV1046" s="13"/>
      <c r="BHW1046" s="13"/>
      <c r="BHX1046" s="13"/>
      <c r="BHY1046" s="13"/>
      <c r="BHZ1046" s="13"/>
      <c r="BIA1046" s="13"/>
      <c r="BIB1046" s="13"/>
      <c r="BIC1046" s="13"/>
      <c r="BID1046" s="13"/>
      <c r="BIE1046" s="13"/>
      <c r="BIF1046" s="13"/>
      <c r="BIG1046" s="13"/>
      <c r="BIH1046" s="13"/>
      <c r="BII1046" s="13"/>
      <c r="BIJ1046" s="13"/>
      <c r="BIK1046" s="13"/>
      <c r="BIL1046" s="13"/>
      <c r="BIM1046" s="13"/>
      <c r="BIN1046" s="13"/>
      <c r="BIO1046" s="13"/>
      <c r="BIP1046" s="13"/>
      <c r="BIQ1046" s="13"/>
      <c r="BIR1046" s="13"/>
      <c r="BIS1046" s="13"/>
      <c r="BIT1046" s="13"/>
      <c r="BIU1046" s="13"/>
      <c r="BIV1046" s="13"/>
      <c r="BIW1046" s="13"/>
      <c r="BIX1046" s="13"/>
      <c r="BIY1046" s="13"/>
      <c r="BIZ1046" s="13"/>
      <c r="BJA1046" s="13"/>
      <c r="BJB1046" s="13"/>
      <c r="BJC1046" s="13"/>
      <c r="BJD1046" s="13"/>
      <c r="BJE1046" s="13"/>
      <c r="BJF1046" s="13"/>
      <c r="BJG1046" s="13"/>
      <c r="BJH1046" s="13"/>
      <c r="BJI1046" s="13"/>
      <c r="BJJ1046" s="13"/>
      <c r="BJK1046" s="13"/>
      <c r="BJL1046" s="13"/>
      <c r="BJM1046" s="13"/>
      <c r="BJN1046" s="13"/>
      <c r="BJO1046" s="13"/>
      <c r="BJP1046" s="13"/>
      <c r="BJQ1046" s="13"/>
      <c r="BJR1046" s="13"/>
      <c r="BJS1046" s="13"/>
      <c r="BJT1046" s="13"/>
      <c r="BJU1046" s="13"/>
      <c r="BJV1046" s="13"/>
      <c r="BJW1046" s="13"/>
      <c r="BJX1046" s="13"/>
      <c r="BJY1046" s="13"/>
      <c r="BJZ1046" s="13"/>
      <c r="BKA1046" s="13"/>
      <c r="BKB1046" s="13"/>
      <c r="BKC1046" s="13"/>
      <c r="BKD1046" s="13"/>
      <c r="BKE1046" s="13"/>
      <c r="BKF1046" s="13"/>
      <c r="BKG1046" s="13"/>
      <c r="BKH1046" s="13"/>
      <c r="BKI1046" s="13"/>
      <c r="BKJ1046" s="13"/>
      <c r="BKK1046" s="13"/>
      <c r="BKL1046" s="13"/>
      <c r="BKM1046" s="13"/>
      <c r="BKN1046" s="13"/>
      <c r="BKO1046" s="13"/>
      <c r="BKP1046" s="13"/>
      <c r="BKQ1046" s="13"/>
      <c r="BKR1046" s="13"/>
      <c r="BKS1046" s="13"/>
      <c r="BKT1046" s="13"/>
      <c r="BKU1046" s="13"/>
      <c r="BKV1046" s="13"/>
      <c r="BKW1046" s="13"/>
      <c r="BKX1046" s="13"/>
      <c r="BKY1046" s="13"/>
      <c r="BKZ1046" s="13"/>
      <c r="BLA1046" s="13"/>
      <c r="BLB1046" s="13"/>
      <c r="BLC1046" s="13"/>
      <c r="BLD1046" s="13"/>
      <c r="BLE1046" s="13"/>
      <c r="BLF1046" s="13"/>
      <c r="BLG1046" s="13"/>
      <c r="BLH1046" s="13"/>
      <c r="BLI1046" s="13"/>
      <c r="BLJ1046" s="13"/>
      <c r="BLK1046" s="13"/>
      <c r="BLL1046" s="13"/>
      <c r="BLM1046" s="13"/>
      <c r="BLN1046" s="13"/>
      <c r="BLO1046" s="13"/>
      <c r="BLP1046" s="13"/>
      <c r="BLQ1046" s="13"/>
      <c r="BLR1046" s="13"/>
      <c r="BLS1046" s="13"/>
      <c r="BLT1046" s="13"/>
      <c r="BLU1046" s="13"/>
      <c r="BLV1046" s="13"/>
      <c r="BLW1046" s="13"/>
      <c r="BLX1046" s="13"/>
      <c r="BLY1046" s="13"/>
      <c r="BLZ1046" s="13"/>
      <c r="BMA1046" s="13"/>
      <c r="BMB1046" s="13"/>
      <c r="BMC1046" s="13"/>
      <c r="BMD1046" s="13"/>
      <c r="BME1046" s="13"/>
      <c r="BMF1046" s="13"/>
      <c r="BMG1046" s="13"/>
      <c r="BMH1046" s="13"/>
      <c r="BMI1046" s="13"/>
      <c r="BMJ1046" s="13"/>
      <c r="BMK1046" s="13"/>
      <c r="BML1046" s="13"/>
      <c r="BMM1046" s="13"/>
      <c r="BMN1046" s="13"/>
      <c r="BMO1046" s="13"/>
      <c r="BMP1046" s="13"/>
      <c r="BMQ1046" s="13"/>
      <c r="BMR1046" s="13"/>
      <c r="BMS1046" s="13"/>
      <c r="BMT1046" s="13"/>
      <c r="BMU1046" s="13"/>
      <c r="BMV1046" s="13"/>
      <c r="BMW1046" s="13"/>
      <c r="BMX1046" s="13"/>
      <c r="BMY1046" s="13"/>
      <c r="BMZ1046" s="13"/>
      <c r="BNA1046" s="13"/>
      <c r="BNB1046" s="13"/>
      <c r="BNC1046" s="13"/>
      <c r="BND1046" s="13"/>
      <c r="BNE1046" s="13"/>
      <c r="BNF1046" s="13"/>
      <c r="BNG1046" s="13"/>
      <c r="BNH1046" s="13"/>
      <c r="BNI1046" s="13"/>
      <c r="BNJ1046" s="13"/>
      <c r="BNK1046" s="13"/>
      <c r="BNL1046" s="13"/>
      <c r="BNM1046" s="13"/>
      <c r="BNN1046" s="13"/>
      <c r="BNO1046" s="13"/>
      <c r="BNP1046" s="13"/>
      <c r="BNQ1046" s="13"/>
      <c r="BNR1046" s="13"/>
      <c r="BNS1046" s="13"/>
      <c r="BNT1046" s="13"/>
      <c r="BNU1046" s="13"/>
      <c r="BNV1046" s="13"/>
      <c r="BNW1046" s="13"/>
      <c r="BNX1046" s="13"/>
      <c r="BNY1046" s="13"/>
      <c r="BNZ1046" s="13"/>
      <c r="BOA1046" s="13"/>
      <c r="BOB1046" s="13"/>
      <c r="BOC1046" s="13"/>
      <c r="BOD1046" s="13"/>
      <c r="BOE1046" s="13"/>
      <c r="BOF1046" s="13"/>
      <c r="BOG1046" s="13"/>
      <c r="BOH1046" s="13"/>
      <c r="BOI1046" s="13"/>
      <c r="BOJ1046" s="13"/>
      <c r="BOK1046" s="13"/>
      <c r="BOL1046" s="13"/>
      <c r="BOM1046" s="13"/>
      <c r="BON1046" s="13"/>
      <c r="BOO1046" s="13"/>
      <c r="BOP1046" s="13"/>
      <c r="BOQ1046" s="13"/>
      <c r="BOR1046" s="13"/>
      <c r="BOS1046" s="13"/>
      <c r="BOT1046" s="13"/>
      <c r="BOU1046" s="13"/>
      <c r="BOV1046" s="13"/>
      <c r="BOW1046" s="13"/>
      <c r="BOX1046" s="13"/>
      <c r="BOY1046" s="13"/>
      <c r="BOZ1046" s="13"/>
      <c r="BPA1046" s="13"/>
      <c r="BPB1046" s="13"/>
      <c r="BPC1046" s="13"/>
      <c r="BPD1046" s="13"/>
      <c r="BPE1046" s="13"/>
      <c r="BPF1046" s="13"/>
      <c r="BPG1046" s="13"/>
      <c r="BPH1046" s="13"/>
      <c r="BPI1046" s="13"/>
      <c r="BPJ1046" s="13"/>
      <c r="BPK1046" s="13"/>
      <c r="BPL1046" s="13"/>
      <c r="BPM1046" s="13"/>
      <c r="BPN1046" s="13"/>
      <c r="BPO1046" s="13"/>
      <c r="BPP1046" s="13"/>
      <c r="BPQ1046" s="13"/>
      <c r="BPR1046" s="13"/>
      <c r="BPS1046" s="13"/>
      <c r="BPT1046" s="13"/>
      <c r="BPU1046" s="13"/>
      <c r="BPV1046" s="13"/>
      <c r="BPW1046" s="13"/>
      <c r="BPX1046" s="13"/>
      <c r="BPY1046" s="13"/>
      <c r="BPZ1046" s="13"/>
      <c r="BQA1046" s="13"/>
      <c r="BQB1046" s="13"/>
      <c r="BQC1046" s="13"/>
      <c r="BQD1046" s="13"/>
      <c r="BQE1046" s="13"/>
      <c r="BQF1046" s="13"/>
      <c r="BQG1046" s="13"/>
      <c r="BQH1046" s="13"/>
      <c r="BQI1046" s="13"/>
      <c r="BQJ1046" s="13"/>
      <c r="BQK1046" s="13"/>
      <c r="BQL1046" s="13"/>
      <c r="BQM1046" s="13"/>
      <c r="BQN1046" s="13"/>
      <c r="BQO1046" s="13"/>
      <c r="BQP1046" s="13"/>
      <c r="BQQ1046" s="13"/>
      <c r="BQR1046" s="13"/>
      <c r="BQS1046" s="13"/>
      <c r="BQT1046" s="13"/>
      <c r="BQU1046" s="13"/>
      <c r="BQV1046" s="13"/>
      <c r="BQW1046" s="13"/>
      <c r="BQX1046" s="13"/>
      <c r="BQY1046" s="13"/>
      <c r="BQZ1046" s="13"/>
      <c r="BRA1046" s="13"/>
      <c r="BRB1046" s="13"/>
      <c r="BRC1046" s="13"/>
      <c r="BRD1046" s="13"/>
      <c r="BRE1046" s="13"/>
      <c r="BRF1046" s="13"/>
      <c r="BRG1046" s="13"/>
      <c r="BRH1046" s="13"/>
      <c r="BRI1046" s="13"/>
      <c r="BRJ1046" s="13"/>
      <c r="BRK1046" s="13"/>
      <c r="BRL1046" s="13"/>
      <c r="BRM1046" s="13"/>
      <c r="BRN1046" s="13"/>
      <c r="BRO1046" s="13"/>
      <c r="BRP1046" s="13"/>
      <c r="BRQ1046" s="13"/>
      <c r="BRR1046" s="13"/>
      <c r="BRS1046" s="13"/>
      <c r="BRT1046" s="13"/>
      <c r="BRU1046" s="13"/>
      <c r="BRV1046" s="13"/>
      <c r="BRW1046" s="13"/>
      <c r="BRX1046" s="13"/>
      <c r="BRY1046" s="13"/>
      <c r="BRZ1046" s="13"/>
      <c r="BSA1046" s="13"/>
      <c r="BSB1046" s="13"/>
      <c r="BSC1046" s="13"/>
      <c r="BSD1046" s="13"/>
      <c r="BSE1046" s="13"/>
      <c r="BSF1046" s="13"/>
      <c r="BSG1046" s="13"/>
      <c r="BSH1046" s="13"/>
      <c r="BSI1046" s="13"/>
      <c r="BSJ1046" s="13"/>
      <c r="BSK1046" s="13"/>
      <c r="BSL1046" s="13"/>
      <c r="BSM1046" s="13"/>
      <c r="BSN1046" s="13"/>
      <c r="BSO1046" s="13"/>
      <c r="BSP1046" s="13"/>
      <c r="BSQ1046" s="13"/>
      <c r="BSR1046" s="13"/>
      <c r="BSS1046" s="13"/>
      <c r="BST1046" s="13"/>
      <c r="BSU1046" s="13"/>
      <c r="BSV1046" s="13"/>
      <c r="BSW1046" s="13"/>
      <c r="BSX1046" s="13"/>
      <c r="BSY1046" s="13"/>
      <c r="BSZ1046" s="13"/>
      <c r="BTA1046" s="13"/>
    </row>
    <row r="1047" spans="1:1873" s="23" customFormat="1" x14ac:dyDescent="0.2">
      <c r="A1047" s="273"/>
      <c r="B1047" s="273"/>
      <c r="C1047" s="273"/>
      <c r="D1047" s="273"/>
      <c r="E1047" s="462"/>
      <c r="F1047" s="462"/>
      <c r="G1047" s="273"/>
      <c r="H1047" s="273"/>
      <c r="I1047" s="273"/>
      <c r="J1047" s="273"/>
      <c r="K1047" s="273"/>
      <c r="L1047" s="273"/>
      <c r="M1047" s="471"/>
      <c r="N1047" s="273"/>
      <c r="O1047" s="29"/>
      <c r="P1047" s="414"/>
      <c r="Q1047" s="273"/>
      <c r="R1047" s="471"/>
      <c r="S1047" s="273"/>
      <c r="T1047" s="471"/>
      <c r="U1047" s="273"/>
      <c r="V1047" s="273"/>
      <c r="W1047" s="471"/>
      <c r="X1047" s="273"/>
      <c r="Y1047" s="273"/>
      <c r="Z1047" s="461"/>
      <c r="AA1047" s="580"/>
      <c r="AB1047" s="471"/>
      <c r="AC1047" s="273"/>
      <c r="AD1047" s="273"/>
      <c r="AE1047" s="273"/>
      <c r="AF1047" s="273"/>
      <c r="AG1047" s="273"/>
      <c r="AH1047" s="273"/>
      <c r="AI1047" s="273"/>
      <c r="AJ1047" s="273"/>
      <c r="AK1047" s="273"/>
      <c r="AL1047" s="273"/>
      <c r="AM1047" s="273"/>
      <c r="AN1047" s="273"/>
      <c r="AO1047" s="273"/>
      <c r="AP1047" s="273"/>
      <c r="AQ1047" s="273"/>
      <c r="AR1047" s="273"/>
      <c r="AS1047" s="273"/>
      <c r="AT1047" s="273"/>
      <c r="AU1047" s="273"/>
      <c r="AV1047" s="273"/>
      <c r="AW1047" s="273"/>
      <c r="AX1047" s="273"/>
      <c r="AY1047" s="273"/>
      <c r="AZ1047" s="273"/>
      <c r="BA1047" s="273"/>
      <c r="BB1047" s="273"/>
      <c r="BC1047" s="273"/>
      <c r="BD1047" s="273"/>
      <c r="BE1047" s="273"/>
      <c r="BF1047" s="273"/>
      <c r="BG1047" s="273"/>
      <c r="BH1047" s="273"/>
      <c r="BI1047" s="273"/>
      <c r="BJ1047" s="273"/>
      <c r="BK1047" s="273"/>
      <c r="BL1047" s="273"/>
      <c r="BM1047" s="273"/>
      <c r="BN1047" s="273"/>
      <c r="BO1047" s="273"/>
      <c r="BP1047" s="273"/>
      <c r="BQ1047" s="273"/>
      <c r="BR1047" s="273"/>
      <c r="BS1047" s="584"/>
      <c r="BT1047" s="468"/>
      <c r="BU1047" s="273"/>
      <c r="BV1047" s="273"/>
      <c r="BW1047" s="273"/>
      <c r="BX1047" s="273"/>
      <c r="BY1047" s="273"/>
      <c r="BZ1047" s="273"/>
      <c r="CA1047" s="472"/>
      <c r="CB1047" s="473"/>
      <c r="CC1047" s="462"/>
      <c r="CD1047" s="273"/>
      <c r="CE1047" s="292"/>
      <c r="CF1047" s="292"/>
      <c r="CG1047" s="89"/>
    </row>
    <row r="1048" spans="1:1873" s="210" customFormat="1" ht="14.25" x14ac:dyDescent="0.25">
      <c r="A1048" s="411" t="s">
        <v>756</v>
      </c>
      <c r="B1048" s="411" t="s">
        <v>1169</v>
      </c>
      <c r="C1048" s="411" t="s">
        <v>1090</v>
      </c>
      <c r="D1048" s="411" t="s">
        <v>619</v>
      </c>
      <c r="E1048" s="571" t="s">
        <v>1528</v>
      </c>
      <c r="F1048" s="571">
        <v>2</v>
      </c>
      <c r="G1048" s="411">
        <v>4</v>
      </c>
      <c r="H1048" s="411">
        <v>8</v>
      </c>
      <c r="I1048" s="411" t="s">
        <v>320</v>
      </c>
      <c r="J1048" s="411">
        <v>1979</v>
      </c>
      <c r="K1048" s="411" t="s">
        <v>842</v>
      </c>
      <c r="L1048" s="411">
        <v>1987</v>
      </c>
      <c r="M1048" s="573">
        <v>-9999</v>
      </c>
      <c r="N1048" s="411">
        <v>-9999</v>
      </c>
      <c r="O1048" s="18"/>
      <c r="P1048" s="575">
        <f>+T1048*G1048</f>
        <v>174</v>
      </c>
      <c r="Q1048" s="411">
        <v>-9999</v>
      </c>
      <c r="R1048" s="573"/>
      <c r="S1048" s="411"/>
      <c r="T1048" s="573">
        <v>43.5</v>
      </c>
      <c r="U1048" s="411">
        <v>-9999</v>
      </c>
      <c r="V1048" s="411"/>
      <c r="W1048" s="573">
        <v>-9999</v>
      </c>
      <c r="X1048" s="411">
        <v>-9999</v>
      </c>
      <c r="Y1048" s="411"/>
      <c r="Z1048" s="411" t="s">
        <v>67</v>
      </c>
      <c r="AA1048" s="582">
        <v>6944</v>
      </c>
      <c r="AB1048" s="573">
        <v>0.94</v>
      </c>
      <c r="AC1048" s="411">
        <v>-9999</v>
      </c>
      <c r="AD1048" s="411">
        <v>-9999</v>
      </c>
      <c r="AE1048" s="411" t="s">
        <v>1095</v>
      </c>
      <c r="AF1048" s="411">
        <v>3</v>
      </c>
      <c r="AG1048" s="411" t="s">
        <v>1087</v>
      </c>
      <c r="AH1048" s="411" t="s">
        <v>567</v>
      </c>
      <c r="AI1048" s="411" t="s">
        <v>1103</v>
      </c>
      <c r="AJ1048" s="411" t="s">
        <v>1100</v>
      </c>
      <c r="AK1048" s="411" t="s">
        <v>626</v>
      </c>
      <c r="AL1048" s="411" t="s">
        <v>1099</v>
      </c>
      <c r="AM1048" s="411"/>
      <c r="AN1048" s="411" t="s">
        <v>626</v>
      </c>
      <c r="AO1048" s="411" t="s">
        <v>1092</v>
      </c>
      <c r="AP1048" s="411" t="s">
        <v>577</v>
      </c>
      <c r="AQ1048" s="411" t="s">
        <v>626</v>
      </c>
      <c r="AR1048" s="411">
        <v>133</v>
      </c>
      <c r="AS1048" s="411" t="s">
        <v>1111</v>
      </c>
      <c r="AT1048" s="411" t="s">
        <v>739</v>
      </c>
      <c r="AU1048" s="411">
        <v>0</v>
      </c>
      <c r="AV1048" s="411">
        <v>-9999</v>
      </c>
      <c r="AW1048" s="411">
        <v>-9999</v>
      </c>
      <c r="AX1048" s="411">
        <v>0</v>
      </c>
      <c r="AY1048" s="411">
        <v>-9999</v>
      </c>
      <c r="AZ1048" s="411">
        <v>-9999</v>
      </c>
      <c r="BA1048" s="411" t="s">
        <v>1102</v>
      </c>
      <c r="BB1048" s="411" t="s">
        <v>631</v>
      </c>
      <c r="BC1048" s="411">
        <v>-9999</v>
      </c>
      <c r="BD1048" s="411">
        <v>-9999</v>
      </c>
      <c r="BE1048" s="411">
        <v>-9999</v>
      </c>
      <c r="BF1048" s="411">
        <v>-9999</v>
      </c>
      <c r="BG1048" s="411">
        <v>-9999</v>
      </c>
      <c r="BH1048" s="411">
        <v>-9999</v>
      </c>
      <c r="BI1048" s="411" t="s">
        <v>629</v>
      </c>
      <c r="BJ1048" s="411">
        <v>65.3</v>
      </c>
      <c r="BK1048" s="411">
        <v>-9999</v>
      </c>
      <c r="BL1048" s="411">
        <v>13.2</v>
      </c>
      <c r="BM1048" s="411">
        <v>-9999</v>
      </c>
      <c r="BN1048" s="411">
        <v>9</v>
      </c>
      <c r="BO1048" s="411">
        <v>-9999</v>
      </c>
      <c r="BP1048" s="411">
        <v>-9999</v>
      </c>
      <c r="BQ1048" s="411">
        <v>-9999</v>
      </c>
      <c r="BR1048" s="411">
        <v>-9999</v>
      </c>
      <c r="BS1048" s="577">
        <v>-9999</v>
      </c>
      <c r="BT1048" s="411">
        <v>-9999</v>
      </c>
      <c r="BU1048" s="411">
        <v>-9999</v>
      </c>
      <c r="BV1048" s="411">
        <v>-9999</v>
      </c>
      <c r="BW1048" s="411"/>
      <c r="BX1048" s="411">
        <v>-9999</v>
      </c>
      <c r="BY1048" s="411">
        <v>-9999</v>
      </c>
      <c r="BZ1048" s="411">
        <v>-9999</v>
      </c>
      <c r="CA1048" s="578" t="s">
        <v>1096</v>
      </c>
      <c r="CB1048" s="579"/>
      <c r="CC1048" s="571">
        <v>2</v>
      </c>
      <c r="CD1048" s="411">
        <v>4</v>
      </c>
      <c r="CE1048" s="395">
        <v>43.5</v>
      </c>
      <c r="CF1048" s="99">
        <v>-9999</v>
      </c>
      <c r="CG1048" s="208">
        <v>8</v>
      </c>
      <c r="CH1048" s="437" t="s">
        <v>1757</v>
      </c>
      <c r="CI1048" s="13"/>
      <c r="CJ1048" s="13"/>
      <c r="CK1048" s="13"/>
      <c r="CL1048" s="13"/>
      <c r="CM1048" s="13"/>
      <c r="CN1048" s="13"/>
      <c r="CO1048" s="13"/>
      <c r="CP1048" s="13"/>
      <c r="CQ1048" s="13"/>
      <c r="CR1048" s="13"/>
      <c r="CS1048" s="13"/>
      <c r="CT1048" s="13"/>
      <c r="CU1048" s="13"/>
      <c r="CV1048" s="13"/>
      <c r="CW1048" s="13"/>
      <c r="CX1048" s="13"/>
      <c r="CY1048" s="13"/>
      <c r="CZ1048" s="13"/>
      <c r="DA1048" s="13"/>
      <c r="DB1048" s="13"/>
      <c r="DC1048" s="13"/>
      <c r="DD1048" s="13"/>
      <c r="DE1048" s="13"/>
      <c r="DF1048" s="13"/>
      <c r="DG1048" s="13"/>
      <c r="DH1048" s="13"/>
      <c r="DI1048" s="13"/>
      <c r="DJ1048" s="13"/>
      <c r="DK1048" s="13"/>
      <c r="DL1048" s="13"/>
      <c r="DM1048" s="13"/>
      <c r="DN1048" s="13"/>
      <c r="DO1048" s="13"/>
      <c r="DP1048" s="13"/>
      <c r="DQ1048" s="13"/>
      <c r="DR1048" s="13"/>
      <c r="DS1048" s="13"/>
      <c r="DT1048" s="13"/>
      <c r="DU1048" s="13"/>
      <c r="DV1048" s="13"/>
      <c r="DW1048" s="13"/>
      <c r="DX1048" s="13"/>
      <c r="DY1048" s="13"/>
      <c r="DZ1048" s="13"/>
      <c r="EA1048" s="13"/>
      <c r="EB1048" s="13"/>
      <c r="EC1048" s="13"/>
      <c r="ED1048" s="13"/>
      <c r="EE1048" s="13"/>
      <c r="EF1048" s="13"/>
      <c r="EG1048" s="13"/>
      <c r="EH1048" s="13"/>
      <c r="EI1048" s="13"/>
      <c r="EJ1048" s="13"/>
      <c r="EK1048" s="13"/>
      <c r="EL1048" s="13"/>
      <c r="EM1048" s="13"/>
      <c r="EN1048" s="13"/>
      <c r="EO1048" s="13"/>
      <c r="EP1048" s="13"/>
      <c r="EQ1048" s="13"/>
      <c r="ER1048" s="13"/>
      <c r="ES1048" s="13"/>
      <c r="ET1048" s="13"/>
      <c r="EU1048" s="13"/>
      <c r="EV1048" s="13"/>
      <c r="EW1048" s="13"/>
      <c r="EX1048" s="13"/>
      <c r="EY1048" s="13"/>
      <c r="EZ1048" s="13"/>
      <c r="FA1048" s="13"/>
      <c r="FB1048" s="13"/>
      <c r="FC1048" s="13"/>
      <c r="FD1048" s="13"/>
      <c r="FE1048" s="13"/>
      <c r="FF1048" s="13"/>
      <c r="FG1048" s="13"/>
      <c r="FH1048" s="13"/>
      <c r="FI1048" s="13"/>
      <c r="FJ1048" s="13"/>
      <c r="FK1048" s="13"/>
      <c r="FL1048" s="13"/>
      <c r="FM1048" s="13"/>
      <c r="FN1048" s="13"/>
      <c r="FO1048" s="13"/>
      <c r="FP1048" s="13"/>
      <c r="FQ1048" s="13"/>
      <c r="FR1048" s="13"/>
      <c r="FS1048" s="13"/>
      <c r="FT1048" s="13"/>
      <c r="FU1048" s="13"/>
      <c r="FV1048" s="13"/>
      <c r="FW1048" s="13"/>
      <c r="FX1048" s="13"/>
      <c r="FY1048" s="13"/>
      <c r="FZ1048" s="13"/>
      <c r="GA1048" s="13"/>
      <c r="GB1048" s="13"/>
      <c r="GC1048" s="13"/>
      <c r="GD1048" s="13"/>
      <c r="GE1048" s="13"/>
      <c r="GF1048" s="13"/>
      <c r="GG1048" s="13"/>
      <c r="GH1048" s="13"/>
      <c r="GI1048" s="13"/>
      <c r="GJ1048" s="13"/>
      <c r="GK1048" s="13"/>
      <c r="GL1048" s="13"/>
      <c r="GM1048" s="13"/>
      <c r="GN1048" s="13"/>
      <c r="GO1048" s="13"/>
      <c r="GP1048" s="13"/>
      <c r="GQ1048" s="13"/>
      <c r="GR1048" s="13"/>
      <c r="GS1048" s="13"/>
      <c r="GT1048" s="13"/>
      <c r="GU1048" s="13"/>
      <c r="GV1048" s="13"/>
      <c r="GW1048" s="13"/>
      <c r="GX1048" s="13"/>
      <c r="GY1048" s="13"/>
      <c r="GZ1048" s="13"/>
      <c r="HA1048" s="13"/>
      <c r="HB1048" s="13"/>
      <c r="HC1048" s="13"/>
      <c r="HD1048" s="13"/>
      <c r="HE1048" s="13"/>
      <c r="HF1048" s="13"/>
      <c r="HG1048" s="13"/>
      <c r="HH1048" s="13"/>
      <c r="HI1048" s="13"/>
      <c r="HJ1048" s="13"/>
      <c r="HK1048" s="13"/>
      <c r="HL1048" s="13"/>
      <c r="HM1048" s="13"/>
      <c r="HN1048" s="13"/>
      <c r="HO1048" s="13"/>
      <c r="HP1048" s="13"/>
      <c r="HQ1048" s="13"/>
      <c r="HR1048" s="13"/>
      <c r="HS1048" s="13"/>
      <c r="HT1048" s="13"/>
      <c r="HU1048" s="13"/>
      <c r="HV1048" s="13"/>
      <c r="HW1048" s="13"/>
      <c r="HX1048" s="13"/>
      <c r="HY1048" s="13"/>
      <c r="HZ1048" s="13"/>
      <c r="IA1048" s="13"/>
      <c r="IB1048" s="13"/>
      <c r="IC1048" s="13"/>
      <c r="ID1048" s="13"/>
      <c r="IE1048" s="13"/>
      <c r="IF1048" s="13"/>
      <c r="IG1048" s="13"/>
      <c r="IH1048" s="13"/>
      <c r="II1048" s="13"/>
      <c r="IJ1048" s="13"/>
      <c r="IK1048" s="13"/>
      <c r="IL1048" s="13"/>
      <c r="IM1048" s="13"/>
      <c r="IN1048" s="13"/>
      <c r="IO1048" s="13"/>
      <c r="IP1048" s="13"/>
      <c r="IQ1048" s="13"/>
      <c r="IR1048" s="13"/>
      <c r="IS1048" s="13"/>
      <c r="IT1048" s="13"/>
      <c r="IU1048" s="13"/>
      <c r="IV1048" s="13"/>
      <c r="IW1048" s="13"/>
      <c r="IX1048" s="13"/>
      <c r="IY1048" s="13"/>
      <c r="IZ1048" s="13"/>
      <c r="JA1048" s="13"/>
      <c r="JB1048" s="13"/>
      <c r="JC1048" s="13"/>
      <c r="JD1048" s="13"/>
      <c r="JE1048" s="13"/>
      <c r="JF1048" s="13"/>
      <c r="JG1048" s="13"/>
      <c r="JH1048" s="13"/>
      <c r="JI1048" s="13"/>
      <c r="JJ1048" s="13"/>
      <c r="JK1048" s="13"/>
      <c r="JL1048" s="13"/>
      <c r="JM1048" s="13"/>
      <c r="JN1048" s="13"/>
      <c r="JO1048" s="13"/>
      <c r="JP1048" s="13"/>
      <c r="JQ1048" s="13"/>
      <c r="JR1048" s="13"/>
      <c r="JS1048" s="13"/>
      <c r="JT1048" s="13"/>
      <c r="JU1048" s="13"/>
      <c r="JV1048" s="13"/>
      <c r="JW1048" s="13"/>
      <c r="JX1048" s="13"/>
      <c r="JY1048" s="13"/>
      <c r="JZ1048" s="13"/>
      <c r="KA1048" s="13"/>
      <c r="KB1048" s="13"/>
      <c r="KC1048" s="13"/>
      <c r="KD1048" s="13"/>
      <c r="KE1048" s="13"/>
      <c r="KF1048" s="13"/>
      <c r="KG1048" s="13"/>
      <c r="KH1048" s="13"/>
      <c r="KI1048" s="13"/>
      <c r="KJ1048" s="13"/>
      <c r="KK1048" s="13"/>
      <c r="KL1048" s="13"/>
      <c r="KM1048" s="13"/>
      <c r="KN1048" s="13"/>
      <c r="KO1048" s="13"/>
      <c r="KP1048" s="13"/>
      <c r="KQ1048" s="13"/>
      <c r="KR1048" s="13"/>
      <c r="KS1048" s="13"/>
      <c r="KT1048" s="13"/>
      <c r="KU1048" s="13"/>
      <c r="KV1048" s="13"/>
      <c r="KW1048" s="13"/>
      <c r="KX1048" s="13"/>
      <c r="KY1048" s="13"/>
      <c r="KZ1048" s="13"/>
      <c r="LA1048" s="13"/>
      <c r="LB1048" s="13"/>
      <c r="LC1048" s="13"/>
      <c r="LD1048" s="13"/>
      <c r="LE1048" s="13"/>
      <c r="LF1048" s="13"/>
      <c r="LG1048" s="13"/>
      <c r="LH1048" s="13"/>
      <c r="LI1048" s="13"/>
      <c r="LJ1048" s="13"/>
      <c r="LK1048" s="13"/>
      <c r="LL1048" s="13"/>
      <c r="LM1048" s="13"/>
      <c r="LN1048" s="13"/>
      <c r="LO1048" s="13"/>
      <c r="LP1048" s="13"/>
      <c r="LQ1048" s="13"/>
      <c r="LR1048" s="13"/>
      <c r="LS1048" s="13"/>
      <c r="LT1048" s="13"/>
      <c r="LU1048" s="13"/>
      <c r="LV1048" s="13"/>
      <c r="LW1048" s="13"/>
      <c r="LX1048" s="13"/>
      <c r="LY1048" s="13"/>
      <c r="LZ1048" s="13"/>
      <c r="MA1048" s="13"/>
      <c r="MB1048" s="13"/>
      <c r="MC1048" s="13"/>
      <c r="MD1048" s="13"/>
      <c r="ME1048" s="13"/>
      <c r="MF1048" s="13"/>
      <c r="MG1048" s="13"/>
      <c r="MH1048" s="13"/>
      <c r="MI1048" s="13"/>
      <c r="MJ1048" s="13"/>
      <c r="MK1048" s="13"/>
      <c r="ML1048" s="13"/>
      <c r="MM1048" s="13"/>
      <c r="MN1048" s="13"/>
      <c r="MO1048" s="13"/>
      <c r="MP1048" s="13"/>
      <c r="MQ1048" s="13"/>
      <c r="MR1048" s="13"/>
      <c r="MS1048" s="13"/>
      <c r="MT1048" s="13"/>
      <c r="MU1048" s="13"/>
      <c r="MV1048" s="13"/>
      <c r="MW1048" s="13"/>
      <c r="MX1048" s="13"/>
      <c r="MY1048" s="13"/>
      <c r="MZ1048" s="13"/>
      <c r="NA1048" s="13"/>
      <c r="NB1048" s="13"/>
      <c r="NC1048" s="13"/>
      <c r="ND1048" s="13"/>
      <c r="NE1048" s="13"/>
      <c r="NF1048" s="13"/>
      <c r="NG1048" s="13"/>
      <c r="NH1048" s="13"/>
      <c r="NI1048" s="13"/>
      <c r="NJ1048" s="13"/>
      <c r="NK1048" s="13"/>
      <c r="NL1048" s="13"/>
      <c r="NM1048" s="13"/>
      <c r="NN1048" s="13"/>
      <c r="NO1048" s="13"/>
      <c r="NP1048" s="13"/>
      <c r="NQ1048" s="13"/>
      <c r="NR1048" s="13"/>
      <c r="NS1048" s="13"/>
      <c r="NT1048" s="13"/>
      <c r="NU1048" s="13"/>
      <c r="NV1048" s="13"/>
      <c r="NW1048" s="13"/>
      <c r="NX1048" s="13"/>
      <c r="NY1048" s="13"/>
      <c r="NZ1048" s="13"/>
      <c r="OA1048" s="13"/>
      <c r="OB1048" s="13"/>
      <c r="OC1048" s="13"/>
      <c r="OD1048" s="13"/>
      <c r="OE1048" s="13"/>
      <c r="OF1048" s="13"/>
      <c r="OG1048" s="13"/>
      <c r="OH1048" s="13"/>
      <c r="OI1048" s="13"/>
      <c r="OJ1048" s="13"/>
      <c r="OK1048" s="13"/>
      <c r="OL1048" s="13"/>
      <c r="OM1048" s="13"/>
      <c r="ON1048" s="13"/>
      <c r="OO1048" s="13"/>
      <c r="OP1048" s="13"/>
      <c r="OQ1048" s="13"/>
      <c r="OR1048" s="13"/>
      <c r="OS1048" s="13"/>
      <c r="OT1048" s="13"/>
      <c r="OU1048" s="13"/>
      <c r="OV1048" s="13"/>
      <c r="OW1048" s="13"/>
      <c r="OX1048" s="13"/>
      <c r="OY1048" s="13"/>
      <c r="OZ1048" s="13"/>
      <c r="PA1048" s="13"/>
      <c r="PB1048" s="13"/>
      <c r="PC1048" s="13"/>
      <c r="PD1048" s="13"/>
      <c r="PE1048" s="13"/>
      <c r="PF1048" s="13"/>
      <c r="PG1048" s="13"/>
      <c r="PH1048" s="13"/>
      <c r="PI1048" s="13"/>
      <c r="PJ1048" s="13"/>
      <c r="PK1048" s="13"/>
      <c r="PL1048" s="13"/>
      <c r="PM1048" s="13"/>
      <c r="PN1048" s="13"/>
      <c r="PO1048" s="13"/>
      <c r="PP1048" s="13"/>
      <c r="PQ1048" s="13"/>
      <c r="PR1048" s="13"/>
      <c r="PS1048" s="13"/>
      <c r="PT1048" s="13"/>
      <c r="PU1048" s="13"/>
      <c r="PV1048" s="13"/>
      <c r="PW1048" s="13"/>
      <c r="PX1048" s="13"/>
      <c r="PY1048" s="13"/>
      <c r="PZ1048" s="13"/>
      <c r="QA1048" s="13"/>
      <c r="QB1048" s="13"/>
      <c r="QC1048" s="13"/>
      <c r="QD1048" s="13"/>
      <c r="QE1048" s="13"/>
      <c r="QF1048" s="13"/>
      <c r="QG1048" s="13"/>
      <c r="QH1048" s="13"/>
      <c r="QI1048" s="13"/>
      <c r="QJ1048" s="13"/>
      <c r="QK1048" s="13"/>
      <c r="QL1048" s="13"/>
      <c r="QM1048" s="13"/>
      <c r="QN1048" s="13"/>
      <c r="QO1048" s="13"/>
      <c r="QP1048" s="13"/>
      <c r="QQ1048" s="13"/>
      <c r="QR1048" s="13"/>
      <c r="QS1048" s="13"/>
      <c r="QT1048" s="13"/>
      <c r="QU1048" s="13"/>
      <c r="QV1048" s="13"/>
      <c r="QW1048" s="13"/>
      <c r="QX1048" s="13"/>
      <c r="QY1048" s="13"/>
      <c r="QZ1048" s="13"/>
      <c r="RA1048" s="13"/>
      <c r="RB1048" s="13"/>
      <c r="RC1048" s="13"/>
      <c r="RD1048" s="13"/>
      <c r="RE1048" s="13"/>
      <c r="RF1048" s="13"/>
      <c r="RG1048" s="13"/>
      <c r="RH1048" s="13"/>
      <c r="RI1048" s="13"/>
      <c r="RJ1048" s="13"/>
      <c r="RK1048" s="13"/>
      <c r="RL1048" s="13"/>
      <c r="RM1048" s="13"/>
      <c r="RN1048" s="13"/>
      <c r="RO1048" s="13"/>
      <c r="RP1048" s="13"/>
      <c r="RQ1048" s="13"/>
      <c r="RR1048" s="13"/>
      <c r="RS1048" s="13"/>
      <c r="RT1048" s="13"/>
      <c r="RU1048" s="13"/>
      <c r="RV1048" s="13"/>
      <c r="RW1048" s="13"/>
      <c r="RX1048" s="13"/>
      <c r="RY1048" s="13"/>
      <c r="RZ1048" s="13"/>
      <c r="SA1048" s="13"/>
      <c r="SB1048" s="13"/>
      <c r="SC1048" s="13"/>
      <c r="SD1048" s="13"/>
      <c r="SE1048" s="13"/>
      <c r="SF1048" s="13"/>
      <c r="SG1048" s="13"/>
      <c r="SH1048" s="13"/>
      <c r="SI1048" s="13"/>
      <c r="SJ1048" s="13"/>
      <c r="SK1048" s="13"/>
      <c r="SL1048" s="13"/>
      <c r="SM1048" s="13"/>
      <c r="SN1048" s="13"/>
      <c r="SO1048" s="13"/>
      <c r="SP1048" s="13"/>
      <c r="SQ1048" s="13"/>
      <c r="SR1048" s="13"/>
      <c r="SS1048" s="13"/>
      <c r="ST1048" s="13"/>
      <c r="SU1048" s="13"/>
      <c r="SV1048" s="13"/>
      <c r="SW1048" s="13"/>
      <c r="SX1048" s="13"/>
      <c r="SY1048" s="13"/>
      <c r="SZ1048" s="13"/>
      <c r="TA1048" s="13"/>
      <c r="TB1048" s="13"/>
      <c r="TC1048" s="13"/>
      <c r="TD1048" s="13"/>
      <c r="TE1048" s="13"/>
      <c r="TF1048" s="13"/>
      <c r="TG1048" s="13"/>
      <c r="TH1048" s="13"/>
      <c r="TI1048" s="13"/>
      <c r="TJ1048" s="13"/>
      <c r="TK1048" s="13"/>
      <c r="TL1048" s="13"/>
      <c r="TM1048" s="13"/>
      <c r="TN1048" s="13"/>
      <c r="TO1048" s="13"/>
      <c r="TP1048" s="13"/>
      <c r="TQ1048" s="13"/>
      <c r="TR1048" s="13"/>
      <c r="TS1048" s="13"/>
      <c r="TT1048" s="13"/>
      <c r="TU1048" s="13"/>
      <c r="TV1048" s="13"/>
      <c r="TW1048" s="13"/>
      <c r="TX1048" s="13"/>
      <c r="TY1048" s="13"/>
      <c r="TZ1048" s="13"/>
      <c r="UA1048" s="13"/>
      <c r="UB1048" s="13"/>
      <c r="UC1048" s="13"/>
      <c r="UD1048" s="13"/>
      <c r="UE1048" s="13"/>
      <c r="UF1048" s="13"/>
      <c r="UG1048" s="13"/>
      <c r="UH1048" s="13"/>
      <c r="UI1048" s="13"/>
      <c r="UJ1048" s="13"/>
      <c r="UK1048" s="13"/>
      <c r="UL1048" s="13"/>
      <c r="UM1048" s="13"/>
      <c r="UN1048" s="13"/>
      <c r="UO1048" s="13"/>
      <c r="UP1048" s="13"/>
      <c r="UQ1048" s="13"/>
      <c r="UR1048" s="13"/>
      <c r="US1048" s="13"/>
      <c r="UT1048" s="13"/>
      <c r="UU1048" s="13"/>
      <c r="UV1048" s="13"/>
      <c r="UW1048" s="13"/>
      <c r="UX1048" s="13"/>
      <c r="UY1048" s="13"/>
      <c r="UZ1048" s="13"/>
      <c r="VA1048" s="13"/>
      <c r="VB1048" s="13"/>
      <c r="VC1048" s="13"/>
      <c r="VD1048" s="13"/>
      <c r="VE1048" s="13"/>
      <c r="VF1048" s="13"/>
      <c r="VG1048" s="13"/>
      <c r="VH1048" s="13"/>
      <c r="VI1048" s="13"/>
      <c r="VJ1048" s="13"/>
      <c r="VK1048" s="13"/>
      <c r="VL1048" s="13"/>
      <c r="VM1048" s="13"/>
      <c r="VN1048" s="13"/>
      <c r="VO1048" s="13"/>
      <c r="VP1048" s="13"/>
      <c r="VQ1048" s="13"/>
      <c r="VR1048" s="13"/>
      <c r="VS1048" s="13"/>
      <c r="VT1048" s="13"/>
      <c r="VU1048" s="13"/>
      <c r="VV1048" s="13"/>
      <c r="VW1048" s="13"/>
      <c r="VX1048" s="13"/>
      <c r="VY1048" s="13"/>
      <c r="VZ1048" s="13"/>
      <c r="WA1048" s="13"/>
      <c r="WB1048" s="13"/>
      <c r="WC1048" s="13"/>
      <c r="WD1048" s="13"/>
      <c r="WE1048" s="13"/>
      <c r="WF1048" s="13"/>
      <c r="WG1048" s="13"/>
      <c r="WH1048" s="13"/>
      <c r="WI1048" s="13"/>
      <c r="WJ1048" s="13"/>
      <c r="WK1048" s="13"/>
      <c r="WL1048" s="13"/>
      <c r="WM1048" s="13"/>
      <c r="WN1048" s="13"/>
      <c r="WO1048" s="13"/>
      <c r="WP1048" s="13"/>
      <c r="WQ1048" s="13"/>
      <c r="WR1048" s="13"/>
      <c r="WS1048" s="13"/>
      <c r="WT1048" s="13"/>
      <c r="WU1048" s="13"/>
      <c r="WV1048" s="13"/>
      <c r="WW1048" s="13"/>
      <c r="WX1048" s="13"/>
      <c r="WY1048" s="13"/>
      <c r="WZ1048" s="13"/>
      <c r="XA1048" s="13"/>
      <c r="XB1048" s="13"/>
      <c r="XC1048" s="13"/>
      <c r="XD1048" s="13"/>
      <c r="XE1048" s="13"/>
      <c r="XF1048" s="13"/>
      <c r="XG1048" s="13"/>
      <c r="XH1048" s="13"/>
      <c r="XI1048" s="13"/>
      <c r="XJ1048" s="13"/>
      <c r="XK1048" s="13"/>
      <c r="XL1048" s="13"/>
      <c r="XM1048" s="13"/>
      <c r="XN1048" s="13"/>
      <c r="XO1048" s="13"/>
      <c r="XP1048" s="13"/>
      <c r="XQ1048" s="13"/>
      <c r="XR1048" s="13"/>
      <c r="XS1048" s="13"/>
      <c r="XT1048" s="13"/>
      <c r="XU1048" s="13"/>
      <c r="XV1048" s="13"/>
      <c r="XW1048" s="13"/>
      <c r="XX1048" s="13"/>
      <c r="XY1048" s="13"/>
      <c r="XZ1048" s="13"/>
      <c r="YA1048" s="13"/>
      <c r="YB1048" s="13"/>
      <c r="YC1048" s="13"/>
      <c r="YD1048" s="13"/>
      <c r="YE1048" s="13"/>
      <c r="YF1048" s="13"/>
      <c r="YG1048" s="13"/>
      <c r="YH1048" s="13"/>
      <c r="YI1048" s="13"/>
      <c r="YJ1048" s="13"/>
      <c r="YK1048" s="13"/>
      <c r="YL1048" s="13"/>
      <c r="YM1048" s="13"/>
      <c r="YN1048" s="13"/>
      <c r="YO1048" s="13"/>
      <c r="YP1048" s="13"/>
      <c r="YQ1048" s="13"/>
      <c r="YR1048" s="13"/>
      <c r="YS1048" s="13"/>
      <c r="YT1048" s="13"/>
      <c r="YU1048" s="13"/>
      <c r="YV1048" s="13"/>
      <c r="YW1048" s="13"/>
      <c r="YX1048" s="13"/>
      <c r="YY1048" s="13"/>
      <c r="YZ1048" s="13"/>
      <c r="ZA1048" s="13"/>
      <c r="ZB1048" s="13"/>
      <c r="ZC1048" s="13"/>
      <c r="ZD1048" s="13"/>
      <c r="ZE1048" s="13"/>
      <c r="ZF1048" s="13"/>
      <c r="ZG1048" s="13"/>
      <c r="ZH1048" s="13"/>
      <c r="ZI1048" s="13"/>
      <c r="ZJ1048" s="13"/>
      <c r="ZK1048" s="13"/>
      <c r="ZL1048" s="13"/>
      <c r="ZM1048" s="13"/>
      <c r="ZN1048" s="13"/>
      <c r="ZO1048" s="13"/>
      <c r="ZP1048" s="13"/>
      <c r="ZQ1048" s="13"/>
      <c r="ZR1048" s="13"/>
      <c r="ZS1048" s="13"/>
      <c r="ZT1048" s="13"/>
      <c r="ZU1048" s="13"/>
      <c r="ZV1048" s="13"/>
      <c r="ZW1048" s="13"/>
      <c r="ZX1048" s="13"/>
      <c r="ZY1048" s="13"/>
      <c r="ZZ1048" s="13"/>
      <c r="AAA1048" s="13"/>
      <c r="AAB1048" s="13"/>
      <c r="AAC1048" s="13"/>
      <c r="AAD1048" s="13"/>
      <c r="AAE1048" s="13"/>
      <c r="AAF1048" s="13"/>
      <c r="AAG1048" s="13"/>
      <c r="AAH1048" s="13"/>
      <c r="AAI1048" s="13"/>
      <c r="AAJ1048" s="13"/>
      <c r="AAK1048" s="13"/>
      <c r="AAL1048" s="13"/>
      <c r="AAM1048" s="13"/>
      <c r="AAN1048" s="13"/>
      <c r="AAO1048" s="13"/>
      <c r="AAP1048" s="13"/>
      <c r="AAQ1048" s="13"/>
      <c r="AAR1048" s="13"/>
      <c r="AAS1048" s="13"/>
      <c r="AAT1048" s="13"/>
      <c r="AAU1048" s="13"/>
      <c r="AAV1048" s="13"/>
      <c r="AAW1048" s="13"/>
      <c r="AAX1048" s="13"/>
      <c r="AAY1048" s="13"/>
      <c r="AAZ1048" s="13"/>
      <c r="ABA1048" s="13"/>
      <c r="ABB1048" s="13"/>
      <c r="ABC1048" s="13"/>
      <c r="ABD1048" s="13"/>
      <c r="ABE1048" s="13"/>
      <c r="ABF1048" s="13"/>
      <c r="ABG1048" s="13"/>
      <c r="ABH1048" s="13"/>
      <c r="ABI1048" s="13"/>
      <c r="ABJ1048" s="13"/>
      <c r="ABK1048" s="13"/>
      <c r="ABL1048" s="13"/>
      <c r="ABM1048" s="13"/>
      <c r="ABN1048" s="13"/>
      <c r="ABO1048" s="13"/>
      <c r="ABP1048" s="13"/>
      <c r="ABQ1048" s="13"/>
      <c r="ABR1048" s="13"/>
      <c r="ABS1048" s="13"/>
      <c r="ABT1048" s="13"/>
      <c r="ABU1048" s="13"/>
      <c r="ABV1048" s="13"/>
      <c r="ABW1048" s="13"/>
      <c r="ABX1048" s="13"/>
      <c r="ABY1048" s="13"/>
      <c r="ABZ1048" s="13"/>
      <c r="ACA1048" s="13"/>
      <c r="ACB1048" s="13"/>
      <c r="ACC1048" s="13"/>
      <c r="ACD1048" s="13"/>
      <c r="ACE1048" s="13"/>
      <c r="ACF1048" s="13"/>
      <c r="ACG1048" s="13"/>
      <c r="ACH1048" s="13"/>
      <c r="ACI1048" s="13"/>
      <c r="ACJ1048" s="13"/>
      <c r="ACK1048" s="13"/>
      <c r="ACL1048" s="13"/>
      <c r="ACM1048" s="13"/>
      <c r="ACN1048" s="13"/>
      <c r="ACO1048" s="13"/>
      <c r="ACP1048" s="13"/>
      <c r="ACQ1048" s="13"/>
      <c r="ACR1048" s="13"/>
      <c r="ACS1048" s="13"/>
      <c r="ACT1048" s="13"/>
      <c r="ACU1048" s="13"/>
      <c r="ACV1048" s="13"/>
      <c r="ACW1048" s="13"/>
      <c r="ACX1048" s="13"/>
      <c r="ACY1048" s="13"/>
      <c r="ACZ1048" s="13"/>
      <c r="ADA1048" s="13"/>
      <c r="ADB1048" s="13"/>
      <c r="ADC1048" s="13"/>
      <c r="ADD1048" s="13"/>
      <c r="ADE1048" s="13"/>
      <c r="ADF1048" s="13"/>
      <c r="ADG1048" s="13"/>
      <c r="ADH1048" s="13"/>
      <c r="ADI1048" s="13"/>
      <c r="ADJ1048" s="13"/>
      <c r="ADK1048" s="13"/>
      <c r="ADL1048" s="13"/>
      <c r="ADM1048" s="13"/>
      <c r="ADN1048" s="13"/>
      <c r="ADO1048" s="13"/>
      <c r="ADP1048" s="13"/>
      <c r="ADQ1048" s="13"/>
      <c r="ADR1048" s="13"/>
      <c r="ADS1048" s="13"/>
      <c r="ADT1048" s="13"/>
      <c r="ADU1048" s="13"/>
      <c r="ADV1048" s="13"/>
      <c r="ADW1048" s="13"/>
      <c r="ADX1048" s="13"/>
      <c r="ADY1048" s="13"/>
      <c r="ADZ1048" s="13"/>
      <c r="AEA1048" s="13"/>
      <c r="AEB1048" s="13"/>
      <c r="AEC1048" s="13"/>
      <c r="AED1048" s="13"/>
      <c r="AEE1048" s="13"/>
      <c r="AEF1048" s="13"/>
      <c r="AEG1048" s="13"/>
      <c r="AEH1048" s="13"/>
      <c r="AEI1048" s="13"/>
      <c r="AEJ1048" s="13"/>
      <c r="AEK1048" s="13"/>
      <c r="AEL1048" s="13"/>
      <c r="AEM1048" s="13"/>
      <c r="AEN1048" s="13"/>
      <c r="AEO1048" s="13"/>
      <c r="AEP1048" s="13"/>
      <c r="AEQ1048" s="13"/>
      <c r="AER1048" s="13"/>
      <c r="AES1048" s="13"/>
      <c r="AET1048" s="13"/>
      <c r="AEU1048" s="13"/>
      <c r="AEV1048" s="13"/>
      <c r="AEW1048" s="13"/>
      <c r="AEX1048" s="13"/>
      <c r="AEY1048" s="13"/>
      <c r="AEZ1048" s="13"/>
      <c r="AFA1048" s="13"/>
      <c r="AFB1048" s="13"/>
      <c r="AFC1048" s="13"/>
      <c r="AFD1048" s="13"/>
      <c r="AFE1048" s="13"/>
      <c r="AFF1048" s="13"/>
      <c r="AFG1048" s="13"/>
      <c r="AFH1048" s="13"/>
      <c r="AFI1048" s="13"/>
      <c r="AFJ1048" s="13"/>
      <c r="AFK1048" s="13"/>
      <c r="AFL1048" s="13"/>
      <c r="AFM1048" s="13"/>
      <c r="AFN1048" s="13"/>
      <c r="AFO1048" s="13"/>
      <c r="AFP1048" s="13"/>
      <c r="AFQ1048" s="13"/>
      <c r="AFR1048" s="13"/>
      <c r="AFS1048" s="13"/>
      <c r="AFT1048" s="13"/>
      <c r="AFU1048" s="13"/>
      <c r="AFV1048" s="13"/>
      <c r="AFW1048" s="13"/>
      <c r="AFX1048" s="13"/>
      <c r="AFY1048" s="13"/>
      <c r="AFZ1048" s="13"/>
      <c r="AGA1048" s="13"/>
      <c r="AGB1048" s="13"/>
      <c r="AGC1048" s="13"/>
      <c r="AGD1048" s="13"/>
      <c r="AGE1048" s="13"/>
      <c r="AGF1048" s="13"/>
      <c r="AGG1048" s="13"/>
      <c r="AGH1048" s="13"/>
      <c r="AGI1048" s="13"/>
      <c r="AGJ1048" s="13"/>
      <c r="AGK1048" s="13"/>
      <c r="AGL1048" s="13"/>
      <c r="AGM1048" s="13"/>
      <c r="AGN1048" s="13"/>
      <c r="AGO1048" s="13"/>
      <c r="AGP1048" s="13"/>
      <c r="AGQ1048" s="13"/>
      <c r="AGR1048" s="13"/>
      <c r="AGS1048" s="13"/>
      <c r="AGT1048" s="13"/>
      <c r="AGU1048" s="13"/>
      <c r="AGV1048" s="13"/>
      <c r="AGW1048" s="13"/>
      <c r="AGX1048" s="13"/>
      <c r="AGY1048" s="13"/>
      <c r="AGZ1048" s="13"/>
      <c r="AHA1048" s="13"/>
      <c r="AHB1048" s="13"/>
      <c r="AHC1048" s="13"/>
      <c r="AHD1048" s="13"/>
      <c r="AHE1048" s="13"/>
      <c r="AHF1048" s="13"/>
      <c r="AHG1048" s="13"/>
      <c r="AHH1048" s="13"/>
      <c r="AHI1048" s="13"/>
      <c r="AHJ1048" s="13"/>
      <c r="AHK1048" s="13"/>
      <c r="AHL1048" s="13"/>
      <c r="AHM1048" s="13"/>
      <c r="AHN1048" s="13"/>
      <c r="AHO1048" s="13"/>
      <c r="AHP1048" s="13"/>
      <c r="AHQ1048" s="13"/>
      <c r="AHR1048" s="13"/>
      <c r="AHS1048" s="13"/>
      <c r="AHT1048" s="13"/>
      <c r="AHU1048" s="13"/>
      <c r="AHV1048" s="13"/>
      <c r="AHW1048" s="13"/>
      <c r="AHX1048" s="13"/>
      <c r="AHY1048" s="13"/>
      <c r="AHZ1048" s="13"/>
      <c r="AIA1048" s="13"/>
      <c r="AIB1048" s="13"/>
      <c r="AIC1048" s="13"/>
      <c r="AID1048" s="13"/>
      <c r="AIE1048" s="13"/>
      <c r="AIF1048" s="13"/>
      <c r="AIG1048" s="13"/>
      <c r="AIH1048" s="13"/>
      <c r="AII1048" s="13"/>
      <c r="AIJ1048" s="13"/>
      <c r="AIK1048" s="13"/>
      <c r="AIL1048" s="13"/>
      <c r="AIM1048" s="13"/>
      <c r="AIN1048" s="13"/>
      <c r="AIO1048" s="13"/>
      <c r="AIP1048" s="13"/>
      <c r="AIQ1048" s="13"/>
      <c r="AIR1048" s="13"/>
      <c r="AIS1048" s="13"/>
      <c r="AIT1048" s="13"/>
      <c r="AIU1048" s="13"/>
      <c r="AIV1048" s="13"/>
      <c r="AIW1048" s="13"/>
      <c r="AIX1048" s="13"/>
      <c r="AIY1048" s="13"/>
      <c r="AIZ1048" s="13"/>
      <c r="AJA1048" s="13"/>
      <c r="AJB1048" s="13"/>
      <c r="AJC1048" s="13"/>
      <c r="AJD1048" s="13"/>
      <c r="AJE1048" s="13"/>
      <c r="AJF1048" s="13"/>
      <c r="AJG1048" s="13"/>
      <c r="AJH1048" s="13"/>
      <c r="AJI1048" s="13"/>
      <c r="AJJ1048" s="13"/>
      <c r="AJK1048" s="13"/>
      <c r="AJL1048" s="13"/>
      <c r="AJM1048" s="13"/>
      <c r="AJN1048" s="13"/>
      <c r="AJO1048" s="13"/>
      <c r="AJP1048" s="13"/>
      <c r="AJQ1048" s="13"/>
      <c r="AJR1048" s="13"/>
      <c r="AJS1048" s="13"/>
      <c r="AJT1048" s="13"/>
      <c r="AJU1048" s="13"/>
      <c r="AJV1048" s="13"/>
      <c r="AJW1048" s="13"/>
      <c r="AJX1048" s="13"/>
      <c r="AJY1048" s="13"/>
      <c r="AJZ1048" s="13"/>
      <c r="AKA1048" s="13"/>
      <c r="AKB1048" s="13"/>
      <c r="AKC1048" s="13"/>
      <c r="AKD1048" s="13"/>
      <c r="AKE1048" s="13"/>
      <c r="AKF1048" s="13"/>
      <c r="AKG1048" s="13"/>
      <c r="AKH1048" s="13"/>
      <c r="AKI1048" s="13"/>
      <c r="AKJ1048" s="13"/>
      <c r="AKK1048" s="13"/>
      <c r="AKL1048" s="13"/>
      <c r="AKM1048" s="13"/>
      <c r="AKN1048" s="13"/>
      <c r="AKO1048" s="13"/>
      <c r="AKP1048" s="13"/>
      <c r="AKQ1048" s="13"/>
      <c r="AKR1048" s="13"/>
      <c r="AKS1048" s="13"/>
      <c r="AKT1048" s="13"/>
      <c r="AKU1048" s="13"/>
      <c r="AKV1048" s="13"/>
      <c r="AKW1048" s="13"/>
      <c r="AKX1048" s="13"/>
      <c r="AKY1048" s="13"/>
      <c r="AKZ1048" s="13"/>
      <c r="ALA1048" s="13"/>
      <c r="ALB1048" s="13"/>
      <c r="ALC1048" s="13"/>
      <c r="ALD1048" s="13"/>
      <c r="ALE1048" s="13"/>
      <c r="ALF1048" s="13"/>
      <c r="ALG1048" s="13"/>
      <c r="ALH1048" s="13"/>
      <c r="ALI1048" s="13"/>
      <c r="ALJ1048" s="13"/>
      <c r="ALK1048" s="13"/>
      <c r="ALL1048" s="13"/>
      <c r="ALM1048" s="13"/>
      <c r="ALN1048" s="13"/>
      <c r="ALO1048" s="13"/>
      <c r="ALP1048" s="13"/>
      <c r="ALQ1048" s="13"/>
      <c r="ALR1048" s="13"/>
      <c r="ALS1048" s="13"/>
      <c r="ALT1048" s="13"/>
      <c r="ALU1048" s="13"/>
      <c r="ALV1048" s="13"/>
      <c r="ALW1048" s="13"/>
      <c r="ALX1048" s="13"/>
      <c r="ALY1048" s="13"/>
      <c r="ALZ1048" s="13"/>
      <c r="AMA1048" s="13"/>
      <c r="AMB1048" s="13"/>
      <c r="AMC1048" s="13"/>
      <c r="AMD1048" s="13"/>
      <c r="AME1048" s="13"/>
      <c r="AMF1048" s="13"/>
      <c r="AMG1048" s="13"/>
      <c r="AMH1048" s="13"/>
      <c r="AMI1048" s="13"/>
      <c r="AMJ1048" s="13"/>
      <c r="AMK1048" s="13"/>
      <c r="AML1048" s="13"/>
      <c r="AMM1048" s="13"/>
      <c r="AMN1048" s="13"/>
      <c r="AMO1048" s="13"/>
      <c r="AMP1048" s="13"/>
      <c r="AMQ1048" s="13"/>
      <c r="AMR1048" s="13"/>
      <c r="AMS1048" s="13"/>
      <c r="AMT1048" s="13"/>
      <c r="AMU1048" s="13"/>
      <c r="AMV1048" s="13"/>
      <c r="AMW1048" s="13"/>
      <c r="AMX1048" s="13"/>
      <c r="AMY1048" s="13"/>
      <c r="AMZ1048" s="13"/>
      <c r="ANA1048" s="13"/>
      <c r="ANB1048" s="13"/>
      <c r="ANC1048" s="13"/>
      <c r="AND1048" s="13"/>
      <c r="ANE1048" s="13"/>
      <c r="ANF1048" s="13"/>
      <c r="ANG1048" s="13"/>
      <c r="ANH1048" s="13"/>
      <c r="ANI1048" s="13"/>
      <c r="ANJ1048" s="13"/>
      <c r="ANK1048" s="13"/>
      <c r="ANL1048" s="13"/>
      <c r="ANM1048" s="13"/>
      <c r="ANN1048" s="13"/>
      <c r="ANO1048" s="13"/>
      <c r="ANP1048" s="13"/>
      <c r="ANQ1048" s="13"/>
      <c r="ANR1048" s="13"/>
      <c r="ANS1048" s="13"/>
      <c r="ANT1048" s="13"/>
      <c r="ANU1048" s="13"/>
      <c r="ANV1048" s="13"/>
      <c r="ANW1048" s="13"/>
      <c r="ANX1048" s="13"/>
      <c r="ANY1048" s="13"/>
      <c r="ANZ1048" s="13"/>
      <c r="AOA1048" s="13"/>
      <c r="AOB1048" s="13"/>
      <c r="AOC1048" s="13"/>
      <c r="AOD1048" s="13"/>
      <c r="AOE1048" s="13"/>
      <c r="AOF1048" s="13"/>
      <c r="AOG1048" s="13"/>
      <c r="AOH1048" s="13"/>
      <c r="AOI1048" s="13"/>
      <c r="AOJ1048" s="13"/>
      <c r="AOK1048" s="13"/>
      <c r="AOL1048" s="13"/>
      <c r="AOM1048" s="13"/>
      <c r="AON1048" s="13"/>
      <c r="AOO1048" s="13"/>
      <c r="AOP1048" s="13"/>
      <c r="AOQ1048" s="13"/>
      <c r="AOR1048" s="13"/>
      <c r="AOS1048" s="13"/>
      <c r="AOT1048" s="13"/>
      <c r="AOU1048" s="13"/>
      <c r="AOV1048" s="13"/>
      <c r="AOW1048" s="13"/>
      <c r="AOX1048" s="13"/>
      <c r="AOY1048" s="13"/>
      <c r="AOZ1048" s="13"/>
      <c r="APA1048" s="13"/>
      <c r="APB1048" s="13"/>
      <c r="APC1048" s="13"/>
      <c r="APD1048" s="13"/>
      <c r="APE1048" s="13"/>
      <c r="APF1048" s="13"/>
      <c r="APG1048" s="13"/>
      <c r="APH1048" s="13"/>
      <c r="API1048" s="13"/>
      <c r="APJ1048" s="13"/>
      <c r="APK1048" s="13"/>
      <c r="APL1048" s="13"/>
      <c r="APM1048" s="13"/>
      <c r="APN1048" s="13"/>
      <c r="APO1048" s="13"/>
      <c r="APP1048" s="13"/>
      <c r="APQ1048" s="13"/>
      <c r="APR1048" s="13"/>
      <c r="APS1048" s="13"/>
      <c r="APT1048" s="13"/>
      <c r="APU1048" s="13"/>
      <c r="APV1048" s="13"/>
      <c r="APW1048" s="13"/>
      <c r="APX1048" s="13"/>
      <c r="APY1048" s="13"/>
      <c r="APZ1048" s="13"/>
      <c r="AQA1048" s="13"/>
      <c r="AQB1048" s="13"/>
      <c r="AQC1048" s="13"/>
      <c r="AQD1048" s="13"/>
      <c r="AQE1048" s="13"/>
      <c r="AQF1048" s="13"/>
      <c r="AQG1048" s="13"/>
      <c r="AQH1048" s="13"/>
      <c r="AQI1048" s="13"/>
      <c r="AQJ1048" s="13"/>
      <c r="AQK1048" s="13"/>
      <c r="AQL1048" s="13"/>
      <c r="AQM1048" s="13"/>
      <c r="AQN1048" s="13"/>
      <c r="AQO1048" s="13"/>
      <c r="AQP1048" s="13"/>
      <c r="AQQ1048" s="13"/>
      <c r="AQR1048" s="13"/>
      <c r="AQS1048" s="13"/>
      <c r="AQT1048" s="13"/>
      <c r="AQU1048" s="13"/>
      <c r="AQV1048" s="13"/>
      <c r="AQW1048" s="13"/>
      <c r="AQX1048" s="13"/>
      <c r="AQY1048" s="13"/>
      <c r="AQZ1048" s="13"/>
      <c r="ARA1048" s="13"/>
      <c r="ARB1048" s="13"/>
      <c r="ARC1048" s="13"/>
      <c r="ARD1048" s="13"/>
      <c r="ARE1048" s="13"/>
      <c r="ARF1048" s="13"/>
      <c r="ARG1048" s="13"/>
      <c r="ARH1048" s="13"/>
      <c r="ARI1048" s="13"/>
      <c r="ARJ1048" s="13"/>
      <c r="ARK1048" s="13"/>
      <c r="ARL1048" s="13"/>
      <c r="ARM1048" s="13"/>
      <c r="ARN1048" s="13"/>
      <c r="ARO1048" s="13"/>
      <c r="ARP1048" s="13"/>
      <c r="ARQ1048" s="13"/>
      <c r="ARR1048" s="13"/>
      <c r="ARS1048" s="13"/>
      <c r="ART1048" s="13"/>
      <c r="ARU1048" s="13"/>
      <c r="ARV1048" s="13"/>
      <c r="ARW1048" s="13"/>
      <c r="ARX1048" s="13"/>
      <c r="ARY1048" s="13"/>
      <c r="ARZ1048" s="13"/>
      <c r="ASA1048" s="13"/>
      <c r="ASB1048" s="13"/>
      <c r="ASC1048" s="13"/>
      <c r="ASD1048" s="13"/>
      <c r="ASE1048" s="13"/>
      <c r="ASF1048" s="13"/>
      <c r="ASG1048" s="13"/>
      <c r="ASH1048" s="13"/>
      <c r="ASI1048" s="13"/>
      <c r="ASJ1048" s="13"/>
      <c r="ASK1048" s="13"/>
      <c r="ASL1048" s="13"/>
      <c r="ASM1048" s="13"/>
      <c r="ASN1048" s="13"/>
      <c r="ASO1048" s="13"/>
      <c r="ASP1048" s="13"/>
      <c r="ASQ1048" s="13"/>
      <c r="ASR1048" s="13"/>
      <c r="ASS1048" s="13"/>
      <c r="AST1048" s="13"/>
      <c r="ASU1048" s="13"/>
      <c r="ASV1048" s="13"/>
      <c r="ASW1048" s="13"/>
      <c r="ASX1048" s="13"/>
      <c r="ASY1048" s="13"/>
      <c r="ASZ1048" s="13"/>
      <c r="ATA1048" s="13"/>
      <c r="ATB1048" s="13"/>
      <c r="ATC1048" s="13"/>
      <c r="ATD1048" s="13"/>
      <c r="ATE1048" s="13"/>
      <c r="ATF1048" s="13"/>
      <c r="ATG1048" s="13"/>
      <c r="ATH1048" s="13"/>
      <c r="ATI1048" s="13"/>
      <c r="ATJ1048" s="13"/>
      <c r="ATK1048" s="13"/>
      <c r="ATL1048" s="13"/>
      <c r="ATM1048" s="13"/>
      <c r="ATN1048" s="13"/>
      <c r="ATO1048" s="13"/>
      <c r="ATP1048" s="13"/>
      <c r="ATQ1048" s="13"/>
      <c r="ATR1048" s="13"/>
      <c r="ATS1048" s="13"/>
      <c r="ATT1048" s="13"/>
      <c r="ATU1048" s="13"/>
      <c r="ATV1048" s="13"/>
      <c r="ATW1048" s="13"/>
      <c r="ATX1048" s="13"/>
      <c r="ATY1048" s="13"/>
      <c r="ATZ1048" s="13"/>
      <c r="AUA1048" s="13"/>
      <c r="AUB1048" s="13"/>
      <c r="AUC1048" s="13"/>
      <c r="AUD1048" s="13"/>
      <c r="AUE1048" s="13"/>
      <c r="AUF1048" s="13"/>
      <c r="AUG1048" s="13"/>
      <c r="AUH1048" s="13"/>
      <c r="AUI1048" s="13"/>
      <c r="AUJ1048" s="13"/>
      <c r="AUK1048" s="13"/>
      <c r="AUL1048" s="13"/>
      <c r="AUM1048" s="13"/>
      <c r="AUN1048" s="13"/>
      <c r="AUO1048" s="13"/>
      <c r="AUP1048" s="13"/>
      <c r="AUQ1048" s="13"/>
      <c r="AUR1048" s="13"/>
      <c r="AUS1048" s="13"/>
      <c r="AUT1048" s="13"/>
      <c r="AUU1048" s="13"/>
      <c r="AUV1048" s="13"/>
      <c r="AUW1048" s="13"/>
      <c r="AUX1048" s="13"/>
      <c r="AUY1048" s="13"/>
      <c r="AUZ1048" s="13"/>
      <c r="AVA1048" s="13"/>
      <c r="AVB1048" s="13"/>
      <c r="AVC1048" s="13"/>
      <c r="AVD1048" s="13"/>
      <c r="AVE1048" s="13"/>
      <c r="AVF1048" s="13"/>
      <c r="AVG1048" s="13"/>
      <c r="AVH1048" s="13"/>
      <c r="AVI1048" s="13"/>
      <c r="AVJ1048" s="13"/>
      <c r="AVK1048" s="13"/>
      <c r="AVL1048" s="13"/>
      <c r="AVM1048" s="13"/>
      <c r="AVN1048" s="13"/>
      <c r="AVO1048" s="13"/>
      <c r="AVP1048" s="13"/>
      <c r="AVQ1048" s="13"/>
      <c r="AVR1048" s="13"/>
      <c r="AVS1048" s="13"/>
      <c r="AVT1048" s="13"/>
      <c r="AVU1048" s="13"/>
      <c r="AVV1048" s="13"/>
      <c r="AVW1048" s="13"/>
      <c r="AVX1048" s="13"/>
      <c r="AVY1048" s="13"/>
      <c r="AVZ1048" s="13"/>
      <c r="AWA1048" s="13"/>
      <c r="AWB1048" s="13"/>
      <c r="AWC1048" s="13"/>
      <c r="AWD1048" s="13"/>
      <c r="AWE1048" s="13"/>
      <c r="AWF1048" s="13"/>
      <c r="AWG1048" s="13"/>
      <c r="AWH1048" s="13"/>
      <c r="AWI1048" s="13"/>
      <c r="AWJ1048" s="13"/>
      <c r="AWK1048" s="13"/>
      <c r="AWL1048" s="13"/>
      <c r="AWM1048" s="13"/>
      <c r="AWN1048" s="13"/>
      <c r="AWO1048" s="13"/>
      <c r="AWP1048" s="13"/>
      <c r="AWQ1048" s="13"/>
      <c r="AWR1048" s="13"/>
      <c r="AWS1048" s="13"/>
      <c r="AWT1048" s="13"/>
      <c r="AWU1048" s="13"/>
      <c r="AWV1048" s="13"/>
      <c r="AWW1048" s="13"/>
      <c r="AWX1048" s="13"/>
      <c r="AWY1048" s="13"/>
      <c r="AWZ1048" s="13"/>
      <c r="AXA1048" s="13"/>
      <c r="AXB1048" s="13"/>
      <c r="AXC1048" s="13"/>
      <c r="AXD1048" s="13"/>
      <c r="AXE1048" s="13"/>
      <c r="AXF1048" s="13"/>
      <c r="AXG1048" s="13"/>
      <c r="AXH1048" s="13"/>
      <c r="AXI1048" s="13"/>
      <c r="AXJ1048" s="13"/>
      <c r="AXK1048" s="13"/>
      <c r="AXL1048" s="13"/>
      <c r="AXM1048" s="13"/>
      <c r="AXN1048" s="13"/>
      <c r="AXO1048" s="13"/>
      <c r="AXP1048" s="13"/>
      <c r="AXQ1048" s="13"/>
      <c r="AXR1048" s="13"/>
      <c r="AXS1048" s="13"/>
      <c r="AXT1048" s="13"/>
      <c r="AXU1048" s="13"/>
      <c r="AXV1048" s="13"/>
      <c r="AXW1048" s="13"/>
      <c r="AXX1048" s="13"/>
      <c r="AXY1048" s="13"/>
      <c r="AXZ1048" s="13"/>
      <c r="AYA1048" s="13"/>
      <c r="AYB1048" s="13"/>
      <c r="AYC1048" s="13"/>
      <c r="AYD1048" s="13"/>
      <c r="AYE1048" s="13"/>
      <c r="AYF1048" s="13"/>
      <c r="AYG1048" s="13"/>
      <c r="AYH1048" s="13"/>
      <c r="AYI1048" s="13"/>
      <c r="AYJ1048" s="13"/>
      <c r="AYK1048" s="13"/>
      <c r="AYL1048" s="13"/>
      <c r="AYM1048" s="13"/>
      <c r="AYN1048" s="13"/>
      <c r="AYO1048" s="13"/>
      <c r="AYP1048" s="13"/>
      <c r="AYQ1048" s="13"/>
      <c r="AYR1048" s="13"/>
      <c r="AYS1048" s="13"/>
      <c r="AYT1048" s="13"/>
      <c r="AYU1048" s="13"/>
      <c r="AYV1048" s="13"/>
      <c r="AYW1048" s="13"/>
      <c r="AYX1048" s="13"/>
      <c r="AYY1048" s="13"/>
      <c r="AYZ1048" s="13"/>
      <c r="AZA1048" s="13"/>
      <c r="AZB1048" s="13"/>
      <c r="AZC1048" s="13"/>
      <c r="AZD1048" s="13"/>
      <c r="AZE1048" s="13"/>
      <c r="AZF1048" s="13"/>
      <c r="AZG1048" s="13"/>
      <c r="AZH1048" s="13"/>
      <c r="AZI1048" s="13"/>
      <c r="AZJ1048" s="13"/>
      <c r="AZK1048" s="13"/>
      <c r="AZL1048" s="13"/>
      <c r="AZM1048" s="13"/>
      <c r="AZN1048" s="13"/>
      <c r="AZO1048" s="13"/>
      <c r="AZP1048" s="13"/>
      <c r="AZQ1048" s="13"/>
      <c r="AZR1048" s="13"/>
      <c r="AZS1048" s="13"/>
      <c r="AZT1048" s="13"/>
      <c r="AZU1048" s="13"/>
      <c r="AZV1048" s="13"/>
      <c r="AZW1048" s="13"/>
      <c r="AZX1048" s="13"/>
      <c r="AZY1048" s="13"/>
      <c r="AZZ1048" s="13"/>
      <c r="BAA1048" s="13"/>
      <c r="BAB1048" s="13"/>
      <c r="BAC1048" s="13"/>
      <c r="BAD1048" s="13"/>
      <c r="BAE1048" s="13"/>
      <c r="BAF1048" s="13"/>
      <c r="BAG1048" s="13"/>
      <c r="BAH1048" s="13"/>
      <c r="BAI1048" s="13"/>
      <c r="BAJ1048" s="13"/>
      <c r="BAK1048" s="13"/>
      <c r="BAL1048" s="13"/>
      <c r="BAM1048" s="13"/>
      <c r="BAN1048" s="13"/>
      <c r="BAO1048" s="13"/>
      <c r="BAP1048" s="13"/>
      <c r="BAQ1048" s="13"/>
      <c r="BAR1048" s="13"/>
      <c r="BAS1048" s="13"/>
      <c r="BAT1048" s="13"/>
      <c r="BAU1048" s="13"/>
      <c r="BAV1048" s="13"/>
      <c r="BAW1048" s="13"/>
      <c r="BAX1048" s="13"/>
      <c r="BAY1048" s="13"/>
      <c r="BAZ1048" s="13"/>
      <c r="BBA1048" s="13"/>
      <c r="BBB1048" s="13"/>
      <c r="BBC1048" s="13"/>
      <c r="BBD1048" s="13"/>
      <c r="BBE1048" s="13"/>
      <c r="BBF1048" s="13"/>
      <c r="BBG1048" s="13"/>
      <c r="BBH1048" s="13"/>
      <c r="BBI1048" s="13"/>
      <c r="BBJ1048" s="13"/>
      <c r="BBK1048" s="13"/>
      <c r="BBL1048" s="13"/>
      <c r="BBM1048" s="13"/>
      <c r="BBN1048" s="13"/>
      <c r="BBO1048" s="13"/>
      <c r="BBP1048" s="13"/>
      <c r="BBQ1048" s="13"/>
      <c r="BBR1048" s="13"/>
      <c r="BBS1048" s="13"/>
      <c r="BBT1048" s="13"/>
      <c r="BBU1048" s="13"/>
      <c r="BBV1048" s="13"/>
      <c r="BBW1048" s="13"/>
      <c r="BBX1048" s="13"/>
      <c r="BBY1048" s="13"/>
      <c r="BBZ1048" s="13"/>
      <c r="BCA1048" s="13"/>
      <c r="BCB1048" s="13"/>
      <c r="BCC1048" s="13"/>
      <c r="BCD1048" s="13"/>
      <c r="BCE1048" s="13"/>
      <c r="BCF1048" s="13"/>
      <c r="BCG1048" s="13"/>
      <c r="BCH1048" s="13"/>
      <c r="BCI1048" s="13"/>
      <c r="BCJ1048" s="13"/>
      <c r="BCK1048" s="13"/>
      <c r="BCL1048" s="13"/>
      <c r="BCM1048" s="13"/>
      <c r="BCN1048" s="13"/>
      <c r="BCO1048" s="13"/>
      <c r="BCP1048" s="13"/>
      <c r="BCQ1048" s="13"/>
      <c r="BCR1048" s="13"/>
      <c r="BCS1048" s="13"/>
      <c r="BCT1048" s="13"/>
      <c r="BCU1048" s="13"/>
      <c r="BCV1048" s="13"/>
      <c r="BCW1048" s="13"/>
      <c r="BCX1048" s="13"/>
      <c r="BCY1048" s="13"/>
      <c r="BCZ1048" s="13"/>
      <c r="BDA1048" s="13"/>
      <c r="BDB1048" s="13"/>
      <c r="BDC1048" s="13"/>
      <c r="BDD1048" s="13"/>
      <c r="BDE1048" s="13"/>
      <c r="BDF1048" s="13"/>
      <c r="BDG1048" s="13"/>
      <c r="BDH1048" s="13"/>
      <c r="BDI1048" s="13"/>
      <c r="BDJ1048" s="13"/>
      <c r="BDK1048" s="13"/>
      <c r="BDL1048" s="13"/>
      <c r="BDM1048" s="13"/>
      <c r="BDN1048" s="13"/>
      <c r="BDO1048" s="13"/>
      <c r="BDP1048" s="13"/>
      <c r="BDQ1048" s="13"/>
      <c r="BDR1048" s="13"/>
      <c r="BDS1048" s="13"/>
      <c r="BDT1048" s="13"/>
      <c r="BDU1048" s="13"/>
      <c r="BDV1048" s="13"/>
      <c r="BDW1048" s="13"/>
      <c r="BDX1048" s="13"/>
      <c r="BDY1048" s="13"/>
      <c r="BDZ1048" s="13"/>
      <c r="BEA1048" s="13"/>
      <c r="BEB1048" s="13"/>
      <c r="BEC1048" s="13"/>
      <c r="BED1048" s="13"/>
      <c r="BEE1048" s="13"/>
      <c r="BEF1048" s="13"/>
      <c r="BEG1048" s="13"/>
      <c r="BEH1048" s="13"/>
      <c r="BEI1048" s="13"/>
      <c r="BEJ1048" s="13"/>
      <c r="BEK1048" s="13"/>
      <c r="BEL1048" s="13"/>
      <c r="BEM1048" s="13"/>
      <c r="BEN1048" s="13"/>
      <c r="BEO1048" s="13"/>
      <c r="BEP1048" s="13"/>
      <c r="BEQ1048" s="13"/>
      <c r="BER1048" s="13"/>
      <c r="BES1048" s="13"/>
      <c r="BET1048" s="13"/>
      <c r="BEU1048" s="13"/>
      <c r="BEV1048" s="13"/>
      <c r="BEW1048" s="13"/>
      <c r="BEX1048" s="13"/>
      <c r="BEY1048" s="13"/>
      <c r="BEZ1048" s="13"/>
      <c r="BFA1048" s="13"/>
      <c r="BFB1048" s="13"/>
      <c r="BFC1048" s="13"/>
      <c r="BFD1048" s="13"/>
      <c r="BFE1048" s="13"/>
      <c r="BFF1048" s="13"/>
      <c r="BFG1048" s="13"/>
      <c r="BFH1048" s="13"/>
      <c r="BFI1048" s="13"/>
      <c r="BFJ1048" s="13"/>
      <c r="BFK1048" s="13"/>
      <c r="BFL1048" s="13"/>
      <c r="BFM1048" s="13"/>
      <c r="BFN1048" s="13"/>
      <c r="BFO1048" s="13"/>
      <c r="BFP1048" s="13"/>
      <c r="BFQ1048" s="13"/>
      <c r="BFR1048" s="13"/>
      <c r="BFS1048" s="13"/>
      <c r="BFT1048" s="13"/>
      <c r="BFU1048" s="13"/>
      <c r="BFV1048" s="13"/>
      <c r="BFW1048" s="13"/>
      <c r="BFX1048" s="13"/>
      <c r="BFY1048" s="13"/>
      <c r="BFZ1048" s="13"/>
      <c r="BGA1048" s="13"/>
      <c r="BGB1048" s="13"/>
      <c r="BGC1048" s="13"/>
      <c r="BGD1048" s="13"/>
      <c r="BGE1048" s="13"/>
      <c r="BGF1048" s="13"/>
      <c r="BGG1048" s="13"/>
      <c r="BGH1048" s="13"/>
      <c r="BGI1048" s="13"/>
      <c r="BGJ1048" s="13"/>
      <c r="BGK1048" s="13"/>
      <c r="BGL1048" s="13"/>
      <c r="BGM1048" s="13"/>
      <c r="BGN1048" s="13"/>
      <c r="BGO1048" s="13"/>
      <c r="BGP1048" s="13"/>
      <c r="BGQ1048" s="13"/>
      <c r="BGR1048" s="13"/>
      <c r="BGS1048" s="13"/>
      <c r="BGT1048" s="13"/>
      <c r="BGU1048" s="13"/>
      <c r="BGV1048" s="13"/>
      <c r="BGW1048" s="13"/>
      <c r="BGX1048" s="13"/>
      <c r="BGY1048" s="13"/>
      <c r="BGZ1048" s="13"/>
      <c r="BHA1048" s="13"/>
      <c r="BHB1048" s="13"/>
      <c r="BHC1048" s="13"/>
      <c r="BHD1048" s="13"/>
      <c r="BHE1048" s="13"/>
      <c r="BHF1048" s="13"/>
      <c r="BHG1048" s="13"/>
      <c r="BHH1048" s="13"/>
      <c r="BHI1048" s="13"/>
      <c r="BHJ1048" s="13"/>
      <c r="BHK1048" s="13"/>
      <c r="BHL1048" s="13"/>
      <c r="BHM1048" s="13"/>
      <c r="BHN1048" s="13"/>
      <c r="BHO1048" s="13"/>
      <c r="BHP1048" s="13"/>
      <c r="BHQ1048" s="13"/>
      <c r="BHR1048" s="13"/>
      <c r="BHS1048" s="13"/>
      <c r="BHT1048" s="13"/>
      <c r="BHU1048" s="13"/>
      <c r="BHV1048" s="13"/>
      <c r="BHW1048" s="13"/>
      <c r="BHX1048" s="13"/>
      <c r="BHY1048" s="13"/>
      <c r="BHZ1048" s="13"/>
      <c r="BIA1048" s="13"/>
      <c r="BIB1048" s="13"/>
      <c r="BIC1048" s="13"/>
      <c r="BID1048" s="13"/>
      <c r="BIE1048" s="13"/>
      <c r="BIF1048" s="13"/>
      <c r="BIG1048" s="13"/>
      <c r="BIH1048" s="13"/>
      <c r="BII1048" s="13"/>
      <c r="BIJ1048" s="13"/>
      <c r="BIK1048" s="13"/>
      <c r="BIL1048" s="13"/>
      <c r="BIM1048" s="13"/>
      <c r="BIN1048" s="13"/>
      <c r="BIO1048" s="13"/>
      <c r="BIP1048" s="13"/>
      <c r="BIQ1048" s="13"/>
      <c r="BIR1048" s="13"/>
      <c r="BIS1048" s="13"/>
      <c r="BIT1048" s="13"/>
      <c r="BIU1048" s="13"/>
      <c r="BIV1048" s="13"/>
      <c r="BIW1048" s="13"/>
      <c r="BIX1048" s="13"/>
      <c r="BIY1048" s="13"/>
      <c r="BIZ1048" s="13"/>
      <c r="BJA1048" s="13"/>
      <c r="BJB1048" s="13"/>
      <c r="BJC1048" s="13"/>
      <c r="BJD1048" s="13"/>
      <c r="BJE1048" s="13"/>
      <c r="BJF1048" s="13"/>
      <c r="BJG1048" s="13"/>
      <c r="BJH1048" s="13"/>
      <c r="BJI1048" s="13"/>
      <c r="BJJ1048" s="13"/>
      <c r="BJK1048" s="13"/>
      <c r="BJL1048" s="13"/>
      <c r="BJM1048" s="13"/>
      <c r="BJN1048" s="13"/>
      <c r="BJO1048" s="13"/>
      <c r="BJP1048" s="13"/>
      <c r="BJQ1048" s="13"/>
      <c r="BJR1048" s="13"/>
      <c r="BJS1048" s="13"/>
      <c r="BJT1048" s="13"/>
      <c r="BJU1048" s="13"/>
      <c r="BJV1048" s="13"/>
      <c r="BJW1048" s="13"/>
      <c r="BJX1048" s="13"/>
      <c r="BJY1048" s="13"/>
      <c r="BJZ1048" s="13"/>
      <c r="BKA1048" s="13"/>
      <c r="BKB1048" s="13"/>
      <c r="BKC1048" s="13"/>
      <c r="BKD1048" s="13"/>
      <c r="BKE1048" s="13"/>
      <c r="BKF1048" s="13"/>
      <c r="BKG1048" s="13"/>
      <c r="BKH1048" s="13"/>
      <c r="BKI1048" s="13"/>
      <c r="BKJ1048" s="13"/>
      <c r="BKK1048" s="13"/>
      <c r="BKL1048" s="13"/>
      <c r="BKM1048" s="13"/>
      <c r="BKN1048" s="13"/>
      <c r="BKO1048" s="13"/>
      <c r="BKP1048" s="13"/>
      <c r="BKQ1048" s="13"/>
      <c r="BKR1048" s="13"/>
      <c r="BKS1048" s="13"/>
      <c r="BKT1048" s="13"/>
      <c r="BKU1048" s="13"/>
      <c r="BKV1048" s="13"/>
      <c r="BKW1048" s="13"/>
      <c r="BKX1048" s="13"/>
      <c r="BKY1048" s="13"/>
      <c r="BKZ1048" s="13"/>
      <c r="BLA1048" s="13"/>
      <c r="BLB1048" s="13"/>
      <c r="BLC1048" s="13"/>
      <c r="BLD1048" s="13"/>
      <c r="BLE1048" s="13"/>
      <c r="BLF1048" s="13"/>
      <c r="BLG1048" s="13"/>
      <c r="BLH1048" s="13"/>
      <c r="BLI1048" s="13"/>
      <c r="BLJ1048" s="13"/>
      <c r="BLK1048" s="13"/>
      <c r="BLL1048" s="13"/>
      <c r="BLM1048" s="13"/>
      <c r="BLN1048" s="13"/>
      <c r="BLO1048" s="13"/>
      <c r="BLP1048" s="13"/>
      <c r="BLQ1048" s="13"/>
      <c r="BLR1048" s="13"/>
      <c r="BLS1048" s="13"/>
      <c r="BLT1048" s="13"/>
      <c r="BLU1048" s="13"/>
      <c r="BLV1048" s="13"/>
      <c r="BLW1048" s="13"/>
      <c r="BLX1048" s="13"/>
      <c r="BLY1048" s="13"/>
      <c r="BLZ1048" s="13"/>
      <c r="BMA1048" s="13"/>
      <c r="BMB1048" s="13"/>
      <c r="BMC1048" s="13"/>
      <c r="BMD1048" s="13"/>
      <c r="BME1048" s="13"/>
      <c r="BMF1048" s="13"/>
      <c r="BMG1048" s="13"/>
      <c r="BMH1048" s="13"/>
      <c r="BMI1048" s="13"/>
      <c r="BMJ1048" s="13"/>
      <c r="BMK1048" s="13"/>
      <c r="BML1048" s="13"/>
      <c r="BMM1048" s="13"/>
      <c r="BMN1048" s="13"/>
      <c r="BMO1048" s="13"/>
      <c r="BMP1048" s="13"/>
      <c r="BMQ1048" s="13"/>
      <c r="BMR1048" s="13"/>
      <c r="BMS1048" s="13"/>
      <c r="BMT1048" s="13"/>
      <c r="BMU1048" s="13"/>
      <c r="BMV1048" s="13"/>
      <c r="BMW1048" s="13"/>
      <c r="BMX1048" s="13"/>
      <c r="BMY1048" s="13"/>
      <c r="BMZ1048" s="13"/>
      <c r="BNA1048" s="13"/>
      <c r="BNB1048" s="13"/>
      <c r="BNC1048" s="13"/>
      <c r="BND1048" s="13"/>
      <c r="BNE1048" s="13"/>
      <c r="BNF1048" s="13"/>
      <c r="BNG1048" s="13"/>
      <c r="BNH1048" s="13"/>
      <c r="BNI1048" s="13"/>
      <c r="BNJ1048" s="13"/>
      <c r="BNK1048" s="13"/>
      <c r="BNL1048" s="13"/>
      <c r="BNM1048" s="13"/>
      <c r="BNN1048" s="13"/>
      <c r="BNO1048" s="13"/>
      <c r="BNP1048" s="13"/>
      <c r="BNQ1048" s="13"/>
      <c r="BNR1048" s="13"/>
      <c r="BNS1048" s="13"/>
      <c r="BNT1048" s="13"/>
      <c r="BNU1048" s="13"/>
      <c r="BNV1048" s="13"/>
      <c r="BNW1048" s="13"/>
      <c r="BNX1048" s="13"/>
      <c r="BNY1048" s="13"/>
      <c r="BNZ1048" s="13"/>
      <c r="BOA1048" s="13"/>
      <c r="BOB1048" s="13"/>
      <c r="BOC1048" s="13"/>
      <c r="BOD1048" s="13"/>
      <c r="BOE1048" s="13"/>
      <c r="BOF1048" s="13"/>
      <c r="BOG1048" s="13"/>
      <c r="BOH1048" s="13"/>
      <c r="BOI1048" s="13"/>
      <c r="BOJ1048" s="13"/>
      <c r="BOK1048" s="13"/>
      <c r="BOL1048" s="13"/>
      <c r="BOM1048" s="13"/>
      <c r="BON1048" s="13"/>
      <c r="BOO1048" s="13"/>
      <c r="BOP1048" s="13"/>
      <c r="BOQ1048" s="13"/>
      <c r="BOR1048" s="13"/>
      <c r="BOS1048" s="13"/>
      <c r="BOT1048" s="13"/>
      <c r="BOU1048" s="13"/>
      <c r="BOV1048" s="13"/>
      <c r="BOW1048" s="13"/>
      <c r="BOX1048" s="13"/>
      <c r="BOY1048" s="13"/>
      <c r="BOZ1048" s="13"/>
      <c r="BPA1048" s="13"/>
      <c r="BPB1048" s="13"/>
      <c r="BPC1048" s="13"/>
      <c r="BPD1048" s="13"/>
      <c r="BPE1048" s="13"/>
      <c r="BPF1048" s="13"/>
      <c r="BPG1048" s="13"/>
      <c r="BPH1048" s="13"/>
      <c r="BPI1048" s="13"/>
      <c r="BPJ1048" s="13"/>
      <c r="BPK1048" s="13"/>
      <c r="BPL1048" s="13"/>
      <c r="BPM1048" s="13"/>
      <c r="BPN1048" s="13"/>
      <c r="BPO1048" s="13"/>
      <c r="BPP1048" s="13"/>
      <c r="BPQ1048" s="13"/>
      <c r="BPR1048" s="13"/>
      <c r="BPS1048" s="13"/>
      <c r="BPT1048" s="13"/>
      <c r="BPU1048" s="13"/>
      <c r="BPV1048" s="13"/>
      <c r="BPW1048" s="13"/>
      <c r="BPX1048" s="13"/>
      <c r="BPY1048" s="13"/>
      <c r="BPZ1048" s="13"/>
      <c r="BQA1048" s="13"/>
      <c r="BQB1048" s="13"/>
      <c r="BQC1048" s="13"/>
      <c r="BQD1048" s="13"/>
      <c r="BQE1048" s="13"/>
      <c r="BQF1048" s="13"/>
      <c r="BQG1048" s="13"/>
      <c r="BQH1048" s="13"/>
      <c r="BQI1048" s="13"/>
      <c r="BQJ1048" s="13"/>
      <c r="BQK1048" s="13"/>
      <c r="BQL1048" s="13"/>
      <c r="BQM1048" s="13"/>
      <c r="BQN1048" s="13"/>
      <c r="BQO1048" s="13"/>
      <c r="BQP1048" s="13"/>
      <c r="BQQ1048" s="13"/>
      <c r="BQR1048" s="13"/>
      <c r="BQS1048" s="13"/>
      <c r="BQT1048" s="13"/>
      <c r="BQU1048" s="13"/>
      <c r="BQV1048" s="13"/>
      <c r="BQW1048" s="13"/>
      <c r="BQX1048" s="13"/>
      <c r="BQY1048" s="13"/>
      <c r="BQZ1048" s="13"/>
      <c r="BRA1048" s="13"/>
      <c r="BRB1048" s="13"/>
      <c r="BRC1048" s="13"/>
      <c r="BRD1048" s="13"/>
      <c r="BRE1048" s="13"/>
      <c r="BRF1048" s="13"/>
      <c r="BRG1048" s="13"/>
      <c r="BRH1048" s="13"/>
      <c r="BRI1048" s="13"/>
      <c r="BRJ1048" s="13"/>
      <c r="BRK1048" s="13"/>
      <c r="BRL1048" s="13"/>
      <c r="BRM1048" s="13"/>
      <c r="BRN1048" s="13"/>
      <c r="BRO1048" s="13"/>
      <c r="BRP1048" s="13"/>
      <c r="BRQ1048" s="13"/>
      <c r="BRR1048" s="13"/>
      <c r="BRS1048" s="13"/>
      <c r="BRT1048" s="13"/>
      <c r="BRU1048" s="13"/>
      <c r="BRV1048" s="13"/>
      <c r="BRW1048" s="13"/>
      <c r="BRX1048" s="13"/>
      <c r="BRY1048" s="13"/>
      <c r="BRZ1048" s="13"/>
      <c r="BSA1048" s="13"/>
      <c r="BSB1048" s="13"/>
      <c r="BSC1048" s="13"/>
      <c r="BSD1048" s="13"/>
      <c r="BSE1048" s="13"/>
      <c r="BSF1048" s="13"/>
      <c r="BSG1048" s="13"/>
      <c r="BSH1048" s="13"/>
      <c r="BSI1048" s="13"/>
      <c r="BSJ1048" s="13"/>
      <c r="BSK1048" s="13"/>
      <c r="BSL1048" s="13"/>
      <c r="BSM1048" s="13"/>
      <c r="BSN1048" s="13"/>
      <c r="BSO1048" s="13"/>
      <c r="BSP1048" s="13"/>
      <c r="BSQ1048" s="13"/>
      <c r="BSR1048" s="13"/>
      <c r="BSS1048" s="13"/>
      <c r="BST1048" s="13"/>
      <c r="BSU1048" s="13"/>
      <c r="BSV1048" s="13"/>
      <c r="BSW1048" s="13"/>
      <c r="BSX1048" s="13"/>
      <c r="BSY1048" s="13"/>
      <c r="BSZ1048" s="13"/>
      <c r="BTA1048" s="13"/>
    </row>
    <row r="1049" spans="1:1873" s="23" customFormat="1" x14ac:dyDescent="0.2">
      <c r="A1049" s="273"/>
      <c r="B1049" s="273"/>
      <c r="C1049" s="273"/>
      <c r="D1049" s="273"/>
      <c r="E1049" s="462"/>
      <c r="F1049" s="462"/>
      <c r="G1049" s="273"/>
      <c r="H1049" s="273"/>
      <c r="I1049" s="273"/>
      <c r="J1049" s="273"/>
      <c r="K1049" s="273"/>
      <c r="L1049" s="273"/>
      <c r="M1049" s="471"/>
      <c r="N1049" s="273"/>
      <c r="O1049" s="29"/>
      <c r="P1049" s="414"/>
      <c r="Q1049" s="273"/>
      <c r="R1049" s="471"/>
      <c r="S1049" s="273"/>
      <c r="T1049" s="471"/>
      <c r="U1049" s="273"/>
      <c r="V1049" s="273"/>
      <c r="W1049" s="471"/>
      <c r="X1049" s="273"/>
      <c r="Y1049" s="273"/>
      <c r="Z1049" s="461"/>
      <c r="AA1049" s="580"/>
      <c r="AB1049" s="471"/>
      <c r="AC1049" s="273"/>
      <c r="AD1049" s="273"/>
      <c r="AE1049" s="273"/>
      <c r="AF1049" s="273"/>
      <c r="AG1049" s="273"/>
      <c r="AH1049" s="273"/>
      <c r="AI1049" s="273"/>
      <c r="AJ1049" s="273"/>
      <c r="AK1049" s="273"/>
      <c r="AL1049" s="273"/>
      <c r="AM1049" s="273"/>
      <c r="AN1049" s="273"/>
      <c r="AO1049" s="273"/>
      <c r="AP1049" s="273"/>
      <c r="AQ1049" s="273"/>
      <c r="AR1049" s="273"/>
      <c r="AS1049" s="273"/>
      <c r="AT1049" s="273"/>
      <c r="AU1049" s="273"/>
      <c r="AV1049" s="273"/>
      <c r="AW1049" s="273"/>
      <c r="AX1049" s="273"/>
      <c r="AY1049" s="273"/>
      <c r="AZ1049" s="273"/>
      <c r="BA1049" s="273"/>
      <c r="BB1049" s="273"/>
      <c r="BC1049" s="273"/>
      <c r="BD1049" s="273"/>
      <c r="BE1049" s="273"/>
      <c r="BF1049" s="273"/>
      <c r="BG1049" s="273"/>
      <c r="BH1049" s="273"/>
      <c r="BI1049" s="273"/>
      <c r="BJ1049" s="273"/>
      <c r="BK1049" s="273"/>
      <c r="BL1049" s="273"/>
      <c r="BM1049" s="273"/>
      <c r="BN1049" s="273"/>
      <c r="BO1049" s="273"/>
      <c r="BP1049" s="273"/>
      <c r="BQ1049" s="273"/>
      <c r="BR1049" s="273"/>
      <c r="BS1049" s="468"/>
      <c r="BT1049" s="273"/>
      <c r="BU1049" s="273"/>
      <c r="BV1049" s="273"/>
      <c r="BW1049" s="273"/>
      <c r="BX1049" s="273"/>
      <c r="BY1049" s="273"/>
      <c r="BZ1049" s="273"/>
      <c r="CA1049" s="472"/>
      <c r="CB1049" s="473"/>
      <c r="CC1049" s="462"/>
      <c r="CD1049" s="273"/>
      <c r="CE1049" s="342" t="s">
        <v>1576</v>
      </c>
      <c r="CF1049" s="342" t="s">
        <v>1575</v>
      </c>
      <c r="CG1049" s="89"/>
    </row>
    <row r="1050" spans="1:1873" s="23" customFormat="1" ht="15.75" x14ac:dyDescent="0.3">
      <c r="A1050" s="273" t="s">
        <v>756</v>
      </c>
      <c r="B1050" s="273" t="s">
        <v>1169</v>
      </c>
      <c r="C1050" s="273" t="s">
        <v>1091</v>
      </c>
      <c r="D1050" s="273" t="s">
        <v>619</v>
      </c>
      <c r="E1050" s="462" t="s">
        <v>1529</v>
      </c>
      <c r="F1050" s="462">
        <v>1</v>
      </c>
      <c r="G1050" s="273">
        <v>1</v>
      </c>
      <c r="H1050" s="273">
        <v>1</v>
      </c>
      <c r="I1050" s="273" t="s">
        <v>320</v>
      </c>
      <c r="J1050" s="273">
        <v>1979</v>
      </c>
      <c r="K1050" s="273" t="s">
        <v>856</v>
      </c>
      <c r="L1050" s="273">
        <v>1980</v>
      </c>
      <c r="M1050" s="471">
        <v>-9999</v>
      </c>
      <c r="N1050" s="273">
        <v>-9999</v>
      </c>
      <c r="O1050" s="29"/>
      <c r="P1050" s="414">
        <f>+T1050*G1050</f>
        <v>0.3</v>
      </c>
      <c r="Q1050" s="273">
        <v>-9999</v>
      </c>
      <c r="R1050" s="471"/>
      <c r="S1050" s="273"/>
      <c r="T1050" s="471">
        <v>0.3</v>
      </c>
      <c r="U1050" s="385">
        <f>+P1050</f>
        <v>0.3</v>
      </c>
      <c r="V1050" s="273"/>
      <c r="W1050" s="581">
        <f>+P1050</f>
        <v>0.3</v>
      </c>
      <c r="X1050" s="273">
        <v>-9999</v>
      </c>
      <c r="Y1050" s="273"/>
      <c r="Z1050" s="461" t="s">
        <v>67</v>
      </c>
      <c r="AA1050" s="580">
        <v>6944</v>
      </c>
      <c r="AB1050" s="471">
        <v>1</v>
      </c>
      <c r="AC1050" s="273">
        <v>-9999</v>
      </c>
      <c r="AD1050" s="273">
        <v>-9999</v>
      </c>
      <c r="AE1050" s="273" t="s">
        <v>1095</v>
      </c>
      <c r="AF1050" s="273">
        <v>5</v>
      </c>
      <c r="AG1050" s="273" t="s">
        <v>1087</v>
      </c>
      <c r="AH1050" s="273" t="s">
        <v>567</v>
      </c>
      <c r="AI1050" s="273" t="s">
        <v>1103</v>
      </c>
      <c r="AJ1050" s="273" t="s">
        <v>1100</v>
      </c>
      <c r="AK1050" s="273" t="s">
        <v>626</v>
      </c>
      <c r="AL1050" s="273" t="s">
        <v>1099</v>
      </c>
      <c r="AM1050" s="273"/>
      <c r="AN1050" s="273" t="s">
        <v>626</v>
      </c>
      <c r="AO1050" s="273" t="s">
        <v>1093</v>
      </c>
      <c r="AP1050" s="273" t="s">
        <v>577</v>
      </c>
      <c r="AQ1050" s="273" t="s">
        <v>777</v>
      </c>
      <c r="AR1050" s="273">
        <v>0</v>
      </c>
      <c r="AS1050" s="273" t="s">
        <v>1201</v>
      </c>
      <c r="AT1050" s="273" t="s">
        <v>738</v>
      </c>
      <c r="AU1050" s="273">
        <v>0</v>
      </c>
      <c r="AV1050" s="273">
        <v>-9999</v>
      </c>
      <c r="AW1050" s="273">
        <v>-9999</v>
      </c>
      <c r="AX1050" s="273">
        <v>0</v>
      </c>
      <c r="AY1050" s="273">
        <v>-9999</v>
      </c>
      <c r="AZ1050" s="273">
        <v>-9999</v>
      </c>
      <c r="BA1050" s="273" t="s">
        <v>1102</v>
      </c>
      <c r="BB1050" s="273" t="s">
        <v>631</v>
      </c>
      <c r="BC1050" s="273">
        <v>-9999</v>
      </c>
      <c r="BD1050" s="273">
        <v>-9999</v>
      </c>
      <c r="BE1050" s="273">
        <v>-9999</v>
      </c>
      <c r="BF1050" s="273">
        <v>-9999</v>
      </c>
      <c r="BG1050" s="273">
        <v>-9999</v>
      </c>
      <c r="BH1050" s="273">
        <v>-9999</v>
      </c>
      <c r="BI1050" s="273">
        <v>-9999</v>
      </c>
      <c r="BJ1050" s="273">
        <v>-9999</v>
      </c>
      <c r="BK1050" s="273">
        <v>-9999</v>
      </c>
      <c r="BL1050" s="273">
        <v>-9999</v>
      </c>
      <c r="BM1050" s="273">
        <v>-9999</v>
      </c>
      <c r="BN1050" s="273">
        <v>-9999</v>
      </c>
      <c r="BO1050" s="273">
        <v>-9999</v>
      </c>
      <c r="BP1050" s="273">
        <v>-9999</v>
      </c>
      <c r="BQ1050" s="273">
        <v>-9999</v>
      </c>
      <c r="BR1050" s="273">
        <v>-9999</v>
      </c>
      <c r="BS1050" s="468">
        <v>-9999</v>
      </c>
      <c r="BT1050" s="273">
        <v>-9999</v>
      </c>
      <c r="BU1050" s="273">
        <v>-9999</v>
      </c>
      <c r="BV1050" s="273">
        <v>-9999</v>
      </c>
      <c r="BW1050" s="273"/>
      <c r="BX1050" s="273">
        <v>-9999</v>
      </c>
      <c r="BY1050" s="273">
        <v>-9999</v>
      </c>
      <c r="BZ1050" s="273">
        <v>-9999</v>
      </c>
      <c r="CA1050" s="472" t="s">
        <v>1096</v>
      </c>
      <c r="CB1050" s="473"/>
      <c r="CC1050" s="462">
        <v>1</v>
      </c>
      <c r="CD1050" s="273">
        <v>1</v>
      </c>
      <c r="CE1050" s="292">
        <v>0.3</v>
      </c>
      <c r="CF1050" s="292">
        <v>0.3</v>
      </c>
      <c r="CG1050" s="89">
        <v>1</v>
      </c>
    </row>
    <row r="1051" spans="1:1873" s="23" customFormat="1" ht="15.75" x14ac:dyDescent="0.3">
      <c r="A1051" s="273" t="s">
        <v>756</v>
      </c>
      <c r="B1051" s="273" t="s">
        <v>1169</v>
      </c>
      <c r="C1051" s="273" t="s">
        <v>1091</v>
      </c>
      <c r="D1051" s="273" t="s">
        <v>619</v>
      </c>
      <c r="E1051" s="462" t="s">
        <v>1529</v>
      </c>
      <c r="F1051" s="462">
        <v>1</v>
      </c>
      <c r="G1051" s="273">
        <v>2</v>
      </c>
      <c r="H1051" s="273">
        <v>2</v>
      </c>
      <c r="I1051" s="273" t="s">
        <v>320</v>
      </c>
      <c r="J1051" s="273">
        <v>1979</v>
      </c>
      <c r="K1051" s="273" t="s">
        <v>856</v>
      </c>
      <c r="L1051" s="273">
        <v>1981</v>
      </c>
      <c r="M1051" s="471">
        <v>-9999</v>
      </c>
      <c r="N1051" s="273">
        <v>-9999</v>
      </c>
      <c r="O1051" s="29"/>
      <c r="P1051" s="414">
        <f>+T1051*G1051</f>
        <v>9.4</v>
      </c>
      <c r="Q1051" s="273">
        <v>-9999</v>
      </c>
      <c r="R1051" s="471"/>
      <c r="S1051" s="273"/>
      <c r="T1051" s="471">
        <v>4.7</v>
      </c>
      <c r="U1051" s="385">
        <f>+P1051-P1050</f>
        <v>9.1</v>
      </c>
      <c r="V1051" s="273"/>
      <c r="W1051" s="581">
        <f>+P1051-P1050</f>
        <v>9.1</v>
      </c>
      <c r="X1051" s="273">
        <v>-9999</v>
      </c>
      <c r="Y1051" s="273"/>
      <c r="Z1051" s="461" t="s">
        <v>67</v>
      </c>
      <c r="AA1051" s="580">
        <v>6944</v>
      </c>
      <c r="AB1051" s="581">
        <v>1</v>
      </c>
      <c r="AC1051" s="273">
        <v>-9999</v>
      </c>
      <c r="AD1051" s="273">
        <v>-9999</v>
      </c>
      <c r="AE1051" s="273" t="s">
        <v>1095</v>
      </c>
      <c r="AF1051" s="273">
        <v>5</v>
      </c>
      <c r="AG1051" s="273" t="s">
        <v>1087</v>
      </c>
      <c r="AH1051" s="273" t="s">
        <v>567</v>
      </c>
      <c r="AI1051" s="273" t="s">
        <v>1103</v>
      </c>
      <c r="AJ1051" s="273" t="s">
        <v>1100</v>
      </c>
      <c r="AK1051" s="273" t="s">
        <v>626</v>
      </c>
      <c r="AL1051" s="273" t="s">
        <v>1099</v>
      </c>
      <c r="AM1051" s="273"/>
      <c r="AN1051" s="273" t="s">
        <v>626</v>
      </c>
      <c r="AO1051" s="273" t="s">
        <v>1093</v>
      </c>
      <c r="AP1051" s="273" t="s">
        <v>577</v>
      </c>
      <c r="AQ1051" s="273" t="s">
        <v>626</v>
      </c>
      <c r="AR1051" s="273">
        <v>0</v>
      </c>
      <c r="AS1051" s="273" t="s">
        <v>1201</v>
      </c>
      <c r="AT1051" s="273" t="s">
        <v>738</v>
      </c>
      <c r="AU1051" s="273">
        <v>0</v>
      </c>
      <c r="AV1051" s="273">
        <v>-9999</v>
      </c>
      <c r="AW1051" s="273">
        <v>-9999</v>
      </c>
      <c r="AX1051" s="273">
        <v>0</v>
      </c>
      <c r="AY1051" s="273">
        <v>-9999</v>
      </c>
      <c r="AZ1051" s="273">
        <v>-9999</v>
      </c>
      <c r="BA1051" s="273" t="s">
        <v>1102</v>
      </c>
      <c r="BB1051" s="273" t="s">
        <v>631</v>
      </c>
      <c r="BC1051" s="273">
        <v>-9999</v>
      </c>
      <c r="BD1051" s="273">
        <v>-9999</v>
      </c>
      <c r="BE1051" s="273">
        <v>-9999</v>
      </c>
      <c r="BF1051" s="273">
        <v>-9999</v>
      </c>
      <c r="BG1051" s="273">
        <v>-9999</v>
      </c>
      <c r="BH1051" s="273">
        <v>-9999</v>
      </c>
      <c r="BI1051" s="273">
        <v>-9999</v>
      </c>
      <c r="BJ1051" s="273">
        <v>-9999</v>
      </c>
      <c r="BK1051" s="273">
        <v>-9999</v>
      </c>
      <c r="BL1051" s="273">
        <v>-9999</v>
      </c>
      <c r="BM1051" s="273">
        <v>-9999</v>
      </c>
      <c r="BN1051" s="273">
        <v>-9999</v>
      </c>
      <c r="BO1051" s="273">
        <v>-9999</v>
      </c>
      <c r="BP1051" s="273">
        <v>-9999</v>
      </c>
      <c r="BQ1051" s="273">
        <v>-9999</v>
      </c>
      <c r="BR1051" s="273">
        <v>-9999</v>
      </c>
      <c r="BS1051" s="468">
        <v>-9999</v>
      </c>
      <c r="BT1051" s="273">
        <v>-9999</v>
      </c>
      <c r="BU1051" s="273">
        <v>-9999</v>
      </c>
      <c r="BV1051" s="273">
        <v>-9999</v>
      </c>
      <c r="BW1051" s="273"/>
      <c r="BX1051" s="273">
        <v>-9999</v>
      </c>
      <c r="BY1051" s="273">
        <v>-9999</v>
      </c>
      <c r="BZ1051" s="273">
        <v>-9999</v>
      </c>
      <c r="CA1051" s="472" t="s">
        <v>1096</v>
      </c>
      <c r="CB1051" s="473"/>
      <c r="CC1051" s="462">
        <v>1</v>
      </c>
      <c r="CD1051" s="273">
        <v>2</v>
      </c>
      <c r="CE1051" s="292">
        <v>4.7</v>
      </c>
      <c r="CF1051" s="292">
        <v>9.1</v>
      </c>
      <c r="CG1051" s="89">
        <v>2</v>
      </c>
    </row>
    <row r="1052" spans="1:1873" s="23" customFormat="1" ht="15.75" x14ac:dyDescent="0.3">
      <c r="A1052" s="273" t="s">
        <v>756</v>
      </c>
      <c r="B1052" s="273" t="s">
        <v>1169</v>
      </c>
      <c r="C1052" s="273" t="s">
        <v>1091</v>
      </c>
      <c r="D1052" s="273" t="s">
        <v>619</v>
      </c>
      <c r="E1052" s="462" t="s">
        <v>1529</v>
      </c>
      <c r="F1052" s="462">
        <v>1</v>
      </c>
      <c r="G1052" s="273">
        <v>3</v>
      </c>
      <c r="H1052" s="273">
        <v>3</v>
      </c>
      <c r="I1052" s="273" t="s">
        <v>320</v>
      </c>
      <c r="J1052" s="273">
        <v>1979</v>
      </c>
      <c r="K1052" s="273" t="s">
        <v>856</v>
      </c>
      <c r="L1052" s="273">
        <v>1982</v>
      </c>
      <c r="M1052" s="471">
        <v>-9999</v>
      </c>
      <c r="N1052" s="273">
        <v>-9999</v>
      </c>
      <c r="O1052" s="29"/>
      <c r="P1052" s="414">
        <f>+T1052*G1052</f>
        <v>28.200000000000003</v>
      </c>
      <c r="Q1052" s="273">
        <v>-9999</v>
      </c>
      <c r="R1052" s="471"/>
      <c r="S1052" s="273"/>
      <c r="T1052" s="471">
        <v>9.4</v>
      </c>
      <c r="U1052" s="385">
        <f>+P1052-P1051</f>
        <v>18.800000000000004</v>
      </c>
      <c r="V1052" s="273"/>
      <c r="W1052" s="581">
        <f>+P1052-P1051</f>
        <v>18.800000000000004</v>
      </c>
      <c r="X1052" s="273">
        <v>-9999</v>
      </c>
      <c r="Y1052" s="273"/>
      <c r="Z1052" s="461" t="s">
        <v>67</v>
      </c>
      <c r="AA1052" s="580">
        <v>6944</v>
      </c>
      <c r="AB1052" s="581">
        <v>0.98</v>
      </c>
      <c r="AC1052" s="273">
        <v>-9999</v>
      </c>
      <c r="AD1052" s="273">
        <v>-9999</v>
      </c>
      <c r="AE1052" s="273" t="s">
        <v>1095</v>
      </c>
      <c r="AF1052" s="273">
        <v>5</v>
      </c>
      <c r="AG1052" s="273" t="s">
        <v>1087</v>
      </c>
      <c r="AH1052" s="273" t="s">
        <v>567</v>
      </c>
      <c r="AI1052" s="273" t="s">
        <v>1103</v>
      </c>
      <c r="AJ1052" s="273" t="s">
        <v>1100</v>
      </c>
      <c r="AK1052" s="273" t="s">
        <v>626</v>
      </c>
      <c r="AL1052" s="273" t="s">
        <v>1099</v>
      </c>
      <c r="AM1052" s="273"/>
      <c r="AN1052" s="273" t="s">
        <v>626</v>
      </c>
      <c r="AO1052" s="273" t="s">
        <v>1092</v>
      </c>
      <c r="AP1052" s="273" t="s">
        <v>577</v>
      </c>
      <c r="AQ1052" s="273" t="s">
        <v>626</v>
      </c>
      <c r="AR1052" s="273">
        <v>150</v>
      </c>
      <c r="AS1052" s="273" t="s">
        <v>1201</v>
      </c>
      <c r="AT1052" s="273" t="s">
        <v>738</v>
      </c>
      <c r="AU1052" s="273">
        <v>0</v>
      </c>
      <c r="AV1052" s="273">
        <v>-9999</v>
      </c>
      <c r="AW1052" s="273">
        <v>-9999</v>
      </c>
      <c r="AX1052" s="273">
        <v>0</v>
      </c>
      <c r="AY1052" s="273">
        <v>-9999</v>
      </c>
      <c r="AZ1052" s="273">
        <v>-9999</v>
      </c>
      <c r="BA1052" s="273" t="s">
        <v>1102</v>
      </c>
      <c r="BB1052" s="273" t="s">
        <v>631</v>
      </c>
      <c r="BC1052" s="273">
        <v>-9999</v>
      </c>
      <c r="BD1052" s="273">
        <v>-9999</v>
      </c>
      <c r="BE1052" s="273">
        <v>-9999</v>
      </c>
      <c r="BF1052" s="273">
        <v>-9999</v>
      </c>
      <c r="BG1052" s="273">
        <v>-9999</v>
      </c>
      <c r="BH1052" s="273">
        <v>-9999</v>
      </c>
      <c r="BI1052" s="273">
        <v>-9999</v>
      </c>
      <c r="BJ1052" s="273">
        <v>-9999</v>
      </c>
      <c r="BK1052" s="273">
        <v>-9999</v>
      </c>
      <c r="BL1052" s="273">
        <v>-9999</v>
      </c>
      <c r="BM1052" s="273">
        <v>-9999</v>
      </c>
      <c r="BN1052" s="273">
        <v>-9999</v>
      </c>
      <c r="BO1052" s="273">
        <v>-9999</v>
      </c>
      <c r="BP1052" s="273">
        <v>-9999</v>
      </c>
      <c r="BQ1052" s="273">
        <v>-9999</v>
      </c>
      <c r="BR1052" s="273">
        <v>-9999</v>
      </c>
      <c r="BS1052" s="468">
        <v>-9999</v>
      </c>
      <c r="BT1052" s="273">
        <v>-9999</v>
      </c>
      <c r="BU1052" s="273">
        <v>-9999</v>
      </c>
      <c r="BV1052" s="273">
        <v>-9999</v>
      </c>
      <c r="BW1052" s="273"/>
      <c r="BX1052" s="273">
        <v>-9999</v>
      </c>
      <c r="BY1052" s="273">
        <v>-9999</v>
      </c>
      <c r="BZ1052" s="273">
        <v>-9999</v>
      </c>
      <c r="CA1052" s="472" t="s">
        <v>1096</v>
      </c>
      <c r="CB1052" s="473"/>
      <c r="CC1052" s="462">
        <v>1</v>
      </c>
      <c r="CD1052" s="273">
        <v>3</v>
      </c>
      <c r="CE1052" s="292">
        <v>9.4</v>
      </c>
      <c r="CF1052" s="292">
        <v>18.800000000000004</v>
      </c>
      <c r="CG1052" s="89">
        <v>3</v>
      </c>
    </row>
    <row r="1053" spans="1:1873" s="23" customFormat="1" ht="15.75" x14ac:dyDescent="0.3">
      <c r="A1053" s="273" t="s">
        <v>756</v>
      </c>
      <c r="B1053" s="273" t="s">
        <v>1169</v>
      </c>
      <c r="C1053" s="273" t="s">
        <v>1091</v>
      </c>
      <c r="D1053" s="273" t="s">
        <v>619</v>
      </c>
      <c r="E1053" s="462" t="s">
        <v>1529</v>
      </c>
      <c r="F1053" s="462">
        <v>1</v>
      </c>
      <c r="G1053" s="273">
        <v>4</v>
      </c>
      <c r="H1053" s="273">
        <v>4</v>
      </c>
      <c r="I1053" s="273" t="s">
        <v>320</v>
      </c>
      <c r="J1053" s="273">
        <v>1979</v>
      </c>
      <c r="K1053" s="273" t="s">
        <v>856</v>
      </c>
      <c r="L1053" s="273">
        <v>1983</v>
      </c>
      <c r="M1053" s="471">
        <v>-9999</v>
      </c>
      <c r="N1053" s="273">
        <v>-9999</v>
      </c>
      <c r="O1053" s="29"/>
      <c r="P1053" s="414">
        <f>+T1053*G1053</f>
        <v>43.6</v>
      </c>
      <c r="Q1053" s="273">
        <v>-9999</v>
      </c>
      <c r="R1053" s="471"/>
      <c r="S1053" s="273"/>
      <c r="T1053" s="471">
        <v>10.9</v>
      </c>
      <c r="U1053" s="385">
        <f>+P1053-P1052</f>
        <v>15.399999999999999</v>
      </c>
      <c r="V1053" s="273"/>
      <c r="W1053" s="581">
        <f>+P1053-P1052</f>
        <v>15.399999999999999</v>
      </c>
      <c r="X1053" s="273">
        <v>-9999</v>
      </c>
      <c r="Y1053" s="273"/>
      <c r="Z1053" s="461" t="s">
        <v>67</v>
      </c>
      <c r="AA1053" s="580">
        <v>6944</v>
      </c>
      <c r="AB1053" s="471">
        <v>0.95599999999999996</v>
      </c>
      <c r="AC1053" s="273">
        <v>-9999</v>
      </c>
      <c r="AD1053" s="273">
        <v>-9999</v>
      </c>
      <c r="AE1053" s="273" t="s">
        <v>1095</v>
      </c>
      <c r="AF1053" s="273">
        <v>5</v>
      </c>
      <c r="AG1053" s="273" t="s">
        <v>1087</v>
      </c>
      <c r="AH1053" s="273" t="s">
        <v>567</v>
      </c>
      <c r="AI1053" s="273" t="s">
        <v>1103</v>
      </c>
      <c r="AJ1053" s="273" t="s">
        <v>1100</v>
      </c>
      <c r="AK1053" s="273" t="s">
        <v>626</v>
      </c>
      <c r="AL1053" s="273" t="s">
        <v>1099</v>
      </c>
      <c r="AM1053" s="273"/>
      <c r="AN1053" s="273" t="s">
        <v>626</v>
      </c>
      <c r="AO1053" s="273" t="s">
        <v>1092</v>
      </c>
      <c r="AP1053" s="273" t="s">
        <v>577</v>
      </c>
      <c r="AQ1053" s="273" t="s">
        <v>626</v>
      </c>
      <c r="AR1053" s="273">
        <f>75+AR1052</f>
        <v>225</v>
      </c>
      <c r="AS1053" s="273" t="s">
        <v>1201</v>
      </c>
      <c r="AT1053" s="273" t="s">
        <v>738</v>
      </c>
      <c r="AU1053" s="273">
        <v>0</v>
      </c>
      <c r="AV1053" s="273">
        <v>-9999</v>
      </c>
      <c r="AW1053" s="273">
        <v>-9999</v>
      </c>
      <c r="AX1053" s="273">
        <v>0</v>
      </c>
      <c r="AY1053" s="273">
        <v>-9999</v>
      </c>
      <c r="AZ1053" s="273">
        <v>-9999</v>
      </c>
      <c r="BA1053" s="273" t="s">
        <v>1102</v>
      </c>
      <c r="BB1053" s="273" t="s">
        <v>631</v>
      </c>
      <c r="BC1053" s="273">
        <v>-9999</v>
      </c>
      <c r="BD1053" s="273">
        <v>-9999</v>
      </c>
      <c r="BE1053" s="273">
        <v>-9999</v>
      </c>
      <c r="BF1053" s="273">
        <v>-9999</v>
      </c>
      <c r="BG1053" s="273">
        <v>-9999</v>
      </c>
      <c r="BH1053" s="273">
        <v>-9999</v>
      </c>
      <c r="BI1053" s="273">
        <v>-9999</v>
      </c>
      <c r="BJ1053" s="273">
        <v>-9999</v>
      </c>
      <c r="BK1053" s="273">
        <v>-9999</v>
      </c>
      <c r="BL1053" s="273">
        <v>9.5</v>
      </c>
      <c r="BM1053" s="273">
        <v>-9999</v>
      </c>
      <c r="BN1053" s="273">
        <v>6</v>
      </c>
      <c r="BO1053" s="273">
        <v>-9999</v>
      </c>
      <c r="BP1053" s="273">
        <v>-9999</v>
      </c>
      <c r="BQ1053" s="273">
        <v>-9999</v>
      </c>
      <c r="BR1053" s="273">
        <v>-9999</v>
      </c>
      <c r="BS1053" s="584">
        <f>+BT1053*14.286</f>
        <v>1042.8779999999999</v>
      </c>
      <c r="BT1053" s="468">
        <v>73</v>
      </c>
      <c r="BU1053" s="273">
        <v>-9999</v>
      </c>
      <c r="BV1053" s="273">
        <v>-9999</v>
      </c>
      <c r="BW1053" s="273"/>
      <c r="BX1053" s="273">
        <v>-9999</v>
      </c>
      <c r="BY1053" s="273">
        <v>-9999</v>
      </c>
      <c r="BZ1053" s="273">
        <v>-9999</v>
      </c>
      <c r="CA1053" s="472" t="s">
        <v>1096</v>
      </c>
      <c r="CB1053" s="473"/>
      <c r="CC1053" s="462">
        <v>1</v>
      </c>
      <c r="CD1053" s="273">
        <v>4</v>
      </c>
      <c r="CE1053" s="401">
        <v>10.9</v>
      </c>
      <c r="CF1053" s="292">
        <v>15.399999999999999</v>
      </c>
      <c r="CG1053" s="89">
        <v>4</v>
      </c>
      <c r="CH1053" s="479"/>
    </row>
    <row r="1054" spans="1:1873" s="23" customFormat="1" x14ac:dyDescent="0.2">
      <c r="A1054" s="273"/>
      <c r="B1054" s="273"/>
      <c r="C1054" s="273"/>
      <c r="D1054" s="273"/>
      <c r="E1054" s="462"/>
      <c r="F1054" s="462"/>
      <c r="G1054" s="273"/>
      <c r="H1054" s="273"/>
      <c r="I1054" s="273"/>
      <c r="J1054" s="273"/>
      <c r="K1054" s="273"/>
      <c r="L1054" s="273"/>
      <c r="M1054" s="471"/>
      <c r="N1054" s="273"/>
      <c r="O1054" s="29"/>
      <c r="P1054" s="414"/>
      <c r="Q1054" s="273"/>
      <c r="R1054" s="471"/>
      <c r="S1054" s="273"/>
      <c r="T1054" s="471"/>
      <c r="U1054" s="273"/>
      <c r="V1054" s="273"/>
      <c r="W1054" s="471"/>
      <c r="X1054" s="273"/>
      <c r="Y1054" s="273"/>
      <c r="Z1054" s="461"/>
      <c r="AA1054" s="580"/>
      <c r="AB1054" s="471"/>
      <c r="AC1054" s="273"/>
      <c r="AD1054" s="273"/>
      <c r="AE1054" s="273"/>
      <c r="AF1054" s="273"/>
      <c r="AG1054" s="273"/>
      <c r="AH1054" s="273"/>
      <c r="AI1054" s="273"/>
      <c r="AJ1054" s="273"/>
      <c r="AK1054" s="273"/>
      <c r="AL1054" s="273"/>
      <c r="AM1054" s="273"/>
      <c r="AN1054" s="273"/>
      <c r="AO1054" s="273"/>
      <c r="AP1054" s="273"/>
      <c r="AQ1054" s="273"/>
      <c r="AR1054" s="273"/>
      <c r="AS1054" s="273"/>
      <c r="AT1054" s="273"/>
      <c r="AU1054" s="273"/>
      <c r="AV1054" s="273"/>
      <c r="AW1054" s="273"/>
      <c r="AX1054" s="273"/>
      <c r="AY1054" s="273"/>
      <c r="AZ1054" s="273"/>
      <c r="BA1054" s="273"/>
      <c r="BB1054" s="273"/>
      <c r="BC1054" s="273"/>
      <c r="BD1054" s="273"/>
      <c r="BE1054" s="273"/>
      <c r="BF1054" s="273"/>
      <c r="BG1054" s="273"/>
      <c r="BH1054" s="273"/>
      <c r="BI1054" s="273"/>
      <c r="BJ1054" s="273"/>
      <c r="BK1054" s="273"/>
      <c r="BL1054" s="273"/>
      <c r="BM1054" s="273"/>
      <c r="BN1054" s="273"/>
      <c r="BO1054" s="273"/>
      <c r="BP1054" s="273"/>
      <c r="BQ1054" s="273"/>
      <c r="BR1054" s="273"/>
      <c r="BS1054" s="584"/>
      <c r="BT1054" s="468"/>
      <c r="BU1054" s="273"/>
      <c r="BV1054" s="273"/>
      <c r="BW1054" s="273"/>
      <c r="BX1054" s="273"/>
      <c r="BY1054" s="273"/>
      <c r="BZ1054" s="273"/>
      <c r="CA1054" s="472"/>
      <c r="CB1054" s="473"/>
      <c r="CC1054" s="462"/>
      <c r="CD1054" s="273"/>
      <c r="CE1054" s="292"/>
      <c r="CF1054" s="292"/>
      <c r="CG1054" s="89"/>
    </row>
    <row r="1055" spans="1:1873" s="23" customFormat="1" ht="15.75" x14ac:dyDescent="0.3">
      <c r="A1055" s="273" t="s">
        <v>756</v>
      </c>
      <c r="B1055" s="273" t="s">
        <v>1169</v>
      </c>
      <c r="C1055" s="273" t="s">
        <v>1091</v>
      </c>
      <c r="D1055" s="273" t="s">
        <v>619</v>
      </c>
      <c r="E1055" s="462" t="s">
        <v>1529</v>
      </c>
      <c r="F1055" s="462">
        <v>2</v>
      </c>
      <c r="G1055" s="273">
        <v>4</v>
      </c>
      <c r="H1055" s="273">
        <v>8</v>
      </c>
      <c r="I1055" s="273" t="s">
        <v>320</v>
      </c>
      <c r="J1055" s="273">
        <v>1979</v>
      </c>
      <c r="K1055" s="273" t="s">
        <v>842</v>
      </c>
      <c r="L1055" s="273">
        <v>1987</v>
      </c>
      <c r="M1055" s="471">
        <v>-9999</v>
      </c>
      <c r="N1055" s="273">
        <v>-9999</v>
      </c>
      <c r="O1055" s="29"/>
      <c r="P1055" s="414">
        <f>+T1055*G1055</f>
        <v>75.2</v>
      </c>
      <c r="Q1055" s="273">
        <v>-9999</v>
      </c>
      <c r="R1055" s="471"/>
      <c r="S1055" s="273"/>
      <c r="T1055" s="471">
        <v>18.8</v>
      </c>
      <c r="U1055" s="273">
        <v>-9999</v>
      </c>
      <c r="V1055" s="273"/>
      <c r="W1055" s="471">
        <v>-9999</v>
      </c>
      <c r="X1055" s="273">
        <v>-9999</v>
      </c>
      <c r="Y1055" s="273"/>
      <c r="Z1055" s="461" t="s">
        <v>67</v>
      </c>
      <c r="AA1055" s="580">
        <v>6944</v>
      </c>
      <c r="AB1055" s="471">
        <v>0.81</v>
      </c>
      <c r="AC1055" s="273">
        <v>-9999</v>
      </c>
      <c r="AD1055" s="273">
        <v>-9999</v>
      </c>
      <c r="AE1055" s="273" t="s">
        <v>1095</v>
      </c>
      <c r="AF1055" s="273">
        <v>3</v>
      </c>
      <c r="AG1055" s="273" t="s">
        <v>1087</v>
      </c>
      <c r="AH1055" s="273" t="s">
        <v>567</v>
      </c>
      <c r="AI1055" s="273" t="s">
        <v>1103</v>
      </c>
      <c r="AJ1055" s="273" t="s">
        <v>1100</v>
      </c>
      <c r="AK1055" s="273" t="s">
        <v>626</v>
      </c>
      <c r="AL1055" s="273" t="s">
        <v>1099</v>
      </c>
      <c r="AM1055" s="273"/>
      <c r="AN1055" s="273" t="s">
        <v>626</v>
      </c>
      <c r="AO1055" s="273" t="s">
        <v>1092</v>
      </c>
      <c r="AP1055" s="273" t="s">
        <v>577</v>
      </c>
      <c r="AQ1055" s="273" t="s">
        <v>626</v>
      </c>
      <c r="AR1055" s="273">
        <v>133</v>
      </c>
      <c r="AS1055" s="273" t="s">
        <v>1201</v>
      </c>
      <c r="AT1055" s="273" t="s">
        <v>739</v>
      </c>
      <c r="AU1055" s="273">
        <v>0</v>
      </c>
      <c r="AV1055" s="273">
        <v>-9999</v>
      </c>
      <c r="AW1055" s="273">
        <v>-9999</v>
      </c>
      <c r="AX1055" s="273">
        <v>0</v>
      </c>
      <c r="AY1055" s="273">
        <v>-9999</v>
      </c>
      <c r="AZ1055" s="273">
        <v>-9999</v>
      </c>
      <c r="BA1055" s="273" t="s">
        <v>1102</v>
      </c>
      <c r="BB1055" s="273" t="s">
        <v>631</v>
      </c>
      <c r="BC1055" s="273">
        <v>-9999</v>
      </c>
      <c r="BD1055" s="273">
        <v>-9999</v>
      </c>
      <c r="BE1055" s="273">
        <v>-9999</v>
      </c>
      <c r="BF1055" s="273">
        <v>-9999</v>
      </c>
      <c r="BG1055" s="273">
        <v>-9999</v>
      </c>
      <c r="BH1055" s="273">
        <v>-9999</v>
      </c>
      <c r="BI1055" s="273" t="s">
        <v>629</v>
      </c>
      <c r="BJ1055" s="273">
        <v>32.1</v>
      </c>
      <c r="BK1055" s="273">
        <v>-9999</v>
      </c>
      <c r="BL1055" s="273">
        <v>9.4</v>
      </c>
      <c r="BM1055" s="273">
        <v>-9999</v>
      </c>
      <c r="BN1055" s="273">
        <v>5.9</v>
      </c>
      <c r="BO1055" s="273">
        <v>-9999</v>
      </c>
      <c r="BP1055" s="273">
        <v>-9999</v>
      </c>
      <c r="BQ1055" s="273">
        <v>-9999</v>
      </c>
      <c r="BR1055" s="273">
        <v>-9999</v>
      </c>
      <c r="BS1055" s="468">
        <v>-9999</v>
      </c>
      <c r="BT1055" s="273">
        <v>-9999</v>
      </c>
      <c r="BU1055" s="273">
        <v>-9999</v>
      </c>
      <c r="BV1055" s="273">
        <v>-9999</v>
      </c>
      <c r="BW1055" s="273"/>
      <c r="BX1055" s="273">
        <v>-9999</v>
      </c>
      <c r="BY1055" s="273">
        <v>-9999</v>
      </c>
      <c r="BZ1055" s="273">
        <v>-9999</v>
      </c>
      <c r="CA1055" s="472" t="s">
        <v>1096</v>
      </c>
      <c r="CB1055" s="473"/>
      <c r="CC1055" s="462">
        <v>2</v>
      </c>
      <c r="CD1055" s="273">
        <v>4</v>
      </c>
      <c r="CE1055" s="394">
        <v>18.8</v>
      </c>
      <c r="CF1055" s="292">
        <v>-9999</v>
      </c>
      <c r="CG1055" s="89">
        <v>8</v>
      </c>
      <c r="CH1055" s="477"/>
    </row>
    <row r="1056" spans="1:1873" s="23" customFormat="1" x14ac:dyDescent="0.2">
      <c r="A1056" s="273"/>
      <c r="B1056" s="273"/>
      <c r="C1056" s="273"/>
      <c r="D1056" s="273"/>
      <c r="E1056" s="462"/>
      <c r="F1056" s="462"/>
      <c r="G1056" s="273"/>
      <c r="H1056" s="273"/>
      <c r="I1056" s="273"/>
      <c r="J1056" s="273"/>
      <c r="K1056" s="273"/>
      <c r="L1056" s="273"/>
      <c r="M1056" s="471"/>
      <c r="N1056" s="273"/>
      <c r="O1056" s="29"/>
      <c r="P1056" s="414"/>
      <c r="Q1056" s="273"/>
      <c r="R1056" s="471"/>
      <c r="S1056" s="273"/>
      <c r="T1056" s="471"/>
      <c r="U1056" s="273"/>
      <c r="V1056" s="273"/>
      <c r="W1056" s="471"/>
      <c r="X1056" s="273"/>
      <c r="Y1056" s="273"/>
      <c r="Z1056" s="461"/>
      <c r="AA1056" s="580"/>
      <c r="AB1056" s="471"/>
      <c r="AC1056" s="273"/>
      <c r="AD1056" s="273"/>
      <c r="AE1056" s="273"/>
      <c r="AF1056" s="273"/>
      <c r="AG1056" s="273"/>
      <c r="AH1056" s="273"/>
      <c r="AI1056" s="273"/>
      <c r="AJ1056" s="273"/>
      <c r="AK1056" s="273"/>
      <c r="AL1056" s="273"/>
      <c r="AM1056" s="273"/>
      <c r="AN1056" s="273"/>
      <c r="AO1056" s="273"/>
      <c r="AP1056" s="273"/>
      <c r="AQ1056" s="273"/>
      <c r="AR1056" s="273"/>
      <c r="AS1056" s="273"/>
      <c r="AT1056" s="273"/>
      <c r="AU1056" s="273"/>
      <c r="AV1056" s="273"/>
      <c r="AW1056" s="273"/>
      <c r="AX1056" s="273"/>
      <c r="AY1056" s="273"/>
      <c r="AZ1056" s="273"/>
      <c r="BA1056" s="273"/>
      <c r="BB1056" s="273"/>
      <c r="BC1056" s="273"/>
      <c r="BD1056" s="273"/>
      <c r="BE1056" s="273"/>
      <c r="BF1056" s="273"/>
      <c r="BG1056" s="273"/>
      <c r="BH1056" s="273"/>
      <c r="BI1056" s="273"/>
      <c r="BJ1056" s="273"/>
      <c r="BK1056" s="273"/>
      <c r="BL1056" s="273"/>
      <c r="BM1056" s="273"/>
      <c r="BN1056" s="273"/>
      <c r="BO1056" s="273"/>
      <c r="BP1056" s="273"/>
      <c r="BQ1056" s="273"/>
      <c r="BR1056" s="273"/>
      <c r="BS1056" s="468"/>
      <c r="BT1056" s="273"/>
      <c r="BU1056" s="273"/>
      <c r="BV1056" s="273"/>
      <c r="BW1056" s="273"/>
      <c r="BX1056" s="273"/>
      <c r="BY1056" s="273"/>
      <c r="BZ1056" s="273"/>
      <c r="CA1056" s="472"/>
      <c r="CB1056" s="473"/>
      <c r="CC1056" s="462"/>
      <c r="CD1056" s="273"/>
      <c r="CE1056" s="342" t="s">
        <v>1576</v>
      </c>
      <c r="CF1056" s="342" t="s">
        <v>1575</v>
      </c>
      <c r="CG1056" s="89"/>
    </row>
    <row r="1057" spans="1:1873" s="23" customFormat="1" ht="15.75" x14ac:dyDescent="0.3">
      <c r="A1057" s="273" t="s">
        <v>756</v>
      </c>
      <c r="B1057" s="273" t="s">
        <v>1169</v>
      </c>
      <c r="C1057" s="273" t="s">
        <v>1094</v>
      </c>
      <c r="D1057" s="273" t="s">
        <v>619</v>
      </c>
      <c r="E1057" s="462" t="s">
        <v>1504</v>
      </c>
      <c r="F1057" s="462">
        <v>1</v>
      </c>
      <c r="G1057" s="273">
        <v>1</v>
      </c>
      <c r="H1057" s="273">
        <v>1</v>
      </c>
      <c r="I1057" s="273" t="s">
        <v>320</v>
      </c>
      <c r="J1057" s="273">
        <v>1979</v>
      </c>
      <c r="K1057" s="273" t="s">
        <v>856</v>
      </c>
      <c r="L1057" s="273">
        <v>1980</v>
      </c>
      <c r="M1057" s="471">
        <v>-9999</v>
      </c>
      <c r="N1057" s="273">
        <v>-9999</v>
      </c>
      <c r="O1057" s="29"/>
      <c r="P1057" s="414">
        <f>+T1057*G1057</f>
        <v>0.46</v>
      </c>
      <c r="Q1057" s="273">
        <v>-9999</v>
      </c>
      <c r="R1057" s="471"/>
      <c r="S1057" s="273"/>
      <c r="T1057" s="471">
        <v>0.46</v>
      </c>
      <c r="U1057" s="385">
        <f>+P1057</f>
        <v>0.46</v>
      </c>
      <c r="V1057" s="273"/>
      <c r="W1057" s="581">
        <f>+P1057</f>
        <v>0.46</v>
      </c>
      <c r="X1057" s="273">
        <v>-9999</v>
      </c>
      <c r="Y1057" s="273"/>
      <c r="Z1057" s="461" t="s">
        <v>67</v>
      </c>
      <c r="AA1057" s="580">
        <v>6944</v>
      </c>
      <c r="AB1057" s="471">
        <v>0.97599999999999998</v>
      </c>
      <c r="AC1057" s="273">
        <v>-9999</v>
      </c>
      <c r="AD1057" s="273">
        <v>-9999</v>
      </c>
      <c r="AE1057" s="273" t="s">
        <v>1095</v>
      </c>
      <c r="AF1057" s="273">
        <v>5</v>
      </c>
      <c r="AG1057" s="273" t="s">
        <v>1087</v>
      </c>
      <c r="AH1057" s="273" t="s">
        <v>567</v>
      </c>
      <c r="AI1057" s="273" t="s">
        <v>1103</v>
      </c>
      <c r="AJ1057" s="273" t="s">
        <v>1100</v>
      </c>
      <c r="AK1057" s="273" t="s">
        <v>626</v>
      </c>
      <c r="AL1057" s="273" t="s">
        <v>1099</v>
      </c>
      <c r="AM1057" s="273"/>
      <c r="AN1057" s="273" t="s">
        <v>626</v>
      </c>
      <c r="AO1057" s="273" t="s">
        <v>1093</v>
      </c>
      <c r="AP1057" s="273" t="s">
        <v>577</v>
      </c>
      <c r="AQ1057" s="273" t="s">
        <v>777</v>
      </c>
      <c r="AR1057" s="273">
        <v>0</v>
      </c>
      <c r="AS1057" s="273" t="s">
        <v>1201</v>
      </c>
      <c r="AT1057" s="273" t="s">
        <v>738</v>
      </c>
      <c r="AU1057" s="273">
        <v>0</v>
      </c>
      <c r="AV1057" s="273">
        <v>-9999</v>
      </c>
      <c r="AW1057" s="273">
        <v>-9999</v>
      </c>
      <c r="AX1057" s="273">
        <v>0</v>
      </c>
      <c r="AY1057" s="273">
        <v>-9999</v>
      </c>
      <c r="AZ1057" s="273">
        <v>-9999</v>
      </c>
      <c r="BA1057" s="273" t="s">
        <v>1102</v>
      </c>
      <c r="BB1057" s="273" t="s">
        <v>631</v>
      </c>
      <c r="BC1057" s="273">
        <v>-9999</v>
      </c>
      <c r="BD1057" s="273">
        <v>-9999</v>
      </c>
      <c r="BE1057" s="273">
        <v>-9999</v>
      </c>
      <c r="BF1057" s="273">
        <v>-9999</v>
      </c>
      <c r="BG1057" s="273">
        <v>-9999</v>
      </c>
      <c r="BH1057" s="273">
        <v>-9999</v>
      </c>
      <c r="BI1057" s="273">
        <v>-9999</v>
      </c>
      <c r="BJ1057" s="273">
        <v>-9999</v>
      </c>
      <c r="BK1057" s="273">
        <v>-9999</v>
      </c>
      <c r="BL1057" s="273">
        <v>-9999</v>
      </c>
      <c r="BM1057" s="273">
        <v>-9999</v>
      </c>
      <c r="BN1057" s="273">
        <v>-9999</v>
      </c>
      <c r="BO1057" s="273">
        <v>-9999</v>
      </c>
      <c r="BP1057" s="273">
        <v>-9999</v>
      </c>
      <c r="BQ1057" s="273">
        <v>-9999</v>
      </c>
      <c r="BR1057" s="273">
        <v>-9999</v>
      </c>
      <c r="BS1057" s="468">
        <v>-9999</v>
      </c>
      <c r="BT1057" s="273">
        <v>-9999</v>
      </c>
      <c r="BU1057" s="273">
        <v>-9999</v>
      </c>
      <c r="BV1057" s="273">
        <v>-9999</v>
      </c>
      <c r="BW1057" s="273"/>
      <c r="BX1057" s="273">
        <v>-9999</v>
      </c>
      <c r="BY1057" s="273">
        <v>-9999</v>
      </c>
      <c r="BZ1057" s="273">
        <v>-9999</v>
      </c>
      <c r="CA1057" s="472" t="s">
        <v>1096</v>
      </c>
      <c r="CB1057" s="473"/>
      <c r="CC1057" s="462">
        <v>1</v>
      </c>
      <c r="CD1057" s="273">
        <v>1</v>
      </c>
      <c r="CE1057" s="292">
        <v>0.46</v>
      </c>
      <c r="CF1057" s="292">
        <v>0.46</v>
      </c>
      <c r="CG1057" s="89">
        <v>1</v>
      </c>
    </row>
    <row r="1058" spans="1:1873" s="23" customFormat="1" ht="15.75" x14ac:dyDescent="0.3">
      <c r="A1058" s="273" t="s">
        <v>756</v>
      </c>
      <c r="B1058" s="273" t="s">
        <v>1169</v>
      </c>
      <c r="C1058" s="273" t="s">
        <v>1094</v>
      </c>
      <c r="D1058" s="273" t="s">
        <v>619</v>
      </c>
      <c r="E1058" s="462" t="s">
        <v>1504</v>
      </c>
      <c r="F1058" s="462">
        <v>1</v>
      </c>
      <c r="G1058" s="273">
        <v>2</v>
      </c>
      <c r="H1058" s="273">
        <v>2</v>
      </c>
      <c r="I1058" s="273" t="s">
        <v>320</v>
      </c>
      <c r="J1058" s="273">
        <v>1979</v>
      </c>
      <c r="K1058" s="273" t="s">
        <v>856</v>
      </c>
      <c r="L1058" s="273">
        <v>1981</v>
      </c>
      <c r="M1058" s="471">
        <v>-9999</v>
      </c>
      <c r="N1058" s="273">
        <v>-9999</v>
      </c>
      <c r="O1058" s="29"/>
      <c r="P1058" s="414">
        <f>+T1058*G1058</f>
        <v>10.6</v>
      </c>
      <c r="Q1058" s="273">
        <v>-9999</v>
      </c>
      <c r="R1058" s="471"/>
      <c r="S1058" s="273"/>
      <c r="T1058" s="471">
        <v>5.3</v>
      </c>
      <c r="U1058" s="385">
        <f>+P1058-P1057</f>
        <v>10.139999999999999</v>
      </c>
      <c r="V1058" s="273"/>
      <c r="W1058" s="581">
        <f>+P1058-P1057</f>
        <v>10.139999999999999</v>
      </c>
      <c r="X1058" s="273">
        <v>-9999</v>
      </c>
      <c r="Y1058" s="273"/>
      <c r="Z1058" s="461" t="s">
        <v>67</v>
      </c>
      <c r="AA1058" s="580">
        <v>6944</v>
      </c>
      <c r="AB1058" s="581">
        <v>0.85</v>
      </c>
      <c r="AC1058" s="273">
        <v>-9999</v>
      </c>
      <c r="AD1058" s="273">
        <v>-9999</v>
      </c>
      <c r="AE1058" s="273" t="s">
        <v>1095</v>
      </c>
      <c r="AF1058" s="273">
        <v>5</v>
      </c>
      <c r="AG1058" s="273" t="s">
        <v>1087</v>
      </c>
      <c r="AH1058" s="273" t="s">
        <v>567</v>
      </c>
      <c r="AI1058" s="273" t="s">
        <v>1103</v>
      </c>
      <c r="AJ1058" s="273" t="s">
        <v>1100</v>
      </c>
      <c r="AK1058" s="273" t="s">
        <v>626</v>
      </c>
      <c r="AL1058" s="273" t="s">
        <v>1099</v>
      </c>
      <c r="AM1058" s="273"/>
      <c r="AN1058" s="273" t="s">
        <v>626</v>
      </c>
      <c r="AO1058" s="273" t="s">
        <v>1093</v>
      </c>
      <c r="AP1058" s="273" t="s">
        <v>577</v>
      </c>
      <c r="AQ1058" s="273" t="s">
        <v>626</v>
      </c>
      <c r="AR1058" s="273">
        <v>0</v>
      </c>
      <c r="AS1058" s="273" t="s">
        <v>1201</v>
      </c>
      <c r="AT1058" s="273" t="s">
        <v>738</v>
      </c>
      <c r="AU1058" s="273">
        <v>0</v>
      </c>
      <c r="AV1058" s="273">
        <v>-9999</v>
      </c>
      <c r="AW1058" s="273">
        <v>-9999</v>
      </c>
      <c r="AX1058" s="273">
        <v>0</v>
      </c>
      <c r="AY1058" s="273">
        <v>-9999</v>
      </c>
      <c r="AZ1058" s="273">
        <v>-9999</v>
      </c>
      <c r="BA1058" s="273" t="s">
        <v>1102</v>
      </c>
      <c r="BB1058" s="273" t="s">
        <v>631</v>
      </c>
      <c r="BC1058" s="273">
        <v>-9999</v>
      </c>
      <c r="BD1058" s="273">
        <v>-9999</v>
      </c>
      <c r="BE1058" s="273">
        <v>-9999</v>
      </c>
      <c r="BF1058" s="273">
        <v>-9999</v>
      </c>
      <c r="BG1058" s="273">
        <v>-9999</v>
      </c>
      <c r="BH1058" s="273">
        <v>-9999</v>
      </c>
      <c r="BI1058" s="273">
        <v>-9999</v>
      </c>
      <c r="BJ1058" s="273">
        <v>-9999</v>
      </c>
      <c r="BK1058" s="273">
        <v>-9999</v>
      </c>
      <c r="BL1058" s="273">
        <v>-9999</v>
      </c>
      <c r="BM1058" s="273">
        <v>-9999</v>
      </c>
      <c r="BN1058" s="273">
        <v>-9999</v>
      </c>
      <c r="BO1058" s="273">
        <v>-9999</v>
      </c>
      <c r="BP1058" s="273">
        <v>-9999</v>
      </c>
      <c r="BQ1058" s="273">
        <v>-9999</v>
      </c>
      <c r="BR1058" s="273">
        <v>-9999</v>
      </c>
      <c r="BS1058" s="468">
        <v>-9999</v>
      </c>
      <c r="BT1058" s="273">
        <v>-9999</v>
      </c>
      <c r="BU1058" s="273">
        <v>-9999</v>
      </c>
      <c r="BV1058" s="273">
        <v>-9999</v>
      </c>
      <c r="BW1058" s="273"/>
      <c r="BX1058" s="273">
        <v>-9999</v>
      </c>
      <c r="BY1058" s="273">
        <v>-9999</v>
      </c>
      <c r="BZ1058" s="273">
        <v>-9999</v>
      </c>
      <c r="CA1058" s="472" t="s">
        <v>1096</v>
      </c>
      <c r="CB1058" s="473"/>
      <c r="CC1058" s="462">
        <v>1</v>
      </c>
      <c r="CD1058" s="273">
        <v>2</v>
      </c>
      <c r="CE1058" s="292">
        <v>5.3</v>
      </c>
      <c r="CF1058" s="292">
        <v>10.139999999999999</v>
      </c>
      <c r="CG1058" s="89">
        <v>2</v>
      </c>
    </row>
    <row r="1059" spans="1:1873" s="23" customFormat="1" ht="15.75" x14ac:dyDescent="0.3">
      <c r="A1059" s="273" t="s">
        <v>756</v>
      </c>
      <c r="B1059" s="273" t="s">
        <v>1169</v>
      </c>
      <c r="C1059" s="273" t="s">
        <v>1094</v>
      </c>
      <c r="D1059" s="273" t="s">
        <v>619</v>
      </c>
      <c r="E1059" s="462" t="s">
        <v>1504</v>
      </c>
      <c r="F1059" s="462">
        <v>1</v>
      </c>
      <c r="G1059" s="273">
        <v>3</v>
      </c>
      <c r="H1059" s="273">
        <v>3</v>
      </c>
      <c r="I1059" s="273" t="s">
        <v>320</v>
      </c>
      <c r="J1059" s="273">
        <v>1979</v>
      </c>
      <c r="K1059" s="273" t="s">
        <v>856</v>
      </c>
      <c r="L1059" s="273">
        <v>1982</v>
      </c>
      <c r="M1059" s="471">
        <v>-9999</v>
      </c>
      <c r="N1059" s="273">
        <v>-9999</v>
      </c>
      <c r="O1059" s="29"/>
      <c r="P1059" s="414">
        <f>+T1059*G1059</f>
        <v>30.900000000000002</v>
      </c>
      <c r="Q1059" s="273">
        <v>-9999</v>
      </c>
      <c r="R1059" s="471"/>
      <c r="S1059" s="273"/>
      <c r="T1059" s="471">
        <v>10.3</v>
      </c>
      <c r="U1059" s="385">
        <f>+P1059-P1058</f>
        <v>20.300000000000004</v>
      </c>
      <c r="V1059" s="273"/>
      <c r="W1059" s="581">
        <f>+P1059-P1058</f>
        <v>20.300000000000004</v>
      </c>
      <c r="X1059" s="273">
        <v>-9999</v>
      </c>
      <c r="Y1059" s="273"/>
      <c r="Z1059" s="461" t="s">
        <v>67</v>
      </c>
      <c r="AA1059" s="580">
        <v>6944</v>
      </c>
      <c r="AB1059" s="581">
        <v>0.8</v>
      </c>
      <c r="AC1059" s="273">
        <v>-9999</v>
      </c>
      <c r="AD1059" s="273">
        <v>-9999</v>
      </c>
      <c r="AE1059" s="273" t="s">
        <v>1095</v>
      </c>
      <c r="AF1059" s="273">
        <v>5</v>
      </c>
      <c r="AG1059" s="273" t="s">
        <v>1087</v>
      </c>
      <c r="AH1059" s="273" t="s">
        <v>567</v>
      </c>
      <c r="AI1059" s="273" t="s">
        <v>1103</v>
      </c>
      <c r="AJ1059" s="273" t="s">
        <v>1100</v>
      </c>
      <c r="AK1059" s="273" t="s">
        <v>626</v>
      </c>
      <c r="AL1059" s="273" t="s">
        <v>1099</v>
      </c>
      <c r="AM1059" s="273"/>
      <c r="AN1059" s="273" t="s">
        <v>626</v>
      </c>
      <c r="AO1059" s="273" t="s">
        <v>1092</v>
      </c>
      <c r="AP1059" s="273" t="s">
        <v>577</v>
      </c>
      <c r="AQ1059" s="273" t="s">
        <v>626</v>
      </c>
      <c r="AR1059" s="273">
        <v>150</v>
      </c>
      <c r="AS1059" s="273" t="s">
        <v>1201</v>
      </c>
      <c r="AT1059" s="273" t="s">
        <v>738</v>
      </c>
      <c r="AU1059" s="273">
        <v>0</v>
      </c>
      <c r="AV1059" s="273">
        <v>-9999</v>
      </c>
      <c r="AW1059" s="273">
        <v>-9999</v>
      </c>
      <c r="AX1059" s="273">
        <v>0</v>
      </c>
      <c r="AY1059" s="273">
        <v>-9999</v>
      </c>
      <c r="AZ1059" s="273">
        <v>-9999</v>
      </c>
      <c r="BA1059" s="273" t="s">
        <v>1102</v>
      </c>
      <c r="BB1059" s="273" t="s">
        <v>631</v>
      </c>
      <c r="BC1059" s="273">
        <v>-9999</v>
      </c>
      <c r="BD1059" s="273">
        <v>-9999</v>
      </c>
      <c r="BE1059" s="273">
        <v>-9999</v>
      </c>
      <c r="BF1059" s="273">
        <v>-9999</v>
      </c>
      <c r="BG1059" s="273">
        <v>-9999</v>
      </c>
      <c r="BH1059" s="273">
        <v>-9999</v>
      </c>
      <c r="BI1059" s="273">
        <v>-9999</v>
      </c>
      <c r="BJ1059" s="273">
        <v>-9999</v>
      </c>
      <c r="BK1059" s="273">
        <v>-9999</v>
      </c>
      <c r="BL1059" s="273">
        <v>-9999</v>
      </c>
      <c r="BM1059" s="273">
        <v>-9999</v>
      </c>
      <c r="BN1059" s="273">
        <v>-9999</v>
      </c>
      <c r="BO1059" s="273">
        <v>-9999</v>
      </c>
      <c r="BP1059" s="273">
        <v>-9999</v>
      </c>
      <c r="BQ1059" s="273">
        <v>-9999</v>
      </c>
      <c r="BR1059" s="273">
        <v>-9999</v>
      </c>
      <c r="BS1059" s="468">
        <v>-9999</v>
      </c>
      <c r="BT1059" s="273">
        <v>-9999</v>
      </c>
      <c r="BU1059" s="273">
        <v>-9999</v>
      </c>
      <c r="BV1059" s="273">
        <v>-9999</v>
      </c>
      <c r="BW1059" s="273"/>
      <c r="BX1059" s="273">
        <v>-9999</v>
      </c>
      <c r="BY1059" s="273">
        <v>-9999</v>
      </c>
      <c r="BZ1059" s="273">
        <v>-9999</v>
      </c>
      <c r="CA1059" s="472" t="s">
        <v>1096</v>
      </c>
      <c r="CB1059" s="473"/>
      <c r="CC1059" s="462">
        <v>1</v>
      </c>
      <c r="CD1059" s="273">
        <v>3</v>
      </c>
      <c r="CE1059" s="292">
        <v>10.3</v>
      </c>
      <c r="CF1059" s="292">
        <v>20.300000000000004</v>
      </c>
      <c r="CG1059" s="89">
        <v>3</v>
      </c>
    </row>
    <row r="1060" spans="1:1873" s="210" customFormat="1" ht="14.25" x14ac:dyDescent="0.25">
      <c r="A1060" s="411" t="s">
        <v>756</v>
      </c>
      <c r="B1060" s="411" t="s">
        <v>1169</v>
      </c>
      <c r="C1060" s="411" t="s">
        <v>1094</v>
      </c>
      <c r="D1060" s="411" t="s">
        <v>619</v>
      </c>
      <c r="E1060" s="571" t="s">
        <v>1504</v>
      </c>
      <c r="F1060" s="571">
        <v>1</v>
      </c>
      <c r="G1060" s="411">
        <v>4</v>
      </c>
      <c r="H1060" s="411">
        <v>4</v>
      </c>
      <c r="I1060" s="411" t="s">
        <v>320</v>
      </c>
      <c r="J1060" s="411">
        <v>1979</v>
      </c>
      <c r="K1060" s="411" t="s">
        <v>856</v>
      </c>
      <c r="L1060" s="411">
        <v>1983</v>
      </c>
      <c r="M1060" s="573">
        <v>-9999</v>
      </c>
      <c r="N1060" s="411">
        <v>-9999</v>
      </c>
      <c r="O1060" s="18"/>
      <c r="P1060" s="575">
        <f>+T1060*G1060</f>
        <v>50</v>
      </c>
      <c r="Q1060" s="411">
        <v>-9999</v>
      </c>
      <c r="R1060" s="573"/>
      <c r="S1060" s="411"/>
      <c r="T1060" s="573">
        <v>12.5</v>
      </c>
      <c r="U1060" s="385">
        <f>+P1060-P1059</f>
        <v>19.099999999999998</v>
      </c>
      <c r="V1060" s="411"/>
      <c r="W1060" s="739">
        <f>+P1060-P1059</f>
        <v>19.099999999999998</v>
      </c>
      <c r="X1060" s="411">
        <v>-9999</v>
      </c>
      <c r="Y1060" s="411"/>
      <c r="Z1060" s="411" t="s">
        <v>67</v>
      </c>
      <c r="AA1060" s="582">
        <v>6944</v>
      </c>
      <c r="AB1060" s="573">
        <v>0.74399999999999999</v>
      </c>
      <c r="AC1060" s="411">
        <v>-9999</v>
      </c>
      <c r="AD1060" s="411">
        <v>-9999</v>
      </c>
      <c r="AE1060" s="411" t="s">
        <v>1095</v>
      </c>
      <c r="AF1060" s="411">
        <v>5</v>
      </c>
      <c r="AG1060" s="411" t="s">
        <v>1087</v>
      </c>
      <c r="AH1060" s="411" t="s">
        <v>567</v>
      </c>
      <c r="AI1060" s="411" t="s">
        <v>1103</v>
      </c>
      <c r="AJ1060" s="411" t="s">
        <v>1100</v>
      </c>
      <c r="AK1060" s="411" t="s">
        <v>626</v>
      </c>
      <c r="AL1060" s="411" t="s">
        <v>1099</v>
      </c>
      <c r="AM1060" s="411"/>
      <c r="AN1060" s="411" t="s">
        <v>626</v>
      </c>
      <c r="AO1060" s="411" t="s">
        <v>1092</v>
      </c>
      <c r="AP1060" s="411" t="s">
        <v>577</v>
      </c>
      <c r="AQ1060" s="411" t="s">
        <v>626</v>
      </c>
      <c r="AR1060" s="411">
        <f>75+AR1059</f>
        <v>225</v>
      </c>
      <c r="AS1060" s="411" t="s">
        <v>1111</v>
      </c>
      <c r="AT1060" s="411" t="s">
        <v>738</v>
      </c>
      <c r="AU1060" s="411">
        <v>0</v>
      </c>
      <c r="AV1060" s="411">
        <v>-9999</v>
      </c>
      <c r="AW1060" s="411">
        <v>-9999</v>
      </c>
      <c r="AX1060" s="411">
        <v>0</v>
      </c>
      <c r="AY1060" s="411">
        <v>-9999</v>
      </c>
      <c r="AZ1060" s="411">
        <v>-9999</v>
      </c>
      <c r="BA1060" s="411" t="s">
        <v>1102</v>
      </c>
      <c r="BB1060" s="411" t="s">
        <v>631</v>
      </c>
      <c r="BC1060" s="411">
        <v>-9999</v>
      </c>
      <c r="BD1060" s="411">
        <v>-9999</v>
      </c>
      <c r="BE1060" s="411">
        <v>-9999</v>
      </c>
      <c r="BF1060" s="411">
        <v>-9999</v>
      </c>
      <c r="BG1060" s="411">
        <v>-9999</v>
      </c>
      <c r="BH1060" s="411">
        <v>-9999</v>
      </c>
      <c r="BI1060" s="411">
        <v>-9999</v>
      </c>
      <c r="BJ1060" s="411">
        <v>21.5</v>
      </c>
      <c r="BK1060" s="411">
        <v>-9999</v>
      </c>
      <c r="BL1060" s="411">
        <v>10.3</v>
      </c>
      <c r="BM1060" s="411">
        <v>-9999</v>
      </c>
      <c r="BN1060" s="411">
        <v>6.5</v>
      </c>
      <c r="BO1060" s="411">
        <v>-9999</v>
      </c>
      <c r="BP1060" s="411">
        <v>-9999</v>
      </c>
      <c r="BQ1060" s="411">
        <v>-9999</v>
      </c>
      <c r="BR1060" s="411">
        <v>-9999</v>
      </c>
      <c r="BS1060" s="583">
        <f>+BT1060*14.286</f>
        <v>1357.17</v>
      </c>
      <c r="BT1060" s="577">
        <v>95</v>
      </c>
      <c r="BU1060" s="411">
        <v>-9999</v>
      </c>
      <c r="BV1060" s="411">
        <v>-9999</v>
      </c>
      <c r="BW1060" s="411"/>
      <c r="BX1060" s="411">
        <v>-9999</v>
      </c>
      <c r="BY1060" s="411">
        <v>-9999</v>
      </c>
      <c r="BZ1060" s="411">
        <v>-9999</v>
      </c>
      <c r="CA1060" s="578" t="s">
        <v>1096</v>
      </c>
      <c r="CB1060" s="579"/>
      <c r="CC1060" s="571">
        <v>1</v>
      </c>
      <c r="CD1060" s="411">
        <v>4</v>
      </c>
      <c r="CE1060" s="99">
        <v>12.5</v>
      </c>
      <c r="CF1060" s="99">
        <v>19.099999999999998</v>
      </c>
      <c r="CG1060" s="208">
        <v>4</v>
      </c>
      <c r="CH1060" s="13" t="s">
        <v>1757</v>
      </c>
      <c r="CI1060" s="13"/>
      <c r="CJ1060" s="13"/>
      <c r="CK1060" s="13"/>
      <c r="CL1060" s="13"/>
      <c r="CM1060" s="13"/>
      <c r="CN1060" s="13"/>
      <c r="CO1060" s="13"/>
      <c r="CP1060" s="13"/>
      <c r="CQ1060" s="13"/>
      <c r="CR1060" s="13"/>
      <c r="CS1060" s="13"/>
      <c r="CT1060" s="13"/>
      <c r="CU1060" s="13"/>
      <c r="CV1060" s="13"/>
      <c r="CW1060" s="13"/>
      <c r="CX1060" s="13"/>
      <c r="CY1060" s="13"/>
      <c r="CZ1060" s="13"/>
      <c r="DA1060" s="13"/>
      <c r="DB1060" s="13"/>
      <c r="DC1060" s="13"/>
      <c r="DD1060" s="13"/>
      <c r="DE1060" s="13"/>
      <c r="DF1060" s="13"/>
      <c r="DG1060" s="13"/>
      <c r="DH1060" s="13"/>
      <c r="DI1060" s="13"/>
      <c r="DJ1060" s="13"/>
      <c r="DK1060" s="13"/>
      <c r="DL1060" s="13"/>
      <c r="DM1060" s="13"/>
      <c r="DN1060" s="13"/>
      <c r="DO1060" s="13"/>
      <c r="DP1060" s="13"/>
      <c r="DQ1060" s="13"/>
      <c r="DR1060" s="13"/>
      <c r="DS1060" s="13"/>
      <c r="DT1060" s="13"/>
      <c r="DU1060" s="13"/>
      <c r="DV1060" s="13"/>
      <c r="DW1060" s="13"/>
      <c r="DX1060" s="13"/>
      <c r="DY1060" s="13"/>
      <c r="DZ1060" s="13"/>
      <c r="EA1060" s="13"/>
      <c r="EB1060" s="13"/>
      <c r="EC1060" s="13"/>
      <c r="ED1060" s="13"/>
      <c r="EE1060" s="13"/>
      <c r="EF1060" s="13"/>
      <c r="EG1060" s="13"/>
      <c r="EH1060" s="13"/>
      <c r="EI1060" s="13"/>
      <c r="EJ1060" s="13"/>
      <c r="EK1060" s="13"/>
      <c r="EL1060" s="13"/>
      <c r="EM1060" s="13"/>
      <c r="EN1060" s="13"/>
      <c r="EO1060" s="13"/>
      <c r="EP1060" s="13"/>
      <c r="EQ1060" s="13"/>
      <c r="ER1060" s="13"/>
      <c r="ES1060" s="13"/>
      <c r="ET1060" s="13"/>
      <c r="EU1060" s="13"/>
      <c r="EV1060" s="13"/>
      <c r="EW1060" s="13"/>
      <c r="EX1060" s="13"/>
      <c r="EY1060" s="13"/>
      <c r="EZ1060" s="13"/>
      <c r="FA1060" s="13"/>
      <c r="FB1060" s="13"/>
      <c r="FC1060" s="13"/>
      <c r="FD1060" s="13"/>
      <c r="FE1060" s="13"/>
      <c r="FF1060" s="13"/>
      <c r="FG1060" s="13"/>
      <c r="FH1060" s="13"/>
      <c r="FI1060" s="13"/>
      <c r="FJ1060" s="13"/>
      <c r="FK1060" s="13"/>
      <c r="FL1060" s="13"/>
      <c r="FM1060" s="13"/>
      <c r="FN1060" s="13"/>
      <c r="FO1060" s="13"/>
      <c r="FP1060" s="13"/>
      <c r="FQ1060" s="13"/>
      <c r="FR1060" s="13"/>
      <c r="FS1060" s="13"/>
      <c r="FT1060" s="13"/>
      <c r="FU1060" s="13"/>
      <c r="FV1060" s="13"/>
      <c r="FW1060" s="13"/>
      <c r="FX1060" s="13"/>
      <c r="FY1060" s="13"/>
      <c r="FZ1060" s="13"/>
      <c r="GA1060" s="13"/>
      <c r="GB1060" s="13"/>
      <c r="GC1060" s="13"/>
      <c r="GD1060" s="13"/>
      <c r="GE1060" s="13"/>
      <c r="GF1060" s="13"/>
      <c r="GG1060" s="13"/>
      <c r="GH1060" s="13"/>
      <c r="GI1060" s="13"/>
      <c r="GJ1060" s="13"/>
      <c r="GK1060" s="13"/>
      <c r="GL1060" s="13"/>
      <c r="GM1060" s="13"/>
      <c r="GN1060" s="13"/>
      <c r="GO1060" s="13"/>
      <c r="GP1060" s="13"/>
      <c r="GQ1060" s="13"/>
      <c r="GR1060" s="13"/>
      <c r="GS1060" s="13"/>
      <c r="GT1060" s="13"/>
      <c r="GU1060" s="13"/>
      <c r="GV1060" s="13"/>
      <c r="GW1060" s="13"/>
      <c r="GX1060" s="13"/>
      <c r="GY1060" s="13"/>
      <c r="GZ1060" s="13"/>
      <c r="HA1060" s="13"/>
      <c r="HB1060" s="13"/>
      <c r="HC1060" s="13"/>
      <c r="HD1060" s="13"/>
      <c r="HE1060" s="13"/>
      <c r="HF1060" s="13"/>
      <c r="HG1060" s="13"/>
      <c r="HH1060" s="13"/>
      <c r="HI1060" s="13"/>
      <c r="HJ1060" s="13"/>
      <c r="HK1060" s="13"/>
      <c r="HL1060" s="13"/>
      <c r="HM1060" s="13"/>
      <c r="HN1060" s="13"/>
      <c r="HO1060" s="13"/>
      <c r="HP1060" s="13"/>
      <c r="HQ1060" s="13"/>
      <c r="HR1060" s="13"/>
      <c r="HS1060" s="13"/>
      <c r="HT1060" s="13"/>
      <c r="HU1060" s="13"/>
      <c r="HV1060" s="13"/>
      <c r="HW1060" s="13"/>
      <c r="HX1060" s="13"/>
      <c r="HY1060" s="13"/>
      <c r="HZ1060" s="13"/>
      <c r="IA1060" s="13"/>
      <c r="IB1060" s="13"/>
      <c r="IC1060" s="13"/>
      <c r="ID1060" s="13"/>
      <c r="IE1060" s="13"/>
      <c r="IF1060" s="13"/>
      <c r="IG1060" s="13"/>
      <c r="IH1060" s="13"/>
      <c r="II1060" s="13"/>
      <c r="IJ1060" s="13"/>
      <c r="IK1060" s="13"/>
      <c r="IL1060" s="13"/>
      <c r="IM1060" s="13"/>
      <c r="IN1060" s="13"/>
      <c r="IO1060" s="13"/>
      <c r="IP1060" s="13"/>
      <c r="IQ1060" s="13"/>
      <c r="IR1060" s="13"/>
      <c r="IS1060" s="13"/>
      <c r="IT1060" s="13"/>
      <c r="IU1060" s="13"/>
      <c r="IV1060" s="13"/>
      <c r="IW1060" s="13"/>
      <c r="IX1060" s="13"/>
      <c r="IY1060" s="13"/>
      <c r="IZ1060" s="13"/>
      <c r="JA1060" s="13"/>
      <c r="JB1060" s="13"/>
      <c r="JC1060" s="13"/>
      <c r="JD1060" s="13"/>
      <c r="JE1060" s="13"/>
      <c r="JF1060" s="13"/>
      <c r="JG1060" s="13"/>
      <c r="JH1060" s="13"/>
      <c r="JI1060" s="13"/>
      <c r="JJ1060" s="13"/>
      <c r="JK1060" s="13"/>
      <c r="JL1060" s="13"/>
      <c r="JM1060" s="13"/>
      <c r="JN1060" s="13"/>
      <c r="JO1060" s="13"/>
      <c r="JP1060" s="13"/>
      <c r="JQ1060" s="13"/>
      <c r="JR1060" s="13"/>
      <c r="JS1060" s="13"/>
      <c r="JT1060" s="13"/>
      <c r="JU1060" s="13"/>
      <c r="JV1060" s="13"/>
      <c r="JW1060" s="13"/>
      <c r="JX1060" s="13"/>
      <c r="JY1060" s="13"/>
      <c r="JZ1060" s="13"/>
      <c r="KA1060" s="13"/>
      <c r="KB1060" s="13"/>
      <c r="KC1060" s="13"/>
      <c r="KD1060" s="13"/>
      <c r="KE1060" s="13"/>
      <c r="KF1060" s="13"/>
      <c r="KG1060" s="13"/>
      <c r="KH1060" s="13"/>
      <c r="KI1060" s="13"/>
      <c r="KJ1060" s="13"/>
      <c r="KK1060" s="13"/>
      <c r="KL1060" s="13"/>
      <c r="KM1060" s="13"/>
      <c r="KN1060" s="13"/>
      <c r="KO1060" s="13"/>
      <c r="KP1060" s="13"/>
      <c r="KQ1060" s="13"/>
      <c r="KR1060" s="13"/>
      <c r="KS1060" s="13"/>
      <c r="KT1060" s="13"/>
      <c r="KU1060" s="13"/>
      <c r="KV1060" s="13"/>
      <c r="KW1060" s="13"/>
      <c r="KX1060" s="13"/>
      <c r="KY1060" s="13"/>
      <c r="KZ1060" s="13"/>
      <c r="LA1060" s="13"/>
      <c r="LB1060" s="13"/>
      <c r="LC1060" s="13"/>
      <c r="LD1060" s="13"/>
      <c r="LE1060" s="13"/>
      <c r="LF1060" s="13"/>
      <c r="LG1060" s="13"/>
      <c r="LH1060" s="13"/>
      <c r="LI1060" s="13"/>
      <c r="LJ1060" s="13"/>
      <c r="LK1060" s="13"/>
      <c r="LL1060" s="13"/>
      <c r="LM1060" s="13"/>
      <c r="LN1060" s="13"/>
      <c r="LO1060" s="13"/>
      <c r="LP1060" s="13"/>
      <c r="LQ1060" s="13"/>
      <c r="LR1060" s="13"/>
      <c r="LS1060" s="13"/>
      <c r="LT1060" s="13"/>
      <c r="LU1060" s="13"/>
      <c r="LV1060" s="13"/>
      <c r="LW1060" s="13"/>
      <c r="LX1060" s="13"/>
      <c r="LY1060" s="13"/>
      <c r="LZ1060" s="13"/>
      <c r="MA1060" s="13"/>
      <c r="MB1060" s="13"/>
      <c r="MC1060" s="13"/>
      <c r="MD1060" s="13"/>
      <c r="ME1060" s="13"/>
      <c r="MF1060" s="13"/>
      <c r="MG1060" s="13"/>
      <c r="MH1060" s="13"/>
      <c r="MI1060" s="13"/>
      <c r="MJ1060" s="13"/>
      <c r="MK1060" s="13"/>
      <c r="ML1060" s="13"/>
      <c r="MM1060" s="13"/>
      <c r="MN1060" s="13"/>
      <c r="MO1060" s="13"/>
      <c r="MP1060" s="13"/>
      <c r="MQ1060" s="13"/>
      <c r="MR1060" s="13"/>
      <c r="MS1060" s="13"/>
      <c r="MT1060" s="13"/>
      <c r="MU1060" s="13"/>
      <c r="MV1060" s="13"/>
      <c r="MW1060" s="13"/>
      <c r="MX1060" s="13"/>
      <c r="MY1060" s="13"/>
      <c r="MZ1060" s="13"/>
      <c r="NA1060" s="13"/>
      <c r="NB1060" s="13"/>
      <c r="NC1060" s="13"/>
      <c r="ND1060" s="13"/>
      <c r="NE1060" s="13"/>
      <c r="NF1060" s="13"/>
      <c r="NG1060" s="13"/>
      <c r="NH1060" s="13"/>
      <c r="NI1060" s="13"/>
      <c r="NJ1060" s="13"/>
      <c r="NK1060" s="13"/>
      <c r="NL1060" s="13"/>
      <c r="NM1060" s="13"/>
      <c r="NN1060" s="13"/>
      <c r="NO1060" s="13"/>
      <c r="NP1060" s="13"/>
      <c r="NQ1060" s="13"/>
      <c r="NR1060" s="13"/>
      <c r="NS1060" s="13"/>
      <c r="NT1060" s="13"/>
      <c r="NU1060" s="13"/>
      <c r="NV1060" s="13"/>
      <c r="NW1060" s="13"/>
      <c r="NX1060" s="13"/>
      <c r="NY1060" s="13"/>
      <c r="NZ1060" s="13"/>
      <c r="OA1060" s="13"/>
      <c r="OB1060" s="13"/>
      <c r="OC1060" s="13"/>
      <c r="OD1060" s="13"/>
      <c r="OE1060" s="13"/>
      <c r="OF1060" s="13"/>
      <c r="OG1060" s="13"/>
      <c r="OH1060" s="13"/>
      <c r="OI1060" s="13"/>
      <c r="OJ1060" s="13"/>
      <c r="OK1060" s="13"/>
      <c r="OL1060" s="13"/>
      <c r="OM1060" s="13"/>
      <c r="ON1060" s="13"/>
      <c r="OO1060" s="13"/>
      <c r="OP1060" s="13"/>
      <c r="OQ1060" s="13"/>
      <c r="OR1060" s="13"/>
      <c r="OS1060" s="13"/>
      <c r="OT1060" s="13"/>
      <c r="OU1060" s="13"/>
      <c r="OV1060" s="13"/>
      <c r="OW1060" s="13"/>
      <c r="OX1060" s="13"/>
      <c r="OY1060" s="13"/>
      <c r="OZ1060" s="13"/>
      <c r="PA1060" s="13"/>
      <c r="PB1060" s="13"/>
      <c r="PC1060" s="13"/>
      <c r="PD1060" s="13"/>
      <c r="PE1060" s="13"/>
      <c r="PF1060" s="13"/>
      <c r="PG1060" s="13"/>
      <c r="PH1060" s="13"/>
      <c r="PI1060" s="13"/>
      <c r="PJ1060" s="13"/>
      <c r="PK1060" s="13"/>
      <c r="PL1060" s="13"/>
      <c r="PM1060" s="13"/>
      <c r="PN1060" s="13"/>
      <c r="PO1060" s="13"/>
      <c r="PP1060" s="13"/>
      <c r="PQ1060" s="13"/>
      <c r="PR1060" s="13"/>
      <c r="PS1060" s="13"/>
      <c r="PT1060" s="13"/>
      <c r="PU1060" s="13"/>
      <c r="PV1060" s="13"/>
      <c r="PW1060" s="13"/>
      <c r="PX1060" s="13"/>
      <c r="PY1060" s="13"/>
      <c r="PZ1060" s="13"/>
      <c r="QA1060" s="13"/>
      <c r="QB1060" s="13"/>
      <c r="QC1060" s="13"/>
      <c r="QD1060" s="13"/>
      <c r="QE1060" s="13"/>
      <c r="QF1060" s="13"/>
      <c r="QG1060" s="13"/>
      <c r="QH1060" s="13"/>
      <c r="QI1060" s="13"/>
      <c r="QJ1060" s="13"/>
      <c r="QK1060" s="13"/>
      <c r="QL1060" s="13"/>
      <c r="QM1060" s="13"/>
      <c r="QN1060" s="13"/>
      <c r="QO1060" s="13"/>
      <c r="QP1060" s="13"/>
      <c r="QQ1060" s="13"/>
      <c r="QR1060" s="13"/>
      <c r="QS1060" s="13"/>
      <c r="QT1060" s="13"/>
      <c r="QU1060" s="13"/>
      <c r="QV1060" s="13"/>
      <c r="QW1060" s="13"/>
      <c r="QX1060" s="13"/>
      <c r="QY1060" s="13"/>
      <c r="QZ1060" s="13"/>
      <c r="RA1060" s="13"/>
      <c r="RB1060" s="13"/>
      <c r="RC1060" s="13"/>
      <c r="RD1060" s="13"/>
      <c r="RE1060" s="13"/>
      <c r="RF1060" s="13"/>
      <c r="RG1060" s="13"/>
      <c r="RH1060" s="13"/>
      <c r="RI1060" s="13"/>
      <c r="RJ1060" s="13"/>
      <c r="RK1060" s="13"/>
      <c r="RL1060" s="13"/>
      <c r="RM1060" s="13"/>
      <c r="RN1060" s="13"/>
      <c r="RO1060" s="13"/>
      <c r="RP1060" s="13"/>
      <c r="RQ1060" s="13"/>
      <c r="RR1060" s="13"/>
      <c r="RS1060" s="13"/>
      <c r="RT1060" s="13"/>
      <c r="RU1060" s="13"/>
      <c r="RV1060" s="13"/>
      <c r="RW1060" s="13"/>
      <c r="RX1060" s="13"/>
      <c r="RY1060" s="13"/>
      <c r="RZ1060" s="13"/>
      <c r="SA1060" s="13"/>
      <c r="SB1060" s="13"/>
      <c r="SC1060" s="13"/>
      <c r="SD1060" s="13"/>
      <c r="SE1060" s="13"/>
      <c r="SF1060" s="13"/>
      <c r="SG1060" s="13"/>
      <c r="SH1060" s="13"/>
      <c r="SI1060" s="13"/>
      <c r="SJ1060" s="13"/>
      <c r="SK1060" s="13"/>
      <c r="SL1060" s="13"/>
      <c r="SM1060" s="13"/>
      <c r="SN1060" s="13"/>
      <c r="SO1060" s="13"/>
      <c r="SP1060" s="13"/>
      <c r="SQ1060" s="13"/>
      <c r="SR1060" s="13"/>
      <c r="SS1060" s="13"/>
      <c r="ST1060" s="13"/>
      <c r="SU1060" s="13"/>
      <c r="SV1060" s="13"/>
      <c r="SW1060" s="13"/>
      <c r="SX1060" s="13"/>
      <c r="SY1060" s="13"/>
      <c r="SZ1060" s="13"/>
      <c r="TA1060" s="13"/>
      <c r="TB1060" s="13"/>
      <c r="TC1060" s="13"/>
      <c r="TD1060" s="13"/>
      <c r="TE1060" s="13"/>
      <c r="TF1060" s="13"/>
      <c r="TG1060" s="13"/>
      <c r="TH1060" s="13"/>
      <c r="TI1060" s="13"/>
      <c r="TJ1060" s="13"/>
      <c r="TK1060" s="13"/>
      <c r="TL1060" s="13"/>
      <c r="TM1060" s="13"/>
      <c r="TN1060" s="13"/>
      <c r="TO1060" s="13"/>
      <c r="TP1060" s="13"/>
      <c r="TQ1060" s="13"/>
      <c r="TR1060" s="13"/>
      <c r="TS1060" s="13"/>
      <c r="TT1060" s="13"/>
      <c r="TU1060" s="13"/>
      <c r="TV1060" s="13"/>
      <c r="TW1060" s="13"/>
      <c r="TX1060" s="13"/>
      <c r="TY1060" s="13"/>
      <c r="TZ1060" s="13"/>
      <c r="UA1060" s="13"/>
      <c r="UB1060" s="13"/>
      <c r="UC1060" s="13"/>
      <c r="UD1060" s="13"/>
      <c r="UE1060" s="13"/>
      <c r="UF1060" s="13"/>
      <c r="UG1060" s="13"/>
      <c r="UH1060" s="13"/>
      <c r="UI1060" s="13"/>
      <c r="UJ1060" s="13"/>
      <c r="UK1060" s="13"/>
      <c r="UL1060" s="13"/>
      <c r="UM1060" s="13"/>
      <c r="UN1060" s="13"/>
      <c r="UO1060" s="13"/>
      <c r="UP1060" s="13"/>
      <c r="UQ1060" s="13"/>
      <c r="UR1060" s="13"/>
      <c r="US1060" s="13"/>
      <c r="UT1060" s="13"/>
      <c r="UU1060" s="13"/>
      <c r="UV1060" s="13"/>
      <c r="UW1060" s="13"/>
      <c r="UX1060" s="13"/>
      <c r="UY1060" s="13"/>
      <c r="UZ1060" s="13"/>
      <c r="VA1060" s="13"/>
      <c r="VB1060" s="13"/>
      <c r="VC1060" s="13"/>
      <c r="VD1060" s="13"/>
      <c r="VE1060" s="13"/>
      <c r="VF1060" s="13"/>
      <c r="VG1060" s="13"/>
      <c r="VH1060" s="13"/>
      <c r="VI1060" s="13"/>
      <c r="VJ1060" s="13"/>
      <c r="VK1060" s="13"/>
      <c r="VL1060" s="13"/>
      <c r="VM1060" s="13"/>
      <c r="VN1060" s="13"/>
      <c r="VO1060" s="13"/>
      <c r="VP1060" s="13"/>
      <c r="VQ1060" s="13"/>
      <c r="VR1060" s="13"/>
      <c r="VS1060" s="13"/>
      <c r="VT1060" s="13"/>
      <c r="VU1060" s="13"/>
      <c r="VV1060" s="13"/>
      <c r="VW1060" s="13"/>
      <c r="VX1060" s="13"/>
      <c r="VY1060" s="13"/>
      <c r="VZ1060" s="13"/>
      <c r="WA1060" s="13"/>
      <c r="WB1060" s="13"/>
      <c r="WC1060" s="13"/>
      <c r="WD1060" s="13"/>
      <c r="WE1060" s="13"/>
      <c r="WF1060" s="13"/>
      <c r="WG1060" s="13"/>
      <c r="WH1060" s="13"/>
      <c r="WI1060" s="13"/>
      <c r="WJ1060" s="13"/>
      <c r="WK1060" s="13"/>
      <c r="WL1060" s="13"/>
      <c r="WM1060" s="13"/>
      <c r="WN1060" s="13"/>
      <c r="WO1060" s="13"/>
      <c r="WP1060" s="13"/>
      <c r="WQ1060" s="13"/>
      <c r="WR1060" s="13"/>
      <c r="WS1060" s="13"/>
      <c r="WT1060" s="13"/>
      <c r="WU1060" s="13"/>
      <c r="WV1060" s="13"/>
      <c r="WW1060" s="13"/>
      <c r="WX1060" s="13"/>
      <c r="WY1060" s="13"/>
      <c r="WZ1060" s="13"/>
      <c r="XA1060" s="13"/>
      <c r="XB1060" s="13"/>
      <c r="XC1060" s="13"/>
      <c r="XD1060" s="13"/>
      <c r="XE1060" s="13"/>
      <c r="XF1060" s="13"/>
      <c r="XG1060" s="13"/>
      <c r="XH1060" s="13"/>
      <c r="XI1060" s="13"/>
      <c r="XJ1060" s="13"/>
      <c r="XK1060" s="13"/>
      <c r="XL1060" s="13"/>
      <c r="XM1060" s="13"/>
      <c r="XN1060" s="13"/>
      <c r="XO1060" s="13"/>
      <c r="XP1060" s="13"/>
      <c r="XQ1060" s="13"/>
      <c r="XR1060" s="13"/>
      <c r="XS1060" s="13"/>
      <c r="XT1060" s="13"/>
      <c r="XU1060" s="13"/>
      <c r="XV1060" s="13"/>
      <c r="XW1060" s="13"/>
      <c r="XX1060" s="13"/>
      <c r="XY1060" s="13"/>
      <c r="XZ1060" s="13"/>
      <c r="YA1060" s="13"/>
      <c r="YB1060" s="13"/>
      <c r="YC1060" s="13"/>
      <c r="YD1060" s="13"/>
      <c r="YE1060" s="13"/>
      <c r="YF1060" s="13"/>
      <c r="YG1060" s="13"/>
      <c r="YH1060" s="13"/>
      <c r="YI1060" s="13"/>
      <c r="YJ1060" s="13"/>
      <c r="YK1060" s="13"/>
      <c r="YL1060" s="13"/>
      <c r="YM1060" s="13"/>
      <c r="YN1060" s="13"/>
      <c r="YO1060" s="13"/>
      <c r="YP1060" s="13"/>
      <c r="YQ1060" s="13"/>
      <c r="YR1060" s="13"/>
      <c r="YS1060" s="13"/>
      <c r="YT1060" s="13"/>
      <c r="YU1060" s="13"/>
      <c r="YV1060" s="13"/>
      <c r="YW1060" s="13"/>
      <c r="YX1060" s="13"/>
      <c r="YY1060" s="13"/>
      <c r="YZ1060" s="13"/>
      <c r="ZA1060" s="13"/>
      <c r="ZB1060" s="13"/>
      <c r="ZC1060" s="13"/>
      <c r="ZD1060" s="13"/>
      <c r="ZE1060" s="13"/>
      <c r="ZF1060" s="13"/>
      <c r="ZG1060" s="13"/>
      <c r="ZH1060" s="13"/>
      <c r="ZI1060" s="13"/>
      <c r="ZJ1060" s="13"/>
      <c r="ZK1060" s="13"/>
      <c r="ZL1060" s="13"/>
      <c r="ZM1060" s="13"/>
      <c r="ZN1060" s="13"/>
      <c r="ZO1060" s="13"/>
      <c r="ZP1060" s="13"/>
      <c r="ZQ1060" s="13"/>
      <c r="ZR1060" s="13"/>
      <c r="ZS1060" s="13"/>
      <c r="ZT1060" s="13"/>
      <c r="ZU1060" s="13"/>
      <c r="ZV1060" s="13"/>
      <c r="ZW1060" s="13"/>
      <c r="ZX1060" s="13"/>
      <c r="ZY1060" s="13"/>
      <c r="ZZ1060" s="13"/>
      <c r="AAA1060" s="13"/>
      <c r="AAB1060" s="13"/>
      <c r="AAC1060" s="13"/>
      <c r="AAD1060" s="13"/>
      <c r="AAE1060" s="13"/>
      <c r="AAF1060" s="13"/>
      <c r="AAG1060" s="13"/>
      <c r="AAH1060" s="13"/>
      <c r="AAI1060" s="13"/>
      <c r="AAJ1060" s="13"/>
      <c r="AAK1060" s="13"/>
      <c r="AAL1060" s="13"/>
      <c r="AAM1060" s="13"/>
      <c r="AAN1060" s="13"/>
      <c r="AAO1060" s="13"/>
      <c r="AAP1060" s="13"/>
      <c r="AAQ1060" s="13"/>
      <c r="AAR1060" s="13"/>
      <c r="AAS1060" s="13"/>
      <c r="AAT1060" s="13"/>
      <c r="AAU1060" s="13"/>
      <c r="AAV1060" s="13"/>
      <c r="AAW1060" s="13"/>
      <c r="AAX1060" s="13"/>
      <c r="AAY1060" s="13"/>
      <c r="AAZ1060" s="13"/>
      <c r="ABA1060" s="13"/>
      <c r="ABB1060" s="13"/>
      <c r="ABC1060" s="13"/>
      <c r="ABD1060" s="13"/>
      <c r="ABE1060" s="13"/>
      <c r="ABF1060" s="13"/>
      <c r="ABG1060" s="13"/>
      <c r="ABH1060" s="13"/>
      <c r="ABI1060" s="13"/>
      <c r="ABJ1060" s="13"/>
      <c r="ABK1060" s="13"/>
      <c r="ABL1060" s="13"/>
      <c r="ABM1060" s="13"/>
      <c r="ABN1060" s="13"/>
      <c r="ABO1060" s="13"/>
      <c r="ABP1060" s="13"/>
      <c r="ABQ1060" s="13"/>
      <c r="ABR1060" s="13"/>
      <c r="ABS1060" s="13"/>
      <c r="ABT1060" s="13"/>
      <c r="ABU1060" s="13"/>
      <c r="ABV1060" s="13"/>
      <c r="ABW1060" s="13"/>
      <c r="ABX1060" s="13"/>
      <c r="ABY1060" s="13"/>
      <c r="ABZ1060" s="13"/>
      <c r="ACA1060" s="13"/>
      <c r="ACB1060" s="13"/>
      <c r="ACC1060" s="13"/>
      <c r="ACD1060" s="13"/>
      <c r="ACE1060" s="13"/>
      <c r="ACF1060" s="13"/>
      <c r="ACG1060" s="13"/>
      <c r="ACH1060" s="13"/>
      <c r="ACI1060" s="13"/>
      <c r="ACJ1060" s="13"/>
      <c r="ACK1060" s="13"/>
      <c r="ACL1060" s="13"/>
      <c r="ACM1060" s="13"/>
      <c r="ACN1060" s="13"/>
      <c r="ACO1060" s="13"/>
      <c r="ACP1060" s="13"/>
      <c r="ACQ1060" s="13"/>
      <c r="ACR1060" s="13"/>
      <c r="ACS1060" s="13"/>
      <c r="ACT1060" s="13"/>
      <c r="ACU1060" s="13"/>
      <c r="ACV1060" s="13"/>
      <c r="ACW1060" s="13"/>
      <c r="ACX1060" s="13"/>
      <c r="ACY1060" s="13"/>
      <c r="ACZ1060" s="13"/>
      <c r="ADA1060" s="13"/>
      <c r="ADB1060" s="13"/>
      <c r="ADC1060" s="13"/>
      <c r="ADD1060" s="13"/>
      <c r="ADE1060" s="13"/>
      <c r="ADF1060" s="13"/>
      <c r="ADG1060" s="13"/>
      <c r="ADH1060" s="13"/>
      <c r="ADI1060" s="13"/>
      <c r="ADJ1060" s="13"/>
      <c r="ADK1060" s="13"/>
      <c r="ADL1060" s="13"/>
      <c r="ADM1060" s="13"/>
      <c r="ADN1060" s="13"/>
      <c r="ADO1060" s="13"/>
      <c r="ADP1060" s="13"/>
      <c r="ADQ1060" s="13"/>
      <c r="ADR1060" s="13"/>
      <c r="ADS1060" s="13"/>
      <c r="ADT1060" s="13"/>
      <c r="ADU1060" s="13"/>
      <c r="ADV1060" s="13"/>
      <c r="ADW1060" s="13"/>
      <c r="ADX1060" s="13"/>
      <c r="ADY1060" s="13"/>
      <c r="ADZ1060" s="13"/>
      <c r="AEA1060" s="13"/>
      <c r="AEB1060" s="13"/>
      <c r="AEC1060" s="13"/>
      <c r="AED1060" s="13"/>
      <c r="AEE1060" s="13"/>
      <c r="AEF1060" s="13"/>
      <c r="AEG1060" s="13"/>
      <c r="AEH1060" s="13"/>
      <c r="AEI1060" s="13"/>
      <c r="AEJ1060" s="13"/>
      <c r="AEK1060" s="13"/>
      <c r="AEL1060" s="13"/>
      <c r="AEM1060" s="13"/>
      <c r="AEN1060" s="13"/>
      <c r="AEO1060" s="13"/>
      <c r="AEP1060" s="13"/>
      <c r="AEQ1060" s="13"/>
      <c r="AER1060" s="13"/>
      <c r="AES1060" s="13"/>
      <c r="AET1060" s="13"/>
      <c r="AEU1060" s="13"/>
      <c r="AEV1060" s="13"/>
      <c r="AEW1060" s="13"/>
      <c r="AEX1060" s="13"/>
      <c r="AEY1060" s="13"/>
      <c r="AEZ1060" s="13"/>
      <c r="AFA1060" s="13"/>
      <c r="AFB1060" s="13"/>
      <c r="AFC1060" s="13"/>
      <c r="AFD1060" s="13"/>
      <c r="AFE1060" s="13"/>
      <c r="AFF1060" s="13"/>
      <c r="AFG1060" s="13"/>
      <c r="AFH1060" s="13"/>
      <c r="AFI1060" s="13"/>
      <c r="AFJ1060" s="13"/>
      <c r="AFK1060" s="13"/>
      <c r="AFL1060" s="13"/>
      <c r="AFM1060" s="13"/>
      <c r="AFN1060" s="13"/>
      <c r="AFO1060" s="13"/>
      <c r="AFP1060" s="13"/>
      <c r="AFQ1060" s="13"/>
      <c r="AFR1060" s="13"/>
      <c r="AFS1060" s="13"/>
      <c r="AFT1060" s="13"/>
      <c r="AFU1060" s="13"/>
      <c r="AFV1060" s="13"/>
      <c r="AFW1060" s="13"/>
      <c r="AFX1060" s="13"/>
      <c r="AFY1060" s="13"/>
      <c r="AFZ1060" s="13"/>
      <c r="AGA1060" s="13"/>
      <c r="AGB1060" s="13"/>
      <c r="AGC1060" s="13"/>
      <c r="AGD1060" s="13"/>
      <c r="AGE1060" s="13"/>
      <c r="AGF1060" s="13"/>
      <c r="AGG1060" s="13"/>
      <c r="AGH1060" s="13"/>
      <c r="AGI1060" s="13"/>
      <c r="AGJ1060" s="13"/>
      <c r="AGK1060" s="13"/>
      <c r="AGL1060" s="13"/>
      <c r="AGM1060" s="13"/>
      <c r="AGN1060" s="13"/>
      <c r="AGO1060" s="13"/>
      <c r="AGP1060" s="13"/>
      <c r="AGQ1060" s="13"/>
      <c r="AGR1060" s="13"/>
      <c r="AGS1060" s="13"/>
      <c r="AGT1060" s="13"/>
      <c r="AGU1060" s="13"/>
      <c r="AGV1060" s="13"/>
      <c r="AGW1060" s="13"/>
      <c r="AGX1060" s="13"/>
      <c r="AGY1060" s="13"/>
      <c r="AGZ1060" s="13"/>
      <c r="AHA1060" s="13"/>
      <c r="AHB1060" s="13"/>
      <c r="AHC1060" s="13"/>
      <c r="AHD1060" s="13"/>
      <c r="AHE1060" s="13"/>
      <c r="AHF1060" s="13"/>
      <c r="AHG1060" s="13"/>
      <c r="AHH1060" s="13"/>
      <c r="AHI1060" s="13"/>
      <c r="AHJ1060" s="13"/>
      <c r="AHK1060" s="13"/>
      <c r="AHL1060" s="13"/>
      <c r="AHM1060" s="13"/>
      <c r="AHN1060" s="13"/>
      <c r="AHO1060" s="13"/>
      <c r="AHP1060" s="13"/>
      <c r="AHQ1060" s="13"/>
      <c r="AHR1060" s="13"/>
      <c r="AHS1060" s="13"/>
      <c r="AHT1060" s="13"/>
      <c r="AHU1060" s="13"/>
      <c r="AHV1060" s="13"/>
      <c r="AHW1060" s="13"/>
      <c r="AHX1060" s="13"/>
      <c r="AHY1060" s="13"/>
      <c r="AHZ1060" s="13"/>
      <c r="AIA1060" s="13"/>
      <c r="AIB1060" s="13"/>
      <c r="AIC1060" s="13"/>
      <c r="AID1060" s="13"/>
      <c r="AIE1060" s="13"/>
      <c r="AIF1060" s="13"/>
      <c r="AIG1060" s="13"/>
      <c r="AIH1060" s="13"/>
      <c r="AII1060" s="13"/>
      <c r="AIJ1060" s="13"/>
      <c r="AIK1060" s="13"/>
      <c r="AIL1060" s="13"/>
      <c r="AIM1060" s="13"/>
      <c r="AIN1060" s="13"/>
      <c r="AIO1060" s="13"/>
      <c r="AIP1060" s="13"/>
      <c r="AIQ1060" s="13"/>
      <c r="AIR1060" s="13"/>
      <c r="AIS1060" s="13"/>
      <c r="AIT1060" s="13"/>
      <c r="AIU1060" s="13"/>
      <c r="AIV1060" s="13"/>
      <c r="AIW1060" s="13"/>
      <c r="AIX1060" s="13"/>
      <c r="AIY1060" s="13"/>
      <c r="AIZ1060" s="13"/>
      <c r="AJA1060" s="13"/>
      <c r="AJB1060" s="13"/>
      <c r="AJC1060" s="13"/>
      <c r="AJD1060" s="13"/>
      <c r="AJE1060" s="13"/>
      <c r="AJF1060" s="13"/>
      <c r="AJG1060" s="13"/>
      <c r="AJH1060" s="13"/>
      <c r="AJI1060" s="13"/>
      <c r="AJJ1060" s="13"/>
      <c r="AJK1060" s="13"/>
      <c r="AJL1060" s="13"/>
      <c r="AJM1060" s="13"/>
      <c r="AJN1060" s="13"/>
      <c r="AJO1060" s="13"/>
      <c r="AJP1060" s="13"/>
      <c r="AJQ1060" s="13"/>
      <c r="AJR1060" s="13"/>
      <c r="AJS1060" s="13"/>
      <c r="AJT1060" s="13"/>
      <c r="AJU1060" s="13"/>
      <c r="AJV1060" s="13"/>
      <c r="AJW1060" s="13"/>
      <c r="AJX1060" s="13"/>
      <c r="AJY1060" s="13"/>
      <c r="AJZ1060" s="13"/>
      <c r="AKA1060" s="13"/>
      <c r="AKB1060" s="13"/>
      <c r="AKC1060" s="13"/>
      <c r="AKD1060" s="13"/>
      <c r="AKE1060" s="13"/>
      <c r="AKF1060" s="13"/>
      <c r="AKG1060" s="13"/>
      <c r="AKH1060" s="13"/>
      <c r="AKI1060" s="13"/>
      <c r="AKJ1060" s="13"/>
      <c r="AKK1060" s="13"/>
      <c r="AKL1060" s="13"/>
      <c r="AKM1060" s="13"/>
      <c r="AKN1060" s="13"/>
      <c r="AKO1060" s="13"/>
      <c r="AKP1060" s="13"/>
      <c r="AKQ1060" s="13"/>
      <c r="AKR1060" s="13"/>
      <c r="AKS1060" s="13"/>
      <c r="AKT1060" s="13"/>
      <c r="AKU1060" s="13"/>
      <c r="AKV1060" s="13"/>
      <c r="AKW1060" s="13"/>
      <c r="AKX1060" s="13"/>
      <c r="AKY1060" s="13"/>
      <c r="AKZ1060" s="13"/>
      <c r="ALA1060" s="13"/>
      <c r="ALB1060" s="13"/>
      <c r="ALC1060" s="13"/>
      <c r="ALD1060" s="13"/>
      <c r="ALE1060" s="13"/>
      <c r="ALF1060" s="13"/>
      <c r="ALG1060" s="13"/>
      <c r="ALH1060" s="13"/>
      <c r="ALI1060" s="13"/>
      <c r="ALJ1060" s="13"/>
      <c r="ALK1060" s="13"/>
      <c r="ALL1060" s="13"/>
      <c r="ALM1060" s="13"/>
      <c r="ALN1060" s="13"/>
      <c r="ALO1060" s="13"/>
      <c r="ALP1060" s="13"/>
      <c r="ALQ1060" s="13"/>
      <c r="ALR1060" s="13"/>
      <c r="ALS1060" s="13"/>
      <c r="ALT1060" s="13"/>
      <c r="ALU1060" s="13"/>
      <c r="ALV1060" s="13"/>
      <c r="ALW1060" s="13"/>
      <c r="ALX1060" s="13"/>
      <c r="ALY1060" s="13"/>
      <c r="ALZ1060" s="13"/>
      <c r="AMA1060" s="13"/>
      <c r="AMB1060" s="13"/>
      <c r="AMC1060" s="13"/>
      <c r="AMD1060" s="13"/>
      <c r="AME1060" s="13"/>
      <c r="AMF1060" s="13"/>
      <c r="AMG1060" s="13"/>
      <c r="AMH1060" s="13"/>
      <c r="AMI1060" s="13"/>
      <c r="AMJ1060" s="13"/>
      <c r="AMK1060" s="13"/>
      <c r="AML1060" s="13"/>
      <c r="AMM1060" s="13"/>
      <c r="AMN1060" s="13"/>
      <c r="AMO1060" s="13"/>
      <c r="AMP1060" s="13"/>
      <c r="AMQ1060" s="13"/>
      <c r="AMR1060" s="13"/>
      <c r="AMS1060" s="13"/>
      <c r="AMT1060" s="13"/>
      <c r="AMU1060" s="13"/>
      <c r="AMV1060" s="13"/>
      <c r="AMW1060" s="13"/>
      <c r="AMX1060" s="13"/>
      <c r="AMY1060" s="13"/>
      <c r="AMZ1060" s="13"/>
      <c r="ANA1060" s="13"/>
      <c r="ANB1060" s="13"/>
      <c r="ANC1060" s="13"/>
      <c r="AND1060" s="13"/>
      <c r="ANE1060" s="13"/>
      <c r="ANF1060" s="13"/>
      <c r="ANG1060" s="13"/>
      <c r="ANH1060" s="13"/>
      <c r="ANI1060" s="13"/>
      <c r="ANJ1060" s="13"/>
      <c r="ANK1060" s="13"/>
      <c r="ANL1060" s="13"/>
      <c r="ANM1060" s="13"/>
      <c r="ANN1060" s="13"/>
      <c r="ANO1060" s="13"/>
      <c r="ANP1060" s="13"/>
      <c r="ANQ1060" s="13"/>
      <c r="ANR1060" s="13"/>
      <c r="ANS1060" s="13"/>
      <c r="ANT1060" s="13"/>
      <c r="ANU1060" s="13"/>
      <c r="ANV1060" s="13"/>
      <c r="ANW1060" s="13"/>
      <c r="ANX1060" s="13"/>
      <c r="ANY1060" s="13"/>
      <c r="ANZ1060" s="13"/>
      <c r="AOA1060" s="13"/>
      <c r="AOB1060" s="13"/>
      <c r="AOC1060" s="13"/>
      <c r="AOD1060" s="13"/>
      <c r="AOE1060" s="13"/>
      <c r="AOF1060" s="13"/>
      <c r="AOG1060" s="13"/>
      <c r="AOH1060" s="13"/>
      <c r="AOI1060" s="13"/>
      <c r="AOJ1060" s="13"/>
      <c r="AOK1060" s="13"/>
      <c r="AOL1060" s="13"/>
      <c r="AOM1060" s="13"/>
      <c r="AON1060" s="13"/>
      <c r="AOO1060" s="13"/>
      <c r="AOP1060" s="13"/>
      <c r="AOQ1060" s="13"/>
      <c r="AOR1060" s="13"/>
      <c r="AOS1060" s="13"/>
      <c r="AOT1060" s="13"/>
      <c r="AOU1060" s="13"/>
      <c r="AOV1060" s="13"/>
      <c r="AOW1060" s="13"/>
      <c r="AOX1060" s="13"/>
      <c r="AOY1060" s="13"/>
      <c r="AOZ1060" s="13"/>
      <c r="APA1060" s="13"/>
      <c r="APB1060" s="13"/>
      <c r="APC1060" s="13"/>
      <c r="APD1060" s="13"/>
      <c r="APE1060" s="13"/>
      <c r="APF1060" s="13"/>
      <c r="APG1060" s="13"/>
      <c r="APH1060" s="13"/>
      <c r="API1060" s="13"/>
      <c r="APJ1060" s="13"/>
      <c r="APK1060" s="13"/>
      <c r="APL1060" s="13"/>
      <c r="APM1060" s="13"/>
      <c r="APN1060" s="13"/>
      <c r="APO1060" s="13"/>
      <c r="APP1060" s="13"/>
      <c r="APQ1060" s="13"/>
      <c r="APR1060" s="13"/>
      <c r="APS1060" s="13"/>
      <c r="APT1060" s="13"/>
      <c r="APU1060" s="13"/>
      <c r="APV1060" s="13"/>
      <c r="APW1060" s="13"/>
      <c r="APX1060" s="13"/>
      <c r="APY1060" s="13"/>
      <c r="APZ1060" s="13"/>
      <c r="AQA1060" s="13"/>
      <c r="AQB1060" s="13"/>
      <c r="AQC1060" s="13"/>
      <c r="AQD1060" s="13"/>
      <c r="AQE1060" s="13"/>
      <c r="AQF1060" s="13"/>
      <c r="AQG1060" s="13"/>
      <c r="AQH1060" s="13"/>
      <c r="AQI1060" s="13"/>
      <c r="AQJ1060" s="13"/>
      <c r="AQK1060" s="13"/>
      <c r="AQL1060" s="13"/>
      <c r="AQM1060" s="13"/>
      <c r="AQN1060" s="13"/>
      <c r="AQO1060" s="13"/>
      <c r="AQP1060" s="13"/>
      <c r="AQQ1060" s="13"/>
      <c r="AQR1060" s="13"/>
      <c r="AQS1060" s="13"/>
      <c r="AQT1060" s="13"/>
      <c r="AQU1060" s="13"/>
      <c r="AQV1060" s="13"/>
      <c r="AQW1060" s="13"/>
      <c r="AQX1060" s="13"/>
      <c r="AQY1060" s="13"/>
      <c r="AQZ1060" s="13"/>
      <c r="ARA1060" s="13"/>
      <c r="ARB1060" s="13"/>
      <c r="ARC1060" s="13"/>
      <c r="ARD1060" s="13"/>
      <c r="ARE1060" s="13"/>
      <c r="ARF1060" s="13"/>
      <c r="ARG1060" s="13"/>
      <c r="ARH1060" s="13"/>
      <c r="ARI1060" s="13"/>
      <c r="ARJ1060" s="13"/>
      <c r="ARK1060" s="13"/>
      <c r="ARL1060" s="13"/>
      <c r="ARM1060" s="13"/>
      <c r="ARN1060" s="13"/>
      <c r="ARO1060" s="13"/>
      <c r="ARP1060" s="13"/>
      <c r="ARQ1060" s="13"/>
      <c r="ARR1060" s="13"/>
      <c r="ARS1060" s="13"/>
      <c r="ART1060" s="13"/>
      <c r="ARU1060" s="13"/>
      <c r="ARV1060" s="13"/>
      <c r="ARW1060" s="13"/>
      <c r="ARX1060" s="13"/>
      <c r="ARY1060" s="13"/>
      <c r="ARZ1060" s="13"/>
      <c r="ASA1060" s="13"/>
      <c r="ASB1060" s="13"/>
      <c r="ASC1060" s="13"/>
      <c r="ASD1060" s="13"/>
      <c r="ASE1060" s="13"/>
      <c r="ASF1060" s="13"/>
      <c r="ASG1060" s="13"/>
      <c r="ASH1060" s="13"/>
      <c r="ASI1060" s="13"/>
      <c r="ASJ1060" s="13"/>
      <c r="ASK1060" s="13"/>
      <c r="ASL1060" s="13"/>
      <c r="ASM1060" s="13"/>
      <c r="ASN1060" s="13"/>
      <c r="ASO1060" s="13"/>
      <c r="ASP1060" s="13"/>
      <c r="ASQ1060" s="13"/>
      <c r="ASR1060" s="13"/>
      <c r="ASS1060" s="13"/>
      <c r="AST1060" s="13"/>
      <c r="ASU1060" s="13"/>
      <c r="ASV1060" s="13"/>
      <c r="ASW1060" s="13"/>
      <c r="ASX1060" s="13"/>
      <c r="ASY1060" s="13"/>
      <c r="ASZ1060" s="13"/>
      <c r="ATA1060" s="13"/>
      <c r="ATB1060" s="13"/>
      <c r="ATC1060" s="13"/>
      <c r="ATD1060" s="13"/>
      <c r="ATE1060" s="13"/>
      <c r="ATF1060" s="13"/>
      <c r="ATG1060" s="13"/>
      <c r="ATH1060" s="13"/>
      <c r="ATI1060" s="13"/>
      <c r="ATJ1060" s="13"/>
      <c r="ATK1060" s="13"/>
      <c r="ATL1060" s="13"/>
      <c r="ATM1060" s="13"/>
      <c r="ATN1060" s="13"/>
      <c r="ATO1060" s="13"/>
      <c r="ATP1060" s="13"/>
      <c r="ATQ1060" s="13"/>
      <c r="ATR1060" s="13"/>
      <c r="ATS1060" s="13"/>
      <c r="ATT1060" s="13"/>
      <c r="ATU1060" s="13"/>
      <c r="ATV1060" s="13"/>
      <c r="ATW1060" s="13"/>
      <c r="ATX1060" s="13"/>
      <c r="ATY1060" s="13"/>
      <c r="ATZ1060" s="13"/>
      <c r="AUA1060" s="13"/>
      <c r="AUB1060" s="13"/>
      <c r="AUC1060" s="13"/>
      <c r="AUD1060" s="13"/>
      <c r="AUE1060" s="13"/>
      <c r="AUF1060" s="13"/>
      <c r="AUG1060" s="13"/>
      <c r="AUH1060" s="13"/>
      <c r="AUI1060" s="13"/>
      <c r="AUJ1060" s="13"/>
      <c r="AUK1060" s="13"/>
      <c r="AUL1060" s="13"/>
      <c r="AUM1060" s="13"/>
      <c r="AUN1060" s="13"/>
      <c r="AUO1060" s="13"/>
      <c r="AUP1060" s="13"/>
      <c r="AUQ1060" s="13"/>
      <c r="AUR1060" s="13"/>
      <c r="AUS1060" s="13"/>
      <c r="AUT1060" s="13"/>
      <c r="AUU1060" s="13"/>
      <c r="AUV1060" s="13"/>
      <c r="AUW1060" s="13"/>
      <c r="AUX1060" s="13"/>
      <c r="AUY1060" s="13"/>
      <c r="AUZ1060" s="13"/>
      <c r="AVA1060" s="13"/>
      <c r="AVB1060" s="13"/>
      <c r="AVC1060" s="13"/>
      <c r="AVD1060" s="13"/>
      <c r="AVE1060" s="13"/>
      <c r="AVF1060" s="13"/>
      <c r="AVG1060" s="13"/>
      <c r="AVH1060" s="13"/>
      <c r="AVI1060" s="13"/>
      <c r="AVJ1060" s="13"/>
      <c r="AVK1060" s="13"/>
      <c r="AVL1060" s="13"/>
      <c r="AVM1060" s="13"/>
      <c r="AVN1060" s="13"/>
      <c r="AVO1060" s="13"/>
      <c r="AVP1060" s="13"/>
      <c r="AVQ1060" s="13"/>
      <c r="AVR1060" s="13"/>
      <c r="AVS1060" s="13"/>
      <c r="AVT1060" s="13"/>
      <c r="AVU1060" s="13"/>
      <c r="AVV1060" s="13"/>
      <c r="AVW1060" s="13"/>
      <c r="AVX1060" s="13"/>
      <c r="AVY1060" s="13"/>
      <c r="AVZ1060" s="13"/>
      <c r="AWA1060" s="13"/>
      <c r="AWB1060" s="13"/>
      <c r="AWC1060" s="13"/>
      <c r="AWD1060" s="13"/>
      <c r="AWE1060" s="13"/>
      <c r="AWF1060" s="13"/>
      <c r="AWG1060" s="13"/>
      <c r="AWH1060" s="13"/>
      <c r="AWI1060" s="13"/>
      <c r="AWJ1060" s="13"/>
      <c r="AWK1060" s="13"/>
      <c r="AWL1060" s="13"/>
      <c r="AWM1060" s="13"/>
      <c r="AWN1060" s="13"/>
      <c r="AWO1060" s="13"/>
      <c r="AWP1060" s="13"/>
      <c r="AWQ1060" s="13"/>
      <c r="AWR1060" s="13"/>
      <c r="AWS1060" s="13"/>
      <c r="AWT1060" s="13"/>
      <c r="AWU1060" s="13"/>
      <c r="AWV1060" s="13"/>
      <c r="AWW1060" s="13"/>
      <c r="AWX1060" s="13"/>
      <c r="AWY1060" s="13"/>
      <c r="AWZ1060" s="13"/>
      <c r="AXA1060" s="13"/>
      <c r="AXB1060" s="13"/>
      <c r="AXC1060" s="13"/>
      <c r="AXD1060" s="13"/>
      <c r="AXE1060" s="13"/>
      <c r="AXF1060" s="13"/>
      <c r="AXG1060" s="13"/>
      <c r="AXH1060" s="13"/>
      <c r="AXI1060" s="13"/>
      <c r="AXJ1060" s="13"/>
      <c r="AXK1060" s="13"/>
      <c r="AXL1060" s="13"/>
      <c r="AXM1060" s="13"/>
      <c r="AXN1060" s="13"/>
      <c r="AXO1060" s="13"/>
      <c r="AXP1060" s="13"/>
      <c r="AXQ1060" s="13"/>
      <c r="AXR1060" s="13"/>
      <c r="AXS1060" s="13"/>
      <c r="AXT1060" s="13"/>
      <c r="AXU1060" s="13"/>
      <c r="AXV1060" s="13"/>
      <c r="AXW1060" s="13"/>
      <c r="AXX1060" s="13"/>
      <c r="AXY1060" s="13"/>
      <c r="AXZ1060" s="13"/>
      <c r="AYA1060" s="13"/>
      <c r="AYB1060" s="13"/>
      <c r="AYC1060" s="13"/>
      <c r="AYD1060" s="13"/>
      <c r="AYE1060" s="13"/>
      <c r="AYF1060" s="13"/>
      <c r="AYG1060" s="13"/>
      <c r="AYH1060" s="13"/>
      <c r="AYI1060" s="13"/>
      <c r="AYJ1060" s="13"/>
      <c r="AYK1060" s="13"/>
      <c r="AYL1060" s="13"/>
      <c r="AYM1060" s="13"/>
      <c r="AYN1060" s="13"/>
      <c r="AYO1060" s="13"/>
      <c r="AYP1060" s="13"/>
      <c r="AYQ1060" s="13"/>
      <c r="AYR1060" s="13"/>
      <c r="AYS1060" s="13"/>
      <c r="AYT1060" s="13"/>
      <c r="AYU1060" s="13"/>
      <c r="AYV1060" s="13"/>
      <c r="AYW1060" s="13"/>
      <c r="AYX1060" s="13"/>
      <c r="AYY1060" s="13"/>
      <c r="AYZ1060" s="13"/>
      <c r="AZA1060" s="13"/>
      <c r="AZB1060" s="13"/>
      <c r="AZC1060" s="13"/>
      <c r="AZD1060" s="13"/>
      <c r="AZE1060" s="13"/>
      <c r="AZF1060" s="13"/>
      <c r="AZG1060" s="13"/>
      <c r="AZH1060" s="13"/>
      <c r="AZI1060" s="13"/>
      <c r="AZJ1060" s="13"/>
      <c r="AZK1060" s="13"/>
      <c r="AZL1060" s="13"/>
      <c r="AZM1060" s="13"/>
      <c r="AZN1060" s="13"/>
      <c r="AZO1060" s="13"/>
      <c r="AZP1060" s="13"/>
      <c r="AZQ1060" s="13"/>
      <c r="AZR1060" s="13"/>
      <c r="AZS1060" s="13"/>
      <c r="AZT1060" s="13"/>
      <c r="AZU1060" s="13"/>
      <c r="AZV1060" s="13"/>
      <c r="AZW1060" s="13"/>
      <c r="AZX1060" s="13"/>
      <c r="AZY1060" s="13"/>
      <c r="AZZ1060" s="13"/>
      <c r="BAA1060" s="13"/>
      <c r="BAB1060" s="13"/>
      <c r="BAC1060" s="13"/>
      <c r="BAD1060" s="13"/>
      <c r="BAE1060" s="13"/>
      <c r="BAF1060" s="13"/>
      <c r="BAG1060" s="13"/>
      <c r="BAH1060" s="13"/>
      <c r="BAI1060" s="13"/>
      <c r="BAJ1060" s="13"/>
      <c r="BAK1060" s="13"/>
      <c r="BAL1060" s="13"/>
      <c r="BAM1060" s="13"/>
      <c r="BAN1060" s="13"/>
      <c r="BAO1060" s="13"/>
      <c r="BAP1060" s="13"/>
      <c r="BAQ1060" s="13"/>
      <c r="BAR1060" s="13"/>
      <c r="BAS1060" s="13"/>
      <c r="BAT1060" s="13"/>
      <c r="BAU1060" s="13"/>
      <c r="BAV1060" s="13"/>
      <c r="BAW1060" s="13"/>
      <c r="BAX1060" s="13"/>
      <c r="BAY1060" s="13"/>
      <c r="BAZ1060" s="13"/>
      <c r="BBA1060" s="13"/>
      <c r="BBB1060" s="13"/>
      <c r="BBC1060" s="13"/>
      <c r="BBD1060" s="13"/>
      <c r="BBE1060" s="13"/>
      <c r="BBF1060" s="13"/>
      <c r="BBG1060" s="13"/>
      <c r="BBH1060" s="13"/>
      <c r="BBI1060" s="13"/>
      <c r="BBJ1060" s="13"/>
      <c r="BBK1060" s="13"/>
      <c r="BBL1060" s="13"/>
      <c r="BBM1060" s="13"/>
      <c r="BBN1060" s="13"/>
      <c r="BBO1060" s="13"/>
      <c r="BBP1060" s="13"/>
      <c r="BBQ1060" s="13"/>
      <c r="BBR1060" s="13"/>
      <c r="BBS1060" s="13"/>
      <c r="BBT1060" s="13"/>
      <c r="BBU1060" s="13"/>
      <c r="BBV1060" s="13"/>
      <c r="BBW1060" s="13"/>
      <c r="BBX1060" s="13"/>
      <c r="BBY1060" s="13"/>
      <c r="BBZ1060" s="13"/>
      <c r="BCA1060" s="13"/>
      <c r="BCB1060" s="13"/>
      <c r="BCC1060" s="13"/>
      <c r="BCD1060" s="13"/>
      <c r="BCE1060" s="13"/>
      <c r="BCF1060" s="13"/>
      <c r="BCG1060" s="13"/>
      <c r="BCH1060" s="13"/>
      <c r="BCI1060" s="13"/>
      <c r="BCJ1060" s="13"/>
      <c r="BCK1060" s="13"/>
      <c r="BCL1060" s="13"/>
      <c r="BCM1060" s="13"/>
      <c r="BCN1060" s="13"/>
      <c r="BCO1060" s="13"/>
      <c r="BCP1060" s="13"/>
      <c r="BCQ1060" s="13"/>
      <c r="BCR1060" s="13"/>
      <c r="BCS1060" s="13"/>
      <c r="BCT1060" s="13"/>
      <c r="BCU1060" s="13"/>
      <c r="BCV1060" s="13"/>
      <c r="BCW1060" s="13"/>
      <c r="BCX1060" s="13"/>
      <c r="BCY1060" s="13"/>
      <c r="BCZ1060" s="13"/>
      <c r="BDA1060" s="13"/>
      <c r="BDB1060" s="13"/>
      <c r="BDC1060" s="13"/>
      <c r="BDD1060" s="13"/>
      <c r="BDE1060" s="13"/>
      <c r="BDF1060" s="13"/>
      <c r="BDG1060" s="13"/>
      <c r="BDH1060" s="13"/>
      <c r="BDI1060" s="13"/>
      <c r="BDJ1060" s="13"/>
      <c r="BDK1060" s="13"/>
      <c r="BDL1060" s="13"/>
      <c r="BDM1060" s="13"/>
      <c r="BDN1060" s="13"/>
      <c r="BDO1060" s="13"/>
      <c r="BDP1060" s="13"/>
      <c r="BDQ1060" s="13"/>
      <c r="BDR1060" s="13"/>
      <c r="BDS1060" s="13"/>
      <c r="BDT1060" s="13"/>
      <c r="BDU1060" s="13"/>
      <c r="BDV1060" s="13"/>
      <c r="BDW1060" s="13"/>
      <c r="BDX1060" s="13"/>
      <c r="BDY1060" s="13"/>
      <c r="BDZ1060" s="13"/>
      <c r="BEA1060" s="13"/>
      <c r="BEB1060" s="13"/>
      <c r="BEC1060" s="13"/>
      <c r="BED1060" s="13"/>
      <c r="BEE1060" s="13"/>
      <c r="BEF1060" s="13"/>
      <c r="BEG1060" s="13"/>
      <c r="BEH1060" s="13"/>
      <c r="BEI1060" s="13"/>
      <c r="BEJ1060" s="13"/>
      <c r="BEK1060" s="13"/>
      <c r="BEL1060" s="13"/>
      <c r="BEM1060" s="13"/>
      <c r="BEN1060" s="13"/>
      <c r="BEO1060" s="13"/>
      <c r="BEP1060" s="13"/>
      <c r="BEQ1060" s="13"/>
      <c r="BER1060" s="13"/>
      <c r="BES1060" s="13"/>
      <c r="BET1060" s="13"/>
      <c r="BEU1060" s="13"/>
      <c r="BEV1060" s="13"/>
      <c r="BEW1060" s="13"/>
      <c r="BEX1060" s="13"/>
      <c r="BEY1060" s="13"/>
      <c r="BEZ1060" s="13"/>
      <c r="BFA1060" s="13"/>
      <c r="BFB1060" s="13"/>
      <c r="BFC1060" s="13"/>
      <c r="BFD1060" s="13"/>
      <c r="BFE1060" s="13"/>
      <c r="BFF1060" s="13"/>
      <c r="BFG1060" s="13"/>
      <c r="BFH1060" s="13"/>
      <c r="BFI1060" s="13"/>
      <c r="BFJ1060" s="13"/>
      <c r="BFK1060" s="13"/>
      <c r="BFL1060" s="13"/>
      <c r="BFM1060" s="13"/>
      <c r="BFN1060" s="13"/>
      <c r="BFO1060" s="13"/>
      <c r="BFP1060" s="13"/>
      <c r="BFQ1060" s="13"/>
      <c r="BFR1060" s="13"/>
      <c r="BFS1060" s="13"/>
      <c r="BFT1060" s="13"/>
      <c r="BFU1060" s="13"/>
      <c r="BFV1060" s="13"/>
      <c r="BFW1060" s="13"/>
      <c r="BFX1060" s="13"/>
      <c r="BFY1060" s="13"/>
      <c r="BFZ1060" s="13"/>
      <c r="BGA1060" s="13"/>
      <c r="BGB1060" s="13"/>
      <c r="BGC1060" s="13"/>
      <c r="BGD1060" s="13"/>
      <c r="BGE1060" s="13"/>
      <c r="BGF1060" s="13"/>
      <c r="BGG1060" s="13"/>
      <c r="BGH1060" s="13"/>
      <c r="BGI1060" s="13"/>
      <c r="BGJ1060" s="13"/>
      <c r="BGK1060" s="13"/>
      <c r="BGL1060" s="13"/>
      <c r="BGM1060" s="13"/>
      <c r="BGN1060" s="13"/>
      <c r="BGO1060" s="13"/>
      <c r="BGP1060" s="13"/>
      <c r="BGQ1060" s="13"/>
      <c r="BGR1060" s="13"/>
      <c r="BGS1060" s="13"/>
      <c r="BGT1060" s="13"/>
      <c r="BGU1060" s="13"/>
      <c r="BGV1060" s="13"/>
      <c r="BGW1060" s="13"/>
      <c r="BGX1060" s="13"/>
      <c r="BGY1060" s="13"/>
      <c r="BGZ1060" s="13"/>
      <c r="BHA1060" s="13"/>
      <c r="BHB1060" s="13"/>
      <c r="BHC1060" s="13"/>
      <c r="BHD1060" s="13"/>
      <c r="BHE1060" s="13"/>
      <c r="BHF1060" s="13"/>
      <c r="BHG1060" s="13"/>
      <c r="BHH1060" s="13"/>
      <c r="BHI1060" s="13"/>
      <c r="BHJ1060" s="13"/>
      <c r="BHK1060" s="13"/>
      <c r="BHL1060" s="13"/>
      <c r="BHM1060" s="13"/>
      <c r="BHN1060" s="13"/>
      <c r="BHO1060" s="13"/>
      <c r="BHP1060" s="13"/>
      <c r="BHQ1060" s="13"/>
      <c r="BHR1060" s="13"/>
      <c r="BHS1060" s="13"/>
      <c r="BHT1060" s="13"/>
      <c r="BHU1060" s="13"/>
      <c r="BHV1060" s="13"/>
      <c r="BHW1060" s="13"/>
      <c r="BHX1060" s="13"/>
      <c r="BHY1060" s="13"/>
      <c r="BHZ1060" s="13"/>
      <c r="BIA1060" s="13"/>
      <c r="BIB1060" s="13"/>
      <c r="BIC1060" s="13"/>
      <c r="BID1060" s="13"/>
      <c r="BIE1060" s="13"/>
      <c r="BIF1060" s="13"/>
      <c r="BIG1060" s="13"/>
      <c r="BIH1060" s="13"/>
      <c r="BII1060" s="13"/>
      <c r="BIJ1060" s="13"/>
      <c r="BIK1060" s="13"/>
      <c r="BIL1060" s="13"/>
      <c r="BIM1060" s="13"/>
      <c r="BIN1060" s="13"/>
      <c r="BIO1060" s="13"/>
      <c r="BIP1060" s="13"/>
      <c r="BIQ1060" s="13"/>
      <c r="BIR1060" s="13"/>
      <c r="BIS1060" s="13"/>
      <c r="BIT1060" s="13"/>
      <c r="BIU1060" s="13"/>
      <c r="BIV1060" s="13"/>
      <c r="BIW1060" s="13"/>
      <c r="BIX1060" s="13"/>
      <c r="BIY1060" s="13"/>
      <c r="BIZ1060" s="13"/>
      <c r="BJA1060" s="13"/>
      <c r="BJB1060" s="13"/>
      <c r="BJC1060" s="13"/>
      <c r="BJD1060" s="13"/>
      <c r="BJE1060" s="13"/>
      <c r="BJF1060" s="13"/>
      <c r="BJG1060" s="13"/>
      <c r="BJH1060" s="13"/>
      <c r="BJI1060" s="13"/>
      <c r="BJJ1060" s="13"/>
      <c r="BJK1060" s="13"/>
      <c r="BJL1060" s="13"/>
      <c r="BJM1060" s="13"/>
      <c r="BJN1060" s="13"/>
      <c r="BJO1060" s="13"/>
      <c r="BJP1060" s="13"/>
      <c r="BJQ1060" s="13"/>
      <c r="BJR1060" s="13"/>
      <c r="BJS1060" s="13"/>
      <c r="BJT1060" s="13"/>
      <c r="BJU1060" s="13"/>
      <c r="BJV1060" s="13"/>
      <c r="BJW1060" s="13"/>
      <c r="BJX1060" s="13"/>
      <c r="BJY1060" s="13"/>
      <c r="BJZ1060" s="13"/>
      <c r="BKA1060" s="13"/>
      <c r="BKB1060" s="13"/>
      <c r="BKC1060" s="13"/>
      <c r="BKD1060" s="13"/>
      <c r="BKE1060" s="13"/>
      <c r="BKF1060" s="13"/>
      <c r="BKG1060" s="13"/>
      <c r="BKH1060" s="13"/>
      <c r="BKI1060" s="13"/>
      <c r="BKJ1060" s="13"/>
      <c r="BKK1060" s="13"/>
      <c r="BKL1060" s="13"/>
      <c r="BKM1060" s="13"/>
      <c r="BKN1060" s="13"/>
      <c r="BKO1060" s="13"/>
      <c r="BKP1060" s="13"/>
      <c r="BKQ1060" s="13"/>
      <c r="BKR1060" s="13"/>
      <c r="BKS1060" s="13"/>
      <c r="BKT1060" s="13"/>
      <c r="BKU1060" s="13"/>
      <c r="BKV1060" s="13"/>
      <c r="BKW1060" s="13"/>
      <c r="BKX1060" s="13"/>
      <c r="BKY1060" s="13"/>
      <c r="BKZ1060" s="13"/>
      <c r="BLA1060" s="13"/>
      <c r="BLB1060" s="13"/>
      <c r="BLC1060" s="13"/>
      <c r="BLD1060" s="13"/>
      <c r="BLE1060" s="13"/>
      <c r="BLF1060" s="13"/>
      <c r="BLG1060" s="13"/>
      <c r="BLH1060" s="13"/>
      <c r="BLI1060" s="13"/>
      <c r="BLJ1060" s="13"/>
      <c r="BLK1060" s="13"/>
      <c r="BLL1060" s="13"/>
      <c r="BLM1060" s="13"/>
      <c r="BLN1060" s="13"/>
      <c r="BLO1060" s="13"/>
      <c r="BLP1060" s="13"/>
      <c r="BLQ1060" s="13"/>
      <c r="BLR1060" s="13"/>
      <c r="BLS1060" s="13"/>
      <c r="BLT1060" s="13"/>
      <c r="BLU1060" s="13"/>
      <c r="BLV1060" s="13"/>
      <c r="BLW1060" s="13"/>
      <c r="BLX1060" s="13"/>
      <c r="BLY1060" s="13"/>
      <c r="BLZ1060" s="13"/>
      <c r="BMA1060" s="13"/>
      <c r="BMB1060" s="13"/>
      <c r="BMC1060" s="13"/>
      <c r="BMD1060" s="13"/>
      <c r="BME1060" s="13"/>
      <c r="BMF1060" s="13"/>
      <c r="BMG1060" s="13"/>
      <c r="BMH1060" s="13"/>
      <c r="BMI1060" s="13"/>
      <c r="BMJ1060" s="13"/>
      <c r="BMK1060" s="13"/>
      <c r="BML1060" s="13"/>
      <c r="BMM1060" s="13"/>
      <c r="BMN1060" s="13"/>
      <c r="BMO1060" s="13"/>
      <c r="BMP1060" s="13"/>
      <c r="BMQ1060" s="13"/>
      <c r="BMR1060" s="13"/>
      <c r="BMS1060" s="13"/>
      <c r="BMT1060" s="13"/>
      <c r="BMU1060" s="13"/>
      <c r="BMV1060" s="13"/>
      <c r="BMW1060" s="13"/>
      <c r="BMX1060" s="13"/>
      <c r="BMY1060" s="13"/>
      <c r="BMZ1060" s="13"/>
      <c r="BNA1060" s="13"/>
      <c r="BNB1060" s="13"/>
      <c r="BNC1060" s="13"/>
      <c r="BND1060" s="13"/>
      <c r="BNE1060" s="13"/>
      <c r="BNF1060" s="13"/>
      <c r="BNG1060" s="13"/>
      <c r="BNH1060" s="13"/>
      <c r="BNI1060" s="13"/>
      <c r="BNJ1060" s="13"/>
      <c r="BNK1060" s="13"/>
      <c r="BNL1060" s="13"/>
      <c r="BNM1060" s="13"/>
      <c r="BNN1060" s="13"/>
      <c r="BNO1060" s="13"/>
      <c r="BNP1060" s="13"/>
      <c r="BNQ1060" s="13"/>
      <c r="BNR1060" s="13"/>
      <c r="BNS1060" s="13"/>
      <c r="BNT1060" s="13"/>
      <c r="BNU1060" s="13"/>
      <c r="BNV1060" s="13"/>
      <c r="BNW1060" s="13"/>
      <c r="BNX1060" s="13"/>
      <c r="BNY1060" s="13"/>
      <c r="BNZ1060" s="13"/>
      <c r="BOA1060" s="13"/>
      <c r="BOB1060" s="13"/>
      <c r="BOC1060" s="13"/>
      <c r="BOD1060" s="13"/>
      <c r="BOE1060" s="13"/>
      <c r="BOF1060" s="13"/>
      <c r="BOG1060" s="13"/>
      <c r="BOH1060" s="13"/>
      <c r="BOI1060" s="13"/>
      <c r="BOJ1060" s="13"/>
      <c r="BOK1060" s="13"/>
      <c r="BOL1060" s="13"/>
      <c r="BOM1060" s="13"/>
      <c r="BON1060" s="13"/>
      <c r="BOO1060" s="13"/>
      <c r="BOP1060" s="13"/>
      <c r="BOQ1060" s="13"/>
      <c r="BOR1060" s="13"/>
      <c r="BOS1060" s="13"/>
      <c r="BOT1060" s="13"/>
      <c r="BOU1060" s="13"/>
      <c r="BOV1060" s="13"/>
      <c r="BOW1060" s="13"/>
      <c r="BOX1060" s="13"/>
      <c r="BOY1060" s="13"/>
      <c r="BOZ1060" s="13"/>
      <c r="BPA1060" s="13"/>
      <c r="BPB1060" s="13"/>
      <c r="BPC1060" s="13"/>
      <c r="BPD1060" s="13"/>
      <c r="BPE1060" s="13"/>
      <c r="BPF1060" s="13"/>
      <c r="BPG1060" s="13"/>
      <c r="BPH1060" s="13"/>
      <c r="BPI1060" s="13"/>
      <c r="BPJ1060" s="13"/>
      <c r="BPK1060" s="13"/>
      <c r="BPL1060" s="13"/>
      <c r="BPM1060" s="13"/>
      <c r="BPN1060" s="13"/>
      <c r="BPO1060" s="13"/>
      <c r="BPP1060" s="13"/>
      <c r="BPQ1060" s="13"/>
      <c r="BPR1060" s="13"/>
      <c r="BPS1060" s="13"/>
      <c r="BPT1060" s="13"/>
      <c r="BPU1060" s="13"/>
      <c r="BPV1060" s="13"/>
      <c r="BPW1060" s="13"/>
      <c r="BPX1060" s="13"/>
      <c r="BPY1060" s="13"/>
      <c r="BPZ1060" s="13"/>
      <c r="BQA1060" s="13"/>
      <c r="BQB1060" s="13"/>
      <c r="BQC1060" s="13"/>
      <c r="BQD1060" s="13"/>
      <c r="BQE1060" s="13"/>
      <c r="BQF1060" s="13"/>
      <c r="BQG1060" s="13"/>
      <c r="BQH1060" s="13"/>
      <c r="BQI1060" s="13"/>
      <c r="BQJ1060" s="13"/>
      <c r="BQK1060" s="13"/>
      <c r="BQL1060" s="13"/>
      <c r="BQM1060" s="13"/>
      <c r="BQN1060" s="13"/>
      <c r="BQO1060" s="13"/>
      <c r="BQP1060" s="13"/>
      <c r="BQQ1060" s="13"/>
      <c r="BQR1060" s="13"/>
      <c r="BQS1060" s="13"/>
      <c r="BQT1060" s="13"/>
      <c r="BQU1060" s="13"/>
      <c r="BQV1060" s="13"/>
      <c r="BQW1060" s="13"/>
      <c r="BQX1060" s="13"/>
      <c r="BQY1060" s="13"/>
      <c r="BQZ1060" s="13"/>
      <c r="BRA1060" s="13"/>
      <c r="BRB1060" s="13"/>
      <c r="BRC1060" s="13"/>
      <c r="BRD1060" s="13"/>
      <c r="BRE1060" s="13"/>
      <c r="BRF1060" s="13"/>
      <c r="BRG1060" s="13"/>
      <c r="BRH1060" s="13"/>
      <c r="BRI1060" s="13"/>
      <c r="BRJ1060" s="13"/>
      <c r="BRK1060" s="13"/>
      <c r="BRL1060" s="13"/>
      <c r="BRM1060" s="13"/>
      <c r="BRN1060" s="13"/>
      <c r="BRO1060" s="13"/>
      <c r="BRP1060" s="13"/>
      <c r="BRQ1060" s="13"/>
      <c r="BRR1060" s="13"/>
      <c r="BRS1060" s="13"/>
      <c r="BRT1060" s="13"/>
      <c r="BRU1060" s="13"/>
      <c r="BRV1060" s="13"/>
      <c r="BRW1060" s="13"/>
      <c r="BRX1060" s="13"/>
      <c r="BRY1060" s="13"/>
      <c r="BRZ1060" s="13"/>
      <c r="BSA1060" s="13"/>
      <c r="BSB1060" s="13"/>
      <c r="BSC1060" s="13"/>
      <c r="BSD1060" s="13"/>
      <c r="BSE1060" s="13"/>
      <c r="BSF1060" s="13"/>
      <c r="BSG1060" s="13"/>
      <c r="BSH1060" s="13"/>
      <c r="BSI1060" s="13"/>
      <c r="BSJ1060" s="13"/>
      <c r="BSK1060" s="13"/>
      <c r="BSL1060" s="13"/>
      <c r="BSM1060" s="13"/>
      <c r="BSN1060" s="13"/>
      <c r="BSO1060" s="13"/>
      <c r="BSP1060" s="13"/>
      <c r="BSQ1060" s="13"/>
      <c r="BSR1060" s="13"/>
      <c r="BSS1060" s="13"/>
      <c r="BST1060" s="13"/>
      <c r="BSU1060" s="13"/>
      <c r="BSV1060" s="13"/>
      <c r="BSW1060" s="13"/>
      <c r="BSX1060" s="13"/>
      <c r="BSY1060" s="13"/>
      <c r="BSZ1060" s="13"/>
      <c r="BTA1060" s="13"/>
    </row>
    <row r="1061" spans="1:1873" s="13" customFormat="1" x14ac:dyDescent="0.2">
      <c r="A1061" s="411"/>
      <c r="B1061" s="411"/>
      <c r="C1061" s="411"/>
      <c r="D1061" s="411"/>
      <c r="E1061" s="462"/>
      <c r="F1061" s="571"/>
      <c r="G1061" s="411"/>
      <c r="H1061" s="411"/>
      <c r="I1061" s="411"/>
      <c r="J1061" s="411"/>
      <c r="K1061" s="411"/>
      <c r="L1061" s="411"/>
      <c r="M1061" s="573"/>
      <c r="N1061" s="411"/>
      <c r="O1061" s="18"/>
      <c r="P1061" s="575"/>
      <c r="Q1061" s="411"/>
      <c r="R1061" s="573"/>
      <c r="S1061" s="411"/>
      <c r="T1061" s="573"/>
      <c r="U1061" s="411"/>
      <c r="V1061" s="411"/>
      <c r="W1061" s="573"/>
      <c r="X1061" s="411"/>
      <c r="Y1061" s="411"/>
      <c r="Z1061" s="461"/>
      <c r="AA1061" s="582"/>
      <c r="AB1061" s="573"/>
      <c r="AC1061" s="411"/>
      <c r="AD1061" s="411"/>
      <c r="AE1061" s="411"/>
      <c r="AF1061" s="411"/>
      <c r="AG1061" s="411"/>
      <c r="AH1061" s="411"/>
      <c r="AI1061" s="411"/>
      <c r="AJ1061" s="411"/>
      <c r="AK1061" s="411"/>
      <c r="AL1061" s="411"/>
      <c r="AM1061" s="411"/>
      <c r="AN1061" s="411"/>
      <c r="AO1061" s="411"/>
      <c r="AP1061" s="411"/>
      <c r="AQ1061" s="411"/>
      <c r="AR1061" s="411"/>
      <c r="AS1061" s="411"/>
      <c r="AT1061" s="411"/>
      <c r="AU1061" s="411"/>
      <c r="AV1061" s="411"/>
      <c r="AW1061" s="411"/>
      <c r="AX1061" s="411"/>
      <c r="AY1061" s="411"/>
      <c r="AZ1061" s="411"/>
      <c r="BA1061" s="411"/>
      <c r="BB1061" s="411"/>
      <c r="BC1061" s="411"/>
      <c r="BD1061" s="411"/>
      <c r="BE1061" s="411"/>
      <c r="BF1061" s="411"/>
      <c r="BG1061" s="411"/>
      <c r="BH1061" s="411"/>
      <c r="BI1061" s="411"/>
      <c r="BJ1061" s="411"/>
      <c r="BK1061" s="411"/>
      <c r="BL1061" s="411"/>
      <c r="BM1061" s="411"/>
      <c r="BN1061" s="411"/>
      <c r="BO1061" s="411"/>
      <c r="BP1061" s="411"/>
      <c r="BQ1061" s="411"/>
      <c r="BR1061" s="411"/>
      <c r="BS1061" s="583"/>
      <c r="BT1061" s="577"/>
      <c r="BU1061" s="411"/>
      <c r="BV1061" s="411"/>
      <c r="BW1061" s="411"/>
      <c r="BX1061" s="411"/>
      <c r="BY1061" s="411"/>
      <c r="BZ1061" s="411"/>
      <c r="CA1061" s="578"/>
      <c r="CB1061" s="579"/>
      <c r="CC1061" s="571"/>
      <c r="CD1061" s="411"/>
      <c r="CE1061" s="99"/>
      <c r="CF1061" s="99"/>
      <c r="CG1061" s="91"/>
    </row>
    <row r="1062" spans="1:1873" s="210" customFormat="1" ht="14.25" x14ac:dyDescent="0.25">
      <c r="A1062" s="411" t="s">
        <v>756</v>
      </c>
      <c r="B1062" s="411" t="s">
        <v>1169</v>
      </c>
      <c r="C1062" s="411" t="s">
        <v>1094</v>
      </c>
      <c r="D1062" s="411" t="s">
        <v>619</v>
      </c>
      <c r="E1062" s="571" t="s">
        <v>1504</v>
      </c>
      <c r="F1062" s="571">
        <v>2</v>
      </c>
      <c r="G1062" s="411">
        <v>4</v>
      </c>
      <c r="H1062" s="411">
        <v>8</v>
      </c>
      <c r="I1062" s="411" t="s">
        <v>320</v>
      </c>
      <c r="J1062" s="411">
        <v>1979</v>
      </c>
      <c r="K1062" s="411" t="s">
        <v>842</v>
      </c>
      <c r="L1062" s="411">
        <v>1987</v>
      </c>
      <c r="M1062" s="573">
        <v>-9999</v>
      </c>
      <c r="N1062" s="411">
        <v>-9999</v>
      </c>
      <c r="O1062" s="18"/>
      <c r="P1062" s="575">
        <f>+T1062*G1062</f>
        <v>45.2</v>
      </c>
      <c r="Q1062" s="411">
        <v>-9999</v>
      </c>
      <c r="R1062" s="573"/>
      <c r="S1062" s="411"/>
      <c r="T1062" s="573">
        <v>11.3</v>
      </c>
      <c r="U1062" s="411">
        <v>-9999</v>
      </c>
      <c r="V1062" s="411"/>
      <c r="W1062" s="573">
        <v>-9999</v>
      </c>
      <c r="X1062" s="411">
        <v>-9999</v>
      </c>
      <c r="Y1062" s="411"/>
      <c r="Z1062" s="411" t="s">
        <v>67</v>
      </c>
      <c r="AA1062" s="582">
        <v>6944</v>
      </c>
      <c r="AB1062" s="573">
        <v>0.64</v>
      </c>
      <c r="AC1062" s="411">
        <v>-9999</v>
      </c>
      <c r="AD1062" s="411">
        <v>-9999</v>
      </c>
      <c r="AE1062" s="411" t="s">
        <v>1095</v>
      </c>
      <c r="AF1062" s="411">
        <v>3</v>
      </c>
      <c r="AG1062" s="411" t="s">
        <v>1087</v>
      </c>
      <c r="AH1062" s="411" t="s">
        <v>567</v>
      </c>
      <c r="AI1062" s="411" t="s">
        <v>1103</v>
      </c>
      <c r="AJ1062" s="411" t="s">
        <v>1100</v>
      </c>
      <c r="AK1062" s="411" t="s">
        <v>626</v>
      </c>
      <c r="AL1062" s="411" t="s">
        <v>1099</v>
      </c>
      <c r="AM1062" s="411"/>
      <c r="AN1062" s="411" t="s">
        <v>626</v>
      </c>
      <c r="AO1062" s="411" t="s">
        <v>1092</v>
      </c>
      <c r="AP1062" s="411" t="s">
        <v>577</v>
      </c>
      <c r="AQ1062" s="411" t="s">
        <v>626</v>
      </c>
      <c r="AR1062" s="411">
        <v>133</v>
      </c>
      <c r="AS1062" s="411" t="s">
        <v>1111</v>
      </c>
      <c r="AT1062" s="411" t="s">
        <v>687</v>
      </c>
      <c r="AU1062" s="411">
        <v>0</v>
      </c>
      <c r="AV1062" s="411">
        <v>-9999</v>
      </c>
      <c r="AW1062" s="411">
        <v>-9999</v>
      </c>
      <c r="AX1062" s="411">
        <v>0</v>
      </c>
      <c r="AY1062" s="411">
        <v>-9999</v>
      </c>
      <c r="AZ1062" s="411">
        <v>-9999</v>
      </c>
      <c r="BA1062" s="411" t="s">
        <v>1102</v>
      </c>
      <c r="BB1062" s="411" t="s">
        <v>631</v>
      </c>
      <c r="BC1062" s="411">
        <v>-9999</v>
      </c>
      <c r="BD1062" s="411">
        <v>-9999</v>
      </c>
      <c r="BE1062" s="411">
        <v>-9999</v>
      </c>
      <c r="BF1062" s="411">
        <v>-9999</v>
      </c>
      <c r="BG1062" s="411">
        <v>-9999</v>
      </c>
      <c r="BH1062" s="411">
        <v>-9999</v>
      </c>
      <c r="BI1062" s="411" t="s">
        <v>629</v>
      </c>
      <c r="BJ1062" s="411">
        <v>19.100000000000001</v>
      </c>
      <c r="BK1062" s="411">
        <v>-9999</v>
      </c>
      <c r="BL1062" s="411">
        <v>10</v>
      </c>
      <c r="BM1062" s="411">
        <v>-9999</v>
      </c>
      <c r="BN1062" s="411">
        <v>5.2</v>
      </c>
      <c r="BO1062" s="411">
        <v>-9999</v>
      </c>
      <c r="BP1062" s="411">
        <v>-9999</v>
      </c>
      <c r="BQ1062" s="411">
        <v>-9999</v>
      </c>
      <c r="BR1062" s="411">
        <v>-9999</v>
      </c>
      <c r="BS1062" s="577">
        <v>-9999</v>
      </c>
      <c r="BT1062" s="411">
        <v>-9999</v>
      </c>
      <c r="BU1062" s="411">
        <v>-9999</v>
      </c>
      <c r="BV1062" s="411">
        <v>-9999</v>
      </c>
      <c r="BW1062" s="411"/>
      <c r="BX1062" s="411">
        <v>-9999</v>
      </c>
      <c r="BY1062" s="411">
        <v>-9999</v>
      </c>
      <c r="BZ1062" s="411">
        <v>-9999</v>
      </c>
      <c r="CA1062" s="578" t="s">
        <v>1096</v>
      </c>
      <c r="CB1062" s="579"/>
      <c r="CC1062" s="571">
        <v>2</v>
      </c>
      <c r="CD1062" s="411">
        <v>4</v>
      </c>
      <c r="CE1062" s="99">
        <v>11.3</v>
      </c>
      <c r="CF1062" s="99">
        <v>-9999</v>
      </c>
      <c r="CG1062" s="208">
        <v>8</v>
      </c>
      <c r="CH1062" s="13" t="s">
        <v>1757</v>
      </c>
      <c r="CI1062" s="13"/>
      <c r="CJ1062" s="13"/>
      <c r="CK1062" s="13"/>
      <c r="CL1062" s="13"/>
      <c r="CM1062" s="13"/>
      <c r="CN1062" s="13"/>
      <c r="CO1062" s="13"/>
      <c r="CP1062" s="13"/>
      <c r="CQ1062" s="13"/>
      <c r="CR1062" s="13"/>
      <c r="CS1062" s="13"/>
      <c r="CT1062" s="13"/>
      <c r="CU1062" s="13"/>
      <c r="CV1062" s="13"/>
      <c r="CW1062" s="13"/>
      <c r="CX1062" s="13"/>
      <c r="CY1062" s="13"/>
      <c r="CZ1062" s="13"/>
      <c r="DA1062" s="13"/>
      <c r="DB1062" s="13"/>
      <c r="DC1062" s="13"/>
      <c r="DD1062" s="13"/>
      <c r="DE1062" s="13"/>
      <c r="DF1062" s="13"/>
      <c r="DG1062" s="13"/>
      <c r="DH1062" s="13"/>
      <c r="DI1062" s="13"/>
      <c r="DJ1062" s="13"/>
      <c r="DK1062" s="13"/>
      <c r="DL1062" s="13"/>
      <c r="DM1062" s="13"/>
      <c r="DN1062" s="13"/>
      <c r="DO1062" s="13"/>
      <c r="DP1062" s="13"/>
      <c r="DQ1062" s="13"/>
      <c r="DR1062" s="13"/>
      <c r="DS1062" s="13"/>
      <c r="DT1062" s="13"/>
      <c r="DU1062" s="13"/>
      <c r="DV1062" s="13"/>
      <c r="DW1062" s="13"/>
      <c r="DX1062" s="13"/>
      <c r="DY1062" s="13"/>
      <c r="DZ1062" s="13"/>
      <c r="EA1062" s="13"/>
      <c r="EB1062" s="13"/>
      <c r="EC1062" s="13"/>
      <c r="ED1062" s="13"/>
      <c r="EE1062" s="13"/>
      <c r="EF1062" s="13"/>
      <c r="EG1062" s="13"/>
      <c r="EH1062" s="13"/>
      <c r="EI1062" s="13"/>
      <c r="EJ1062" s="13"/>
      <c r="EK1062" s="13"/>
      <c r="EL1062" s="13"/>
      <c r="EM1062" s="13"/>
      <c r="EN1062" s="13"/>
      <c r="EO1062" s="13"/>
      <c r="EP1062" s="13"/>
      <c r="EQ1062" s="13"/>
      <c r="ER1062" s="13"/>
      <c r="ES1062" s="13"/>
      <c r="ET1062" s="13"/>
      <c r="EU1062" s="13"/>
      <c r="EV1062" s="13"/>
      <c r="EW1062" s="13"/>
      <c r="EX1062" s="13"/>
      <c r="EY1062" s="13"/>
      <c r="EZ1062" s="13"/>
      <c r="FA1062" s="13"/>
      <c r="FB1062" s="13"/>
      <c r="FC1062" s="13"/>
      <c r="FD1062" s="13"/>
      <c r="FE1062" s="13"/>
      <c r="FF1062" s="13"/>
      <c r="FG1062" s="13"/>
      <c r="FH1062" s="13"/>
      <c r="FI1062" s="13"/>
      <c r="FJ1062" s="13"/>
      <c r="FK1062" s="13"/>
      <c r="FL1062" s="13"/>
      <c r="FM1062" s="13"/>
      <c r="FN1062" s="13"/>
      <c r="FO1062" s="13"/>
      <c r="FP1062" s="13"/>
      <c r="FQ1062" s="13"/>
      <c r="FR1062" s="13"/>
      <c r="FS1062" s="13"/>
      <c r="FT1062" s="13"/>
      <c r="FU1062" s="13"/>
      <c r="FV1062" s="13"/>
      <c r="FW1062" s="13"/>
      <c r="FX1062" s="13"/>
      <c r="FY1062" s="13"/>
      <c r="FZ1062" s="13"/>
      <c r="GA1062" s="13"/>
      <c r="GB1062" s="13"/>
      <c r="GC1062" s="13"/>
      <c r="GD1062" s="13"/>
      <c r="GE1062" s="13"/>
      <c r="GF1062" s="13"/>
      <c r="GG1062" s="13"/>
      <c r="GH1062" s="13"/>
      <c r="GI1062" s="13"/>
      <c r="GJ1062" s="13"/>
      <c r="GK1062" s="13"/>
      <c r="GL1062" s="13"/>
      <c r="GM1062" s="13"/>
      <c r="GN1062" s="13"/>
      <c r="GO1062" s="13"/>
      <c r="GP1062" s="13"/>
      <c r="GQ1062" s="13"/>
      <c r="GR1062" s="13"/>
      <c r="GS1062" s="13"/>
      <c r="GT1062" s="13"/>
      <c r="GU1062" s="13"/>
      <c r="GV1062" s="13"/>
      <c r="GW1062" s="13"/>
      <c r="GX1062" s="13"/>
      <c r="GY1062" s="13"/>
      <c r="GZ1062" s="13"/>
      <c r="HA1062" s="13"/>
      <c r="HB1062" s="13"/>
      <c r="HC1062" s="13"/>
      <c r="HD1062" s="13"/>
      <c r="HE1062" s="13"/>
      <c r="HF1062" s="13"/>
      <c r="HG1062" s="13"/>
      <c r="HH1062" s="13"/>
      <c r="HI1062" s="13"/>
      <c r="HJ1062" s="13"/>
      <c r="HK1062" s="13"/>
      <c r="HL1062" s="13"/>
      <c r="HM1062" s="13"/>
      <c r="HN1062" s="13"/>
      <c r="HO1062" s="13"/>
      <c r="HP1062" s="13"/>
      <c r="HQ1062" s="13"/>
      <c r="HR1062" s="13"/>
      <c r="HS1062" s="13"/>
      <c r="HT1062" s="13"/>
      <c r="HU1062" s="13"/>
      <c r="HV1062" s="13"/>
      <c r="HW1062" s="13"/>
      <c r="HX1062" s="13"/>
      <c r="HY1062" s="13"/>
      <c r="HZ1062" s="13"/>
      <c r="IA1062" s="13"/>
      <c r="IB1062" s="13"/>
      <c r="IC1062" s="13"/>
      <c r="ID1062" s="13"/>
      <c r="IE1062" s="13"/>
      <c r="IF1062" s="13"/>
      <c r="IG1062" s="13"/>
      <c r="IH1062" s="13"/>
      <c r="II1062" s="13"/>
      <c r="IJ1062" s="13"/>
      <c r="IK1062" s="13"/>
      <c r="IL1062" s="13"/>
      <c r="IM1062" s="13"/>
      <c r="IN1062" s="13"/>
      <c r="IO1062" s="13"/>
      <c r="IP1062" s="13"/>
      <c r="IQ1062" s="13"/>
      <c r="IR1062" s="13"/>
      <c r="IS1062" s="13"/>
      <c r="IT1062" s="13"/>
      <c r="IU1062" s="13"/>
      <c r="IV1062" s="13"/>
      <c r="IW1062" s="13"/>
      <c r="IX1062" s="13"/>
      <c r="IY1062" s="13"/>
      <c r="IZ1062" s="13"/>
      <c r="JA1062" s="13"/>
      <c r="JB1062" s="13"/>
      <c r="JC1062" s="13"/>
      <c r="JD1062" s="13"/>
      <c r="JE1062" s="13"/>
      <c r="JF1062" s="13"/>
      <c r="JG1062" s="13"/>
      <c r="JH1062" s="13"/>
      <c r="JI1062" s="13"/>
      <c r="JJ1062" s="13"/>
      <c r="JK1062" s="13"/>
      <c r="JL1062" s="13"/>
      <c r="JM1062" s="13"/>
      <c r="JN1062" s="13"/>
      <c r="JO1062" s="13"/>
      <c r="JP1062" s="13"/>
      <c r="JQ1062" s="13"/>
      <c r="JR1062" s="13"/>
      <c r="JS1062" s="13"/>
      <c r="JT1062" s="13"/>
      <c r="JU1062" s="13"/>
      <c r="JV1062" s="13"/>
      <c r="JW1062" s="13"/>
      <c r="JX1062" s="13"/>
      <c r="JY1062" s="13"/>
      <c r="JZ1062" s="13"/>
      <c r="KA1062" s="13"/>
      <c r="KB1062" s="13"/>
      <c r="KC1062" s="13"/>
      <c r="KD1062" s="13"/>
      <c r="KE1062" s="13"/>
      <c r="KF1062" s="13"/>
      <c r="KG1062" s="13"/>
      <c r="KH1062" s="13"/>
      <c r="KI1062" s="13"/>
      <c r="KJ1062" s="13"/>
      <c r="KK1062" s="13"/>
      <c r="KL1062" s="13"/>
      <c r="KM1062" s="13"/>
      <c r="KN1062" s="13"/>
      <c r="KO1062" s="13"/>
      <c r="KP1062" s="13"/>
      <c r="KQ1062" s="13"/>
      <c r="KR1062" s="13"/>
      <c r="KS1062" s="13"/>
      <c r="KT1062" s="13"/>
      <c r="KU1062" s="13"/>
      <c r="KV1062" s="13"/>
      <c r="KW1062" s="13"/>
      <c r="KX1062" s="13"/>
      <c r="KY1062" s="13"/>
      <c r="KZ1062" s="13"/>
      <c r="LA1062" s="13"/>
      <c r="LB1062" s="13"/>
      <c r="LC1062" s="13"/>
      <c r="LD1062" s="13"/>
      <c r="LE1062" s="13"/>
      <c r="LF1062" s="13"/>
      <c r="LG1062" s="13"/>
      <c r="LH1062" s="13"/>
      <c r="LI1062" s="13"/>
      <c r="LJ1062" s="13"/>
      <c r="LK1062" s="13"/>
      <c r="LL1062" s="13"/>
      <c r="LM1062" s="13"/>
      <c r="LN1062" s="13"/>
      <c r="LO1062" s="13"/>
      <c r="LP1062" s="13"/>
      <c r="LQ1062" s="13"/>
      <c r="LR1062" s="13"/>
      <c r="LS1062" s="13"/>
      <c r="LT1062" s="13"/>
      <c r="LU1062" s="13"/>
      <c r="LV1062" s="13"/>
      <c r="LW1062" s="13"/>
      <c r="LX1062" s="13"/>
      <c r="LY1062" s="13"/>
      <c r="LZ1062" s="13"/>
      <c r="MA1062" s="13"/>
      <c r="MB1062" s="13"/>
      <c r="MC1062" s="13"/>
      <c r="MD1062" s="13"/>
      <c r="ME1062" s="13"/>
      <c r="MF1062" s="13"/>
      <c r="MG1062" s="13"/>
      <c r="MH1062" s="13"/>
      <c r="MI1062" s="13"/>
      <c r="MJ1062" s="13"/>
      <c r="MK1062" s="13"/>
      <c r="ML1062" s="13"/>
      <c r="MM1062" s="13"/>
      <c r="MN1062" s="13"/>
      <c r="MO1062" s="13"/>
      <c r="MP1062" s="13"/>
      <c r="MQ1062" s="13"/>
      <c r="MR1062" s="13"/>
      <c r="MS1062" s="13"/>
      <c r="MT1062" s="13"/>
      <c r="MU1062" s="13"/>
      <c r="MV1062" s="13"/>
      <c r="MW1062" s="13"/>
      <c r="MX1062" s="13"/>
      <c r="MY1062" s="13"/>
      <c r="MZ1062" s="13"/>
      <c r="NA1062" s="13"/>
      <c r="NB1062" s="13"/>
      <c r="NC1062" s="13"/>
      <c r="ND1062" s="13"/>
      <c r="NE1062" s="13"/>
      <c r="NF1062" s="13"/>
      <c r="NG1062" s="13"/>
      <c r="NH1062" s="13"/>
      <c r="NI1062" s="13"/>
      <c r="NJ1062" s="13"/>
      <c r="NK1062" s="13"/>
      <c r="NL1062" s="13"/>
      <c r="NM1062" s="13"/>
      <c r="NN1062" s="13"/>
      <c r="NO1062" s="13"/>
      <c r="NP1062" s="13"/>
      <c r="NQ1062" s="13"/>
      <c r="NR1062" s="13"/>
      <c r="NS1062" s="13"/>
      <c r="NT1062" s="13"/>
      <c r="NU1062" s="13"/>
      <c r="NV1062" s="13"/>
      <c r="NW1062" s="13"/>
      <c r="NX1062" s="13"/>
      <c r="NY1062" s="13"/>
      <c r="NZ1062" s="13"/>
      <c r="OA1062" s="13"/>
      <c r="OB1062" s="13"/>
      <c r="OC1062" s="13"/>
      <c r="OD1062" s="13"/>
      <c r="OE1062" s="13"/>
      <c r="OF1062" s="13"/>
      <c r="OG1062" s="13"/>
      <c r="OH1062" s="13"/>
      <c r="OI1062" s="13"/>
      <c r="OJ1062" s="13"/>
      <c r="OK1062" s="13"/>
      <c r="OL1062" s="13"/>
      <c r="OM1062" s="13"/>
      <c r="ON1062" s="13"/>
      <c r="OO1062" s="13"/>
      <c r="OP1062" s="13"/>
      <c r="OQ1062" s="13"/>
      <c r="OR1062" s="13"/>
      <c r="OS1062" s="13"/>
      <c r="OT1062" s="13"/>
      <c r="OU1062" s="13"/>
      <c r="OV1062" s="13"/>
      <c r="OW1062" s="13"/>
      <c r="OX1062" s="13"/>
      <c r="OY1062" s="13"/>
      <c r="OZ1062" s="13"/>
      <c r="PA1062" s="13"/>
      <c r="PB1062" s="13"/>
      <c r="PC1062" s="13"/>
      <c r="PD1062" s="13"/>
      <c r="PE1062" s="13"/>
      <c r="PF1062" s="13"/>
      <c r="PG1062" s="13"/>
      <c r="PH1062" s="13"/>
      <c r="PI1062" s="13"/>
      <c r="PJ1062" s="13"/>
      <c r="PK1062" s="13"/>
      <c r="PL1062" s="13"/>
      <c r="PM1062" s="13"/>
      <c r="PN1062" s="13"/>
      <c r="PO1062" s="13"/>
      <c r="PP1062" s="13"/>
      <c r="PQ1062" s="13"/>
      <c r="PR1062" s="13"/>
      <c r="PS1062" s="13"/>
      <c r="PT1062" s="13"/>
      <c r="PU1062" s="13"/>
      <c r="PV1062" s="13"/>
      <c r="PW1062" s="13"/>
      <c r="PX1062" s="13"/>
      <c r="PY1062" s="13"/>
      <c r="PZ1062" s="13"/>
      <c r="QA1062" s="13"/>
      <c r="QB1062" s="13"/>
      <c r="QC1062" s="13"/>
      <c r="QD1062" s="13"/>
      <c r="QE1062" s="13"/>
      <c r="QF1062" s="13"/>
      <c r="QG1062" s="13"/>
      <c r="QH1062" s="13"/>
      <c r="QI1062" s="13"/>
      <c r="QJ1062" s="13"/>
      <c r="QK1062" s="13"/>
      <c r="QL1062" s="13"/>
      <c r="QM1062" s="13"/>
      <c r="QN1062" s="13"/>
      <c r="QO1062" s="13"/>
      <c r="QP1062" s="13"/>
      <c r="QQ1062" s="13"/>
      <c r="QR1062" s="13"/>
      <c r="QS1062" s="13"/>
      <c r="QT1062" s="13"/>
      <c r="QU1062" s="13"/>
      <c r="QV1062" s="13"/>
      <c r="QW1062" s="13"/>
      <c r="QX1062" s="13"/>
      <c r="QY1062" s="13"/>
      <c r="QZ1062" s="13"/>
      <c r="RA1062" s="13"/>
      <c r="RB1062" s="13"/>
      <c r="RC1062" s="13"/>
      <c r="RD1062" s="13"/>
      <c r="RE1062" s="13"/>
      <c r="RF1062" s="13"/>
      <c r="RG1062" s="13"/>
      <c r="RH1062" s="13"/>
      <c r="RI1062" s="13"/>
      <c r="RJ1062" s="13"/>
      <c r="RK1062" s="13"/>
      <c r="RL1062" s="13"/>
      <c r="RM1062" s="13"/>
      <c r="RN1062" s="13"/>
      <c r="RO1062" s="13"/>
      <c r="RP1062" s="13"/>
      <c r="RQ1062" s="13"/>
      <c r="RR1062" s="13"/>
      <c r="RS1062" s="13"/>
      <c r="RT1062" s="13"/>
      <c r="RU1062" s="13"/>
      <c r="RV1062" s="13"/>
      <c r="RW1062" s="13"/>
      <c r="RX1062" s="13"/>
      <c r="RY1062" s="13"/>
      <c r="RZ1062" s="13"/>
      <c r="SA1062" s="13"/>
      <c r="SB1062" s="13"/>
      <c r="SC1062" s="13"/>
      <c r="SD1062" s="13"/>
      <c r="SE1062" s="13"/>
      <c r="SF1062" s="13"/>
      <c r="SG1062" s="13"/>
      <c r="SH1062" s="13"/>
      <c r="SI1062" s="13"/>
      <c r="SJ1062" s="13"/>
      <c r="SK1062" s="13"/>
      <c r="SL1062" s="13"/>
      <c r="SM1062" s="13"/>
      <c r="SN1062" s="13"/>
      <c r="SO1062" s="13"/>
      <c r="SP1062" s="13"/>
      <c r="SQ1062" s="13"/>
      <c r="SR1062" s="13"/>
      <c r="SS1062" s="13"/>
      <c r="ST1062" s="13"/>
      <c r="SU1062" s="13"/>
      <c r="SV1062" s="13"/>
      <c r="SW1062" s="13"/>
      <c r="SX1062" s="13"/>
      <c r="SY1062" s="13"/>
      <c r="SZ1062" s="13"/>
      <c r="TA1062" s="13"/>
      <c r="TB1062" s="13"/>
      <c r="TC1062" s="13"/>
      <c r="TD1062" s="13"/>
      <c r="TE1062" s="13"/>
      <c r="TF1062" s="13"/>
      <c r="TG1062" s="13"/>
      <c r="TH1062" s="13"/>
      <c r="TI1062" s="13"/>
      <c r="TJ1062" s="13"/>
      <c r="TK1062" s="13"/>
      <c r="TL1062" s="13"/>
      <c r="TM1062" s="13"/>
      <c r="TN1062" s="13"/>
      <c r="TO1062" s="13"/>
      <c r="TP1062" s="13"/>
      <c r="TQ1062" s="13"/>
      <c r="TR1062" s="13"/>
      <c r="TS1062" s="13"/>
      <c r="TT1062" s="13"/>
      <c r="TU1062" s="13"/>
      <c r="TV1062" s="13"/>
      <c r="TW1062" s="13"/>
      <c r="TX1062" s="13"/>
      <c r="TY1062" s="13"/>
      <c r="TZ1062" s="13"/>
      <c r="UA1062" s="13"/>
      <c r="UB1062" s="13"/>
      <c r="UC1062" s="13"/>
      <c r="UD1062" s="13"/>
      <c r="UE1062" s="13"/>
      <c r="UF1062" s="13"/>
      <c r="UG1062" s="13"/>
      <c r="UH1062" s="13"/>
      <c r="UI1062" s="13"/>
      <c r="UJ1062" s="13"/>
      <c r="UK1062" s="13"/>
      <c r="UL1062" s="13"/>
      <c r="UM1062" s="13"/>
      <c r="UN1062" s="13"/>
      <c r="UO1062" s="13"/>
      <c r="UP1062" s="13"/>
      <c r="UQ1062" s="13"/>
      <c r="UR1062" s="13"/>
      <c r="US1062" s="13"/>
      <c r="UT1062" s="13"/>
      <c r="UU1062" s="13"/>
      <c r="UV1062" s="13"/>
      <c r="UW1062" s="13"/>
      <c r="UX1062" s="13"/>
      <c r="UY1062" s="13"/>
      <c r="UZ1062" s="13"/>
      <c r="VA1062" s="13"/>
      <c r="VB1062" s="13"/>
      <c r="VC1062" s="13"/>
      <c r="VD1062" s="13"/>
      <c r="VE1062" s="13"/>
      <c r="VF1062" s="13"/>
      <c r="VG1062" s="13"/>
      <c r="VH1062" s="13"/>
      <c r="VI1062" s="13"/>
      <c r="VJ1062" s="13"/>
      <c r="VK1062" s="13"/>
      <c r="VL1062" s="13"/>
      <c r="VM1062" s="13"/>
      <c r="VN1062" s="13"/>
      <c r="VO1062" s="13"/>
      <c r="VP1062" s="13"/>
      <c r="VQ1062" s="13"/>
      <c r="VR1062" s="13"/>
      <c r="VS1062" s="13"/>
      <c r="VT1062" s="13"/>
      <c r="VU1062" s="13"/>
      <c r="VV1062" s="13"/>
      <c r="VW1062" s="13"/>
      <c r="VX1062" s="13"/>
      <c r="VY1062" s="13"/>
      <c r="VZ1062" s="13"/>
      <c r="WA1062" s="13"/>
      <c r="WB1062" s="13"/>
      <c r="WC1062" s="13"/>
      <c r="WD1062" s="13"/>
      <c r="WE1062" s="13"/>
      <c r="WF1062" s="13"/>
      <c r="WG1062" s="13"/>
      <c r="WH1062" s="13"/>
      <c r="WI1062" s="13"/>
      <c r="WJ1062" s="13"/>
      <c r="WK1062" s="13"/>
      <c r="WL1062" s="13"/>
      <c r="WM1062" s="13"/>
      <c r="WN1062" s="13"/>
      <c r="WO1062" s="13"/>
      <c r="WP1062" s="13"/>
      <c r="WQ1062" s="13"/>
      <c r="WR1062" s="13"/>
      <c r="WS1062" s="13"/>
      <c r="WT1062" s="13"/>
      <c r="WU1062" s="13"/>
      <c r="WV1062" s="13"/>
      <c r="WW1062" s="13"/>
      <c r="WX1062" s="13"/>
      <c r="WY1062" s="13"/>
      <c r="WZ1062" s="13"/>
      <c r="XA1062" s="13"/>
      <c r="XB1062" s="13"/>
      <c r="XC1062" s="13"/>
      <c r="XD1062" s="13"/>
      <c r="XE1062" s="13"/>
      <c r="XF1062" s="13"/>
      <c r="XG1062" s="13"/>
      <c r="XH1062" s="13"/>
      <c r="XI1062" s="13"/>
      <c r="XJ1062" s="13"/>
      <c r="XK1062" s="13"/>
      <c r="XL1062" s="13"/>
      <c r="XM1062" s="13"/>
      <c r="XN1062" s="13"/>
      <c r="XO1062" s="13"/>
      <c r="XP1062" s="13"/>
      <c r="XQ1062" s="13"/>
      <c r="XR1062" s="13"/>
      <c r="XS1062" s="13"/>
      <c r="XT1062" s="13"/>
      <c r="XU1062" s="13"/>
      <c r="XV1062" s="13"/>
      <c r="XW1062" s="13"/>
      <c r="XX1062" s="13"/>
      <c r="XY1062" s="13"/>
      <c r="XZ1062" s="13"/>
      <c r="YA1062" s="13"/>
      <c r="YB1062" s="13"/>
      <c r="YC1062" s="13"/>
      <c r="YD1062" s="13"/>
      <c r="YE1062" s="13"/>
      <c r="YF1062" s="13"/>
      <c r="YG1062" s="13"/>
      <c r="YH1062" s="13"/>
      <c r="YI1062" s="13"/>
      <c r="YJ1062" s="13"/>
      <c r="YK1062" s="13"/>
      <c r="YL1062" s="13"/>
      <c r="YM1062" s="13"/>
      <c r="YN1062" s="13"/>
      <c r="YO1062" s="13"/>
      <c r="YP1062" s="13"/>
      <c r="YQ1062" s="13"/>
      <c r="YR1062" s="13"/>
      <c r="YS1062" s="13"/>
      <c r="YT1062" s="13"/>
      <c r="YU1062" s="13"/>
      <c r="YV1062" s="13"/>
      <c r="YW1062" s="13"/>
      <c r="YX1062" s="13"/>
      <c r="YY1062" s="13"/>
      <c r="YZ1062" s="13"/>
      <c r="ZA1062" s="13"/>
      <c r="ZB1062" s="13"/>
      <c r="ZC1062" s="13"/>
      <c r="ZD1062" s="13"/>
      <c r="ZE1062" s="13"/>
      <c r="ZF1062" s="13"/>
      <c r="ZG1062" s="13"/>
      <c r="ZH1062" s="13"/>
      <c r="ZI1062" s="13"/>
      <c r="ZJ1062" s="13"/>
      <c r="ZK1062" s="13"/>
      <c r="ZL1062" s="13"/>
      <c r="ZM1062" s="13"/>
      <c r="ZN1062" s="13"/>
      <c r="ZO1062" s="13"/>
      <c r="ZP1062" s="13"/>
      <c r="ZQ1062" s="13"/>
      <c r="ZR1062" s="13"/>
      <c r="ZS1062" s="13"/>
      <c r="ZT1062" s="13"/>
      <c r="ZU1062" s="13"/>
      <c r="ZV1062" s="13"/>
      <c r="ZW1062" s="13"/>
      <c r="ZX1062" s="13"/>
      <c r="ZY1062" s="13"/>
      <c r="ZZ1062" s="13"/>
      <c r="AAA1062" s="13"/>
      <c r="AAB1062" s="13"/>
      <c r="AAC1062" s="13"/>
      <c r="AAD1062" s="13"/>
      <c r="AAE1062" s="13"/>
      <c r="AAF1062" s="13"/>
      <c r="AAG1062" s="13"/>
      <c r="AAH1062" s="13"/>
      <c r="AAI1062" s="13"/>
      <c r="AAJ1062" s="13"/>
      <c r="AAK1062" s="13"/>
      <c r="AAL1062" s="13"/>
      <c r="AAM1062" s="13"/>
      <c r="AAN1062" s="13"/>
      <c r="AAO1062" s="13"/>
      <c r="AAP1062" s="13"/>
      <c r="AAQ1062" s="13"/>
      <c r="AAR1062" s="13"/>
      <c r="AAS1062" s="13"/>
      <c r="AAT1062" s="13"/>
      <c r="AAU1062" s="13"/>
      <c r="AAV1062" s="13"/>
      <c r="AAW1062" s="13"/>
      <c r="AAX1062" s="13"/>
      <c r="AAY1062" s="13"/>
      <c r="AAZ1062" s="13"/>
      <c r="ABA1062" s="13"/>
      <c r="ABB1062" s="13"/>
      <c r="ABC1062" s="13"/>
      <c r="ABD1062" s="13"/>
      <c r="ABE1062" s="13"/>
      <c r="ABF1062" s="13"/>
      <c r="ABG1062" s="13"/>
      <c r="ABH1062" s="13"/>
      <c r="ABI1062" s="13"/>
      <c r="ABJ1062" s="13"/>
      <c r="ABK1062" s="13"/>
      <c r="ABL1062" s="13"/>
      <c r="ABM1062" s="13"/>
      <c r="ABN1062" s="13"/>
      <c r="ABO1062" s="13"/>
      <c r="ABP1062" s="13"/>
      <c r="ABQ1062" s="13"/>
      <c r="ABR1062" s="13"/>
      <c r="ABS1062" s="13"/>
      <c r="ABT1062" s="13"/>
      <c r="ABU1062" s="13"/>
      <c r="ABV1062" s="13"/>
      <c r="ABW1062" s="13"/>
      <c r="ABX1062" s="13"/>
      <c r="ABY1062" s="13"/>
      <c r="ABZ1062" s="13"/>
      <c r="ACA1062" s="13"/>
      <c r="ACB1062" s="13"/>
      <c r="ACC1062" s="13"/>
      <c r="ACD1062" s="13"/>
      <c r="ACE1062" s="13"/>
      <c r="ACF1062" s="13"/>
      <c r="ACG1062" s="13"/>
      <c r="ACH1062" s="13"/>
      <c r="ACI1062" s="13"/>
      <c r="ACJ1062" s="13"/>
      <c r="ACK1062" s="13"/>
      <c r="ACL1062" s="13"/>
      <c r="ACM1062" s="13"/>
      <c r="ACN1062" s="13"/>
      <c r="ACO1062" s="13"/>
      <c r="ACP1062" s="13"/>
      <c r="ACQ1062" s="13"/>
      <c r="ACR1062" s="13"/>
      <c r="ACS1062" s="13"/>
      <c r="ACT1062" s="13"/>
      <c r="ACU1062" s="13"/>
      <c r="ACV1062" s="13"/>
      <c r="ACW1062" s="13"/>
      <c r="ACX1062" s="13"/>
      <c r="ACY1062" s="13"/>
      <c r="ACZ1062" s="13"/>
      <c r="ADA1062" s="13"/>
      <c r="ADB1062" s="13"/>
      <c r="ADC1062" s="13"/>
      <c r="ADD1062" s="13"/>
      <c r="ADE1062" s="13"/>
      <c r="ADF1062" s="13"/>
      <c r="ADG1062" s="13"/>
      <c r="ADH1062" s="13"/>
      <c r="ADI1062" s="13"/>
      <c r="ADJ1062" s="13"/>
      <c r="ADK1062" s="13"/>
      <c r="ADL1062" s="13"/>
      <c r="ADM1062" s="13"/>
      <c r="ADN1062" s="13"/>
      <c r="ADO1062" s="13"/>
      <c r="ADP1062" s="13"/>
      <c r="ADQ1062" s="13"/>
      <c r="ADR1062" s="13"/>
      <c r="ADS1062" s="13"/>
      <c r="ADT1062" s="13"/>
      <c r="ADU1062" s="13"/>
      <c r="ADV1062" s="13"/>
      <c r="ADW1062" s="13"/>
      <c r="ADX1062" s="13"/>
      <c r="ADY1062" s="13"/>
      <c r="ADZ1062" s="13"/>
      <c r="AEA1062" s="13"/>
      <c r="AEB1062" s="13"/>
      <c r="AEC1062" s="13"/>
      <c r="AED1062" s="13"/>
      <c r="AEE1062" s="13"/>
      <c r="AEF1062" s="13"/>
      <c r="AEG1062" s="13"/>
      <c r="AEH1062" s="13"/>
      <c r="AEI1062" s="13"/>
      <c r="AEJ1062" s="13"/>
      <c r="AEK1062" s="13"/>
      <c r="AEL1062" s="13"/>
      <c r="AEM1062" s="13"/>
      <c r="AEN1062" s="13"/>
      <c r="AEO1062" s="13"/>
      <c r="AEP1062" s="13"/>
      <c r="AEQ1062" s="13"/>
      <c r="AER1062" s="13"/>
      <c r="AES1062" s="13"/>
      <c r="AET1062" s="13"/>
      <c r="AEU1062" s="13"/>
      <c r="AEV1062" s="13"/>
      <c r="AEW1062" s="13"/>
      <c r="AEX1062" s="13"/>
      <c r="AEY1062" s="13"/>
      <c r="AEZ1062" s="13"/>
      <c r="AFA1062" s="13"/>
      <c r="AFB1062" s="13"/>
      <c r="AFC1062" s="13"/>
      <c r="AFD1062" s="13"/>
      <c r="AFE1062" s="13"/>
      <c r="AFF1062" s="13"/>
      <c r="AFG1062" s="13"/>
      <c r="AFH1062" s="13"/>
      <c r="AFI1062" s="13"/>
      <c r="AFJ1062" s="13"/>
      <c r="AFK1062" s="13"/>
      <c r="AFL1062" s="13"/>
      <c r="AFM1062" s="13"/>
      <c r="AFN1062" s="13"/>
      <c r="AFO1062" s="13"/>
      <c r="AFP1062" s="13"/>
      <c r="AFQ1062" s="13"/>
      <c r="AFR1062" s="13"/>
      <c r="AFS1062" s="13"/>
      <c r="AFT1062" s="13"/>
      <c r="AFU1062" s="13"/>
      <c r="AFV1062" s="13"/>
      <c r="AFW1062" s="13"/>
      <c r="AFX1062" s="13"/>
      <c r="AFY1062" s="13"/>
      <c r="AFZ1062" s="13"/>
      <c r="AGA1062" s="13"/>
      <c r="AGB1062" s="13"/>
      <c r="AGC1062" s="13"/>
      <c r="AGD1062" s="13"/>
      <c r="AGE1062" s="13"/>
      <c r="AGF1062" s="13"/>
      <c r="AGG1062" s="13"/>
      <c r="AGH1062" s="13"/>
      <c r="AGI1062" s="13"/>
      <c r="AGJ1062" s="13"/>
      <c r="AGK1062" s="13"/>
      <c r="AGL1062" s="13"/>
      <c r="AGM1062" s="13"/>
      <c r="AGN1062" s="13"/>
      <c r="AGO1062" s="13"/>
      <c r="AGP1062" s="13"/>
      <c r="AGQ1062" s="13"/>
      <c r="AGR1062" s="13"/>
      <c r="AGS1062" s="13"/>
      <c r="AGT1062" s="13"/>
      <c r="AGU1062" s="13"/>
      <c r="AGV1062" s="13"/>
      <c r="AGW1062" s="13"/>
      <c r="AGX1062" s="13"/>
      <c r="AGY1062" s="13"/>
      <c r="AGZ1062" s="13"/>
      <c r="AHA1062" s="13"/>
      <c r="AHB1062" s="13"/>
      <c r="AHC1062" s="13"/>
      <c r="AHD1062" s="13"/>
      <c r="AHE1062" s="13"/>
      <c r="AHF1062" s="13"/>
      <c r="AHG1062" s="13"/>
      <c r="AHH1062" s="13"/>
      <c r="AHI1062" s="13"/>
      <c r="AHJ1062" s="13"/>
      <c r="AHK1062" s="13"/>
      <c r="AHL1062" s="13"/>
      <c r="AHM1062" s="13"/>
      <c r="AHN1062" s="13"/>
      <c r="AHO1062" s="13"/>
      <c r="AHP1062" s="13"/>
      <c r="AHQ1062" s="13"/>
      <c r="AHR1062" s="13"/>
      <c r="AHS1062" s="13"/>
      <c r="AHT1062" s="13"/>
      <c r="AHU1062" s="13"/>
      <c r="AHV1062" s="13"/>
      <c r="AHW1062" s="13"/>
      <c r="AHX1062" s="13"/>
      <c r="AHY1062" s="13"/>
      <c r="AHZ1062" s="13"/>
      <c r="AIA1062" s="13"/>
      <c r="AIB1062" s="13"/>
      <c r="AIC1062" s="13"/>
      <c r="AID1062" s="13"/>
      <c r="AIE1062" s="13"/>
      <c r="AIF1062" s="13"/>
      <c r="AIG1062" s="13"/>
      <c r="AIH1062" s="13"/>
      <c r="AII1062" s="13"/>
      <c r="AIJ1062" s="13"/>
      <c r="AIK1062" s="13"/>
      <c r="AIL1062" s="13"/>
      <c r="AIM1062" s="13"/>
      <c r="AIN1062" s="13"/>
      <c r="AIO1062" s="13"/>
      <c r="AIP1062" s="13"/>
      <c r="AIQ1062" s="13"/>
      <c r="AIR1062" s="13"/>
      <c r="AIS1062" s="13"/>
      <c r="AIT1062" s="13"/>
      <c r="AIU1062" s="13"/>
      <c r="AIV1062" s="13"/>
      <c r="AIW1062" s="13"/>
      <c r="AIX1062" s="13"/>
      <c r="AIY1062" s="13"/>
      <c r="AIZ1062" s="13"/>
      <c r="AJA1062" s="13"/>
      <c r="AJB1062" s="13"/>
      <c r="AJC1062" s="13"/>
      <c r="AJD1062" s="13"/>
      <c r="AJE1062" s="13"/>
      <c r="AJF1062" s="13"/>
      <c r="AJG1062" s="13"/>
      <c r="AJH1062" s="13"/>
      <c r="AJI1062" s="13"/>
      <c r="AJJ1062" s="13"/>
      <c r="AJK1062" s="13"/>
      <c r="AJL1062" s="13"/>
      <c r="AJM1062" s="13"/>
      <c r="AJN1062" s="13"/>
      <c r="AJO1062" s="13"/>
      <c r="AJP1062" s="13"/>
      <c r="AJQ1062" s="13"/>
      <c r="AJR1062" s="13"/>
      <c r="AJS1062" s="13"/>
      <c r="AJT1062" s="13"/>
      <c r="AJU1062" s="13"/>
      <c r="AJV1062" s="13"/>
      <c r="AJW1062" s="13"/>
      <c r="AJX1062" s="13"/>
      <c r="AJY1062" s="13"/>
      <c r="AJZ1062" s="13"/>
      <c r="AKA1062" s="13"/>
      <c r="AKB1062" s="13"/>
      <c r="AKC1062" s="13"/>
      <c r="AKD1062" s="13"/>
      <c r="AKE1062" s="13"/>
      <c r="AKF1062" s="13"/>
      <c r="AKG1062" s="13"/>
      <c r="AKH1062" s="13"/>
      <c r="AKI1062" s="13"/>
      <c r="AKJ1062" s="13"/>
      <c r="AKK1062" s="13"/>
      <c r="AKL1062" s="13"/>
      <c r="AKM1062" s="13"/>
      <c r="AKN1062" s="13"/>
      <c r="AKO1062" s="13"/>
      <c r="AKP1062" s="13"/>
      <c r="AKQ1062" s="13"/>
      <c r="AKR1062" s="13"/>
      <c r="AKS1062" s="13"/>
      <c r="AKT1062" s="13"/>
      <c r="AKU1062" s="13"/>
      <c r="AKV1062" s="13"/>
      <c r="AKW1062" s="13"/>
      <c r="AKX1062" s="13"/>
      <c r="AKY1062" s="13"/>
      <c r="AKZ1062" s="13"/>
      <c r="ALA1062" s="13"/>
      <c r="ALB1062" s="13"/>
      <c r="ALC1062" s="13"/>
      <c r="ALD1062" s="13"/>
      <c r="ALE1062" s="13"/>
      <c r="ALF1062" s="13"/>
      <c r="ALG1062" s="13"/>
      <c r="ALH1062" s="13"/>
      <c r="ALI1062" s="13"/>
      <c r="ALJ1062" s="13"/>
      <c r="ALK1062" s="13"/>
      <c r="ALL1062" s="13"/>
      <c r="ALM1062" s="13"/>
      <c r="ALN1062" s="13"/>
      <c r="ALO1062" s="13"/>
      <c r="ALP1062" s="13"/>
      <c r="ALQ1062" s="13"/>
      <c r="ALR1062" s="13"/>
      <c r="ALS1062" s="13"/>
      <c r="ALT1062" s="13"/>
      <c r="ALU1062" s="13"/>
      <c r="ALV1062" s="13"/>
      <c r="ALW1062" s="13"/>
      <c r="ALX1062" s="13"/>
      <c r="ALY1062" s="13"/>
      <c r="ALZ1062" s="13"/>
      <c r="AMA1062" s="13"/>
      <c r="AMB1062" s="13"/>
      <c r="AMC1062" s="13"/>
      <c r="AMD1062" s="13"/>
      <c r="AME1062" s="13"/>
      <c r="AMF1062" s="13"/>
      <c r="AMG1062" s="13"/>
      <c r="AMH1062" s="13"/>
      <c r="AMI1062" s="13"/>
      <c r="AMJ1062" s="13"/>
      <c r="AMK1062" s="13"/>
      <c r="AML1062" s="13"/>
      <c r="AMM1062" s="13"/>
      <c r="AMN1062" s="13"/>
      <c r="AMO1062" s="13"/>
      <c r="AMP1062" s="13"/>
      <c r="AMQ1062" s="13"/>
      <c r="AMR1062" s="13"/>
      <c r="AMS1062" s="13"/>
      <c r="AMT1062" s="13"/>
      <c r="AMU1062" s="13"/>
      <c r="AMV1062" s="13"/>
      <c r="AMW1062" s="13"/>
      <c r="AMX1062" s="13"/>
      <c r="AMY1062" s="13"/>
      <c r="AMZ1062" s="13"/>
      <c r="ANA1062" s="13"/>
      <c r="ANB1062" s="13"/>
      <c r="ANC1062" s="13"/>
      <c r="AND1062" s="13"/>
      <c r="ANE1062" s="13"/>
      <c r="ANF1062" s="13"/>
      <c r="ANG1062" s="13"/>
      <c r="ANH1062" s="13"/>
      <c r="ANI1062" s="13"/>
      <c r="ANJ1062" s="13"/>
      <c r="ANK1062" s="13"/>
      <c r="ANL1062" s="13"/>
      <c r="ANM1062" s="13"/>
      <c r="ANN1062" s="13"/>
      <c r="ANO1062" s="13"/>
      <c r="ANP1062" s="13"/>
      <c r="ANQ1062" s="13"/>
      <c r="ANR1062" s="13"/>
      <c r="ANS1062" s="13"/>
      <c r="ANT1062" s="13"/>
      <c r="ANU1062" s="13"/>
      <c r="ANV1062" s="13"/>
      <c r="ANW1062" s="13"/>
      <c r="ANX1062" s="13"/>
      <c r="ANY1062" s="13"/>
      <c r="ANZ1062" s="13"/>
      <c r="AOA1062" s="13"/>
      <c r="AOB1062" s="13"/>
      <c r="AOC1062" s="13"/>
      <c r="AOD1062" s="13"/>
      <c r="AOE1062" s="13"/>
      <c r="AOF1062" s="13"/>
      <c r="AOG1062" s="13"/>
      <c r="AOH1062" s="13"/>
      <c r="AOI1062" s="13"/>
      <c r="AOJ1062" s="13"/>
      <c r="AOK1062" s="13"/>
      <c r="AOL1062" s="13"/>
      <c r="AOM1062" s="13"/>
      <c r="AON1062" s="13"/>
      <c r="AOO1062" s="13"/>
      <c r="AOP1062" s="13"/>
      <c r="AOQ1062" s="13"/>
      <c r="AOR1062" s="13"/>
      <c r="AOS1062" s="13"/>
      <c r="AOT1062" s="13"/>
      <c r="AOU1062" s="13"/>
      <c r="AOV1062" s="13"/>
      <c r="AOW1062" s="13"/>
      <c r="AOX1062" s="13"/>
      <c r="AOY1062" s="13"/>
      <c r="AOZ1062" s="13"/>
      <c r="APA1062" s="13"/>
      <c r="APB1062" s="13"/>
      <c r="APC1062" s="13"/>
      <c r="APD1062" s="13"/>
      <c r="APE1062" s="13"/>
      <c r="APF1062" s="13"/>
      <c r="APG1062" s="13"/>
      <c r="APH1062" s="13"/>
      <c r="API1062" s="13"/>
      <c r="APJ1062" s="13"/>
      <c r="APK1062" s="13"/>
      <c r="APL1062" s="13"/>
      <c r="APM1062" s="13"/>
      <c r="APN1062" s="13"/>
      <c r="APO1062" s="13"/>
      <c r="APP1062" s="13"/>
      <c r="APQ1062" s="13"/>
      <c r="APR1062" s="13"/>
      <c r="APS1062" s="13"/>
      <c r="APT1062" s="13"/>
      <c r="APU1062" s="13"/>
      <c r="APV1062" s="13"/>
      <c r="APW1062" s="13"/>
      <c r="APX1062" s="13"/>
      <c r="APY1062" s="13"/>
      <c r="APZ1062" s="13"/>
      <c r="AQA1062" s="13"/>
      <c r="AQB1062" s="13"/>
      <c r="AQC1062" s="13"/>
      <c r="AQD1062" s="13"/>
      <c r="AQE1062" s="13"/>
      <c r="AQF1062" s="13"/>
      <c r="AQG1062" s="13"/>
      <c r="AQH1062" s="13"/>
      <c r="AQI1062" s="13"/>
      <c r="AQJ1062" s="13"/>
      <c r="AQK1062" s="13"/>
      <c r="AQL1062" s="13"/>
      <c r="AQM1062" s="13"/>
      <c r="AQN1062" s="13"/>
      <c r="AQO1062" s="13"/>
      <c r="AQP1062" s="13"/>
      <c r="AQQ1062" s="13"/>
      <c r="AQR1062" s="13"/>
      <c r="AQS1062" s="13"/>
      <c r="AQT1062" s="13"/>
      <c r="AQU1062" s="13"/>
      <c r="AQV1062" s="13"/>
      <c r="AQW1062" s="13"/>
      <c r="AQX1062" s="13"/>
      <c r="AQY1062" s="13"/>
      <c r="AQZ1062" s="13"/>
      <c r="ARA1062" s="13"/>
      <c r="ARB1062" s="13"/>
      <c r="ARC1062" s="13"/>
      <c r="ARD1062" s="13"/>
      <c r="ARE1062" s="13"/>
      <c r="ARF1062" s="13"/>
      <c r="ARG1062" s="13"/>
      <c r="ARH1062" s="13"/>
      <c r="ARI1062" s="13"/>
      <c r="ARJ1062" s="13"/>
      <c r="ARK1062" s="13"/>
      <c r="ARL1062" s="13"/>
      <c r="ARM1062" s="13"/>
      <c r="ARN1062" s="13"/>
      <c r="ARO1062" s="13"/>
      <c r="ARP1062" s="13"/>
      <c r="ARQ1062" s="13"/>
      <c r="ARR1062" s="13"/>
      <c r="ARS1062" s="13"/>
      <c r="ART1062" s="13"/>
      <c r="ARU1062" s="13"/>
      <c r="ARV1062" s="13"/>
      <c r="ARW1062" s="13"/>
      <c r="ARX1062" s="13"/>
      <c r="ARY1062" s="13"/>
      <c r="ARZ1062" s="13"/>
      <c r="ASA1062" s="13"/>
      <c r="ASB1062" s="13"/>
      <c r="ASC1062" s="13"/>
      <c r="ASD1062" s="13"/>
      <c r="ASE1062" s="13"/>
      <c r="ASF1062" s="13"/>
      <c r="ASG1062" s="13"/>
      <c r="ASH1062" s="13"/>
      <c r="ASI1062" s="13"/>
      <c r="ASJ1062" s="13"/>
      <c r="ASK1062" s="13"/>
      <c r="ASL1062" s="13"/>
      <c r="ASM1062" s="13"/>
      <c r="ASN1062" s="13"/>
      <c r="ASO1062" s="13"/>
      <c r="ASP1062" s="13"/>
      <c r="ASQ1062" s="13"/>
      <c r="ASR1062" s="13"/>
      <c r="ASS1062" s="13"/>
      <c r="AST1062" s="13"/>
      <c r="ASU1062" s="13"/>
      <c r="ASV1062" s="13"/>
      <c r="ASW1062" s="13"/>
      <c r="ASX1062" s="13"/>
      <c r="ASY1062" s="13"/>
      <c r="ASZ1062" s="13"/>
      <c r="ATA1062" s="13"/>
      <c r="ATB1062" s="13"/>
      <c r="ATC1062" s="13"/>
      <c r="ATD1062" s="13"/>
      <c r="ATE1062" s="13"/>
      <c r="ATF1062" s="13"/>
      <c r="ATG1062" s="13"/>
      <c r="ATH1062" s="13"/>
      <c r="ATI1062" s="13"/>
      <c r="ATJ1062" s="13"/>
      <c r="ATK1062" s="13"/>
      <c r="ATL1062" s="13"/>
      <c r="ATM1062" s="13"/>
      <c r="ATN1062" s="13"/>
      <c r="ATO1062" s="13"/>
      <c r="ATP1062" s="13"/>
      <c r="ATQ1062" s="13"/>
      <c r="ATR1062" s="13"/>
      <c r="ATS1062" s="13"/>
      <c r="ATT1062" s="13"/>
      <c r="ATU1062" s="13"/>
      <c r="ATV1062" s="13"/>
      <c r="ATW1062" s="13"/>
      <c r="ATX1062" s="13"/>
      <c r="ATY1062" s="13"/>
      <c r="ATZ1062" s="13"/>
      <c r="AUA1062" s="13"/>
      <c r="AUB1062" s="13"/>
      <c r="AUC1062" s="13"/>
      <c r="AUD1062" s="13"/>
      <c r="AUE1062" s="13"/>
      <c r="AUF1062" s="13"/>
      <c r="AUG1062" s="13"/>
      <c r="AUH1062" s="13"/>
      <c r="AUI1062" s="13"/>
      <c r="AUJ1062" s="13"/>
      <c r="AUK1062" s="13"/>
      <c r="AUL1062" s="13"/>
      <c r="AUM1062" s="13"/>
      <c r="AUN1062" s="13"/>
      <c r="AUO1062" s="13"/>
      <c r="AUP1062" s="13"/>
      <c r="AUQ1062" s="13"/>
      <c r="AUR1062" s="13"/>
      <c r="AUS1062" s="13"/>
      <c r="AUT1062" s="13"/>
      <c r="AUU1062" s="13"/>
      <c r="AUV1062" s="13"/>
      <c r="AUW1062" s="13"/>
      <c r="AUX1062" s="13"/>
      <c r="AUY1062" s="13"/>
      <c r="AUZ1062" s="13"/>
      <c r="AVA1062" s="13"/>
      <c r="AVB1062" s="13"/>
      <c r="AVC1062" s="13"/>
      <c r="AVD1062" s="13"/>
      <c r="AVE1062" s="13"/>
      <c r="AVF1062" s="13"/>
      <c r="AVG1062" s="13"/>
      <c r="AVH1062" s="13"/>
      <c r="AVI1062" s="13"/>
      <c r="AVJ1062" s="13"/>
      <c r="AVK1062" s="13"/>
      <c r="AVL1062" s="13"/>
      <c r="AVM1062" s="13"/>
      <c r="AVN1062" s="13"/>
      <c r="AVO1062" s="13"/>
      <c r="AVP1062" s="13"/>
      <c r="AVQ1062" s="13"/>
      <c r="AVR1062" s="13"/>
      <c r="AVS1062" s="13"/>
      <c r="AVT1062" s="13"/>
      <c r="AVU1062" s="13"/>
      <c r="AVV1062" s="13"/>
      <c r="AVW1062" s="13"/>
      <c r="AVX1062" s="13"/>
      <c r="AVY1062" s="13"/>
      <c r="AVZ1062" s="13"/>
      <c r="AWA1062" s="13"/>
      <c r="AWB1062" s="13"/>
      <c r="AWC1062" s="13"/>
      <c r="AWD1062" s="13"/>
      <c r="AWE1062" s="13"/>
      <c r="AWF1062" s="13"/>
      <c r="AWG1062" s="13"/>
      <c r="AWH1062" s="13"/>
      <c r="AWI1062" s="13"/>
      <c r="AWJ1062" s="13"/>
      <c r="AWK1062" s="13"/>
      <c r="AWL1062" s="13"/>
      <c r="AWM1062" s="13"/>
      <c r="AWN1062" s="13"/>
      <c r="AWO1062" s="13"/>
      <c r="AWP1062" s="13"/>
      <c r="AWQ1062" s="13"/>
      <c r="AWR1062" s="13"/>
      <c r="AWS1062" s="13"/>
      <c r="AWT1062" s="13"/>
      <c r="AWU1062" s="13"/>
      <c r="AWV1062" s="13"/>
      <c r="AWW1062" s="13"/>
      <c r="AWX1062" s="13"/>
      <c r="AWY1062" s="13"/>
      <c r="AWZ1062" s="13"/>
      <c r="AXA1062" s="13"/>
      <c r="AXB1062" s="13"/>
      <c r="AXC1062" s="13"/>
      <c r="AXD1062" s="13"/>
      <c r="AXE1062" s="13"/>
      <c r="AXF1062" s="13"/>
      <c r="AXG1062" s="13"/>
      <c r="AXH1062" s="13"/>
      <c r="AXI1062" s="13"/>
      <c r="AXJ1062" s="13"/>
      <c r="AXK1062" s="13"/>
      <c r="AXL1062" s="13"/>
      <c r="AXM1062" s="13"/>
      <c r="AXN1062" s="13"/>
      <c r="AXO1062" s="13"/>
      <c r="AXP1062" s="13"/>
      <c r="AXQ1062" s="13"/>
      <c r="AXR1062" s="13"/>
      <c r="AXS1062" s="13"/>
      <c r="AXT1062" s="13"/>
      <c r="AXU1062" s="13"/>
      <c r="AXV1062" s="13"/>
      <c r="AXW1062" s="13"/>
      <c r="AXX1062" s="13"/>
      <c r="AXY1062" s="13"/>
      <c r="AXZ1062" s="13"/>
      <c r="AYA1062" s="13"/>
      <c r="AYB1062" s="13"/>
      <c r="AYC1062" s="13"/>
      <c r="AYD1062" s="13"/>
      <c r="AYE1062" s="13"/>
      <c r="AYF1062" s="13"/>
      <c r="AYG1062" s="13"/>
      <c r="AYH1062" s="13"/>
      <c r="AYI1062" s="13"/>
      <c r="AYJ1062" s="13"/>
      <c r="AYK1062" s="13"/>
      <c r="AYL1062" s="13"/>
      <c r="AYM1062" s="13"/>
      <c r="AYN1062" s="13"/>
      <c r="AYO1062" s="13"/>
      <c r="AYP1062" s="13"/>
      <c r="AYQ1062" s="13"/>
      <c r="AYR1062" s="13"/>
      <c r="AYS1062" s="13"/>
      <c r="AYT1062" s="13"/>
      <c r="AYU1062" s="13"/>
      <c r="AYV1062" s="13"/>
      <c r="AYW1062" s="13"/>
      <c r="AYX1062" s="13"/>
      <c r="AYY1062" s="13"/>
      <c r="AYZ1062" s="13"/>
      <c r="AZA1062" s="13"/>
      <c r="AZB1062" s="13"/>
      <c r="AZC1062" s="13"/>
      <c r="AZD1062" s="13"/>
      <c r="AZE1062" s="13"/>
      <c r="AZF1062" s="13"/>
      <c r="AZG1062" s="13"/>
      <c r="AZH1062" s="13"/>
      <c r="AZI1062" s="13"/>
      <c r="AZJ1062" s="13"/>
      <c r="AZK1062" s="13"/>
      <c r="AZL1062" s="13"/>
      <c r="AZM1062" s="13"/>
      <c r="AZN1062" s="13"/>
      <c r="AZO1062" s="13"/>
      <c r="AZP1062" s="13"/>
      <c r="AZQ1062" s="13"/>
      <c r="AZR1062" s="13"/>
      <c r="AZS1062" s="13"/>
      <c r="AZT1062" s="13"/>
      <c r="AZU1062" s="13"/>
      <c r="AZV1062" s="13"/>
      <c r="AZW1062" s="13"/>
      <c r="AZX1062" s="13"/>
      <c r="AZY1062" s="13"/>
      <c r="AZZ1062" s="13"/>
      <c r="BAA1062" s="13"/>
      <c r="BAB1062" s="13"/>
      <c r="BAC1062" s="13"/>
      <c r="BAD1062" s="13"/>
      <c r="BAE1062" s="13"/>
      <c r="BAF1062" s="13"/>
      <c r="BAG1062" s="13"/>
      <c r="BAH1062" s="13"/>
      <c r="BAI1062" s="13"/>
      <c r="BAJ1062" s="13"/>
      <c r="BAK1062" s="13"/>
      <c r="BAL1062" s="13"/>
      <c r="BAM1062" s="13"/>
      <c r="BAN1062" s="13"/>
      <c r="BAO1062" s="13"/>
      <c r="BAP1062" s="13"/>
      <c r="BAQ1062" s="13"/>
      <c r="BAR1062" s="13"/>
      <c r="BAS1062" s="13"/>
      <c r="BAT1062" s="13"/>
      <c r="BAU1062" s="13"/>
      <c r="BAV1062" s="13"/>
      <c r="BAW1062" s="13"/>
      <c r="BAX1062" s="13"/>
      <c r="BAY1062" s="13"/>
      <c r="BAZ1062" s="13"/>
      <c r="BBA1062" s="13"/>
      <c r="BBB1062" s="13"/>
      <c r="BBC1062" s="13"/>
      <c r="BBD1062" s="13"/>
      <c r="BBE1062" s="13"/>
      <c r="BBF1062" s="13"/>
      <c r="BBG1062" s="13"/>
      <c r="BBH1062" s="13"/>
      <c r="BBI1062" s="13"/>
      <c r="BBJ1062" s="13"/>
      <c r="BBK1062" s="13"/>
      <c r="BBL1062" s="13"/>
      <c r="BBM1062" s="13"/>
      <c r="BBN1062" s="13"/>
      <c r="BBO1062" s="13"/>
      <c r="BBP1062" s="13"/>
      <c r="BBQ1062" s="13"/>
      <c r="BBR1062" s="13"/>
      <c r="BBS1062" s="13"/>
      <c r="BBT1062" s="13"/>
      <c r="BBU1062" s="13"/>
      <c r="BBV1062" s="13"/>
      <c r="BBW1062" s="13"/>
      <c r="BBX1062" s="13"/>
      <c r="BBY1062" s="13"/>
      <c r="BBZ1062" s="13"/>
      <c r="BCA1062" s="13"/>
      <c r="BCB1062" s="13"/>
      <c r="BCC1062" s="13"/>
      <c r="BCD1062" s="13"/>
      <c r="BCE1062" s="13"/>
      <c r="BCF1062" s="13"/>
      <c r="BCG1062" s="13"/>
      <c r="BCH1062" s="13"/>
      <c r="BCI1062" s="13"/>
      <c r="BCJ1062" s="13"/>
      <c r="BCK1062" s="13"/>
      <c r="BCL1062" s="13"/>
      <c r="BCM1062" s="13"/>
      <c r="BCN1062" s="13"/>
      <c r="BCO1062" s="13"/>
      <c r="BCP1062" s="13"/>
      <c r="BCQ1062" s="13"/>
      <c r="BCR1062" s="13"/>
      <c r="BCS1062" s="13"/>
      <c r="BCT1062" s="13"/>
      <c r="BCU1062" s="13"/>
      <c r="BCV1062" s="13"/>
      <c r="BCW1062" s="13"/>
      <c r="BCX1062" s="13"/>
      <c r="BCY1062" s="13"/>
      <c r="BCZ1062" s="13"/>
      <c r="BDA1062" s="13"/>
      <c r="BDB1062" s="13"/>
      <c r="BDC1062" s="13"/>
      <c r="BDD1062" s="13"/>
      <c r="BDE1062" s="13"/>
      <c r="BDF1062" s="13"/>
      <c r="BDG1062" s="13"/>
      <c r="BDH1062" s="13"/>
      <c r="BDI1062" s="13"/>
      <c r="BDJ1062" s="13"/>
      <c r="BDK1062" s="13"/>
      <c r="BDL1062" s="13"/>
      <c r="BDM1062" s="13"/>
      <c r="BDN1062" s="13"/>
      <c r="BDO1062" s="13"/>
      <c r="BDP1062" s="13"/>
      <c r="BDQ1062" s="13"/>
      <c r="BDR1062" s="13"/>
      <c r="BDS1062" s="13"/>
      <c r="BDT1062" s="13"/>
      <c r="BDU1062" s="13"/>
      <c r="BDV1062" s="13"/>
      <c r="BDW1062" s="13"/>
      <c r="BDX1062" s="13"/>
      <c r="BDY1062" s="13"/>
      <c r="BDZ1062" s="13"/>
      <c r="BEA1062" s="13"/>
      <c r="BEB1062" s="13"/>
      <c r="BEC1062" s="13"/>
      <c r="BED1062" s="13"/>
      <c r="BEE1062" s="13"/>
      <c r="BEF1062" s="13"/>
      <c r="BEG1062" s="13"/>
      <c r="BEH1062" s="13"/>
      <c r="BEI1062" s="13"/>
      <c r="BEJ1062" s="13"/>
      <c r="BEK1062" s="13"/>
      <c r="BEL1062" s="13"/>
      <c r="BEM1062" s="13"/>
      <c r="BEN1062" s="13"/>
      <c r="BEO1062" s="13"/>
      <c r="BEP1062" s="13"/>
      <c r="BEQ1062" s="13"/>
      <c r="BER1062" s="13"/>
      <c r="BES1062" s="13"/>
      <c r="BET1062" s="13"/>
      <c r="BEU1062" s="13"/>
      <c r="BEV1062" s="13"/>
      <c r="BEW1062" s="13"/>
      <c r="BEX1062" s="13"/>
      <c r="BEY1062" s="13"/>
      <c r="BEZ1062" s="13"/>
      <c r="BFA1062" s="13"/>
      <c r="BFB1062" s="13"/>
      <c r="BFC1062" s="13"/>
      <c r="BFD1062" s="13"/>
      <c r="BFE1062" s="13"/>
      <c r="BFF1062" s="13"/>
      <c r="BFG1062" s="13"/>
      <c r="BFH1062" s="13"/>
      <c r="BFI1062" s="13"/>
      <c r="BFJ1062" s="13"/>
      <c r="BFK1062" s="13"/>
      <c r="BFL1062" s="13"/>
      <c r="BFM1062" s="13"/>
      <c r="BFN1062" s="13"/>
      <c r="BFO1062" s="13"/>
      <c r="BFP1062" s="13"/>
      <c r="BFQ1062" s="13"/>
      <c r="BFR1062" s="13"/>
      <c r="BFS1062" s="13"/>
      <c r="BFT1062" s="13"/>
      <c r="BFU1062" s="13"/>
      <c r="BFV1062" s="13"/>
      <c r="BFW1062" s="13"/>
      <c r="BFX1062" s="13"/>
      <c r="BFY1062" s="13"/>
      <c r="BFZ1062" s="13"/>
      <c r="BGA1062" s="13"/>
      <c r="BGB1062" s="13"/>
      <c r="BGC1062" s="13"/>
      <c r="BGD1062" s="13"/>
      <c r="BGE1062" s="13"/>
      <c r="BGF1062" s="13"/>
      <c r="BGG1062" s="13"/>
      <c r="BGH1062" s="13"/>
      <c r="BGI1062" s="13"/>
      <c r="BGJ1062" s="13"/>
      <c r="BGK1062" s="13"/>
      <c r="BGL1062" s="13"/>
      <c r="BGM1062" s="13"/>
      <c r="BGN1062" s="13"/>
      <c r="BGO1062" s="13"/>
      <c r="BGP1062" s="13"/>
      <c r="BGQ1062" s="13"/>
      <c r="BGR1062" s="13"/>
      <c r="BGS1062" s="13"/>
      <c r="BGT1062" s="13"/>
      <c r="BGU1062" s="13"/>
      <c r="BGV1062" s="13"/>
      <c r="BGW1062" s="13"/>
      <c r="BGX1062" s="13"/>
      <c r="BGY1062" s="13"/>
      <c r="BGZ1062" s="13"/>
      <c r="BHA1062" s="13"/>
      <c r="BHB1062" s="13"/>
      <c r="BHC1062" s="13"/>
      <c r="BHD1062" s="13"/>
      <c r="BHE1062" s="13"/>
      <c r="BHF1062" s="13"/>
      <c r="BHG1062" s="13"/>
      <c r="BHH1062" s="13"/>
      <c r="BHI1062" s="13"/>
      <c r="BHJ1062" s="13"/>
      <c r="BHK1062" s="13"/>
      <c r="BHL1062" s="13"/>
      <c r="BHM1062" s="13"/>
      <c r="BHN1062" s="13"/>
      <c r="BHO1062" s="13"/>
      <c r="BHP1062" s="13"/>
      <c r="BHQ1062" s="13"/>
      <c r="BHR1062" s="13"/>
      <c r="BHS1062" s="13"/>
      <c r="BHT1062" s="13"/>
      <c r="BHU1062" s="13"/>
      <c r="BHV1062" s="13"/>
      <c r="BHW1062" s="13"/>
      <c r="BHX1062" s="13"/>
      <c r="BHY1062" s="13"/>
      <c r="BHZ1062" s="13"/>
      <c r="BIA1062" s="13"/>
      <c r="BIB1062" s="13"/>
      <c r="BIC1062" s="13"/>
      <c r="BID1062" s="13"/>
      <c r="BIE1062" s="13"/>
      <c r="BIF1062" s="13"/>
      <c r="BIG1062" s="13"/>
      <c r="BIH1062" s="13"/>
      <c r="BII1062" s="13"/>
      <c r="BIJ1062" s="13"/>
      <c r="BIK1062" s="13"/>
      <c r="BIL1062" s="13"/>
      <c r="BIM1062" s="13"/>
      <c r="BIN1062" s="13"/>
      <c r="BIO1062" s="13"/>
      <c r="BIP1062" s="13"/>
      <c r="BIQ1062" s="13"/>
      <c r="BIR1062" s="13"/>
      <c r="BIS1062" s="13"/>
      <c r="BIT1062" s="13"/>
      <c r="BIU1062" s="13"/>
      <c r="BIV1062" s="13"/>
      <c r="BIW1062" s="13"/>
      <c r="BIX1062" s="13"/>
      <c r="BIY1062" s="13"/>
      <c r="BIZ1062" s="13"/>
      <c r="BJA1062" s="13"/>
      <c r="BJB1062" s="13"/>
      <c r="BJC1062" s="13"/>
      <c r="BJD1062" s="13"/>
      <c r="BJE1062" s="13"/>
      <c r="BJF1062" s="13"/>
      <c r="BJG1062" s="13"/>
      <c r="BJH1062" s="13"/>
      <c r="BJI1062" s="13"/>
      <c r="BJJ1062" s="13"/>
      <c r="BJK1062" s="13"/>
      <c r="BJL1062" s="13"/>
      <c r="BJM1062" s="13"/>
      <c r="BJN1062" s="13"/>
      <c r="BJO1062" s="13"/>
      <c r="BJP1062" s="13"/>
      <c r="BJQ1062" s="13"/>
      <c r="BJR1062" s="13"/>
      <c r="BJS1062" s="13"/>
      <c r="BJT1062" s="13"/>
      <c r="BJU1062" s="13"/>
      <c r="BJV1062" s="13"/>
      <c r="BJW1062" s="13"/>
      <c r="BJX1062" s="13"/>
      <c r="BJY1062" s="13"/>
      <c r="BJZ1062" s="13"/>
      <c r="BKA1062" s="13"/>
      <c r="BKB1062" s="13"/>
      <c r="BKC1062" s="13"/>
      <c r="BKD1062" s="13"/>
      <c r="BKE1062" s="13"/>
      <c r="BKF1062" s="13"/>
      <c r="BKG1062" s="13"/>
      <c r="BKH1062" s="13"/>
      <c r="BKI1062" s="13"/>
      <c r="BKJ1062" s="13"/>
      <c r="BKK1062" s="13"/>
      <c r="BKL1062" s="13"/>
      <c r="BKM1062" s="13"/>
      <c r="BKN1062" s="13"/>
      <c r="BKO1062" s="13"/>
      <c r="BKP1062" s="13"/>
      <c r="BKQ1062" s="13"/>
      <c r="BKR1062" s="13"/>
      <c r="BKS1062" s="13"/>
      <c r="BKT1062" s="13"/>
      <c r="BKU1062" s="13"/>
      <c r="BKV1062" s="13"/>
      <c r="BKW1062" s="13"/>
      <c r="BKX1062" s="13"/>
      <c r="BKY1062" s="13"/>
      <c r="BKZ1062" s="13"/>
      <c r="BLA1062" s="13"/>
      <c r="BLB1062" s="13"/>
      <c r="BLC1062" s="13"/>
      <c r="BLD1062" s="13"/>
      <c r="BLE1062" s="13"/>
      <c r="BLF1062" s="13"/>
      <c r="BLG1062" s="13"/>
      <c r="BLH1062" s="13"/>
      <c r="BLI1062" s="13"/>
      <c r="BLJ1062" s="13"/>
      <c r="BLK1062" s="13"/>
      <c r="BLL1062" s="13"/>
      <c r="BLM1062" s="13"/>
      <c r="BLN1062" s="13"/>
      <c r="BLO1062" s="13"/>
      <c r="BLP1062" s="13"/>
      <c r="BLQ1062" s="13"/>
      <c r="BLR1062" s="13"/>
      <c r="BLS1062" s="13"/>
      <c r="BLT1062" s="13"/>
      <c r="BLU1062" s="13"/>
      <c r="BLV1062" s="13"/>
      <c r="BLW1062" s="13"/>
      <c r="BLX1062" s="13"/>
      <c r="BLY1062" s="13"/>
      <c r="BLZ1062" s="13"/>
      <c r="BMA1062" s="13"/>
      <c r="BMB1062" s="13"/>
      <c r="BMC1062" s="13"/>
      <c r="BMD1062" s="13"/>
      <c r="BME1062" s="13"/>
      <c r="BMF1062" s="13"/>
      <c r="BMG1062" s="13"/>
      <c r="BMH1062" s="13"/>
      <c r="BMI1062" s="13"/>
      <c r="BMJ1062" s="13"/>
      <c r="BMK1062" s="13"/>
      <c r="BML1062" s="13"/>
      <c r="BMM1062" s="13"/>
      <c r="BMN1062" s="13"/>
      <c r="BMO1062" s="13"/>
      <c r="BMP1062" s="13"/>
      <c r="BMQ1062" s="13"/>
      <c r="BMR1062" s="13"/>
      <c r="BMS1062" s="13"/>
      <c r="BMT1062" s="13"/>
      <c r="BMU1062" s="13"/>
      <c r="BMV1062" s="13"/>
      <c r="BMW1062" s="13"/>
      <c r="BMX1062" s="13"/>
      <c r="BMY1062" s="13"/>
      <c r="BMZ1062" s="13"/>
      <c r="BNA1062" s="13"/>
      <c r="BNB1062" s="13"/>
      <c r="BNC1062" s="13"/>
      <c r="BND1062" s="13"/>
      <c r="BNE1062" s="13"/>
      <c r="BNF1062" s="13"/>
      <c r="BNG1062" s="13"/>
      <c r="BNH1062" s="13"/>
      <c r="BNI1062" s="13"/>
      <c r="BNJ1062" s="13"/>
      <c r="BNK1062" s="13"/>
      <c r="BNL1062" s="13"/>
      <c r="BNM1062" s="13"/>
      <c r="BNN1062" s="13"/>
      <c r="BNO1062" s="13"/>
      <c r="BNP1062" s="13"/>
      <c r="BNQ1062" s="13"/>
      <c r="BNR1062" s="13"/>
      <c r="BNS1062" s="13"/>
      <c r="BNT1062" s="13"/>
      <c r="BNU1062" s="13"/>
      <c r="BNV1062" s="13"/>
      <c r="BNW1062" s="13"/>
      <c r="BNX1062" s="13"/>
      <c r="BNY1062" s="13"/>
      <c r="BNZ1062" s="13"/>
      <c r="BOA1062" s="13"/>
      <c r="BOB1062" s="13"/>
      <c r="BOC1062" s="13"/>
      <c r="BOD1062" s="13"/>
      <c r="BOE1062" s="13"/>
      <c r="BOF1062" s="13"/>
      <c r="BOG1062" s="13"/>
      <c r="BOH1062" s="13"/>
      <c r="BOI1062" s="13"/>
      <c r="BOJ1062" s="13"/>
      <c r="BOK1062" s="13"/>
      <c r="BOL1062" s="13"/>
      <c r="BOM1062" s="13"/>
      <c r="BON1062" s="13"/>
      <c r="BOO1062" s="13"/>
      <c r="BOP1062" s="13"/>
      <c r="BOQ1062" s="13"/>
      <c r="BOR1062" s="13"/>
      <c r="BOS1062" s="13"/>
      <c r="BOT1062" s="13"/>
      <c r="BOU1062" s="13"/>
      <c r="BOV1062" s="13"/>
      <c r="BOW1062" s="13"/>
      <c r="BOX1062" s="13"/>
      <c r="BOY1062" s="13"/>
      <c r="BOZ1062" s="13"/>
      <c r="BPA1062" s="13"/>
      <c r="BPB1062" s="13"/>
      <c r="BPC1062" s="13"/>
      <c r="BPD1062" s="13"/>
      <c r="BPE1062" s="13"/>
      <c r="BPF1062" s="13"/>
      <c r="BPG1062" s="13"/>
      <c r="BPH1062" s="13"/>
      <c r="BPI1062" s="13"/>
      <c r="BPJ1062" s="13"/>
      <c r="BPK1062" s="13"/>
      <c r="BPL1062" s="13"/>
      <c r="BPM1062" s="13"/>
      <c r="BPN1062" s="13"/>
      <c r="BPO1062" s="13"/>
      <c r="BPP1062" s="13"/>
      <c r="BPQ1062" s="13"/>
      <c r="BPR1062" s="13"/>
      <c r="BPS1062" s="13"/>
      <c r="BPT1062" s="13"/>
      <c r="BPU1062" s="13"/>
      <c r="BPV1062" s="13"/>
      <c r="BPW1062" s="13"/>
      <c r="BPX1062" s="13"/>
      <c r="BPY1062" s="13"/>
      <c r="BPZ1062" s="13"/>
      <c r="BQA1062" s="13"/>
      <c r="BQB1062" s="13"/>
      <c r="BQC1062" s="13"/>
      <c r="BQD1062" s="13"/>
      <c r="BQE1062" s="13"/>
      <c r="BQF1062" s="13"/>
      <c r="BQG1062" s="13"/>
      <c r="BQH1062" s="13"/>
      <c r="BQI1062" s="13"/>
      <c r="BQJ1062" s="13"/>
      <c r="BQK1062" s="13"/>
      <c r="BQL1062" s="13"/>
      <c r="BQM1062" s="13"/>
      <c r="BQN1062" s="13"/>
      <c r="BQO1062" s="13"/>
      <c r="BQP1062" s="13"/>
      <c r="BQQ1062" s="13"/>
      <c r="BQR1062" s="13"/>
      <c r="BQS1062" s="13"/>
      <c r="BQT1062" s="13"/>
      <c r="BQU1062" s="13"/>
      <c r="BQV1062" s="13"/>
      <c r="BQW1062" s="13"/>
      <c r="BQX1062" s="13"/>
      <c r="BQY1062" s="13"/>
      <c r="BQZ1062" s="13"/>
      <c r="BRA1062" s="13"/>
      <c r="BRB1062" s="13"/>
      <c r="BRC1062" s="13"/>
      <c r="BRD1062" s="13"/>
      <c r="BRE1062" s="13"/>
      <c r="BRF1062" s="13"/>
      <c r="BRG1062" s="13"/>
      <c r="BRH1062" s="13"/>
      <c r="BRI1062" s="13"/>
      <c r="BRJ1062" s="13"/>
      <c r="BRK1062" s="13"/>
      <c r="BRL1062" s="13"/>
      <c r="BRM1062" s="13"/>
      <c r="BRN1062" s="13"/>
      <c r="BRO1062" s="13"/>
      <c r="BRP1062" s="13"/>
      <c r="BRQ1062" s="13"/>
      <c r="BRR1062" s="13"/>
      <c r="BRS1062" s="13"/>
      <c r="BRT1062" s="13"/>
      <c r="BRU1062" s="13"/>
      <c r="BRV1062" s="13"/>
      <c r="BRW1062" s="13"/>
      <c r="BRX1062" s="13"/>
      <c r="BRY1062" s="13"/>
      <c r="BRZ1062" s="13"/>
      <c r="BSA1062" s="13"/>
      <c r="BSB1062" s="13"/>
      <c r="BSC1062" s="13"/>
      <c r="BSD1062" s="13"/>
      <c r="BSE1062" s="13"/>
      <c r="BSF1062" s="13"/>
      <c r="BSG1062" s="13"/>
      <c r="BSH1062" s="13"/>
      <c r="BSI1062" s="13"/>
      <c r="BSJ1062" s="13"/>
      <c r="BSK1062" s="13"/>
      <c r="BSL1062" s="13"/>
      <c r="BSM1062" s="13"/>
      <c r="BSN1062" s="13"/>
      <c r="BSO1062" s="13"/>
      <c r="BSP1062" s="13"/>
      <c r="BSQ1062" s="13"/>
      <c r="BSR1062" s="13"/>
      <c r="BSS1062" s="13"/>
      <c r="BST1062" s="13"/>
      <c r="BSU1062" s="13"/>
      <c r="BSV1062" s="13"/>
      <c r="BSW1062" s="13"/>
      <c r="BSX1062" s="13"/>
      <c r="BSY1062" s="13"/>
      <c r="BSZ1062" s="13"/>
      <c r="BTA1062" s="13"/>
    </row>
    <row r="1063" spans="1:1873" s="23" customFormat="1" x14ac:dyDescent="0.2">
      <c r="A1063" s="273" t="s">
        <v>1011</v>
      </c>
      <c r="B1063" s="273"/>
      <c r="C1063" s="273"/>
      <c r="D1063" s="273"/>
      <c r="E1063" s="462"/>
      <c r="F1063" s="462"/>
      <c r="G1063" s="273"/>
      <c r="H1063" s="273"/>
      <c r="I1063" s="273"/>
      <c r="J1063" s="273"/>
      <c r="K1063" s="273"/>
      <c r="L1063" s="273"/>
      <c r="M1063" s="471"/>
      <c r="N1063" s="273"/>
      <c r="O1063" s="29"/>
      <c r="P1063" s="414"/>
      <c r="Q1063" s="273"/>
      <c r="R1063" s="471"/>
      <c r="S1063" s="273"/>
      <c r="T1063" s="471"/>
      <c r="U1063" s="273"/>
      <c r="V1063" s="273"/>
      <c r="W1063" s="471"/>
      <c r="X1063" s="273"/>
      <c r="Y1063" s="273"/>
      <c r="Z1063" s="461"/>
      <c r="AA1063" s="580"/>
      <c r="AB1063" s="471"/>
      <c r="AC1063" s="273"/>
      <c r="AD1063" s="273"/>
      <c r="AE1063" s="273"/>
      <c r="AF1063" s="273"/>
      <c r="AG1063" s="273"/>
      <c r="AH1063" s="273"/>
      <c r="AI1063" s="273"/>
      <c r="AJ1063" s="273"/>
      <c r="AK1063" s="273"/>
      <c r="AL1063" s="273"/>
      <c r="AM1063" s="273"/>
      <c r="AN1063" s="273"/>
      <c r="AO1063" s="273"/>
      <c r="AP1063" s="273"/>
      <c r="AQ1063" s="273"/>
      <c r="AR1063" s="273"/>
      <c r="AS1063" s="273"/>
      <c r="AT1063" s="273"/>
      <c r="AU1063" s="273"/>
      <c r="AV1063" s="273"/>
      <c r="AW1063" s="273"/>
      <c r="AX1063" s="273"/>
      <c r="AY1063" s="273"/>
      <c r="AZ1063" s="273"/>
      <c r="BA1063" s="273"/>
      <c r="BB1063" s="273"/>
      <c r="BC1063" s="273"/>
      <c r="BD1063" s="273"/>
      <c r="BE1063" s="273"/>
      <c r="BF1063" s="273"/>
      <c r="BG1063" s="273"/>
      <c r="BH1063" s="273"/>
      <c r="BI1063" s="273"/>
      <c r="BJ1063" s="273"/>
      <c r="BK1063" s="273"/>
      <c r="BL1063" s="273"/>
      <c r="BM1063" s="273"/>
      <c r="BN1063" s="273"/>
      <c r="BO1063" s="273"/>
      <c r="BP1063" s="273"/>
      <c r="BQ1063" s="273"/>
      <c r="BR1063" s="273"/>
      <c r="BS1063" s="468"/>
      <c r="BT1063" s="273"/>
      <c r="BU1063" s="273"/>
      <c r="BV1063" s="273"/>
      <c r="BW1063" s="273"/>
      <c r="BX1063" s="273"/>
      <c r="BY1063" s="273"/>
      <c r="BZ1063" s="273"/>
      <c r="CA1063" s="472"/>
      <c r="CB1063" s="473"/>
      <c r="CC1063" s="462"/>
      <c r="CD1063" s="273"/>
      <c r="CE1063" s="292"/>
      <c r="CF1063" s="292"/>
      <c r="CG1063" s="461" t="s">
        <v>1590</v>
      </c>
      <c r="CH1063" s="301" t="s">
        <v>1591</v>
      </c>
    </row>
    <row r="1064" spans="1:1873" s="23" customFormat="1" ht="11.45" customHeight="1" x14ac:dyDescent="0.3">
      <c r="A1064" s="273" t="s">
        <v>727</v>
      </c>
      <c r="B1064" s="273" t="s">
        <v>1169</v>
      </c>
      <c r="C1064" s="273" t="s">
        <v>728</v>
      </c>
      <c r="D1064" s="273" t="s">
        <v>619</v>
      </c>
      <c r="E1064" s="462" t="s">
        <v>1504</v>
      </c>
      <c r="F1064" s="462">
        <v>1</v>
      </c>
      <c r="G1064" s="273">
        <v>4</v>
      </c>
      <c r="H1064" s="273">
        <v>4</v>
      </c>
      <c r="I1064" s="273" t="s">
        <v>320</v>
      </c>
      <c r="J1064" s="273">
        <v>1979</v>
      </c>
      <c r="K1064" s="273" t="s">
        <v>956</v>
      </c>
      <c r="L1064" s="273">
        <v>1983</v>
      </c>
      <c r="M1064" s="471">
        <v>-9999</v>
      </c>
      <c r="N1064" s="273">
        <v>-9999</v>
      </c>
      <c r="O1064" s="29"/>
      <c r="P1064" s="414">
        <f>+T1064*G1064</f>
        <v>64.400000000000006</v>
      </c>
      <c r="Q1064" s="273">
        <v>-9999</v>
      </c>
      <c r="R1064" s="471"/>
      <c r="S1064" s="273"/>
      <c r="T1064" s="471">
        <v>16.100000000000001</v>
      </c>
      <c r="U1064" s="273">
        <v>-9999</v>
      </c>
      <c r="V1064" s="273"/>
      <c r="W1064" s="471">
        <v>-9999</v>
      </c>
      <c r="X1064" s="273">
        <v>-9999</v>
      </c>
      <c r="Y1064" s="273"/>
      <c r="Z1064" s="461" t="s">
        <v>67</v>
      </c>
      <c r="AA1064" s="580">
        <v>6944</v>
      </c>
      <c r="AB1064" s="471">
        <v>0.99099999999999999</v>
      </c>
      <c r="AC1064" s="273">
        <v>-9999</v>
      </c>
      <c r="AD1064" s="273">
        <v>-9999</v>
      </c>
      <c r="AE1064" s="273" t="s">
        <v>1095</v>
      </c>
      <c r="AF1064" s="273">
        <v>5</v>
      </c>
      <c r="AG1064" s="273" t="s">
        <v>1087</v>
      </c>
      <c r="AH1064" s="273" t="s">
        <v>567</v>
      </c>
      <c r="AI1064" s="273" t="s">
        <v>1103</v>
      </c>
      <c r="AJ1064" s="273" t="s">
        <v>1100</v>
      </c>
      <c r="AK1064" s="273" t="s">
        <v>626</v>
      </c>
      <c r="AL1064" s="273" t="s">
        <v>1099</v>
      </c>
      <c r="AM1064" s="273"/>
      <c r="AN1064" s="273" t="s">
        <v>626</v>
      </c>
      <c r="AO1064" s="273" t="s">
        <v>1092</v>
      </c>
      <c r="AP1064" s="273" t="s">
        <v>577</v>
      </c>
      <c r="AQ1064" s="273" t="s">
        <v>626</v>
      </c>
      <c r="AR1064" s="273">
        <v>225</v>
      </c>
      <c r="AS1064" s="273" t="s">
        <v>1201</v>
      </c>
      <c r="AT1064" s="273" t="s">
        <v>738</v>
      </c>
      <c r="AU1064" s="273">
        <v>0</v>
      </c>
      <c r="AV1064" s="273">
        <v>-9999</v>
      </c>
      <c r="AW1064" s="273">
        <v>-9999</v>
      </c>
      <c r="AX1064" s="273">
        <v>0</v>
      </c>
      <c r="AY1064" s="273">
        <v>-9999</v>
      </c>
      <c r="AZ1064" s="273">
        <v>-9999</v>
      </c>
      <c r="BA1064" s="273" t="s">
        <v>1102</v>
      </c>
      <c r="BB1064" s="273" t="s">
        <v>631</v>
      </c>
      <c r="BC1064" s="273">
        <v>-9999</v>
      </c>
      <c r="BD1064" s="273">
        <v>-9999</v>
      </c>
      <c r="BE1064" s="273">
        <v>-9999</v>
      </c>
      <c r="BF1064" s="273">
        <v>-9999</v>
      </c>
      <c r="BG1064" s="273">
        <v>-9999</v>
      </c>
      <c r="BH1064" s="273">
        <v>-9999</v>
      </c>
      <c r="BI1064" s="273">
        <v>-9999</v>
      </c>
      <c r="BJ1064" s="273">
        <v>26.9</v>
      </c>
      <c r="BK1064" s="273">
        <v>-9999</v>
      </c>
      <c r="BL1064" s="273">
        <v>11.2</v>
      </c>
      <c r="BM1064" s="273">
        <v>-9999</v>
      </c>
      <c r="BN1064" s="273">
        <v>-9999</v>
      </c>
      <c r="BO1064" s="273">
        <v>-9999</v>
      </c>
      <c r="BP1064" s="273">
        <v>-9999</v>
      </c>
      <c r="BQ1064" s="273">
        <v>-9999</v>
      </c>
      <c r="BR1064" s="273">
        <v>-9999</v>
      </c>
      <c r="BS1064" s="584">
        <f>+BT1064*14.286</f>
        <v>1828.6079999999999</v>
      </c>
      <c r="BT1064" s="468">
        <v>128</v>
      </c>
      <c r="BU1064" s="273">
        <v>-9999</v>
      </c>
      <c r="BV1064" s="273">
        <v>-9999</v>
      </c>
      <c r="BW1064" s="273"/>
      <c r="BX1064" s="273">
        <v>-9999</v>
      </c>
      <c r="BY1064" s="273">
        <v>-9999</v>
      </c>
      <c r="BZ1064" s="273">
        <v>-9999</v>
      </c>
      <c r="CA1064" s="472" t="s">
        <v>1096</v>
      </c>
      <c r="CB1064" s="473"/>
      <c r="CC1064" s="90">
        <v>1</v>
      </c>
      <c r="CD1064" s="89">
        <v>4</v>
      </c>
      <c r="CE1064" s="292">
        <v>16.100000000000001</v>
      </c>
      <c r="CF1064" s="292">
        <v>-9999</v>
      </c>
      <c r="CG1064" s="89">
        <v>4</v>
      </c>
      <c r="CH1064" s="23">
        <v>16.100000000000001</v>
      </c>
    </row>
    <row r="1065" spans="1:1873" s="23" customFormat="1" ht="11.45" customHeight="1" x14ac:dyDescent="0.2">
      <c r="A1065" s="273"/>
      <c r="B1065" s="273"/>
      <c r="C1065" s="273"/>
      <c r="D1065" s="273"/>
      <c r="E1065" s="462"/>
      <c r="F1065" s="462"/>
      <c r="G1065" s="273"/>
      <c r="H1065" s="273"/>
      <c r="I1065" s="273"/>
      <c r="J1065" s="273"/>
      <c r="K1065" s="273"/>
      <c r="L1065" s="273"/>
      <c r="M1065" s="471"/>
      <c r="N1065" s="273"/>
      <c r="O1065" s="29"/>
      <c r="P1065" s="414"/>
      <c r="Q1065" s="273">
        <v>-9999</v>
      </c>
      <c r="R1065" s="471"/>
      <c r="S1065" s="273"/>
      <c r="T1065" s="471"/>
      <c r="U1065" s="273"/>
      <c r="V1065" s="273"/>
      <c r="W1065" s="471"/>
      <c r="X1065" s="273"/>
      <c r="Y1065" s="273"/>
      <c r="Z1065" s="461"/>
      <c r="AA1065" s="580"/>
      <c r="AB1065" s="471"/>
      <c r="AC1065" s="273"/>
      <c r="AD1065" s="273"/>
      <c r="AE1065" s="273"/>
      <c r="AF1065" s="273"/>
      <c r="AG1065" s="273"/>
      <c r="AH1065" s="273"/>
      <c r="AI1065" s="273"/>
      <c r="AJ1065" s="273"/>
      <c r="AK1065" s="273"/>
      <c r="AL1065" s="273"/>
      <c r="AM1065" s="273"/>
      <c r="AN1065" s="273"/>
      <c r="AO1065" s="273"/>
      <c r="AP1065" s="273"/>
      <c r="AQ1065" s="273"/>
      <c r="AR1065" s="273"/>
      <c r="AS1065" s="273"/>
      <c r="AT1065" s="273"/>
      <c r="AU1065" s="273"/>
      <c r="AV1065" s="273"/>
      <c r="AW1065" s="273"/>
      <c r="AX1065" s="273"/>
      <c r="AY1065" s="273"/>
      <c r="AZ1065" s="273"/>
      <c r="BA1065" s="273"/>
      <c r="BB1065" s="273"/>
      <c r="BC1065" s="273"/>
      <c r="BD1065" s="273"/>
      <c r="BE1065" s="273"/>
      <c r="BF1065" s="273"/>
      <c r="BG1065" s="273"/>
      <c r="BH1065" s="273"/>
      <c r="BI1065" s="273"/>
      <c r="BJ1065" s="273"/>
      <c r="BK1065" s="273"/>
      <c r="BL1065" s="273"/>
      <c r="BM1065" s="273"/>
      <c r="BN1065" s="273"/>
      <c r="BO1065" s="273"/>
      <c r="BP1065" s="273"/>
      <c r="BQ1065" s="273"/>
      <c r="BR1065" s="273"/>
      <c r="BS1065" s="584"/>
      <c r="BT1065" s="468"/>
      <c r="BU1065" s="273"/>
      <c r="BV1065" s="273"/>
      <c r="BW1065" s="273"/>
      <c r="BX1065" s="273"/>
      <c r="BY1065" s="273"/>
      <c r="BZ1065" s="273"/>
      <c r="CA1065" s="472"/>
      <c r="CB1065" s="473"/>
      <c r="CC1065" s="90"/>
      <c r="CD1065" s="89"/>
      <c r="CE1065" s="292"/>
      <c r="CF1065" s="292"/>
      <c r="CG1065" s="89"/>
    </row>
    <row r="1066" spans="1:1873" s="23" customFormat="1" ht="11.45" customHeight="1" x14ac:dyDescent="0.3">
      <c r="A1066" s="273" t="s">
        <v>727</v>
      </c>
      <c r="B1066" s="273" t="s">
        <v>1169</v>
      </c>
      <c r="C1066" s="273" t="s">
        <v>728</v>
      </c>
      <c r="D1066" s="273" t="s">
        <v>619</v>
      </c>
      <c r="E1066" s="462" t="s">
        <v>1504</v>
      </c>
      <c r="F1066" s="462">
        <v>2</v>
      </c>
      <c r="G1066" s="273">
        <v>4</v>
      </c>
      <c r="H1066" s="273">
        <v>8</v>
      </c>
      <c r="I1066" s="273" t="s">
        <v>320</v>
      </c>
      <c r="J1066" s="273">
        <v>1979</v>
      </c>
      <c r="K1066" s="273" t="s">
        <v>842</v>
      </c>
      <c r="L1066" s="273">
        <v>1987</v>
      </c>
      <c r="M1066" s="471">
        <v>-9999</v>
      </c>
      <c r="N1066" s="273">
        <v>-9999</v>
      </c>
      <c r="O1066" s="29"/>
      <c r="P1066" s="414">
        <f>+T1066*G1066</f>
        <v>62</v>
      </c>
      <c r="Q1066" s="273">
        <v>-9999</v>
      </c>
      <c r="R1066" s="471"/>
      <c r="S1066" s="273"/>
      <c r="T1066" s="471">
        <v>15.5</v>
      </c>
      <c r="U1066" s="273">
        <v>-9999</v>
      </c>
      <c r="V1066" s="273"/>
      <c r="W1066" s="471">
        <v>-9999</v>
      </c>
      <c r="X1066" s="273">
        <v>-9999</v>
      </c>
      <c r="Y1066" s="273"/>
      <c r="Z1066" s="461" t="s">
        <v>67</v>
      </c>
      <c r="AA1066" s="580">
        <v>6944</v>
      </c>
      <c r="AB1066" s="471">
        <v>-9999</v>
      </c>
      <c r="AC1066" s="273">
        <v>-9999</v>
      </c>
      <c r="AD1066" s="273">
        <v>-9999</v>
      </c>
      <c r="AE1066" s="273" t="s">
        <v>1095</v>
      </c>
      <c r="AF1066" s="273">
        <v>3</v>
      </c>
      <c r="AG1066" s="273" t="s">
        <v>1087</v>
      </c>
      <c r="AH1066" s="273" t="s">
        <v>567</v>
      </c>
      <c r="AI1066" s="273" t="s">
        <v>1103</v>
      </c>
      <c r="AJ1066" s="273" t="s">
        <v>1100</v>
      </c>
      <c r="AK1066" s="273" t="s">
        <v>626</v>
      </c>
      <c r="AL1066" s="273" t="s">
        <v>1099</v>
      </c>
      <c r="AM1066" s="273"/>
      <c r="AN1066" s="273" t="s">
        <v>626</v>
      </c>
      <c r="AO1066" s="273" t="s">
        <v>1092</v>
      </c>
      <c r="AP1066" s="273" t="s">
        <v>577</v>
      </c>
      <c r="AQ1066" s="273" t="s">
        <v>626</v>
      </c>
      <c r="AR1066" s="273">
        <v>133</v>
      </c>
      <c r="AS1066" s="273" t="s">
        <v>1201</v>
      </c>
      <c r="AT1066" s="273" t="s">
        <v>687</v>
      </c>
      <c r="AU1066" s="273">
        <v>0</v>
      </c>
      <c r="AV1066" s="273">
        <v>-9999</v>
      </c>
      <c r="AW1066" s="273">
        <v>-9999</v>
      </c>
      <c r="AX1066" s="273">
        <v>0</v>
      </c>
      <c r="AY1066" s="273">
        <v>-9999</v>
      </c>
      <c r="AZ1066" s="273">
        <v>-9999</v>
      </c>
      <c r="BA1066" s="273" t="s">
        <v>1102</v>
      </c>
      <c r="BB1066" s="273" t="s">
        <v>631</v>
      </c>
      <c r="BC1066" s="273">
        <v>-9999</v>
      </c>
      <c r="BD1066" s="273">
        <v>-9999</v>
      </c>
      <c r="BE1066" s="273">
        <v>-9999</v>
      </c>
      <c r="BF1066" s="273">
        <v>-9999</v>
      </c>
      <c r="BG1066" s="273">
        <v>-9999</v>
      </c>
      <c r="BH1066" s="273">
        <v>-9999</v>
      </c>
      <c r="BI1066" s="273" t="s">
        <v>629</v>
      </c>
      <c r="BJ1066" s="273">
        <v>-9999</v>
      </c>
      <c r="BK1066" s="273">
        <v>-9999</v>
      </c>
      <c r="BL1066" s="273">
        <v>-9999</v>
      </c>
      <c r="BM1066" s="273">
        <v>-9999</v>
      </c>
      <c r="BN1066" s="273">
        <v>-9999</v>
      </c>
      <c r="BO1066" s="273">
        <v>-9999</v>
      </c>
      <c r="BP1066" s="273">
        <v>-9999</v>
      </c>
      <c r="BQ1066" s="273">
        <v>-9999</v>
      </c>
      <c r="BR1066" s="273">
        <v>-9999</v>
      </c>
      <c r="BS1066" s="468">
        <v>-9999</v>
      </c>
      <c r="BT1066" s="273">
        <v>-9999</v>
      </c>
      <c r="BU1066" s="273">
        <v>-9999</v>
      </c>
      <c r="BV1066" s="273">
        <v>-9999</v>
      </c>
      <c r="BW1066" s="273"/>
      <c r="BX1066" s="273">
        <v>-9999</v>
      </c>
      <c r="BY1066" s="273">
        <v>-9999</v>
      </c>
      <c r="BZ1066" s="273">
        <v>-9999</v>
      </c>
      <c r="CA1066" s="472" t="s">
        <v>1096</v>
      </c>
      <c r="CB1066" s="473"/>
      <c r="CC1066" s="90">
        <v>2</v>
      </c>
      <c r="CD1066" s="89">
        <v>4</v>
      </c>
      <c r="CE1066" s="292">
        <v>15.5</v>
      </c>
      <c r="CF1066" s="292">
        <v>-9999</v>
      </c>
      <c r="CG1066" s="89">
        <v>8</v>
      </c>
      <c r="CH1066" s="23">
        <v>15.5</v>
      </c>
    </row>
    <row r="1067" spans="1:1873" s="23" customFormat="1" ht="11.45" customHeight="1" x14ac:dyDescent="0.2">
      <c r="A1067" s="273"/>
      <c r="B1067" s="273"/>
      <c r="C1067" s="273"/>
      <c r="D1067" s="273"/>
      <c r="E1067" s="462"/>
      <c r="F1067" s="462"/>
      <c r="G1067" s="273"/>
      <c r="H1067" s="273"/>
      <c r="I1067" s="273"/>
      <c r="J1067" s="273"/>
      <c r="K1067" s="273"/>
      <c r="L1067" s="273"/>
      <c r="M1067" s="471"/>
      <c r="N1067" s="273"/>
      <c r="O1067" s="29"/>
      <c r="P1067" s="414"/>
      <c r="Q1067" s="273"/>
      <c r="R1067" s="471"/>
      <c r="S1067" s="273"/>
      <c r="T1067" s="471"/>
      <c r="U1067" s="273"/>
      <c r="V1067" s="273"/>
      <c r="W1067" s="471"/>
      <c r="X1067" s="273"/>
      <c r="Y1067" s="273"/>
      <c r="Z1067" s="461"/>
      <c r="AA1067" s="580"/>
      <c r="AB1067" s="471"/>
      <c r="AC1067" s="273"/>
      <c r="AD1067" s="273"/>
      <c r="AE1067" s="273"/>
      <c r="AF1067" s="273"/>
      <c r="AG1067" s="273"/>
      <c r="AH1067" s="273"/>
      <c r="AI1067" s="273"/>
      <c r="AJ1067" s="273"/>
      <c r="AK1067" s="273"/>
      <c r="AL1067" s="273"/>
      <c r="AM1067" s="273"/>
      <c r="AN1067" s="273"/>
      <c r="AO1067" s="273"/>
      <c r="AP1067" s="273"/>
      <c r="AQ1067" s="273"/>
      <c r="AR1067" s="273"/>
      <c r="AS1067" s="273"/>
      <c r="AT1067" s="273"/>
      <c r="AU1067" s="273"/>
      <c r="AV1067" s="273"/>
      <c r="AW1067" s="273"/>
      <c r="AX1067" s="273"/>
      <c r="AY1067" s="273"/>
      <c r="AZ1067" s="273"/>
      <c r="BA1067" s="273"/>
      <c r="BB1067" s="273"/>
      <c r="BC1067" s="273"/>
      <c r="BD1067" s="273"/>
      <c r="BE1067" s="273"/>
      <c r="BF1067" s="273"/>
      <c r="BG1067" s="273"/>
      <c r="BH1067" s="273"/>
      <c r="BI1067" s="273"/>
      <c r="BJ1067" s="273"/>
      <c r="BK1067" s="273"/>
      <c r="BL1067" s="273"/>
      <c r="BM1067" s="273"/>
      <c r="BN1067" s="273"/>
      <c r="BO1067" s="273"/>
      <c r="BP1067" s="273"/>
      <c r="BQ1067" s="273"/>
      <c r="BR1067" s="273"/>
      <c r="BS1067" s="584"/>
      <c r="BT1067" s="273"/>
      <c r="BU1067" s="273"/>
      <c r="BV1067" s="273"/>
      <c r="BW1067" s="273"/>
      <c r="BX1067" s="273"/>
      <c r="BY1067" s="273"/>
      <c r="BZ1067" s="273"/>
      <c r="CA1067" s="472"/>
      <c r="CB1067" s="473"/>
      <c r="CC1067" s="90"/>
      <c r="CD1067" s="89"/>
      <c r="CE1067" s="292"/>
      <c r="CF1067" s="292"/>
      <c r="CG1067" s="89"/>
    </row>
    <row r="1068" spans="1:1873" s="23" customFormat="1" ht="11.45" customHeight="1" x14ac:dyDescent="0.3">
      <c r="A1068" s="273" t="s">
        <v>727</v>
      </c>
      <c r="B1068" s="273" t="s">
        <v>1169</v>
      </c>
      <c r="C1068" s="273" t="s">
        <v>729</v>
      </c>
      <c r="D1068" s="273" t="s">
        <v>619</v>
      </c>
      <c r="E1068" s="462" t="s">
        <v>1504</v>
      </c>
      <c r="F1068" s="462">
        <v>1</v>
      </c>
      <c r="G1068" s="273">
        <v>4</v>
      </c>
      <c r="H1068" s="273">
        <v>4</v>
      </c>
      <c r="I1068" s="273" t="s">
        <v>320</v>
      </c>
      <c r="J1068" s="273">
        <v>1979</v>
      </c>
      <c r="K1068" s="273" t="s">
        <v>956</v>
      </c>
      <c r="L1068" s="273">
        <v>1983</v>
      </c>
      <c r="M1068" s="471">
        <v>-9999</v>
      </c>
      <c r="N1068" s="273">
        <v>-9999</v>
      </c>
      <c r="O1068" s="29"/>
      <c r="P1068" s="414">
        <f>+T1068*G1068</f>
        <v>62.8</v>
      </c>
      <c r="Q1068" s="273">
        <v>-9999</v>
      </c>
      <c r="R1068" s="471"/>
      <c r="S1068" s="273"/>
      <c r="T1068" s="471">
        <v>15.7</v>
      </c>
      <c r="U1068" s="273">
        <v>-9999</v>
      </c>
      <c r="V1068" s="273"/>
      <c r="W1068" s="471">
        <v>-9999</v>
      </c>
      <c r="X1068" s="273">
        <v>-9999</v>
      </c>
      <c r="Y1068" s="273"/>
      <c r="Z1068" s="461" t="s">
        <v>67</v>
      </c>
      <c r="AA1068" s="580">
        <v>6944</v>
      </c>
      <c r="AB1068" s="471">
        <v>0.99099999999999999</v>
      </c>
      <c r="AC1068" s="273">
        <v>-9999</v>
      </c>
      <c r="AD1068" s="273">
        <v>-9999</v>
      </c>
      <c r="AE1068" s="273" t="s">
        <v>1095</v>
      </c>
      <c r="AF1068" s="273">
        <v>5</v>
      </c>
      <c r="AG1068" s="273" t="s">
        <v>1087</v>
      </c>
      <c r="AH1068" s="273" t="s">
        <v>567</v>
      </c>
      <c r="AI1068" s="273" t="s">
        <v>1103</v>
      </c>
      <c r="AJ1068" s="273" t="s">
        <v>1100</v>
      </c>
      <c r="AK1068" s="273" t="s">
        <v>626</v>
      </c>
      <c r="AL1068" s="273" t="s">
        <v>1099</v>
      </c>
      <c r="AM1068" s="273"/>
      <c r="AN1068" s="273" t="s">
        <v>626</v>
      </c>
      <c r="AO1068" s="273" t="s">
        <v>1092</v>
      </c>
      <c r="AP1068" s="273" t="s">
        <v>577</v>
      </c>
      <c r="AQ1068" s="273" t="s">
        <v>626</v>
      </c>
      <c r="AR1068" s="273">
        <v>225</v>
      </c>
      <c r="AS1068" s="273" t="s">
        <v>1201</v>
      </c>
      <c r="AT1068" s="273" t="s">
        <v>738</v>
      </c>
      <c r="AU1068" s="273">
        <v>0</v>
      </c>
      <c r="AV1068" s="273">
        <v>-9999</v>
      </c>
      <c r="AW1068" s="273">
        <v>-9999</v>
      </c>
      <c r="AX1068" s="273">
        <v>0</v>
      </c>
      <c r="AY1068" s="273">
        <v>-9999</v>
      </c>
      <c r="AZ1068" s="273">
        <v>-9999</v>
      </c>
      <c r="BA1068" s="273" t="s">
        <v>1102</v>
      </c>
      <c r="BB1068" s="273" t="s">
        <v>631</v>
      </c>
      <c r="BC1068" s="273">
        <v>-9999</v>
      </c>
      <c r="BD1068" s="273">
        <v>-9999</v>
      </c>
      <c r="BE1068" s="273">
        <v>-9999</v>
      </c>
      <c r="BF1068" s="273">
        <v>-9999</v>
      </c>
      <c r="BG1068" s="273">
        <v>-9999</v>
      </c>
      <c r="BH1068" s="273">
        <v>-9999</v>
      </c>
      <c r="BI1068" s="273">
        <v>-9999</v>
      </c>
      <c r="BJ1068" s="273">
        <v>27.6</v>
      </c>
      <c r="BK1068" s="273">
        <v>-9999</v>
      </c>
      <c r="BL1068" s="273">
        <v>10.6</v>
      </c>
      <c r="BM1068" s="273">
        <v>-9999</v>
      </c>
      <c r="BN1068" s="273">
        <v>-9999</v>
      </c>
      <c r="BO1068" s="273">
        <v>-9999</v>
      </c>
      <c r="BP1068" s="273">
        <v>-9999</v>
      </c>
      <c r="BQ1068" s="273">
        <v>-9999</v>
      </c>
      <c r="BR1068" s="273">
        <v>-9999</v>
      </c>
      <c r="BS1068" s="584">
        <f>+BT1068*14.286</f>
        <v>1757.1779999999999</v>
      </c>
      <c r="BT1068" s="468">
        <v>123</v>
      </c>
      <c r="BU1068" s="273">
        <v>-9999</v>
      </c>
      <c r="BV1068" s="273">
        <v>-9999</v>
      </c>
      <c r="BW1068" s="273"/>
      <c r="BX1068" s="273">
        <v>-9999</v>
      </c>
      <c r="BY1068" s="273">
        <v>-9999</v>
      </c>
      <c r="BZ1068" s="273">
        <v>-9999</v>
      </c>
      <c r="CA1068" s="472" t="s">
        <v>1096</v>
      </c>
      <c r="CB1068" s="473"/>
      <c r="CC1068" s="90">
        <v>1</v>
      </c>
      <c r="CD1068" s="89">
        <v>4</v>
      </c>
      <c r="CE1068" s="292">
        <v>15.7</v>
      </c>
      <c r="CF1068" s="292">
        <v>-9999</v>
      </c>
      <c r="CG1068" s="89">
        <v>4</v>
      </c>
      <c r="CH1068" s="23">
        <v>15.7</v>
      </c>
    </row>
    <row r="1069" spans="1:1873" s="23" customFormat="1" ht="11.45" customHeight="1" x14ac:dyDescent="0.2">
      <c r="A1069" s="273"/>
      <c r="B1069" s="273"/>
      <c r="C1069" s="273"/>
      <c r="D1069" s="273"/>
      <c r="E1069" s="462"/>
      <c r="F1069" s="462"/>
      <c r="G1069" s="273"/>
      <c r="H1069" s="273"/>
      <c r="I1069" s="273"/>
      <c r="J1069" s="273"/>
      <c r="K1069" s="273"/>
      <c r="L1069" s="273"/>
      <c r="M1069" s="471"/>
      <c r="N1069" s="273"/>
      <c r="O1069" s="29"/>
      <c r="P1069" s="414"/>
      <c r="Q1069" s="273">
        <v>-9999</v>
      </c>
      <c r="R1069" s="471"/>
      <c r="S1069" s="273"/>
      <c r="T1069" s="471"/>
      <c r="U1069" s="273"/>
      <c r="V1069" s="273"/>
      <c r="W1069" s="471"/>
      <c r="X1069" s="273"/>
      <c r="Y1069" s="273"/>
      <c r="Z1069" s="461"/>
      <c r="AA1069" s="580"/>
      <c r="AB1069" s="471"/>
      <c r="AC1069" s="273"/>
      <c r="AD1069" s="273"/>
      <c r="AE1069" s="273"/>
      <c r="AF1069" s="273"/>
      <c r="AG1069" s="273"/>
      <c r="AH1069" s="273"/>
      <c r="AI1069" s="273"/>
      <c r="AJ1069" s="273"/>
      <c r="AK1069" s="273"/>
      <c r="AL1069" s="273"/>
      <c r="AM1069" s="273"/>
      <c r="AN1069" s="273"/>
      <c r="AO1069" s="273"/>
      <c r="AP1069" s="273"/>
      <c r="AQ1069" s="273"/>
      <c r="AR1069" s="273"/>
      <c r="AS1069" s="273"/>
      <c r="AT1069" s="273"/>
      <c r="AU1069" s="273"/>
      <c r="AV1069" s="273"/>
      <c r="AW1069" s="273"/>
      <c r="AX1069" s="273"/>
      <c r="AY1069" s="273"/>
      <c r="AZ1069" s="273"/>
      <c r="BA1069" s="273"/>
      <c r="BB1069" s="273"/>
      <c r="BC1069" s="273"/>
      <c r="BD1069" s="273"/>
      <c r="BE1069" s="273"/>
      <c r="BF1069" s="273"/>
      <c r="BG1069" s="273"/>
      <c r="BH1069" s="273"/>
      <c r="BI1069" s="273"/>
      <c r="BJ1069" s="273"/>
      <c r="BK1069" s="273"/>
      <c r="BL1069" s="273"/>
      <c r="BM1069" s="273"/>
      <c r="BN1069" s="273"/>
      <c r="BO1069" s="273"/>
      <c r="BP1069" s="273"/>
      <c r="BQ1069" s="273"/>
      <c r="BR1069" s="273"/>
      <c r="BS1069" s="584"/>
      <c r="BT1069" s="468"/>
      <c r="BU1069" s="273"/>
      <c r="BV1069" s="273"/>
      <c r="BW1069" s="273"/>
      <c r="BX1069" s="273"/>
      <c r="BY1069" s="273"/>
      <c r="BZ1069" s="273"/>
      <c r="CA1069" s="472"/>
      <c r="CB1069" s="473"/>
      <c r="CC1069" s="90"/>
      <c r="CD1069" s="89"/>
      <c r="CE1069" s="292"/>
      <c r="CF1069" s="292"/>
      <c r="CG1069" s="89"/>
    </row>
    <row r="1070" spans="1:1873" s="23" customFormat="1" ht="11.45" customHeight="1" x14ac:dyDescent="0.3">
      <c r="A1070" s="273" t="s">
        <v>727</v>
      </c>
      <c r="B1070" s="273" t="s">
        <v>1169</v>
      </c>
      <c r="C1070" s="273" t="s">
        <v>729</v>
      </c>
      <c r="D1070" s="273" t="s">
        <v>619</v>
      </c>
      <c r="E1070" s="462" t="s">
        <v>1504</v>
      </c>
      <c r="F1070" s="462">
        <v>2</v>
      </c>
      <c r="G1070" s="273">
        <v>4</v>
      </c>
      <c r="H1070" s="273">
        <v>8</v>
      </c>
      <c r="I1070" s="273" t="s">
        <v>320</v>
      </c>
      <c r="J1070" s="273">
        <v>1979</v>
      </c>
      <c r="K1070" s="273" t="s">
        <v>842</v>
      </c>
      <c r="L1070" s="273">
        <v>1987</v>
      </c>
      <c r="M1070" s="471">
        <v>-9999</v>
      </c>
      <c r="N1070" s="273">
        <v>-9999</v>
      </c>
      <c r="O1070" s="29"/>
      <c r="P1070" s="414">
        <f>+T1070*G1070</f>
        <v>57.2</v>
      </c>
      <c r="Q1070" s="273">
        <v>-9999</v>
      </c>
      <c r="R1070" s="471"/>
      <c r="S1070" s="273"/>
      <c r="T1070" s="471">
        <v>14.3</v>
      </c>
      <c r="U1070" s="273">
        <v>-9999</v>
      </c>
      <c r="V1070" s="273"/>
      <c r="W1070" s="471">
        <v>-9999</v>
      </c>
      <c r="X1070" s="273">
        <v>-9999</v>
      </c>
      <c r="Y1070" s="273"/>
      <c r="Z1070" s="461" t="s">
        <v>67</v>
      </c>
      <c r="AA1070" s="580">
        <v>6944</v>
      </c>
      <c r="AB1070" s="471">
        <v>-9999</v>
      </c>
      <c r="AC1070" s="273">
        <v>-9999</v>
      </c>
      <c r="AD1070" s="273">
        <v>-9999</v>
      </c>
      <c r="AE1070" s="273" t="s">
        <v>1095</v>
      </c>
      <c r="AF1070" s="273">
        <v>3</v>
      </c>
      <c r="AG1070" s="273" t="s">
        <v>1087</v>
      </c>
      <c r="AH1070" s="273" t="s">
        <v>567</v>
      </c>
      <c r="AI1070" s="273" t="s">
        <v>1103</v>
      </c>
      <c r="AJ1070" s="273" t="s">
        <v>1100</v>
      </c>
      <c r="AK1070" s="273" t="s">
        <v>626</v>
      </c>
      <c r="AL1070" s="273" t="s">
        <v>1099</v>
      </c>
      <c r="AM1070" s="273"/>
      <c r="AN1070" s="273" t="s">
        <v>626</v>
      </c>
      <c r="AO1070" s="273" t="s">
        <v>1092</v>
      </c>
      <c r="AP1070" s="273" t="s">
        <v>577</v>
      </c>
      <c r="AQ1070" s="273" t="s">
        <v>626</v>
      </c>
      <c r="AR1070" s="273">
        <v>133</v>
      </c>
      <c r="AS1070" s="273" t="s">
        <v>1201</v>
      </c>
      <c r="AT1070" s="273" t="s">
        <v>687</v>
      </c>
      <c r="AU1070" s="273">
        <v>0</v>
      </c>
      <c r="AV1070" s="273">
        <v>-9999</v>
      </c>
      <c r="AW1070" s="273">
        <v>-9999</v>
      </c>
      <c r="AX1070" s="273">
        <v>0</v>
      </c>
      <c r="AY1070" s="273">
        <v>-9999</v>
      </c>
      <c r="AZ1070" s="273">
        <v>-9999</v>
      </c>
      <c r="BA1070" s="273" t="s">
        <v>1102</v>
      </c>
      <c r="BB1070" s="273" t="s">
        <v>631</v>
      </c>
      <c r="BC1070" s="273">
        <v>-9999</v>
      </c>
      <c r="BD1070" s="273">
        <v>-9999</v>
      </c>
      <c r="BE1070" s="273">
        <v>-9999</v>
      </c>
      <c r="BF1070" s="273">
        <v>-9999</v>
      </c>
      <c r="BG1070" s="273">
        <v>-9999</v>
      </c>
      <c r="BH1070" s="273">
        <v>-9999</v>
      </c>
      <c r="BI1070" s="273" t="s">
        <v>629</v>
      </c>
      <c r="BJ1070" s="273">
        <v>-9999</v>
      </c>
      <c r="BK1070" s="273">
        <v>-9999</v>
      </c>
      <c r="BL1070" s="273">
        <v>-9999</v>
      </c>
      <c r="BM1070" s="273">
        <v>-9999</v>
      </c>
      <c r="BN1070" s="273">
        <v>-9999</v>
      </c>
      <c r="BO1070" s="273">
        <v>-9999</v>
      </c>
      <c r="BP1070" s="273">
        <v>-9999</v>
      </c>
      <c r="BQ1070" s="273">
        <v>-9999</v>
      </c>
      <c r="BR1070" s="273">
        <v>-9999</v>
      </c>
      <c r="BS1070" s="468">
        <v>-9999</v>
      </c>
      <c r="BT1070" s="273">
        <v>-9999</v>
      </c>
      <c r="BU1070" s="273">
        <v>-9999</v>
      </c>
      <c r="BV1070" s="273">
        <v>-9999</v>
      </c>
      <c r="BW1070" s="273"/>
      <c r="BX1070" s="273">
        <v>-9999</v>
      </c>
      <c r="BY1070" s="273">
        <v>-9999</v>
      </c>
      <c r="BZ1070" s="273">
        <v>-9999</v>
      </c>
      <c r="CA1070" s="472" t="s">
        <v>1096</v>
      </c>
      <c r="CB1070" s="473"/>
      <c r="CC1070" s="90">
        <v>2</v>
      </c>
      <c r="CD1070" s="89">
        <v>4</v>
      </c>
      <c r="CE1070" s="292">
        <v>14.3</v>
      </c>
      <c r="CF1070" s="292">
        <v>-9999</v>
      </c>
      <c r="CG1070" s="89">
        <v>8</v>
      </c>
      <c r="CH1070" s="23">
        <v>14.3</v>
      </c>
    </row>
    <row r="1071" spans="1:1873" s="23" customFormat="1" ht="11.45" customHeight="1" x14ac:dyDescent="0.2">
      <c r="A1071" s="273"/>
      <c r="B1071" s="273"/>
      <c r="C1071" s="273"/>
      <c r="D1071" s="273"/>
      <c r="E1071" s="462"/>
      <c r="F1071" s="462"/>
      <c r="G1071" s="273"/>
      <c r="H1071" s="273"/>
      <c r="I1071" s="273"/>
      <c r="J1071" s="273"/>
      <c r="K1071" s="273"/>
      <c r="L1071" s="273"/>
      <c r="M1071" s="471"/>
      <c r="N1071" s="273"/>
      <c r="O1071" s="29"/>
      <c r="P1071" s="414"/>
      <c r="Q1071" s="273"/>
      <c r="R1071" s="471"/>
      <c r="S1071" s="273"/>
      <c r="T1071" s="471"/>
      <c r="U1071" s="273"/>
      <c r="V1071" s="273"/>
      <c r="W1071" s="471"/>
      <c r="X1071" s="273"/>
      <c r="Y1071" s="273"/>
      <c r="Z1071" s="461"/>
      <c r="AA1071" s="580"/>
      <c r="AB1071" s="471"/>
      <c r="AC1071" s="273"/>
      <c r="AD1071" s="273"/>
      <c r="AE1071" s="273"/>
      <c r="AF1071" s="273"/>
      <c r="AG1071" s="273"/>
      <c r="AH1071" s="273"/>
      <c r="AI1071" s="273"/>
      <c r="AJ1071" s="273"/>
      <c r="AK1071" s="273"/>
      <c r="AL1071" s="273"/>
      <c r="AM1071" s="273"/>
      <c r="AN1071" s="273"/>
      <c r="AO1071" s="273"/>
      <c r="AP1071" s="273"/>
      <c r="AQ1071" s="273"/>
      <c r="AR1071" s="273"/>
      <c r="AS1071" s="273"/>
      <c r="AT1071" s="273"/>
      <c r="AU1071" s="273"/>
      <c r="AV1071" s="273"/>
      <c r="AW1071" s="273"/>
      <c r="AX1071" s="273"/>
      <c r="AY1071" s="273"/>
      <c r="AZ1071" s="273"/>
      <c r="BA1071" s="273"/>
      <c r="BB1071" s="273"/>
      <c r="BC1071" s="273"/>
      <c r="BD1071" s="273"/>
      <c r="BE1071" s="273"/>
      <c r="BF1071" s="273"/>
      <c r="BG1071" s="273"/>
      <c r="BH1071" s="273"/>
      <c r="BI1071" s="273"/>
      <c r="BJ1071" s="273"/>
      <c r="BK1071" s="273"/>
      <c r="BL1071" s="273"/>
      <c r="BM1071" s="273"/>
      <c r="BN1071" s="273"/>
      <c r="BO1071" s="273"/>
      <c r="BP1071" s="273"/>
      <c r="BQ1071" s="273"/>
      <c r="BR1071" s="273"/>
      <c r="BS1071" s="584"/>
      <c r="BT1071" s="273"/>
      <c r="BU1071" s="273"/>
      <c r="BV1071" s="273"/>
      <c r="BW1071" s="273"/>
      <c r="BX1071" s="273"/>
      <c r="BY1071" s="273"/>
      <c r="BZ1071" s="273"/>
      <c r="CA1071" s="472"/>
      <c r="CB1071" s="473"/>
      <c r="CC1071" s="90"/>
      <c r="CD1071" s="89"/>
      <c r="CE1071" s="292"/>
      <c r="CF1071" s="292"/>
      <c r="CG1071" s="89"/>
    </row>
    <row r="1072" spans="1:1873" s="23" customFormat="1" ht="11.45" customHeight="1" x14ac:dyDescent="0.3">
      <c r="A1072" s="273" t="s">
        <v>727</v>
      </c>
      <c r="B1072" s="273" t="s">
        <v>1169</v>
      </c>
      <c r="C1072" s="273" t="s">
        <v>730</v>
      </c>
      <c r="D1072" s="273" t="s">
        <v>619</v>
      </c>
      <c r="E1072" s="462" t="s">
        <v>1504</v>
      </c>
      <c r="F1072" s="462">
        <v>1</v>
      </c>
      <c r="G1072" s="273">
        <v>4</v>
      </c>
      <c r="H1072" s="273">
        <v>4</v>
      </c>
      <c r="I1072" s="273" t="s">
        <v>320</v>
      </c>
      <c r="J1072" s="273">
        <v>1979</v>
      </c>
      <c r="K1072" s="273" t="s">
        <v>956</v>
      </c>
      <c r="L1072" s="273">
        <v>1983</v>
      </c>
      <c r="M1072" s="471">
        <v>-9999</v>
      </c>
      <c r="N1072" s="273">
        <v>-9999</v>
      </c>
      <c r="O1072" s="29"/>
      <c r="P1072" s="414">
        <f>+T1072*G1072</f>
        <v>58.4</v>
      </c>
      <c r="Q1072" s="273">
        <v>-9999</v>
      </c>
      <c r="R1072" s="471"/>
      <c r="S1072" s="273"/>
      <c r="T1072" s="471">
        <v>14.6</v>
      </c>
      <c r="U1072" s="273">
        <v>-9999</v>
      </c>
      <c r="V1072" s="273"/>
      <c r="W1072" s="471">
        <v>-9999</v>
      </c>
      <c r="X1072" s="273">
        <v>-9999</v>
      </c>
      <c r="Y1072" s="273"/>
      <c r="Z1072" s="461" t="s">
        <v>67</v>
      </c>
      <c r="AA1072" s="580">
        <v>6944</v>
      </c>
      <c r="AB1072" s="471">
        <v>1</v>
      </c>
      <c r="AC1072" s="273">
        <v>-9999</v>
      </c>
      <c r="AD1072" s="273">
        <v>-9999</v>
      </c>
      <c r="AE1072" s="273" t="s">
        <v>1095</v>
      </c>
      <c r="AF1072" s="273">
        <v>5</v>
      </c>
      <c r="AG1072" s="273" t="s">
        <v>1087</v>
      </c>
      <c r="AH1072" s="273" t="s">
        <v>567</v>
      </c>
      <c r="AI1072" s="273" t="s">
        <v>1103</v>
      </c>
      <c r="AJ1072" s="273" t="s">
        <v>1100</v>
      </c>
      <c r="AK1072" s="273" t="s">
        <v>626</v>
      </c>
      <c r="AL1072" s="273" t="s">
        <v>1099</v>
      </c>
      <c r="AM1072" s="273"/>
      <c r="AN1072" s="273" t="s">
        <v>626</v>
      </c>
      <c r="AO1072" s="273" t="s">
        <v>1092</v>
      </c>
      <c r="AP1072" s="273" t="s">
        <v>577</v>
      </c>
      <c r="AQ1072" s="273" t="s">
        <v>626</v>
      </c>
      <c r="AR1072" s="273">
        <v>225</v>
      </c>
      <c r="AS1072" s="273" t="s">
        <v>1201</v>
      </c>
      <c r="AT1072" s="273" t="s">
        <v>738</v>
      </c>
      <c r="AU1072" s="273">
        <v>0</v>
      </c>
      <c r="AV1072" s="273">
        <v>-9999</v>
      </c>
      <c r="AW1072" s="273">
        <v>-9999</v>
      </c>
      <c r="AX1072" s="273">
        <v>0</v>
      </c>
      <c r="AY1072" s="273">
        <v>-9999</v>
      </c>
      <c r="AZ1072" s="273">
        <v>-9999</v>
      </c>
      <c r="BA1072" s="273" t="s">
        <v>1102</v>
      </c>
      <c r="BB1072" s="273" t="s">
        <v>631</v>
      </c>
      <c r="BC1072" s="273">
        <v>-9999</v>
      </c>
      <c r="BD1072" s="273">
        <v>-9999</v>
      </c>
      <c r="BE1072" s="273">
        <v>-9999</v>
      </c>
      <c r="BF1072" s="273">
        <v>-9999</v>
      </c>
      <c r="BG1072" s="273">
        <v>-9999</v>
      </c>
      <c r="BH1072" s="273">
        <v>-9999</v>
      </c>
      <c r="BI1072" s="273">
        <v>-9999</v>
      </c>
      <c r="BJ1072" s="273">
        <v>24.3</v>
      </c>
      <c r="BK1072" s="273">
        <v>-9999</v>
      </c>
      <c r="BL1072" s="273">
        <v>10.3</v>
      </c>
      <c r="BM1072" s="273">
        <v>-9999</v>
      </c>
      <c r="BN1072" s="273">
        <v>-9999</v>
      </c>
      <c r="BO1072" s="273">
        <v>-9999</v>
      </c>
      <c r="BP1072" s="273">
        <v>-9999</v>
      </c>
      <c r="BQ1072" s="273">
        <v>-9999</v>
      </c>
      <c r="BR1072" s="273">
        <v>-9999</v>
      </c>
      <c r="BS1072" s="584">
        <f>+BT1072*14.286</f>
        <v>1471.4579999999999</v>
      </c>
      <c r="BT1072" s="468">
        <v>103</v>
      </c>
      <c r="BU1072" s="273">
        <v>-9999</v>
      </c>
      <c r="BV1072" s="273">
        <v>-9999</v>
      </c>
      <c r="BW1072" s="273"/>
      <c r="BX1072" s="273">
        <v>-9999</v>
      </c>
      <c r="BY1072" s="273">
        <v>-9999</v>
      </c>
      <c r="BZ1072" s="273">
        <v>-9999</v>
      </c>
      <c r="CA1072" s="472" t="s">
        <v>1096</v>
      </c>
      <c r="CB1072" s="473"/>
      <c r="CC1072" s="90">
        <v>1</v>
      </c>
      <c r="CD1072" s="89">
        <v>4</v>
      </c>
      <c r="CE1072" s="292">
        <v>14.6</v>
      </c>
      <c r="CF1072" s="292">
        <v>-9999</v>
      </c>
      <c r="CG1072" s="89">
        <v>4</v>
      </c>
      <c r="CH1072" s="23">
        <v>14.6</v>
      </c>
    </row>
    <row r="1073" spans="1:86" s="23" customFormat="1" ht="12" customHeight="1" x14ac:dyDescent="0.2">
      <c r="A1073" s="273"/>
      <c r="B1073" s="273"/>
      <c r="C1073" s="273"/>
      <c r="D1073" s="273"/>
      <c r="E1073" s="462"/>
      <c r="F1073" s="462"/>
      <c r="G1073" s="273"/>
      <c r="H1073" s="273"/>
      <c r="I1073" s="273"/>
      <c r="J1073" s="273"/>
      <c r="K1073" s="273"/>
      <c r="L1073" s="273"/>
      <c r="M1073" s="471"/>
      <c r="N1073" s="273"/>
      <c r="O1073" s="29"/>
      <c r="P1073" s="414"/>
      <c r="Q1073" s="273">
        <v>-9999</v>
      </c>
      <c r="R1073" s="471"/>
      <c r="S1073" s="273"/>
      <c r="T1073" s="471"/>
      <c r="U1073" s="273"/>
      <c r="V1073" s="273"/>
      <c r="W1073" s="471"/>
      <c r="X1073" s="273"/>
      <c r="Y1073" s="273"/>
      <c r="Z1073" s="461"/>
      <c r="AA1073" s="580"/>
      <c r="AB1073" s="471"/>
      <c r="AC1073" s="273"/>
      <c r="AD1073" s="273"/>
      <c r="AE1073" s="273"/>
      <c r="AF1073" s="273"/>
      <c r="AG1073" s="273"/>
      <c r="AH1073" s="273"/>
      <c r="AI1073" s="273"/>
      <c r="AJ1073" s="273"/>
      <c r="AK1073" s="273"/>
      <c r="AL1073" s="273"/>
      <c r="AM1073" s="273"/>
      <c r="AN1073" s="273"/>
      <c r="AO1073" s="273"/>
      <c r="AP1073" s="273"/>
      <c r="AQ1073" s="273"/>
      <c r="AR1073" s="273"/>
      <c r="AS1073" s="273"/>
      <c r="AT1073" s="273"/>
      <c r="AU1073" s="273"/>
      <c r="AV1073" s="273"/>
      <c r="AW1073" s="273"/>
      <c r="AX1073" s="273"/>
      <c r="AY1073" s="273"/>
      <c r="AZ1073" s="273"/>
      <c r="BA1073" s="273"/>
      <c r="BB1073" s="273"/>
      <c r="BC1073" s="273"/>
      <c r="BD1073" s="273"/>
      <c r="BE1073" s="273"/>
      <c r="BF1073" s="273"/>
      <c r="BG1073" s="273"/>
      <c r="BH1073" s="273"/>
      <c r="BI1073" s="273"/>
      <c r="BJ1073" s="273"/>
      <c r="BK1073" s="273"/>
      <c r="BL1073" s="273"/>
      <c r="BM1073" s="273"/>
      <c r="BN1073" s="273"/>
      <c r="BO1073" s="273"/>
      <c r="BP1073" s="273"/>
      <c r="BQ1073" s="273"/>
      <c r="BR1073" s="273"/>
      <c r="BS1073" s="584"/>
      <c r="BT1073" s="468"/>
      <c r="BU1073" s="273"/>
      <c r="BV1073" s="273"/>
      <c r="BW1073" s="273"/>
      <c r="BX1073" s="273"/>
      <c r="BY1073" s="273"/>
      <c r="BZ1073" s="273"/>
      <c r="CA1073" s="472"/>
      <c r="CB1073" s="473"/>
      <c r="CC1073" s="90"/>
      <c r="CD1073" s="89"/>
      <c r="CE1073" s="292"/>
      <c r="CF1073" s="292"/>
      <c r="CG1073" s="89"/>
    </row>
    <row r="1074" spans="1:86" s="23" customFormat="1" ht="11.45" customHeight="1" x14ac:dyDescent="0.3">
      <c r="A1074" s="273" t="s">
        <v>727</v>
      </c>
      <c r="B1074" s="273" t="s">
        <v>1169</v>
      </c>
      <c r="C1074" s="273" t="s">
        <v>730</v>
      </c>
      <c r="D1074" s="273" t="s">
        <v>619</v>
      </c>
      <c r="E1074" s="462" t="s">
        <v>1504</v>
      </c>
      <c r="F1074" s="462">
        <v>2</v>
      </c>
      <c r="G1074" s="273">
        <v>4</v>
      </c>
      <c r="H1074" s="273">
        <v>8</v>
      </c>
      <c r="I1074" s="273" t="s">
        <v>320</v>
      </c>
      <c r="J1074" s="273">
        <v>1979</v>
      </c>
      <c r="K1074" s="273" t="s">
        <v>842</v>
      </c>
      <c r="L1074" s="273">
        <v>1987</v>
      </c>
      <c r="M1074" s="471">
        <v>-9999</v>
      </c>
      <c r="N1074" s="273">
        <v>-9999</v>
      </c>
      <c r="O1074" s="29"/>
      <c r="P1074" s="414">
        <f>+T1074*G1074</f>
        <v>42.4</v>
      </c>
      <c r="Q1074" s="273">
        <v>-9999</v>
      </c>
      <c r="R1074" s="471"/>
      <c r="S1074" s="273"/>
      <c r="T1074" s="471">
        <v>10.6</v>
      </c>
      <c r="U1074" s="273">
        <v>-9999</v>
      </c>
      <c r="V1074" s="273"/>
      <c r="W1074" s="471">
        <v>-9999</v>
      </c>
      <c r="X1074" s="273">
        <v>-9999</v>
      </c>
      <c r="Y1074" s="273"/>
      <c r="Z1074" s="461" t="s">
        <v>67</v>
      </c>
      <c r="AA1074" s="580">
        <v>6944</v>
      </c>
      <c r="AB1074" s="471">
        <v>-9999</v>
      </c>
      <c r="AC1074" s="273">
        <v>-9999</v>
      </c>
      <c r="AD1074" s="273">
        <v>-9999</v>
      </c>
      <c r="AE1074" s="273" t="s">
        <v>1095</v>
      </c>
      <c r="AF1074" s="273">
        <v>3</v>
      </c>
      <c r="AG1074" s="273" t="s">
        <v>1087</v>
      </c>
      <c r="AH1074" s="273" t="s">
        <v>567</v>
      </c>
      <c r="AI1074" s="273" t="s">
        <v>1103</v>
      </c>
      <c r="AJ1074" s="273" t="s">
        <v>1100</v>
      </c>
      <c r="AK1074" s="273" t="s">
        <v>626</v>
      </c>
      <c r="AL1074" s="273" t="s">
        <v>1099</v>
      </c>
      <c r="AM1074" s="273"/>
      <c r="AN1074" s="273" t="s">
        <v>626</v>
      </c>
      <c r="AO1074" s="273" t="s">
        <v>1092</v>
      </c>
      <c r="AP1074" s="273" t="s">
        <v>577</v>
      </c>
      <c r="AQ1074" s="273" t="s">
        <v>626</v>
      </c>
      <c r="AR1074" s="273">
        <v>133</v>
      </c>
      <c r="AS1074" s="273" t="s">
        <v>1201</v>
      </c>
      <c r="AT1074" s="273" t="s">
        <v>687</v>
      </c>
      <c r="AU1074" s="273">
        <v>0</v>
      </c>
      <c r="AV1074" s="273">
        <v>-9999</v>
      </c>
      <c r="AW1074" s="273">
        <v>-9999</v>
      </c>
      <c r="AX1074" s="273">
        <v>0</v>
      </c>
      <c r="AY1074" s="273">
        <v>-9999</v>
      </c>
      <c r="AZ1074" s="273">
        <v>-9999</v>
      </c>
      <c r="BA1074" s="273" t="s">
        <v>1102</v>
      </c>
      <c r="BB1074" s="273" t="s">
        <v>631</v>
      </c>
      <c r="BC1074" s="273">
        <v>-9999</v>
      </c>
      <c r="BD1074" s="273">
        <v>-9999</v>
      </c>
      <c r="BE1074" s="273">
        <v>-9999</v>
      </c>
      <c r="BF1074" s="273">
        <v>-9999</v>
      </c>
      <c r="BG1074" s="273">
        <v>-9999</v>
      </c>
      <c r="BH1074" s="273">
        <v>-9999</v>
      </c>
      <c r="BI1074" s="273" t="s">
        <v>629</v>
      </c>
      <c r="BJ1074" s="273">
        <v>-9999</v>
      </c>
      <c r="BK1074" s="273">
        <v>-9999</v>
      </c>
      <c r="BL1074" s="273">
        <v>-9999</v>
      </c>
      <c r="BM1074" s="273">
        <v>-9999</v>
      </c>
      <c r="BN1074" s="273">
        <v>-9999</v>
      </c>
      <c r="BO1074" s="273">
        <v>-9999</v>
      </c>
      <c r="BP1074" s="273">
        <v>-9999</v>
      </c>
      <c r="BQ1074" s="273">
        <v>-9999</v>
      </c>
      <c r="BR1074" s="273">
        <v>-9999</v>
      </c>
      <c r="BS1074" s="468">
        <v>-9999</v>
      </c>
      <c r="BT1074" s="273">
        <v>-9999</v>
      </c>
      <c r="BU1074" s="273">
        <v>-9999</v>
      </c>
      <c r="BV1074" s="273">
        <v>-9999</v>
      </c>
      <c r="BW1074" s="273"/>
      <c r="BX1074" s="273">
        <v>-9999</v>
      </c>
      <c r="BY1074" s="273">
        <v>-9999</v>
      </c>
      <c r="BZ1074" s="273">
        <v>-9999</v>
      </c>
      <c r="CA1074" s="472" t="s">
        <v>1096</v>
      </c>
      <c r="CB1074" s="473"/>
      <c r="CC1074" s="90">
        <v>2</v>
      </c>
      <c r="CD1074" s="89">
        <v>4</v>
      </c>
      <c r="CE1074" s="292">
        <v>10.6</v>
      </c>
      <c r="CF1074" s="292">
        <v>-9999</v>
      </c>
      <c r="CG1074" s="89">
        <v>8</v>
      </c>
      <c r="CH1074" s="23">
        <v>10.6</v>
      </c>
    </row>
    <row r="1075" spans="1:86" s="23" customFormat="1" ht="11.45" customHeight="1" x14ac:dyDescent="0.2">
      <c r="A1075" s="273"/>
      <c r="B1075" s="273"/>
      <c r="C1075" s="273"/>
      <c r="D1075" s="273"/>
      <c r="E1075" s="462"/>
      <c r="F1075" s="462"/>
      <c r="G1075" s="273"/>
      <c r="H1075" s="273"/>
      <c r="I1075" s="273"/>
      <c r="J1075" s="273"/>
      <c r="K1075" s="273"/>
      <c r="L1075" s="273"/>
      <c r="M1075" s="471"/>
      <c r="N1075" s="273"/>
      <c r="O1075" s="29"/>
      <c r="P1075" s="414"/>
      <c r="Q1075" s="273"/>
      <c r="R1075" s="471"/>
      <c r="S1075" s="273"/>
      <c r="T1075" s="471"/>
      <c r="U1075" s="273"/>
      <c r="V1075" s="273"/>
      <c r="W1075" s="471"/>
      <c r="X1075" s="273"/>
      <c r="Y1075" s="273"/>
      <c r="Z1075" s="461"/>
      <c r="AA1075" s="580"/>
      <c r="AB1075" s="471"/>
      <c r="AC1075" s="273"/>
      <c r="AD1075" s="273"/>
      <c r="AE1075" s="273"/>
      <c r="AF1075" s="273"/>
      <c r="AG1075" s="273"/>
      <c r="AH1075" s="273"/>
      <c r="AI1075" s="273"/>
      <c r="AJ1075" s="273"/>
      <c r="AK1075" s="273"/>
      <c r="AL1075" s="273"/>
      <c r="AM1075" s="273"/>
      <c r="AN1075" s="273"/>
      <c r="AO1075" s="273"/>
      <c r="AP1075" s="273"/>
      <c r="AQ1075" s="273"/>
      <c r="AR1075" s="273"/>
      <c r="AS1075" s="273"/>
      <c r="AT1075" s="273"/>
      <c r="AU1075" s="273"/>
      <c r="AV1075" s="273"/>
      <c r="AW1075" s="273"/>
      <c r="AX1075" s="273"/>
      <c r="AY1075" s="273"/>
      <c r="AZ1075" s="273"/>
      <c r="BA1075" s="273"/>
      <c r="BB1075" s="273"/>
      <c r="BC1075" s="273"/>
      <c r="BD1075" s="273"/>
      <c r="BE1075" s="273"/>
      <c r="BF1075" s="273"/>
      <c r="BG1075" s="273"/>
      <c r="BH1075" s="273"/>
      <c r="BI1075" s="273"/>
      <c r="BJ1075" s="273"/>
      <c r="BK1075" s="273"/>
      <c r="BL1075" s="273"/>
      <c r="BM1075" s="273"/>
      <c r="BN1075" s="273"/>
      <c r="BO1075" s="273"/>
      <c r="BP1075" s="273"/>
      <c r="BQ1075" s="273"/>
      <c r="BR1075" s="273"/>
      <c r="BS1075" s="584"/>
      <c r="BT1075" s="273"/>
      <c r="BU1075" s="273"/>
      <c r="BV1075" s="273"/>
      <c r="BW1075" s="273"/>
      <c r="BX1075" s="273"/>
      <c r="BY1075" s="273"/>
      <c r="BZ1075" s="273"/>
      <c r="CA1075" s="472"/>
      <c r="CB1075" s="473"/>
      <c r="CC1075" s="90"/>
      <c r="CD1075" s="89"/>
      <c r="CE1075" s="292"/>
      <c r="CF1075" s="292"/>
      <c r="CG1075" s="89"/>
    </row>
    <row r="1076" spans="1:86" s="23" customFormat="1" ht="11.45" customHeight="1" x14ac:dyDescent="0.3">
      <c r="A1076" s="273" t="s">
        <v>727</v>
      </c>
      <c r="B1076" s="273" t="s">
        <v>1169</v>
      </c>
      <c r="C1076" s="273" t="s">
        <v>731</v>
      </c>
      <c r="D1076" s="273" t="s">
        <v>619</v>
      </c>
      <c r="E1076" s="462" t="s">
        <v>1504</v>
      </c>
      <c r="F1076" s="462">
        <v>1</v>
      </c>
      <c r="G1076" s="273">
        <v>4</v>
      </c>
      <c r="H1076" s="273">
        <v>4</v>
      </c>
      <c r="I1076" s="273" t="s">
        <v>320</v>
      </c>
      <c r="J1076" s="273">
        <v>1979</v>
      </c>
      <c r="K1076" s="273" t="s">
        <v>956</v>
      </c>
      <c r="L1076" s="273">
        <v>1983</v>
      </c>
      <c r="M1076" s="471">
        <v>-9999</v>
      </c>
      <c r="N1076" s="273">
        <v>-9999</v>
      </c>
      <c r="O1076" s="29"/>
      <c r="P1076" s="414">
        <f>+T1076*G1076</f>
        <v>53.2</v>
      </c>
      <c r="Q1076" s="273">
        <v>-9999</v>
      </c>
      <c r="R1076" s="471"/>
      <c r="S1076" s="273"/>
      <c r="T1076" s="471">
        <v>13.3</v>
      </c>
      <c r="U1076" s="273">
        <v>-9999</v>
      </c>
      <c r="V1076" s="273"/>
      <c r="W1076" s="471">
        <v>-9999</v>
      </c>
      <c r="X1076" s="273">
        <v>-9999</v>
      </c>
      <c r="Y1076" s="273"/>
      <c r="Z1076" s="461" t="s">
        <v>67</v>
      </c>
      <c r="AA1076" s="580">
        <v>6944</v>
      </c>
      <c r="AB1076" s="471">
        <v>0.96</v>
      </c>
      <c r="AC1076" s="273">
        <v>-9999</v>
      </c>
      <c r="AD1076" s="273">
        <v>-9999</v>
      </c>
      <c r="AE1076" s="273" t="s">
        <v>1095</v>
      </c>
      <c r="AF1076" s="273">
        <v>5</v>
      </c>
      <c r="AG1076" s="273" t="s">
        <v>1087</v>
      </c>
      <c r="AH1076" s="273" t="s">
        <v>567</v>
      </c>
      <c r="AI1076" s="273" t="s">
        <v>1103</v>
      </c>
      <c r="AJ1076" s="273" t="s">
        <v>1100</v>
      </c>
      <c r="AK1076" s="273" t="s">
        <v>626</v>
      </c>
      <c r="AL1076" s="273" t="s">
        <v>1099</v>
      </c>
      <c r="AM1076" s="273"/>
      <c r="AN1076" s="273" t="s">
        <v>626</v>
      </c>
      <c r="AO1076" s="273" t="s">
        <v>1092</v>
      </c>
      <c r="AP1076" s="273" t="s">
        <v>577</v>
      </c>
      <c r="AQ1076" s="273" t="s">
        <v>626</v>
      </c>
      <c r="AR1076" s="273">
        <v>225</v>
      </c>
      <c r="AS1076" s="273" t="s">
        <v>1201</v>
      </c>
      <c r="AT1076" s="273" t="s">
        <v>738</v>
      </c>
      <c r="AU1076" s="273">
        <v>0</v>
      </c>
      <c r="AV1076" s="273">
        <v>-9999</v>
      </c>
      <c r="AW1076" s="273">
        <v>-9999</v>
      </c>
      <c r="AX1076" s="273">
        <v>0</v>
      </c>
      <c r="AY1076" s="273">
        <v>-9999</v>
      </c>
      <c r="AZ1076" s="273">
        <v>-9999</v>
      </c>
      <c r="BA1076" s="273" t="s">
        <v>1102</v>
      </c>
      <c r="BB1076" s="273" t="s">
        <v>631</v>
      </c>
      <c r="BC1076" s="273">
        <v>-9999</v>
      </c>
      <c r="BD1076" s="273">
        <v>-9999</v>
      </c>
      <c r="BE1076" s="273">
        <v>-9999</v>
      </c>
      <c r="BF1076" s="273">
        <v>-9999</v>
      </c>
      <c r="BG1076" s="273">
        <v>-9999</v>
      </c>
      <c r="BH1076" s="273">
        <v>-9999</v>
      </c>
      <c r="BI1076" s="273">
        <v>-9999</v>
      </c>
      <c r="BJ1076" s="273">
        <v>23</v>
      </c>
      <c r="BK1076" s="273">
        <v>-9999</v>
      </c>
      <c r="BL1076" s="273">
        <v>10.5</v>
      </c>
      <c r="BM1076" s="273">
        <v>-9999</v>
      </c>
      <c r="BN1076" s="273">
        <v>-9999</v>
      </c>
      <c r="BO1076" s="273">
        <v>-9999</v>
      </c>
      <c r="BP1076" s="273">
        <v>-9999</v>
      </c>
      <c r="BQ1076" s="273">
        <v>-9999</v>
      </c>
      <c r="BR1076" s="273">
        <v>-9999</v>
      </c>
      <c r="BS1076" s="584">
        <f>+BT1076*14.286</f>
        <v>1457.172</v>
      </c>
      <c r="BT1076" s="468">
        <v>102</v>
      </c>
      <c r="BU1076" s="273">
        <v>-9999</v>
      </c>
      <c r="BV1076" s="273">
        <v>-9999</v>
      </c>
      <c r="BW1076" s="273"/>
      <c r="BX1076" s="273">
        <v>-9999</v>
      </c>
      <c r="BY1076" s="273">
        <v>-9999</v>
      </c>
      <c r="BZ1076" s="273">
        <v>-9999</v>
      </c>
      <c r="CA1076" s="472" t="s">
        <v>1096</v>
      </c>
      <c r="CB1076" s="473"/>
      <c r="CC1076" s="90">
        <v>1</v>
      </c>
      <c r="CD1076" s="89">
        <v>4</v>
      </c>
      <c r="CE1076" s="292">
        <v>13.3</v>
      </c>
      <c r="CF1076" s="292">
        <v>-9999</v>
      </c>
      <c r="CG1076" s="89">
        <v>4</v>
      </c>
      <c r="CH1076" s="23">
        <v>13.3</v>
      </c>
    </row>
    <row r="1077" spans="1:86" s="23" customFormat="1" ht="11.45" customHeight="1" x14ac:dyDescent="0.2">
      <c r="A1077" s="273"/>
      <c r="B1077" s="273"/>
      <c r="C1077" s="273"/>
      <c r="D1077" s="273"/>
      <c r="E1077" s="462"/>
      <c r="F1077" s="462"/>
      <c r="G1077" s="273"/>
      <c r="H1077" s="273"/>
      <c r="I1077" s="273"/>
      <c r="J1077" s="273"/>
      <c r="K1077" s="273"/>
      <c r="L1077" s="273"/>
      <c r="M1077" s="471"/>
      <c r="N1077" s="273"/>
      <c r="O1077" s="29"/>
      <c r="P1077" s="414"/>
      <c r="Q1077" s="273">
        <v>-9999</v>
      </c>
      <c r="R1077" s="471"/>
      <c r="S1077" s="273"/>
      <c r="T1077" s="471"/>
      <c r="U1077" s="273"/>
      <c r="V1077" s="273"/>
      <c r="W1077" s="471"/>
      <c r="X1077" s="273"/>
      <c r="Y1077" s="273"/>
      <c r="Z1077" s="461"/>
      <c r="AA1077" s="580"/>
      <c r="AB1077" s="471"/>
      <c r="AC1077" s="273"/>
      <c r="AD1077" s="273"/>
      <c r="AE1077" s="273"/>
      <c r="AF1077" s="273"/>
      <c r="AG1077" s="273"/>
      <c r="AH1077" s="273"/>
      <c r="AI1077" s="273"/>
      <c r="AJ1077" s="273"/>
      <c r="AK1077" s="273"/>
      <c r="AL1077" s="273"/>
      <c r="AM1077" s="273"/>
      <c r="AN1077" s="273"/>
      <c r="AO1077" s="273"/>
      <c r="AP1077" s="273"/>
      <c r="AQ1077" s="273"/>
      <c r="AR1077" s="273"/>
      <c r="AS1077" s="273"/>
      <c r="AT1077" s="273"/>
      <c r="AU1077" s="273"/>
      <c r="AV1077" s="273"/>
      <c r="AW1077" s="273"/>
      <c r="AX1077" s="273"/>
      <c r="AY1077" s="273"/>
      <c r="AZ1077" s="273"/>
      <c r="BA1077" s="273"/>
      <c r="BB1077" s="273"/>
      <c r="BC1077" s="273"/>
      <c r="BD1077" s="273"/>
      <c r="BE1077" s="273"/>
      <c r="BF1077" s="273"/>
      <c r="BG1077" s="273"/>
      <c r="BH1077" s="273"/>
      <c r="BI1077" s="273"/>
      <c r="BJ1077" s="273"/>
      <c r="BK1077" s="273"/>
      <c r="BL1077" s="273"/>
      <c r="BM1077" s="273"/>
      <c r="BN1077" s="273"/>
      <c r="BO1077" s="273"/>
      <c r="BP1077" s="273"/>
      <c r="BQ1077" s="273"/>
      <c r="BR1077" s="273"/>
      <c r="BS1077" s="584"/>
      <c r="BT1077" s="468"/>
      <c r="BU1077" s="273"/>
      <c r="BV1077" s="273"/>
      <c r="BW1077" s="273"/>
      <c r="BX1077" s="273"/>
      <c r="BY1077" s="273"/>
      <c r="BZ1077" s="273"/>
      <c r="CA1077" s="472"/>
      <c r="CB1077" s="473"/>
      <c r="CC1077" s="90"/>
      <c r="CD1077" s="89"/>
      <c r="CE1077" s="292"/>
      <c r="CF1077" s="292"/>
      <c r="CG1077" s="89"/>
    </row>
    <row r="1078" spans="1:86" s="23" customFormat="1" ht="11.45" customHeight="1" x14ac:dyDescent="0.3">
      <c r="A1078" s="273" t="s">
        <v>727</v>
      </c>
      <c r="B1078" s="273" t="s">
        <v>1169</v>
      </c>
      <c r="C1078" s="273" t="s">
        <v>731</v>
      </c>
      <c r="D1078" s="273" t="s">
        <v>619</v>
      </c>
      <c r="E1078" s="462" t="s">
        <v>1504</v>
      </c>
      <c r="F1078" s="462">
        <v>2</v>
      </c>
      <c r="G1078" s="273">
        <v>4</v>
      </c>
      <c r="H1078" s="273">
        <v>8</v>
      </c>
      <c r="I1078" s="273" t="s">
        <v>320</v>
      </c>
      <c r="J1078" s="273">
        <v>1979</v>
      </c>
      <c r="K1078" s="273" t="s">
        <v>842</v>
      </c>
      <c r="L1078" s="273">
        <v>1987</v>
      </c>
      <c r="M1078" s="471">
        <v>-9999</v>
      </c>
      <c r="N1078" s="273">
        <v>-9999</v>
      </c>
      <c r="O1078" s="29"/>
      <c r="P1078" s="414">
        <f>+T1078*G1078</f>
        <v>36.4</v>
      </c>
      <c r="Q1078" s="273">
        <v>-9999</v>
      </c>
      <c r="R1078" s="471"/>
      <c r="S1078" s="273"/>
      <c r="T1078" s="471">
        <v>9.1</v>
      </c>
      <c r="U1078" s="273">
        <v>-9999</v>
      </c>
      <c r="V1078" s="273"/>
      <c r="W1078" s="471">
        <v>-9999</v>
      </c>
      <c r="X1078" s="273">
        <v>-9999</v>
      </c>
      <c r="Y1078" s="273"/>
      <c r="Z1078" s="461" t="s">
        <v>67</v>
      </c>
      <c r="AA1078" s="580">
        <v>6944</v>
      </c>
      <c r="AB1078" s="471">
        <v>-9999</v>
      </c>
      <c r="AC1078" s="273">
        <v>-9999</v>
      </c>
      <c r="AD1078" s="273">
        <v>-9999</v>
      </c>
      <c r="AE1078" s="273" t="s">
        <v>1095</v>
      </c>
      <c r="AF1078" s="273">
        <v>3</v>
      </c>
      <c r="AG1078" s="273" t="s">
        <v>1087</v>
      </c>
      <c r="AH1078" s="273" t="s">
        <v>567</v>
      </c>
      <c r="AI1078" s="273" t="s">
        <v>1103</v>
      </c>
      <c r="AJ1078" s="273" t="s">
        <v>1100</v>
      </c>
      <c r="AK1078" s="273" t="s">
        <v>626</v>
      </c>
      <c r="AL1078" s="273" t="s">
        <v>1099</v>
      </c>
      <c r="AM1078" s="273"/>
      <c r="AN1078" s="273" t="s">
        <v>626</v>
      </c>
      <c r="AO1078" s="273" t="s">
        <v>1092</v>
      </c>
      <c r="AP1078" s="273" t="s">
        <v>577</v>
      </c>
      <c r="AQ1078" s="273" t="s">
        <v>626</v>
      </c>
      <c r="AR1078" s="273">
        <v>133</v>
      </c>
      <c r="AS1078" s="273" t="s">
        <v>1201</v>
      </c>
      <c r="AT1078" s="273" t="s">
        <v>687</v>
      </c>
      <c r="AU1078" s="273">
        <v>0</v>
      </c>
      <c r="AV1078" s="273">
        <v>-9999</v>
      </c>
      <c r="AW1078" s="273">
        <v>-9999</v>
      </c>
      <c r="AX1078" s="273">
        <v>0</v>
      </c>
      <c r="AY1078" s="273">
        <v>-9999</v>
      </c>
      <c r="AZ1078" s="273">
        <v>-9999</v>
      </c>
      <c r="BA1078" s="273" t="s">
        <v>1102</v>
      </c>
      <c r="BB1078" s="273" t="s">
        <v>631</v>
      </c>
      <c r="BC1078" s="273">
        <v>-9999</v>
      </c>
      <c r="BD1078" s="273">
        <v>-9999</v>
      </c>
      <c r="BE1078" s="273">
        <v>-9999</v>
      </c>
      <c r="BF1078" s="273">
        <v>-9999</v>
      </c>
      <c r="BG1078" s="273">
        <v>-9999</v>
      </c>
      <c r="BH1078" s="273">
        <v>-9999</v>
      </c>
      <c r="BI1078" s="273" t="s">
        <v>629</v>
      </c>
      <c r="BJ1078" s="273">
        <v>-9999</v>
      </c>
      <c r="BK1078" s="273">
        <v>-9999</v>
      </c>
      <c r="BL1078" s="273">
        <v>-9999</v>
      </c>
      <c r="BM1078" s="273">
        <v>-9999</v>
      </c>
      <c r="BN1078" s="273">
        <v>-9999</v>
      </c>
      <c r="BO1078" s="273">
        <v>-9999</v>
      </c>
      <c r="BP1078" s="273">
        <v>-9999</v>
      </c>
      <c r="BQ1078" s="273">
        <v>-9999</v>
      </c>
      <c r="BR1078" s="273">
        <v>-9999</v>
      </c>
      <c r="BS1078" s="468">
        <v>-9999</v>
      </c>
      <c r="BT1078" s="273">
        <v>-9999</v>
      </c>
      <c r="BU1078" s="273">
        <v>-9999</v>
      </c>
      <c r="BV1078" s="273">
        <v>-9999</v>
      </c>
      <c r="BW1078" s="273"/>
      <c r="BX1078" s="273">
        <v>-9999</v>
      </c>
      <c r="BY1078" s="273">
        <v>-9999</v>
      </c>
      <c r="BZ1078" s="273">
        <v>-9999</v>
      </c>
      <c r="CA1078" s="472" t="s">
        <v>1096</v>
      </c>
      <c r="CB1078" s="473"/>
      <c r="CC1078" s="90">
        <v>2</v>
      </c>
      <c r="CD1078" s="89">
        <v>4</v>
      </c>
      <c r="CE1078" s="292">
        <v>9.1</v>
      </c>
      <c r="CF1078" s="292">
        <v>-9999</v>
      </c>
      <c r="CG1078" s="89">
        <v>8</v>
      </c>
      <c r="CH1078" s="23">
        <v>9.1</v>
      </c>
    </row>
    <row r="1079" spans="1:86" s="23" customFormat="1" ht="11.45" customHeight="1" x14ac:dyDescent="0.2">
      <c r="A1079" s="273"/>
      <c r="B1079" s="273"/>
      <c r="C1079" s="273"/>
      <c r="D1079" s="273"/>
      <c r="E1079" s="462"/>
      <c r="F1079" s="462"/>
      <c r="G1079" s="273"/>
      <c r="H1079" s="273"/>
      <c r="I1079" s="273"/>
      <c r="J1079" s="273"/>
      <c r="K1079" s="273"/>
      <c r="L1079" s="273"/>
      <c r="M1079" s="471"/>
      <c r="N1079" s="273"/>
      <c r="O1079" s="29"/>
      <c r="P1079" s="414"/>
      <c r="Q1079" s="273"/>
      <c r="R1079" s="471"/>
      <c r="S1079" s="273"/>
      <c r="T1079" s="471"/>
      <c r="U1079" s="273"/>
      <c r="V1079" s="273"/>
      <c r="W1079" s="471"/>
      <c r="X1079" s="273"/>
      <c r="Y1079" s="273"/>
      <c r="Z1079" s="461"/>
      <c r="AA1079" s="580"/>
      <c r="AB1079" s="471"/>
      <c r="AC1079" s="273"/>
      <c r="AD1079" s="273"/>
      <c r="AE1079" s="273"/>
      <c r="AF1079" s="273"/>
      <c r="AG1079" s="273"/>
      <c r="AH1079" s="273"/>
      <c r="AI1079" s="273"/>
      <c r="AJ1079" s="273"/>
      <c r="AK1079" s="273"/>
      <c r="AL1079" s="273"/>
      <c r="AM1079" s="273"/>
      <c r="AN1079" s="273"/>
      <c r="AO1079" s="273"/>
      <c r="AP1079" s="273"/>
      <c r="AQ1079" s="273"/>
      <c r="AR1079" s="273"/>
      <c r="AS1079" s="273"/>
      <c r="AT1079" s="273"/>
      <c r="AU1079" s="273"/>
      <c r="AV1079" s="273"/>
      <c r="AW1079" s="273"/>
      <c r="AX1079" s="273"/>
      <c r="AY1079" s="273"/>
      <c r="AZ1079" s="273"/>
      <c r="BA1079" s="273"/>
      <c r="BB1079" s="273"/>
      <c r="BC1079" s="273"/>
      <c r="BD1079" s="273"/>
      <c r="BE1079" s="273"/>
      <c r="BF1079" s="273"/>
      <c r="BG1079" s="273"/>
      <c r="BH1079" s="273"/>
      <c r="BI1079" s="273"/>
      <c r="BJ1079" s="273"/>
      <c r="BK1079" s="273"/>
      <c r="BL1079" s="273"/>
      <c r="BM1079" s="273"/>
      <c r="BN1079" s="273"/>
      <c r="BO1079" s="273"/>
      <c r="BP1079" s="273"/>
      <c r="BQ1079" s="273"/>
      <c r="BR1079" s="273"/>
      <c r="BS1079" s="584"/>
      <c r="BT1079" s="273"/>
      <c r="BU1079" s="273"/>
      <c r="BV1079" s="273"/>
      <c r="BW1079" s="273"/>
      <c r="BX1079" s="273"/>
      <c r="BY1079" s="273"/>
      <c r="BZ1079" s="273"/>
      <c r="CA1079" s="472"/>
      <c r="CB1079" s="473"/>
      <c r="CC1079" s="90"/>
      <c r="CD1079" s="89"/>
      <c r="CE1079" s="292"/>
      <c r="CF1079" s="292"/>
      <c r="CG1079" s="89"/>
    </row>
    <row r="1080" spans="1:86" s="23" customFormat="1" ht="11.45" customHeight="1" x14ac:dyDescent="0.3">
      <c r="A1080" s="273" t="s">
        <v>727</v>
      </c>
      <c r="B1080" s="273" t="s">
        <v>1169</v>
      </c>
      <c r="C1080" s="273" t="s">
        <v>732</v>
      </c>
      <c r="D1080" s="273" t="s">
        <v>619</v>
      </c>
      <c r="E1080" s="462" t="s">
        <v>1504</v>
      </c>
      <c r="F1080" s="462">
        <v>1</v>
      </c>
      <c r="G1080" s="273">
        <v>4</v>
      </c>
      <c r="H1080" s="273">
        <v>4</v>
      </c>
      <c r="I1080" s="273" t="s">
        <v>320</v>
      </c>
      <c r="J1080" s="273">
        <v>1979</v>
      </c>
      <c r="K1080" s="273" t="s">
        <v>956</v>
      </c>
      <c r="L1080" s="273">
        <v>1983</v>
      </c>
      <c r="M1080" s="471">
        <v>-9999</v>
      </c>
      <c r="N1080" s="273">
        <v>-9999</v>
      </c>
      <c r="O1080" s="29"/>
      <c r="P1080" s="414">
        <f>+T1080*G1080</f>
        <v>49.2</v>
      </c>
      <c r="Q1080" s="273">
        <v>-9999</v>
      </c>
      <c r="R1080" s="471"/>
      <c r="S1080" s="273"/>
      <c r="T1080" s="471">
        <v>12.3</v>
      </c>
      <c r="U1080" s="273">
        <v>-9999</v>
      </c>
      <c r="V1080" s="273"/>
      <c r="W1080" s="471">
        <v>-9999</v>
      </c>
      <c r="X1080" s="273">
        <v>-9999</v>
      </c>
      <c r="Y1080" s="273"/>
      <c r="Z1080" s="461" t="s">
        <v>67</v>
      </c>
      <c r="AA1080" s="580">
        <v>6944</v>
      </c>
      <c r="AB1080" s="471">
        <v>0.95099999999999996</v>
      </c>
      <c r="AC1080" s="273">
        <v>-9999</v>
      </c>
      <c r="AD1080" s="273">
        <v>-9999</v>
      </c>
      <c r="AE1080" s="273" t="s">
        <v>1095</v>
      </c>
      <c r="AF1080" s="273">
        <v>5</v>
      </c>
      <c r="AG1080" s="273" t="s">
        <v>1087</v>
      </c>
      <c r="AH1080" s="273" t="s">
        <v>567</v>
      </c>
      <c r="AI1080" s="273" t="s">
        <v>1103</v>
      </c>
      <c r="AJ1080" s="273" t="s">
        <v>1100</v>
      </c>
      <c r="AK1080" s="273" t="s">
        <v>626</v>
      </c>
      <c r="AL1080" s="273" t="s">
        <v>1099</v>
      </c>
      <c r="AM1080" s="273"/>
      <c r="AN1080" s="273" t="s">
        <v>626</v>
      </c>
      <c r="AO1080" s="273" t="s">
        <v>1092</v>
      </c>
      <c r="AP1080" s="273" t="s">
        <v>577</v>
      </c>
      <c r="AQ1080" s="273" t="s">
        <v>626</v>
      </c>
      <c r="AR1080" s="273">
        <v>225</v>
      </c>
      <c r="AS1080" s="273" t="s">
        <v>1201</v>
      </c>
      <c r="AT1080" s="273" t="s">
        <v>738</v>
      </c>
      <c r="AU1080" s="273">
        <v>0</v>
      </c>
      <c r="AV1080" s="273">
        <v>-9999</v>
      </c>
      <c r="AW1080" s="273">
        <v>-9999</v>
      </c>
      <c r="AX1080" s="273">
        <v>0</v>
      </c>
      <c r="AY1080" s="273">
        <v>-9999</v>
      </c>
      <c r="AZ1080" s="273">
        <v>-9999</v>
      </c>
      <c r="BA1080" s="273" t="s">
        <v>1102</v>
      </c>
      <c r="BB1080" s="273" t="s">
        <v>631</v>
      </c>
      <c r="BC1080" s="273">
        <v>-9999</v>
      </c>
      <c r="BD1080" s="273">
        <v>-9999</v>
      </c>
      <c r="BE1080" s="273">
        <v>-9999</v>
      </c>
      <c r="BF1080" s="273">
        <v>-9999</v>
      </c>
      <c r="BG1080" s="273">
        <v>-9999</v>
      </c>
      <c r="BH1080" s="273">
        <v>-9999</v>
      </c>
      <c r="BI1080" s="273">
        <v>-9999</v>
      </c>
      <c r="BJ1080" s="273">
        <v>21.8</v>
      </c>
      <c r="BK1080" s="273">
        <v>-9999</v>
      </c>
      <c r="BL1080" s="273">
        <v>10.4</v>
      </c>
      <c r="BM1080" s="273">
        <v>-9999</v>
      </c>
      <c r="BN1080" s="273">
        <v>-9999</v>
      </c>
      <c r="BO1080" s="273">
        <v>-9999</v>
      </c>
      <c r="BP1080" s="273">
        <v>-9999</v>
      </c>
      <c r="BQ1080" s="273">
        <v>-9999</v>
      </c>
      <c r="BR1080" s="273">
        <v>-9999</v>
      </c>
      <c r="BS1080" s="584">
        <f>+BT1080*14.286</f>
        <v>1400.028</v>
      </c>
      <c r="BT1080" s="468">
        <v>98</v>
      </c>
      <c r="BU1080" s="273">
        <v>-9999</v>
      </c>
      <c r="BV1080" s="273">
        <v>-9999</v>
      </c>
      <c r="BW1080" s="273"/>
      <c r="BX1080" s="273">
        <v>-9999</v>
      </c>
      <c r="BY1080" s="273">
        <v>-9999</v>
      </c>
      <c r="BZ1080" s="273">
        <v>-9999</v>
      </c>
      <c r="CA1080" s="472" t="s">
        <v>1096</v>
      </c>
      <c r="CB1080" s="473"/>
      <c r="CC1080" s="90">
        <v>1</v>
      </c>
      <c r="CD1080" s="89">
        <v>4</v>
      </c>
      <c r="CE1080" s="292">
        <v>12.3</v>
      </c>
      <c r="CF1080" s="292">
        <v>-9999</v>
      </c>
      <c r="CG1080" s="89">
        <v>4</v>
      </c>
      <c r="CH1080" s="23">
        <v>12.3</v>
      </c>
    </row>
    <row r="1081" spans="1:86" s="23" customFormat="1" ht="11.45" customHeight="1" x14ac:dyDescent="0.2">
      <c r="A1081" s="273"/>
      <c r="B1081" s="273"/>
      <c r="C1081" s="273"/>
      <c r="D1081" s="273"/>
      <c r="E1081" s="462"/>
      <c r="F1081" s="462"/>
      <c r="G1081" s="273"/>
      <c r="H1081" s="273"/>
      <c r="I1081" s="273"/>
      <c r="J1081" s="273"/>
      <c r="K1081" s="273"/>
      <c r="L1081" s="273"/>
      <c r="M1081" s="471"/>
      <c r="N1081" s="273"/>
      <c r="O1081" s="29"/>
      <c r="P1081" s="414"/>
      <c r="Q1081" s="273"/>
      <c r="R1081" s="471"/>
      <c r="S1081" s="273"/>
      <c r="T1081" s="471"/>
      <c r="U1081" s="273"/>
      <c r="V1081" s="273"/>
      <c r="W1081" s="471"/>
      <c r="X1081" s="273"/>
      <c r="Y1081" s="273"/>
      <c r="Z1081" s="461"/>
      <c r="AA1081" s="580"/>
      <c r="AB1081" s="471"/>
      <c r="AC1081" s="273"/>
      <c r="AD1081" s="273"/>
      <c r="AE1081" s="273"/>
      <c r="AF1081" s="273"/>
      <c r="AG1081" s="273"/>
      <c r="AH1081" s="273"/>
      <c r="AI1081" s="273"/>
      <c r="AJ1081" s="273"/>
      <c r="AK1081" s="273"/>
      <c r="AL1081" s="273"/>
      <c r="AM1081" s="273"/>
      <c r="AN1081" s="273"/>
      <c r="AO1081" s="273"/>
      <c r="AP1081" s="273"/>
      <c r="AQ1081" s="273"/>
      <c r="AR1081" s="273"/>
      <c r="AS1081" s="273"/>
      <c r="AT1081" s="273"/>
      <c r="AU1081" s="273"/>
      <c r="AV1081" s="273"/>
      <c r="AW1081" s="273"/>
      <c r="AX1081" s="273"/>
      <c r="AY1081" s="273"/>
      <c r="AZ1081" s="273"/>
      <c r="BA1081" s="273"/>
      <c r="BB1081" s="273"/>
      <c r="BC1081" s="273"/>
      <c r="BD1081" s="273"/>
      <c r="BE1081" s="273"/>
      <c r="BF1081" s="273"/>
      <c r="BG1081" s="273"/>
      <c r="BH1081" s="273"/>
      <c r="BI1081" s="273"/>
      <c r="BJ1081" s="273"/>
      <c r="BK1081" s="273"/>
      <c r="BL1081" s="273"/>
      <c r="BM1081" s="273"/>
      <c r="BN1081" s="273"/>
      <c r="BO1081" s="273"/>
      <c r="BP1081" s="273"/>
      <c r="BQ1081" s="273"/>
      <c r="BR1081" s="273"/>
      <c r="BS1081" s="584"/>
      <c r="BT1081" s="468"/>
      <c r="BU1081" s="273"/>
      <c r="BV1081" s="273"/>
      <c r="BW1081" s="273"/>
      <c r="BX1081" s="273"/>
      <c r="BY1081" s="273"/>
      <c r="BZ1081" s="273"/>
      <c r="CA1081" s="472"/>
      <c r="CB1081" s="473"/>
      <c r="CC1081" s="90"/>
      <c r="CD1081" s="89"/>
      <c r="CE1081" s="292"/>
      <c r="CF1081" s="292"/>
      <c r="CG1081" s="89"/>
    </row>
    <row r="1082" spans="1:86" s="23" customFormat="1" ht="11.45" customHeight="1" x14ac:dyDescent="0.3">
      <c r="A1082" s="273" t="s">
        <v>727</v>
      </c>
      <c r="B1082" s="273" t="s">
        <v>1169</v>
      </c>
      <c r="C1082" s="273" t="s">
        <v>732</v>
      </c>
      <c r="D1082" s="273" t="s">
        <v>619</v>
      </c>
      <c r="E1082" s="462" t="s">
        <v>1504</v>
      </c>
      <c r="F1082" s="462">
        <v>2</v>
      </c>
      <c r="G1082" s="273">
        <v>4</v>
      </c>
      <c r="H1082" s="273">
        <v>8</v>
      </c>
      <c r="I1082" s="273" t="s">
        <v>320</v>
      </c>
      <c r="J1082" s="273">
        <v>1979</v>
      </c>
      <c r="K1082" s="273" t="s">
        <v>842</v>
      </c>
      <c r="L1082" s="273">
        <v>1987</v>
      </c>
      <c r="M1082" s="471">
        <v>-9999</v>
      </c>
      <c r="N1082" s="273">
        <v>-9999</v>
      </c>
      <c r="O1082" s="29"/>
      <c r="P1082" s="414">
        <f>+T1082*G1082</f>
        <v>52.8</v>
      </c>
      <c r="Q1082" s="273">
        <v>-9999</v>
      </c>
      <c r="R1082" s="471"/>
      <c r="S1082" s="273"/>
      <c r="T1082" s="471">
        <v>13.2</v>
      </c>
      <c r="U1082" s="273">
        <v>-9999</v>
      </c>
      <c r="V1082" s="273"/>
      <c r="W1082" s="471">
        <v>-9999</v>
      </c>
      <c r="X1082" s="273">
        <v>-9999</v>
      </c>
      <c r="Y1082" s="273"/>
      <c r="Z1082" s="461" t="s">
        <v>67</v>
      </c>
      <c r="AA1082" s="580">
        <v>6944</v>
      </c>
      <c r="AB1082" s="471">
        <v>-9999</v>
      </c>
      <c r="AC1082" s="273">
        <v>-9999</v>
      </c>
      <c r="AD1082" s="273">
        <v>-9999</v>
      </c>
      <c r="AE1082" s="273" t="s">
        <v>1095</v>
      </c>
      <c r="AF1082" s="273">
        <v>3</v>
      </c>
      <c r="AG1082" s="273" t="s">
        <v>1087</v>
      </c>
      <c r="AH1082" s="273" t="s">
        <v>567</v>
      </c>
      <c r="AI1082" s="273" t="s">
        <v>1103</v>
      </c>
      <c r="AJ1082" s="273" t="s">
        <v>1100</v>
      </c>
      <c r="AK1082" s="273" t="s">
        <v>626</v>
      </c>
      <c r="AL1082" s="273" t="s">
        <v>1099</v>
      </c>
      <c r="AM1082" s="273"/>
      <c r="AN1082" s="273" t="s">
        <v>626</v>
      </c>
      <c r="AO1082" s="273" t="s">
        <v>1092</v>
      </c>
      <c r="AP1082" s="273" t="s">
        <v>577</v>
      </c>
      <c r="AQ1082" s="273" t="s">
        <v>626</v>
      </c>
      <c r="AR1082" s="273">
        <v>133</v>
      </c>
      <c r="AS1082" s="273" t="s">
        <v>1201</v>
      </c>
      <c r="AT1082" s="273" t="s">
        <v>687</v>
      </c>
      <c r="AU1082" s="273">
        <v>0</v>
      </c>
      <c r="AV1082" s="273">
        <v>-9999</v>
      </c>
      <c r="AW1082" s="273">
        <v>-9999</v>
      </c>
      <c r="AX1082" s="273">
        <v>0</v>
      </c>
      <c r="AY1082" s="273">
        <v>-9999</v>
      </c>
      <c r="AZ1082" s="273">
        <v>-9999</v>
      </c>
      <c r="BA1082" s="273" t="s">
        <v>1102</v>
      </c>
      <c r="BB1082" s="273" t="s">
        <v>631</v>
      </c>
      <c r="BC1082" s="273">
        <v>-9999</v>
      </c>
      <c r="BD1082" s="273">
        <v>-9999</v>
      </c>
      <c r="BE1082" s="273">
        <v>-9999</v>
      </c>
      <c r="BF1082" s="273">
        <v>-9999</v>
      </c>
      <c r="BG1082" s="273">
        <v>-9999</v>
      </c>
      <c r="BH1082" s="273">
        <v>-9999</v>
      </c>
      <c r="BI1082" s="273" t="s">
        <v>629</v>
      </c>
      <c r="BJ1082" s="273">
        <v>-9999</v>
      </c>
      <c r="BK1082" s="273">
        <v>-9999</v>
      </c>
      <c r="BL1082" s="273">
        <v>-9999</v>
      </c>
      <c r="BM1082" s="273">
        <v>-9999</v>
      </c>
      <c r="BN1082" s="273">
        <v>-9999</v>
      </c>
      <c r="BO1082" s="273">
        <v>-9999</v>
      </c>
      <c r="BP1082" s="273">
        <v>-9999</v>
      </c>
      <c r="BQ1082" s="273">
        <v>-9999</v>
      </c>
      <c r="BR1082" s="273">
        <v>-9999</v>
      </c>
      <c r="BS1082" s="468">
        <v>-9999</v>
      </c>
      <c r="BT1082" s="273">
        <v>-9999</v>
      </c>
      <c r="BU1082" s="273">
        <v>-9999</v>
      </c>
      <c r="BV1082" s="273">
        <v>-9999</v>
      </c>
      <c r="BW1082" s="273"/>
      <c r="BX1082" s="273">
        <v>-9999</v>
      </c>
      <c r="BY1082" s="273">
        <v>-9999</v>
      </c>
      <c r="BZ1082" s="273">
        <v>-9999</v>
      </c>
      <c r="CA1082" s="472" t="s">
        <v>1096</v>
      </c>
      <c r="CB1082" s="473"/>
      <c r="CC1082" s="90">
        <v>2</v>
      </c>
      <c r="CD1082" s="89">
        <v>4</v>
      </c>
      <c r="CE1082" s="292">
        <v>13.2</v>
      </c>
      <c r="CF1082" s="292">
        <v>-9999</v>
      </c>
      <c r="CG1082" s="89">
        <v>8</v>
      </c>
      <c r="CH1082" s="23">
        <v>13.2</v>
      </c>
    </row>
    <row r="1083" spans="1:86" s="23" customFormat="1" ht="11.45" customHeight="1" x14ac:dyDescent="0.2">
      <c r="A1083" s="273"/>
      <c r="B1083" s="273"/>
      <c r="C1083" s="273"/>
      <c r="D1083" s="273"/>
      <c r="E1083" s="462"/>
      <c r="F1083" s="462"/>
      <c r="G1083" s="273"/>
      <c r="H1083" s="273"/>
      <c r="I1083" s="273"/>
      <c r="J1083" s="273"/>
      <c r="K1083" s="273"/>
      <c r="L1083" s="273"/>
      <c r="M1083" s="471"/>
      <c r="N1083" s="273"/>
      <c r="O1083" s="29"/>
      <c r="P1083" s="414"/>
      <c r="Q1083" s="273"/>
      <c r="R1083" s="471"/>
      <c r="S1083" s="273"/>
      <c r="T1083" s="471"/>
      <c r="U1083" s="273"/>
      <c r="V1083" s="273"/>
      <c r="W1083" s="471"/>
      <c r="X1083" s="273"/>
      <c r="Y1083" s="273"/>
      <c r="Z1083" s="461"/>
      <c r="AA1083" s="580"/>
      <c r="AB1083" s="471"/>
      <c r="AC1083" s="273"/>
      <c r="AD1083" s="273"/>
      <c r="AE1083" s="273"/>
      <c r="AF1083" s="273"/>
      <c r="AG1083" s="273"/>
      <c r="AH1083" s="273"/>
      <c r="AI1083" s="273"/>
      <c r="AJ1083" s="273"/>
      <c r="AK1083" s="273"/>
      <c r="AL1083" s="273"/>
      <c r="AM1083" s="273"/>
      <c r="AN1083" s="273"/>
      <c r="AO1083" s="273"/>
      <c r="AP1083" s="273"/>
      <c r="AQ1083" s="273"/>
      <c r="AR1083" s="273"/>
      <c r="AS1083" s="273"/>
      <c r="AT1083" s="273"/>
      <c r="AU1083" s="273"/>
      <c r="AV1083" s="273"/>
      <c r="AW1083" s="273"/>
      <c r="AX1083" s="273"/>
      <c r="AY1083" s="273"/>
      <c r="AZ1083" s="273"/>
      <c r="BA1083" s="273"/>
      <c r="BB1083" s="273"/>
      <c r="BC1083" s="273"/>
      <c r="BD1083" s="273"/>
      <c r="BE1083" s="273"/>
      <c r="BF1083" s="273"/>
      <c r="BG1083" s="273"/>
      <c r="BH1083" s="273"/>
      <c r="BI1083" s="273"/>
      <c r="BJ1083" s="273"/>
      <c r="BK1083" s="273"/>
      <c r="BL1083" s="273"/>
      <c r="BM1083" s="273"/>
      <c r="BN1083" s="273"/>
      <c r="BO1083" s="273"/>
      <c r="BP1083" s="273"/>
      <c r="BQ1083" s="273"/>
      <c r="BR1083" s="273"/>
      <c r="BS1083" s="584"/>
      <c r="BT1083" s="273"/>
      <c r="BU1083" s="273"/>
      <c r="BV1083" s="273"/>
      <c r="BW1083" s="273"/>
      <c r="BX1083" s="273"/>
      <c r="BY1083" s="273"/>
      <c r="BZ1083" s="273"/>
      <c r="CA1083" s="472"/>
      <c r="CB1083" s="473"/>
      <c r="CC1083" s="90"/>
      <c r="CD1083" s="89"/>
      <c r="CE1083" s="292"/>
      <c r="CF1083" s="292"/>
      <c r="CG1083" s="89"/>
    </row>
    <row r="1084" spans="1:86" s="23" customFormat="1" ht="11.45" customHeight="1" x14ac:dyDescent="0.3">
      <c r="A1084" s="273" t="s">
        <v>727</v>
      </c>
      <c r="B1084" s="273" t="s">
        <v>1169</v>
      </c>
      <c r="C1084" s="273" t="s">
        <v>733</v>
      </c>
      <c r="D1084" s="273" t="s">
        <v>619</v>
      </c>
      <c r="E1084" s="462" t="s">
        <v>1504</v>
      </c>
      <c r="F1084" s="462">
        <v>1</v>
      </c>
      <c r="G1084" s="273">
        <v>4</v>
      </c>
      <c r="H1084" s="273">
        <v>4</v>
      </c>
      <c r="I1084" s="273" t="s">
        <v>320</v>
      </c>
      <c r="J1084" s="273">
        <v>1979</v>
      </c>
      <c r="K1084" s="273" t="s">
        <v>956</v>
      </c>
      <c r="L1084" s="273">
        <v>1983</v>
      </c>
      <c r="M1084" s="471">
        <v>-9999</v>
      </c>
      <c r="N1084" s="273">
        <v>-9999</v>
      </c>
      <c r="O1084" s="29"/>
      <c r="P1084" s="414">
        <f>+T1084*G1084</f>
        <v>47.2</v>
      </c>
      <c r="Q1084" s="273">
        <v>-9999</v>
      </c>
      <c r="R1084" s="471"/>
      <c r="S1084" s="273"/>
      <c r="T1084" s="471">
        <v>11.8</v>
      </c>
      <c r="U1084" s="273">
        <v>-9999</v>
      </c>
      <c r="V1084" s="273"/>
      <c r="W1084" s="471">
        <v>-9999</v>
      </c>
      <c r="X1084" s="273">
        <v>-9999</v>
      </c>
      <c r="Y1084" s="273"/>
      <c r="Z1084" s="461" t="s">
        <v>67</v>
      </c>
      <c r="AA1084" s="580">
        <v>6944</v>
      </c>
      <c r="AB1084" s="471">
        <v>0.95599999999999996</v>
      </c>
      <c r="AC1084" s="273">
        <v>-9999</v>
      </c>
      <c r="AD1084" s="273">
        <v>-9999</v>
      </c>
      <c r="AE1084" s="273" t="s">
        <v>1095</v>
      </c>
      <c r="AF1084" s="273">
        <v>5</v>
      </c>
      <c r="AG1084" s="273" t="s">
        <v>1087</v>
      </c>
      <c r="AH1084" s="273" t="s">
        <v>567</v>
      </c>
      <c r="AI1084" s="273" t="s">
        <v>1103</v>
      </c>
      <c r="AJ1084" s="273" t="s">
        <v>1100</v>
      </c>
      <c r="AK1084" s="273" t="s">
        <v>626</v>
      </c>
      <c r="AL1084" s="273" t="s">
        <v>1099</v>
      </c>
      <c r="AM1084" s="273"/>
      <c r="AN1084" s="273" t="s">
        <v>626</v>
      </c>
      <c r="AO1084" s="273" t="s">
        <v>1092</v>
      </c>
      <c r="AP1084" s="273" t="s">
        <v>577</v>
      </c>
      <c r="AQ1084" s="273" t="s">
        <v>626</v>
      </c>
      <c r="AR1084" s="273">
        <v>225</v>
      </c>
      <c r="AS1084" s="273" t="s">
        <v>1201</v>
      </c>
      <c r="AT1084" s="273" t="s">
        <v>738</v>
      </c>
      <c r="AU1084" s="273">
        <v>0</v>
      </c>
      <c r="AV1084" s="273">
        <v>-9999</v>
      </c>
      <c r="AW1084" s="273">
        <v>-9999</v>
      </c>
      <c r="AX1084" s="273">
        <v>0</v>
      </c>
      <c r="AY1084" s="273">
        <v>-9999</v>
      </c>
      <c r="AZ1084" s="273">
        <v>-9999</v>
      </c>
      <c r="BA1084" s="273" t="s">
        <v>1102</v>
      </c>
      <c r="BB1084" s="273" t="s">
        <v>631</v>
      </c>
      <c r="BC1084" s="273">
        <v>-9999</v>
      </c>
      <c r="BD1084" s="273">
        <v>-9999</v>
      </c>
      <c r="BE1084" s="273">
        <v>-9999</v>
      </c>
      <c r="BF1084" s="273">
        <v>-9999</v>
      </c>
      <c r="BG1084" s="273">
        <v>-9999</v>
      </c>
      <c r="BH1084" s="273">
        <v>-9999</v>
      </c>
      <c r="BI1084" s="273">
        <v>-9999</v>
      </c>
      <c r="BJ1084" s="273">
        <v>19.5</v>
      </c>
      <c r="BK1084" s="273">
        <v>-9999</v>
      </c>
      <c r="BL1084" s="273">
        <v>10.5</v>
      </c>
      <c r="BM1084" s="273">
        <v>-9999</v>
      </c>
      <c r="BN1084" s="273">
        <v>-9999</v>
      </c>
      <c r="BO1084" s="273">
        <v>-9999</v>
      </c>
      <c r="BP1084" s="273">
        <v>-9999</v>
      </c>
      <c r="BQ1084" s="273">
        <v>-9999</v>
      </c>
      <c r="BR1084" s="273">
        <v>-9999</v>
      </c>
      <c r="BS1084" s="584">
        <f>+BT1084*14.286</f>
        <v>1214.31</v>
      </c>
      <c r="BT1084" s="468">
        <v>85</v>
      </c>
      <c r="BU1084" s="273">
        <v>-9999</v>
      </c>
      <c r="BV1084" s="273">
        <v>-9999</v>
      </c>
      <c r="BW1084" s="273"/>
      <c r="BX1084" s="273">
        <v>-9999</v>
      </c>
      <c r="BY1084" s="273">
        <v>-9999</v>
      </c>
      <c r="BZ1084" s="273">
        <v>-9999</v>
      </c>
      <c r="CA1084" s="472" t="s">
        <v>1096</v>
      </c>
      <c r="CB1084" s="473"/>
      <c r="CC1084" s="90">
        <v>1</v>
      </c>
      <c r="CD1084" s="89">
        <v>4</v>
      </c>
      <c r="CE1084" s="292">
        <v>11.8</v>
      </c>
      <c r="CF1084" s="292">
        <v>-9999</v>
      </c>
      <c r="CG1084" s="89">
        <v>4</v>
      </c>
      <c r="CH1084" s="23">
        <v>11.8</v>
      </c>
    </row>
    <row r="1085" spans="1:86" s="23" customFormat="1" ht="11.45" customHeight="1" x14ac:dyDescent="0.2">
      <c r="A1085" s="273"/>
      <c r="B1085" s="273"/>
      <c r="C1085" s="273"/>
      <c r="D1085" s="273"/>
      <c r="E1085" s="462"/>
      <c r="F1085" s="462"/>
      <c r="G1085" s="273"/>
      <c r="H1085" s="273"/>
      <c r="I1085" s="273"/>
      <c r="J1085" s="273"/>
      <c r="K1085" s="273"/>
      <c r="L1085" s="273"/>
      <c r="M1085" s="471"/>
      <c r="N1085" s="273"/>
      <c r="O1085" s="29"/>
      <c r="P1085" s="414"/>
      <c r="Q1085" s="273"/>
      <c r="R1085" s="471"/>
      <c r="S1085" s="273"/>
      <c r="T1085" s="471"/>
      <c r="U1085" s="273"/>
      <c r="V1085" s="273"/>
      <c r="W1085" s="471"/>
      <c r="X1085" s="273"/>
      <c r="Y1085" s="273"/>
      <c r="Z1085" s="461"/>
      <c r="AA1085" s="580"/>
      <c r="AB1085" s="471"/>
      <c r="AC1085" s="273"/>
      <c r="AD1085" s="273"/>
      <c r="AE1085" s="273"/>
      <c r="AF1085" s="273"/>
      <c r="AG1085" s="273"/>
      <c r="AH1085" s="273"/>
      <c r="AI1085" s="273"/>
      <c r="AJ1085" s="273"/>
      <c r="AK1085" s="273"/>
      <c r="AL1085" s="273"/>
      <c r="AM1085" s="273"/>
      <c r="AN1085" s="273"/>
      <c r="AO1085" s="273"/>
      <c r="AP1085" s="273"/>
      <c r="AQ1085" s="273"/>
      <c r="AR1085" s="273"/>
      <c r="AS1085" s="273"/>
      <c r="AT1085" s="273"/>
      <c r="AU1085" s="273"/>
      <c r="AV1085" s="273"/>
      <c r="AW1085" s="273"/>
      <c r="AX1085" s="273"/>
      <c r="AY1085" s="273"/>
      <c r="AZ1085" s="273"/>
      <c r="BA1085" s="273"/>
      <c r="BB1085" s="273"/>
      <c r="BC1085" s="273"/>
      <c r="BD1085" s="273"/>
      <c r="BE1085" s="273"/>
      <c r="BF1085" s="273"/>
      <c r="BG1085" s="273"/>
      <c r="BH1085" s="273"/>
      <c r="BI1085" s="273"/>
      <c r="BJ1085" s="273"/>
      <c r="BK1085" s="273"/>
      <c r="BL1085" s="273"/>
      <c r="BM1085" s="273"/>
      <c r="BN1085" s="273"/>
      <c r="BO1085" s="273"/>
      <c r="BP1085" s="273"/>
      <c r="BQ1085" s="273"/>
      <c r="BR1085" s="273"/>
      <c r="BS1085" s="584"/>
      <c r="BT1085" s="468"/>
      <c r="BU1085" s="273"/>
      <c r="BV1085" s="273"/>
      <c r="BW1085" s="273"/>
      <c r="BX1085" s="273"/>
      <c r="BY1085" s="273"/>
      <c r="BZ1085" s="273"/>
      <c r="CA1085" s="472"/>
      <c r="CB1085" s="473"/>
      <c r="CC1085" s="90"/>
      <c r="CD1085" s="89"/>
      <c r="CE1085" s="292"/>
      <c r="CF1085" s="292"/>
      <c r="CG1085" s="89"/>
    </row>
    <row r="1086" spans="1:86" s="23" customFormat="1" ht="11.45" customHeight="1" x14ac:dyDescent="0.3">
      <c r="A1086" s="273" t="s">
        <v>727</v>
      </c>
      <c r="B1086" s="273" t="s">
        <v>1169</v>
      </c>
      <c r="C1086" s="273" t="s">
        <v>733</v>
      </c>
      <c r="D1086" s="273" t="s">
        <v>619</v>
      </c>
      <c r="E1086" s="462" t="s">
        <v>1504</v>
      </c>
      <c r="F1086" s="462">
        <v>2</v>
      </c>
      <c r="G1086" s="273">
        <v>4</v>
      </c>
      <c r="H1086" s="273">
        <v>8</v>
      </c>
      <c r="I1086" s="273" t="s">
        <v>320</v>
      </c>
      <c r="J1086" s="273">
        <v>1979</v>
      </c>
      <c r="K1086" s="273" t="s">
        <v>842</v>
      </c>
      <c r="L1086" s="273">
        <v>1987</v>
      </c>
      <c r="M1086" s="471">
        <v>-9999</v>
      </c>
      <c r="N1086" s="273">
        <v>-9999</v>
      </c>
      <c r="O1086" s="29"/>
      <c r="P1086" s="414">
        <f>+T1086*G1086</f>
        <v>55.2</v>
      </c>
      <c r="Q1086" s="273">
        <v>-9999</v>
      </c>
      <c r="R1086" s="471"/>
      <c r="S1086" s="273"/>
      <c r="T1086" s="471">
        <v>13.8</v>
      </c>
      <c r="U1086" s="273">
        <v>-9999</v>
      </c>
      <c r="V1086" s="273"/>
      <c r="W1086" s="471">
        <v>-9999</v>
      </c>
      <c r="X1086" s="273">
        <v>-9999</v>
      </c>
      <c r="Y1086" s="273"/>
      <c r="Z1086" s="461" t="s">
        <v>67</v>
      </c>
      <c r="AA1086" s="580">
        <v>6944</v>
      </c>
      <c r="AB1086" s="471">
        <v>-9999</v>
      </c>
      <c r="AC1086" s="273">
        <v>-9999</v>
      </c>
      <c r="AD1086" s="273">
        <v>-9999</v>
      </c>
      <c r="AE1086" s="273" t="s">
        <v>1095</v>
      </c>
      <c r="AF1086" s="273">
        <v>3</v>
      </c>
      <c r="AG1086" s="273" t="s">
        <v>1087</v>
      </c>
      <c r="AH1086" s="273" t="s">
        <v>567</v>
      </c>
      <c r="AI1086" s="273" t="s">
        <v>1103</v>
      </c>
      <c r="AJ1086" s="273" t="s">
        <v>1100</v>
      </c>
      <c r="AK1086" s="273" t="s">
        <v>626</v>
      </c>
      <c r="AL1086" s="273" t="s">
        <v>1099</v>
      </c>
      <c r="AM1086" s="273"/>
      <c r="AN1086" s="273" t="s">
        <v>626</v>
      </c>
      <c r="AO1086" s="273" t="s">
        <v>1092</v>
      </c>
      <c r="AP1086" s="273" t="s">
        <v>577</v>
      </c>
      <c r="AQ1086" s="273" t="s">
        <v>626</v>
      </c>
      <c r="AR1086" s="273">
        <v>133</v>
      </c>
      <c r="AS1086" s="273" t="s">
        <v>1201</v>
      </c>
      <c r="AT1086" s="273" t="s">
        <v>687</v>
      </c>
      <c r="AU1086" s="273">
        <v>0</v>
      </c>
      <c r="AV1086" s="273">
        <v>-9999</v>
      </c>
      <c r="AW1086" s="273">
        <v>-9999</v>
      </c>
      <c r="AX1086" s="273">
        <v>0</v>
      </c>
      <c r="AY1086" s="273">
        <v>-9999</v>
      </c>
      <c r="AZ1086" s="273">
        <v>-9999</v>
      </c>
      <c r="BA1086" s="273" t="s">
        <v>1102</v>
      </c>
      <c r="BB1086" s="273" t="s">
        <v>631</v>
      </c>
      <c r="BC1086" s="273">
        <v>-9999</v>
      </c>
      <c r="BD1086" s="273">
        <v>-9999</v>
      </c>
      <c r="BE1086" s="273">
        <v>-9999</v>
      </c>
      <c r="BF1086" s="273">
        <v>-9999</v>
      </c>
      <c r="BG1086" s="273">
        <v>-9999</v>
      </c>
      <c r="BH1086" s="273">
        <v>-9999</v>
      </c>
      <c r="BI1086" s="273" t="s">
        <v>629</v>
      </c>
      <c r="BJ1086" s="273">
        <v>-9999</v>
      </c>
      <c r="BK1086" s="273">
        <v>-9999</v>
      </c>
      <c r="BL1086" s="273">
        <v>-9999</v>
      </c>
      <c r="BM1086" s="273">
        <v>-9999</v>
      </c>
      <c r="BN1086" s="273">
        <v>-9999</v>
      </c>
      <c r="BO1086" s="273">
        <v>-9999</v>
      </c>
      <c r="BP1086" s="273">
        <v>-9999</v>
      </c>
      <c r="BQ1086" s="273">
        <v>-9999</v>
      </c>
      <c r="BR1086" s="273">
        <v>-9999</v>
      </c>
      <c r="BS1086" s="468">
        <v>-9999</v>
      </c>
      <c r="BT1086" s="273">
        <v>-9999</v>
      </c>
      <c r="BU1086" s="273">
        <v>-9999</v>
      </c>
      <c r="BV1086" s="273">
        <v>-9999</v>
      </c>
      <c r="BW1086" s="273"/>
      <c r="BX1086" s="273">
        <v>-9999</v>
      </c>
      <c r="BY1086" s="273">
        <v>-9999</v>
      </c>
      <c r="BZ1086" s="273">
        <v>-9999</v>
      </c>
      <c r="CA1086" s="472" t="s">
        <v>1096</v>
      </c>
      <c r="CB1086" s="473"/>
      <c r="CC1086" s="90">
        <v>2</v>
      </c>
      <c r="CD1086" s="89">
        <v>4</v>
      </c>
      <c r="CE1086" s="292">
        <v>13.8</v>
      </c>
      <c r="CF1086" s="292">
        <v>-9999</v>
      </c>
      <c r="CG1086" s="89">
        <v>8</v>
      </c>
      <c r="CH1086" s="23">
        <v>13.8</v>
      </c>
    </row>
    <row r="1087" spans="1:86" s="23" customFormat="1" ht="11.45" customHeight="1" x14ac:dyDescent="0.2">
      <c r="A1087" s="273"/>
      <c r="B1087" s="273"/>
      <c r="C1087" s="273"/>
      <c r="D1087" s="273"/>
      <c r="E1087" s="462"/>
      <c r="F1087" s="462"/>
      <c r="G1087" s="273"/>
      <c r="H1087" s="273"/>
      <c r="I1087" s="273"/>
      <c r="J1087" s="273"/>
      <c r="K1087" s="273"/>
      <c r="L1087" s="273"/>
      <c r="M1087" s="471"/>
      <c r="N1087" s="273"/>
      <c r="O1087" s="29"/>
      <c r="P1087" s="414"/>
      <c r="Q1087" s="273"/>
      <c r="R1087" s="471"/>
      <c r="S1087" s="273"/>
      <c r="T1087" s="471"/>
      <c r="U1087" s="273"/>
      <c r="V1087" s="273"/>
      <c r="W1087" s="471"/>
      <c r="X1087" s="273"/>
      <c r="Y1087" s="273"/>
      <c r="Z1087" s="461"/>
      <c r="AA1087" s="580"/>
      <c r="AB1087" s="471"/>
      <c r="AC1087" s="273"/>
      <c r="AD1087" s="273"/>
      <c r="AE1087" s="273"/>
      <c r="AF1087" s="273"/>
      <c r="AG1087" s="273"/>
      <c r="AH1087" s="273"/>
      <c r="AI1087" s="273"/>
      <c r="AJ1087" s="273"/>
      <c r="AK1087" s="273"/>
      <c r="AL1087" s="273"/>
      <c r="AM1087" s="273"/>
      <c r="AN1087" s="273"/>
      <c r="AO1087" s="273"/>
      <c r="AP1087" s="273"/>
      <c r="AQ1087" s="273"/>
      <c r="AR1087" s="273"/>
      <c r="AS1087" s="273"/>
      <c r="AT1087" s="273"/>
      <c r="AU1087" s="273"/>
      <c r="AV1087" s="273"/>
      <c r="AW1087" s="273"/>
      <c r="AX1087" s="273"/>
      <c r="AY1087" s="273"/>
      <c r="AZ1087" s="273"/>
      <c r="BA1087" s="273"/>
      <c r="BB1087" s="273"/>
      <c r="BC1087" s="273"/>
      <c r="BD1087" s="273"/>
      <c r="BE1087" s="273"/>
      <c r="BF1087" s="273"/>
      <c r="BG1087" s="273"/>
      <c r="BH1087" s="273"/>
      <c r="BI1087" s="273"/>
      <c r="BJ1087" s="273"/>
      <c r="BK1087" s="273"/>
      <c r="BL1087" s="273"/>
      <c r="BM1087" s="273"/>
      <c r="BN1087" s="273"/>
      <c r="BO1087" s="273"/>
      <c r="BP1087" s="273"/>
      <c r="BQ1087" s="273"/>
      <c r="BR1087" s="273"/>
      <c r="BS1087" s="584"/>
      <c r="BT1087" s="273"/>
      <c r="BU1087" s="273"/>
      <c r="BV1087" s="273"/>
      <c r="BW1087" s="273"/>
      <c r="BX1087" s="273"/>
      <c r="BY1087" s="273"/>
      <c r="BZ1087" s="273"/>
      <c r="CA1087" s="472"/>
      <c r="CB1087" s="473"/>
      <c r="CC1087" s="90"/>
      <c r="CD1087" s="89"/>
      <c r="CE1087" s="292"/>
      <c r="CF1087" s="292"/>
      <c r="CG1087" s="89"/>
    </row>
    <row r="1088" spans="1:86" s="23" customFormat="1" ht="11.45" customHeight="1" x14ac:dyDescent="0.3">
      <c r="A1088" s="273" t="s">
        <v>727</v>
      </c>
      <c r="B1088" s="273" t="s">
        <v>1169</v>
      </c>
      <c r="C1088" s="273" t="s">
        <v>734</v>
      </c>
      <c r="D1088" s="273" t="s">
        <v>619</v>
      </c>
      <c r="E1088" s="462" t="s">
        <v>1504</v>
      </c>
      <c r="F1088" s="462">
        <v>1</v>
      </c>
      <c r="G1088" s="273">
        <v>4</v>
      </c>
      <c r="H1088" s="273">
        <v>4</v>
      </c>
      <c r="I1088" s="273" t="s">
        <v>320</v>
      </c>
      <c r="J1088" s="273">
        <v>1979</v>
      </c>
      <c r="K1088" s="273" t="s">
        <v>956</v>
      </c>
      <c r="L1088" s="273">
        <v>1983</v>
      </c>
      <c r="M1088" s="471">
        <v>-9999</v>
      </c>
      <c r="N1088" s="273">
        <v>-9999</v>
      </c>
      <c r="O1088" s="29"/>
      <c r="P1088" s="414">
        <f>+T1088*G1088</f>
        <v>45.6</v>
      </c>
      <c r="Q1088" s="273">
        <v>-9999</v>
      </c>
      <c r="R1088" s="471"/>
      <c r="S1088" s="273"/>
      <c r="T1088" s="471">
        <v>11.4</v>
      </c>
      <c r="U1088" s="273">
        <v>-9999</v>
      </c>
      <c r="V1088" s="273"/>
      <c r="W1088" s="471">
        <v>-9999</v>
      </c>
      <c r="X1088" s="273">
        <v>-9999</v>
      </c>
      <c r="Y1088" s="273"/>
      <c r="Z1088" s="461" t="s">
        <v>67</v>
      </c>
      <c r="AA1088" s="580">
        <v>6944</v>
      </c>
      <c r="AB1088" s="471">
        <v>0.96399999999999997</v>
      </c>
      <c r="AC1088" s="273">
        <v>-9999</v>
      </c>
      <c r="AD1088" s="273">
        <v>-9999</v>
      </c>
      <c r="AE1088" s="273" t="s">
        <v>1095</v>
      </c>
      <c r="AF1088" s="273">
        <v>5</v>
      </c>
      <c r="AG1088" s="273" t="s">
        <v>1087</v>
      </c>
      <c r="AH1088" s="273" t="s">
        <v>567</v>
      </c>
      <c r="AI1088" s="273" t="s">
        <v>1103</v>
      </c>
      <c r="AJ1088" s="273" t="s">
        <v>1100</v>
      </c>
      <c r="AK1088" s="273" t="s">
        <v>626</v>
      </c>
      <c r="AL1088" s="273" t="s">
        <v>1099</v>
      </c>
      <c r="AM1088" s="273"/>
      <c r="AN1088" s="273" t="s">
        <v>626</v>
      </c>
      <c r="AO1088" s="273" t="s">
        <v>1092</v>
      </c>
      <c r="AP1088" s="273" t="s">
        <v>577</v>
      </c>
      <c r="AQ1088" s="273" t="s">
        <v>626</v>
      </c>
      <c r="AR1088" s="273">
        <v>225</v>
      </c>
      <c r="AS1088" s="273" t="s">
        <v>1201</v>
      </c>
      <c r="AT1088" s="273" t="s">
        <v>738</v>
      </c>
      <c r="AU1088" s="273">
        <v>0</v>
      </c>
      <c r="AV1088" s="273">
        <v>-9999</v>
      </c>
      <c r="AW1088" s="273">
        <v>-9999</v>
      </c>
      <c r="AX1088" s="273">
        <v>0</v>
      </c>
      <c r="AY1088" s="273">
        <v>-9999</v>
      </c>
      <c r="AZ1088" s="273">
        <v>-9999</v>
      </c>
      <c r="BA1088" s="273" t="s">
        <v>1102</v>
      </c>
      <c r="BB1088" s="273" t="s">
        <v>631</v>
      </c>
      <c r="BC1088" s="273">
        <v>-9999</v>
      </c>
      <c r="BD1088" s="273">
        <v>-9999</v>
      </c>
      <c r="BE1088" s="273">
        <v>-9999</v>
      </c>
      <c r="BF1088" s="273">
        <v>-9999</v>
      </c>
      <c r="BG1088" s="273">
        <v>-9999</v>
      </c>
      <c r="BH1088" s="273">
        <v>-9999</v>
      </c>
      <c r="BI1088" s="273">
        <v>-9999</v>
      </c>
      <c r="BJ1088" s="273">
        <v>18.899999999999999</v>
      </c>
      <c r="BK1088" s="273">
        <v>-9999</v>
      </c>
      <c r="BL1088" s="273">
        <v>10.5</v>
      </c>
      <c r="BM1088" s="273">
        <v>-9999</v>
      </c>
      <c r="BN1088" s="273">
        <v>-9999</v>
      </c>
      <c r="BO1088" s="273">
        <v>-9999</v>
      </c>
      <c r="BP1088" s="273">
        <v>-9999</v>
      </c>
      <c r="BQ1088" s="273">
        <v>-9999</v>
      </c>
      <c r="BR1088" s="273">
        <v>-9999</v>
      </c>
      <c r="BS1088" s="584">
        <f>+BT1088*14.286</f>
        <v>1185.7380000000001</v>
      </c>
      <c r="BT1088" s="468">
        <v>83</v>
      </c>
      <c r="BU1088" s="273">
        <v>-9999</v>
      </c>
      <c r="BV1088" s="273">
        <v>-9999</v>
      </c>
      <c r="BW1088" s="273"/>
      <c r="BX1088" s="273">
        <v>-9999</v>
      </c>
      <c r="BY1088" s="273">
        <v>-9999</v>
      </c>
      <c r="BZ1088" s="273">
        <v>-9999</v>
      </c>
      <c r="CA1088" s="472" t="s">
        <v>1096</v>
      </c>
      <c r="CB1088" s="473"/>
      <c r="CC1088" s="90">
        <v>1</v>
      </c>
      <c r="CD1088" s="89">
        <v>4</v>
      </c>
      <c r="CE1088" s="292">
        <v>11.4</v>
      </c>
      <c r="CF1088" s="292">
        <v>-9999</v>
      </c>
      <c r="CG1088" s="89">
        <v>4</v>
      </c>
      <c r="CH1088" s="23">
        <v>11.4</v>
      </c>
    </row>
    <row r="1089" spans="1:1873" s="23" customFormat="1" ht="11.45" customHeight="1" x14ac:dyDescent="0.2">
      <c r="A1089" s="273"/>
      <c r="B1089" s="273"/>
      <c r="C1089" s="273"/>
      <c r="D1089" s="273"/>
      <c r="E1089" s="462"/>
      <c r="F1089" s="462"/>
      <c r="G1089" s="273"/>
      <c r="H1089" s="273"/>
      <c r="I1089" s="273"/>
      <c r="J1089" s="273"/>
      <c r="K1089" s="273"/>
      <c r="L1089" s="273"/>
      <c r="M1089" s="471"/>
      <c r="N1089" s="273"/>
      <c r="O1089" s="29"/>
      <c r="P1089" s="414"/>
      <c r="Q1089" s="273"/>
      <c r="R1089" s="471"/>
      <c r="S1089" s="273"/>
      <c r="T1089" s="471"/>
      <c r="U1089" s="273"/>
      <c r="V1089" s="273"/>
      <c r="W1089" s="471"/>
      <c r="X1089" s="273"/>
      <c r="Y1089" s="273"/>
      <c r="Z1089" s="461"/>
      <c r="AA1089" s="580"/>
      <c r="AB1089" s="471"/>
      <c r="AC1089" s="273"/>
      <c r="AD1089" s="273"/>
      <c r="AE1089" s="273"/>
      <c r="AF1089" s="273"/>
      <c r="AG1089" s="273"/>
      <c r="AH1089" s="273"/>
      <c r="AI1089" s="273"/>
      <c r="AJ1089" s="273"/>
      <c r="AK1089" s="273"/>
      <c r="AL1089" s="273"/>
      <c r="AM1089" s="273"/>
      <c r="AN1089" s="273"/>
      <c r="AO1089" s="273"/>
      <c r="AP1089" s="273"/>
      <c r="AQ1089" s="273"/>
      <c r="AR1089" s="273"/>
      <c r="AS1089" s="273"/>
      <c r="AT1089" s="273"/>
      <c r="AU1089" s="273"/>
      <c r="AV1089" s="273"/>
      <c r="AW1089" s="273"/>
      <c r="AX1089" s="273"/>
      <c r="AY1089" s="273"/>
      <c r="AZ1089" s="273"/>
      <c r="BA1089" s="273"/>
      <c r="BB1089" s="273"/>
      <c r="BC1089" s="273"/>
      <c r="BD1089" s="273"/>
      <c r="BE1089" s="273"/>
      <c r="BF1089" s="273"/>
      <c r="BG1089" s="273"/>
      <c r="BH1089" s="273"/>
      <c r="BI1089" s="273"/>
      <c r="BJ1089" s="273"/>
      <c r="BK1089" s="273"/>
      <c r="BL1089" s="273"/>
      <c r="BM1089" s="273"/>
      <c r="BN1089" s="273"/>
      <c r="BO1089" s="273"/>
      <c r="BP1089" s="273"/>
      <c r="BQ1089" s="273"/>
      <c r="BR1089" s="273"/>
      <c r="BS1089" s="584"/>
      <c r="BT1089" s="468"/>
      <c r="BU1089" s="273"/>
      <c r="BV1089" s="273"/>
      <c r="BW1089" s="273"/>
      <c r="BX1089" s="273"/>
      <c r="BY1089" s="273"/>
      <c r="BZ1089" s="273"/>
      <c r="CA1089" s="472"/>
      <c r="CB1089" s="473"/>
      <c r="CC1089" s="90"/>
      <c r="CD1089" s="89"/>
      <c r="CE1089" s="292"/>
      <c r="CF1089" s="292"/>
      <c r="CG1089" s="89"/>
    </row>
    <row r="1090" spans="1:1873" s="23" customFormat="1" ht="11.45" customHeight="1" x14ac:dyDescent="0.3">
      <c r="A1090" s="273" t="s">
        <v>727</v>
      </c>
      <c r="B1090" s="273" t="s">
        <v>1169</v>
      </c>
      <c r="C1090" s="273" t="s">
        <v>734</v>
      </c>
      <c r="D1090" s="273" t="s">
        <v>619</v>
      </c>
      <c r="E1090" s="462" t="s">
        <v>1504</v>
      </c>
      <c r="F1090" s="462">
        <v>2</v>
      </c>
      <c r="G1090" s="273">
        <v>4</v>
      </c>
      <c r="H1090" s="273">
        <v>8</v>
      </c>
      <c r="I1090" s="273" t="s">
        <v>320</v>
      </c>
      <c r="J1090" s="273">
        <v>1979</v>
      </c>
      <c r="K1090" s="273" t="s">
        <v>842</v>
      </c>
      <c r="L1090" s="273">
        <v>1987</v>
      </c>
      <c r="M1090" s="471">
        <v>-9999</v>
      </c>
      <c r="N1090" s="273">
        <v>-9999</v>
      </c>
      <c r="O1090" s="29"/>
      <c r="P1090" s="414">
        <f>+T1090*G1090</f>
        <v>42</v>
      </c>
      <c r="Q1090" s="273">
        <v>-9999</v>
      </c>
      <c r="R1090" s="471"/>
      <c r="S1090" s="273"/>
      <c r="T1090" s="471">
        <v>10.5</v>
      </c>
      <c r="U1090" s="273">
        <v>-9999</v>
      </c>
      <c r="V1090" s="273"/>
      <c r="W1090" s="471">
        <v>-9999</v>
      </c>
      <c r="X1090" s="273">
        <v>-9999</v>
      </c>
      <c r="Y1090" s="273"/>
      <c r="Z1090" s="461" t="s">
        <v>67</v>
      </c>
      <c r="AA1090" s="580">
        <v>6944</v>
      </c>
      <c r="AB1090" s="471">
        <v>-9999</v>
      </c>
      <c r="AC1090" s="273">
        <v>-9999</v>
      </c>
      <c r="AD1090" s="273">
        <v>-9999</v>
      </c>
      <c r="AE1090" s="273" t="s">
        <v>1095</v>
      </c>
      <c r="AF1090" s="273">
        <v>3</v>
      </c>
      <c r="AG1090" s="273" t="s">
        <v>1087</v>
      </c>
      <c r="AH1090" s="273" t="s">
        <v>567</v>
      </c>
      <c r="AI1090" s="273" t="s">
        <v>1103</v>
      </c>
      <c r="AJ1090" s="273" t="s">
        <v>1100</v>
      </c>
      <c r="AK1090" s="273" t="s">
        <v>626</v>
      </c>
      <c r="AL1090" s="273" t="s">
        <v>1099</v>
      </c>
      <c r="AM1090" s="273"/>
      <c r="AN1090" s="273" t="s">
        <v>626</v>
      </c>
      <c r="AO1090" s="273" t="s">
        <v>1092</v>
      </c>
      <c r="AP1090" s="273" t="s">
        <v>577</v>
      </c>
      <c r="AQ1090" s="273" t="s">
        <v>626</v>
      </c>
      <c r="AR1090" s="273">
        <v>133</v>
      </c>
      <c r="AS1090" s="273" t="s">
        <v>1201</v>
      </c>
      <c r="AT1090" s="273" t="s">
        <v>687</v>
      </c>
      <c r="AU1090" s="273">
        <v>0</v>
      </c>
      <c r="AV1090" s="273">
        <v>-9999</v>
      </c>
      <c r="AW1090" s="273">
        <v>-9999</v>
      </c>
      <c r="AX1090" s="273">
        <v>0</v>
      </c>
      <c r="AY1090" s="273">
        <v>-9999</v>
      </c>
      <c r="AZ1090" s="273">
        <v>-9999</v>
      </c>
      <c r="BA1090" s="273" t="s">
        <v>1102</v>
      </c>
      <c r="BB1090" s="273" t="s">
        <v>631</v>
      </c>
      <c r="BC1090" s="273">
        <v>-9999</v>
      </c>
      <c r="BD1090" s="273">
        <v>-9999</v>
      </c>
      <c r="BE1090" s="273">
        <v>-9999</v>
      </c>
      <c r="BF1090" s="273">
        <v>-9999</v>
      </c>
      <c r="BG1090" s="273">
        <v>-9999</v>
      </c>
      <c r="BH1090" s="273">
        <v>-9999</v>
      </c>
      <c r="BI1090" s="273" t="s">
        <v>629</v>
      </c>
      <c r="BJ1090" s="273">
        <v>-9999</v>
      </c>
      <c r="BK1090" s="273">
        <v>-9999</v>
      </c>
      <c r="BL1090" s="273">
        <v>-9999</v>
      </c>
      <c r="BM1090" s="273">
        <v>-9999</v>
      </c>
      <c r="BN1090" s="273">
        <v>-9999</v>
      </c>
      <c r="BO1090" s="273">
        <v>-9999</v>
      </c>
      <c r="BP1090" s="273">
        <v>-9999</v>
      </c>
      <c r="BQ1090" s="273">
        <v>-9999</v>
      </c>
      <c r="BR1090" s="273">
        <v>-9999</v>
      </c>
      <c r="BS1090" s="468">
        <v>-9999</v>
      </c>
      <c r="BT1090" s="273">
        <v>-9999</v>
      </c>
      <c r="BU1090" s="273">
        <v>-9999</v>
      </c>
      <c r="BV1090" s="273">
        <v>-9999</v>
      </c>
      <c r="BW1090" s="273"/>
      <c r="BX1090" s="273">
        <v>-9999</v>
      </c>
      <c r="BY1090" s="273">
        <v>-9999</v>
      </c>
      <c r="BZ1090" s="273">
        <v>-9999</v>
      </c>
      <c r="CA1090" s="472" t="s">
        <v>1096</v>
      </c>
      <c r="CB1090" s="473"/>
      <c r="CC1090" s="90">
        <v>2</v>
      </c>
      <c r="CD1090" s="89">
        <v>4</v>
      </c>
      <c r="CE1090" s="292">
        <v>10.5</v>
      </c>
      <c r="CF1090" s="292">
        <v>-9999</v>
      </c>
      <c r="CG1090" s="89">
        <v>8</v>
      </c>
      <c r="CH1090" s="23">
        <v>10.5</v>
      </c>
    </row>
    <row r="1091" spans="1:1873" s="23" customFormat="1" ht="11.45" customHeight="1" x14ac:dyDescent="0.2">
      <c r="A1091" s="273"/>
      <c r="B1091" s="273"/>
      <c r="C1091" s="273"/>
      <c r="D1091" s="273"/>
      <c r="E1091" s="462"/>
      <c r="F1091" s="462"/>
      <c r="G1091" s="273"/>
      <c r="H1091" s="273"/>
      <c r="I1091" s="273"/>
      <c r="J1091" s="273"/>
      <c r="K1091" s="273"/>
      <c r="L1091" s="273"/>
      <c r="M1091" s="471"/>
      <c r="N1091" s="273"/>
      <c r="O1091" s="29"/>
      <c r="P1091" s="414"/>
      <c r="Q1091" s="273"/>
      <c r="R1091" s="471"/>
      <c r="S1091" s="273"/>
      <c r="T1091" s="471"/>
      <c r="U1091" s="273"/>
      <c r="V1091" s="273"/>
      <c r="W1091" s="471"/>
      <c r="X1091" s="273"/>
      <c r="Y1091" s="273"/>
      <c r="Z1091" s="461"/>
      <c r="AA1091" s="580"/>
      <c r="AB1091" s="471"/>
      <c r="AC1091" s="273"/>
      <c r="AD1091" s="273"/>
      <c r="AE1091" s="273"/>
      <c r="AF1091" s="273"/>
      <c r="AG1091" s="273"/>
      <c r="AH1091" s="273"/>
      <c r="AI1091" s="273"/>
      <c r="AJ1091" s="273"/>
      <c r="AK1091" s="273"/>
      <c r="AL1091" s="273"/>
      <c r="AM1091" s="273"/>
      <c r="AN1091" s="273"/>
      <c r="AO1091" s="273"/>
      <c r="AP1091" s="273"/>
      <c r="AQ1091" s="273"/>
      <c r="AR1091" s="273"/>
      <c r="AS1091" s="273"/>
      <c r="AT1091" s="273"/>
      <c r="AU1091" s="273"/>
      <c r="AV1091" s="273"/>
      <c r="AW1091" s="273"/>
      <c r="AX1091" s="273"/>
      <c r="AY1091" s="273"/>
      <c r="AZ1091" s="273"/>
      <c r="BA1091" s="273"/>
      <c r="BB1091" s="273"/>
      <c r="BC1091" s="273"/>
      <c r="BD1091" s="273"/>
      <c r="BE1091" s="273"/>
      <c r="BF1091" s="273"/>
      <c r="BG1091" s="273"/>
      <c r="BH1091" s="273"/>
      <c r="BI1091" s="273"/>
      <c r="BJ1091" s="273"/>
      <c r="BK1091" s="273"/>
      <c r="BL1091" s="273"/>
      <c r="BM1091" s="273"/>
      <c r="BN1091" s="273"/>
      <c r="BO1091" s="273"/>
      <c r="BP1091" s="273"/>
      <c r="BQ1091" s="273"/>
      <c r="BR1091" s="273"/>
      <c r="BS1091" s="584"/>
      <c r="BT1091" s="273"/>
      <c r="BU1091" s="273"/>
      <c r="BV1091" s="273"/>
      <c r="BW1091" s="273"/>
      <c r="BX1091" s="273"/>
      <c r="BY1091" s="273"/>
      <c r="BZ1091" s="273"/>
      <c r="CA1091" s="472"/>
      <c r="CB1091" s="473"/>
      <c r="CC1091" s="90"/>
      <c r="CD1091" s="89"/>
      <c r="CE1091" s="292"/>
      <c r="CF1091" s="292"/>
      <c r="CG1091" s="89"/>
    </row>
    <row r="1092" spans="1:1873" s="23" customFormat="1" ht="11.45" customHeight="1" x14ac:dyDescent="0.3">
      <c r="A1092" s="273" t="s">
        <v>727</v>
      </c>
      <c r="B1092" s="273" t="s">
        <v>1169</v>
      </c>
      <c r="C1092" s="273" t="s">
        <v>735</v>
      </c>
      <c r="D1092" s="273" t="s">
        <v>619</v>
      </c>
      <c r="E1092" s="462" t="s">
        <v>1504</v>
      </c>
      <c r="F1092" s="462">
        <v>1</v>
      </c>
      <c r="G1092" s="273">
        <v>4</v>
      </c>
      <c r="H1092" s="273">
        <v>4</v>
      </c>
      <c r="I1092" s="273" t="s">
        <v>320</v>
      </c>
      <c r="J1092" s="273">
        <v>1979</v>
      </c>
      <c r="K1092" s="273" t="s">
        <v>956</v>
      </c>
      <c r="L1092" s="273">
        <v>1983</v>
      </c>
      <c r="M1092" s="471">
        <v>-9999</v>
      </c>
      <c r="N1092" s="273">
        <v>-9999</v>
      </c>
      <c r="O1092" s="29"/>
      <c r="P1092" s="414">
        <f>+T1092*G1092</f>
        <v>42.8</v>
      </c>
      <c r="Q1092" s="273">
        <v>-9999</v>
      </c>
      <c r="R1092" s="471"/>
      <c r="S1092" s="273"/>
      <c r="T1092" s="471">
        <v>10.7</v>
      </c>
      <c r="U1092" s="273">
        <v>-9999</v>
      </c>
      <c r="V1092" s="273"/>
      <c r="W1092" s="471">
        <v>-9999</v>
      </c>
      <c r="X1092" s="273">
        <v>-9999</v>
      </c>
      <c r="Y1092" s="273"/>
      <c r="Z1092" s="461" t="s">
        <v>67</v>
      </c>
      <c r="AA1092" s="580">
        <v>6944</v>
      </c>
      <c r="AB1092" s="471">
        <v>1</v>
      </c>
      <c r="AC1092" s="273">
        <v>-9999</v>
      </c>
      <c r="AD1092" s="273">
        <v>-9999</v>
      </c>
      <c r="AE1092" s="273" t="s">
        <v>1095</v>
      </c>
      <c r="AF1092" s="273">
        <v>5</v>
      </c>
      <c r="AG1092" s="273" t="s">
        <v>1087</v>
      </c>
      <c r="AH1092" s="273" t="s">
        <v>567</v>
      </c>
      <c r="AI1092" s="273" t="s">
        <v>1103</v>
      </c>
      <c r="AJ1092" s="273" t="s">
        <v>1100</v>
      </c>
      <c r="AK1092" s="273" t="s">
        <v>626</v>
      </c>
      <c r="AL1092" s="273" t="s">
        <v>1099</v>
      </c>
      <c r="AM1092" s="273"/>
      <c r="AN1092" s="273" t="s">
        <v>626</v>
      </c>
      <c r="AO1092" s="273" t="s">
        <v>1092</v>
      </c>
      <c r="AP1092" s="273" t="s">
        <v>577</v>
      </c>
      <c r="AQ1092" s="273" t="s">
        <v>626</v>
      </c>
      <c r="AR1092" s="273">
        <v>225</v>
      </c>
      <c r="AS1092" s="273" t="s">
        <v>1201</v>
      </c>
      <c r="AT1092" s="273" t="s">
        <v>738</v>
      </c>
      <c r="AU1092" s="273">
        <v>0</v>
      </c>
      <c r="AV1092" s="273">
        <v>-9999</v>
      </c>
      <c r="AW1092" s="273">
        <v>-9999</v>
      </c>
      <c r="AX1092" s="273">
        <v>0</v>
      </c>
      <c r="AY1092" s="273">
        <v>-9999</v>
      </c>
      <c r="AZ1092" s="273">
        <v>-9999</v>
      </c>
      <c r="BA1092" s="273" t="s">
        <v>1102</v>
      </c>
      <c r="BB1092" s="273" t="s">
        <v>631</v>
      </c>
      <c r="BC1092" s="273">
        <v>-9999</v>
      </c>
      <c r="BD1092" s="273">
        <v>-9999</v>
      </c>
      <c r="BE1092" s="273">
        <v>-9999</v>
      </c>
      <c r="BF1092" s="273">
        <v>-9999</v>
      </c>
      <c r="BG1092" s="273">
        <v>-9999</v>
      </c>
      <c r="BH1092" s="273">
        <v>-9999</v>
      </c>
      <c r="BI1092" s="273">
        <v>-9999</v>
      </c>
      <c r="BJ1092" s="273">
        <v>19.5</v>
      </c>
      <c r="BK1092" s="273">
        <v>-9999</v>
      </c>
      <c r="BL1092" s="273">
        <v>9.6</v>
      </c>
      <c r="BM1092" s="273">
        <v>-9999</v>
      </c>
      <c r="BN1092" s="273">
        <v>-9999</v>
      </c>
      <c r="BO1092" s="273">
        <v>-9999</v>
      </c>
      <c r="BP1092" s="273">
        <v>-9999</v>
      </c>
      <c r="BQ1092" s="273">
        <v>-9999</v>
      </c>
      <c r="BR1092" s="273">
        <v>-9999</v>
      </c>
      <c r="BS1092" s="584">
        <f>+BT1092*14.286</f>
        <v>1171.452</v>
      </c>
      <c r="BT1092" s="468">
        <v>82</v>
      </c>
      <c r="BU1092" s="273">
        <v>-9999</v>
      </c>
      <c r="BV1092" s="273">
        <v>-9999</v>
      </c>
      <c r="BW1092" s="273"/>
      <c r="BX1092" s="273">
        <v>-9999</v>
      </c>
      <c r="BY1092" s="273">
        <v>-9999</v>
      </c>
      <c r="BZ1092" s="273">
        <v>-9999</v>
      </c>
      <c r="CA1092" s="472" t="s">
        <v>1096</v>
      </c>
      <c r="CB1092" s="473"/>
      <c r="CC1092" s="90">
        <v>1</v>
      </c>
      <c r="CD1092" s="89">
        <v>4</v>
      </c>
      <c r="CE1092" s="292">
        <v>10.7</v>
      </c>
      <c r="CF1092" s="292">
        <v>-9999</v>
      </c>
      <c r="CG1092" s="89">
        <v>4</v>
      </c>
      <c r="CH1092" s="23">
        <v>10.7</v>
      </c>
    </row>
    <row r="1093" spans="1:1873" s="23" customFormat="1" ht="11.45" customHeight="1" x14ac:dyDescent="0.2">
      <c r="A1093" s="273"/>
      <c r="B1093" s="273"/>
      <c r="C1093" s="273"/>
      <c r="D1093" s="273"/>
      <c r="E1093" s="462"/>
      <c r="F1093" s="462"/>
      <c r="G1093" s="273"/>
      <c r="H1093" s="273"/>
      <c r="I1093" s="273"/>
      <c r="J1093" s="273"/>
      <c r="K1093" s="273"/>
      <c r="L1093" s="273"/>
      <c r="M1093" s="471"/>
      <c r="N1093" s="273"/>
      <c r="O1093" s="29"/>
      <c r="P1093" s="414"/>
      <c r="Q1093" s="273"/>
      <c r="R1093" s="471"/>
      <c r="S1093" s="273"/>
      <c r="T1093" s="471"/>
      <c r="U1093" s="273"/>
      <c r="V1093" s="273"/>
      <c r="W1093" s="471"/>
      <c r="X1093" s="273"/>
      <c r="Y1093" s="273"/>
      <c r="Z1093" s="461"/>
      <c r="AA1093" s="580"/>
      <c r="AB1093" s="471"/>
      <c r="AC1093" s="273"/>
      <c r="AD1093" s="273"/>
      <c r="AE1093" s="273"/>
      <c r="AF1093" s="273"/>
      <c r="AG1093" s="273"/>
      <c r="AH1093" s="273"/>
      <c r="AI1093" s="273"/>
      <c r="AJ1093" s="273"/>
      <c r="AK1093" s="273"/>
      <c r="AL1093" s="273"/>
      <c r="AM1093" s="273"/>
      <c r="AN1093" s="273"/>
      <c r="AO1093" s="273"/>
      <c r="AP1093" s="273"/>
      <c r="AQ1093" s="273"/>
      <c r="AR1093" s="273"/>
      <c r="AS1093" s="273"/>
      <c r="AT1093" s="273"/>
      <c r="AU1093" s="273"/>
      <c r="AV1093" s="273"/>
      <c r="AW1093" s="273"/>
      <c r="AX1093" s="273"/>
      <c r="AY1093" s="273"/>
      <c r="AZ1093" s="273"/>
      <c r="BA1093" s="273"/>
      <c r="BB1093" s="273"/>
      <c r="BC1093" s="273"/>
      <c r="BD1093" s="273"/>
      <c r="BE1093" s="273"/>
      <c r="BF1093" s="273"/>
      <c r="BG1093" s="273"/>
      <c r="BH1093" s="273"/>
      <c r="BI1093" s="273"/>
      <c r="BJ1093" s="273"/>
      <c r="BK1093" s="273"/>
      <c r="BL1093" s="273"/>
      <c r="BM1093" s="273"/>
      <c r="BN1093" s="273"/>
      <c r="BO1093" s="273"/>
      <c r="BP1093" s="273"/>
      <c r="BQ1093" s="273"/>
      <c r="BR1093" s="273"/>
      <c r="BS1093" s="584"/>
      <c r="BT1093" s="468"/>
      <c r="BU1093" s="273"/>
      <c r="BV1093" s="273"/>
      <c r="BW1093" s="273"/>
      <c r="BX1093" s="273"/>
      <c r="BY1093" s="273"/>
      <c r="BZ1093" s="273"/>
      <c r="CA1093" s="472"/>
      <c r="CB1093" s="473"/>
      <c r="CC1093" s="90"/>
      <c r="CD1093" s="89"/>
      <c r="CE1093" s="292"/>
      <c r="CF1093" s="292"/>
      <c r="CG1093" s="89"/>
      <c r="CJ1093" s="301" t="s">
        <v>1592</v>
      </c>
    </row>
    <row r="1094" spans="1:1873" s="23" customFormat="1" ht="11.45" customHeight="1" x14ac:dyDescent="0.3">
      <c r="A1094" s="273" t="s">
        <v>727</v>
      </c>
      <c r="B1094" s="273" t="s">
        <v>1169</v>
      </c>
      <c r="C1094" s="273" t="s">
        <v>735</v>
      </c>
      <c r="D1094" s="273" t="s">
        <v>619</v>
      </c>
      <c r="E1094" s="462" t="s">
        <v>1504</v>
      </c>
      <c r="F1094" s="462">
        <v>2</v>
      </c>
      <c r="G1094" s="273">
        <v>4</v>
      </c>
      <c r="H1094" s="273">
        <v>8</v>
      </c>
      <c r="I1094" s="273" t="s">
        <v>320</v>
      </c>
      <c r="J1094" s="273">
        <v>1979</v>
      </c>
      <c r="K1094" s="273" t="s">
        <v>842</v>
      </c>
      <c r="L1094" s="273">
        <v>1987</v>
      </c>
      <c r="M1094" s="471">
        <v>-9999</v>
      </c>
      <c r="N1094" s="273">
        <v>-9999</v>
      </c>
      <c r="O1094" s="29"/>
      <c r="P1094" s="414">
        <f>+T1094*G1094</f>
        <v>35.6</v>
      </c>
      <c r="Q1094" s="273">
        <v>-9999</v>
      </c>
      <c r="R1094" s="471"/>
      <c r="S1094" s="273"/>
      <c r="T1094" s="471">
        <v>8.9</v>
      </c>
      <c r="U1094" s="273">
        <v>-9999</v>
      </c>
      <c r="V1094" s="273"/>
      <c r="W1094" s="471">
        <v>-9999</v>
      </c>
      <c r="X1094" s="273">
        <v>-9999</v>
      </c>
      <c r="Y1094" s="273"/>
      <c r="Z1094" s="461" t="s">
        <v>67</v>
      </c>
      <c r="AA1094" s="580">
        <v>6944</v>
      </c>
      <c r="AB1094" s="471">
        <v>-9999</v>
      </c>
      <c r="AC1094" s="273">
        <v>-9999</v>
      </c>
      <c r="AD1094" s="273">
        <v>-9999</v>
      </c>
      <c r="AE1094" s="273" t="s">
        <v>1095</v>
      </c>
      <c r="AF1094" s="273">
        <v>3</v>
      </c>
      <c r="AG1094" s="273" t="s">
        <v>1087</v>
      </c>
      <c r="AH1094" s="273" t="s">
        <v>567</v>
      </c>
      <c r="AI1094" s="273" t="s">
        <v>1103</v>
      </c>
      <c r="AJ1094" s="273" t="s">
        <v>1100</v>
      </c>
      <c r="AK1094" s="273" t="s">
        <v>626</v>
      </c>
      <c r="AL1094" s="273" t="s">
        <v>1099</v>
      </c>
      <c r="AM1094" s="273"/>
      <c r="AN1094" s="273" t="s">
        <v>626</v>
      </c>
      <c r="AO1094" s="273" t="s">
        <v>1092</v>
      </c>
      <c r="AP1094" s="273" t="s">
        <v>577</v>
      </c>
      <c r="AQ1094" s="273" t="s">
        <v>626</v>
      </c>
      <c r="AR1094" s="273">
        <v>133</v>
      </c>
      <c r="AS1094" s="273" t="s">
        <v>1201</v>
      </c>
      <c r="AT1094" s="273" t="s">
        <v>687</v>
      </c>
      <c r="AU1094" s="273">
        <v>0</v>
      </c>
      <c r="AV1094" s="273">
        <v>-9999</v>
      </c>
      <c r="AW1094" s="273">
        <v>-9999</v>
      </c>
      <c r="AX1094" s="273">
        <v>0</v>
      </c>
      <c r="AY1094" s="273">
        <v>-9999</v>
      </c>
      <c r="AZ1094" s="273">
        <v>-9999</v>
      </c>
      <c r="BA1094" s="273" t="s">
        <v>1102</v>
      </c>
      <c r="BB1094" s="273" t="s">
        <v>631</v>
      </c>
      <c r="BC1094" s="273">
        <v>-9999</v>
      </c>
      <c r="BD1094" s="273">
        <v>-9999</v>
      </c>
      <c r="BE1094" s="273">
        <v>-9999</v>
      </c>
      <c r="BF1094" s="273">
        <v>-9999</v>
      </c>
      <c r="BG1094" s="273">
        <v>-9999</v>
      </c>
      <c r="BH1094" s="273">
        <v>-9999</v>
      </c>
      <c r="BI1094" s="273" t="s">
        <v>629</v>
      </c>
      <c r="BJ1094" s="273">
        <v>-9999</v>
      </c>
      <c r="BK1094" s="273">
        <v>-9999</v>
      </c>
      <c r="BL1094" s="273">
        <v>-9999</v>
      </c>
      <c r="BM1094" s="273">
        <v>-9999</v>
      </c>
      <c r="BN1094" s="273">
        <v>-9999</v>
      </c>
      <c r="BO1094" s="273">
        <v>-9999</v>
      </c>
      <c r="BP1094" s="273">
        <v>-9999</v>
      </c>
      <c r="BQ1094" s="273">
        <v>-9999</v>
      </c>
      <c r="BR1094" s="273">
        <v>-9999</v>
      </c>
      <c r="BS1094" s="468">
        <v>-9999</v>
      </c>
      <c r="BT1094" s="273">
        <v>-9999</v>
      </c>
      <c r="BU1094" s="273">
        <v>-9999</v>
      </c>
      <c r="BV1094" s="273">
        <v>-9999</v>
      </c>
      <c r="BW1094" s="273"/>
      <c r="BX1094" s="273">
        <v>-9999</v>
      </c>
      <c r="BY1094" s="273">
        <v>-9999</v>
      </c>
      <c r="BZ1094" s="273">
        <v>-9999</v>
      </c>
      <c r="CA1094" s="472" t="s">
        <v>1096</v>
      </c>
      <c r="CB1094" s="473"/>
      <c r="CC1094" s="90">
        <v>2</v>
      </c>
      <c r="CD1094" s="89">
        <v>4</v>
      </c>
      <c r="CE1094" s="292">
        <v>8.9</v>
      </c>
      <c r="CF1094" s="292">
        <v>-9999</v>
      </c>
      <c r="CG1094" s="89">
        <v>8</v>
      </c>
      <c r="CH1094" s="23">
        <v>8.9</v>
      </c>
      <c r="CJ1094" s="301" t="s">
        <v>1593</v>
      </c>
    </row>
    <row r="1095" spans="1:1873" s="23" customFormat="1" ht="11.45" customHeight="1" x14ac:dyDescent="0.2">
      <c r="A1095" s="273"/>
      <c r="B1095" s="273"/>
      <c r="C1095" s="273"/>
      <c r="D1095" s="273"/>
      <c r="E1095" s="462"/>
      <c r="F1095" s="462"/>
      <c r="G1095" s="273"/>
      <c r="H1095" s="273"/>
      <c r="I1095" s="273"/>
      <c r="J1095" s="273"/>
      <c r="K1095" s="273"/>
      <c r="L1095" s="273"/>
      <c r="M1095" s="471"/>
      <c r="N1095" s="273"/>
      <c r="O1095" s="29"/>
      <c r="P1095" s="414"/>
      <c r="Q1095" s="273"/>
      <c r="R1095" s="471"/>
      <c r="S1095" s="273"/>
      <c r="T1095" s="471"/>
      <c r="U1095" s="273"/>
      <c r="V1095" s="273"/>
      <c r="W1095" s="471"/>
      <c r="X1095" s="273"/>
      <c r="Y1095" s="273"/>
      <c r="Z1095" s="461"/>
      <c r="AA1095" s="580"/>
      <c r="AB1095" s="471"/>
      <c r="AC1095" s="273"/>
      <c r="AD1095" s="273"/>
      <c r="AE1095" s="273"/>
      <c r="AF1095" s="273"/>
      <c r="AG1095" s="273"/>
      <c r="AH1095" s="273"/>
      <c r="AI1095" s="273"/>
      <c r="AJ1095" s="273"/>
      <c r="AK1095" s="273"/>
      <c r="AL1095" s="273"/>
      <c r="AM1095" s="273"/>
      <c r="AN1095" s="273"/>
      <c r="AO1095" s="273"/>
      <c r="AP1095" s="273"/>
      <c r="AQ1095" s="273"/>
      <c r="AR1095" s="273"/>
      <c r="AS1095" s="273"/>
      <c r="AT1095" s="273"/>
      <c r="AU1095" s="273"/>
      <c r="AV1095" s="273"/>
      <c r="AW1095" s="273"/>
      <c r="AX1095" s="273"/>
      <c r="AY1095" s="273"/>
      <c r="AZ1095" s="273"/>
      <c r="BA1095" s="273"/>
      <c r="BB1095" s="273"/>
      <c r="BC1095" s="273"/>
      <c r="BD1095" s="273"/>
      <c r="BE1095" s="273"/>
      <c r="BF1095" s="273"/>
      <c r="BG1095" s="273"/>
      <c r="BH1095" s="273"/>
      <c r="BI1095" s="273"/>
      <c r="BJ1095" s="273"/>
      <c r="BK1095" s="273"/>
      <c r="BL1095" s="273"/>
      <c r="BM1095" s="273"/>
      <c r="BN1095" s="273"/>
      <c r="BO1095" s="273"/>
      <c r="BP1095" s="273"/>
      <c r="BQ1095" s="273"/>
      <c r="BR1095" s="273"/>
      <c r="BS1095" s="584"/>
      <c r="BT1095" s="273"/>
      <c r="BU1095" s="273"/>
      <c r="BV1095" s="273"/>
      <c r="BW1095" s="273"/>
      <c r="BX1095" s="273"/>
      <c r="BY1095" s="273"/>
      <c r="BZ1095" s="273"/>
      <c r="CA1095" s="472"/>
      <c r="CB1095" s="473"/>
      <c r="CC1095" s="90"/>
      <c r="CD1095" s="89"/>
      <c r="CE1095" s="292"/>
      <c r="CF1095" s="292"/>
      <c r="CG1095" s="89"/>
    </row>
    <row r="1096" spans="1:1873" s="23" customFormat="1" ht="11.45" customHeight="1" x14ac:dyDescent="0.3">
      <c r="A1096" s="273" t="s">
        <v>727</v>
      </c>
      <c r="B1096" s="273" t="s">
        <v>1169</v>
      </c>
      <c r="C1096" s="273" t="s">
        <v>736</v>
      </c>
      <c r="D1096" s="273" t="s">
        <v>619</v>
      </c>
      <c r="E1096" s="462" t="s">
        <v>1504</v>
      </c>
      <c r="F1096" s="462">
        <v>1</v>
      </c>
      <c r="G1096" s="273">
        <v>4</v>
      </c>
      <c r="H1096" s="273">
        <v>4</v>
      </c>
      <c r="I1096" s="273" t="s">
        <v>320</v>
      </c>
      <c r="J1096" s="273">
        <v>1979</v>
      </c>
      <c r="K1096" s="273" t="s">
        <v>956</v>
      </c>
      <c r="L1096" s="273">
        <v>1983</v>
      </c>
      <c r="M1096" s="471">
        <v>-9999</v>
      </c>
      <c r="N1096" s="273">
        <v>-9999</v>
      </c>
      <c r="O1096" s="29"/>
      <c r="P1096" s="414">
        <f>+T1096*G1096</f>
        <v>40.799999999999997</v>
      </c>
      <c r="Q1096" s="273">
        <v>-9999</v>
      </c>
      <c r="R1096" s="471"/>
      <c r="S1096" s="273"/>
      <c r="T1096" s="471">
        <v>10.199999999999999</v>
      </c>
      <c r="U1096" s="273">
        <v>-9999</v>
      </c>
      <c r="V1096" s="273"/>
      <c r="W1096" s="471">
        <v>-9999</v>
      </c>
      <c r="X1096" s="273">
        <v>-9999</v>
      </c>
      <c r="Y1096" s="273"/>
      <c r="Z1096" s="461" t="s">
        <v>67</v>
      </c>
      <c r="AA1096" s="580">
        <v>6944</v>
      </c>
      <c r="AB1096" s="471">
        <v>0.95099999999999996</v>
      </c>
      <c r="AC1096" s="273">
        <v>-9999</v>
      </c>
      <c r="AD1096" s="273">
        <v>-9999</v>
      </c>
      <c r="AE1096" s="273" t="s">
        <v>1095</v>
      </c>
      <c r="AF1096" s="273">
        <v>5</v>
      </c>
      <c r="AG1096" s="273" t="s">
        <v>1087</v>
      </c>
      <c r="AH1096" s="273" t="s">
        <v>567</v>
      </c>
      <c r="AI1096" s="273" t="s">
        <v>1103</v>
      </c>
      <c r="AJ1096" s="273" t="s">
        <v>1100</v>
      </c>
      <c r="AK1096" s="273" t="s">
        <v>626</v>
      </c>
      <c r="AL1096" s="273" t="s">
        <v>1099</v>
      </c>
      <c r="AM1096" s="273"/>
      <c r="AN1096" s="273" t="s">
        <v>626</v>
      </c>
      <c r="AO1096" s="273" t="s">
        <v>1092</v>
      </c>
      <c r="AP1096" s="273" t="s">
        <v>577</v>
      </c>
      <c r="AQ1096" s="273" t="s">
        <v>626</v>
      </c>
      <c r="AR1096" s="273">
        <v>225</v>
      </c>
      <c r="AS1096" s="273" t="s">
        <v>1201</v>
      </c>
      <c r="AT1096" s="273" t="s">
        <v>738</v>
      </c>
      <c r="AU1096" s="273">
        <v>0</v>
      </c>
      <c r="AV1096" s="273">
        <v>-9999</v>
      </c>
      <c r="AW1096" s="273">
        <v>-9999</v>
      </c>
      <c r="AX1096" s="273">
        <v>0</v>
      </c>
      <c r="AY1096" s="273">
        <v>-9999</v>
      </c>
      <c r="AZ1096" s="273">
        <v>-9999</v>
      </c>
      <c r="BA1096" s="273" t="s">
        <v>1102</v>
      </c>
      <c r="BB1096" s="273" t="s">
        <v>631</v>
      </c>
      <c r="BC1096" s="273">
        <v>-9999</v>
      </c>
      <c r="BD1096" s="273">
        <v>-9999</v>
      </c>
      <c r="BE1096" s="273">
        <v>-9999</v>
      </c>
      <c r="BF1096" s="273">
        <v>-9999</v>
      </c>
      <c r="BG1096" s="273">
        <v>-9999</v>
      </c>
      <c r="BH1096" s="273">
        <v>-9999</v>
      </c>
      <c r="BI1096" s="273">
        <v>-9999</v>
      </c>
      <c r="BJ1096" s="273">
        <v>17.100000000000001</v>
      </c>
      <c r="BK1096" s="273">
        <v>-9999</v>
      </c>
      <c r="BL1096" s="273">
        <v>10</v>
      </c>
      <c r="BM1096" s="273">
        <v>-9999</v>
      </c>
      <c r="BN1096" s="273">
        <v>-9999</v>
      </c>
      <c r="BO1096" s="273">
        <v>-9999</v>
      </c>
      <c r="BP1096" s="273">
        <v>-9999</v>
      </c>
      <c r="BQ1096" s="273">
        <v>-9999</v>
      </c>
      <c r="BR1096" s="273">
        <v>-9999</v>
      </c>
      <c r="BS1096" s="584">
        <f>+BT1096*14.286</f>
        <v>1057.164</v>
      </c>
      <c r="BT1096" s="468">
        <v>74</v>
      </c>
      <c r="BU1096" s="273">
        <v>-9999</v>
      </c>
      <c r="BV1096" s="273">
        <v>-9999</v>
      </c>
      <c r="BW1096" s="273"/>
      <c r="BX1096" s="273">
        <v>-9999</v>
      </c>
      <c r="BY1096" s="273">
        <v>-9999</v>
      </c>
      <c r="BZ1096" s="273">
        <v>-9999</v>
      </c>
      <c r="CA1096" s="472" t="s">
        <v>1096</v>
      </c>
      <c r="CB1096" s="473"/>
      <c r="CC1096" s="90">
        <v>1</v>
      </c>
      <c r="CD1096" s="89">
        <v>4</v>
      </c>
      <c r="CE1096" s="292">
        <v>10.199999999999999</v>
      </c>
      <c r="CF1096" s="292">
        <v>-9999</v>
      </c>
      <c r="CG1096" s="89">
        <v>4</v>
      </c>
      <c r="CH1096" s="23">
        <v>10.199999999999999</v>
      </c>
      <c r="CJ1096" s="301" t="s">
        <v>1594</v>
      </c>
    </row>
    <row r="1097" spans="1:1873" s="23" customFormat="1" ht="11.45" customHeight="1" x14ac:dyDescent="0.2">
      <c r="A1097" s="273"/>
      <c r="B1097" s="273"/>
      <c r="C1097" s="273"/>
      <c r="D1097" s="273"/>
      <c r="E1097" s="462"/>
      <c r="F1097" s="462"/>
      <c r="G1097" s="273"/>
      <c r="H1097" s="273"/>
      <c r="I1097" s="273"/>
      <c r="J1097" s="273"/>
      <c r="K1097" s="273"/>
      <c r="L1097" s="273"/>
      <c r="M1097" s="471"/>
      <c r="N1097" s="273"/>
      <c r="O1097" s="29"/>
      <c r="P1097" s="414"/>
      <c r="Q1097" s="273"/>
      <c r="R1097" s="471"/>
      <c r="S1097" s="273"/>
      <c r="T1097" s="471"/>
      <c r="U1097" s="273"/>
      <c r="V1097" s="273"/>
      <c r="W1097" s="471"/>
      <c r="X1097" s="273"/>
      <c r="Y1097" s="273"/>
      <c r="Z1097" s="461"/>
      <c r="AA1097" s="580"/>
      <c r="AB1097" s="471"/>
      <c r="AC1097" s="273"/>
      <c r="AD1097" s="273"/>
      <c r="AE1097" s="273"/>
      <c r="AF1097" s="273"/>
      <c r="AG1097" s="273"/>
      <c r="AH1097" s="273"/>
      <c r="AI1097" s="273"/>
      <c r="AJ1097" s="273"/>
      <c r="AK1097" s="273"/>
      <c r="AL1097" s="273"/>
      <c r="AM1097" s="273"/>
      <c r="AN1097" s="273"/>
      <c r="AO1097" s="273"/>
      <c r="AP1097" s="273"/>
      <c r="AQ1097" s="273"/>
      <c r="AR1097" s="273"/>
      <c r="AS1097" s="273"/>
      <c r="AT1097" s="273"/>
      <c r="AU1097" s="273"/>
      <c r="AV1097" s="273"/>
      <c r="AW1097" s="273"/>
      <c r="AX1097" s="273"/>
      <c r="AY1097" s="273"/>
      <c r="AZ1097" s="273"/>
      <c r="BA1097" s="273"/>
      <c r="BB1097" s="273"/>
      <c r="BC1097" s="273"/>
      <c r="BD1097" s="273"/>
      <c r="BE1097" s="273"/>
      <c r="BF1097" s="273"/>
      <c r="BG1097" s="273"/>
      <c r="BH1097" s="273"/>
      <c r="BI1097" s="273"/>
      <c r="BJ1097" s="273"/>
      <c r="BK1097" s="273"/>
      <c r="BL1097" s="273"/>
      <c r="BM1097" s="273"/>
      <c r="BN1097" s="273"/>
      <c r="BO1097" s="273"/>
      <c r="BP1097" s="273"/>
      <c r="BQ1097" s="273"/>
      <c r="BR1097" s="273"/>
      <c r="BS1097" s="584"/>
      <c r="BT1097" s="468"/>
      <c r="BU1097" s="273"/>
      <c r="BV1097" s="273"/>
      <c r="BW1097" s="273"/>
      <c r="BX1097" s="273"/>
      <c r="BY1097" s="273"/>
      <c r="BZ1097" s="273"/>
      <c r="CA1097" s="472"/>
      <c r="CB1097" s="473"/>
      <c r="CC1097" s="90"/>
      <c r="CD1097" s="89"/>
      <c r="CE1097" s="292"/>
      <c r="CF1097" s="292"/>
      <c r="CG1097" s="89"/>
    </row>
    <row r="1098" spans="1:1873" s="23" customFormat="1" ht="11.45" customHeight="1" x14ac:dyDescent="0.3">
      <c r="A1098" s="273" t="s">
        <v>727</v>
      </c>
      <c r="B1098" s="273" t="s">
        <v>1169</v>
      </c>
      <c r="C1098" s="273" t="s">
        <v>736</v>
      </c>
      <c r="D1098" s="273" t="s">
        <v>619</v>
      </c>
      <c r="E1098" s="462" t="s">
        <v>1504</v>
      </c>
      <c r="F1098" s="462">
        <v>2</v>
      </c>
      <c r="G1098" s="273">
        <v>4</v>
      </c>
      <c r="H1098" s="273">
        <v>8</v>
      </c>
      <c r="I1098" s="273" t="s">
        <v>320</v>
      </c>
      <c r="J1098" s="273">
        <v>1979</v>
      </c>
      <c r="K1098" s="273" t="s">
        <v>842</v>
      </c>
      <c r="L1098" s="273">
        <v>1987</v>
      </c>
      <c r="M1098" s="471">
        <v>-9999</v>
      </c>
      <c r="N1098" s="273">
        <v>-9999</v>
      </c>
      <c r="O1098" s="29"/>
      <c r="P1098" s="414">
        <f>+T1098*G1098</f>
        <v>32.799999999999997</v>
      </c>
      <c r="Q1098" s="273">
        <v>-9999</v>
      </c>
      <c r="R1098" s="471"/>
      <c r="S1098" s="273"/>
      <c r="T1098" s="471">
        <v>8.1999999999999993</v>
      </c>
      <c r="U1098" s="273">
        <v>-9999</v>
      </c>
      <c r="V1098" s="273"/>
      <c r="W1098" s="471">
        <v>-9999</v>
      </c>
      <c r="X1098" s="273">
        <v>-9999</v>
      </c>
      <c r="Y1098" s="273"/>
      <c r="Z1098" s="461" t="s">
        <v>67</v>
      </c>
      <c r="AA1098" s="580">
        <v>6944</v>
      </c>
      <c r="AB1098" s="471">
        <v>-9999</v>
      </c>
      <c r="AC1098" s="273">
        <v>-9999</v>
      </c>
      <c r="AD1098" s="273">
        <v>-9999</v>
      </c>
      <c r="AE1098" s="273" t="s">
        <v>1095</v>
      </c>
      <c r="AF1098" s="273">
        <v>3</v>
      </c>
      <c r="AG1098" s="273" t="s">
        <v>1087</v>
      </c>
      <c r="AH1098" s="273" t="s">
        <v>567</v>
      </c>
      <c r="AI1098" s="273" t="s">
        <v>1103</v>
      </c>
      <c r="AJ1098" s="273" t="s">
        <v>1100</v>
      </c>
      <c r="AK1098" s="273" t="s">
        <v>626</v>
      </c>
      <c r="AL1098" s="273" t="s">
        <v>1099</v>
      </c>
      <c r="AM1098" s="273"/>
      <c r="AN1098" s="273" t="s">
        <v>626</v>
      </c>
      <c r="AO1098" s="273" t="s">
        <v>1092</v>
      </c>
      <c r="AP1098" s="273" t="s">
        <v>577</v>
      </c>
      <c r="AQ1098" s="273" t="s">
        <v>626</v>
      </c>
      <c r="AR1098" s="273">
        <v>133</v>
      </c>
      <c r="AS1098" s="273" t="s">
        <v>1201</v>
      </c>
      <c r="AT1098" s="273" t="s">
        <v>687</v>
      </c>
      <c r="AU1098" s="273">
        <v>0</v>
      </c>
      <c r="AV1098" s="273">
        <v>-9999</v>
      </c>
      <c r="AW1098" s="273">
        <v>-9999</v>
      </c>
      <c r="AX1098" s="273">
        <v>0</v>
      </c>
      <c r="AY1098" s="273">
        <v>-9999</v>
      </c>
      <c r="AZ1098" s="273">
        <v>-9999</v>
      </c>
      <c r="BA1098" s="273" t="s">
        <v>1102</v>
      </c>
      <c r="BB1098" s="273" t="s">
        <v>631</v>
      </c>
      <c r="BC1098" s="273">
        <v>-9999</v>
      </c>
      <c r="BD1098" s="273">
        <v>-9999</v>
      </c>
      <c r="BE1098" s="273">
        <v>-9999</v>
      </c>
      <c r="BF1098" s="273">
        <v>-9999</v>
      </c>
      <c r="BG1098" s="273">
        <v>-9999</v>
      </c>
      <c r="BH1098" s="273">
        <v>-9999</v>
      </c>
      <c r="BI1098" s="273" t="s">
        <v>629</v>
      </c>
      <c r="BJ1098" s="273">
        <v>-9999</v>
      </c>
      <c r="BK1098" s="273">
        <v>-9999</v>
      </c>
      <c r="BL1098" s="273">
        <v>-9999</v>
      </c>
      <c r="BM1098" s="273">
        <v>-9999</v>
      </c>
      <c r="BN1098" s="273">
        <v>-9999</v>
      </c>
      <c r="BO1098" s="273">
        <v>-9999</v>
      </c>
      <c r="BP1098" s="273">
        <v>-9999</v>
      </c>
      <c r="BQ1098" s="273">
        <v>-9999</v>
      </c>
      <c r="BR1098" s="273">
        <v>-9999</v>
      </c>
      <c r="BS1098" s="468">
        <v>-9999</v>
      </c>
      <c r="BT1098" s="273">
        <v>-9999</v>
      </c>
      <c r="BU1098" s="273">
        <v>-9999</v>
      </c>
      <c r="BV1098" s="273">
        <v>-9999</v>
      </c>
      <c r="BW1098" s="273"/>
      <c r="BX1098" s="273">
        <v>-9999</v>
      </c>
      <c r="BY1098" s="273">
        <v>-9999</v>
      </c>
      <c r="BZ1098" s="273">
        <v>-9999</v>
      </c>
      <c r="CA1098" s="472" t="s">
        <v>1096</v>
      </c>
      <c r="CB1098" s="473"/>
      <c r="CC1098" s="90">
        <v>2</v>
      </c>
      <c r="CD1098" s="89">
        <v>4</v>
      </c>
      <c r="CE1098" s="292">
        <v>8.1999999999999993</v>
      </c>
      <c r="CF1098" s="292">
        <v>-9999</v>
      </c>
      <c r="CG1098" s="89">
        <v>8</v>
      </c>
      <c r="CH1098" s="23">
        <v>8.1999999999999993</v>
      </c>
    </row>
    <row r="1099" spans="1:1873" s="23" customFormat="1" ht="11.45" customHeight="1" x14ac:dyDescent="0.2">
      <c r="A1099" s="273"/>
      <c r="B1099" s="273"/>
      <c r="C1099" s="273"/>
      <c r="D1099" s="273"/>
      <c r="E1099" s="462"/>
      <c r="F1099" s="462"/>
      <c r="G1099" s="273"/>
      <c r="H1099" s="273"/>
      <c r="I1099" s="273"/>
      <c r="J1099" s="273"/>
      <c r="K1099" s="273"/>
      <c r="L1099" s="273"/>
      <c r="M1099" s="471"/>
      <c r="N1099" s="273"/>
      <c r="O1099" s="29"/>
      <c r="P1099" s="414"/>
      <c r="Q1099" s="273"/>
      <c r="R1099" s="471"/>
      <c r="S1099" s="273"/>
      <c r="T1099" s="471"/>
      <c r="U1099" s="273"/>
      <c r="V1099" s="273"/>
      <c r="W1099" s="471"/>
      <c r="X1099" s="273"/>
      <c r="Y1099" s="273"/>
      <c r="Z1099" s="461"/>
      <c r="AA1099" s="580"/>
      <c r="AB1099" s="471"/>
      <c r="AC1099" s="273"/>
      <c r="AD1099" s="273"/>
      <c r="AE1099" s="273"/>
      <c r="AF1099" s="273"/>
      <c r="AG1099" s="273"/>
      <c r="AH1099" s="273"/>
      <c r="AI1099" s="273"/>
      <c r="AJ1099" s="273"/>
      <c r="AK1099" s="273"/>
      <c r="AL1099" s="273"/>
      <c r="AM1099" s="273"/>
      <c r="AN1099" s="273"/>
      <c r="AO1099" s="273"/>
      <c r="AP1099" s="273"/>
      <c r="AQ1099" s="273"/>
      <c r="AR1099" s="273"/>
      <c r="AS1099" s="273"/>
      <c r="AT1099" s="273"/>
      <c r="AU1099" s="273"/>
      <c r="AV1099" s="273"/>
      <c r="AW1099" s="273"/>
      <c r="AX1099" s="273"/>
      <c r="AY1099" s="273"/>
      <c r="AZ1099" s="273"/>
      <c r="BA1099" s="273"/>
      <c r="BB1099" s="273"/>
      <c r="BC1099" s="273"/>
      <c r="BD1099" s="273"/>
      <c r="BE1099" s="273"/>
      <c r="BF1099" s="273"/>
      <c r="BG1099" s="273"/>
      <c r="BH1099" s="273"/>
      <c r="BI1099" s="273"/>
      <c r="BJ1099" s="273"/>
      <c r="BK1099" s="273"/>
      <c r="BL1099" s="273"/>
      <c r="BM1099" s="273"/>
      <c r="BN1099" s="273"/>
      <c r="BO1099" s="273"/>
      <c r="BP1099" s="273"/>
      <c r="BQ1099" s="273"/>
      <c r="BR1099" s="273"/>
      <c r="BS1099" s="584"/>
      <c r="BT1099" s="273"/>
      <c r="BU1099" s="273"/>
      <c r="BV1099" s="273"/>
      <c r="BW1099" s="273"/>
      <c r="BX1099" s="273"/>
      <c r="BY1099" s="273"/>
      <c r="BZ1099" s="273"/>
      <c r="CA1099" s="472"/>
      <c r="CB1099" s="473"/>
      <c r="CC1099" s="90"/>
      <c r="CD1099" s="89"/>
      <c r="CE1099" s="292"/>
      <c r="CF1099" s="292"/>
      <c r="CG1099" s="89"/>
    </row>
    <row r="1100" spans="1:1873" s="23" customFormat="1" ht="11.45" customHeight="1" x14ac:dyDescent="0.3">
      <c r="A1100" s="273" t="s">
        <v>727</v>
      </c>
      <c r="B1100" s="273" t="s">
        <v>1169</v>
      </c>
      <c r="C1100" s="273" t="s">
        <v>737</v>
      </c>
      <c r="D1100" s="273" t="s">
        <v>619</v>
      </c>
      <c r="E1100" s="462" t="s">
        <v>1504</v>
      </c>
      <c r="F1100" s="462">
        <v>1</v>
      </c>
      <c r="G1100" s="273">
        <v>4</v>
      </c>
      <c r="H1100" s="273">
        <v>4</v>
      </c>
      <c r="I1100" s="273" t="s">
        <v>320</v>
      </c>
      <c r="J1100" s="273">
        <v>1979</v>
      </c>
      <c r="K1100" s="273" t="s">
        <v>956</v>
      </c>
      <c r="L1100" s="273">
        <v>1983</v>
      </c>
      <c r="M1100" s="471">
        <v>-9999</v>
      </c>
      <c r="N1100" s="273">
        <v>-9999</v>
      </c>
      <c r="O1100" s="29"/>
      <c r="P1100" s="414">
        <f>+T1100*G1100</f>
        <v>36</v>
      </c>
      <c r="Q1100" s="273">
        <v>-9999</v>
      </c>
      <c r="R1100" s="471"/>
      <c r="S1100" s="273"/>
      <c r="T1100" s="471">
        <v>9</v>
      </c>
      <c r="U1100" s="273">
        <v>-9999</v>
      </c>
      <c r="V1100" s="273"/>
      <c r="W1100" s="471">
        <v>-9999</v>
      </c>
      <c r="X1100" s="273">
        <v>-9999</v>
      </c>
      <c r="Y1100" s="273"/>
      <c r="Z1100" s="461" t="s">
        <v>67</v>
      </c>
      <c r="AA1100" s="580">
        <v>6944</v>
      </c>
      <c r="AB1100" s="471">
        <v>0.996</v>
      </c>
      <c r="AC1100" s="273">
        <v>-9999</v>
      </c>
      <c r="AD1100" s="273">
        <v>-9999</v>
      </c>
      <c r="AE1100" s="273" t="s">
        <v>1095</v>
      </c>
      <c r="AF1100" s="273">
        <v>5</v>
      </c>
      <c r="AG1100" s="273" t="s">
        <v>1087</v>
      </c>
      <c r="AH1100" s="273" t="s">
        <v>567</v>
      </c>
      <c r="AI1100" s="273" t="s">
        <v>1103</v>
      </c>
      <c r="AJ1100" s="273" t="s">
        <v>1100</v>
      </c>
      <c r="AK1100" s="273" t="s">
        <v>626</v>
      </c>
      <c r="AL1100" s="273" t="s">
        <v>1099</v>
      </c>
      <c r="AM1100" s="273"/>
      <c r="AN1100" s="273" t="s">
        <v>626</v>
      </c>
      <c r="AO1100" s="273" t="s">
        <v>1092</v>
      </c>
      <c r="AP1100" s="273" t="s">
        <v>577</v>
      </c>
      <c r="AQ1100" s="273" t="s">
        <v>626</v>
      </c>
      <c r="AR1100" s="273">
        <v>225</v>
      </c>
      <c r="AS1100" s="273" t="s">
        <v>1201</v>
      </c>
      <c r="AT1100" s="273" t="s">
        <v>738</v>
      </c>
      <c r="AU1100" s="273">
        <v>0</v>
      </c>
      <c r="AV1100" s="273">
        <v>-9999</v>
      </c>
      <c r="AW1100" s="273">
        <v>-9999</v>
      </c>
      <c r="AX1100" s="273">
        <v>0</v>
      </c>
      <c r="AY1100" s="273">
        <v>-9999</v>
      </c>
      <c r="AZ1100" s="273">
        <v>-9999</v>
      </c>
      <c r="BA1100" s="273" t="s">
        <v>1102</v>
      </c>
      <c r="BB1100" s="273" t="s">
        <v>631</v>
      </c>
      <c r="BC1100" s="273">
        <v>-9999</v>
      </c>
      <c r="BD1100" s="273">
        <v>-9999</v>
      </c>
      <c r="BE1100" s="273">
        <v>-9999</v>
      </c>
      <c r="BF1100" s="273">
        <v>-9999</v>
      </c>
      <c r="BG1100" s="273">
        <v>-9999</v>
      </c>
      <c r="BH1100" s="273">
        <v>-9999</v>
      </c>
      <c r="BI1100" s="273">
        <v>-9999</v>
      </c>
      <c r="BJ1100" s="273">
        <v>16.5</v>
      </c>
      <c r="BK1100" s="273">
        <v>-9999</v>
      </c>
      <c r="BL1100" s="273">
        <v>9.4</v>
      </c>
      <c r="BM1100" s="273">
        <v>-9999</v>
      </c>
      <c r="BN1100" s="273">
        <v>-9999</v>
      </c>
      <c r="BO1100" s="273">
        <v>-9999</v>
      </c>
      <c r="BP1100" s="273">
        <v>-9999</v>
      </c>
      <c r="BQ1100" s="273">
        <v>-9999</v>
      </c>
      <c r="BR1100" s="273">
        <v>-9999</v>
      </c>
      <c r="BS1100" s="584">
        <f>+BT1100*14.286</f>
        <v>928.58999999999992</v>
      </c>
      <c r="BT1100" s="468">
        <v>65</v>
      </c>
      <c r="BU1100" s="273">
        <v>-9999</v>
      </c>
      <c r="BV1100" s="273">
        <v>-9999</v>
      </c>
      <c r="BW1100" s="273"/>
      <c r="BX1100" s="273">
        <v>-9999</v>
      </c>
      <c r="BY1100" s="273">
        <v>-9999</v>
      </c>
      <c r="BZ1100" s="273">
        <v>-9999</v>
      </c>
      <c r="CA1100" s="472" t="s">
        <v>1096</v>
      </c>
      <c r="CB1100" s="473"/>
      <c r="CC1100" s="90">
        <v>1</v>
      </c>
      <c r="CD1100" s="89">
        <v>4</v>
      </c>
      <c r="CE1100" s="292">
        <v>9</v>
      </c>
      <c r="CF1100" s="292">
        <v>-9999</v>
      </c>
      <c r="CG1100" s="89">
        <v>4</v>
      </c>
      <c r="CH1100" s="23">
        <v>9</v>
      </c>
    </row>
    <row r="1101" spans="1:1873" s="23" customFormat="1" ht="11.45" customHeight="1" x14ac:dyDescent="0.2">
      <c r="A1101" s="273"/>
      <c r="B1101" s="273"/>
      <c r="C1101" s="273"/>
      <c r="D1101" s="273"/>
      <c r="E1101" s="462"/>
      <c r="F1101" s="462"/>
      <c r="G1101" s="273"/>
      <c r="H1101" s="273"/>
      <c r="I1101" s="273"/>
      <c r="J1101" s="273"/>
      <c r="K1101" s="273"/>
      <c r="L1101" s="273"/>
      <c r="M1101" s="471"/>
      <c r="N1101" s="273"/>
      <c r="O1101" s="29"/>
      <c r="P1101" s="414"/>
      <c r="Q1101" s="273">
        <v>-9999</v>
      </c>
      <c r="R1101" s="471"/>
      <c r="S1101" s="273"/>
      <c r="T1101" s="471"/>
      <c r="U1101" s="273"/>
      <c r="V1101" s="273"/>
      <c r="W1101" s="471"/>
      <c r="X1101" s="273"/>
      <c r="Y1101" s="273"/>
      <c r="Z1101" s="461"/>
      <c r="AA1101" s="580"/>
      <c r="AB1101" s="471"/>
      <c r="AC1101" s="273"/>
      <c r="AD1101" s="273"/>
      <c r="AE1101" s="273"/>
      <c r="AF1101" s="273"/>
      <c r="AG1101" s="273"/>
      <c r="AH1101" s="273"/>
      <c r="AI1101" s="273"/>
      <c r="AJ1101" s="273"/>
      <c r="AK1101" s="273"/>
      <c r="AL1101" s="273"/>
      <c r="AM1101" s="273"/>
      <c r="AN1101" s="273"/>
      <c r="AO1101" s="273"/>
      <c r="AP1101" s="273"/>
      <c r="AQ1101" s="273"/>
      <c r="AR1101" s="273"/>
      <c r="AS1101" s="273"/>
      <c r="AT1101" s="273"/>
      <c r="AU1101" s="273"/>
      <c r="AV1101" s="273"/>
      <c r="AW1101" s="273"/>
      <c r="AX1101" s="273"/>
      <c r="AY1101" s="273"/>
      <c r="AZ1101" s="273"/>
      <c r="BA1101" s="273"/>
      <c r="BB1101" s="273"/>
      <c r="BC1101" s="273"/>
      <c r="BD1101" s="273"/>
      <c r="BE1101" s="273"/>
      <c r="BF1101" s="273"/>
      <c r="BG1101" s="273"/>
      <c r="BH1101" s="273"/>
      <c r="BI1101" s="273"/>
      <c r="BJ1101" s="273"/>
      <c r="BK1101" s="273"/>
      <c r="BL1101" s="273"/>
      <c r="BM1101" s="273"/>
      <c r="BN1101" s="273"/>
      <c r="BO1101" s="273"/>
      <c r="BP1101" s="273"/>
      <c r="BQ1101" s="273"/>
      <c r="BR1101" s="273"/>
      <c r="BS1101" s="584"/>
      <c r="BT1101" s="468"/>
      <c r="BU1101" s="273"/>
      <c r="BV1101" s="273"/>
      <c r="BW1101" s="273"/>
      <c r="BX1101" s="273"/>
      <c r="BY1101" s="273"/>
      <c r="BZ1101" s="273"/>
      <c r="CA1101" s="472"/>
      <c r="CB1101" s="473"/>
      <c r="CC1101" s="90"/>
      <c r="CD1101" s="89"/>
      <c r="CE1101" s="292"/>
      <c r="CF1101" s="292"/>
      <c r="CG1101" s="89"/>
    </row>
    <row r="1102" spans="1:1873" s="23" customFormat="1" ht="11.45" customHeight="1" x14ac:dyDescent="0.3">
      <c r="A1102" s="273" t="s">
        <v>727</v>
      </c>
      <c r="B1102" s="273" t="s">
        <v>1169</v>
      </c>
      <c r="C1102" s="273" t="s">
        <v>737</v>
      </c>
      <c r="D1102" s="273" t="s">
        <v>619</v>
      </c>
      <c r="E1102" s="462" t="s">
        <v>1504</v>
      </c>
      <c r="F1102" s="462">
        <v>2</v>
      </c>
      <c r="G1102" s="273">
        <v>4</v>
      </c>
      <c r="H1102" s="273">
        <v>8</v>
      </c>
      <c r="I1102" s="273" t="s">
        <v>320</v>
      </c>
      <c r="J1102" s="273">
        <v>1979</v>
      </c>
      <c r="K1102" s="273" t="s">
        <v>842</v>
      </c>
      <c r="L1102" s="273">
        <v>1987</v>
      </c>
      <c r="M1102" s="471">
        <v>-9999</v>
      </c>
      <c r="N1102" s="273">
        <v>-9999</v>
      </c>
      <c r="O1102" s="29"/>
      <c r="P1102" s="414">
        <f>+T1102*G1102</f>
        <v>30.4</v>
      </c>
      <c r="Q1102" s="273">
        <v>-9999</v>
      </c>
      <c r="R1102" s="471"/>
      <c r="S1102" s="273"/>
      <c r="T1102" s="471">
        <v>7.6</v>
      </c>
      <c r="U1102" s="273">
        <v>-9999</v>
      </c>
      <c r="V1102" s="273"/>
      <c r="W1102" s="471">
        <v>-9999</v>
      </c>
      <c r="X1102" s="273">
        <v>-9999</v>
      </c>
      <c r="Y1102" s="273"/>
      <c r="Z1102" s="461" t="s">
        <v>67</v>
      </c>
      <c r="AA1102" s="580">
        <v>6944</v>
      </c>
      <c r="AB1102" s="471">
        <v>-9999</v>
      </c>
      <c r="AC1102" s="273">
        <v>-9999</v>
      </c>
      <c r="AD1102" s="273">
        <v>-9999</v>
      </c>
      <c r="AE1102" s="273" t="s">
        <v>1095</v>
      </c>
      <c r="AF1102" s="273">
        <v>3</v>
      </c>
      <c r="AG1102" s="273" t="s">
        <v>1087</v>
      </c>
      <c r="AH1102" s="273" t="s">
        <v>567</v>
      </c>
      <c r="AI1102" s="273" t="s">
        <v>1103</v>
      </c>
      <c r="AJ1102" s="273" t="s">
        <v>1100</v>
      </c>
      <c r="AK1102" s="273" t="s">
        <v>626</v>
      </c>
      <c r="AL1102" s="273" t="s">
        <v>1099</v>
      </c>
      <c r="AM1102" s="273"/>
      <c r="AN1102" s="273" t="s">
        <v>626</v>
      </c>
      <c r="AO1102" s="273" t="s">
        <v>1092</v>
      </c>
      <c r="AP1102" s="273" t="s">
        <v>577</v>
      </c>
      <c r="AQ1102" s="273" t="s">
        <v>626</v>
      </c>
      <c r="AR1102" s="273">
        <v>133</v>
      </c>
      <c r="AS1102" s="273" t="s">
        <v>1201</v>
      </c>
      <c r="AT1102" s="273" t="s">
        <v>687</v>
      </c>
      <c r="AU1102" s="273">
        <v>0</v>
      </c>
      <c r="AV1102" s="273">
        <v>-9999</v>
      </c>
      <c r="AW1102" s="273">
        <v>-9999</v>
      </c>
      <c r="AX1102" s="273">
        <v>0</v>
      </c>
      <c r="AY1102" s="273">
        <v>-9999</v>
      </c>
      <c r="AZ1102" s="273">
        <v>-9999</v>
      </c>
      <c r="BA1102" s="273" t="s">
        <v>1102</v>
      </c>
      <c r="BB1102" s="273" t="s">
        <v>631</v>
      </c>
      <c r="BC1102" s="273">
        <v>-9999</v>
      </c>
      <c r="BD1102" s="273">
        <v>-9999</v>
      </c>
      <c r="BE1102" s="273">
        <v>-9999</v>
      </c>
      <c r="BF1102" s="273">
        <v>-9999</v>
      </c>
      <c r="BG1102" s="273">
        <v>-9999</v>
      </c>
      <c r="BH1102" s="273">
        <v>-9999</v>
      </c>
      <c r="BI1102" s="273" t="s">
        <v>629</v>
      </c>
      <c r="BJ1102" s="273">
        <v>-9999</v>
      </c>
      <c r="BK1102" s="273">
        <v>-9999</v>
      </c>
      <c r="BL1102" s="273">
        <v>-9999</v>
      </c>
      <c r="BM1102" s="273">
        <v>-9999</v>
      </c>
      <c r="BN1102" s="273">
        <v>-9999</v>
      </c>
      <c r="BO1102" s="273">
        <v>-9999</v>
      </c>
      <c r="BP1102" s="273">
        <v>-9999</v>
      </c>
      <c r="BQ1102" s="273">
        <v>-9999</v>
      </c>
      <c r="BR1102" s="273">
        <v>-9999</v>
      </c>
      <c r="BS1102" s="468">
        <v>-9999</v>
      </c>
      <c r="BT1102" s="273">
        <v>-9999</v>
      </c>
      <c r="BU1102" s="273">
        <v>-9999</v>
      </c>
      <c r="BV1102" s="273">
        <v>-9999</v>
      </c>
      <c r="BW1102" s="273"/>
      <c r="BX1102" s="273">
        <v>-9999</v>
      </c>
      <c r="BY1102" s="273">
        <v>-9999</v>
      </c>
      <c r="BZ1102" s="273">
        <v>-9999</v>
      </c>
      <c r="CA1102" s="472" t="s">
        <v>1096</v>
      </c>
      <c r="CB1102" s="473"/>
      <c r="CC1102" s="90">
        <v>2</v>
      </c>
      <c r="CD1102" s="89">
        <v>4</v>
      </c>
      <c r="CE1102" s="292">
        <v>7.6</v>
      </c>
      <c r="CF1102" s="292">
        <v>-9999</v>
      </c>
      <c r="CG1102" s="89">
        <v>8</v>
      </c>
      <c r="CH1102" s="23">
        <v>7.6</v>
      </c>
    </row>
    <row r="1103" spans="1:1873" s="23" customFormat="1" ht="11.45" customHeight="1" x14ac:dyDescent="0.2">
      <c r="A1103" s="273"/>
      <c r="B1103" s="273"/>
      <c r="C1103" s="273"/>
      <c r="D1103" s="273"/>
      <c r="E1103" s="462"/>
      <c r="F1103" s="462"/>
      <c r="G1103" s="273"/>
      <c r="H1103" s="468"/>
      <c r="I1103" s="273"/>
      <c r="J1103" s="273"/>
      <c r="K1103" s="273"/>
      <c r="L1103" s="273"/>
      <c r="M1103" s="414"/>
      <c r="N1103" s="463"/>
      <c r="O1103" s="29"/>
      <c r="P1103" s="471"/>
      <c r="Q1103" s="273"/>
      <c r="R1103" s="471"/>
      <c r="S1103" s="273"/>
      <c r="T1103" s="471"/>
      <c r="U1103" s="471"/>
      <c r="V1103" s="471"/>
      <c r="W1103" s="471"/>
      <c r="X1103" s="471"/>
      <c r="Y1103" s="471"/>
      <c r="Z1103" s="273"/>
      <c r="AA1103" s="580"/>
      <c r="AB1103" s="471"/>
      <c r="AC1103" s="273"/>
      <c r="AD1103" s="273"/>
      <c r="AE1103" s="273"/>
      <c r="AF1103" s="273"/>
      <c r="AG1103" s="273"/>
      <c r="AH1103" s="273"/>
      <c r="AI1103" s="273"/>
      <c r="AJ1103" s="273"/>
      <c r="AK1103" s="273"/>
      <c r="AL1103" s="273"/>
      <c r="AM1103" s="273"/>
      <c r="AN1103" s="273"/>
      <c r="AO1103" s="273"/>
      <c r="AP1103" s="273"/>
      <c r="AQ1103" s="273"/>
      <c r="AR1103" s="273"/>
      <c r="AS1103" s="273"/>
      <c r="AT1103" s="273"/>
      <c r="AU1103" s="273"/>
      <c r="AV1103" s="273"/>
      <c r="AW1103" s="273"/>
      <c r="AX1103" s="273"/>
      <c r="AY1103" s="273"/>
      <c r="AZ1103" s="273"/>
      <c r="BA1103" s="273"/>
      <c r="BB1103" s="273"/>
      <c r="BC1103" s="273"/>
      <c r="BD1103" s="273"/>
      <c r="BE1103" s="273"/>
      <c r="BF1103" s="273"/>
      <c r="BG1103" s="273"/>
      <c r="BH1103" s="273"/>
      <c r="BI1103" s="273"/>
      <c r="BJ1103" s="273"/>
      <c r="BK1103" s="273"/>
      <c r="BL1103" s="273"/>
      <c r="BM1103" s="273"/>
      <c r="BN1103" s="273"/>
      <c r="BO1103" s="273"/>
      <c r="BP1103" s="273"/>
      <c r="BQ1103" s="273"/>
      <c r="BR1103" s="273"/>
      <c r="BS1103" s="468"/>
      <c r="BT1103" s="273"/>
      <c r="BU1103" s="273"/>
      <c r="BV1103" s="273"/>
      <c r="BW1103" s="273"/>
      <c r="BX1103" s="273"/>
      <c r="BY1103" s="273"/>
      <c r="BZ1103" s="273"/>
      <c r="CA1103" s="588"/>
      <c r="CB1103" s="473"/>
      <c r="CC1103" s="66"/>
      <c r="CD1103" s="29"/>
      <c r="CE1103" s="342" t="s">
        <v>119</v>
      </c>
      <c r="CF1103" s="292"/>
      <c r="CG1103" s="30"/>
    </row>
    <row r="1104" spans="1:1873" s="210" customFormat="1" x14ac:dyDescent="0.2">
      <c r="A1104" s="411" t="s">
        <v>932</v>
      </c>
      <c r="B1104" s="574" t="s">
        <v>1169</v>
      </c>
      <c r="C1104" s="411" t="s">
        <v>1207</v>
      </c>
      <c r="D1104" s="411" t="s">
        <v>619</v>
      </c>
      <c r="E1104" s="571" t="s">
        <v>1505</v>
      </c>
      <c r="F1104" s="571">
        <v>1</v>
      </c>
      <c r="G1104" s="411">
        <v>4</v>
      </c>
      <c r="H1104" s="577">
        <v>4</v>
      </c>
      <c r="I1104" s="411" t="s">
        <v>955</v>
      </c>
      <c r="J1104" s="411">
        <v>1987</v>
      </c>
      <c r="K1104" s="411" t="s">
        <v>1211</v>
      </c>
      <c r="L1104" s="411">
        <v>1990</v>
      </c>
      <c r="M1104" s="573">
        <v>-9999</v>
      </c>
      <c r="N1104" s="411">
        <v>-9999</v>
      </c>
      <c r="O1104" s="18"/>
      <c r="P1104" s="573">
        <v>-9999</v>
      </c>
      <c r="Q1104" s="411">
        <v>-9999</v>
      </c>
      <c r="R1104" s="573"/>
      <c r="S1104" s="411"/>
      <c r="T1104" s="573">
        <v>25.9</v>
      </c>
      <c r="U1104" s="411">
        <v>-9999</v>
      </c>
      <c r="V1104" s="411"/>
      <c r="W1104" s="573">
        <v>-9999</v>
      </c>
      <c r="X1104" s="411">
        <v>-9999</v>
      </c>
      <c r="Y1104" s="411"/>
      <c r="Z1104" s="411" t="s">
        <v>1220</v>
      </c>
      <c r="AA1104" s="582">
        <v>2222</v>
      </c>
      <c r="AB1104" s="573">
        <v>1</v>
      </c>
      <c r="AC1104" s="411">
        <v>-9999</v>
      </c>
      <c r="AD1104" s="411" t="s">
        <v>1237</v>
      </c>
      <c r="AE1104" s="411" t="s">
        <v>1955</v>
      </c>
      <c r="AF1104" s="411">
        <v>3</v>
      </c>
      <c r="AG1104" s="411">
        <v>2</v>
      </c>
      <c r="AH1104" s="411" t="s">
        <v>623</v>
      </c>
      <c r="AI1104" s="411" t="s">
        <v>834</v>
      </c>
      <c r="AJ1104" s="411" t="s">
        <v>1235</v>
      </c>
      <c r="AK1104" s="411" t="s">
        <v>1236</v>
      </c>
      <c r="AL1104" s="411">
        <v>-9999</v>
      </c>
      <c r="AM1104" s="411">
        <v>-9999</v>
      </c>
      <c r="AN1104" s="411" t="s">
        <v>631</v>
      </c>
      <c r="AO1104" s="411">
        <v>-9999</v>
      </c>
      <c r="AP1104" s="411">
        <v>-9999</v>
      </c>
      <c r="AQ1104" s="411" t="s">
        <v>631</v>
      </c>
      <c r="AR1104" s="411">
        <v>0</v>
      </c>
      <c r="AS1104" s="411">
        <v>0</v>
      </c>
      <c r="AT1104" s="411">
        <v>-9999</v>
      </c>
      <c r="AU1104" s="411">
        <v>0</v>
      </c>
      <c r="AV1104" s="411">
        <v>-9999</v>
      </c>
      <c r="AW1104" s="411">
        <v>-9999</v>
      </c>
      <c r="AX1104" s="411">
        <v>0</v>
      </c>
      <c r="AY1104" s="411">
        <v>-9999</v>
      </c>
      <c r="AZ1104" s="411">
        <v>-9999</v>
      </c>
      <c r="BA1104" s="411">
        <v>-9999</v>
      </c>
      <c r="BB1104" s="411" t="s">
        <v>626</v>
      </c>
      <c r="BC1104" s="411" t="s">
        <v>881</v>
      </c>
      <c r="BD1104" s="411" t="s">
        <v>1229</v>
      </c>
      <c r="BE1104" s="411" t="s">
        <v>1231</v>
      </c>
      <c r="BF1104" s="411" t="s">
        <v>1230</v>
      </c>
      <c r="BG1104" s="411" t="s">
        <v>1232</v>
      </c>
      <c r="BH1104" s="411" t="s">
        <v>1233</v>
      </c>
      <c r="BI1104" s="411" t="s">
        <v>1234</v>
      </c>
      <c r="BJ1104" s="585">
        <v>19.7</v>
      </c>
      <c r="BK1104" s="411">
        <v>-9999</v>
      </c>
      <c r="BL1104" s="411">
        <v>13.8</v>
      </c>
      <c r="BM1104" s="411">
        <v>-9999</v>
      </c>
      <c r="BN1104" s="411">
        <v>4.4000000000000004</v>
      </c>
      <c r="BO1104" s="411">
        <v>-9999</v>
      </c>
      <c r="BP1104" s="411">
        <v>-9999</v>
      </c>
      <c r="BQ1104" s="411">
        <v>-9999</v>
      </c>
      <c r="BR1104" s="411">
        <v>-9999</v>
      </c>
      <c r="BS1104" s="583">
        <f t="shared" ref="BS1104:BS1109" si="117">+BT1104*14.286</f>
        <v>341.43539999999996</v>
      </c>
      <c r="BT1104" s="585">
        <v>23.9</v>
      </c>
      <c r="BU1104" s="411">
        <v>-9999</v>
      </c>
      <c r="BV1104" s="411">
        <v>-9999</v>
      </c>
      <c r="BW1104" s="411"/>
      <c r="BX1104" s="411">
        <v>-9999</v>
      </c>
      <c r="BY1104" s="411">
        <v>-9999</v>
      </c>
      <c r="BZ1104" s="411">
        <v>-9999</v>
      </c>
      <c r="CA1104" s="578" t="s">
        <v>524</v>
      </c>
      <c r="CB1104" s="579" t="s">
        <v>0</v>
      </c>
      <c r="CC1104" s="571">
        <v>1</v>
      </c>
      <c r="CD1104" s="411" t="s">
        <v>1596</v>
      </c>
      <c r="CE1104" s="393">
        <v>25.9</v>
      </c>
      <c r="CF1104" s="99">
        <v>-9999</v>
      </c>
      <c r="CG1104" s="209">
        <v>4</v>
      </c>
      <c r="CH1104" s="436" t="s">
        <v>1757</v>
      </c>
      <c r="CI1104" s="13" t="s">
        <v>1595</v>
      </c>
      <c r="CJ1104" s="13"/>
      <c r="CK1104" s="13" t="s">
        <v>1603</v>
      </c>
      <c r="CL1104" s="13"/>
      <c r="CM1104" s="13"/>
      <c r="CN1104" s="13"/>
      <c r="CO1104" s="13"/>
      <c r="CP1104" s="13"/>
      <c r="CQ1104" s="13"/>
      <c r="CR1104" s="13"/>
      <c r="CS1104" s="13"/>
      <c r="CT1104" s="13"/>
      <c r="CU1104" s="13"/>
      <c r="CV1104" s="13"/>
      <c r="CW1104" s="13"/>
      <c r="CX1104" s="13"/>
      <c r="CY1104" s="13"/>
      <c r="CZ1104" s="13"/>
      <c r="DA1104" s="13"/>
      <c r="DB1104" s="13"/>
      <c r="DC1104" s="13"/>
      <c r="DD1104" s="13"/>
      <c r="DE1104" s="13"/>
      <c r="DF1104" s="13"/>
      <c r="DG1104" s="13"/>
      <c r="DH1104" s="13"/>
      <c r="DI1104" s="13"/>
      <c r="DJ1104" s="13"/>
      <c r="DK1104" s="13"/>
      <c r="DL1104" s="13"/>
      <c r="DM1104" s="13"/>
      <c r="DN1104" s="13"/>
      <c r="DO1104" s="13"/>
      <c r="DP1104" s="13"/>
      <c r="DQ1104" s="13"/>
      <c r="DR1104" s="13"/>
      <c r="DS1104" s="13"/>
      <c r="DT1104" s="13"/>
      <c r="DU1104" s="13"/>
      <c r="DV1104" s="13"/>
      <c r="DW1104" s="13"/>
      <c r="DX1104" s="13"/>
      <c r="DY1104" s="13"/>
      <c r="DZ1104" s="13"/>
      <c r="EA1104" s="13"/>
      <c r="EB1104" s="13"/>
      <c r="EC1104" s="13"/>
      <c r="ED1104" s="13"/>
      <c r="EE1104" s="13"/>
      <c r="EF1104" s="13"/>
      <c r="EG1104" s="13"/>
      <c r="EH1104" s="13"/>
      <c r="EI1104" s="13"/>
      <c r="EJ1104" s="13"/>
      <c r="EK1104" s="13"/>
      <c r="EL1104" s="13"/>
      <c r="EM1104" s="13"/>
      <c r="EN1104" s="13"/>
      <c r="EO1104" s="13"/>
      <c r="EP1104" s="13"/>
      <c r="EQ1104" s="13"/>
      <c r="ER1104" s="13"/>
      <c r="ES1104" s="13"/>
      <c r="ET1104" s="13"/>
      <c r="EU1104" s="13"/>
      <c r="EV1104" s="13"/>
      <c r="EW1104" s="13"/>
      <c r="EX1104" s="13"/>
      <c r="EY1104" s="13"/>
      <c r="EZ1104" s="13"/>
      <c r="FA1104" s="13"/>
      <c r="FB1104" s="13"/>
      <c r="FC1104" s="13"/>
      <c r="FD1104" s="13"/>
      <c r="FE1104" s="13"/>
      <c r="FF1104" s="13"/>
      <c r="FG1104" s="13"/>
      <c r="FH1104" s="13"/>
      <c r="FI1104" s="13"/>
      <c r="FJ1104" s="13"/>
      <c r="FK1104" s="13"/>
      <c r="FL1104" s="13"/>
      <c r="FM1104" s="13"/>
      <c r="FN1104" s="13"/>
      <c r="FO1104" s="13"/>
      <c r="FP1104" s="13"/>
      <c r="FQ1104" s="13"/>
      <c r="FR1104" s="13"/>
      <c r="FS1104" s="13"/>
      <c r="FT1104" s="13"/>
      <c r="FU1104" s="13"/>
      <c r="FV1104" s="13"/>
      <c r="FW1104" s="13"/>
      <c r="FX1104" s="13"/>
      <c r="FY1104" s="13"/>
      <c r="FZ1104" s="13"/>
      <c r="GA1104" s="13"/>
      <c r="GB1104" s="13"/>
      <c r="GC1104" s="13"/>
      <c r="GD1104" s="13"/>
      <c r="GE1104" s="13"/>
      <c r="GF1104" s="13"/>
      <c r="GG1104" s="13"/>
      <c r="GH1104" s="13"/>
      <c r="GI1104" s="13"/>
      <c r="GJ1104" s="13"/>
      <c r="GK1104" s="13"/>
      <c r="GL1104" s="13"/>
      <c r="GM1104" s="13"/>
      <c r="GN1104" s="13"/>
      <c r="GO1104" s="13"/>
      <c r="GP1104" s="13"/>
      <c r="GQ1104" s="13"/>
      <c r="GR1104" s="13"/>
      <c r="GS1104" s="13"/>
      <c r="GT1104" s="13"/>
      <c r="GU1104" s="13"/>
      <c r="GV1104" s="13"/>
      <c r="GW1104" s="13"/>
      <c r="GX1104" s="13"/>
      <c r="GY1104" s="13"/>
      <c r="GZ1104" s="13"/>
      <c r="HA1104" s="13"/>
      <c r="HB1104" s="13"/>
      <c r="HC1104" s="13"/>
      <c r="HD1104" s="13"/>
      <c r="HE1104" s="13"/>
      <c r="HF1104" s="13"/>
      <c r="HG1104" s="13"/>
      <c r="HH1104" s="13"/>
      <c r="HI1104" s="13"/>
      <c r="HJ1104" s="13"/>
      <c r="HK1104" s="13"/>
      <c r="HL1104" s="13"/>
      <c r="HM1104" s="13"/>
      <c r="HN1104" s="13"/>
      <c r="HO1104" s="13"/>
      <c r="HP1104" s="13"/>
      <c r="HQ1104" s="13"/>
      <c r="HR1104" s="13"/>
      <c r="HS1104" s="13"/>
      <c r="HT1104" s="13"/>
      <c r="HU1104" s="13"/>
      <c r="HV1104" s="13"/>
      <c r="HW1104" s="13"/>
      <c r="HX1104" s="13"/>
      <c r="HY1104" s="13"/>
      <c r="HZ1104" s="13"/>
      <c r="IA1104" s="13"/>
      <c r="IB1104" s="13"/>
      <c r="IC1104" s="13"/>
      <c r="ID1104" s="13"/>
      <c r="IE1104" s="13"/>
      <c r="IF1104" s="13"/>
      <c r="IG1104" s="13"/>
      <c r="IH1104" s="13"/>
      <c r="II1104" s="13"/>
      <c r="IJ1104" s="13"/>
      <c r="IK1104" s="13"/>
      <c r="IL1104" s="13"/>
      <c r="IM1104" s="13"/>
      <c r="IN1104" s="13"/>
      <c r="IO1104" s="13"/>
      <c r="IP1104" s="13"/>
      <c r="IQ1104" s="13"/>
      <c r="IR1104" s="13"/>
      <c r="IS1104" s="13"/>
      <c r="IT1104" s="13"/>
      <c r="IU1104" s="13"/>
      <c r="IV1104" s="13"/>
      <c r="IW1104" s="13"/>
      <c r="IX1104" s="13"/>
      <c r="IY1104" s="13"/>
      <c r="IZ1104" s="13"/>
      <c r="JA1104" s="13"/>
      <c r="JB1104" s="13"/>
      <c r="JC1104" s="13"/>
      <c r="JD1104" s="13"/>
      <c r="JE1104" s="13"/>
      <c r="JF1104" s="13"/>
      <c r="JG1104" s="13"/>
      <c r="JH1104" s="13"/>
      <c r="JI1104" s="13"/>
      <c r="JJ1104" s="13"/>
      <c r="JK1104" s="13"/>
      <c r="JL1104" s="13"/>
      <c r="JM1104" s="13"/>
      <c r="JN1104" s="13"/>
      <c r="JO1104" s="13"/>
      <c r="JP1104" s="13"/>
      <c r="JQ1104" s="13"/>
      <c r="JR1104" s="13"/>
      <c r="JS1104" s="13"/>
      <c r="JT1104" s="13"/>
      <c r="JU1104" s="13"/>
      <c r="JV1104" s="13"/>
      <c r="JW1104" s="13"/>
      <c r="JX1104" s="13"/>
      <c r="JY1104" s="13"/>
      <c r="JZ1104" s="13"/>
      <c r="KA1104" s="13"/>
      <c r="KB1104" s="13"/>
      <c r="KC1104" s="13"/>
      <c r="KD1104" s="13"/>
      <c r="KE1104" s="13"/>
      <c r="KF1104" s="13"/>
      <c r="KG1104" s="13"/>
      <c r="KH1104" s="13"/>
      <c r="KI1104" s="13"/>
      <c r="KJ1104" s="13"/>
      <c r="KK1104" s="13"/>
      <c r="KL1104" s="13"/>
      <c r="KM1104" s="13"/>
      <c r="KN1104" s="13"/>
      <c r="KO1104" s="13"/>
      <c r="KP1104" s="13"/>
      <c r="KQ1104" s="13"/>
      <c r="KR1104" s="13"/>
      <c r="KS1104" s="13"/>
      <c r="KT1104" s="13"/>
      <c r="KU1104" s="13"/>
      <c r="KV1104" s="13"/>
      <c r="KW1104" s="13"/>
      <c r="KX1104" s="13"/>
      <c r="KY1104" s="13"/>
      <c r="KZ1104" s="13"/>
      <c r="LA1104" s="13"/>
      <c r="LB1104" s="13"/>
      <c r="LC1104" s="13"/>
      <c r="LD1104" s="13"/>
      <c r="LE1104" s="13"/>
      <c r="LF1104" s="13"/>
      <c r="LG1104" s="13"/>
      <c r="LH1104" s="13"/>
      <c r="LI1104" s="13"/>
      <c r="LJ1104" s="13"/>
      <c r="LK1104" s="13"/>
      <c r="LL1104" s="13"/>
      <c r="LM1104" s="13"/>
      <c r="LN1104" s="13"/>
      <c r="LO1104" s="13"/>
      <c r="LP1104" s="13"/>
      <c r="LQ1104" s="13"/>
      <c r="LR1104" s="13"/>
      <c r="LS1104" s="13"/>
      <c r="LT1104" s="13"/>
      <c r="LU1104" s="13"/>
      <c r="LV1104" s="13"/>
      <c r="LW1104" s="13"/>
      <c r="LX1104" s="13"/>
      <c r="LY1104" s="13"/>
      <c r="LZ1104" s="13"/>
      <c r="MA1104" s="13"/>
      <c r="MB1104" s="13"/>
      <c r="MC1104" s="13"/>
      <c r="MD1104" s="13"/>
      <c r="ME1104" s="13"/>
      <c r="MF1104" s="13"/>
      <c r="MG1104" s="13"/>
      <c r="MH1104" s="13"/>
      <c r="MI1104" s="13"/>
      <c r="MJ1104" s="13"/>
      <c r="MK1104" s="13"/>
      <c r="ML1104" s="13"/>
      <c r="MM1104" s="13"/>
      <c r="MN1104" s="13"/>
      <c r="MO1104" s="13"/>
      <c r="MP1104" s="13"/>
      <c r="MQ1104" s="13"/>
      <c r="MR1104" s="13"/>
      <c r="MS1104" s="13"/>
      <c r="MT1104" s="13"/>
      <c r="MU1104" s="13"/>
      <c r="MV1104" s="13"/>
      <c r="MW1104" s="13"/>
      <c r="MX1104" s="13"/>
      <c r="MY1104" s="13"/>
      <c r="MZ1104" s="13"/>
      <c r="NA1104" s="13"/>
      <c r="NB1104" s="13"/>
      <c r="NC1104" s="13"/>
      <c r="ND1104" s="13"/>
      <c r="NE1104" s="13"/>
      <c r="NF1104" s="13"/>
      <c r="NG1104" s="13"/>
      <c r="NH1104" s="13"/>
      <c r="NI1104" s="13"/>
      <c r="NJ1104" s="13"/>
      <c r="NK1104" s="13"/>
      <c r="NL1104" s="13"/>
      <c r="NM1104" s="13"/>
      <c r="NN1104" s="13"/>
      <c r="NO1104" s="13"/>
      <c r="NP1104" s="13"/>
      <c r="NQ1104" s="13"/>
      <c r="NR1104" s="13"/>
      <c r="NS1104" s="13"/>
      <c r="NT1104" s="13"/>
      <c r="NU1104" s="13"/>
      <c r="NV1104" s="13"/>
      <c r="NW1104" s="13"/>
      <c r="NX1104" s="13"/>
      <c r="NY1104" s="13"/>
      <c r="NZ1104" s="13"/>
      <c r="OA1104" s="13"/>
      <c r="OB1104" s="13"/>
      <c r="OC1104" s="13"/>
      <c r="OD1104" s="13"/>
      <c r="OE1104" s="13"/>
      <c r="OF1104" s="13"/>
      <c r="OG1104" s="13"/>
      <c r="OH1104" s="13"/>
      <c r="OI1104" s="13"/>
      <c r="OJ1104" s="13"/>
      <c r="OK1104" s="13"/>
      <c r="OL1104" s="13"/>
      <c r="OM1104" s="13"/>
      <c r="ON1104" s="13"/>
      <c r="OO1104" s="13"/>
      <c r="OP1104" s="13"/>
      <c r="OQ1104" s="13"/>
      <c r="OR1104" s="13"/>
      <c r="OS1104" s="13"/>
      <c r="OT1104" s="13"/>
      <c r="OU1104" s="13"/>
      <c r="OV1104" s="13"/>
      <c r="OW1104" s="13"/>
      <c r="OX1104" s="13"/>
      <c r="OY1104" s="13"/>
      <c r="OZ1104" s="13"/>
      <c r="PA1104" s="13"/>
      <c r="PB1104" s="13"/>
      <c r="PC1104" s="13"/>
      <c r="PD1104" s="13"/>
      <c r="PE1104" s="13"/>
      <c r="PF1104" s="13"/>
      <c r="PG1104" s="13"/>
      <c r="PH1104" s="13"/>
      <c r="PI1104" s="13"/>
      <c r="PJ1104" s="13"/>
      <c r="PK1104" s="13"/>
      <c r="PL1104" s="13"/>
      <c r="PM1104" s="13"/>
      <c r="PN1104" s="13"/>
      <c r="PO1104" s="13"/>
      <c r="PP1104" s="13"/>
      <c r="PQ1104" s="13"/>
      <c r="PR1104" s="13"/>
      <c r="PS1104" s="13"/>
      <c r="PT1104" s="13"/>
      <c r="PU1104" s="13"/>
      <c r="PV1104" s="13"/>
      <c r="PW1104" s="13"/>
      <c r="PX1104" s="13"/>
      <c r="PY1104" s="13"/>
      <c r="PZ1104" s="13"/>
      <c r="QA1104" s="13"/>
      <c r="QB1104" s="13"/>
      <c r="QC1104" s="13"/>
      <c r="QD1104" s="13"/>
      <c r="QE1104" s="13"/>
      <c r="QF1104" s="13"/>
      <c r="QG1104" s="13"/>
      <c r="QH1104" s="13"/>
      <c r="QI1104" s="13"/>
      <c r="QJ1104" s="13"/>
      <c r="QK1104" s="13"/>
      <c r="QL1104" s="13"/>
      <c r="QM1104" s="13"/>
      <c r="QN1104" s="13"/>
      <c r="QO1104" s="13"/>
      <c r="QP1104" s="13"/>
      <c r="QQ1104" s="13"/>
      <c r="QR1104" s="13"/>
      <c r="QS1104" s="13"/>
      <c r="QT1104" s="13"/>
      <c r="QU1104" s="13"/>
      <c r="QV1104" s="13"/>
      <c r="QW1104" s="13"/>
      <c r="QX1104" s="13"/>
      <c r="QY1104" s="13"/>
      <c r="QZ1104" s="13"/>
      <c r="RA1104" s="13"/>
      <c r="RB1104" s="13"/>
      <c r="RC1104" s="13"/>
      <c r="RD1104" s="13"/>
      <c r="RE1104" s="13"/>
      <c r="RF1104" s="13"/>
      <c r="RG1104" s="13"/>
      <c r="RH1104" s="13"/>
      <c r="RI1104" s="13"/>
      <c r="RJ1104" s="13"/>
      <c r="RK1104" s="13"/>
      <c r="RL1104" s="13"/>
      <c r="RM1104" s="13"/>
      <c r="RN1104" s="13"/>
      <c r="RO1104" s="13"/>
      <c r="RP1104" s="13"/>
      <c r="RQ1104" s="13"/>
      <c r="RR1104" s="13"/>
      <c r="RS1104" s="13"/>
      <c r="RT1104" s="13"/>
      <c r="RU1104" s="13"/>
      <c r="RV1104" s="13"/>
      <c r="RW1104" s="13"/>
      <c r="RX1104" s="13"/>
      <c r="RY1104" s="13"/>
      <c r="RZ1104" s="13"/>
      <c r="SA1104" s="13"/>
      <c r="SB1104" s="13"/>
      <c r="SC1104" s="13"/>
      <c r="SD1104" s="13"/>
      <c r="SE1104" s="13"/>
      <c r="SF1104" s="13"/>
      <c r="SG1104" s="13"/>
      <c r="SH1104" s="13"/>
      <c r="SI1104" s="13"/>
      <c r="SJ1104" s="13"/>
      <c r="SK1104" s="13"/>
      <c r="SL1104" s="13"/>
      <c r="SM1104" s="13"/>
      <c r="SN1104" s="13"/>
      <c r="SO1104" s="13"/>
      <c r="SP1104" s="13"/>
      <c r="SQ1104" s="13"/>
      <c r="SR1104" s="13"/>
      <c r="SS1104" s="13"/>
      <c r="ST1104" s="13"/>
      <c r="SU1104" s="13"/>
      <c r="SV1104" s="13"/>
      <c r="SW1104" s="13"/>
      <c r="SX1104" s="13"/>
      <c r="SY1104" s="13"/>
      <c r="SZ1104" s="13"/>
      <c r="TA1104" s="13"/>
      <c r="TB1104" s="13"/>
      <c r="TC1104" s="13"/>
      <c r="TD1104" s="13"/>
      <c r="TE1104" s="13"/>
      <c r="TF1104" s="13"/>
      <c r="TG1104" s="13"/>
      <c r="TH1104" s="13"/>
      <c r="TI1104" s="13"/>
      <c r="TJ1104" s="13"/>
      <c r="TK1104" s="13"/>
      <c r="TL1104" s="13"/>
      <c r="TM1104" s="13"/>
      <c r="TN1104" s="13"/>
      <c r="TO1104" s="13"/>
      <c r="TP1104" s="13"/>
      <c r="TQ1104" s="13"/>
      <c r="TR1104" s="13"/>
      <c r="TS1104" s="13"/>
      <c r="TT1104" s="13"/>
      <c r="TU1104" s="13"/>
      <c r="TV1104" s="13"/>
      <c r="TW1104" s="13"/>
      <c r="TX1104" s="13"/>
      <c r="TY1104" s="13"/>
      <c r="TZ1104" s="13"/>
      <c r="UA1104" s="13"/>
      <c r="UB1104" s="13"/>
      <c r="UC1104" s="13"/>
      <c r="UD1104" s="13"/>
      <c r="UE1104" s="13"/>
      <c r="UF1104" s="13"/>
      <c r="UG1104" s="13"/>
      <c r="UH1104" s="13"/>
      <c r="UI1104" s="13"/>
      <c r="UJ1104" s="13"/>
      <c r="UK1104" s="13"/>
      <c r="UL1104" s="13"/>
      <c r="UM1104" s="13"/>
      <c r="UN1104" s="13"/>
      <c r="UO1104" s="13"/>
      <c r="UP1104" s="13"/>
      <c r="UQ1104" s="13"/>
      <c r="UR1104" s="13"/>
      <c r="US1104" s="13"/>
      <c r="UT1104" s="13"/>
      <c r="UU1104" s="13"/>
      <c r="UV1104" s="13"/>
      <c r="UW1104" s="13"/>
      <c r="UX1104" s="13"/>
      <c r="UY1104" s="13"/>
      <c r="UZ1104" s="13"/>
      <c r="VA1104" s="13"/>
      <c r="VB1104" s="13"/>
      <c r="VC1104" s="13"/>
      <c r="VD1104" s="13"/>
      <c r="VE1104" s="13"/>
      <c r="VF1104" s="13"/>
      <c r="VG1104" s="13"/>
      <c r="VH1104" s="13"/>
      <c r="VI1104" s="13"/>
      <c r="VJ1104" s="13"/>
      <c r="VK1104" s="13"/>
      <c r="VL1104" s="13"/>
      <c r="VM1104" s="13"/>
      <c r="VN1104" s="13"/>
      <c r="VO1104" s="13"/>
      <c r="VP1104" s="13"/>
      <c r="VQ1104" s="13"/>
      <c r="VR1104" s="13"/>
      <c r="VS1104" s="13"/>
      <c r="VT1104" s="13"/>
      <c r="VU1104" s="13"/>
      <c r="VV1104" s="13"/>
      <c r="VW1104" s="13"/>
      <c r="VX1104" s="13"/>
      <c r="VY1104" s="13"/>
      <c r="VZ1104" s="13"/>
      <c r="WA1104" s="13"/>
      <c r="WB1104" s="13"/>
      <c r="WC1104" s="13"/>
      <c r="WD1104" s="13"/>
      <c r="WE1104" s="13"/>
      <c r="WF1104" s="13"/>
      <c r="WG1104" s="13"/>
      <c r="WH1104" s="13"/>
      <c r="WI1104" s="13"/>
      <c r="WJ1104" s="13"/>
      <c r="WK1104" s="13"/>
      <c r="WL1104" s="13"/>
      <c r="WM1104" s="13"/>
      <c r="WN1104" s="13"/>
      <c r="WO1104" s="13"/>
      <c r="WP1104" s="13"/>
      <c r="WQ1104" s="13"/>
      <c r="WR1104" s="13"/>
      <c r="WS1104" s="13"/>
      <c r="WT1104" s="13"/>
      <c r="WU1104" s="13"/>
      <c r="WV1104" s="13"/>
      <c r="WW1104" s="13"/>
      <c r="WX1104" s="13"/>
      <c r="WY1104" s="13"/>
      <c r="WZ1104" s="13"/>
      <c r="XA1104" s="13"/>
      <c r="XB1104" s="13"/>
      <c r="XC1104" s="13"/>
      <c r="XD1104" s="13"/>
      <c r="XE1104" s="13"/>
      <c r="XF1104" s="13"/>
      <c r="XG1104" s="13"/>
      <c r="XH1104" s="13"/>
      <c r="XI1104" s="13"/>
      <c r="XJ1104" s="13"/>
      <c r="XK1104" s="13"/>
      <c r="XL1104" s="13"/>
      <c r="XM1104" s="13"/>
      <c r="XN1104" s="13"/>
      <c r="XO1104" s="13"/>
      <c r="XP1104" s="13"/>
      <c r="XQ1104" s="13"/>
      <c r="XR1104" s="13"/>
      <c r="XS1104" s="13"/>
      <c r="XT1104" s="13"/>
      <c r="XU1104" s="13"/>
      <c r="XV1104" s="13"/>
      <c r="XW1104" s="13"/>
      <c r="XX1104" s="13"/>
      <c r="XY1104" s="13"/>
      <c r="XZ1104" s="13"/>
      <c r="YA1104" s="13"/>
      <c r="YB1104" s="13"/>
      <c r="YC1104" s="13"/>
      <c r="YD1104" s="13"/>
      <c r="YE1104" s="13"/>
      <c r="YF1104" s="13"/>
      <c r="YG1104" s="13"/>
      <c r="YH1104" s="13"/>
      <c r="YI1104" s="13"/>
      <c r="YJ1104" s="13"/>
      <c r="YK1104" s="13"/>
      <c r="YL1104" s="13"/>
      <c r="YM1104" s="13"/>
      <c r="YN1104" s="13"/>
      <c r="YO1104" s="13"/>
      <c r="YP1104" s="13"/>
      <c r="YQ1104" s="13"/>
      <c r="YR1104" s="13"/>
      <c r="YS1104" s="13"/>
      <c r="YT1104" s="13"/>
      <c r="YU1104" s="13"/>
      <c r="YV1104" s="13"/>
      <c r="YW1104" s="13"/>
      <c r="YX1104" s="13"/>
      <c r="YY1104" s="13"/>
      <c r="YZ1104" s="13"/>
      <c r="ZA1104" s="13"/>
      <c r="ZB1104" s="13"/>
      <c r="ZC1104" s="13"/>
      <c r="ZD1104" s="13"/>
      <c r="ZE1104" s="13"/>
      <c r="ZF1104" s="13"/>
      <c r="ZG1104" s="13"/>
      <c r="ZH1104" s="13"/>
      <c r="ZI1104" s="13"/>
      <c r="ZJ1104" s="13"/>
      <c r="ZK1104" s="13"/>
      <c r="ZL1104" s="13"/>
      <c r="ZM1104" s="13"/>
      <c r="ZN1104" s="13"/>
      <c r="ZO1104" s="13"/>
      <c r="ZP1104" s="13"/>
      <c r="ZQ1104" s="13"/>
      <c r="ZR1104" s="13"/>
      <c r="ZS1104" s="13"/>
      <c r="ZT1104" s="13"/>
      <c r="ZU1104" s="13"/>
      <c r="ZV1104" s="13"/>
      <c r="ZW1104" s="13"/>
      <c r="ZX1104" s="13"/>
      <c r="ZY1104" s="13"/>
      <c r="ZZ1104" s="13"/>
      <c r="AAA1104" s="13"/>
      <c r="AAB1104" s="13"/>
      <c r="AAC1104" s="13"/>
      <c r="AAD1104" s="13"/>
      <c r="AAE1104" s="13"/>
      <c r="AAF1104" s="13"/>
      <c r="AAG1104" s="13"/>
      <c r="AAH1104" s="13"/>
      <c r="AAI1104" s="13"/>
      <c r="AAJ1104" s="13"/>
      <c r="AAK1104" s="13"/>
      <c r="AAL1104" s="13"/>
      <c r="AAM1104" s="13"/>
      <c r="AAN1104" s="13"/>
      <c r="AAO1104" s="13"/>
      <c r="AAP1104" s="13"/>
      <c r="AAQ1104" s="13"/>
      <c r="AAR1104" s="13"/>
      <c r="AAS1104" s="13"/>
      <c r="AAT1104" s="13"/>
      <c r="AAU1104" s="13"/>
      <c r="AAV1104" s="13"/>
      <c r="AAW1104" s="13"/>
      <c r="AAX1104" s="13"/>
      <c r="AAY1104" s="13"/>
      <c r="AAZ1104" s="13"/>
      <c r="ABA1104" s="13"/>
      <c r="ABB1104" s="13"/>
      <c r="ABC1104" s="13"/>
      <c r="ABD1104" s="13"/>
      <c r="ABE1104" s="13"/>
      <c r="ABF1104" s="13"/>
      <c r="ABG1104" s="13"/>
      <c r="ABH1104" s="13"/>
      <c r="ABI1104" s="13"/>
      <c r="ABJ1104" s="13"/>
      <c r="ABK1104" s="13"/>
      <c r="ABL1104" s="13"/>
      <c r="ABM1104" s="13"/>
      <c r="ABN1104" s="13"/>
      <c r="ABO1104" s="13"/>
      <c r="ABP1104" s="13"/>
      <c r="ABQ1104" s="13"/>
      <c r="ABR1104" s="13"/>
      <c r="ABS1104" s="13"/>
      <c r="ABT1104" s="13"/>
      <c r="ABU1104" s="13"/>
      <c r="ABV1104" s="13"/>
      <c r="ABW1104" s="13"/>
      <c r="ABX1104" s="13"/>
      <c r="ABY1104" s="13"/>
      <c r="ABZ1104" s="13"/>
      <c r="ACA1104" s="13"/>
      <c r="ACB1104" s="13"/>
      <c r="ACC1104" s="13"/>
      <c r="ACD1104" s="13"/>
      <c r="ACE1104" s="13"/>
      <c r="ACF1104" s="13"/>
      <c r="ACG1104" s="13"/>
      <c r="ACH1104" s="13"/>
      <c r="ACI1104" s="13"/>
      <c r="ACJ1104" s="13"/>
      <c r="ACK1104" s="13"/>
      <c r="ACL1104" s="13"/>
      <c r="ACM1104" s="13"/>
      <c r="ACN1104" s="13"/>
      <c r="ACO1104" s="13"/>
      <c r="ACP1104" s="13"/>
      <c r="ACQ1104" s="13"/>
      <c r="ACR1104" s="13"/>
      <c r="ACS1104" s="13"/>
      <c r="ACT1104" s="13"/>
      <c r="ACU1104" s="13"/>
      <c r="ACV1104" s="13"/>
      <c r="ACW1104" s="13"/>
      <c r="ACX1104" s="13"/>
      <c r="ACY1104" s="13"/>
      <c r="ACZ1104" s="13"/>
      <c r="ADA1104" s="13"/>
      <c r="ADB1104" s="13"/>
      <c r="ADC1104" s="13"/>
      <c r="ADD1104" s="13"/>
      <c r="ADE1104" s="13"/>
      <c r="ADF1104" s="13"/>
      <c r="ADG1104" s="13"/>
      <c r="ADH1104" s="13"/>
      <c r="ADI1104" s="13"/>
      <c r="ADJ1104" s="13"/>
      <c r="ADK1104" s="13"/>
      <c r="ADL1104" s="13"/>
      <c r="ADM1104" s="13"/>
      <c r="ADN1104" s="13"/>
      <c r="ADO1104" s="13"/>
      <c r="ADP1104" s="13"/>
      <c r="ADQ1104" s="13"/>
      <c r="ADR1104" s="13"/>
      <c r="ADS1104" s="13"/>
      <c r="ADT1104" s="13"/>
      <c r="ADU1104" s="13"/>
      <c r="ADV1104" s="13"/>
      <c r="ADW1104" s="13"/>
      <c r="ADX1104" s="13"/>
      <c r="ADY1104" s="13"/>
      <c r="ADZ1104" s="13"/>
      <c r="AEA1104" s="13"/>
      <c r="AEB1104" s="13"/>
      <c r="AEC1104" s="13"/>
      <c r="AED1104" s="13"/>
      <c r="AEE1104" s="13"/>
      <c r="AEF1104" s="13"/>
      <c r="AEG1104" s="13"/>
      <c r="AEH1104" s="13"/>
      <c r="AEI1104" s="13"/>
      <c r="AEJ1104" s="13"/>
      <c r="AEK1104" s="13"/>
      <c r="AEL1104" s="13"/>
      <c r="AEM1104" s="13"/>
      <c r="AEN1104" s="13"/>
      <c r="AEO1104" s="13"/>
      <c r="AEP1104" s="13"/>
      <c r="AEQ1104" s="13"/>
      <c r="AER1104" s="13"/>
      <c r="AES1104" s="13"/>
      <c r="AET1104" s="13"/>
      <c r="AEU1104" s="13"/>
      <c r="AEV1104" s="13"/>
      <c r="AEW1104" s="13"/>
      <c r="AEX1104" s="13"/>
      <c r="AEY1104" s="13"/>
      <c r="AEZ1104" s="13"/>
      <c r="AFA1104" s="13"/>
      <c r="AFB1104" s="13"/>
      <c r="AFC1104" s="13"/>
      <c r="AFD1104" s="13"/>
      <c r="AFE1104" s="13"/>
      <c r="AFF1104" s="13"/>
      <c r="AFG1104" s="13"/>
      <c r="AFH1104" s="13"/>
      <c r="AFI1104" s="13"/>
      <c r="AFJ1104" s="13"/>
      <c r="AFK1104" s="13"/>
      <c r="AFL1104" s="13"/>
      <c r="AFM1104" s="13"/>
      <c r="AFN1104" s="13"/>
      <c r="AFO1104" s="13"/>
      <c r="AFP1104" s="13"/>
      <c r="AFQ1104" s="13"/>
      <c r="AFR1104" s="13"/>
      <c r="AFS1104" s="13"/>
      <c r="AFT1104" s="13"/>
      <c r="AFU1104" s="13"/>
      <c r="AFV1104" s="13"/>
      <c r="AFW1104" s="13"/>
      <c r="AFX1104" s="13"/>
      <c r="AFY1104" s="13"/>
      <c r="AFZ1104" s="13"/>
      <c r="AGA1104" s="13"/>
      <c r="AGB1104" s="13"/>
      <c r="AGC1104" s="13"/>
      <c r="AGD1104" s="13"/>
      <c r="AGE1104" s="13"/>
      <c r="AGF1104" s="13"/>
      <c r="AGG1104" s="13"/>
      <c r="AGH1104" s="13"/>
      <c r="AGI1104" s="13"/>
      <c r="AGJ1104" s="13"/>
      <c r="AGK1104" s="13"/>
      <c r="AGL1104" s="13"/>
      <c r="AGM1104" s="13"/>
      <c r="AGN1104" s="13"/>
      <c r="AGO1104" s="13"/>
      <c r="AGP1104" s="13"/>
      <c r="AGQ1104" s="13"/>
      <c r="AGR1104" s="13"/>
      <c r="AGS1104" s="13"/>
      <c r="AGT1104" s="13"/>
      <c r="AGU1104" s="13"/>
      <c r="AGV1104" s="13"/>
      <c r="AGW1104" s="13"/>
      <c r="AGX1104" s="13"/>
      <c r="AGY1104" s="13"/>
      <c r="AGZ1104" s="13"/>
      <c r="AHA1104" s="13"/>
      <c r="AHB1104" s="13"/>
      <c r="AHC1104" s="13"/>
      <c r="AHD1104" s="13"/>
      <c r="AHE1104" s="13"/>
      <c r="AHF1104" s="13"/>
      <c r="AHG1104" s="13"/>
      <c r="AHH1104" s="13"/>
      <c r="AHI1104" s="13"/>
      <c r="AHJ1104" s="13"/>
      <c r="AHK1104" s="13"/>
      <c r="AHL1104" s="13"/>
      <c r="AHM1104" s="13"/>
      <c r="AHN1104" s="13"/>
      <c r="AHO1104" s="13"/>
      <c r="AHP1104" s="13"/>
      <c r="AHQ1104" s="13"/>
      <c r="AHR1104" s="13"/>
      <c r="AHS1104" s="13"/>
      <c r="AHT1104" s="13"/>
      <c r="AHU1104" s="13"/>
      <c r="AHV1104" s="13"/>
      <c r="AHW1104" s="13"/>
      <c r="AHX1104" s="13"/>
      <c r="AHY1104" s="13"/>
      <c r="AHZ1104" s="13"/>
      <c r="AIA1104" s="13"/>
      <c r="AIB1104" s="13"/>
      <c r="AIC1104" s="13"/>
      <c r="AID1104" s="13"/>
      <c r="AIE1104" s="13"/>
      <c r="AIF1104" s="13"/>
      <c r="AIG1104" s="13"/>
      <c r="AIH1104" s="13"/>
      <c r="AII1104" s="13"/>
      <c r="AIJ1104" s="13"/>
      <c r="AIK1104" s="13"/>
      <c r="AIL1104" s="13"/>
      <c r="AIM1104" s="13"/>
      <c r="AIN1104" s="13"/>
      <c r="AIO1104" s="13"/>
      <c r="AIP1104" s="13"/>
      <c r="AIQ1104" s="13"/>
      <c r="AIR1104" s="13"/>
      <c r="AIS1104" s="13"/>
      <c r="AIT1104" s="13"/>
      <c r="AIU1104" s="13"/>
      <c r="AIV1104" s="13"/>
      <c r="AIW1104" s="13"/>
      <c r="AIX1104" s="13"/>
      <c r="AIY1104" s="13"/>
      <c r="AIZ1104" s="13"/>
      <c r="AJA1104" s="13"/>
      <c r="AJB1104" s="13"/>
      <c r="AJC1104" s="13"/>
      <c r="AJD1104" s="13"/>
      <c r="AJE1104" s="13"/>
      <c r="AJF1104" s="13"/>
      <c r="AJG1104" s="13"/>
      <c r="AJH1104" s="13"/>
      <c r="AJI1104" s="13"/>
      <c r="AJJ1104" s="13"/>
      <c r="AJK1104" s="13"/>
      <c r="AJL1104" s="13"/>
      <c r="AJM1104" s="13"/>
      <c r="AJN1104" s="13"/>
      <c r="AJO1104" s="13"/>
      <c r="AJP1104" s="13"/>
      <c r="AJQ1104" s="13"/>
      <c r="AJR1104" s="13"/>
      <c r="AJS1104" s="13"/>
      <c r="AJT1104" s="13"/>
      <c r="AJU1104" s="13"/>
      <c r="AJV1104" s="13"/>
      <c r="AJW1104" s="13"/>
      <c r="AJX1104" s="13"/>
      <c r="AJY1104" s="13"/>
      <c r="AJZ1104" s="13"/>
      <c r="AKA1104" s="13"/>
      <c r="AKB1104" s="13"/>
      <c r="AKC1104" s="13"/>
      <c r="AKD1104" s="13"/>
      <c r="AKE1104" s="13"/>
      <c r="AKF1104" s="13"/>
      <c r="AKG1104" s="13"/>
      <c r="AKH1104" s="13"/>
      <c r="AKI1104" s="13"/>
      <c r="AKJ1104" s="13"/>
      <c r="AKK1104" s="13"/>
      <c r="AKL1104" s="13"/>
      <c r="AKM1104" s="13"/>
      <c r="AKN1104" s="13"/>
      <c r="AKO1104" s="13"/>
      <c r="AKP1104" s="13"/>
      <c r="AKQ1104" s="13"/>
      <c r="AKR1104" s="13"/>
      <c r="AKS1104" s="13"/>
      <c r="AKT1104" s="13"/>
      <c r="AKU1104" s="13"/>
      <c r="AKV1104" s="13"/>
      <c r="AKW1104" s="13"/>
      <c r="AKX1104" s="13"/>
      <c r="AKY1104" s="13"/>
      <c r="AKZ1104" s="13"/>
      <c r="ALA1104" s="13"/>
      <c r="ALB1104" s="13"/>
      <c r="ALC1104" s="13"/>
      <c r="ALD1104" s="13"/>
      <c r="ALE1104" s="13"/>
      <c r="ALF1104" s="13"/>
      <c r="ALG1104" s="13"/>
      <c r="ALH1104" s="13"/>
      <c r="ALI1104" s="13"/>
      <c r="ALJ1104" s="13"/>
      <c r="ALK1104" s="13"/>
      <c r="ALL1104" s="13"/>
      <c r="ALM1104" s="13"/>
      <c r="ALN1104" s="13"/>
      <c r="ALO1104" s="13"/>
      <c r="ALP1104" s="13"/>
      <c r="ALQ1104" s="13"/>
      <c r="ALR1104" s="13"/>
      <c r="ALS1104" s="13"/>
      <c r="ALT1104" s="13"/>
      <c r="ALU1104" s="13"/>
      <c r="ALV1104" s="13"/>
      <c r="ALW1104" s="13"/>
      <c r="ALX1104" s="13"/>
      <c r="ALY1104" s="13"/>
      <c r="ALZ1104" s="13"/>
      <c r="AMA1104" s="13"/>
      <c r="AMB1104" s="13"/>
      <c r="AMC1104" s="13"/>
      <c r="AMD1104" s="13"/>
      <c r="AME1104" s="13"/>
      <c r="AMF1104" s="13"/>
      <c r="AMG1104" s="13"/>
      <c r="AMH1104" s="13"/>
      <c r="AMI1104" s="13"/>
      <c r="AMJ1104" s="13"/>
      <c r="AMK1104" s="13"/>
      <c r="AML1104" s="13"/>
      <c r="AMM1104" s="13"/>
      <c r="AMN1104" s="13"/>
      <c r="AMO1104" s="13"/>
      <c r="AMP1104" s="13"/>
      <c r="AMQ1104" s="13"/>
      <c r="AMR1104" s="13"/>
      <c r="AMS1104" s="13"/>
      <c r="AMT1104" s="13"/>
      <c r="AMU1104" s="13"/>
      <c r="AMV1104" s="13"/>
      <c r="AMW1104" s="13"/>
      <c r="AMX1104" s="13"/>
      <c r="AMY1104" s="13"/>
      <c r="AMZ1104" s="13"/>
      <c r="ANA1104" s="13"/>
      <c r="ANB1104" s="13"/>
      <c r="ANC1104" s="13"/>
      <c r="AND1104" s="13"/>
      <c r="ANE1104" s="13"/>
      <c r="ANF1104" s="13"/>
      <c r="ANG1104" s="13"/>
      <c r="ANH1104" s="13"/>
      <c r="ANI1104" s="13"/>
      <c r="ANJ1104" s="13"/>
      <c r="ANK1104" s="13"/>
      <c r="ANL1104" s="13"/>
      <c r="ANM1104" s="13"/>
      <c r="ANN1104" s="13"/>
      <c r="ANO1104" s="13"/>
      <c r="ANP1104" s="13"/>
      <c r="ANQ1104" s="13"/>
      <c r="ANR1104" s="13"/>
      <c r="ANS1104" s="13"/>
      <c r="ANT1104" s="13"/>
      <c r="ANU1104" s="13"/>
      <c r="ANV1104" s="13"/>
      <c r="ANW1104" s="13"/>
      <c r="ANX1104" s="13"/>
      <c r="ANY1104" s="13"/>
      <c r="ANZ1104" s="13"/>
      <c r="AOA1104" s="13"/>
      <c r="AOB1104" s="13"/>
      <c r="AOC1104" s="13"/>
      <c r="AOD1104" s="13"/>
      <c r="AOE1104" s="13"/>
      <c r="AOF1104" s="13"/>
      <c r="AOG1104" s="13"/>
      <c r="AOH1104" s="13"/>
      <c r="AOI1104" s="13"/>
      <c r="AOJ1104" s="13"/>
      <c r="AOK1104" s="13"/>
      <c r="AOL1104" s="13"/>
      <c r="AOM1104" s="13"/>
      <c r="AON1104" s="13"/>
      <c r="AOO1104" s="13"/>
      <c r="AOP1104" s="13"/>
      <c r="AOQ1104" s="13"/>
      <c r="AOR1104" s="13"/>
      <c r="AOS1104" s="13"/>
      <c r="AOT1104" s="13"/>
      <c r="AOU1104" s="13"/>
      <c r="AOV1104" s="13"/>
      <c r="AOW1104" s="13"/>
      <c r="AOX1104" s="13"/>
      <c r="AOY1104" s="13"/>
      <c r="AOZ1104" s="13"/>
      <c r="APA1104" s="13"/>
      <c r="APB1104" s="13"/>
      <c r="APC1104" s="13"/>
      <c r="APD1104" s="13"/>
      <c r="APE1104" s="13"/>
      <c r="APF1104" s="13"/>
      <c r="APG1104" s="13"/>
      <c r="APH1104" s="13"/>
      <c r="API1104" s="13"/>
      <c r="APJ1104" s="13"/>
      <c r="APK1104" s="13"/>
      <c r="APL1104" s="13"/>
      <c r="APM1104" s="13"/>
      <c r="APN1104" s="13"/>
      <c r="APO1104" s="13"/>
      <c r="APP1104" s="13"/>
      <c r="APQ1104" s="13"/>
      <c r="APR1104" s="13"/>
      <c r="APS1104" s="13"/>
      <c r="APT1104" s="13"/>
      <c r="APU1104" s="13"/>
      <c r="APV1104" s="13"/>
      <c r="APW1104" s="13"/>
      <c r="APX1104" s="13"/>
      <c r="APY1104" s="13"/>
      <c r="APZ1104" s="13"/>
      <c r="AQA1104" s="13"/>
      <c r="AQB1104" s="13"/>
      <c r="AQC1104" s="13"/>
      <c r="AQD1104" s="13"/>
      <c r="AQE1104" s="13"/>
      <c r="AQF1104" s="13"/>
      <c r="AQG1104" s="13"/>
      <c r="AQH1104" s="13"/>
      <c r="AQI1104" s="13"/>
      <c r="AQJ1104" s="13"/>
      <c r="AQK1104" s="13"/>
      <c r="AQL1104" s="13"/>
      <c r="AQM1104" s="13"/>
      <c r="AQN1104" s="13"/>
      <c r="AQO1104" s="13"/>
      <c r="AQP1104" s="13"/>
      <c r="AQQ1104" s="13"/>
      <c r="AQR1104" s="13"/>
      <c r="AQS1104" s="13"/>
      <c r="AQT1104" s="13"/>
      <c r="AQU1104" s="13"/>
      <c r="AQV1104" s="13"/>
      <c r="AQW1104" s="13"/>
      <c r="AQX1104" s="13"/>
      <c r="AQY1104" s="13"/>
      <c r="AQZ1104" s="13"/>
      <c r="ARA1104" s="13"/>
      <c r="ARB1104" s="13"/>
      <c r="ARC1104" s="13"/>
      <c r="ARD1104" s="13"/>
      <c r="ARE1104" s="13"/>
      <c r="ARF1104" s="13"/>
      <c r="ARG1104" s="13"/>
      <c r="ARH1104" s="13"/>
      <c r="ARI1104" s="13"/>
      <c r="ARJ1104" s="13"/>
      <c r="ARK1104" s="13"/>
      <c r="ARL1104" s="13"/>
      <c r="ARM1104" s="13"/>
      <c r="ARN1104" s="13"/>
      <c r="ARO1104" s="13"/>
      <c r="ARP1104" s="13"/>
      <c r="ARQ1104" s="13"/>
      <c r="ARR1104" s="13"/>
      <c r="ARS1104" s="13"/>
      <c r="ART1104" s="13"/>
      <c r="ARU1104" s="13"/>
      <c r="ARV1104" s="13"/>
      <c r="ARW1104" s="13"/>
      <c r="ARX1104" s="13"/>
      <c r="ARY1104" s="13"/>
      <c r="ARZ1104" s="13"/>
      <c r="ASA1104" s="13"/>
      <c r="ASB1104" s="13"/>
      <c r="ASC1104" s="13"/>
      <c r="ASD1104" s="13"/>
      <c r="ASE1104" s="13"/>
      <c r="ASF1104" s="13"/>
      <c r="ASG1104" s="13"/>
      <c r="ASH1104" s="13"/>
      <c r="ASI1104" s="13"/>
      <c r="ASJ1104" s="13"/>
      <c r="ASK1104" s="13"/>
      <c r="ASL1104" s="13"/>
      <c r="ASM1104" s="13"/>
      <c r="ASN1104" s="13"/>
      <c r="ASO1104" s="13"/>
      <c r="ASP1104" s="13"/>
      <c r="ASQ1104" s="13"/>
      <c r="ASR1104" s="13"/>
      <c r="ASS1104" s="13"/>
      <c r="AST1104" s="13"/>
      <c r="ASU1104" s="13"/>
      <c r="ASV1104" s="13"/>
      <c r="ASW1104" s="13"/>
      <c r="ASX1104" s="13"/>
      <c r="ASY1104" s="13"/>
      <c r="ASZ1104" s="13"/>
      <c r="ATA1104" s="13"/>
      <c r="ATB1104" s="13"/>
      <c r="ATC1104" s="13"/>
      <c r="ATD1104" s="13"/>
      <c r="ATE1104" s="13"/>
      <c r="ATF1104" s="13"/>
      <c r="ATG1104" s="13"/>
      <c r="ATH1104" s="13"/>
      <c r="ATI1104" s="13"/>
      <c r="ATJ1104" s="13"/>
      <c r="ATK1104" s="13"/>
      <c r="ATL1104" s="13"/>
      <c r="ATM1104" s="13"/>
      <c r="ATN1104" s="13"/>
      <c r="ATO1104" s="13"/>
      <c r="ATP1104" s="13"/>
      <c r="ATQ1104" s="13"/>
      <c r="ATR1104" s="13"/>
      <c r="ATS1104" s="13"/>
      <c r="ATT1104" s="13"/>
      <c r="ATU1104" s="13"/>
      <c r="ATV1104" s="13"/>
      <c r="ATW1104" s="13"/>
      <c r="ATX1104" s="13"/>
      <c r="ATY1104" s="13"/>
      <c r="ATZ1104" s="13"/>
      <c r="AUA1104" s="13"/>
      <c r="AUB1104" s="13"/>
      <c r="AUC1104" s="13"/>
      <c r="AUD1104" s="13"/>
      <c r="AUE1104" s="13"/>
      <c r="AUF1104" s="13"/>
      <c r="AUG1104" s="13"/>
      <c r="AUH1104" s="13"/>
      <c r="AUI1104" s="13"/>
      <c r="AUJ1104" s="13"/>
      <c r="AUK1104" s="13"/>
      <c r="AUL1104" s="13"/>
      <c r="AUM1104" s="13"/>
      <c r="AUN1104" s="13"/>
      <c r="AUO1104" s="13"/>
      <c r="AUP1104" s="13"/>
      <c r="AUQ1104" s="13"/>
      <c r="AUR1104" s="13"/>
      <c r="AUS1104" s="13"/>
      <c r="AUT1104" s="13"/>
      <c r="AUU1104" s="13"/>
      <c r="AUV1104" s="13"/>
      <c r="AUW1104" s="13"/>
      <c r="AUX1104" s="13"/>
      <c r="AUY1104" s="13"/>
      <c r="AUZ1104" s="13"/>
      <c r="AVA1104" s="13"/>
      <c r="AVB1104" s="13"/>
      <c r="AVC1104" s="13"/>
      <c r="AVD1104" s="13"/>
      <c r="AVE1104" s="13"/>
      <c r="AVF1104" s="13"/>
      <c r="AVG1104" s="13"/>
      <c r="AVH1104" s="13"/>
      <c r="AVI1104" s="13"/>
      <c r="AVJ1104" s="13"/>
      <c r="AVK1104" s="13"/>
      <c r="AVL1104" s="13"/>
      <c r="AVM1104" s="13"/>
      <c r="AVN1104" s="13"/>
      <c r="AVO1104" s="13"/>
      <c r="AVP1104" s="13"/>
      <c r="AVQ1104" s="13"/>
      <c r="AVR1104" s="13"/>
      <c r="AVS1104" s="13"/>
      <c r="AVT1104" s="13"/>
      <c r="AVU1104" s="13"/>
      <c r="AVV1104" s="13"/>
      <c r="AVW1104" s="13"/>
      <c r="AVX1104" s="13"/>
      <c r="AVY1104" s="13"/>
      <c r="AVZ1104" s="13"/>
      <c r="AWA1104" s="13"/>
      <c r="AWB1104" s="13"/>
      <c r="AWC1104" s="13"/>
      <c r="AWD1104" s="13"/>
      <c r="AWE1104" s="13"/>
      <c r="AWF1104" s="13"/>
      <c r="AWG1104" s="13"/>
      <c r="AWH1104" s="13"/>
      <c r="AWI1104" s="13"/>
      <c r="AWJ1104" s="13"/>
      <c r="AWK1104" s="13"/>
      <c r="AWL1104" s="13"/>
      <c r="AWM1104" s="13"/>
      <c r="AWN1104" s="13"/>
      <c r="AWO1104" s="13"/>
      <c r="AWP1104" s="13"/>
      <c r="AWQ1104" s="13"/>
      <c r="AWR1104" s="13"/>
      <c r="AWS1104" s="13"/>
      <c r="AWT1104" s="13"/>
      <c r="AWU1104" s="13"/>
      <c r="AWV1104" s="13"/>
      <c r="AWW1104" s="13"/>
      <c r="AWX1104" s="13"/>
      <c r="AWY1104" s="13"/>
      <c r="AWZ1104" s="13"/>
      <c r="AXA1104" s="13"/>
      <c r="AXB1104" s="13"/>
      <c r="AXC1104" s="13"/>
      <c r="AXD1104" s="13"/>
      <c r="AXE1104" s="13"/>
      <c r="AXF1104" s="13"/>
      <c r="AXG1104" s="13"/>
      <c r="AXH1104" s="13"/>
      <c r="AXI1104" s="13"/>
      <c r="AXJ1104" s="13"/>
      <c r="AXK1104" s="13"/>
      <c r="AXL1104" s="13"/>
      <c r="AXM1104" s="13"/>
      <c r="AXN1104" s="13"/>
      <c r="AXO1104" s="13"/>
      <c r="AXP1104" s="13"/>
      <c r="AXQ1104" s="13"/>
      <c r="AXR1104" s="13"/>
      <c r="AXS1104" s="13"/>
      <c r="AXT1104" s="13"/>
      <c r="AXU1104" s="13"/>
      <c r="AXV1104" s="13"/>
      <c r="AXW1104" s="13"/>
      <c r="AXX1104" s="13"/>
      <c r="AXY1104" s="13"/>
      <c r="AXZ1104" s="13"/>
      <c r="AYA1104" s="13"/>
      <c r="AYB1104" s="13"/>
      <c r="AYC1104" s="13"/>
      <c r="AYD1104" s="13"/>
      <c r="AYE1104" s="13"/>
      <c r="AYF1104" s="13"/>
      <c r="AYG1104" s="13"/>
      <c r="AYH1104" s="13"/>
      <c r="AYI1104" s="13"/>
      <c r="AYJ1104" s="13"/>
      <c r="AYK1104" s="13"/>
      <c r="AYL1104" s="13"/>
      <c r="AYM1104" s="13"/>
      <c r="AYN1104" s="13"/>
      <c r="AYO1104" s="13"/>
      <c r="AYP1104" s="13"/>
      <c r="AYQ1104" s="13"/>
      <c r="AYR1104" s="13"/>
      <c r="AYS1104" s="13"/>
      <c r="AYT1104" s="13"/>
      <c r="AYU1104" s="13"/>
      <c r="AYV1104" s="13"/>
      <c r="AYW1104" s="13"/>
      <c r="AYX1104" s="13"/>
      <c r="AYY1104" s="13"/>
      <c r="AYZ1104" s="13"/>
      <c r="AZA1104" s="13"/>
      <c r="AZB1104" s="13"/>
      <c r="AZC1104" s="13"/>
      <c r="AZD1104" s="13"/>
      <c r="AZE1104" s="13"/>
      <c r="AZF1104" s="13"/>
      <c r="AZG1104" s="13"/>
      <c r="AZH1104" s="13"/>
      <c r="AZI1104" s="13"/>
      <c r="AZJ1104" s="13"/>
      <c r="AZK1104" s="13"/>
      <c r="AZL1104" s="13"/>
      <c r="AZM1104" s="13"/>
      <c r="AZN1104" s="13"/>
      <c r="AZO1104" s="13"/>
      <c r="AZP1104" s="13"/>
      <c r="AZQ1104" s="13"/>
      <c r="AZR1104" s="13"/>
      <c r="AZS1104" s="13"/>
      <c r="AZT1104" s="13"/>
      <c r="AZU1104" s="13"/>
      <c r="AZV1104" s="13"/>
      <c r="AZW1104" s="13"/>
      <c r="AZX1104" s="13"/>
      <c r="AZY1104" s="13"/>
      <c r="AZZ1104" s="13"/>
      <c r="BAA1104" s="13"/>
      <c r="BAB1104" s="13"/>
      <c r="BAC1104" s="13"/>
      <c r="BAD1104" s="13"/>
      <c r="BAE1104" s="13"/>
      <c r="BAF1104" s="13"/>
      <c r="BAG1104" s="13"/>
      <c r="BAH1104" s="13"/>
      <c r="BAI1104" s="13"/>
      <c r="BAJ1104" s="13"/>
      <c r="BAK1104" s="13"/>
      <c r="BAL1104" s="13"/>
      <c r="BAM1104" s="13"/>
      <c r="BAN1104" s="13"/>
      <c r="BAO1104" s="13"/>
      <c r="BAP1104" s="13"/>
      <c r="BAQ1104" s="13"/>
      <c r="BAR1104" s="13"/>
      <c r="BAS1104" s="13"/>
      <c r="BAT1104" s="13"/>
      <c r="BAU1104" s="13"/>
      <c r="BAV1104" s="13"/>
      <c r="BAW1104" s="13"/>
      <c r="BAX1104" s="13"/>
      <c r="BAY1104" s="13"/>
      <c r="BAZ1104" s="13"/>
      <c r="BBA1104" s="13"/>
      <c r="BBB1104" s="13"/>
      <c r="BBC1104" s="13"/>
      <c r="BBD1104" s="13"/>
      <c r="BBE1104" s="13"/>
      <c r="BBF1104" s="13"/>
      <c r="BBG1104" s="13"/>
      <c r="BBH1104" s="13"/>
      <c r="BBI1104" s="13"/>
      <c r="BBJ1104" s="13"/>
      <c r="BBK1104" s="13"/>
      <c r="BBL1104" s="13"/>
      <c r="BBM1104" s="13"/>
      <c r="BBN1104" s="13"/>
      <c r="BBO1104" s="13"/>
      <c r="BBP1104" s="13"/>
      <c r="BBQ1104" s="13"/>
      <c r="BBR1104" s="13"/>
      <c r="BBS1104" s="13"/>
      <c r="BBT1104" s="13"/>
      <c r="BBU1104" s="13"/>
      <c r="BBV1104" s="13"/>
      <c r="BBW1104" s="13"/>
      <c r="BBX1104" s="13"/>
      <c r="BBY1104" s="13"/>
      <c r="BBZ1104" s="13"/>
      <c r="BCA1104" s="13"/>
      <c r="BCB1104" s="13"/>
      <c r="BCC1104" s="13"/>
      <c r="BCD1104" s="13"/>
      <c r="BCE1104" s="13"/>
      <c r="BCF1104" s="13"/>
      <c r="BCG1104" s="13"/>
      <c r="BCH1104" s="13"/>
      <c r="BCI1104" s="13"/>
      <c r="BCJ1104" s="13"/>
      <c r="BCK1104" s="13"/>
      <c r="BCL1104" s="13"/>
      <c r="BCM1104" s="13"/>
      <c r="BCN1104" s="13"/>
      <c r="BCO1104" s="13"/>
      <c r="BCP1104" s="13"/>
      <c r="BCQ1104" s="13"/>
      <c r="BCR1104" s="13"/>
      <c r="BCS1104" s="13"/>
      <c r="BCT1104" s="13"/>
      <c r="BCU1104" s="13"/>
      <c r="BCV1104" s="13"/>
      <c r="BCW1104" s="13"/>
      <c r="BCX1104" s="13"/>
      <c r="BCY1104" s="13"/>
      <c r="BCZ1104" s="13"/>
      <c r="BDA1104" s="13"/>
      <c r="BDB1104" s="13"/>
      <c r="BDC1104" s="13"/>
      <c r="BDD1104" s="13"/>
      <c r="BDE1104" s="13"/>
      <c r="BDF1104" s="13"/>
      <c r="BDG1104" s="13"/>
      <c r="BDH1104" s="13"/>
      <c r="BDI1104" s="13"/>
      <c r="BDJ1104" s="13"/>
      <c r="BDK1104" s="13"/>
      <c r="BDL1104" s="13"/>
      <c r="BDM1104" s="13"/>
      <c r="BDN1104" s="13"/>
      <c r="BDO1104" s="13"/>
      <c r="BDP1104" s="13"/>
      <c r="BDQ1104" s="13"/>
      <c r="BDR1104" s="13"/>
      <c r="BDS1104" s="13"/>
      <c r="BDT1104" s="13"/>
      <c r="BDU1104" s="13"/>
      <c r="BDV1104" s="13"/>
      <c r="BDW1104" s="13"/>
      <c r="BDX1104" s="13"/>
      <c r="BDY1104" s="13"/>
      <c r="BDZ1104" s="13"/>
      <c r="BEA1104" s="13"/>
      <c r="BEB1104" s="13"/>
      <c r="BEC1104" s="13"/>
      <c r="BED1104" s="13"/>
      <c r="BEE1104" s="13"/>
      <c r="BEF1104" s="13"/>
      <c r="BEG1104" s="13"/>
      <c r="BEH1104" s="13"/>
      <c r="BEI1104" s="13"/>
      <c r="BEJ1104" s="13"/>
      <c r="BEK1104" s="13"/>
      <c r="BEL1104" s="13"/>
      <c r="BEM1104" s="13"/>
      <c r="BEN1104" s="13"/>
      <c r="BEO1104" s="13"/>
      <c r="BEP1104" s="13"/>
      <c r="BEQ1104" s="13"/>
      <c r="BER1104" s="13"/>
      <c r="BES1104" s="13"/>
      <c r="BET1104" s="13"/>
      <c r="BEU1104" s="13"/>
      <c r="BEV1104" s="13"/>
      <c r="BEW1104" s="13"/>
      <c r="BEX1104" s="13"/>
      <c r="BEY1104" s="13"/>
      <c r="BEZ1104" s="13"/>
      <c r="BFA1104" s="13"/>
      <c r="BFB1104" s="13"/>
      <c r="BFC1104" s="13"/>
      <c r="BFD1104" s="13"/>
      <c r="BFE1104" s="13"/>
      <c r="BFF1104" s="13"/>
      <c r="BFG1104" s="13"/>
      <c r="BFH1104" s="13"/>
      <c r="BFI1104" s="13"/>
      <c r="BFJ1104" s="13"/>
      <c r="BFK1104" s="13"/>
      <c r="BFL1104" s="13"/>
      <c r="BFM1104" s="13"/>
      <c r="BFN1104" s="13"/>
      <c r="BFO1104" s="13"/>
      <c r="BFP1104" s="13"/>
      <c r="BFQ1104" s="13"/>
      <c r="BFR1104" s="13"/>
      <c r="BFS1104" s="13"/>
      <c r="BFT1104" s="13"/>
      <c r="BFU1104" s="13"/>
      <c r="BFV1104" s="13"/>
      <c r="BFW1104" s="13"/>
      <c r="BFX1104" s="13"/>
      <c r="BFY1104" s="13"/>
      <c r="BFZ1104" s="13"/>
      <c r="BGA1104" s="13"/>
      <c r="BGB1104" s="13"/>
      <c r="BGC1104" s="13"/>
      <c r="BGD1104" s="13"/>
      <c r="BGE1104" s="13"/>
      <c r="BGF1104" s="13"/>
      <c r="BGG1104" s="13"/>
      <c r="BGH1104" s="13"/>
      <c r="BGI1104" s="13"/>
      <c r="BGJ1104" s="13"/>
      <c r="BGK1104" s="13"/>
      <c r="BGL1104" s="13"/>
      <c r="BGM1104" s="13"/>
      <c r="BGN1104" s="13"/>
      <c r="BGO1104" s="13"/>
      <c r="BGP1104" s="13"/>
      <c r="BGQ1104" s="13"/>
      <c r="BGR1104" s="13"/>
      <c r="BGS1104" s="13"/>
      <c r="BGT1104" s="13"/>
      <c r="BGU1104" s="13"/>
      <c r="BGV1104" s="13"/>
      <c r="BGW1104" s="13"/>
      <c r="BGX1104" s="13"/>
      <c r="BGY1104" s="13"/>
      <c r="BGZ1104" s="13"/>
      <c r="BHA1104" s="13"/>
      <c r="BHB1104" s="13"/>
      <c r="BHC1104" s="13"/>
      <c r="BHD1104" s="13"/>
      <c r="BHE1104" s="13"/>
      <c r="BHF1104" s="13"/>
      <c r="BHG1104" s="13"/>
      <c r="BHH1104" s="13"/>
      <c r="BHI1104" s="13"/>
      <c r="BHJ1104" s="13"/>
      <c r="BHK1104" s="13"/>
      <c r="BHL1104" s="13"/>
      <c r="BHM1104" s="13"/>
      <c r="BHN1104" s="13"/>
      <c r="BHO1104" s="13"/>
      <c r="BHP1104" s="13"/>
      <c r="BHQ1104" s="13"/>
      <c r="BHR1104" s="13"/>
      <c r="BHS1104" s="13"/>
      <c r="BHT1104" s="13"/>
      <c r="BHU1104" s="13"/>
      <c r="BHV1104" s="13"/>
      <c r="BHW1104" s="13"/>
      <c r="BHX1104" s="13"/>
      <c r="BHY1104" s="13"/>
      <c r="BHZ1104" s="13"/>
      <c r="BIA1104" s="13"/>
      <c r="BIB1104" s="13"/>
      <c r="BIC1104" s="13"/>
      <c r="BID1104" s="13"/>
      <c r="BIE1104" s="13"/>
      <c r="BIF1104" s="13"/>
      <c r="BIG1104" s="13"/>
      <c r="BIH1104" s="13"/>
      <c r="BII1104" s="13"/>
      <c r="BIJ1104" s="13"/>
      <c r="BIK1104" s="13"/>
      <c r="BIL1104" s="13"/>
      <c r="BIM1104" s="13"/>
      <c r="BIN1104" s="13"/>
      <c r="BIO1104" s="13"/>
      <c r="BIP1104" s="13"/>
      <c r="BIQ1104" s="13"/>
      <c r="BIR1104" s="13"/>
      <c r="BIS1104" s="13"/>
      <c r="BIT1104" s="13"/>
      <c r="BIU1104" s="13"/>
      <c r="BIV1104" s="13"/>
      <c r="BIW1104" s="13"/>
      <c r="BIX1104" s="13"/>
      <c r="BIY1104" s="13"/>
      <c r="BIZ1104" s="13"/>
      <c r="BJA1104" s="13"/>
      <c r="BJB1104" s="13"/>
      <c r="BJC1104" s="13"/>
      <c r="BJD1104" s="13"/>
      <c r="BJE1104" s="13"/>
      <c r="BJF1104" s="13"/>
      <c r="BJG1104" s="13"/>
      <c r="BJH1104" s="13"/>
      <c r="BJI1104" s="13"/>
      <c r="BJJ1104" s="13"/>
      <c r="BJK1104" s="13"/>
      <c r="BJL1104" s="13"/>
      <c r="BJM1104" s="13"/>
      <c r="BJN1104" s="13"/>
      <c r="BJO1104" s="13"/>
      <c r="BJP1104" s="13"/>
      <c r="BJQ1104" s="13"/>
      <c r="BJR1104" s="13"/>
      <c r="BJS1104" s="13"/>
      <c r="BJT1104" s="13"/>
      <c r="BJU1104" s="13"/>
      <c r="BJV1104" s="13"/>
      <c r="BJW1104" s="13"/>
      <c r="BJX1104" s="13"/>
      <c r="BJY1104" s="13"/>
      <c r="BJZ1104" s="13"/>
      <c r="BKA1104" s="13"/>
      <c r="BKB1104" s="13"/>
      <c r="BKC1104" s="13"/>
      <c r="BKD1104" s="13"/>
      <c r="BKE1104" s="13"/>
      <c r="BKF1104" s="13"/>
      <c r="BKG1104" s="13"/>
      <c r="BKH1104" s="13"/>
      <c r="BKI1104" s="13"/>
      <c r="BKJ1104" s="13"/>
      <c r="BKK1104" s="13"/>
      <c r="BKL1104" s="13"/>
      <c r="BKM1104" s="13"/>
      <c r="BKN1104" s="13"/>
      <c r="BKO1104" s="13"/>
      <c r="BKP1104" s="13"/>
      <c r="BKQ1104" s="13"/>
      <c r="BKR1104" s="13"/>
      <c r="BKS1104" s="13"/>
      <c r="BKT1104" s="13"/>
      <c r="BKU1104" s="13"/>
      <c r="BKV1104" s="13"/>
      <c r="BKW1104" s="13"/>
      <c r="BKX1104" s="13"/>
      <c r="BKY1104" s="13"/>
      <c r="BKZ1104" s="13"/>
      <c r="BLA1104" s="13"/>
      <c r="BLB1104" s="13"/>
      <c r="BLC1104" s="13"/>
      <c r="BLD1104" s="13"/>
      <c r="BLE1104" s="13"/>
      <c r="BLF1104" s="13"/>
      <c r="BLG1104" s="13"/>
      <c r="BLH1104" s="13"/>
      <c r="BLI1104" s="13"/>
      <c r="BLJ1104" s="13"/>
      <c r="BLK1104" s="13"/>
      <c r="BLL1104" s="13"/>
      <c r="BLM1104" s="13"/>
      <c r="BLN1104" s="13"/>
      <c r="BLO1104" s="13"/>
      <c r="BLP1104" s="13"/>
      <c r="BLQ1104" s="13"/>
      <c r="BLR1104" s="13"/>
      <c r="BLS1104" s="13"/>
      <c r="BLT1104" s="13"/>
      <c r="BLU1104" s="13"/>
      <c r="BLV1104" s="13"/>
      <c r="BLW1104" s="13"/>
      <c r="BLX1104" s="13"/>
      <c r="BLY1104" s="13"/>
      <c r="BLZ1104" s="13"/>
      <c r="BMA1104" s="13"/>
      <c r="BMB1104" s="13"/>
      <c r="BMC1104" s="13"/>
      <c r="BMD1104" s="13"/>
      <c r="BME1104" s="13"/>
      <c r="BMF1104" s="13"/>
      <c r="BMG1104" s="13"/>
      <c r="BMH1104" s="13"/>
      <c r="BMI1104" s="13"/>
      <c r="BMJ1104" s="13"/>
      <c r="BMK1104" s="13"/>
      <c r="BML1104" s="13"/>
      <c r="BMM1104" s="13"/>
      <c r="BMN1104" s="13"/>
      <c r="BMO1104" s="13"/>
      <c r="BMP1104" s="13"/>
      <c r="BMQ1104" s="13"/>
      <c r="BMR1104" s="13"/>
      <c r="BMS1104" s="13"/>
      <c r="BMT1104" s="13"/>
      <c r="BMU1104" s="13"/>
      <c r="BMV1104" s="13"/>
      <c r="BMW1104" s="13"/>
      <c r="BMX1104" s="13"/>
      <c r="BMY1104" s="13"/>
      <c r="BMZ1104" s="13"/>
      <c r="BNA1104" s="13"/>
      <c r="BNB1104" s="13"/>
      <c r="BNC1104" s="13"/>
      <c r="BND1104" s="13"/>
      <c r="BNE1104" s="13"/>
      <c r="BNF1104" s="13"/>
      <c r="BNG1104" s="13"/>
      <c r="BNH1104" s="13"/>
      <c r="BNI1104" s="13"/>
      <c r="BNJ1104" s="13"/>
      <c r="BNK1104" s="13"/>
      <c r="BNL1104" s="13"/>
      <c r="BNM1104" s="13"/>
      <c r="BNN1104" s="13"/>
      <c r="BNO1104" s="13"/>
      <c r="BNP1104" s="13"/>
      <c r="BNQ1104" s="13"/>
      <c r="BNR1104" s="13"/>
      <c r="BNS1104" s="13"/>
      <c r="BNT1104" s="13"/>
      <c r="BNU1104" s="13"/>
      <c r="BNV1104" s="13"/>
      <c r="BNW1104" s="13"/>
      <c r="BNX1104" s="13"/>
      <c r="BNY1104" s="13"/>
      <c r="BNZ1104" s="13"/>
      <c r="BOA1104" s="13"/>
      <c r="BOB1104" s="13"/>
      <c r="BOC1104" s="13"/>
      <c r="BOD1104" s="13"/>
      <c r="BOE1104" s="13"/>
      <c r="BOF1104" s="13"/>
      <c r="BOG1104" s="13"/>
      <c r="BOH1104" s="13"/>
      <c r="BOI1104" s="13"/>
      <c r="BOJ1104" s="13"/>
      <c r="BOK1104" s="13"/>
      <c r="BOL1104" s="13"/>
      <c r="BOM1104" s="13"/>
      <c r="BON1104" s="13"/>
      <c r="BOO1104" s="13"/>
      <c r="BOP1104" s="13"/>
      <c r="BOQ1104" s="13"/>
      <c r="BOR1104" s="13"/>
      <c r="BOS1104" s="13"/>
      <c r="BOT1104" s="13"/>
      <c r="BOU1104" s="13"/>
      <c r="BOV1104" s="13"/>
      <c r="BOW1104" s="13"/>
      <c r="BOX1104" s="13"/>
      <c r="BOY1104" s="13"/>
      <c r="BOZ1104" s="13"/>
      <c r="BPA1104" s="13"/>
      <c r="BPB1104" s="13"/>
      <c r="BPC1104" s="13"/>
      <c r="BPD1104" s="13"/>
      <c r="BPE1104" s="13"/>
      <c r="BPF1104" s="13"/>
      <c r="BPG1104" s="13"/>
      <c r="BPH1104" s="13"/>
      <c r="BPI1104" s="13"/>
      <c r="BPJ1104" s="13"/>
      <c r="BPK1104" s="13"/>
      <c r="BPL1104" s="13"/>
      <c r="BPM1104" s="13"/>
      <c r="BPN1104" s="13"/>
      <c r="BPO1104" s="13"/>
      <c r="BPP1104" s="13"/>
      <c r="BPQ1104" s="13"/>
      <c r="BPR1104" s="13"/>
      <c r="BPS1104" s="13"/>
      <c r="BPT1104" s="13"/>
      <c r="BPU1104" s="13"/>
      <c r="BPV1104" s="13"/>
      <c r="BPW1104" s="13"/>
      <c r="BPX1104" s="13"/>
      <c r="BPY1104" s="13"/>
      <c r="BPZ1104" s="13"/>
      <c r="BQA1104" s="13"/>
      <c r="BQB1104" s="13"/>
      <c r="BQC1104" s="13"/>
      <c r="BQD1104" s="13"/>
      <c r="BQE1104" s="13"/>
      <c r="BQF1104" s="13"/>
      <c r="BQG1104" s="13"/>
      <c r="BQH1104" s="13"/>
      <c r="BQI1104" s="13"/>
      <c r="BQJ1104" s="13"/>
      <c r="BQK1104" s="13"/>
      <c r="BQL1104" s="13"/>
      <c r="BQM1104" s="13"/>
      <c r="BQN1104" s="13"/>
      <c r="BQO1104" s="13"/>
      <c r="BQP1104" s="13"/>
      <c r="BQQ1104" s="13"/>
      <c r="BQR1104" s="13"/>
      <c r="BQS1104" s="13"/>
      <c r="BQT1104" s="13"/>
      <c r="BQU1104" s="13"/>
      <c r="BQV1104" s="13"/>
      <c r="BQW1104" s="13"/>
      <c r="BQX1104" s="13"/>
      <c r="BQY1104" s="13"/>
      <c r="BQZ1104" s="13"/>
      <c r="BRA1104" s="13"/>
      <c r="BRB1104" s="13"/>
      <c r="BRC1104" s="13"/>
      <c r="BRD1104" s="13"/>
      <c r="BRE1104" s="13"/>
      <c r="BRF1104" s="13"/>
      <c r="BRG1104" s="13"/>
      <c r="BRH1104" s="13"/>
      <c r="BRI1104" s="13"/>
      <c r="BRJ1104" s="13"/>
      <c r="BRK1104" s="13"/>
      <c r="BRL1104" s="13"/>
      <c r="BRM1104" s="13"/>
      <c r="BRN1104" s="13"/>
      <c r="BRO1104" s="13"/>
      <c r="BRP1104" s="13"/>
      <c r="BRQ1104" s="13"/>
      <c r="BRR1104" s="13"/>
      <c r="BRS1104" s="13"/>
      <c r="BRT1104" s="13"/>
      <c r="BRU1104" s="13"/>
      <c r="BRV1104" s="13"/>
      <c r="BRW1104" s="13"/>
      <c r="BRX1104" s="13"/>
      <c r="BRY1104" s="13"/>
      <c r="BRZ1104" s="13"/>
      <c r="BSA1104" s="13"/>
      <c r="BSB1104" s="13"/>
      <c r="BSC1104" s="13"/>
      <c r="BSD1104" s="13"/>
      <c r="BSE1104" s="13"/>
      <c r="BSF1104" s="13"/>
      <c r="BSG1104" s="13"/>
      <c r="BSH1104" s="13"/>
      <c r="BSI1104" s="13"/>
      <c r="BSJ1104" s="13"/>
      <c r="BSK1104" s="13"/>
      <c r="BSL1104" s="13"/>
      <c r="BSM1104" s="13"/>
      <c r="BSN1104" s="13"/>
      <c r="BSO1104" s="13"/>
      <c r="BSP1104" s="13"/>
      <c r="BSQ1104" s="13"/>
      <c r="BSR1104" s="13"/>
      <c r="BSS1104" s="13"/>
      <c r="BST1104" s="13"/>
      <c r="BSU1104" s="13"/>
      <c r="BSV1104" s="13"/>
      <c r="BSW1104" s="13"/>
      <c r="BSX1104" s="13"/>
      <c r="BSY1104" s="13"/>
      <c r="BSZ1104" s="13"/>
      <c r="BTA1104" s="13"/>
    </row>
    <row r="1105" spans="1:1873" s="210" customFormat="1" x14ac:dyDescent="0.2">
      <c r="A1105" s="411" t="s">
        <v>932</v>
      </c>
      <c r="B1105" s="574" t="s">
        <v>1169</v>
      </c>
      <c r="C1105" s="411" t="s">
        <v>1205</v>
      </c>
      <c r="D1105" s="411" t="s">
        <v>619</v>
      </c>
      <c r="E1105" s="571" t="s">
        <v>1530</v>
      </c>
      <c r="F1105" s="571">
        <v>1</v>
      </c>
      <c r="G1105" s="411">
        <v>4</v>
      </c>
      <c r="H1105" s="577">
        <v>4</v>
      </c>
      <c r="I1105" s="411" t="s">
        <v>955</v>
      </c>
      <c r="J1105" s="411">
        <v>1987</v>
      </c>
      <c r="K1105" s="411" t="s">
        <v>1211</v>
      </c>
      <c r="L1105" s="411">
        <v>1990</v>
      </c>
      <c r="M1105" s="573">
        <v>-9999</v>
      </c>
      <c r="N1105" s="411">
        <v>-9999</v>
      </c>
      <c r="O1105" s="18"/>
      <c r="P1105" s="573">
        <v>-9999</v>
      </c>
      <c r="Q1105" s="411">
        <v>-9999</v>
      </c>
      <c r="R1105" s="573"/>
      <c r="S1105" s="411"/>
      <c r="T1105" s="573">
        <v>27.5</v>
      </c>
      <c r="U1105" s="411">
        <v>-9999</v>
      </c>
      <c r="V1105" s="411"/>
      <c r="W1105" s="573">
        <v>-9999</v>
      </c>
      <c r="X1105" s="411">
        <v>-9999</v>
      </c>
      <c r="Y1105" s="411"/>
      <c r="Z1105" s="411" t="s">
        <v>1220</v>
      </c>
      <c r="AA1105" s="582">
        <v>2222</v>
      </c>
      <c r="AB1105" s="573">
        <v>1</v>
      </c>
      <c r="AC1105" s="411">
        <v>-9999</v>
      </c>
      <c r="AD1105" s="411" t="s">
        <v>1237</v>
      </c>
      <c r="AE1105" s="411" t="s">
        <v>1955</v>
      </c>
      <c r="AF1105" s="411">
        <v>3</v>
      </c>
      <c r="AG1105" s="411">
        <v>2</v>
      </c>
      <c r="AH1105" s="411" t="s">
        <v>623</v>
      </c>
      <c r="AI1105" s="411" t="s">
        <v>834</v>
      </c>
      <c r="AJ1105" s="411" t="s">
        <v>1235</v>
      </c>
      <c r="AK1105" s="411" t="s">
        <v>1236</v>
      </c>
      <c r="AL1105" s="411">
        <v>-9999</v>
      </c>
      <c r="AM1105" s="411">
        <v>-9999</v>
      </c>
      <c r="AN1105" s="411" t="s">
        <v>631</v>
      </c>
      <c r="AO1105" s="411">
        <v>-9999</v>
      </c>
      <c r="AP1105" s="411">
        <v>-9999</v>
      </c>
      <c r="AQ1105" s="411" t="s">
        <v>631</v>
      </c>
      <c r="AR1105" s="411">
        <v>0</v>
      </c>
      <c r="AS1105" s="411">
        <v>0</v>
      </c>
      <c r="AT1105" s="411">
        <v>-9999</v>
      </c>
      <c r="AU1105" s="411">
        <v>0</v>
      </c>
      <c r="AV1105" s="411">
        <v>-9999</v>
      </c>
      <c r="AW1105" s="411">
        <v>-9999</v>
      </c>
      <c r="AX1105" s="411">
        <v>0</v>
      </c>
      <c r="AY1105" s="411">
        <v>-9999</v>
      </c>
      <c r="AZ1105" s="411">
        <v>-9999</v>
      </c>
      <c r="BA1105" s="411">
        <v>-9999</v>
      </c>
      <c r="BB1105" s="411" t="s">
        <v>626</v>
      </c>
      <c r="BC1105" s="411" t="s">
        <v>881</v>
      </c>
      <c r="BD1105" s="411" t="s">
        <v>1229</v>
      </c>
      <c r="BE1105" s="411" t="s">
        <v>1231</v>
      </c>
      <c r="BF1105" s="411" t="s">
        <v>1230</v>
      </c>
      <c r="BG1105" s="411" t="s">
        <v>1232</v>
      </c>
      <c r="BH1105" s="411" t="s">
        <v>1233</v>
      </c>
      <c r="BI1105" s="411" t="s">
        <v>1234</v>
      </c>
      <c r="BJ1105" s="585">
        <v>20.2</v>
      </c>
      <c r="BK1105" s="411">
        <v>-9999</v>
      </c>
      <c r="BL1105" s="411">
        <v>13.7</v>
      </c>
      <c r="BM1105" s="411">
        <v>-9999</v>
      </c>
      <c r="BN1105" s="411">
        <v>4.4000000000000004</v>
      </c>
      <c r="BO1105" s="411">
        <v>-9999</v>
      </c>
      <c r="BP1105" s="411">
        <v>-9999</v>
      </c>
      <c r="BQ1105" s="411">
        <v>-9999</v>
      </c>
      <c r="BR1105" s="411">
        <v>-9999</v>
      </c>
      <c r="BS1105" s="583">
        <f t="shared" si="117"/>
        <v>350.00700000000001</v>
      </c>
      <c r="BT1105" s="585">
        <v>24.5</v>
      </c>
      <c r="BU1105" s="411">
        <v>-9999</v>
      </c>
      <c r="BV1105" s="411">
        <v>-9999</v>
      </c>
      <c r="BW1105" s="411"/>
      <c r="BX1105" s="411">
        <v>-9999</v>
      </c>
      <c r="BY1105" s="411">
        <v>-9999</v>
      </c>
      <c r="BZ1105" s="411">
        <v>-9999</v>
      </c>
      <c r="CA1105" s="578" t="s">
        <v>524</v>
      </c>
      <c r="CB1105" s="579" t="s">
        <v>0</v>
      </c>
      <c r="CC1105" s="571">
        <v>1</v>
      </c>
      <c r="CD1105" s="411" t="s">
        <v>1597</v>
      </c>
      <c r="CE1105" s="393">
        <v>27.5</v>
      </c>
      <c r="CF1105" s="99">
        <v>-9999</v>
      </c>
      <c r="CG1105" s="209">
        <v>4</v>
      </c>
      <c r="CH1105" s="436" t="s">
        <v>1757</v>
      </c>
      <c r="CI1105" s="13" t="s">
        <v>1604</v>
      </c>
      <c r="CJ1105" s="13"/>
      <c r="CK1105" s="13"/>
      <c r="CL1105" s="13"/>
      <c r="CM1105" s="13"/>
      <c r="CN1105" s="13"/>
      <c r="CO1105" s="13"/>
      <c r="CP1105" s="13"/>
      <c r="CQ1105" s="13"/>
      <c r="CR1105" s="13"/>
      <c r="CS1105" s="13"/>
      <c r="CT1105" s="13"/>
      <c r="CU1105" s="13"/>
      <c r="CV1105" s="13"/>
      <c r="CW1105" s="13"/>
      <c r="CX1105" s="13"/>
      <c r="CY1105" s="13"/>
      <c r="CZ1105" s="13"/>
      <c r="DA1105" s="13"/>
      <c r="DB1105" s="13"/>
      <c r="DC1105" s="13"/>
      <c r="DD1105" s="13"/>
      <c r="DE1105" s="13"/>
      <c r="DF1105" s="13"/>
      <c r="DG1105" s="13"/>
      <c r="DH1105" s="13"/>
      <c r="DI1105" s="13"/>
      <c r="DJ1105" s="13"/>
      <c r="DK1105" s="13"/>
      <c r="DL1105" s="13"/>
      <c r="DM1105" s="13"/>
      <c r="DN1105" s="13"/>
      <c r="DO1105" s="13"/>
      <c r="DP1105" s="13"/>
      <c r="DQ1105" s="13"/>
      <c r="DR1105" s="13"/>
      <c r="DS1105" s="13"/>
      <c r="DT1105" s="13"/>
      <c r="DU1105" s="13"/>
      <c r="DV1105" s="13"/>
      <c r="DW1105" s="13"/>
      <c r="DX1105" s="13"/>
      <c r="DY1105" s="13"/>
      <c r="DZ1105" s="13"/>
      <c r="EA1105" s="13"/>
      <c r="EB1105" s="13"/>
      <c r="EC1105" s="13"/>
      <c r="ED1105" s="13"/>
      <c r="EE1105" s="13"/>
      <c r="EF1105" s="13"/>
      <c r="EG1105" s="13"/>
      <c r="EH1105" s="13"/>
      <c r="EI1105" s="13"/>
      <c r="EJ1105" s="13"/>
      <c r="EK1105" s="13"/>
      <c r="EL1105" s="13"/>
      <c r="EM1105" s="13"/>
      <c r="EN1105" s="13"/>
      <c r="EO1105" s="13"/>
      <c r="EP1105" s="13"/>
      <c r="EQ1105" s="13"/>
      <c r="ER1105" s="13"/>
      <c r="ES1105" s="13"/>
      <c r="ET1105" s="13"/>
      <c r="EU1105" s="13"/>
      <c r="EV1105" s="13"/>
      <c r="EW1105" s="13"/>
      <c r="EX1105" s="13"/>
      <c r="EY1105" s="13"/>
      <c r="EZ1105" s="13"/>
      <c r="FA1105" s="13"/>
      <c r="FB1105" s="13"/>
      <c r="FC1105" s="13"/>
      <c r="FD1105" s="13"/>
      <c r="FE1105" s="13"/>
      <c r="FF1105" s="13"/>
      <c r="FG1105" s="13"/>
      <c r="FH1105" s="13"/>
      <c r="FI1105" s="13"/>
      <c r="FJ1105" s="13"/>
      <c r="FK1105" s="13"/>
      <c r="FL1105" s="13"/>
      <c r="FM1105" s="13"/>
      <c r="FN1105" s="13"/>
      <c r="FO1105" s="13"/>
      <c r="FP1105" s="13"/>
      <c r="FQ1105" s="13"/>
      <c r="FR1105" s="13"/>
      <c r="FS1105" s="13"/>
      <c r="FT1105" s="13"/>
      <c r="FU1105" s="13"/>
      <c r="FV1105" s="13"/>
      <c r="FW1105" s="13"/>
      <c r="FX1105" s="13"/>
      <c r="FY1105" s="13"/>
      <c r="FZ1105" s="13"/>
      <c r="GA1105" s="13"/>
      <c r="GB1105" s="13"/>
      <c r="GC1105" s="13"/>
      <c r="GD1105" s="13"/>
      <c r="GE1105" s="13"/>
      <c r="GF1105" s="13"/>
      <c r="GG1105" s="13"/>
      <c r="GH1105" s="13"/>
      <c r="GI1105" s="13"/>
      <c r="GJ1105" s="13"/>
      <c r="GK1105" s="13"/>
      <c r="GL1105" s="13"/>
      <c r="GM1105" s="13"/>
      <c r="GN1105" s="13"/>
      <c r="GO1105" s="13"/>
      <c r="GP1105" s="13"/>
      <c r="GQ1105" s="13"/>
      <c r="GR1105" s="13"/>
      <c r="GS1105" s="13"/>
      <c r="GT1105" s="13"/>
      <c r="GU1105" s="13"/>
      <c r="GV1105" s="13"/>
      <c r="GW1105" s="13"/>
      <c r="GX1105" s="13"/>
      <c r="GY1105" s="13"/>
      <c r="GZ1105" s="13"/>
      <c r="HA1105" s="13"/>
      <c r="HB1105" s="13"/>
      <c r="HC1105" s="13"/>
      <c r="HD1105" s="13"/>
      <c r="HE1105" s="13"/>
      <c r="HF1105" s="13"/>
      <c r="HG1105" s="13"/>
      <c r="HH1105" s="13"/>
      <c r="HI1105" s="13"/>
      <c r="HJ1105" s="13"/>
      <c r="HK1105" s="13"/>
      <c r="HL1105" s="13"/>
      <c r="HM1105" s="13"/>
      <c r="HN1105" s="13"/>
      <c r="HO1105" s="13"/>
      <c r="HP1105" s="13"/>
      <c r="HQ1105" s="13"/>
      <c r="HR1105" s="13"/>
      <c r="HS1105" s="13"/>
      <c r="HT1105" s="13"/>
      <c r="HU1105" s="13"/>
      <c r="HV1105" s="13"/>
      <c r="HW1105" s="13"/>
      <c r="HX1105" s="13"/>
      <c r="HY1105" s="13"/>
      <c r="HZ1105" s="13"/>
      <c r="IA1105" s="13"/>
      <c r="IB1105" s="13"/>
      <c r="IC1105" s="13"/>
      <c r="ID1105" s="13"/>
      <c r="IE1105" s="13"/>
      <c r="IF1105" s="13"/>
      <c r="IG1105" s="13"/>
      <c r="IH1105" s="13"/>
      <c r="II1105" s="13"/>
      <c r="IJ1105" s="13"/>
      <c r="IK1105" s="13"/>
      <c r="IL1105" s="13"/>
      <c r="IM1105" s="13"/>
      <c r="IN1105" s="13"/>
      <c r="IO1105" s="13"/>
      <c r="IP1105" s="13"/>
      <c r="IQ1105" s="13"/>
      <c r="IR1105" s="13"/>
      <c r="IS1105" s="13"/>
      <c r="IT1105" s="13"/>
      <c r="IU1105" s="13"/>
      <c r="IV1105" s="13"/>
      <c r="IW1105" s="13"/>
      <c r="IX1105" s="13"/>
      <c r="IY1105" s="13"/>
      <c r="IZ1105" s="13"/>
      <c r="JA1105" s="13"/>
      <c r="JB1105" s="13"/>
      <c r="JC1105" s="13"/>
      <c r="JD1105" s="13"/>
      <c r="JE1105" s="13"/>
      <c r="JF1105" s="13"/>
      <c r="JG1105" s="13"/>
      <c r="JH1105" s="13"/>
      <c r="JI1105" s="13"/>
      <c r="JJ1105" s="13"/>
      <c r="JK1105" s="13"/>
      <c r="JL1105" s="13"/>
      <c r="JM1105" s="13"/>
      <c r="JN1105" s="13"/>
      <c r="JO1105" s="13"/>
      <c r="JP1105" s="13"/>
      <c r="JQ1105" s="13"/>
      <c r="JR1105" s="13"/>
      <c r="JS1105" s="13"/>
      <c r="JT1105" s="13"/>
      <c r="JU1105" s="13"/>
      <c r="JV1105" s="13"/>
      <c r="JW1105" s="13"/>
      <c r="JX1105" s="13"/>
      <c r="JY1105" s="13"/>
      <c r="JZ1105" s="13"/>
      <c r="KA1105" s="13"/>
      <c r="KB1105" s="13"/>
      <c r="KC1105" s="13"/>
      <c r="KD1105" s="13"/>
      <c r="KE1105" s="13"/>
      <c r="KF1105" s="13"/>
      <c r="KG1105" s="13"/>
      <c r="KH1105" s="13"/>
      <c r="KI1105" s="13"/>
      <c r="KJ1105" s="13"/>
      <c r="KK1105" s="13"/>
      <c r="KL1105" s="13"/>
      <c r="KM1105" s="13"/>
      <c r="KN1105" s="13"/>
      <c r="KO1105" s="13"/>
      <c r="KP1105" s="13"/>
      <c r="KQ1105" s="13"/>
      <c r="KR1105" s="13"/>
      <c r="KS1105" s="13"/>
      <c r="KT1105" s="13"/>
      <c r="KU1105" s="13"/>
      <c r="KV1105" s="13"/>
      <c r="KW1105" s="13"/>
      <c r="KX1105" s="13"/>
      <c r="KY1105" s="13"/>
      <c r="KZ1105" s="13"/>
      <c r="LA1105" s="13"/>
      <c r="LB1105" s="13"/>
      <c r="LC1105" s="13"/>
      <c r="LD1105" s="13"/>
      <c r="LE1105" s="13"/>
      <c r="LF1105" s="13"/>
      <c r="LG1105" s="13"/>
      <c r="LH1105" s="13"/>
      <c r="LI1105" s="13"/>
      <c r="LJ1105" s="13"/>
      <c r="LK1105" s="13"/>
      <c r="LL1105" s="13"/>
      <c r="LM1105" s="13"/>
      <c r="LN1105" s="13"/>
      <c r="LO1105" s="13"/>
      <c r="LP1105" s="13"/>
      <c r="LQ1105" s="13"/>
      <c r="LR1105" s="13"/>
      <c r="LS1105" s="13"/>
      <c r="LT1105" s="13"/>
      <c r="LU1105" s="13"/>
      <c r="LV1105" s="13"/>
      <c r="LW1105" s="13"/>
      <c r="LX1105" s="13"/>
      <c r="LY1105" s="13"/>
      <c r="LZ1105" s="13"/>
      <c r="MA1105" s="13"/>
      <c r="MB1105" s="13"/>
      <c r="MC1105" s="13"/>
      <c r="MD1105" s="13"/>
      <c r="ME1105" s="13"/>
      <c r="MF1105" s="13"/>
      <c r="MG1105" s="13"/>
      <c r="MH1105" s="13"/>
      <c r="MI1105" s="13"/>
      <c r="MJ1105" s="13"/>
      <c r="MK1105" s="13"/>
      <c r="ML1105" s="13"/>
      <c r="MM1105" s="13"/>
      <c r="MN1105" s="13"/>
      <c r="MO1105" s="13"/>
      <c r="MP1105" s="13"/>
      <c r="MQ1105" s="13"/>
      <c r="MR1105" s="13"/>
      <c r="MS1105" s="13"/>
      <c r="MT1105" s="13"/>
      <c r="MU1105" s="13"/>
      <c r="MV1105" s="13"/>
      <c r="MW1105" s="13"/>
      <c r="MX1105" s="13"/>
      <c r="MY1105" s="13"/>
      <c r="MZ1105" s="13"/>
      <c r="NA1105" s="13"/>
      <c r="NB1105" s="13"/>
      <c r="NC1105" s="13"/>
      <c r="ND1105" s="13"/>
      <c r="NE1105" s="13"/>
      <c r="NF1105" s="13"/>
      <c r="NG1105" s="13"/>
      <c r="NH1105" s="13"/>
      <c r="NI1105" s="13"/>
      <c r="NJ1105" s="13"/>
      <c r="NK1105" s="13"/>
      <c r="NL1105" s="13"/>
      <c r="NM1105" s="13"/>
      <c r="NN1105" s="13"/>
      <c r="NO1105" s="13"/>
      <c r="NP1105" s="13"/>
      <c r="NQ1105" s="13"/>
      <c r="NR1105" s="13"/>
      <c r="NS1105" s="13"/>
      <c r="NT1105" s="13"/>
      <c r="NU1105" s="13"/>
      <c r="NV1105" s="13"/>
      <c r="NW1105" s="13"/>
      <c r="NX1105" s="13"/>
      <c r="NY1105" s="13"/>
      <c r="NZ1105" s="13"/>
      <c r="OA1105" s="13"/>
      <c r="OB1105" s="13"/>
      <c r="OC1105" s="13"/>
      <c r="OD1105" s="13"/>
      <c r="OE1105" s="13"/>
      <c r="OF1105" s="13"/>
      <c r="OG1105" s="13"/>
      <c r="OH1105" s="13"/>
      <c r="OI1105" s="13"/>
      <c r="OJ1105" s="13"/>
      <c r="OK1105" s="13"/>
      <c r="OL1105" s="13"/>
      <c r="OM1105" s="13"/>
      <c r="ON1105" s="13"/>
      <c r="OO1105" s="13"/>
      <c r="OP1105" s="13"/>
      <c r="OQ1105" s="13"/>
      <c r="OR1105" s="13"/>
      <c r="OS1105" s="13"/>
      <c r="OT1105" s="13"/>
      <c r="OU1105" s="13"/>
      <c r="OV1105" s="13"/>
      <c r="OW1105" s="13"/>
      <c r="OX1105" s="13"/>
      <c r="OY1105" s="13"/>
      <c r="OZ1105" s="13"/>
      <c r="PA1105" s="13"/>
      <c r="PB1105" s="13"/>
      <c r="PC1105" s="13"/>
      <c r="PD1105" s="13"/>
      <c r="PE1105" s="13"/>
      <c r="PF1105" s="13"/>
      <c r="PG1105" s="13"/>
      <c r="PH1105" s="13"/>
      <c r="PI1105" s="13"/>
      <c r="PJ1105" s="13"/>
      <c r="PK1105" s="13"/>
      <c r="PL1105" s="13"/>
      <c r="PM1105" s="13"/>
      <c r="PN1105" s="13"/>
      <c r="PO1105" s="13"/>
      <c r="PP1105" s="13"/>
      <c r="PQ1105" s="13"/>
      <c r="PR1105" s="13"/>
      <c r="PS1105" s="13"/>
      <c r="PT1105" s="13"/>
      <c r="PU1105" s="13"/>
      <c r="PV1105" s="13"/>
      <c r="PW1105" s="13"/>
      <c r="PX1105" s="13"/>
      <c r="PY1105" s="13"/>
      <c r="PZ1105" s="13"/>
      <c r="QA1105" s="13"/>
      <c r="QB1105" s="13"/>
      <c r="QC1105" s="13"/>
      <c r="QD1105" s="13"/>
      <c r="QE1105" s="13"/>
      <c r="QF1105" s="13"/>
      <c r="QG1105" s="13"/>
      <c r="QH1105" s="13"/>
      <c r="QI1105" s="13"/>
      <c r="QJ1105" s="13"/>
      <c r="QK1105" s="13"/>
      <c r="QL1105" s="13"/>
      <c r="QM1105" s="13"/>
      <c r="QN1105" s="13"/>
      <c r="QO1105" s="13"/>
      <c r="QP1105" s="13"/>
      <c r="QQ1105" s="13"/>
      <c r="QR1105" s="13"/>
      <c r="QS1105" s="13"/>
      <c r="QT1105" s="13"/>
      <c r="QU1105" s="13"/>
      <c r="QV1105" s="13"/>
      <c r="QW1105" s="13"/>
      <c r="QX1105" s="13"/>
      <c r="QY1105" s="13"/>
      <c r="QZ1105" s="13"/>
      <c r="RA1105" s="13"/>
      <c r="RB1105" s="13"/>
      <c r="RC1105" s="13"/>
      <c r="RD1105" s="13"/>
      <c r="RE1105" s="13"/>
      <c r="RF1105" s="13"/>
      <c r="RG1105" s="13"/>
      <c r="RH1105" s="13"/>
      <c r="RI1105" s="13"/>
      <c r="RJ1105" s="13"/>
      <c r="RK1105" s="13"/>
      <c r="RL1105" s="13"/>
      <c r="RM1105" s="13"/>
      <c r="RN1105" s="13"/>
      <c r="RO1105" s="13"/>
      <c r="RP1105" s="13"/>
      <c r="RQ1105" s="13"/>
      <c r="RR1105" s="13"/>
      <c r="RS1105" s="13"/>
      <c r="RT1105" s="13"/>
      <c r="RU1105" s="13"/>
      <c r="RV1105" s="13"/>
      <c r="RW1105" s="13"/>
      <c r="RX1105" s="13"/>
      <c r="RY1105" s="13"/>
      <c r="RZ1105" s="13"/>
      <c r="SA1105" s="13"/>
      <c r="SB1105" s="13"/>
      <c r="SC1105" s="13"/>
      <c r="SD1105" s="13"/>
      <c r="SE1105" s="13"/>
      <c r="SF1105" s="13"/>
      <c r="SG1105" s="13"/>
      <c r="SH1105" s="13"/>
      <c r="SI1105" s="13"/>
      <c r="SJ1105" s="13"/>
      <c r="SK1105" s="13"/>
      <c r="SL1105" s="13"/>
      <c r="SM1105" s="13"/>
      <c r="SN1105" s="13"/>
      <c r="SO1105" s="13"/>
      <c r="SP1105" s="13"/>
      <c r="SQ1105" s="13"/>
      <c r="SR1105" s="13"/>
      <c r="SS1105" s="13"/>
      <c r="ST1105" s="13"/>
      <c r="SU1105" s="13"/>
      <c r="SV1105" s="13"/>
      <c r="SW1105" s="13"/>
      <c r="SX1105" s="13"/>
      <c r="SY1105" s="13"/>
      <c r="SZ1105" s="13"/>
      <c r="TA1105" s="13"/>
      <c r="TB1105" s="13"/>
      <c r="TC1105" s="13"/>
      <c r="TD1105" s="13"/>
      <c r="TE1105" s="13"/>
      <c r="TF1105" s="13"/>
      <c r="TG1105" s="13"/>
      <c r="TH1105" s="13"/>
      <c r="TI1105" s="13"/>
      <c r="TJ1105" s="13"/>
      <c r="TK1105" s="13"/>
      <c r="TL1105" s="13"/>
      <c r="TM1105" s="13"/>
      <c r="TN1105" s="13"/>
      <c r="TO1105" s="13"/>
      <c r="TP1105" s="13"/>
      <c r="TQ1105" s="13"/>
      <c r="TR1105" s="13"/>
      <c r="TS1105" s="13"/>
      <c r="TT1105" s="13"/>
      <c r="TU1105" s="13"/>
      <c r="TV1105" s="13"/>
      <c r="TW1105" s="13"/>
      <c r="TX1105" s="13"/>
      <c r="TY1105" s="13"/>
      <c r="TZ1105" s="13"/>
      <c r="UA1105" s="13"/>
      <c r="UB1105" s="13"/>
      <c r="UC1105" s="13"/>
      <c r="UD1105" s="13"/>
      <c r="UE1105" s="13"/>
      <c r="UF1105" s="13"/>
      <c r="UG1105" s="13"/>
      <c r="UH1105" s="13"/>
      <c r="UI1105" s="13"/>
      <c r="UJ1105" s="13"/>
      <c r="UK1105" s="13"/>
      <c r="UL1105" s="13"/>
      <c r="UM1105" s="13"/>
      <c r="UN1105" s="13"/>
      <c r="UO1105" s="13"/>
      <c r="UP1105" s="13"/>
      <c r="UQ1105" s="13"/>
      <c r="UR1105" s="13"/>
      <c r="US1105" s="13"/>
      <c r="UT1105" s="13"/>
      <c r="UU1105" s="13"/>
      <c r="UV1105" s="13"/>
      <c r="UW1105" s="13"/>
      <c r="UX1105" s="13"/>
      <c r="UY1105" s="13"/>
      <c r="UZ1105" s="13"/>
      <c r="VA1105" s="13"/>
      <c r="VB1105" s="13"/>
      <c r="VC1105" s="13"/>
      <c r="VD1105" s="13"/>
      <c r="VE1105" s="13"/>
      <c r="VF1105" s="13"/>
      <c r="VG1105" s="13"/>
      <c r="VH1105" s="13"/>
      <c r="VI1105" s="13"/>
      <c r="VJ1105" s="13"/>
      <c r="VK1105" s="13"/>
      <c r="VL1105" s="13"/>
      <c r="VM1105" s="13"/>
      <c r="VN1105" s="13"/>
      <c r="VO1105" s="13"/>
      <c r="VP1105" s="13"/>
      <c r="VQ1105" s="13"/>
      <c r="VR1105" s="13"/>
      <c r="VS1105" s="13"/>
      <c r="VT1105" s="13"/>
      <c r="VU1105" s="13"/>
      <c r="VV1105" s="13"/>
      <c r="VW1105" s="13"/>
      <c r="VX1105" s="13"/>
      <c r="VY1105" s="13"/>
      <c r="VZ1105" s="13"/>
      <c r="WA1105" s="13"/>
      <c r="WB1105" s="13"/>
      <c r="WC1105" s="13"/>
      <c r="WD1105" s="13"/>
      <c r="WE1105" s="13"/>
      <c r="WF1105" s="13"/>
      <c r="WG1105" s="13"/>
      <c r="WH1105" s="13"/>
      <c r="WI1105" s="13"/>
      <c r="WJ1105" s="13"/>
      <c r="WK1105" s="13"/>
      <c r="WL1105" s="13"/>
      <c r="WM1105" s="13"/>
      <c r="WN1105" s="13"/>
      <c r="WO1105" s="13"/>
      <c r="WP1105" s="13"/>
      <c r="WQ1105" s="13"/>
      <c r="WR1105" s="13"/>
      <c r="WS1105" s="13"/>
      <c r="WT1105" s="13"/>
      <c r="WU1105" s="13"/>
      <c r="WV1105" s="13"/>
      <c r="WW1105" s="13"/>
      <c r="WX1105" s="13"/>
      <c r="WY1105" s="13"/>
      <c r="WZ1105" s="13"/>
      <c r="XA1105" s="13"/>
      <c r="XB1105" s="13"/>
      <c r="XC1105" s="13"/>
      <c r="XD1105" s="13"/>
      <c r="XE1105" s="13"/>
      <c r="XF1105" s="13"/>
      <c r="XG1105" s="13"/>
      <c r="XH1105" s="13"/>
      <c r="XI1105" s="13"/>
      <c r="XJ1105" s="13"/>
      <c r="XK1105" s="13"/>
      <c r="XL1105" s="13"/>
      <c r="XM1105" s="13"/>
      <c r="XN1105" s="13"/>
      <c r="XO1105" s="13"/>
      <c r="XP1105" s="13"/>
      <c r="XQ1105" s="13"/>
      <c r="XR1105" s="13"/>
      <c r="XS1105" s="13"/>
      <c r="XT1105" s="13"/>
      <c r="XU1105" s="13"/>
      <c r="XV1105" s="13"/>
      <c r="XW1105" s="13"/>
      <c r="XX1105" s="13"/>
      <c r="XY1105" s="13"/>
      <c r="XZ1105" s="13"/>
      <c r="YA1105" s="13"/>
      <c r="YB1105" s="13"/>
      <c r="YC1105" s="13"/>
      <c r="YD1105" s="13"/>
      <c r="YE1105" s="13"/>
      <c r="YF1105" s="13"/>
      <c r="YG1105" s="13"/>
      <c r="YH1105" s="13"/>
      <c r="YI1105" s="13"/>
      <c r="YJ1105" s="13"/>
      <c r="YK1105" s="13"/>
      <c r="YL1105" s="13"/>
      <c r="YM1105" s="13"/>
      <c r="YN1105" s="13"/>
      <c r="YO1105" s="13"/>
      <c r="YP1105" s="13"/>
      <c r="YQ1105" s="13"/>
      <c r="YR1105" s="13"/>
      <c r="YS1105" s="13"/>
      <c r="YT1105" s="13"/>
      <c r="YU1105" s="13"/>
      <c r="YV1105" s="13"/>
      <c r="YW1105" s="13"/>
      <c r="YX1105" s="13"/>
      <c r="YY1105" s="13"/>
      <c r="YZ1105" s="13"/>
      <c r="ZA1105" s="13"/>
      <c r="ZB1105" s="13"/>
      <c r="ZC1105" s="13"/>
      <c r="ZD1105" s="13"/>
      <c r="ZE1105" s="13"/>
      <c r="ZF1105" s="13"/>
      <c r="ZG1105" s="13"/>
      <c r="ZH1105" s="13"/>
      <c r="ZI1105" s="13"/>
      <c r="ZJ1105" s="13"/>
      <c r="ZK1105" s="13"/>
      <c r="ZL1105" s="13"/>
      <c r="ZM1105" s="13"/>
      <c r="ZN1105" s="13"/>
      <c r="ZO1105" s="13"/>
      <c r="ZP1105" s="13"/>
      <c r="ZQ1105" s="13"/>
      <c r="ZR1105" s="13"/>
      <c r="ZS1105" s="13"/>
      <c r="ZT1105" s="13"/>
      <c r="ZU1105" s="13"/>
      <c r="ZV1105" s="13"/>
      <c r="ZW1105" s="13"/>
      <c r="ZX1105" s="13"/>
      <c r="ZY1105" s="13"/>
      <c r="ZZ1105" s="13"/>
      <c r="AAA1105" s="13"/>
      <c r="AAB1105" s="13"/>
      <c r="AAC1105" s="13"/>
      <c r="AAD1105" s="13"/>
      <c r="AAE1105" s="13"/>
      <c r="AAF1105" s="13"/>
      <c r="AAG1105" s="13"/>
      <c r="AAH1105" s="13"/>
      <c r="AAI1105" s="13"/>
      <c r="AAJ1105" s="13"/>
      <c r="AAK1105" s="13"/>
      <c r="AAL1105" s="13"/>
      <c r="AAM1105" s="13"/>
      <c r="AAN1105" s="13"/>
      <c r="AAO1105" s="13"/>
      <c r="AAP1105" s="13"/>
      <c r="AAQ1105" s="13"/>
      <c r="AAR1105" s="13"/>
      <c r="AAS1105" s="13"/>
      <c r="AAT1105" s="13"/>
      <c r="AAU1105" s="13"/>
      <c r="AAV1105" s="13"/>
      <c r="AAW1105" s="13"/>
      <c r="AAX1105" s="13"/>
      <c r="AAY1105" s="13"/>
      <c r="AAZ1105" s="13"/>
      <c r="ABA1105" s="13"/>
      <c r="ABB1105" s="13"/>
      <c r="ABC1105" s="13"/>
      <c r="ABD1105" s="13"/>
      <c r="ABE1105" s="13"/>
      <c r="ABF1105" s="13"/>
      <c r="ABG1105" s="13"/>
      <c r="ABH1105" s="13"/>
      <c r="ABI1105" s="13"/>
      <c r="ABJ1105" s="13"/>
      <c r="ABK1105" s="13"/>
      <c r="ABL1105" s="13"/>
      <c r="ABM1105" s="13"/>
      <c r="ABN1105" s="13"/>
      <c r="ABO1105" s="13"/>
      <c r="ABP1105" s="13"/>
      <c r="ABQ1105" s="13"/>
      <c r="ABR1105" s="13"/>
      <c r="ABS1105" s="13"/>
      <c r="ABT1105" s="13"/>
      <c r="ABU1105" s="13"/>
      <c r="ABV1105" s="13"/>
      <c r="ABW1105" s="13"/>
      <c r="ABX1105" s="13"/>
      <c r="ABY1105" s="13"/>
      <c r="ABZ1105" s="13"/>
      <c r="ACA1105" s="13"/>
      <c r="ACB1105" s="13"/>
      <c r="ACC1105" s="13"/>
      <c r="ACD1105" s="13"/>
      <c r="ACE1105" s="13"/>
      <c r="ACF1105" s="13"/>
      <c r="ACG1105" s="13"/>
      <c r="ACH1105" s="13"/>
      <c r="ACI1105" s="13"/>
      <c r="ACJ1105" s="13"/>
      <c r="ACK1105" s="13"/>
      <c r="ACL1105" s="13"/>
      <c r="ACM1105" s="13"/>
      <c r="ACN1105" s="13"/>
      <c r="ACO1105" s="13"/>
      <c r="ACP1105" s="13"/>
      <c r="ACQ1105" s="13"/>
      <c r="ACR1105" s="13"/>
      <c r="ACS1105" s="13"/>
      <c r="ACT1105" s="13"/>
      <c r="ACU1105" s="13"/>
      <c r="ACV1105" s="13"/>
      <c r="ACW1105" s="13"/>
      <c r="ACX1105" s="13"/>
      <c r="ACY1105" s="13"/>
      <c r="ACZ1105" s="13"/>
      <c r="ADA1105" s="13"/>
      <c r="ADB1105" s="13"/>
      <c r="ADC1105" s="13"/>
      <c r="ADD1105" s="13"/>
      <c r="ADE1105" s="13"/>
      <c r="ADF1105" s="13"/>
      <c r="ADG1105" s="13"/>
      <c r="ADH1105" s="13"/>
      <c r="ADI1105" s="13"/>
      <c r="ADJ1105" s="13"/>
      <c r="ADK1105" s="13"/>
      <c r="ADL1105" s="13"/>
      <c r="ADM1105" s="13"/>
      <c r="ADN1105" s="13"/>
      <c r="ADO1105" s="13"/>
      <c r="ADP1105" s="13"/>
      <c r="ADQ1105" s="13"/>
      <c r="ADR1105" s="13"/>
      <c r="ADS1105" s="13"/>
      <c r="ADT1105" s="13"/>
      <c r="ADU1105" s="13"/>
      <c r="ADV1105" s="13"/>
      <c r="ADW1105" s="13"/>
      <c r="ADX1105" s="13"/>
      <c r="ADY1105" s="13"/>
      <c r="ADZ1105" s="13"/>
      <c r="AEA1105" s="13"/>
      <c r="AEB1105" s="13"/>
      <c r="AEC1105" s="13"/>
      <c r="AED1105" s="13"/>
      <c r="AEE1105" s="13"/>
      <c r="AEF1105" s="13"/>
      <c r="AEG1105" s="13"/>
      <c r="AEH1105" s="13"/>
      <c r="AEI1105" s="13"/>
      <c r="AEJ1105" s="13"/>
      <c r="AEK1105" s="13"/>
      <c r="AEL1105" s="13"/>
      <c r="AEM1105" s="13"/>
      <c r="AEN1105" s="13"/>
      <c r="AEO1105" s="13"/>
      <c r="AEP1105" s="13"/>
      <c r="AEQ1105" s="13"/>
      <c r="AER1105" s="13"/>
      <c r="AES1105" s="13"/>
      <c r="AET1105" s="13"/>
      <c r="AEU1105" s="13"/>
      <c r="AEV1105" s="13"/>
      <c r="AEW1105" s="13"/>
      <c r="AEX1105" s="13"/>
      <c r="AEY1105" s="13"/>
      <c r="AEZ1105" s="13"/>
      <c r="AFA1105" s="13"/>
      <c r="AFB1105" s="13"/>
      <c r="AFC1105" s="13"/>
      <c r="AFD1105" s="13"/>
      <c r="AFE1105" s="13"/>
      <c r="AFF1105" s="13"/>
      <c r="AFG1105" s="13"/>
      <c r="AFH1105" s="13"/>
      <c r="AFI1105" s="13"/>
      <c r="AFJ1105" s="13"/>
      <c r="AFK1105" s="13"/>
      <c r="AFL1105" s="13"/>
      <c r="AFM1105" s="13"/>
      <c r="AFN1105" s="13"/>
      <c r="AFO1105" s="13"/>
      <c r="AFP1105" s="13"/>
      <c r="AFQ1105" s="13"/>
      <c r="AFR1105" s="13"/>
      <c r="AFS1105" s="13"/>
      <c r="AFT1105" s="13"/>
      <c r="AFU1105" s="13"/>
      <c r="AFV1105" s="13"/>
      <c r="AFW1105" s="13"/>
      <c r="AFX1105" s="13"/>
      <c r="AFY1105" s="13"/>
      <c r="AFZ1105" s="13"/>
      <c r="AGA1105" s="13"/>
      <c r="AGB1105" s="13"/>
      <c r="AGC1105" s="13"/>
      <c r="AGD1105" s="13"/>
      <c r="AGE1105" s="13"/>
      <c r="AGF1105" s="13"/>
      <c r="AGG1105" s="13"/>
      <c r="AGH1105" s="13"/>
      <c r="AGI1105" s="13"/>
      <c r="AGJ1105" s="13"/>
      <c r="AGK1105" s="13"/>
      <c r="AGL1105" s="13"/>
      <c r="AGM1105" s="13"/>
      <c r="AGN1105" s="13"/>
      <c r="AGO1105" s="13"/>
      <c r="AGP1105" s="13"/>
      <c r="AGQ1105" s="13"/>
      <c r="AGR1105" s="13"/>
      <c r="AGS1105" s="13"/>
      <c r="AGT1105" s="13"/>
      <c r="AGU1105" s="13"/>
      <c r="AGV1105" s="13"/>
      <c r="AGW1105" s="13"/>
      <c r="AGX1105" s="13"/>
      <c r="AGY1105" s="13"/>
      <c r="AGZ1105" s="13"/>
      <c r="AHA1105" s="13"/>
      <c r="AHB1105" s="13"/>
      <c r="AHC1105" s="13"/>
      <c r="AHD1105" s="13"/>
      <c r="AHE1105" s="13"/>
      <c r="AHF1105" s="13"/>
      <c r="AHG1105" s="13"/>
      <c r="AHH1105" s="13"/>
      <c r="AHI1105" s="13"/>
      <c r="AHJ1105" s="13"/>
      <c r="AHK1105" s="13"/>
      <c r="AHL1105" s="13"/>
      <c r="AHM1105" s="13"/>
      <c r="AHN1105" s="13"/>
      <c r="AHO1105" s="13"/>
      <c r="AHP1105" s="13"/>
      <c r="AHQ1105" s="13"/>
      <c r="AHR1105" s="13"/>
      <c r="AHS1105" s="13"/>
      <c r="AHT1105" s="13"/>
      <c r="AHU1105" s="13"/>
      <c r="AHV1105" s="13"/>
      <c r="AHW1105" s="13"/>
      <c r="AHX1105" s="13"/>
      <c r="AHY1105" s="13"/>
      <c r="AHZ1105" s="13"/>
      <c r="AIA1105" s="13"/>
      <c r="AIB1105" s="13"/>
      <c r="AIC1105" s="13"/>
      <c r="AID1105" s="13"/>
      <c r="AIE1105" s="13"/>
      <c r="AIF1105" s="13"/>
      <c r="AIG1105" s="13"/>
      <c r="AIH1105" s="13"/>
      <c r="AII1105" s="13"/>
      <c r="AIJ1105" s="13"/>
      <c r="AIK1105" s="13"/>
      <c r="AIL1105" s="13"/>
      <c r="AIM1105" s="13"/>
      <c r="AIN1105" s="13"/>
      <c r="AIO1105" s="13"/>
      <c r="AIP1105" s="13"/>
      <c r="AIQ1105" s="13"/>
      <c r="AIR1105" s="13"/>
      <c r="AIS1105" s="13"/>
      <c r="AIT1105" s="13"/>
      <c r="AIU1105" s="13"/>
      <c r="AIV1105" s="13"/>
      <c r="AIW1105" s="13"/>
      <c r="AIX1105" s="13"/>
      <c r="AIY1105" s="13"/>
      <c r="AIZ1105" s="13"/>
      <c r="AJA1105" s="13"/>
      <c r="AJB1105" s="13"/>
      <c r="AJC1105" s="13"/>
      <c r="AJD1105" s="13"/>
      <c r="AJE1105" s="13"/>
      <c r="AJF1105" s="13"/>
      <c r="AJG1105" s="13"/>
      <c r="AJH1105" s="13"/>
      <c r="AJI1105" s="13"/>
      <c r="AJJ1105" s="13"/>
      <c r="AJK1105" s="13"/>
      <c r="AJL1105" s="13"/>
      <c r="AJM1105" s="13"/>
      <c r="AJN1105" s="13"/>
      <c r="AJO1105" s="13"/>
      <c r="AJP1105" s="13"/>
      <c r="AJQ1105" s="13"/>
      <c r="AJR1105" s="13"/>
      <c r="AJS1105" s="13"/>
      <c r="AJT1105" s="13"/>
      <c r="AJU1105" s="13"/>
      <c r="AJV1105" s="13"/>
      <c r="AJW1105" s="13"/>
      <c r="AJX1105" s="13"/>
      <c r="AJY1105" s="13"/>
      <c r="AJZ1105" s="13"/>
      <c r="AKA1105" s="13"/>
      <c r="AKB1105" s="13"/>
      <c r="AKC1105" s="13"/>
      <c r="AKD1105" s="13"/>
      <c r="AKE1105" s="13"/>
      <c r="AKF1105" s="13"/>
      <c r="AKG1105" s="13"/>
      <c r="AKH1105" s="13"/>
      <c r="AKI1105" s="13"/>
      <c r="AKJ1105" s="13"/>
      <c r="AKK1105" s="13"/>
      <c r="AKL1105" s="13"/>
      <c r="AKM1105" s="13"/>
      <c r="AKN1105" s="13"/>
      <c r="AKO1105" s="13"/>
      <c r="AKP1105" s="13"/>
      <c r="AKQ1105" s="13"/>
      <c r="AKR1105" s="13"/>
      <c r="AKS1105" s="13"/>
      <c r="AKT1105" s="13"/>
      <c r="AKU1105" s="13"/>
      <c r="AKV1105" s="13"/>
      <c r="AKW1105" s="13"/>
      <c r="AKX1105" s="13"/>
      <c r="AKY1105" s="13"/>
      <c r="AKZ1105" s="13"/>
      <c r="ALA1105" s="13"/>
      <c r="ALB1105" s="13"/>
      <c r="ALC1105" s="13"/>
      <c r="ALD1105" s="13"/>
      <c r="ALE1105" s="13"/>
      <c r="ALF1105" s="13"/>
      <c r="ALG1105" s="13"/>
      <c r="ALH1105" s="13"/>
      <c r="ALI1105" s="13"/>
      <c r="ALJ1105" s="13"/>
      <c r="ALK1105" s="13"/>
      <c r="ALL1105" s="13"/>
      <c r="ALM1105" s="13"/>
      <c r="ALN1105" s="13"/>
      <c r="ALO1105" s="13"/>
      <c r="ALP1105" s="13"/>
      <c r="ALQ1105" s="13"/>
      <c r="ALR1105" s="13"/>
      <c r="ALS1105" s="13"/>
      <c r="ALT1105" s="13"/>
      <c r="ALU1105" s="13"/>
      <c r="ALV1105" s="13"/>
      <c r="ALW1105" s="13"/>
      <c r="ALX1105" s="13"/>
      <c r="ALY1105" s="13"/>
      <c r="ALZ1105" s="13"/>
      <c r="AMA1105" s="13"/>
      <c r="AMB1105" s="13"/>
      <c r="AMC1105" s="13"/>
      <c r="AMD1105" s="13"/>
      <c r="AME1105" s="13"/>
      <c r="AMF1105" s="13"/>
      <c r="AMG1105" s="13"/>
      <c r="AMH1105" s="13"/>
      <c r="AMI1105" s="13"/>
      <c r="AMJ1105" s="13"/>
      <c r="AMK1105" s="13"/>
      <c r="AML1105" s="13"/>
      <c r="AMM1105" s="13"/>
      <c r="AMN1105" s="13"/>
      <c r="AMO1105" s="13"/>
      <c r="AMP1105" s="13"/>
      <c r="AMQ1105" s="13"/>
      <c r="AMR1105" s="13"/>
      <c r="AMS1105" s="13"/>
      <c r="AMT1105" s="13"/>
      <c r="AMU1105" s="13"/>
      <c r="AMV1105" s="13"/>
      <c r="AMW1105" s="13"/>
      <c r="AMX1105" s="13"/>
      <c r="AMY1105" s="13"/>
      <c r="AMZ1105" s="13"/>
      <c r="ANA1105" s="13"/>
      <c r="ANB1105" s="13"/>
      <c r="ANC1105" s="13"/>
      <c r="AND1105" s="13"/>
      <c r="ANE1105" s="13"/>
      <c r="ANF1105" s="13"/>
      <c r="ANG1105" s="13"/>
      <c r="ANH1105" s="13"/>
      <c r="ANI1105" s="13"/>
      <c r="ANJ1105" s="13"/>
      <c r="ANK1105" s="13"/>
      <c r="ANL1105" s="13"/>
      <c r="ANM1105" s="13"/>
      <c r="ANN1105" s="13"/>
      <c r="ANO1105" s="13"/>
      <c r="ANP1105" s="13"/>
      <c r="ANQ1105" s="13"/>
      <c r="ANR1105" s="13"/>
      <c r="ANS1105" s="13"/>
      <c r="ANT1105" s="13"/>
      <c r="ANU1105" s="13"/>
      <c r="ANV1105" s="13"/>
      <c r="ANW1105" s="13"/>
      <c r="ANX1105" s="13"/>
      <c r="ANY1105" s="13"/>
      <c r="ANZ1105" s="13"/>
      <c r="AOA1105" s="13"/>
      <c r="AOB1105" s="13"/>
      <c r="AOC1105" s="13"/>
      <c r="AOD1105" s="13"/>
      <c r="AOE1105" s="13"/>
      <c r="AOF1105" s="13"/>
      <c r="AOG1105" s="13"/>
      <c r="AOH1105" s="13"/>
      <c r="AOI1105" s="13"/>
      <c r="AOJ1105" s="13"/>
      <c r="AOK1105" s="13"/>
      <c r="AOL1105" s="13"/>
      <c r="AOM1105" s="13"/>
      <c r="AON1105" s="13"/>
      <c r="AOO1105" s="13"/>
      <c r="AOP1105" s="13"/>
      <c r="AOQ1105" s="13"/>
      <c r="AOR1105" s="13"/>
      <c r="AOS1105" s="13"/>
      <c r="AOT1105" s="13"/>
      <c r="AOU1105" s="13"/>
      <c r="AOV1105" s="13"/>
      <c r="AOW1105" s="13"/>
      <c r="AOX1105" s="13"/>
      <c r="AOY1105" s="13"/>
      <c r="AOZ1105" s="13"/>
      <c r="APA1105" s="13"/>
      <c r="APB1105" s="13"/>
      <c r="APC1105" s="13"/>
      <c r="APD1105" s="13"/>
      <c r="APE1105" s="13"/>
      <c r="APF1105" s="13"/>
      <c r="APG1105" s="13"/>
      <c r="APH1105" s="13"/>
      <c r="API1105" s="13"/>
      <c r="APJ1105" s="13"/>
      <c r="APK1105" s="13"/>
      <c r="APL1105" s="13"/>
      <c r="APM1105" s="13"/>
      <c r="APN1105" s="13"/>
      <c r="APO1105" s="13"/>
      <c r="APP1105" s="13"/>
      <c r="APQ1105" s="13"/>
      <c r="APR1105" s="13"/>
      <c r="APS1105" s="13"/>
      <c r="APT1105" s="13"/>
      <c r="APU1105" s="13"/>
      <c r="APV1105" s="13"/>
      <c r="APW1105" s="13"/>
      <c r="APX1105" s="13"/>
      <c r="APY1105" s="13"/>
      <c r="APZ1105" s="13"/>
      <c r="AQA1105" s="13"/>
      <c r="AQB1105" s="13"/>
      <c r="AQC1105" s="13"/>
      <c r="AQD1105" s="13"/>
      <c r="AQE1105" s="13"/>
      <c r="AQF1105" s="13"/>
      <c r="AQG1105" s="13"/>
      <c r="AQH1105" s="13"/>
      <c r="AQI1105" s="13"/>
      <c r="AQJ1105" s="13"/>
      <c r="AQK1105" s="13"/>
      <c r="AQL1105" s="13"/>
      <c r="AQM1105" s="13"/>
      <c r="AQN1105" s="13"/>
      <c r="AQO1105" s="13"/>
      <c r="AQP1105" s="13"/>
      <c r="AQQ1105" s="13"/>
      <c r="AQR1105" s="13"/>
      <c r="AQS1105" s="13"/>
      <c r="AQT1105" s="13"/>
      <c r="AQU1105" s="13"/>
      <c r="AQV1105" s="13"/>
      <c r="AQW1105" s="13"/>
      <c r="AQX1105" s="13"/>
      <c r="AQY1105" s="13"/>
      <c r="AQZ1105" s="13"/>
      <c r="ARA1105" s="13"/>
      <c r="ARB1105" s="13"/>
      <c r="ARC1105" s="13"/>
      <c r="ARD1105" s="13"/>
      <c r="ARE1105" s="13"/>
      <c r="ARF1105" s="13"/>
      <c r="ARG1105" s="13"/>
      <c r="ARH1105" s="13"/>
      <c r="ARI1105" s="13"/>
      <c r="ARJ1105" s="13"/>
      <c r="ARK1105" s="13"/>
      <c r="ARL1105" s="13"/>
      <c r="ARM1105" s="13"/>
      <c r="ARN1105" s="13"/>
      <c r="ARO1105" s="13"/>
      <c r="ARP1105" s="13"/>
      <c r="ARQ1105" s="13"/>
      <c r="ARR1105" s="13"/>
      <c r="ARS1105" s="13"/>
      <c r="ART1105" s="13"/>
      <c r="ARU1105" s="13"/>
      <c r="ARV1105" s="13"/>
      <c r="ARW1105" s="13"/>
      <c r="ARX1105" s="13"/>
      <c r="ARY1105" s="13"/>
      <c r="ARZ1105" s="13"/>
      <c r="ASA1105" s="13"/>
      <c r="ASB1105" s="13"/>
      <c r="ASC1105" s="13"/>
      <c r="ASD1105" s="13"/>
      <c r="ASE1105" s="13"/>
      <c r="ASF1105" s="13"/>
      <c r="ASG1105" s="13"/>
      <c r="ASH1105" s="13"/>
      <c r="ASI1105" s="13"/>
      <c r="ASJ1105" s="13"/>
      <c r="ASK1105" s="13"/>
      <c r="ASL1105" s="13"/>
      <c r="ASM1105" s="13"/>
      <c r="ASN1105" s="13"/>
      <c r="ASO1105" s="13"/>
      <c r="ASP1105" s="13"/>
      <c r="ASQ1105" s="13"/>
      <c r="ASR1105" s="13"/>
      <c r="ASS1105" s="13"/>
      <c r="AST1105" s="13"/>
      <c r="ASU1105" s="13"/>
      <c r="ASV1105" s="13"/>
      <c r="ASW1105" s="13"/>
      <c r="ASX1105" s="13"/>
      <c r="ASY1105" s="13"/>
      <c r="ASZ1105" s="13"/>
      <c r="ATA1105" s="13"/>
      <c r="ATB1105" s="13"/>
      <c r="ATC1105" s="13"/>
      <c r="ATD1105" s="13"/>
      <c r="ATE1105" s="13"/>
      <c r="ATF1105" s="13"/>
      <c r="ATG1105" s="13"/>
      <c r="ATH1105" s="13"/>
      <c r="ATI1105" s="13"/>
      <c r="ATJ1105" s="13"/>
      <c r="ATK1105" s="13"/>
      <c r="ATL1105" s="13"/>
      <c r="ATM1105" s="13"/>
      <c r="ATN1105" s="13"/>
      <c r="ATO1105" s="13"/>
      <c r="ATP1105" s="13"/>
      <c r="ATQ1105" s="13"/>
      <c r="ATR1105" s="13"/>
      <c r="ATS1105" s="13"/>
      <c r="ATT1105" s="13"/>
      <c r="ATU1105" s="13"/>
      <c r="ATV1105" s="13"/>
      <c r="ATW1105" s="13"/>
      <c r="ATX1105" s="13"/>
      <c r="ATY1105" s="13"/>
      <c r="ATZ1105" s="13"/>
      <c r="AUA1105" s="13"/>
      <c r="AUB1105" s="13"/>
      <c r="AUC1105" s="13"/>
      <c r="AUD1105" s="13"/>
      <c r="AUE1105" s="13"/>
      <c r="AUF1105" s="13"/>
      <c r="AUG1105" s="13"/>
      <c r="AUH1105" s="13"/>
      <c r="AUI1105" s="13"/>
      <c r="AUJ1105" s="13"/>
      <c r="AUK1105" s="13"/>
      <c r="AUL1105" s="13"/>
      <c r="AUM1105" s="13"/>
      <c r="AUN1105" s="13"/>
      <c r="AUO1105" s="13"/>
      <c r="AUP1105" s="13"/>
      <c r="AUQ1105" s="13"/>
      <c r="AUR1105" s="13"/>
      <c r="AUS1105" s="13"/>
      <c r="AUT1105" s="13"/>
      <c r="AUU1105" s="13"/>
      <c r="AUV1105" s="13"/>
      <c r="AUW1105" s="13"/>
      <c r="AUX1105" s="13"/>
      <c r="AUY1105" s="13"/>
      <c r="AUZ1105" s="13"/>
      <c r="AVA1105" s="13"/>
      <c r="AVB1105" s="13"/>
      <c r="AVC1105" s="13"/>
      <c r="AVD1105" s="13"/>
      <c r="AVE1105" s="13"/>
      <c r="AVF1105" s="13"/>
      <c r="AVG1105" s="13"/>
      <c r="AVH1105" s="13"/>
      <c r="AVI1105" s="13"/>
      <c r="AVJ1105" s="13"/>
      <c r="AVK1105" s="13"/>
      <c r="AVL1105" s="13"/>
      <c r="AVM1105" s="13"/>
      <c r="AVN1105" s="13"/>
      <c r="AVO1105" s="13"/>
      <c r="AVP1105" s="13"/>
      <c r="AVQ1105" s="13"/>
      <c r="AVR1105" s="13"/>
      <c r="AVS1105" s="13"/>
      <c r="AVT1105" s="13"/>
      <c r="AVU1105" s="13"/>
      <c r="AVV1105" s="13"/>
      <c r="AVW1105" s="13"/>
      <c r="AVX1105" s="13"/>
      <c r="AVY1105" s="13"/>
      <c r="AVZ1105" s="13"/>
      <c r="AWA1105" s="13"/>
      <c r="AWB1105" s="13"/>
      <c r="AWC1105" s="13"/>
      <c r="AWD1105" s="13"/>
      <c r="AWE1105" s="13"/>
      <c r="AWF1105" s="13"/>
      <c r="AWG1105" s="13"/>
      <c r="AWH1105" s="13"/>
      <c r="AWI1105" s="13"/>
      <c r="AWJ1105" s="13"/>
      <c r="AWK1105" s="13"/>
      <c r="AWL1105" s="13"/>
      <c r="AWM1105" s="13"/>
      <c r="AWN1105" s="13"/>
      <c r="AWO1105" s="13"/>
      <c r="AWP1105" s="13"/>
      <c r="AWQ1105" s="13"/>
      <c r="AWR1105" s="13"/>
      <c r="AWS1105" s="13"/>
      <c r="AWT1105" s="13"/>
      <c r="AWU1105" s="13"/>
      <c r="AWV1105" s="13"/>
      <c r="AWW1105" s="13"/>
      <c r="AWX1105" s="13"/>
      <c r="AWY1105" s="13"/>
      <c r="AWZ1105" s="13"/>
      <c r="AXA1105" s="13"/>
      <c r="AXB1105" s="13"/>
      <c r="AXC1105" s="13"/>
      <c r="AXD1105" s="13"/>
      <c r="AXE1105" s="13"/>
      <c r="AXF1105" s="13"/>
      <c r="AXG1105" s="13"/>
      <c r="AXH1105" s="13"/>
      <c r="AXI1105" s="13"/>
      <c r="AXJ1105" s="13"/>
      <c r="AXK1105" s="13"/>
      <c r="AXL1105" s="13"/>
      <c r="AXM1105" s="13"/>
      <c r="AXN1105" s="13"/>
      <c r="AXO1105" s="13"/>
      <c r="AXP1105" s="13"/>
      <c r="AXQ1105" s="13"/>
      <c r="AXR1105" s="13"/>
      <c r="AXS1105" s="13"/>
      <c r="AXT1105" s="13"/>
      <c r="AXU1105" s="13"/>
      <c r="AXV1105" s="13"/>
      <c r="AXW1105" s="13"/>
      <c r="AXX1105" s="13"/>
      <c r="AXY1105" s="13"/>
      <c r="AXZ1105" s="13"/>
      <c r="AYA1105" s="13"/>
      <c r="AYB1105" s="13"/>
      <c r="AYC1105" s="13"/>
      <c r="AYD1105" s="13"/>
      <c r="AYE1105" s="13"/>
      <c r="AYF1105" s="13"/>
      <c r="AYG1105" s="13"/>
      <c r="AYH1105" s="13"/>
      <c r="AYI1105" s="13"/>
      <c r="AYJ1105" s="13"/>
      <c r="AYK1105" s="13"/>
      <c r="AYL1105" s="13"/>
      <c r="AYM1105" s="13"/>
      <c r="AYN1105" s="13"/>
      <c r="AYO1105" s="13"/>
      <c r="AYP1105" s="13"/>
      <c r="AYQ1105" s="13"/>
      <c r="AYR1105" s="13"/>
      <c r="AYS1105" s="13"/>
      <c r="AYT1105" s="13"/>
      <c r="AYU1105" s="13"/>
      <c r="AYV1105" s="13"/>
      <c r="AYW1105" s="13"/>
      <c r="AYX1105" s="13"/>
      <c r="AYY1105" s="13"/>
      <c r="AYZ1105" s="13"/>
      <c r="AZA1105" s="13"/>
      <c r="AZB1105" s="13"/>
      <c r="AZC1105" s="13"/>
      <c r="AZD1105" s="13"/>
      <c r="AZE1105" s="13"/>
      <c r="AZF1105" s="13"/>
      <c r="AZG1105" s="13"/>
      <c r="AZH1105" s="13"/>
      <c r="AZI1105" s="13"/>
      <c r="AZJ1105" s="13"/>
      <c r="AZK1105" s="13"/>
      <c r="AZL1105" s="13"/>
      <c r="AZM1105" s="13"/>
      <c r="AZN1105" s="13"/>
      <c r="AZO1105" s="13"/>
      <c r="AZP1105" s="13"/>
      <c r="AZQ1105" s="13"/>
      <c r="AZR1105" s="13"/>
      <c r="AZS1105" s="13"/>
      <c r="AZT1105" s="13"/>
      <c r="AZU1105" s="13"/>
      <c r="AZV1105" s="13"/>
      <c r="AZW1105" s="13"/>
      <c r="AZX1105" s="13"/>
      <c r="AZY1105" s="13"/>
      <c r="AZZ1105" s="13"/>
      <c r="BAA1105" s="13"/>
      <c r="BAB1105" s="13"/>
      <c r="BAC1105" s="13"/>
      <c r="BAD1105" s="13"/>
      <c r="BAE1105" s="13"/>
      <c r="BAF1105" s="13"/>
      <c r="BAG1105" s="13"/>
      <c r="BAH1105" s="13"/>
      <c r="BAI1105" s="13"/>
      <c r="BAJ1105" s="13"/>
      <c r="BAK1105" s="13"/>
      <c r="BAL1105" s="13"/>
      <c r="BAM1105" s="13"/>
      <c r="BAN1105" s="13"/>
      <c r="BAO1105" s="13"/>
      <c r="BAP1105" s="13"/>
      <c r="BAQ1105" s="13"/>
      <c r="BAR1105" s="13"/>
      <c r="BAS1105" s="13"/>
      <c r="BAT1105" s="13"/>
      <c r="BAU1105" s="13"/>
      <c r="BAV1105" s="13"/>
      <c r="BAW1105" s="13"/>
      <c r="BAX1105" s="13"/>
      <c r="BAY1105" s="13"/>
      <c r="BAZ1105" s="13"/>
      <c r="BBA1105" s="13"/>
      <c r="BBB1105" s="13"/>
      <c r="BBC1105" s="13"/>
      <c r="BBD1105" s="13"/>
      <c r="BBE1105" s="13"/>
      <c r="BBF1105" s="13"/>
      <c r="BBG1105" s="13"/>
      <c r="BBH1105" s="13"/>
      <c r="BBI1105" s="13"/>
      <c r="BBJ1105" s="13"/>
      <c r="BBK1105" s="13"/>
      <c r="BBL1105" s="13"/>
      <c r="BBM1105" s="13"/>
      <c r="BBN1105" s="13"/>
      <c r="BBO1105" s="13"/>
      <c r="BBP1105" s="13"/>
      <c r="BBQ1105" s="13"/>
      <c r="BBR1105" s="13"/>
      <c r="BBS1105" s="13"/>
      <c r="BBT1105" s="13"/>
      <c r="BBU1105" s="13"/>
      <c r="BBV1105" s="13"/>
      <c r="BBW1105" s="13"/>
      <c r="BBX1105" s="13"/>
      <c r="BBY1105" s="13"/>
      <c r="BBZ1105" s="13"/>
      <c r="BCA1105" s="13"/>
      <c r="BCB1105" s="13"/>
      <c r="BCC1105" s="13"/>
      <c r="BCD1105" s="13"/>
      <c r="BCE1105" s="13"/>
      <c r="BCF1105" s="13"/>
      <c r="BCG1105" s="13"/>
      <c r="BCH1105" s="13"/>
      <c r="BCI1105" s="13"/>
      <c r="BCJ1105" s="13"/>
      <c r="BCK1105" s="13"/>
      <c r="BCL1105" s="13"/>
      <c r="BCM1105" s="13"/>
      <c r="BCN1105" s="13"/>
      <c r="BCO1105" s="13"/>
      <c r="BCP1105" s="13"/>
      <c r="BCQ1105" s="13"/>
      <c r="BCR1105" s="13"/>
      <c r="BCS1105" s="13"/>
      <c r="BCT1105" s="13"/>
      <c r="BCU1105" s="13"/>
      <c r="BCV1105" s="13"/>
      <c r="BCW1105" s="13"/>
      <c r="BCX1105" s="13"/>
      <c r="BCY1105" s="13"/>
      <c r="BCZ1105" s="13"/>
      <c r="BDA1105" s="13"/>
      <c r="BDB1105" s="13"/>
      <c r="BDC1105" s="13"/>
      <c r="BDD1105" s="13"/>
      <c r="BDE1105" s="13"/>
      <c r="BDF1105" s="13"/>
      <c r="BDG1105" s="13"/>
      <c r="BDH1105" s="13"/>
      <c r="BDI1105" s="13"/>
      <c r="BDJ1105" s="13"/>
      <c r="BDK1105" s="13"/>
      <c r="BDL1105" s="13"/>
      <c r="BDM1105" s="13"/>
      <c r="BDN1105" s="13"/>
      <c r="BDO1105" s="13"/>
      <c r="BDP1105" s="13"/>
      <c r="BDQ1105" s="13"/>
      <c r="BDR1105" s="13"/>
      <c r="BDS1105" s="13"/>
      <c r="BDT1105" s="13"/>
      <c r="BDU1105" s="13"/>
      <c r="BDV1105" s="13"/>
      <c r="BDW1105" s="13"/>
      <c r="BDX1105" s="13"/>
      <c r="BDY1105" s="13"/>
      <c r="BDZ1105" s="13"/>
      <c r="BEA1105" s="13"/>
      <c r="BEB1105" s="13"/>
      <c r="BEC1105" s="13"/>
      <c r="BED1105" s="13"/>
      <c r="BEE1105" s="13"/>
      <c r="BEF1105" s="13"/>
      <c r="BEG1105" s="13"/>
      <c r="BEH1105" s="13"/>
      <c r="BEI1105" s="13"/>
      <c r="BEJ1105" s="13"/>
      <c r="BEK1105" s="13"/>
      <c r="BEL1105" s="13"/>
      <c r="BEM1105" s="13"/>
      <c r="BEN1105" s="13"/>
      <c r="BEO1105" s="13"/>
      <c r="BEP1105" s="13"/>
      <c r="BEQ1105" s="13"/>
      <c r="BER1105" s="13"/>
      <c r="BES1105" s="13"/>
      <c r="BET1105" s="13"/>
      <c r="BEU1105" s="13"/>
      <c r="BEV1105" s="13"/>
      <c r="BEW1105" s="13"/>
      <c r="BEX1105" s="13"/>
      <c r="BEY1105" s="13"/>
      <c r="BEZ1105" s="13"/>
      <c r="BFA1105" s="13"/>
      <c r="BFB1105" s="13"/>
      <c r="BFC1105" s="13"/>
      <c r="BFD1105" s="13"/>
      <c r="BFE1105" s="13"/>
      <c r="BFF1105" s="13"/>
      <c r="BFG1105" s="13"/>
      <c r="BFH1105" s="13"/>
      <c r="BFI1105" s="13"/>
      <c r="BFJ1105" s="13"/>
      <c r="BFK1105" s="13"/>
      <c r="BFL1105" s="13"/>
      <c r="BFM1105" s="13"/>
      <c r="BFN1105" s="13"/>
      <c r="BFO1105" s="13"/>
      <c r="BFP1105" s="13"/>
      <c r="BFQ1105" s="13"/>
      <c r="BFR1105" s="13"/>
      <c r="BFS1105" s="13"/>
      <c r="BFT1105" s="13"/>
      <c r="BFU1105" s="13"/>
      <c r="BFV1105" s="13"/>
      <c r="BFW1105" s="13"/>
      <c r="BFX1105" s="13"/>
      <c r="BFY1105" s="13"/>
      <c r="BFZ1105" s="13"/>
      <c r="BGA1105" s="13"/>
      <c r="BGB1105" s="13"/>
      <c r="BGC1105" s="13"/>
      <c r="BGD1105" s="13"/>
      <c r="BGE1105" s="13"/>
      <c r="BGF1105" s="13"/>
      <c r="BGG1105" s="13"/>
      <c r="BGH1105" s="13"/>
      <c r="BGI1105" s="13"/>
      <c r="BGJ1105" s="13"/>
      <c r="BGK1105" s="13"/>
      <c r="BGL1105" s="13"/>
      <c r="BGM1105" s="13"/>
      <c r="BGN1105" s="13"/>
      <c r="BGO1105" s="13"/>
      <c r="BGP1105" s="13"/>
      <c r="BGQ1105" s="13"/>
      <c r="BGR1105" s="13"/>
      <c r="BGS1105" s="13"/>
      <c r="BGT1105" s="13"/>
      <c r="BGU1105" s="13"/>
      <c r="BGV1105" s="13"/>
      <c r="BGW1105" s="13"/>
      <c r="BGX1105" s="13"/>
      <c r="BGY1105" s="13"/>
      <c r="BGZ1105" s="13"/>
      <c r="BHA1105" s="13"/>
      <c r="BHB1105" s="13"/>
      <c r="BHC1105" s="13"/>
      <c r="BHD1105" s="13"/>
      <c r="BHE1105" s="13"/>
      <c r="BHF1105" s="13"/>
      <c r="BHG1105" s="13"/>
      <c r="BHH1105" s="13"/>
      <c r="BHI1105" s="13"/>
      <c r="BHJ1105" s="13"/>
      <c r="BHK1105" s="13"/>
      <c r="BHL1105" s="13"/>
      <c r="BHM1105" s="13"/>
      <c r="BHN1105" s="13"/>
      <c r="BHO1105" s="13"/>
      <c r="BHP1105" s="13"/>
      <c r="BHQ1105" s="13"/>
      <c r="BHR1105" s="13"/>
      <c r="BHS1105" s="13"/>
      <c r="BHT1105" s="13"/>
      <c r="BHU1105" s="13"/>
      <c r="BHV1105" s="13"/>
      <c r="BHW1105" s="13"/>
      <c r="BHX1105" s="13"/>
      <c r="BHY1105" s="13"/>
      <c r="BHZ1105" s="13"/>
      <c r="BIA1105" s="13"/>
      <c r="BIB1105" s="13"/>
      <c r="BIC1105" s="13"/>
      <c r="BID1105" s="13"/>
      <c r="BIE1105" s="13"/>
      <c r="BIF1105" s="13"/>
      <c r="BIG1105" s="13"/>
      <c r="BIH1105" s="13"/>
      <c r="BII1105" s="13"/>
      <c r="BIJ1105" s="13"/>
      <c r="BIK1105" s="13"/>
      <c r="BIL1105" s="13"/>
      <c r="BIM1105" s="13"/>
      <c r="BIN1105" s="13"/>
      <c r="BIO1105" s="13"/>
      <c r="BIP1105" s="13"/>
      <c r="BIQ1105" s="13"/>
      <c r="BIR1105" s="13"/>
      <c r="BIS1105" s="13"/>
      <c r="BIT1105" s="13"/>
      <c r="BIU1105" s="13"/>
      <c r="BIV1105" s="13"/>
      <c r="BIW1105" s="13"/>
      <c r="BIX1105" s="13"/>
      <c r="BIY1105" s="13"/>
      <c r="BIZ1105" s="13"/>
      <c r="BJA1105" s="13"/>
      <c r="BJB1105" s="13"/>
      <c r="BJC1105" s="13"/>
      <c r="BJD1105" s="13"/>
      <c r="BJE1105" s="13"/>
      <c r="BJF1105" s="13"/>
      <c r="BJG1105" s="13"/>
      <c r="BJH1105" s="13"/>
      <c r="BJI1105" s="13"/>
      <c r="BJJ1105" s="13"/>
      <c r="BJK1105" s="13"/>
      <c r="BJL1105" s="13"/>
      <c r="BJM1105" s="13"/>
      <c r="BJN1105" s="13"/>
      <c r="BJO1105" s="13"/>
      <c r="BJP1105" s="13"/>
      <c r="BJQ1105" s="13"/>
      <c r="BJR1105" s="13"/>
      <c r="BJS1105" s="13"/>
      <c r="BJT1105" s="13"/>
      <c r="BJU1105" s="13"/>
      <c r="BJV1105" s="13"/>
      <c r="BJW1105" s="13"/>
      <c r="BJX1105" s="13"/>
      <c r="BJY1105" s="13"/>
      <c r="BJZ1105" s="13"/>
      <c r="BKA1105" s="13"/>
      <c r="BKB1105" s="13"/>
      <c r="BKC1105" s="13"/>
      <c r="BKD1105" s="13"/>
      <c r="BKE1105" s="13"/>
      <c r="BKF1105" s="13"/>
      <c r="BKG1105" s="13"/>
      <c r="BKH1105" s="13"/>
      <c r="BKI1105" s="13"/>
      <c r="BKJ1105" s="13"/>
      <c r="BKK1105" s="13"/>
      <c r="BKL1105" s="13"/>
      <c r="BKM1105" s="13"/>
      <c r="BKN1105" s="13"/>
      <c r="BKO1105" s="13"/>
      <c r="BKP1105" s="13"/>
      <c r="BKQ1105" s="13"/>
      <c r="BKR1105" s="13"/>
      <c r="BKS1105" s="13"/>
      <c r="BKT1105" s="13"/>
      <c r="BKU1105" s="13"/>
      <c r="BKV1105" s="13"/>
      <c r="BKW1105" s="13"/>
      <c r="BKX1105" s="13"/>
      <c r="BKY1105" s="13"/>
      <c r="BKZ1105" s="13"/>
      <c r="BLA1105" s="13"/>
      <c r="BLB1105" s="13"/>
      <c r="BLC1105" s="13"/>
      <c r="BLD1105" s="13"/>
      <c r="BLE1105" s="13"/>
      <c r="BLF1105" s="13"/>
      <c r="BLG1105" s="13"/>
      <c r="BLH1105" s="13"/>
      <c r="BLI1105" s="13"/>
      <c r="BLJ1105" s="13"/>
      <c r="BLK1105" s="13"/>
      <c r="BLL1105" s="13"/>
      <c r="BLM1105" s="13"/>
      <c r="BLN1105" s="13"/>
      <c r="BLO1105" s="13"/>
      <c r="BLP1105" s="13"/>
      <c r="BLQ1105" s="13"/>
      <c r="BLR1105" s="13"/>
      <c r="BLS1105" s="13"/>
      <c r="BLT1105" s="13"/>
      <c r="BLU1105" s="13"/>
      <c r="BLV1105" s="13"/>
      <c r="BLW1105" s="13"/>
      <c r="BLX1105" s="13"/>
      <c r="BLY1105" s="13"/>
      <c r="BLZ1105" s="13"/>
      <c r="BMA1105" s="13"/>
      <c r="BMB1105" s="13"/>
      <c r="BMC1105" s="13"/>
      <c r="BMD1105" s="13"/>
      <c r="BME1105" s="13"/>
      <c r="BMF1105" s="13"/>
      <c r="BMG1105" s="13"/>
      <c r="BMH1105" s="13"/>
      <c r="BMI1105" s="13"/>
      <c r="BMJ1105" s="13"/>
      <c r="BMK1105" s="13"/>
      <c r="BML1105" s="13"/>
      <c r="BMM1105" s="13"/>
      <c r="BMN1105" s="13"/>
      <c r="BMO1105" s="13"/>
      <c r="BMP1105" s="13"/>
      <c r="BMQ1105" s="13"/>
      <c r="BMR1105" s="13"/>
      <c r="BMS1105" s="13"/>
      <c r="BMT1105" s="13"/>
      <c r="BMU1105" s="13"/>
      <c r="BMV1105" s="13"/>
      <c r="BMW1105" s="13"/>
      <c r="BMX1105" s="13"/>
      <c r="BMY1105" s="13"/>
      <c r="BMZ1105" s="13"/>
      <c r="BNA1105" s="13"/>
      <c r="BNB1105" s="13"/>
      <c r="BNC1105" s="13"/>
      <c r="BND1105" s="13"/>
      <c r="BNE1105" s="13"/>
      <c r="BNF1105" s="13"/>
      <c r="BNG1105" s="13"/>
      <c r="BNH1105" s="13"/>
      <c r="BNI1105" s="13"/>
      <c r="BNJ1105" s="13"/>
      <c r="BNK1105" s="13"/>
      <c r="BNL1105" s="13"/>
      <c r="BNM1105" s="13"/>
      <c r="BNN1105" s="13"/>
      <c r="BNO1105" s="13"/>
      <c r="BNP1105" s="13"/>
      <c r="BNQ1105" s="13"/>
      <c r="BNR1105" s="13"/>
      <c r="BNS1105" s="13"/>
      <c r="BNT1105" s="13"/>
      <c r="BNU1105" s="13"/>
      <c r="BNV1105" s="13"/>
      <c r="BNW1105" s="13"/>
      <c r="BNX1105" s="13"/>
      <c r="BNY1105" s="13"/>
      <c r="BNZ1105" s="13"/>
      <c r="BOA1105" s="13"/>
      <c r="BOB1105" s="13"/>
      <c r="BOC1105" s="13"/>
      <c r="BOD1105" s="13"/>
      <c r="BOE1105" s="13"/>
      <c r="BOF1105" s="13"/>
      <c r="BOG1105" s="13"/>
      <c r="BOH1105" s="13"/>
      <c r="BOI1105" s="13"/>
      <c r="BOJ1105" s="13"/>
      <c r="BOK1105" s="13"/>
      <c r="BOL1105" s="13"/>
      <c r="BOM1105" s="13"/>
      <c r="BON1105" s="13"/>
      <c r="BOO1105" s="13"/>
      <c r="BOP1105" s="13"/>
      <c r="BOQ1105" s="13"/>
      <c r="BOR1105" s="13"/>
      <c r="BOS1105" s="13"/>
      <c r="BOT1105" s="13"/>
      <c r="BOU1105" s="13"/>
      <c r="BOV1105" s="13"/>
      <c r="BOW1105" s="13"/>
      <c r="BOX1105" s="13"/>
      <c r="BOY1105" s="13"/>
      <c r="BOZ1105" s="13"/>
      <c r="BPA1105" s="13"/>
      <c r="BPB1105" s="13"/>
      <c r="BPC1105" s="13"/>
      <c r="BPD1105" s="13"/>
      <c r="BPE1105" s="13"/>
      <c r="BPF1105" s="13"/>
      <c r="BPG1105" s="13"/>
      <c r="BPH1105" s="13"/>
      <c r="BPI1105" s="13"/>
      <c r="BPJ1105" s="13"/>
      <c r="BPK1105" s="13"/>
      <c r="BPL1105" s="13"/>
      <c r="BPM1105" s="13"/>
      <c r="BPN1105" s="13"/>
      <c r="BPO1105" s="13"/>
      <c r="BPP1105" s="13"/>
      <c r="BPQ1105" s="13"/>
      <c r="BPR1105" s="13"/>
      <c r="BPS1105" s="13"/>
      <c r="BPT1105" s="13"/>
      <c r="BPU1105" s="13"/>
      <c r="BPV1105" s="13"/>
      <c r="BPW1105" s="13"/>
      <c r="BPX1105" s="13"/>
      <c r="BPY1105" s="13"/>
      <c r="BPZ1105" s="13"/>
      <c r="BQA1105" s="13"/>
      <c r="BQB1105" s="13"/>
      <c r="BQC1105" s="13"/>
      <c r="BQD1105" s="13"/>
      <c r="BQE1105" s="13"/>
      <c r="BQF1105" s="13"/>
      <c r="BQG1105" s="13"/>
      <c r="BQH1105" s="13"/>
      <c r="BQI1105" s="13"/>
      <c r="BQJ1105" s="13"/>
      <c r="BQK1105" s="13"/>
      <c r="BQL1105" s="13"/>
      <c r="BQM1105" s="13"/>
      <c r="BQN1105" s="13"/>
      <c r="BQO1105" s="13"/>
      <c r="BQP1105" s="13"/>
      <c r="BQQ1105" s="13"/>
      <c r="BQR1105" s="13"/>
      <c r="BQS1105" s="13"/>
      <c r="BQT1105" s="13"/>
      <c r="BQU1105" s="13"/>
      <c r="BQV1105" s="13"/>
      <c r="BQW1105" s="13"/>
      <c r="BQX1105" s="13"/>
      <c r="BQY1105" s="13"/>
      <c r="BQZ1105" s="13"/>
      <c r="BRA1105" s="13"/>
      <c r="BRB1105" s="13"/>
      <c r="BRC1105" s="13"/>
      <c r="BRD1105" s="13"/>
      <c r="BRE1105" s="13"/>
      <c r="BRF1105" s="13"/>
      <c r="BRG1105" s="13"/>
      <c r="BRH1105" s="13"/>
      <c r="BRI1105" s="13"/>
      <c r="BRJ1105" s="13"/>
      <c r="BRK1105" s="13"/>
      <c r="BRL1105" s="13"/>
      <c r="BRM1105" s="13"/>
      <c r="BRN1105" s="13"/>
      <c r="BRO1105" s="13"/>
      <c r="BRP1105" s="13"/>
      <c r="BRQ1105" s="13"/>
      <c r="BRR1105" s="13"/>
      <c r="BRS1105" s="13"/>
      <c r="BRT1105" s="13"/>
      <c r="BRU1105" s="13"/>
      <c r="BRV1105" s="13"/>
      <c r="BRW1105" s="13"/>
      <c r="BRX1105" s="13"/>
      <c r="BRY1105" s="13"/>
      <c r="BRZ1105" s="13"/>
      <c r="BSA1105" s="13"/>
      <c r="BSB1105" s="13"/>
      <c r="BSC1105" s="13"/>
      <c r="BSD1105" s="13"/>
      <c r="BSE1105" s="13"/>
      <c r="BSF1105" s="13"/>
      <c r="BSG1105" s="13"/>
      <c r="BSH1105" s="13"/>
      <c r="BSI1105" s="13"/>
      <c r="BSJ1105" s="13"/>
      <c r="BSK1105" s="13"/>
      <c r="BSL1105" s="13"/>
      <c r="BSM1105" s="13"/>
      <c r="BSN1105" s="13"/>
      <c r="BSO1105" s="13"/>
      <c r="BSP1105" s="13"/>
      <c r="BSQ1105" s="13"/>
      <c r="BSR1105" s="13"/>
      <c r="BSS1105" s="13"/>
      <c r="BST1105" s="13"/>
      <c r="BSU1105" s="13"/>
      <c r="BSV1105" s="13"/>
      <c r="BSW1105" s="13"/>
      <c r="BSX1105" s="13"/>
      <c r="BSY1105" s="13"/>
      <c r="BSZ1105" s="13"/>
      <c r="BTA1105" s="13"/>
    </row>
    <row r="1106" spans="1:1873" s="13" customFormat="1" x14ac:dyDescent="0.2">
      <c r="A1106" s="411" t="s">
        <v>932</v>
      </c>
      <c r="B1106" s="574" t="s">
        <v>1169</v>
      </c>
      <c r="C1106" s="411" t="s">
        <v>1204</v>
      </c>
      <c r="D1106" s="411" t="s">
        <v>619</v>
      </c>
      <c r="E1106" s="571" t="s">
        <v>1531</v>
      </c>
      <c r="F1106" s="571">
        <v>1</v>
      </c>
      <c r="G1106" s="411">
        <v>4</v>
      </c>
      <c r="H1106" s="577">
        <v>4</v>
      </c>
      <c r="I1106" s="411" t="s">
        <v>955</v>
      </c>
      <c r="J1106" s="411">
        <v>1987</v>
      </c>
      <c r="K1106" s="411" t="s">
        <v>1211</v>
      </c>
      <c r="L1106" s="411">
        <v>1990</v>
      </c>
      <c r="M1106" s="573">
        <v>-9999</v>
      </c>
      <c r="N1106" s="411">
        <v>-9999</v>
      </c>
      <c r="O1106" s="18"/>
      <c r="P1106" s="573">
        <v>-9999</v>
      </c>
      <c r="Q1106" s="411">
        <v>-9999</v>
      </c>
      <c r="R1106" s="573"/>
      <c r="S1106" s="411"/>
      <c r="T1106" s="573">
        <v>24.6</v>
      </c>
      <c r="U1106" s="411">
        <v>-9999</v>
      </c>
      <c r="V1106" s="411"/>
      <c r="W1106" s="573">
        <v>-9999</v>
      </c>
      <c r="X1106" s="411">
        <v>-9999</v>
      </c>
      <c r="Y1106" s="411"/>
      <c r="Z1106" s="411" t="s">
        <v>1220</v>
      </c>
      <c r="AA1106" s="582">
        <v>2222</v>
      </c>
      <c r="AB1106" s="573">
        <v>1</v>
      </c>
      <c r="AC1106" s="411">
        <v>-9999</v>
      </c>
      <c r="AD1106" s="411" t="s">
        <v>1237</v>
      </c>
      <c r="AE1106" s="411" t="s">
        <v>1955</v>
      </c>
      <c r="AF1106" s="411">
        <v>3</v>
      </c>
      <c r="AG1106" s="411">
        <v>2</v>
      </c>
      <c r="AH1106" s="411" t="s">
        <v>623</v>
      </c>
      <c r="AI1106" s="411" t="s">
        <v>834</v>
      </c>
      <c r="AJ1106" s="411" t="s">
        <v>1235</v>
      </c>
      <c r="AK1106" s="411" t="s">
        <v>1236</v>
      </c>
      <c r="AL1106" s="411">
        <v>-9999</v>
      </c>
      <c r="AM1106" s="411">
        <v>-9999</v>
      </c>
      <c r="AN1106" s="411" t="s">
        <v>631</v>
      </c>
      <c r="AO1106" s="411">
        <v>-9999</v>
      </c>
      <c r="AP1106" s="411">
        <v>-9999</v>
      </c>
      <c r="AQ1106" s="411" t="s">
        <v>631</v>
      </c>
      <c r="AR1106" s="411">
        <v>0</v>
      </c>
      <c r="AS1106" s="411">
        <v>0</v>
      </c>
      <c r="AT1106" s="411">
        <v>-9999</v>
      </c>
      <c r="AU1106" s="411">
        <v>0</v>
      </c>
      <c r="AV1106" s="411">
        <v>-9999</v>
      </c>
      <c r="AW1106" s="411">
        <v>-9999</v>
      </c>
      <c r="AX1106" s="411">
        <v>0</v>
      </c>
      <c r="AY1106" s="411">
        <v>-9999</v>
      </c>
      <c r="AZ1106" s="411">
        <v>-9999</v>
      </c>
      <c r="BA1106" s="411">
        <v>-9999</v>
      </c>
      <c r="BB1106" s="411" t="s">
        <v>626</v>
      </c>
      <c r="BC1106" s="411" t="s">
        <v>881</v>
      </c>
      <c r="BD1106" s="411" t="s">
        <v>1229</v>
      </c>
      <c r="BE1106" s="411" t="s">
        <v>1231</v>
      </c>
      <c r="BF1106" s="411" t="s">
        <v>1230</v>
      </c>
      <c r="BG1106" s="411" t="s">
        <v>1232</v>
      </c>
      <c r="BH1106" s="411" t="s">
        <v>1233</v>
      </c>
      <c r="BI1106" s="411" t="s">
        <v>1234</v>
      </c>
      <c r="BJ1106" s="585">
        <v>21.1</v>
      </c>
      <c r="BK1106" s="411">
        <v>-9999</v>
      </c>
      <c r="BL1106" s="411">
        <v>13.6</v>
      </c>
      <c r="BM1106" s="411">
        <v>-9999</v>
      </c>
      <c r="BN1106" s="411">
        <v>4.5999999999999996</v>
      </c>
      <c r="BO1106" s="411">
        <v>-9999</v>
      </c>
      <c r="BP1106" s="411">
        <v>-9999</v>
      </c>
      <c r="BQ1106" s="411">
        <v>-9999</v>
      </c>
      <c r="BR1106" s="411">
        <v>-9999</v>
      </c>
      <c r="BS1106" s="583">
        <f t="shared" si="117"/>
        <v>325.7208</v>
      </c>
      <c r="BT1106" s="585">
        <v>22.8</v>
      </c>
      <c r="BU1106" s="411">
        <v>-9999</v>
      </c>
      <c r="BV1106" s="411">
        <v>-9999</v>
      </c>
      <c r="BW1106" s="411"/>
      <c r="BX1106" s="411">
        <v>-9999</v>
      </c>
      <c r="BY1106" s="411">
        <v>-9999</v>
      </c>
      <c r="BZ1106" s="411">
        <v>-9999</v>
      </c>
      <c r="CA1106" s="578" t="s">
        <v>524</v>
      </c>
      <c r="CB1106" s="579" t="s">
        <v>0</v>
      </c>
      <c r="CC1106" s="571">
        <v>1</v>
      </c>
      <c r="CD1106" s="411" t="s">
        <v>1598</v>
      </c>
      <c r="CE1106" s="393">
        <v>24.6</v>
      </c>
      <c r="CF1106" s="99">
        <v>-9999</v>
      </c>
      <c r="CG1106" s="92">
        <v>4</v>
      </c>
      <c r="CH1106" s="436"/>
    </row>
    <row r="1107" spans="1:1873" s="23" customFormat="1" x14ac:dyDescent="0.2">
      <c r="A1107" s="273" t="s">
        <v>932</v>
      </c>
      <c r="B1107" s="469" t="s">
        <v>1169</v>
      </c>
      <c r="C1107" s="570" t="s">
        <v>1215</v>
      </c>
      <c r="D1107" s="273" t="s">
        <v>619</v>
      </c>
      <c r="E1107" s="462" t="s">
        <v>1532</v>
      </c>
      <c r="F1107" s="462">
        <v>1</v>
      </c>
      <c r="G1107" s="273">
        <v>4</v>
      </c>
      <c r="H1107" s="468">
        <v>4</v>
      </c>
      <c r="I1107" s="273" t="s">
        <v>955</v>
      </c>
      <c r="J1107" s="273">
        <v>1987</v>
      </c>
      <c r="K1107" s="273" t="s">
        <v>1211</v>
      </c>
      <c r="L1107" s="273">
        <v>1990</v>
      </c>
      <c r="M1107" s="471">
        <v>-9999</v>
      </c>
      <c r="N1107" s="273">
        <v>-9999</v>
      </c>
      <c r="O1107" s="29"/>
      <c r="P1107" s="471">
        <v>-9999</v>
      </c>
      <c r="Q1107" s="273">
        <v>-9999</v>
      </c>
      <c r="R1107" s="471"/>
      <c r="S1107" s="273"/>
      <c r="T1107" s="471">
        <v>16.3</v>
      </c>
      <c r="U1107" s="273">
        <v>-9999</v>
      </c>
      <c r="V1107" s="273"/>
      <c r="W1107" s="471">
        <v>-9999</v>
      </c>
      <c r="X1107" s="273">
        <v>-9999</v>
      </c>
      <c r="Y1107" s="273"/>
      <c r="Z1107" s="273" t="s">
        <v>1220</v>
      </c>
      <c r="AA1107" s="580">
        <v>2222</v>
      </c>
      <c r="AB1107" s="471">
        <v>1</v>
      </c>
      <c r="AC1107" s="273">
        <v>-9999</v>
      </c>
      <c r="AD1107" s="273" t="s">
        <v>1237</v>
      </c>
      <c r="AE1107" s="461" t="s">
        <v>1955</v>
      </c>
      <c r="AF1107" s="273">
        <v>3</v>
      </c>
      <c r="AG1107" s="273">
        <v>2</v>
      </c>
      <c r="AH1107" s="273" t="s">
        <v>623</v>
      </c>
      <c r="AI1107" s="273" t="s">
        <v>834</v>
      </c>
      <c r="AJ1107" s="273" t="s">
        <v>1235</v>
      </c>
      <c r="AK1107" s="273" t="s">
        <v>1236</v>
      </c>
      <c r="AL1107" s="273">
        <v>-9999</v>
      </c>
      <c r="AM1107" s="273">
        <v>-9999</v>
      </c>
      <c r="AN1107" s="273" t="s">
        <v>631</v>
      </c>
      <c r="AO1107" s="273">
        <v>-9999</v>
      </c>
      <c r="AP1107" s="273">
        <v>-9999</v>
      </c>
      <c r="AQ1107" s="273" t="s">
        <v>631</v>
      </c>
      <c r="AR1107" s="273">
        <v>0</v>
      </c>
      <c r="AS1107" s="273">
        <v>0</v>
      </c>
      <c r="AT1107" s="273">
        <v>-9999</v>
      </c>
      <c r="AU1107" s="273">
        <v>0</v>
      </c>
      <c r="AV1107" s="273">
        <v>-9999</v>
      </c>
      <c r="AW1107" s="273">
        <v>-9999</v>
      </c>
      <c r="AX1107" s="273">
        <v>0</v>
      </c>
      <c r="AY1107" s="273">
        <v>-9999</v>
      </c>
      <c r="AZ1107" s="273">
        <v>-9999</v>
      </c>
      <c r="BA1107" s="273">
        <v>-9999</v>
      </c>
      <c r="BB1107" s="273" t="s">
        <v>626</v>
      </c>
      <c r="BC1107" s="273" t="s">
        <v>881</v>
      </c>
      <c r="BD1107" s="273" t="s">
        <v>1229</v>
      </c>
      <c r="BE1107" s="273" t="s">
        <v>1231</v>
      </c>
      <c r="BF1107" s="273" t="s">
        <v>1230</v>
      </c>
      <c r="BG1107" s="273" t="s">
        <v>1232</v>
      </c>
      <c r="BH1107" s="273" t="s">
        <v>1233</v>
      </c>
      <c r="BI1107" s="273" t="s">
        <v>1234</v>
      </c>
      <c r="BJ1107" s="586">
        <v>12.8</v>
      </c>
      <c r="BK1107" s="273">
        <v>-9999</v>
      </c>
      <c r="BL1107" s="273">
        <v>11.1</v>
      </c>
      <c r="BM1107" s="273">
        <v>-9999</v>
      </c>
      <c r="BN1107" s="273">
        <v>2.1</v>
      </c>
      <c r="BO1107" s="273">
        <v>-9999</v>
      </c>
      <c r="BP1107" s="273">
        <v>-9999</v>
      </c>
      <c r="BQ1107" s="273">
        <v>-9999</v>
      </c>
      <c r="BR1107" s="273">
        <v>-9999</v>
      </c>
      <c r="BS1107" s="584">
        <f t="shared" si="117"/>
        <v>198.5754</v>
      </c>
      <c r="BT1107" s="586">
        <v>13.9</v>
      </c>
      <c r="BU1107" s="273">
        <v>-9999</v>
      </c>
      <c r="BV1107" s="273">
        <v>-9999</v>
      </c>
      <c r="BW1107" s="273"/>
      <c r="BX1107" s="273">
        <v>-9999</v>
      </c>
      <c r="BY1107" s="273">
        <v>-9999</v>
      </c>
      <c r="BZ1107" s="273">
        <v>-9999</v>
      </c>
      <c r="CA1107" s="472" t="s">
        <v>524</v>
      </c>
      <c r="CB1107" s="473" t="s">
        <v>0</v>
      </c>
      <c r="CC1107" s="462">
        <v>1</v>
      </c>
      <c r="CD1107" s="587" t="s">
        <v>1599</v>
      </c>
      <c r="CE1107" s="292">
        <v>16.3</v>
      </c>
      <c r="CF1107" s="292">
        <v>-9999</v>
      </c>
      <c r="CG1107" s="93">
        <v>4</v>
      </c>
    </row>
    <row r="1108" spans="1:1873" s="23" customFormat="1" x14ac:dyDescent="0.2">
      <c r="A1108" s="273" t="s">
        <v>932</v>
      </c>
      <c r="B1108" s="469" t="s">
        <v>1169</v>
      </c>
      <c r="C1108" s="273" t="s">
        <v>1219</v>
      </c>
      <c r="D1108" s="273" t="s">
        <v>619</v>
      </c>
      <c r="E1108" s="462" t="s">
        <v>1533</v>
      </c>
      <c r="F1108" s="462">
        <v>1</v>
      </c>
      <c r="G1108" s="273">
        <v>4</v>
      </c>
      <c r="H1108" s="468">
        <v>4</v>
      </c>
      <c r="I1108" s="273" t="s">
        <v>955</v>
      </c>
      <c r="J1108" s="273">
        <v>1987</v>
      </c>
      <c r="K1108" s="273" t="s">
        <v>1211</v>
      </c>
      <c r="L1108" s="273">
        <v>1990</v>
      </c>
      <c r="M1108" s="471">
        <v>-9999</v>
      </c>
      <c r="N1108" s="273">
        <v>-9999</v>
      </c>
      <c r="O1108" s="29"/>
      <c r="P1108" s="471">
        <v>-9999</v>
      </c>
      <c r="Q1108" s="273">
        <v>-9999</v>
      </c>
      <c r="R1108" s="471"/>
      <c r="S1108" s="273"/>
      <c r="T1108" s="471">
        <v>16.3</v>
      </c>
      <c r="U1108" s="273">
        <v>-9999</v>
      </c>
      <c r="V1108" s="273"/>
      <c r="W1108" s="471">
        <v>-9999</v>
      </c>
      <c r="X1108" s="273">
        <v>-9999</v>
      </c>
      <c r="Y1108" s="273"/>
      <c r="Z1108" s="273" t="s">
        <v>1220</v>
      </c>
      <c r="AA1108" s="580">
        <v>2222</v>
      </c>
      <c r="AB1108" s="471">
        <v>1</v>
      </c>
      <c r="AC1108" s="273">
        <v>-9999</v>
      </c>
      <c r="AD1108" s="273" t="s">
        <v>1237</v>
      </c>
      <c r="AE1108" s="461" t="s">
        <v>1955</v>
      </c>
      <c r="AF1108" s="273">
        <v>3</v>
      </c>
      <c r="AG1108" s="273">
        <v>2</v>
      </c>
      <c r="AH1108" s="273" t="s">
        <v>623</v>
      </c>
      <c r="AI1108" s="273" t="s">
        <v>834</v>
      </c>
      <c r="AJ1108" s="273" t="s">
        <v>1235</v>
      </c>
      <c r="AK1108" s="273" t="s">
        <v>1236</v>
      </c>
      <c r="AL1108" s="273">
        <v>-9999</v>
      </c>
      <c r="AM1108" s="273">
        <v>-9999</v>
      </c>
      <c r="AN1108" s="273" t="s">
        <v>631</v>
      </c>
      <c r="AO1108" s="273">
        <v>-9999</v>
      </c>
      <c r="AP1108" s="273">
        <v>-9999</v>
      </c>
      <c r="AQ1108" s="273" t="s">
        <v>631</v>
      </c>
      <c r="AR1108" s="273">
        <v>0</v>
      </c>
      <c r="AS1108" s="273">
        <v>0</v>
      </c>
      <c r="AT1108" s="273">
        <v>-9999</v>
      </c>
      <c r="AU1108" s="273">
        <v>0</v>
      </c>
      <c r="AV1108" s="273">
        <v>-9999</v>
      </c>
      <c r="AW1108" s="273">
        <v>-9999</v>
      </c>
      <c r="AX1108" s="273">
        <v>0</v>
      </c>
      <c r="AY1108" s="273">
        <v>-9999</v>
      </c>
      <c r="AZ1108" s="273">
        <v>-9999</v>
      </c>
      <c r="BA1108" s="273">
        <v>-9999</v>
      </c>
      <c r="BB1108" s="273" t="s">
        <v>626</v>
      </c>
      <c r="BC1108" s="273" t="s">
        <v>881</v>
      </c>
      <c r="BD1108" s="273" t="s">
        <v>1229</v>
      </c>
      <c r="BE1108" s="273" t="s">
        <v>1231</v>
      </c>
      <c r="BF1108" s="273" t="s">
        <v>1230</v>
      </c>
      <c r="BG1108" s="273" t="s">
        <v>1232</v>
      </c>
      <c r="BH1108" s="273" t="s">
        <v>1233</v>
      </c>
      <c r="BI1108" s="273" t="s">
        <v>1234</v>
      </c>
      <c r="BJ1108" s="586">
        <v>13.6</v>
      </c>
      <c r="BK1108" s="273">
        <v>-9999</v>
      </c>
      <c r="BL1108" s="273">
        <v>11.7</v>
      </c>
      <c r="BM1108" s="273">
        <v>-9999</v>
      </c>
      <c r="BN1108" s="273">
        <v>2.9</v>
      </c>
      <c r="BO1108" s="273">
        <v>-9999</v>
      </c>
      <c r="BP1108" s="273">
        <v>-9999</v>
      </c>
      <c r="BQ1108" s="273">
        <v>-9999</v>
      </c>
      <c r="BR1108" s="273">
        <v>-9999</v>
      </c>
      <c r="BS1108" s="584">
        <f t="shared" si="117"/>
        <v>187.14659999999998</v>
      </c>
      <c r="BT1108" s="586">
        <v>13.1</v>
      </c>
      <c r="BU1108" s="273">
        <v>-9999</v>
      </c>
      <c r="BV1108" s="273">
        <v>-9999</v>
      </c>
      <c r="BW1108" s="273"/>
      <c r="BX1108" s="273">
        <v>-9999</v>
      </c>
      <c r="BY1108" s="273">
        <v>-9999</v>
      </c>
      <c r="BZ1108" s="273">
        <v>-9999</v>
      </c>
      <c r="CA1108" s="472" t="s">
        <v>524</v>
      </c>
      <c r="CB1108" s="473" t="s">
        <v>0</v>
      </c>
      <c r="CC1108" s="462">
        <v>1</v>
      </c>
      <c r="CD1108" s="461" t="s">
        <v>1600</v>
      </c>
      <c r="CE1108" s="292">
        <v>16.3</v>
      </c>
      <c r="CF1108" s="292">
        <v>-9999</v>
      </c>
      <c r="CG1108" s="93">
        <v>4</v>
      </c>
    </row>
    <row r="1109" spans="1:1873" s="23" customFormat="1" x14ac:dyDescent="0.2">
      <c r="A1109" s="273" t="s">
        <v>932</v>
      </c>
      <c r="B1109" s="469" t="s">
        <v>1169</v>
      </c>
      <c r="C1109" s="273" t="s">
        <v>1217</v>
      </c>
      <c r="D1109" s="273" t="s">
        <v>619</v>
      </c>
      <c r="E1109" s="462" t="s">
        <v>1534</v>
      </c>
      <c r="F1109" s="462">
        <v>1</v>
      </c>
      <c r="G1109" s="273">
        <v>4</v>
      </c>
      <c r="H1109" s="468">
        <v>4</v>
      </c>
      <c r="I1109" s="273" t="s">
        <v>955</v>
      </c>
      <c r="J1109" s="273">
        <v>1987</v>
      </c>
      <c r="K1109" s="273" t="s">
        <v>1211</v>
      </c>
      <c r="L1109" s="273">
        <v>1990</v>
      </c>
      <c r="M1109" s="471">
        <v>-9999</v>
      </c>
      <c r="N1109" s="273">
        <v>-9999</v>
      </c>
      <c r="O1109" s="29"/>
      <c r="P1109" s="471">
        <v>-9999</v>
      </c>
      <c r="Q1109" s="273">
        <v>-9999</v>
      </c>
      <c r="R1109" s="471"/>
      <c r="S1109" s="273"/>
      <c r="T1109" s="471">
        <v>14.9</v>
      </c>
      <c r="U1109" s="273">
        <v>-9999</v>
      </c>
      <c r="V1109" s="273"/>
      <c r="W1109" s="471">
        <v>-9999</v>
      </c>
      <c r="X1109" s="273">
        <v>-9999</v>
      </c>
      <c r="Y1109" s="273"/>
      <c r="Z1109" s="273" t="s">
        <v>1220</v>
      </c>
      <c r="AA1109" s="580">
        <v>2222</v>
      </c>
      <c r="AB1109" s="471">
        <v>1</v>
      </c>
      <c r="AC1109" s="273">
        <v>-9999</v>
      </c>
      <c r="AD1109" s="273" t="s">
        <v>1237</v>
      </c>
      <c r="AE1109" s="461" t="s">
        <v>1955</v>
      </c>
      <c r="AF1109" s="273">
        <v>3</v>
      </c>
      <c r="AG1109" s="273">
        <v>2</v>
      </c>
      <c r="AH1109" s="273" t="s">
        <v>623</v>
      </c>
      <c r="AI1109" s="273" t="s">
        <v>834</v>
      </c>
      <c r="AJ1109" s="273" t="s">
        <v>1235</v>
      </c>
      <c r="AK1109" s="273" t="s">
        <v>1236</v>
      </c>
      <c r="AL1109" s="273">
        <v>-9999</v>
      </c>
      <c r="AM1109" s="273">
        <v>-9999</v>
      </c>
      <c r="AN1109" s="273" t="s">
        <v>631</v>
      </c>
      <c r="AO1109" s="273">
        <v>-9999</v>
      </c>
      <c r="AP1109" s="273">
        <v>-9999</v>
      </c>
      <c r="AQ1109" s="273" t="s">
        <v>631</v>
      </c>
      <c r="AR1109" s="273">
        <v>0</v>
      </c>
      <c r="AS1109" s="273">
        <v>0</v>
      </c>
      <c r="AT1109" s="273">
        <v>-9999</v>
      </c>
      <c r="AU1109" s="273">
        <v>0</v>
      </c>
      <c r="AV1109" s="273">
        <v>-9999</v>
      </c>
      <c r="AW1109" s="273">
        <v>-9999</v>
      </c>
      <c r="AX1109" s="273">
        <v>0</v>
      </c>
      <c r="AY1109" s="273">
        <v>-9999</v>
      </c>
      <c r="AZ1109" s="273">
        <v>-9999</v>
      </c>
      <c r="BA1109" s="273">
        <v>-9999</v>
      </c>
      <c r="BB1109" s="273" t="s">
        <v>626</v>
      </c>
      <c r="BC1109" s="273" t="s">
        <v>881</v>
      </c>
      <c r="BD1109" s="273" t="s">
        <v>1229</v>
      </c>
      <c r="BE1109" s="273" t="s">
        <v>1231</v>
      </c>
      <c r="BF1109" s="273" t="s">
        <v>1230</v>
      </c>
      <c r="BG1109" s="273" t="s">
        <v>1232</v>
      </c>
      <c r="BH1109" s="273" t="s">
        <v>1233</v>
      </c>
      <c r="BI1109" s="273" t="s">
        <v>1234</v>
      </c>
      <c r="BJ1109" s="586">
        <v>12.1</v>
      </c>
      <c r="BK1109" s="273">
        <v>-9999</v>
      </c>
      <c r="BL1109" s="273">
        <v>11.9</v>
      </c>
      <c r="BM1109" s="273">
        <v>-9999</v>
      </c>
      <c r="BN1109" s="273">
        <v>2.9</v>
      </c>
      <c r="BO1109" s="273">
        <v>-9999</v>
      </c>
      <c r="BP1109" s="273">
        <v>-9999</v>
      </c>
      <c r="BQ1109" s="273">
        <v>-9999</v>
      </c>
      <c r="BR1109" s="273">
        <v>-9999</v>
      </c>
      <c r="BS1109" s="584">
        <f t="shared" si="117"/>
        <v>175.71780000000001</v>
      </c>
      <c r="BT1109" s="586">
        <v>12.3</v>
      </c>
      <c r="BU1109" s="273">
        <v>-9999</v>
      </c>
      <c r="BV1109" s="273">
        <v>-9999</v>
      </c>
      <c r="BW1109" s="273"/>
      <c r="BX1109" s="273">
        <v>-9999</v>
      </c>
      <c r="BY1109" s="273">
        <v>-9999</v>
      </c>
      <c r="BZ1109" s="273">
        <v>-9999</v>
      </c>
      <c r="CA1109" s="472" t="s">
        <v>524</v>
      </c>
      <c r="CB1109" s="473" t="s">
        <v>0</v>
      </c>
      <c r="CC1109" s="462">
        <v>1</v>
      </c>
      <c r="CD1109" s="461" t="s">
        <v>1601</v>
      </c>
      <c r="CE1109" s="292">
        <v>14.9</v>
      </c>
      <c r="CF1109" s="292">
        <v>-9999</v>
      </c>
      <c r="CG1109" s="93">
        <v>4</v>
      </c>
    </row>
    <row r="1110" spans="1:1873" s="23" customFormat="1" x14ac:dyDescent="0.2">
      <c r="A1110" s="273"/>
      <c r="B1110" s="469"/>
      <c r="C1110" s="273"/>
      <c r="D1110" s="273"/>
      <c r="E1110" s="462"/>
      <c r="F1110" s="462"/>
      <c r="G1110" s="273"/>
      <c r="H1110" s="468"/>
      <c r="I1110" s="273"/>
      <c r="J1110" s="273"/>
      <c r="K1110" s="273"/>
      <c r="L1110" s="273"/>
      <c r="M1110" s="471"/>
      <c r="N1110" s="273"/>
      <c r="O1110" s="29"/>
      <c r="P1110" s="471"/>
      <c r="Q1110" s="273"/>
      <c r="R1110" s="471"/>
      <c r="S1110" s="273"/>
      <c r="T1110" s="471"/>
      <c r="U1110" s="273"/>
      <c r="V1110" s="273"/>
      <c r="W1110" s="471"/>
      <c r="X1110" s="273"/>
      <c r="Y1110" s="273"/>
      <c r="Z1110" s="273"/>
      <c r="AA1110" s="580"/>
      <c r="AB1110" s="471"/>
      <c r="AC1110" s="273"/>
      <c r="AD1110" s="273"/>
      <c r="AE1110" s="273"/>
      <c r="AF1110" s="273"/>
      <c r="AG1110" s="273"/>
      <c r="AH1110" s="273"/>
      <c r="AI1110" s="273"/>
      <c r="AJ1110" s="273"/>
      <c r="AK1110" s="273"/>
      <c r="AL1110" s="273"/>
      <c r="AM1110" s="273"/>
      <c r="AN1110" s="273"/>
      <c r="AO1110" s="273"/>
      <c r="AP1110" s="273"/>
      <c r="AQ1110" s="273"/>
      <c r="AR1110" s="273"/>
      <c r="AS1110" s="273"/>
      <c r="AT1110" s="273"/>
      <c r="AU1110" s="273"/>
      <c r="AV1110" s="273"/>
      <c r="AW1110" s="273"/>
      <c r="AX1110" s="273"/>
      <c r="AY1110" s="273"/>
      <c r="AZ1110" s="273"/>
      <c r="BA1110" s="273"/>
      <c r="BB1110" s="273"/>
      <c r="BC1110" s="273"/>
      <c r="BD1110" s="273"/>
      <c r="BE1110" s="273"/>
      <c r="BF1110" s="273"/>
      <c r="BG1110" s="273"/>
      <c r="BH1110" s="273"/>
      <c r="BI1110" s="273"/>
      <c r="BJ1110" s="586"/>
      <c r="BK1110" s="273"/>
      <c r="BL1110" s="273"/>
      <c r="BM1110" s="273"/>
      <c r="BN1110" s="273"/>
      <c r="BO1110" s="273"/>
      <c r="BP1110" s="273"/>
      <c r="BQ1110" s="273"/>
      <c r="BR1110" s="273"/>
      <c r="BS1110" s="584"/>
      <c r="BT1110" s="586"/>
      <c r="BU1110" s="273"/>
      <c r="BV1110" s="273"/>
      <c r="BW1110" s="273"/>
      <c r="BX1110" s="273"/>
      <c r="BY1110" s="273"/>
      <c r="BZ1110" s="273"/>
      <c r="CA1110" s="472"/>
      <c r="CB1110" s="473"/>
      <c r="CC1110" s="462"/>
      <c r="CD1110" s="273"/>
      <c r="CE1110" s="342" t="s">
        <v>599</v>
      </c>
      <c r="CF1110" s="292"/>
      <c r="CG1110" s="93"/>
    </row>
    <row r="1111" spans="1:1873" s="210" customFormat="1" ht="14.25" x14ac:dyDescent="0.25">
      <c r="A1111" s="411" t="s">
        <v>932</v>
      </c>
      <c r="B1111" s="574" t="s">
        <v>1169</v>
      </c>
      <c r="C1111" s="411" t="s">
        <v>1206</v>
      </c>
      <c r="D1111" s="411" t="s">
        <v>619</v>
      </c>
      <c r="E1111" s="571" t="s">
        <v>1505</v>
      </c>
      <c r="F1111" s="571">
        <v>1</v>
      </c>
      <c r="G1111" s="411">
        <v>4</v>
      </c>
      <c r="H1111" s="577">
        <v>4</v>
      </c>
      <c r="I1111" s="411" t="s">
        <v>955</v>
      </c>
      <c r="J1111" s="411">
        <v>1987</v>
      </c>
      <c r="K1111" s="411" t="s">
        <v>1211</v>
      </c>
      <c r="L1111" s="411">
        <v>1990</v>
      </c>
      <c r="M1111" s="573">
        <v>-9999</v>
      </c>
      <c r="N1111" s="411">
        <v>-9999</v>
      </c>
      <c r="O1111" s="18"/>
      <c r="P1111" s="573">
        <v>-9999</v>
      </c>
      <c r="Q1111" s="411">
        <v>-9999</v>
      </c>
      <c r="R1111" s="573"/>
      <c r="S1111" s="411"/>
      <c r="T1111" s="573">
        <v>30.5</v>
      </c>
      <c r="U1111" s="411">
        <v>-9999</v>
      </c>
      <c r="V1111" s="411"/>
      <c r="W1111" s="573">
        <v>-9999</v>
      </c>
      <c r="X1111" s="411">
        <v>-9999</v>
      </c>
      <c r="Y1111" s="411"/>
      <c r="Z1111" s="411" t="s">
        <v>1220</v>
      </c>
      <c r="AA1111" s="582">
        <v>2222</v>
      </c>
      <c r="AB1111" s="573">
        <v>1</v>
      </c>
      <c r="AC1111" s="411">
        <v>-9999</v>
      </c>
      <c r="AD1111" s="411" t="s">
        <v>1237</v>
      </c>
      <c r="AE1111" s="411" t="s">
        <v>1955</v>
      </c>
      <c r="AF1111" s="411">
        <v>3</v>
      </c>
      <c r="AG1111" s="411">
        <v>2</v>
      </c>
      <c r="AH1111" s="411" t="s">
        <v>623</v>
      </c>
      <c r="AI1111" s="411" t="s">
        <v>834</v>
      </c>
      <c r="AJ1111" s="411" t="s">
        <v>1235</v>
      </c>
      <c r="AK1111" s="411" t="s">
        <v>1236</v>
      </c>
      <c r="AL1111" s="411">
        <v>-9999</v>
      </c>
      <c r="AM1111" s="411">
        <v>-9999</v>
      </c>
      <c r="AN1111" s="411" t="s">
        <v>631</v>
      </c>
      <c r="AO1111" s="411">
        <v>-9999</v>
      </c>
      <c r="AP1111" s="411">
        <v>-9999</v>
      </c>
      <c r="AQ1111" s="411" t="s">
        <v>626</v>
      </c>
      <c r="AR1111" s="411">
        <v>500</v>
      </c>
      <c r="AS1111" s="411" t="s">
        <v>1111</v>
      </c>
      <c r="AT1111" s="411" t="s">
        <v>688</v>
      </c>
      <c r="AU1111" s="411">
        <v>0</v>
      </c>
      <c r="AV1111" s="411">
        <v>-9999</v>
      </c>
      <c r="AW1111" s="411">
        <v>-9999</v>
      </c>
      <c r="AX1111" s="411">
        <v>0</v>
      </c>
      <c r="AY1111" s="411">
        <v>-9999</v>
      </c>
      <c r="AZ1111" s="411">
        <v>-9999</v>
      </c>
      <c r="BA1111" s="411">
        <v>-9999</v>
      </c>
      <c r="BB1111" s="411" t="s">
        <v>626</v>
      </c>
      <c r="BC1111" s="411" t="s">
        <v>881</v>
      </c>
      <c r="BD1111" s="411" t="s">
        <v>1229</v>
      </c>
      <c r="BE1111" s="411" t="s">
        <v>1231</v>
      </c>
      <c r="BF1111" s="411" t="s">
        <v>1230</v>
      </c>
      <c r="BG1111" s="411" t="s">
        <v>1232</v>
      </c>
      <c r="BH1111" s="411" t="s">
        <v>1233</v>
      </c>
      <c r="BI1111" s="411" t="s">
        <v>1234</v>
      </c>
      <c r="BJ1111" s="585">
        <v>23.2</v>
      </c>
      <c r="BK1111" s="411">
        <v>-9999</v>
      </c>
      <c r="BL1111" s="411">
        <v>14</v>
      </c>
      <c r="BM1111" s="411">
        <v>-9999</v>
      </c>
      <c r="BN1111" s="411">
        <v>4.5999999999999996</v>
      </c>
      <c r="BO1111" s="411">
        <v>-9999</v>
      </c>
      <c r="BP1111" s="411">
        <v>-9999</v>
      </c>
      <c r="BQ1111" s="411">
        <v>-9999</v>
      </c>
      <c r="BR1111" s="411">
        <v>-9999</v>
      </c>
      <c r="BS1111" s="583">
        <f t="shared" ref="BS1111:BS1116" si="118">+BT1111*14.286</f>
        <v>401.4366</v>
      </c>
      <c r="BT1111" s="585">
        <v>28.1</v>
      </c>
      <c r="BU1111" s="411">
        <v>-9999</v>
      </c>
      <c r="BV1111" s="411">
        <v>-9999</v>
      </c>
      <c r="BW1111" s="411"/>
      <c r="BX1111" s="411">
        <v>-9999</v>
      </c>
      <c r="BY1111" s="411">
        <v>-9999</v>
      </c>
      <c r="BZ1111" s="411">
        <v>-9999</v>
      </c>
      <c r="CA1111" s="578" t="s">
        <v>524</v>
      </c>
      <c r="CB1111" s="579" t="s">
        <v>0</v>
      </c>
      <c r="CC1111" s="571">
        <v>1</v>
      </c>
      <c r="CD1111" s="411" t="s">
        <v>1596</v>
      </c>
      <c r="CE1111" s="393">
        <v>30.5</v>
      </c>
      <c r="CF1111" s="99">
        <v>-9999</v>
      </c>
      <c r="CG1111" s="209">
        <v>4</v>
      </c>
      <c r="CH1111" s="436" t="s">
        <v>1757</v>
      </c>
      <c r="CI1111" s="13"/>
      <c r="CJ1111" s="13"/>
      <c r="CK1111" s="13"/>
      <c r="CL1111" s="13"/>
      <c r="CM1111" s="13"/>
      <c r="CN1111" s="13"/>
      <c r="CO1111" s="13"/>
      <c r="CP1111" s="13"/>
      <c r="CQ1111" s="13"/>
      <c r="CR1111" s="13"/>
      <c r="CS1111" s="13"/>
      <c r="CT1111" s="13"/>
      <c r="CU1111" s="13"/>
      <c r="CV1111" s="13"/>
      <c r="CW1111" s="13"/>
      <c r="CX1111" s="13"/>
      <c r="CY1111" s="13"/>
      <c r="CZ1111" s="13"/>
      <c r="DA1111" s="13"/>
      <c r="DB1111" s="13"/>
      <c r="DC1111" s="13"/>
      <c r="DD1111" s="13"/>
      <c r="DE1111" s="13"/>
      <c r="DF1111" s="13"/>
      <c r="DG1111" s="13"/>
      <c r="DH1111" s="13"/>
      <c r="DI1111" s="13"/>
      <c r="DJ1111" s="13"/>
      <c r="DK1111" s="13"/>
      <c r="DL1111" s="13"/>
      <c r="DM1111" s="13"/>
      <c r="DN1111" s="13"/>
      <c r="DO1111" s="13"/>
      <c r="DP1111" s="13"/>
      <c r="DQ1111" s="13"/>
      <c r="DR1111" s="13"/>
      <c r="DS1111" s="13"/>
      <c r="DT1111" s="13"/>
      <c r="DU1111" s="13"/>
      <c r="DV1111" s="13"/>
      <c r="DW1111" s="13"/>
      <c r="DX1111" s="13"/>
      <c r="DY1111" s="13"/>
      <c r="DZ1111" s="13"/>
      <c r="EA1111" s="13"/>
      <c r="EB1111" s="13"/>
      <c r="EC1111" s="13"/>
      <c r="ED1111" s="13"/>
      <c r="EE1111" s="13"/>
      <c r="EF1111" s="13"/>
      <c r="EG1111" s="13"/>
      <c r="EH1111" s="13"/>
      <c r="EI1111" s="13"/>
      <c r="EJ1111" s="13"/>
      <c r="EK1111" s="13"/>
      <c r="EL1111" s="13"/>
      <c r="EM1111" s="13"/>
      <c r="EN1111" s="13"/>
      <c r="EO1111" s="13"/>
      <c r="EP1111" s="13"/>
      <c r="EQ1111" s="13"/>
      <c r="ER1111" s="13"/>
      <c r="ES1111" s="13"/>
      <c r="ET1111" s="13"/>
      <c r="EU1111" s="13"/>
      <c r="EV1111" s="13"/>
      <c r="EW1111" s="13"/>
      <c r="EX1111" s="13"/>
      <c r="EY1111" s="13"/>
      <c r="EZ1111" s="13"/>
      <c r="FA1111" s="13"/>
      <c r="FB1111" s="13"/>
      <c r="FC1111" s="13"/>
      <c r="FD1111" s="13"/>
      <c r="FE1111" s="13"/>
      <c r="FF1111" s="13"/>
      <c r="FG1111" s="13"/>
      <c r="FH1111" s="13"/>
      <c r="FI1111" s="13"/>
      <c r="FJ1111" s="13"/>
      <c r="FK1111" s="13"/>
      <c r="FL1111" s="13"/>
      <c r="FM1111" s="13"/>
      <c r="FN1111" s="13"/>
      <c r="FO1111" s="13"/>
      <c r="FP1111" s="13"/>
      <c r="FQ1111" s="13"/>
      <c r="FR1111" s="13"/>
      <c r="FS1111" s="13"/>
      <c r="FT1111" s="13"/>
      <c r="FU1111" s="13"/>
      <c r="FV1111" s="13"/>
      <c r="FW1111" s="13"/>
      <c r="FX1111" s="13"/>
      <c r="FY1111" s="13"/>
      <c r="FZ1111" s="13"/>
      <c r="GA1111" s="13"/>
      <c r="GB1111" s="13"/>
      <c r="GC1111" s="13"/>
      <c r="GD1111" s="13"/>
      <c r="GE1111" s="13"/>
      <c r="GF1111" s="13"/>
      <c r="GG1111" s="13"/>
      <c r="GH1111" s="13"/>
      <c r="GI1111" s="13"/>
      <c r="GJ1111" s="13"/>
      <c r="GK1111" s="13"/>
      <c r="GL1111" s="13"/>
      <c r="GM1111" s="13"/>
      <c r="GN1111" s="13"/>
      <c r="GO1111" s="13"/>
      <c r="GP1111" s="13"/>
      <c r="GQ1111" s="13"/>
      <c r="GR1111" s="13"/>
      <c r="GS1111" s="13"/>
      <c r="GT1111" s="13"/>
      <c r="GU1111" s="13"/>
      <c r="GV1111" s="13"/>
      <c r="GW1111" s="13"/>
      <c r="GX1111" s="13"/>
      <c r="GY1111" s="13"/>
      <c r="GZ1111" s="13"/>
      <c r="HA1111" s="13"/>
      <c r="HB1111" s="13"/>
      <c r="HC1111" s="13"/>
      <c r="HD1111" s="13"/>
      <c r="HE1111" s="13"/>
      <c r="HF1111" s="13"/>
      <c r="HG1111" s="13"/>
      <c r="HH1111" s="13"/>
      <c r="HI1111" s="13"/>
      <c r="HJ1111" s="13"/>
      <c r="HK1111" s="13"/>
      <c r="HL1111" s="13"/>
      <c r="HM1111" s="13"/>
      <c r="HN1111" s="13"/>
      <c r="HO1111" s="13"/>
      <c r="HP1111" s="13"/>
      <c r="HQ1111" s="13"/>
      <c r="HR1111" s="13"/>
      <c r="HS1111" s="13"/>
      <c r="HT1111" s="13"/>
      <c r="HU1111" s="13"/>
      <c r="HV1111" s="13"/>
      <c r="HW1111" s="13"/>
      <c r="HX1111" s="13"/>
      <c r="HY1111" s="13"/>
      <c r="HZ1111" s="13"/>
      <c r="IA1111" s="13"/>
      <c r="IB1111" s="13"/>
      <c r="IC1111" s="13"/>
      <c r="ID1111" s="13"/>
      <c r="IE1111" s="13"/>
      <c r="IF1111" s="13"/>
      <c r="IG1111" s="13"/>
      <c r="IH1111" s="13"/>
      <c r="II1111" s="13"/>
      <c r="IJ1111" s="13"/>
      <c r="IK1111" s="13"/>
      <c r="IL1111" s="13"/>
      <c r="IM1111" s="13"/>
      <c r="IN1111" s="13"/>
      <c r="IO1111" s="13"/>
      <c r="IP1111" s="13"/>
      <c r="IQ1111" s="13"/>
      <c r="IR1111" s="13"/>
      <c r="IS1111" s="13"/>
      <c r="IT1111" s="13"/>
      <c r="IU1111" s="13"/>
      <c r="IV1111" s="13"/>
      <c r="IW1111" s="13"/>
      <c r="IX1111" s="13"/>
      <c r="IY1111" s="13"/>
      <c r="IZ1111" s="13"/>
      <c r="JA1111" s="13"/>
      <c r="JB1111" s="13"/>
      <c r="JC1111" s="13"/>
      <c r="JD1111" s="13"/>
      <c r="JE1111" s="13"/>
      <c r="JF1111" s="13"/>
      <c r="JG1111" s="13"/>
      <c r="JH1111" s="13"/>
      <c r="JI1111" s="13"/>
      <c r="JJ1111" s="13"/>
      <c r="JK1111" s="13"/>
      <c r="JL1111" s="13"/>
      <c r="JM1111" s="13"/>
      <c r="JN1111" s="13"/>
      <c r="JO1111" s="13"/>
      <c r="JP1111" s="13"/>
      <c r="JQ1111" s="13"/>
      <c r="JR1111" s="13"/>
      <c r="JS1111" s="13"/>
      <c r="JT1111" s="13"/>
      <c r="JU1111" s="13"/>
      <c r="JV1111" s="13"/>
      <c r="JW1111" s="13"/>
      <c r="JX1111" s="13"/>
      <c r="JY1111" s="13"/>
      <c r="JZ1111" s="13"/>
      <c r="KA1111" s="13"/>
      <c r="KB1111" s="13"/>
      <c r="KC1111" s="13"/>
      <c r="KD1111" s="13"/>
      <c r="KE1111" s="13"/>
      <c r="KF1111" s="13"/>
      <c r="KG1111" s="13"/>
      <c r="KH1111" s="13"/>
      <c r="KI1111" s="13"/>
      <c r="KJ1111" s="13"/>
      <c r="KK1111" s="13"/>
      <c r="KL1111" s="13"/>
      <c r="KM1111" s="13"/>
      <c r="KN1111" s="13"/>
      <c r="KO1111" s="13"/>
      <c r="KP1111" s="13"/>
      <c r="KQ1111" s="13"/>
      <c r="KR1111" s="13"/>
      <c r="KS1111" s="13"/>
      <c r="KT1111" s="13"/>
      <c r="KU1111" s="13"/>
      <c r="KV1111" s="13"/>
      <c r="KW1111" s="13"/>
      <c r="KX1111" s="13"/>
      <c r="KY1111" s="13"/>
      <c r="KZ1111" s="13"/>
      <c r="LA1111" s="13"/>
      <c r="LB1111" s="13"/>
      <c r="LC1111" s="13"/>
      <c r="LD1111" s="13"/>
      <c r="LE1111" s="13"/>
      <c r="LF1111" s="13"/>
      <c r="LG1111" s="13"/>
      <c r="LH1111" s="13"/>
      <c r="LI1111" s="13"/>
      <c r="LJ1111" s="13"/>
      <c r="LK1111" s="13"/>
      <c r="LL1111" s="13"/>
      <c r="LM1111" s="13"/>
      <c r="LN1111" s="13"/>
      <c r="LO1111" s="13"/>
      <c r="LP1111" s="13"/>
      <c r="LQ1111" s="13"/>
      <c r="LR1111" s="13"/>
      <c r="LS1111" s="13"/>
      <c r="LT1111" s="13"/>
      <c r="LU1111" s="13"/>
      <c r="LV1111" s="13"/>
      <c r="LW1111" s="13"/>
      <c r="LX1111" s="13"/>
      <c r="LY1111" s="13"/>
      <c r="LZ1111" s="13"/>
      <c r="MA1111" s="13"/>
      <c r="MB1111" s="13"/>
      <c r="MC1111" s="13"/>
      <c r="MD1111" s="13"/>
      <c r="ME1111" s="13"/>
      <c r="MF1111" s="13"/>
      <c r="MG1111" s="13"/>
      <c r="MH1111" s="13"/>
      <c r="MI1111" s="13"/>
      <c r="MJ1111" s="13"/>
      <c r="MK1111" s="13"/>
      <c r="ML1111" s="13"/>
      <c r="MM1111" s="13"/>
      <c r="MN1111" s="13"/>
      <c r="MO1111" s="13"/>
      <c r="MP1111" s="13"/>
      <c r="MQ1111" s="13"/>
      <c r="MR1111" s="13"/>
      <c r="MS1111" s="13"/>
      <c r="MT1111" s="13"/>
      <c r="MU1111" s="13"/>
      <c r="MV1111" s="13"/>
      <c r="MW1111" s="13"/>
      <c r="MX1111" s="13"/>
      <c r="MY1111" s="13"/>
      <c r="MZ1111" s="13"/>
      <c r="NA1111" s="13"/>
      <c r="NB1111" s="13"/>
      <c r="NC1111" s="13"/>
      <c r="ND1111" s="13"/>
      <c r="NE1111" s="13"/>
      <c r="NF1111" s="13"/>
      <c r="NG1111" s="13"/>
      <c r="NH1111" s="13"/>
      <c r="NI1111" s="13"/>
      <c r="NJ1111" s="13"/>
      <c r="NK1111" s="13"/>
      <c r="NL1111" s="13"/>
      <c r="NM1111" s="13"/>
      <c r="NN1111" s="13"/>
      <c r="NO1111" s="13"/>
      <c r="NP1111" s="13"/>
      <c r="NQ1111" s="13"/>
      <c r="NR1111" s="13"/>
      <c r="NS1111" s="13"/>
      <c r="NT1111" s="13"/>
      <c r="NU1111" s="13"/>
      <c r="NV1111" s="13"/>
      <c r="NW1111" s="13"/>
      <c r="NX1111" s="13"/>
      <c r="NY1111" s="13"/>
      <c r="NZ1111" s="13"/>
      <c r="OA1111" s="13"/>
      <c r="OB1111" s="13"/>
      <c r="OC1111" s="13"/>
      <c r="OD1111" s="13"/>
      <c r="OE1111" s="13"/>
      <c r="OF1111" s="13"/>
      <c r="OG1111" s="13"/>
      <c r="OH1111" s="13"/>
      <c r="OI1111" s="13"/>
      <c r="OJ1111" s="13"/>
      <c r="OK1111" s="13"/>
      <c r="OL1111" s="13"/>
      <c r="OM1111" s="13"/>
      <c r="ON1111" s="13"/>
      <c r="OO1111" s="13"/>
      <c r="OP1111" s="13"/>
      <c r="OQ1111" s="13"/>
      <c r="OR1111" s="13"/>
      <c r="OS1111" s="13"/>
      <c r="OT1111" s="13"/>
      <c r="OU1111" s="13"/>
      <c r="OV1111" s="13"/>
      <c r="OW1111" s="13"/>
      <c r="OX1111" s="13"/>
      <c r="OY1111" s="13"/>
      <c r="OZ1111" s="13"/>
      <c r="PA1111" s="13"/>
      <c r="PB1111" s="13"/>
      <c r="PC1111" s="13"/>
      <c r="PD1111" s="13"/>
      <c r="PE1111" s="13"/>
      <c r="PF1111" s="13"/>
      <c r="PG1111" s="13"/>
      <c r="PH1111" s="13"/>
      <c r="PI1111" s="13"/>
      <c r="PJ1111" s="13"/>
      <c r="PK1111" s="13"/>
      <c r="PL1111" s="13"/>
      <c r="PM1111" s="13"/>
      <c r="PN1111" s="13"/>
      <c r="PO1111" s="13"/>
      <c r="PP1111" s="13"/>
      <c r="PQ1111" s="13"/>
      <c r="PR1111" s="13"/>
      <c r="PS1111" s="13"/>
      <c r="PT1111" s="13"/>
      <c r="PU1111" s="13"/>
      <c r="PV1111" s="13"/>
      <c r="PW1111" s="13"/>
      <c r="PX1111" s="13"/>
      <c r="PY1111" s="13"/>
      <c r="PZ1111" s="13"/>
      <c r="QA1111" s="13"/>
      <c r="QB1111" s="13"/>
      <c r="QC1111" s="13"/>
      <c r="QD1111" s="13"/>
      <c r="QE1111" s="13"/>
      <c r="QF1111" s="13"/>
      <c r="QG1111" s="13"/>
      <c r="QH1111" s="13"/>
      <c r="QI1111" s="13"/>
      <c r="QJ1111" s="13"/>
      <c r="QK1111" s="13"/>
      <c r="QL1111" s="13"/>
      <c r="QM1111" s="13"/>
      <c r="QN1111" s="13"/>
      <c r="QO1111" s="13"/>
      <c r="QP1111" s="13"/>
      <c r="QQ1111" s="13"/>
      <c r="QR1111" s="13"/>
      <c r="QS1111" s="13"/>
      <c r="QT1111" s="13"/>
      <c r="QU1111" s="13"/>
      <c r="QV1111" s="13"/>
      <c r="QW1111" s="13"/>
      <c r="QX1111" s="13"/>
      <c r="QY1111" s="13"/>
      <c r="QZ1111" s="13"/>
      <c r="RA1111" s="13"/>
      <c r="RB1111" s="13"/>
      <c r="RC1111" s="13"/>
      <c r="RD1111" s="13"/>
      <c r="RE1111" s="13"/>
      <c r="RF1111" s="13"/>
      <c r="RG1111" s="13"/>
      <c r="RH1111" s="13"/>
      <c r="RI1111" s="13"/>
      <c r="RJ1111" s="13"/>
      <c r="RK1111" s="13"/>
      <c r="RL1111" s="13"/>
      <c r="RM1111" s="13"/>
      <c r="RN1111" s="13"/>
      <c r="RO1111" s="13"/>
      <c r="RP1111" s="13"/>
      <c r="RQ1111" s="13"/>
      <c r="RR1111" s="13"/>
      <c r="RS1111" s="13"/>
      <c r="RT1111" s="13"/>
      <c r="RU1111" s="13"/>
      <c r="RV1111" s="13"/>
      <c r="RW1111" s="13"/>
      <c r="RX1111" s="13"/>
      <c r="RY1111" s="13"/>
      <c r="RZ1111" s="13"/>
      <c r="SA1111" s="13"/>
      <c r="SB1111" s="13"/>
      <c r="SC1111" s="13"/>
      <c r="SD1111" s="13"/>
      <c r="SE1111" s="13"/>
      <c r="SF1111" s="13"/>
      <c r="SG1111" s="13"/>
      <c r="SH1111" s="13"/>
      <c r="SI1111" s="13"/>
      <c r="SJ1111" s="13"/>
      <c r="SK1111" s="13"/>
      <c r="SL1111" s="13"/>
      <c r="SM1111" s="13"/>
      <c r="SN1111" s="13"/>
      <c r="SO1111" s="13"/>
      <c r="SP1111" s="13"/>
      <c r="SQ1111" s="13"/>
      <c r="SR1111" s="13"/>
      <c r="SS1111" s="13"/>
      <c r="ST1111" s="13"/>
      <c r="SU1111" s="13"/>
      <c r="SV1111" s="13"/>
      <c r="SW1111" s="13"/>
      <c r="SX1111" s="13"/>
      <c r="SY1111" s="13"/>
      <c r="SZ1111" s="13"/>
      <c r="TA1111" s="13"/>
      <c r="TB1111" s="13"/>
      <c r="TC1111" s="13"/>
      <c r="TD1111" s="13"/>
      <c r="TE1111" s="13"/>
      <c r="TF1111" s="13"/>
      <c r="TG1111" s="13"/>
      <c r="TH1111" s="13"/>
      <c r="TI1111" s="13"/>
      <c r="TJ1111" s="13"/>
      <c r="TK1111" s="13"/>
      <c r="TL1111" s="13"/>
      <c r="TM1111" s="13"/>
      <c r="TN1111" s="13"/>
      <c r="TO1111" s="13"/>
      <c r="TP1111" s="13"/>
      <c r="TQ1111" s="13"/>
      <c r="TR1111" s="13"/>
      <c r="TS1111" s="13"/>
      <c r="TT1111" s="13"/>
      <c r="TU1111" s="13"/>
      <c r="TV1111" s="13"/>
      <c r="TW1111" s="13"/>
      <c r="TX1111" s="13"/>
      <c r="TY1111" s="13"/>
      <c r="TZ1111" s="13"/>
      <c r="UA1111" s="13"/>
      <c r="UB1111" s="13"/>
      <c r="UC1111" s="13"/>
      <c r="UD1111" s="13"/>
      <c r="UE1111" s="13"/>
      <c r="UF1111" s="13"/>
      <c r="UG1111" s="13"/>
      <c r="UH1111" s="13"/>
      <c r="UI1111" s="13"/>
      <c r="UJ1111" s="13"/>
      <c r="UK1111" s="13"/>
      <c r="UL1111" s="13"/>
      <c r="UM1111" s="13"/>
      <c r="UN1111" s="13"/>
      <c r="UO1111" s="13"/>
      <c r="UP1111" s="13"/>
      <c r="UQ1111" s="13"/>
      <c r="UR1111" s="13"/>
      <c r="US1111" s="13"/>
      <c r="UT1111" s="13"/>
      <c r="UU1111" s="13"/>
      <c r="UV1111" s="13"/>
      <c r="UW1111" s="13"/>
      <c r="UX1111" s="13"/>
      <c r="UY1111" s="13"/>
      <c r="UZ1111" s="13"/>
      <c r="VA1111" s="13"/>
      <c r="VB1111" s="13"/>
      <c r="VC1111" s="13"/>
      <c r="VD1111" s="13"/>
      <c r="VE1111" s="13"/>
      <c r="VF1111" s="13"/>
      <c r="VG1111" s="13"/>
      <c r="VH1111" s="13"/>
      <c r="VI1111" s="13"/>
      <c r="VJ1111" s="13"/>
      <c r="VK1111" s="13"/>
      <c r="VL1111" s="13"/>
      <c r="VM1111" s="13"/>
      <c r="VN1111" s="13"/>
      <c r="VO1111" s="13"/>
      <c r="VP1111" s="13"/>
      <c r="VQ1111" s="13"/>
      <c r="VR1111" s="13"/>
      <c r="VS1111" s="13"/>
      <c r="VT1111" s="13"/>
      <c r="VU1111" s="13"/>
      <c r="VV1111" s="13"/>
      <c r="VW1111" s="13"/>
      <c r="VX1111" s="13"/>
      <c r="VY1111" s="13"/>
      <c r="VZ1111" s="13"/>
      <c r="WA1111" s="13"/>
      <c r="WB1111" s="13"/>
      <c r="WC1111" s="13"/>
      <c r="WD1111" s="13"/>
      <c r="WE1111" s="13"/>
      <c r="WF1111" s="13"/>
      <c r="WG1111" s="13"/>
      <c r="WH1111" s="13"/>
      <c r="WI1111" s="13"/>
      <c r="WJ1111" s="13"/>
      <c r="WK1111" s="13"/>
      <c r="WL1111" s="13"/>
      <c r="WM1111" s="13"/>
      <c r="WN1111" s="13"/>
      <c r="WO1111" s="13"/>
      <c r="WP1111" s="13"/>
      <c r="WQ1111" s="13"/>
      <c r="WR1111" s="13"/>
      <c r="WS1111" s="13"/>
      <c r="WT1111" s="13"/>
      <c r="WU1111" s="13"/>
      <c r="WV1111" s="13"/>
      <c r="WW1111" s="13"/>
      <c r="WX1111" s="13"/>
      <c r="WY1111" s="13"/>
      <c r="WZ1111" s="13"/>
      <c r="XA1111" s="13"/>
      <c r="XB1111" s="13"/>
      <c r="XC1111" s="13"/>
      <c r="XD1111" s="13"/>
      <c r="XE1111" s="13"/>
      <c r="XF1111" s="13"/>
      <c r="XG1111" s="13"/>
      <c r="XH1111" s="13"/>
      <c r="XI1111" s="13"/>
      <c r="XJ1111" s="13"/>
      <c r="XK1111" s="13"/>
      <c r="XL1111" s="13"/>
      <c r="XM1111" s="13"/>
      <c r="XN1111" s="13"/>
      <c r="XO1111" s="13"/>
      <c r="XP1111" s="13"/>
      <c r="XQ1111" s="13"/>
      <c r="XR1111" s="13"/>
      <c r="XS1111" s="13"/>
      <c r="XT1111" s="13"/>
      <c r="XU1111" s="13"/>
      <c r="XV1111" s="13"/>
      <c r="XW1111" s="13"/>
      <c r="XX1111" s="13"/>
      <c r="XY1111" s="13"/>
      <c r="XZ1111" s="13"/>
      <c r="YA1111" s="13"/>
      <c r="YB1111" s="13"/>
      <c r="YC1111" s="13"/>
      <c r="YD1111" s="13"/>
      <c r="YE1111" s="13"/>
      <c r="YF1111" s="13"/>
      <c r="YG1111" s="13"/>
      <c r="YH1111" s="13"/>
      <c r="YI1111" s="13"/>
      <c r="YJ1111" s="13"/>
      <c r="YK1111" s="13"/>
      <c r="YL1111" s="13"/>
      <c r="YM1111" s="13"/>
      <c r="YN1111" s="13"/>
      <c r="YO1111" s="13"/>
      <c r="YP1111" s="13"/>
      <c r="YQ1111" s="13"/>
      <c r="YR1111" s="13"/>
      <c r="YS1111" s="13"/>
      <c r="YT1111" s="13"/>
      <c r="YU1111" s="13"/>
      <c r="YV1111" s="13"/>
      <c r="YW1111" s="13"/>
      <c r="YX1111" s="13"/>
      <c r="YY1111" s="13"/>
      <c r="YZ1111" s="13"/>
      <c r="ZA1111" s="13"/>
      <c r="ZB1111" s="13"/>
      <c r="ZC1111" s="13"/>
      <c r="ZD1111" s="13"/>
      <c r="ZE1111" s="13"/>
      <c r="ZF1111" s="13"/>
      <c r="ZG1111" s="13"/>
      <c r="ZH1111" s="13"/>
      <c r="ZI1111" s="13"/>
      <c r="ZJ1111" s="13"/>
      <c r="ZK1111" s="13"/>
      <c r="ZL1111" s="13"/>
      <c r="ZM1111" s="13"/>
      <c r="ZN1111" s="13"/>
      <c r="ZO1111" s="13"/>
      <c r="ZP1111" s="13"/>
      <c r="ZQ1111" s="13"/>
      <c r="ZR1111" s="13"/>
      <c r="ZS1111" s="13"/>
      <c r="ZT1111" s="13"/>
      <c r="ZU1111" s="13"/>
      <c r="ZV1111" s="13"/>
      <c r="ZW1111" s="13"/>
      <c r="ZX1111" s="13"/>
      <c r="ZY1111" s="13"/>
      <c r="ZZ1111" s="13"/>
      <c r="AAA1111" s="13"/>
      <c r="AAB1111" s="13"/>
      <c r="AAC1111" s="13"/>
      <c r="AAD1111" s="13"/>
      <c r="AAE1111" s="13"/>
      <c r="AAF1111" s="13"/>
      <c r="AAG1111" s="13"/>
      <c r="AAH1111" s="13"/>
      <c r="AAI1111" s="13"/>
      <c r="AAJ1111" s="13"/>
      <c r="AAK1111" s="13"/>
      <c r="AAL1111" s="13"/>
      <c r="AAM1111" s="13"/>
      <c r="AAN1111" s="13"/>
      <c r="AAO1111" s="13"/>
      <c r="AAP1111" s="13"/>
      <c r="AAQ1111" s="13"/>
      <c r="AAR1111" s="13"/>
      <c r="AAS1111" s="13"/>
      <c r="AAT1111" s="13"/>
      <c r="AAU1111" s="13"/>
      <c r="AAV1111" s="13"/>
      <c r="AAW1111" s="13"/>
      <c r="AAX1111" s="13"/>
      <c r="AAY1111" s="13"/>
      <c r="AAZ1111" s="13"/>
      <c r="ABA1111" s="13"/>
      <c r="ABB1111" s="13"/>
      <c r="ABC1111" s="13"/>
      <c r="ABD1111" s="13"/>
      <c r="ABE1111" s="13"/>
      <c r="ABF1111" s="13"/>
      <c r="ABG1111" s="13"/>
      <c r="ABH1111" s="13"/>
      <c r="ABI1111" s="13"/>
      <c r="ABJ1111" s="13"/>
      <c r="ABK1111" s="13"/>
      <c r="ABL1111" s="13"/>
      <c r="ABM1111" s="13"/>
      <c r="ABN1111" s="13"/>
      <c r="ABO1111" s="13"/>
      <c r="ABP1111" s="13"/>
      <c r="ABQ1111" s="13"/>
      <c r="ABR1111" s="13"/>
      <c r="ABS1111" s="13"/>
      <c r="ABT1111" s="13"/>
      <c r="ABU1111" s="13"/>
      <c r="ABV1111" s="13"/>
      <c r="ABW1111" s="13"/>
      <c r="ABX1111" s="13"/>
      <c r="ABY1111" s="13"/>
      <c r="ABZ1111" s="13"/>
      <c r="ACA1111" s="13"/>
      <c r="ACB1111" s="13"/>
      <c r="ACC1111" s="13"/>
      <c r="ACD1111" s="13"/>
      <c r="ACE1111" s="13"/>
      <c r="ACF1111" s="13"/>
      <c r="ACG1111" s="13"/>
      <c r="ACH1111" s="13"/>
      <c r="ACI1111" s="13"/>
      <c r="ACJ1111" s="13"/>
      <c r="ACK1111" s="13"/>
      <c r="ACL1111" s="13"/>
      <c r="ACM1111" s="13"/>
      <c r="ACN1111" s="13"/>
      <c r="ACO1111" s="13"/>
      <c r="ACP1111" s="13"/>
      <c r="ACQ1111" s="13"/>
      <c r="ACR1111" s="13"/>
      <c r="ACS1111" s="13"/>
      <c r="ACT1111" s="13"/>
      <c r="ACU1111" s="13"/>
      <c r="ACV1111" s="13"/>
      <c r="ACW1111" s="13"/>
      <c r="ACX1111" s="13"/>
      <c r="ACY1111" s="13"/>
      <c r="ACZ1111" s="13"/>
      <c r="ADA1111" s="13"/>
      <c r="ADB1111" s="13"/>
      <c r="ADC1111" s="13"/>
      <c r="ADD1111" s="13"/>
      <c r="ADE1111" s="13"/>
      <c r="ADF1111" s="13"/>
      <c r="ADG1111" s="13"/>
      <c r="ADH1111" s="13"/>
      <c r="ADI1111" s="13"/>
      <c r="ADJ1111" s="13"/>
      <c r="ADK1111" s="13"/>
      <c r="ADL1111" s="13"/>
      <c r="ADM1111" s="13"/>
      <c r="ADN1111" s="13"/>
      <c r="ADO1111" s="13"/>
      <c r="ADP1111" s="13"/>
      <c r="ADQ1111" s="13"/>
      <c r="ADR1111" s="13"/>
      <c r="ADS1111" s="13"/>
      <c r="ADT1111" s="13"/>
      <c r="ADU1111" s="13"/>
      <c r="ADV1111" s="13"/>
      <c r="ADW1111" s="13"/>
      <c r="ADX1111" s="13"/>
      <c r="ADY1111" s="13"/>
      <c r="ADZ1111" s="13"/>
      <c r="AEA1111" s="13"/>
      <c r="AEB1111" s="13"/>
      <c r="AEC1111" s="13"/>
      <c r="AED1111" s="13"/>
      <c r="AEE1111" s="13"/>
      <c r="AEF1111" s="13"/>
      <c r="AEG1111" s="13"/>
      <c r="AEH1111" s="13"/>
      <c r="AEI1111" s="13"/>
      <c r="AEJ1111" s="13"/>
      <c r="AEK1111" s="13"/>
      <c r="AEL1111" s="13"/>
      <c r="AEM1111" s="13"/>
      <c r="AEN1111" s="13"/>
      <c r="AEO1111" s="13"/>
      <c r="AEP1111" s="13"/>
      <c r="AEQ1111" s="13"/>
      <c r="AER1111" s="13"/>
      <c r="AES1111" s="13"/>
      <c r="AET1111" s="13"/>
      <c r="AEU1111" s="13"/>
      <c r="AEV1111" s="13"/>
      <c r="AEW1111" s="13"/>
      <c r="AEX1111" s="13"/>
      <c r="AEY1111" s="13"/>
      <c r="AEZ1111" s="13"/>
      <c r="AFA1111" s="13"/>
      <c r="AFB1111" s="13"/>
      <c r="AFC1111" s="13"/>
      <c r="AFD1111" s="13"/>
      <c r="AFE1111" s="13"/>
      <c r="AFF1111" s="13"/>
      <c r="AFG1111" s="13"/>
      <c r="AFH1111" s="13"/>
      <c r="AFI1111" s="13"/>
      <c r="AFJ1111" s="13"/>
      <c r="AFK1111" s="13"/>
      <c r="AFL1111" s="13"/>
      <c r="AFM1111" s="13"/>
      <c r="AFN1111" s="13"/>
      <c r="AFO1111" s="13"/>
      <c r="AFP1111" s="13"/>
      <c r="AFQ1111" s="13"/>
      <c r="AFR1111" s="13"/>
      <c r="AFS1111" s="13"/>
      <c r="AFT1111" s="13"/>
      <c r="AFU1111" s="13"/>
      <c r="AFV1111" s="13"/>
      <c r="AFW1111" s="13"/>
      <c r="AFX1111" s="13"/>
      <c r="AFY1111" s="13"/>
      <c r="AFZ1111" s="13"/>
      <c r="AGA1111" s="13"/>
      <c r="AGB1111" s="13"/>
      <c r="AGC1111" s="13"/>
      <c r="AGD1111" s="13"/>
      <c r="AGE1111" s="13"/>
      <c r="AGF1111" s="13"/>
      <c r="AGG1111" s="13"/>
      <c r="AGH1111" s="13"/>
      <c r="AGI1111" s="13"/>
      <c r="AGJ1111" s="13"/>
      <c r="AGK1111" s="13"/>
      <c r="AGL1111" s="13"/>
      <c r="AGM1111" s="13"/>
      <c r="AGN1111" s="13"/>
      <c r="AGO1111" s="13"/>
      <c r="AGP1111" s="13"/>
      <c r="AGQ1111" s="13"/>
      <c r="AGR1111" s="13"/>
      <c r="AGS1111" s="13"/>
      <c r="AGT1111" s="13"/>
      <c r="AGU1111" s="13"/>
      <c r="AGV1111" s="13"/>
      <c r="AGW1111" s="13"/>
      <c r="AGX1111" s="13"/>
      <c r="AGY1111" s="13"/>
      <c r="AGZ1111" s="13"/>
      <c r="AHA1111" s="13"/>
      <c r="AHB1111" s="13"/>
      <c r="AHC1111" s="13"/>
      <c r="AHD1111" s="13"/>
      <c r="AHE1111" s="13"/>
      <c r="AHF1111" s="13"/>
      <c r="AHG1111" s="13"/>
      <c r="AHH1111" s="13"/>
      <c r="AHI1111" s="13"/>
      <c r="AHJ1111" s="13"/>
      <c r="AHK1111" s="13"/>
      <c r="AHL1111" s="13"/>
      <c r="AHM1111" s="13"/>
      <c r="AHN1111" s="13"/>
      <c r="AHO1111" s="13"/>
      <c r="AHP1111" s="13"/>
      <c r="AHQ1111" s="13"/>
      <c r="AHR1111" s="13"/>
      <c r="AHS1111" s="13"/>
      <c r="AHT1111" s="13"/>
      <c r="AHU1111" s="13"/>
      <c r="AHV1111" s="13"/>
      <c r="AHW1111" s="13"/>
      <c r="AHX1111" s="13"/>
      <c r="AHY1111" s="13"/>
      <c r="AHZ1111" s="13"/>
      <c r="AIA1111" s="13"/>
      <c r="AIB1111" s="13"/>
      <c r="AIC1111" s="13"/>
      <c r="AID1111" s="13"/>
      <c r="AIE1111" s="13"/>
      <c r="AIF1111" s="13"/>
      <c r="AIG1111" s="13"/>
      <c r="AIH1111" s="13"/>
      <c r="AII1111" s="13"/>
      <c r="AIJ1111" s="13"/>
      <c r="AIK1111" s="13"/>
      <c r="AIL1111" s="13"/>
      <c r="AIM1111" s="13"/>
      <c r="AIN1111" s="13"/>
      <c r="AIO1111" s="13"/>
      <c r="AIP1111" s="13"/>
      <c r="AIQ1111" s="13"/>
      <c r="AIR1111" s="13"/>
      <c r="AIS1111" s="13"/>
      <c r="AIT1111" s="13"/>
      <c r="AIU1111" s="13"/>
      <c r="AIV1111" s="13"/>
      <c r="AIW1111" s="13"/>
      <c r="AIX1111" s="13"/>
      <c r="AIY1111" s="13"/>
      <c r="AIZ1111" s="13"/>
      <c r="AJA1111" s="13"/>
      <c r="AJB1111" s="13"/>
      <c r="AJC1111" s="13"/>
      <c r="AJD1111" s="13"/>
      <c r="AJE1111" s="13"/>
      <c r="AJF1111" s="13"/>
      <c r="AJG1111" s="13"/>
      <c r="AJH1111" s="13"/>
      <c r="AJI1111" s="13"/>
      <c r="AJJ1111" s="13"/>
      <c r="AJK1111" s="13"/>
      <c r="AJL1111" s="13"/>
      <c r="AJM1111" s="13"/>
      <c r="AJN1111" s="13"/>
      <c r="AJO1111" s="13"/>
      <c r="AJP1111" s="13"/>
      <c r="AJQ1111" s="13"/>
      <c r="AJR1111" s="13"/>
      <c r="AJS1111" s="13"/>
      <c r="AJT1111" s="13"/>
      <c r="AJU1111" s="13"/>
      <c r="AJV1111" s="13"/>
      <c r="AJW1111" s="13"/>
      <c r="AJX1111" s="13"/>
      <c r="AJY1111" s="13"/>
      <c r="AJZ1111" s="13"/>
      <c r="AKA1111" s="13"/>
      <c r="AKB1111" s="13"/>
      <c r="AKC1111" s="13"/>
      <c r="AKD1111" s="13"/>
      <c r="AKE1111" s="13"/>
      <c r="AKF1111" s="13"/>
      <c r="AKG1111" s="13"/>
      <c r="AKH1111" s="13"/>
      <c r="AKI1111" s="13"/>
      <c r="AKJ1111" s="13"/>
      <c r="AKK1111" s="13"/>
      <c r="AKL1111" s="13"/>
      <c r="AKM1111" s="13"/>
      <c r="AKN1111" s="13"/>
      <c r="AKO1111" s="13"/>
      <c r="AKP1111" s="13"/>
      <c r="AKQ1111" s="13"/>
      <c r="AKR1111" s="13"/>
      <c r="AKS1111" s="13"/>
      <c r="AKT1111" s="13"/>
      <c r="AKU1111" s="13"/>
      <c r="AKV1111" s="13"/>
      <c r="AKW1111" s="13"/>
      <c r="AKX1111" s="13"/>
      <c r="AKY1111" s="13"/>
      <c r="AKZ1111" s="13"/>
      <c r="ALA1111" s="13"/>
      <c r="ALB1111" s="13"/>
      <c r="ALC1111" s="13"/>
      <c r="ALD1111" s="13"/>
      <c r="ALE1111" s="13"/>
      <c r="ALF1111" s="13"/>
      <c r="ALG1111" s="13"/>
      <c r="ALH1111" s="13"/>
      <c r="ALI1111" s="13"/>
      <c r="ALJ1111" s="13"/>
      <c r="ALK1111" s="13"/>
      <c r="ALL1111" s="13"/>
      <c r="ALM1111" s="13"/>
      <c r="ALN1111" s="13"/>
      <c r="ALO1111" s="13"/>
      <c r="ALP1111" s="13"/>
      <c r="ALQ1111" s="13"/>
      <c r="ALR1111" s="13"/>
      <c r="ALS1111" s="13"/>
      <c r="ALT1111" s="13"/>
      <c r="ALU1111" s="13"/>
      <c r="ALV1111" s="13"/>
      <c r="ALW1111" s="13"/>
      <c r="ALX1111" s="13"/>
      <c r="ALY1111" s="13"/>
      <c r="ALZ1111" s="13"/>
      <c r="AMA1111" s="13"/>
      <c r="AMB1111" s="13"/>
      <c r="AMC1111" s="13"/>
      <c r="AMD1111" s="13"/>
      <c r="AME1111" s="13"/>
      <c r="AMF1111" s="13"/>
      <c r="AMG1111" s="13"/>
      <c r="AMH1111" s="13"/>
      <c r="AMI1111" s="13"/>
      <c r="AMJ1111" s="13"/>
      <c r="AMK1111" s="13"/>
      <c r="AML1111" s="13"/>
      <c r="AMM1111" s="13"/>
      <c r="AMN1111" s="13"/>
      <c r="AMO1111" s="13"/>
      <c r="AMP1111" s="13"/>
      <c r="AMQ1111" s="13"/>
      <c r="AMR1111" s="13"/>
      <c r="AMS1111" s="13"/>
      <c r="AMT1111" s="13"/>
      <c r="AMU1111" s="13"/>
      <c r="AMV1111" s="13"/>
      <c r="AMW1111" s="13"/>
      <c r="AMX1111" s="13"/>
      <c r="AMY1111" s="13"/>
      <c r="AMZ1111" s="13"/>
      <c r="ANA1111" s="13"/>
      <c r="ANB1111" s="13"/>
      <c r="ANC1111" s="13"/>
      <c r="AND1111" s="13"/>
      <c r="ANE1111" s="13"/>
      <c r="ANF1111" s="13"/>
      <c r="ANG1111" s="13"/>
      <c r="ANH1111" s="13"/>
      <c r="ANI1111" s="13"/>
      <c r="ANJ1111" s="13"/>
      <c r="ANK1111" s="13"/>
      <c r="ANL1111" s="13"/>
      <c r="ANM1111" s="13"/>
      <c r="ANN1111" s="13"/>
      <c r="ANO1111" s="13"/>
      <c r="ANP1111" s="13"/>
      <c r="ANQ1111" s="13"/>
      <c r="ANR1111" s="13"/>
      <c r="ANS1111" s="13"/>
      <c r="ANT1111" s="13"/>
      <c r="ANU1111" s="13"/>
      <c r="ANV1111" s="13"/>
      <c r="ANW1111" s="13"/>
      <c r="ANX1111" s="13"/>
      <c r="ANY1111" s="13"/>
      <c r="ANZ1111" s="13"/>
      <c r="AOA1111" s="13"/>
      <c r="AOB1111" s="13"/>
      <c r="AOC1111" s="13"/>
      <c r="AOD1111" s="13"/>
      <c r="AOE1111" s="13"/>
      <c r="AOF1111" s="13"/>
      <c r="AOG1111" s="13"/>
      <c r="AOH1111" s="13"/>
      <c r="AOI1111" s="13"/>
      <c r="AOJ1111" s="13"/>
      <c r="AOK1111" s="13"/>
      <c r="AOL1111" s="13"/>
      <c r="AOM1111" s="13"/>
      <c r="AON1111" s="13"/>
      <c r="AOO1111" s="13"/>
      <c r="AOP1111" s="13"/>
      <c r="AOQ1111" s="13"/>
      <c r="AOR1111" s="13"/>
      <c r="AOS1111" s="13"/>
      <c r="AOT1111" s="13"/>
      <c r="AOU1111" s="13"/>
      <c r="AOV1111" s="13"/>
      <c r="AOW1111" s="13"/>
      <c r="AOX1111" s="13"/>
      <c r="AOY1111" s="13"/>
      <c r="AOZ1111" s="13"/>
      <c r="APA1111" s="13"/>
      <c r="APB1111" s="13"/>
      <c r="APC1111" s="13"/>
      <c r="APD1111" s="13"/>
      <c r="APE1111" s="13"/>
      <c r="APF1111" s="13"/>
      <c r="APG1111" s="13"/>
      <c r="APH1111" s="13"/>
      <c r="API1111" s="13"/>
      <c r="APJ1111" s="13"/>
      <c r="APK1111" s="13"/>
      <c r="APL1111" s="13"/>
      <c r="APM1111" s="13"/>
      <c r="APN1111" s="13"/>
      <c r="APO1111" s="13"/>
      <c r="APP1111" s="13"/>
      <c r="APQ1111" s="13"/>
      <c r="APR1111" s="13"/>
      <c r="APS1111" s="13"/>
      <c r="APT1111" s="13"/>
      <c r="APU1111" s="13"/>
      <c r="APV1111" s="13"/>
      <c r="APW1111" s="13"/>
      <c r="APX1111" s="13"/>
      <c r="APY1111" s="13"/>
      <c r="APZ1111" s="13"/>
      <c r="AQA1111" s="13"/>
      <c r="AQB1111" s="13"/>
      <c r="AQC1111" s="13"/>
      <c r="AQD1111" s="13"/>
      <c r="AQE1111" s="13"/>
      <c r="AQF1111" s="13"/>
      <c r="AQG1111" s="13"/>
      <c r="AQH1111" s="13"/>
      <c r="AQI1111" s="13"/>
      <c r="AQJ1111" s="13"/>
      <c r="AQK1111" s="13"/>
      <c r="AQL1111" s="13"/>
      <c r="AQM1111" s="13"/>
      <c r="AQN1111" s="13"/>
      <c r="AQO1111" s="13"/>
      <c r="AQP1111" s="13"/>
      <c r="AQQ1111" s="13"/>
      <c r="AQR1111" s="13"/>
      <c r="AQS1111" s="13"/>
      <c r="AQT1111" s="13"/>
      <c r="AQU1111" s="13"/>
      <c r="AQV1111" s="13"/>
      <c r="AQW1111" s="13"/>
      <c r="AQX1111" s="13"/>
      <c r="AQY1111" s="13"/>
      <c r="AQZ1111" s="13"/>
      <c r="ARA1111" s="13"/>
      <c r="ARB1111" s="13"/>
      <c r="ARC1111" s="13"/>
      <c r="ARD1111" s="13"/>
      <c r="ARE1111" s="13"/>
      <c r="ARF1111" s="13"/>
      <c r="ARG1111" s="13"/>
      <c r="ARH1111" s="13"/>
      <c r="ARI1111" s="13"/>
      <c r="ARJ1111" s="13"/>
      <c r="ARK1111" s="13"/>
      <c r="ARL1111" s="13"/>
      <c r="ARM1111" s="13"/>
      <c r="ARN1111" s="13"/>
      <c r="ARO1111" s="13"/>
      <c r="ARP1111" s="13"/>
      <c r="ARQ1111" s="13"/>
      <c r="ARR1111" s="13"/>
      <c r="ARS1111" s="13"/>
      <c r="ART1111" s="13"/>
      <c r="ARU1111" s="13"/>
      <c r="ARV1111" s="13"/>
      <c r="ARW1111" s="13"/>
      <c r="ARX1111" s="13"/>
      <c r="ARY1111" s="13"/>
      <c r="ARZ1111" s="13"/>
      <c r="ASA1111" s="13"/>
      <c r="ASB1111" s="13"/>
      <c r="ASC1111" s="13"/>
      <c r="ASD1111" s="13"/>
      <c r="ASE1111" s="13"/>
      <c r="ASF1111" s="13"/>
      <c r="ASG1111" s="13"/>
      <c r="ASH1111" s="13"/>
      <c r="ASI1111" s="13"/>
      <c r="ASJ1111" s="13"/>
      <c r="ASK1111" s="13"/>
      <c r="ASL1111" s="13"/>
      <c r="ASM1111" s="13"/>
      <c r="ASN1111" s="13"/>
      <c r="ASO1111" s="13"/>
      <c r="ASP1111" s="13"/>
      <c r="ASQ1111" s="13"/>
      <c r="ASR1111" s="13"/>
      <c r="ASS1111" s="13"/>
      <c r="AST1111" s="13"/>
      <c r="ASU1111" s="13"/>
      <c r="ASV1111" s="13"/>
      <c r="ASW1111" s="13"/>
      <c r="ASX1111" s="13"/>
      <c r="ASY1111" s="13"/>
      <c r="ASZ1111" s="13"/>
      <c r="ATA1111" s="13"/>
      <c r="ATB1111" s="13"/>
      <c r="ATC1111" s="13"/>
      <c r="ATD1111" s="13"/>
      <c r="ATE1111" s="13"/>
      <c r="ATF1111" s="13"/>
      <c r="ATG1111" s="13"/>
      <c r="ATH1111" s="13"/>
      <c r="ATI1111" s="13"/>
      <c r="ATJ1111" s="13"/>
      <c r="ATK1111" s="13"/>
      <c r="ATL1111" s="13"/>
      <c r="ATM1111" s="13"/>
      <c r="ATN1111" s="13"/>
      <c r="ATO1111" s="13"/>
      <c r="ATP1111" s="13"/>
      <c r="ATQ1111" s="13"/>
      <c r="ATR1111" s="13"/>
      <c r="ATS1111" s="13"/>
      <c r="ATT1111" s="13"/>
      <c r="ATU1111" s="13"/>
      <c r="ATV1111" s="13"/>
      <c r="ATW1111" s="13"/>
      <c r="ATX1111" s="13"/>
      <c r="ATY1111" s="13"/>
      <c r="ATZ1111" s="13"/>
      <c r="AUA1111" s="13"/>
      <c r="AUB1111" s="13"/>
      <c r="AUC1111" s="13"/>
      <c r="AUD1111" s="13"/>
      <c r="AUE1111" s="13"/>
      <c r="AUF1111" s="13"/>
      <c r="AUG1111" s="13"/>
      <c r="AUH1111" s="13"/>
      <c r="AUI1111" s="13"/>
      <c r="AUJ1111" s="13"/>
      <c r="AUK1111" s="13"/>
      <c r="AUL1111" s="13"/>
      <c r="AUM1111" s="13"/>
      <c r="AUN1111" s="13"/>
      <c r="AUO1111" s="13"/>
      <c r="AUP1111" s="13"/>
      <c r="AUQ1111" s="13"/>
      <c r="AUR1111" s="13"/>
      <c r="AUS1111" s="13"/>
      <c r="AUT1111" s="13"/>
      <c r="AUU1111" s="13"/>
      <c r="AUV1111" s="13"/>
      <c r="AUW1111" s="13"/>
      <c r="AUX1111" s="13"/>
      <c r="AUY1111" s="13"/>
      <c r="AUZ1111" s="13"/>
      <c r="AVA1111" s="13"/>
      <c r="AVB1111" s="13"/>
      <c r="AVC1111" s="13"/>
      <c r="AVD1111" s="13"/>
      <c r="AVE1111" s="13"/>
      <c r="AVF1111" s="13"/>
      <c r="AVG1111" s="13"/>
      <c r="AVH1111" s="13"/>
      <c r="AVI1111" s="13"/>
      <c r="AVJ1111" s="13"/>
      <c r="AVK1111" s="13"/>
      <c r="AVL1111" s="13"/>
      <c r="AVM1111" s="13"/>
      <c r="AVN1111" s="13"/>
      <c r="AVO1111" s="13"/>
      <c r="AVP1111" s="13"/>
      <c r="AVQ1111" s="13"/>
      <c r="AVR1111" s="13"/>
      <c r="AVS1111" s="13"/>
      <c r="AVT1111" s="13"/>
      <c r="AVU1111" s="13"/>
      <c r="AVV1111" s="13"/>
      <c r="AVW1111" s="13"/>
      <c r="AVX1111" s="13"/>
      <c r="AVY1111" s="13"/>
      <c r="AVZ1111" s="13"/>
      <c r="AWA1111" s="13"/>
      <c r="AWB1111" s="13"/>
      <c r="AWC1111" s="13"/>
      <c r="AWD1111" s="13"/>
      <c r="AWE1111" s="13"/>
      <c r="AWF1111" s="13"/>
      <c r="AWG1111" s="13"/>
      <c r="AWH1111" s="13"/>
      <c r="AWI1111" s="13"/>
      <c r="AWJ1111" s="13"/>
      <c r="AWK1111" s="13"/>
      <c r="AWL1111" s="13"/>
      <c r="AWM1111" s="13"/>
      <c r="AWN1111" s="13"/>
      <c r="AWO1111" s="13"/>
      <c r="AWP1111" s="13"/>
      <c r="AWQ1111" s="13"/>
      <c r="AWR1111" s="13"/>
      <c r="AWS1111" s="13"/>
      <c r="AWT1111" s="13"/>
      <c r="AWU1111" s="13"/>
      <c r="AWV1111" s="13"/>
      <c r="AWW1111" s="13"/>
      <c r="AWX1111" s="13"/>
      <c r="AWY1111" s="13"/>
      <c r="AWZ1111" s="13"/>
      <c r="AXA1111" s="13"/>
      <c r="AXB1111" s="13"/>
      <c r="AXC1111" s="13"/>
      <c r="AXD1111" s="13"/>
      <c r="AXE1111" s="13"/>
      <c r="AXF1111" s="13"/>
      <c r="AXG1111" s="13"/>
      <c r="AXH1111" s="13"/>
      <c r="AXI1111" s="13"/>
      <c r="AXJ1111" s="13"/>
      <c r="AXK1111" s="13"/>
      <c r="AXL1111" s="13"/>
      <c r="AXM1111" s="13"/>
      <c r="AXN1111" s="13"/>
      <c r="AXO1111" s="13"/>
      <c r="AXP1111" s="13"/>
      <c r="AXQ1111" s="13"/>
      <c r="AXR1111" s="13"/>
      <c r="AXS1111" s="13"/>
      <c r="AXT1111" s="13"/>
      <c r="AXU1111" s="13"/>
      <c r="AXV1111" s="13"/>
      <c r="AXW1111" s="13"/>
      <c r="AXX1111" s="13"/>
      <c r="AXY1111" s="13"/>
      <c r="AXZ1111" s="13"/>
      <c r="AYA1111" s="13"/>
      <c r="AYB1111" s="13"/>
      <c r="AYC1111" s="13"/>
      <c r="AYD1111" s="13"/>
      <c r="AYE1111" s="13"/>
      <c r="AYF1111" s="13"/>
      <c r="AYG1111" s="13"/>
      <c r="AYH1111" s="13"/>
      <c r="AYI1111" s="13"/>
      <c r="AYJ1111" s="13"/>
      <c r="AYK1111" s="13"/>
      <c r="AYL1111" s="13"/>
      <c r="AYM1111" s="13"/>
      <c r="AYN1111" s="13"/>
      <c r="AYO1111" s="13"/>
      <c r="AYP1111" s="13"/>
      <c r="AYQ1111" s="13"/>
      <c r="AYR1111" s="13"/>
      <c r="AYS1111" s="13"/>
      <c r="AYT1111" s="13"/>
      <c r="AYU1111" s="13"/>
      <c r="AYV1111" s="13"/>
      <c r="AYW1111" s="13"/>
      <c r="AYX1111" s="13"/>
      <c r="AYY1111" s="13"/>
      <c r="AYZ1111" s="13"/>
      <c r="AZA1111" s="13"/>
      <c r="AZB1111" s="13"/>
      <c r="AZC1111" s="13"/>
      <c r="AZD1111" s="13"/>
      <c r="AZE1111" s="13"/>
      <c r="AZF1111" s="13"/>
      <c r="AZG1111" s="13"/>
      <c r="AZH1111" s="13"/>
      <c r="AZI1111" s="13"/>
      <c r="AZJ1111" s="13"/>
      <c r="AZK1111" s="13"/>
      <c r="AZL1111" s="13"/>
      <c r="AZM1111" s="13"/>
      <c r="AZN1111" s="13"/>
      <c r="AZO1111" s="13"/>
      <c r="AZP1111" s="13"/>
      <c r="AZQ1111" s="13"/>
      <c r="AZR1111" s="13"/>
      <c r="AZS1111" s="13"/>
      <c r="AZT1111" s="13"/>
      <c r="AZU1111" s="13"/>
      <c r="AZV1111" s="13"/>
      <c r="AZW1111" s="13"/>
      <c r="AZX1111" s="13"/>
      <c r="AZY1111" s="13"/>
      <c r="AZZ1111" s="13"/>
      <c r="BAA1111" s="13"/>
      <c r="BAB1111" s="13"/>
      <c r="BAC1111" s="13"/>
      <c r="BAD1111" s="13"/>
      <c r="BAE1111" s="13"/>
      <c r="BAF1111" s="13"/>
      <c r="BAG1111" s="13"/>
      <c r="BAH1111" s="13"/>
      <c r="BAI1111" s="13"/>
      <c r="BAJ1111" s="13"/>
      <c r="BAK1111" s="13"/>
      <c r="BAL1111" s="13"/>
      <c r="BAM1111" s="13"/>
      <c r="BAN1111" s="13"/>
      <c r="BAO1111" s="13"/>
      <c r="BAP1111" s="13"/>
      <c r="BAQ1111" s="13"/>
      <c r="BAR1111" s="13"/>
      <c r="BAS1111" s="13"/>
      <c r="BAT1111" s="13"/>
      <c r="BAU1111" s="13"/>
      <c r="BAV1111" s="13"/>
      <c r="BAW1111" s="13"/>
      <c r="BAX1111" s="13"/>
      <c r="BAY1111" s="13"/>
      <c r="BAZ1111" s="13"/>
      <c r="BBA1111" s="13"/>
      <c r="BBB1111" s="13"/>
      <c r="BBC1111" s="13"/>
      <c r="BBD1111" s="13"/>
      <c r="BBE1111" s="13"/>
      <c r="BBF1111" s="13"/>
      <c r="BBG1111" s="13"/>
      <c r="BBH1111" s="13"/>
      <c r="BBI1111" s="13"/>
      <c r="BBJ1111" s="13"/>
      <c r="BBK1111" s="13"/>
      <c r="BBL1111" s="13"/>
      <c r="BBM1111" s="13"/>
      <c r="BBN1111" s="13"/>
      <c r="BBO1111" s="13"/>
      <c r="BBP1111" s="13"/>
      <c r="BBQ1111" s="13"/>
      <c r="BBR1111" s="13"/>
      <c r="BBS1111" s="13"/>
      <c r="BBT1111" s="13"/>
      <c r="BBU1111" s="13"/>
      <c r="BBV1111" s="13"/>
      <c r="BBW1111" s="13"/>
      <c r="BBX1111" s="13"/>
      <c r="BBY1111" s="13"/>
      <c r="BBZ1111" s="13"/>
      <c r="BCA1111" s="13"/>
      <c r="BCB1111" s="13"/>
      <c r="BCC1111" s="13"/>
      <c r="BCD1111" s="13"/>
      <c r="BCE1111" s="13"/>
      <c r="BCF1111" s="13"/>
      <c r="BCG1111" s="13"/>
      <c r="BCH1111" s="13"/>
      <c r="BCI1111" s="13"/>
      <c r="BCJ1111" s="13"/>
      <c r="BCK1111" s="13"/>
      <c r="BCL1111" s="13"/>
      <c r="BCM1111" s="13"/>
      <c r="BCN1111" s="13"/>
      <c r="BCO1111" s="13"/>
      <c r="BCP1111" s="13"/>
      <c r="BCQ1111" s="13"/>
      <c r="BCR1111" s="13"/>
      <c r="BCS1111" s="13"/>
      <c r="BCT1111" s="13"/>
      <c r="BCU1111" s="13"/>
      <c r="BCV1111" s="13"/>
      <c r="BCW1111" s="13"/>
      <c r="BCX1111" s="13"/>
      <c r="BCY1111" s="13"/>
      <c r="BCZ1111" s="13"/>
      <c r="BDA1111" s="13"/>
      <c r="BDB1111" s="13"/>
      <c r="BDC1111" s="13"/>
      <c r="BDD1111" s="13"/>
      <c r="BDE1111" s="13"/>
      <c r="BDF1111" s="13"/>
      <c r="BDG1111" s="13"/>
      <c r="BDH1111" s="13"/>
      <c r="BDI1111" s="13"/>
      <c r="BDJ1111" s="13"/>
      <c r="BDK1111" s="13"/>
      <c r="BDL1111" s="13"/>
      <c r="BDM1111" s="13"/>
      <c r="BDN1111" s="13"/>
      <c r="BDO1111" s="13"/>
      <c r="BDP1111" s="13"/>
      <c r="BDQ1111" s="13"/>
      <c r="BDR1111" s="13"/>
      <c r="BDS1111" s="13"/>
      <c r="BDT1111" s="13"/>
      <c r="BDU1111" s="13"/>
      <c r="BDV1111" s="13"/>
      <c r="BDW1111" s="13"/>
      <c r="BDX1111" s="13"/>
      <c r="BDY1111" s="13"/>
      <c r="BDZ1111" s="13"/>
      <c r="BEA1111" s="13"/>
      <c r="BEB1111" s="13"/>
      <c r="BEC1111" s="13"/>
      <c r="BED1111" s="13"/>
      <c r="BEE1111" s="13"/>
      <c r="BEF1111" s="13"/>
      <c r="BEG1111" s="13"/>
      <c r="BEH1111" s="13"/>
      <c r="BEI1111" s="13"/>
      <c r="BEJ1111" s="13"/>
      <c r="BEK1111" s="13"/>
      <c r="BEL1111" s="13"/>
      <c r="BEM1111" s="13"/>
      <c r="BEN1111" s="13"/>
      <c r="BEO1111" s="13"/>
      <c r="BEP1111" s="13"/>
      <c r="BEQ1111" s="13"/>
      <c r="BER1111" s="13"/>
      <c r="BES1111" s="13"/>
      <c r="BET1111" s="13"/>
      <c r="BEU1111" s="13"/>
      <c r="BEV1111" s="13"/>
      <c r="BEW1111" s="13"/>
      <c r="BEX1111" s="13"/>
      <c r="BEY1111" s="13"/>
      <c r="BEZ1111" s="13"/>
      <c r="BFA1111" s="13"/>
      <c r="BFB1111" s="13"/>
      <c r="BFC1111" s="13"/>
      <c r="BFD1111" s="13"/>
      <c r="BFE1111" s="13"/>
      <c r="BFF1111" s="13"/>
      <c r="BFG1111" s="13"/>
      <c r="BFH1111" s="13"/>
      <c r="BFI1111" s="13"/>
      <c r="BFJ1111" s="13"/>
      <c r="BFK1111" s="13"/>
      <c r="BFL1111" s="13"/>
      <c r="BFM1111" s="13"/>
      <c r="BFN1111" s="13"/>
      <c r="BFO1111" s="13"/>
      <c r="BFP1111" s="13"/>
      <c r="BFQ1111" s="13"/>
      <c r="BFR1111" s="13"/>
      <c r="BFS1111" s="13"/>
      <c r="BFT1111" s="13"/>
      <c r="BFU1111" s="13"/>
      <c r="BFV1111" s="13"/>
      <c r="BFW1111" s="13"/>
      <c r="BFX1111" s="13"/>
      <c r="BFY1111" s="13"/>
      <c r="BFZ1111" s="13"/>
      <c r="BGA1111" s="13"/>
      <c r="BGB1111" s="13"/>
      <c r="BGC1111" s="13"/>
      <c r="BGD1111" s="13"/>
      <c r="BGE1111" s="13"/>
      <c r="BGF1111" s="13"/>
      <c r="BGG1111" s="13"/>
      <c r="BGH1111" s="13"/>
      <c r="BGI1111" s="13"/>
      <c r="BGJ1111" s="13"/>
      <c r="BGK1111" s="13"/>
      <c r="BGL1111" s="13"/>
      <c r="BGM1111" s="13"/>
      <c r="BGN1111" s="13"/>
      <c r="BGO1111" s="13"/>
      <c r="BGP1111" s="13"/>
      <c r="BGQ1111" s="13"/>
      <c r="BGR1111" s="13"/>
      <c r="BGS1111" s="13"/>
      <c r="BGT1111" s="13"/>
      <c r="BGU1111" s="13"/>
      <c r="BGV1111" s="13"/>
      <c r="BGW1111" s="13"/>
      <c r="BGX1111" s="13"/>
      <c r="BGY1111" s="13"/>
      <c r="BGZ1111" s="13"/>
      <c r="BHA1111" s="13"/>
      <c r="BHB1111" s="13"/>
      <c r="BHC1111" s="13"/>
      <c r="BHD1111" s="13"/>
      <c r="BHE1111" s="13"/>
      <c r="BHF1111" s="13"/>
      <c r="BHG1111" s="13"/>
      <c r="BHH1111" s="13"/>
      <c r="BHI1111" s="13"/>
      <c r="BHJ1111" s="13"/>
      <c r="BHK1111" s="13"/>
      <c r="BHL1111" s="13"/>
      <c r="BHM1111" s="13"/>
      <c r="BHN1111" s="13"/>
      <c r="BHO1111" s="13"/>
      <c r="BHP1111" s="13"/>
      <c r="BHQ1111" s="13"/>
      <c r="BHR1111" s="13"/>
      <c r="BHS1111" s="13"/>
      <c r="BHT1111" s="13"/>
      <c r="BHU1111" s="13"/>
      <c r="BHV1111" s="13"/>
      <c r="BHW1111" s="13"/>
      <c r="BHX1111" s="13"/>
      <c r="BHY1111" s="13"/>
      <c r="BHZ1111" s="13"/>
      <c r="BIA1111" s="13"/>
      <c r="BIB1111" s="13"/>
      <c r="BIC1111" s="13"/>
      <c r="BID1111" s="13"/>
      <c r="BIE1111" s="13"/>
      <c r="BIF1111" s="13"/>
      <c r="BIG1111" s="13"/>
      <c r="BIH1111" s="13"/>
      <c r="BII1111" s="13"/>
      <c r="BIJ1111" s="13"/>
      <c r="BIK1111" s="13"/>
      <c r="BIL1111" s="13"/>
      <c r="BIM1111" s="13"/>
      <c r="BIN1111" s="13"/>
      <c r="BIO1111" s="13"/>
      <c r="BIP1111" s="13"/>
      <c r="BIQ1111" s="13"/>
      <c r="BIR1111" s="13"/>
      <c r="BIS1111" s="13"/>
      <c r="BIT1111" s="13"/>
      <c r="BIU1111" s="13"/>
      <c r="BIV1111" s="13"/>
      <c r="BIW1111" s="13"/>
      <c r="BIX1111" s="13"/>
      <c r="BIY1111" s="13"/>
      <c r="BIZ1111" s="13"/>
      <c r="BJA1111" s="13"/>
      <c r="BJB1111" s="13"/>
      <c r="BJC1111" s="13"/>
      <c r="BJD1111" s="13"/>
      <c r="BJE1111" s="13"/>
      <c r="BJF1111" s="13"/>
      <c r="BJG1111" s="13"/>
      <c r="BJH1111" s="13"/>
      <c r="BJI1111" s="13"/>
      <c r="BJJ1111" s="13"/>
      <c r="BJK1111" s="13"/>
      <c r="BJL1111" s="13"/>
      <c r="BJM1111" s="13"/>
      <c r="BJN1111" s="13"/>
      <c r="BJO1111" s="13"/>
      <c r="BJP1111" s="13"/>
      <c r="BJQ1111" s="13"/>
      <c r="BJR1111" s="13"/>
      <c r="BJS1111" s="13"/>
      <c r="BJT1111" s="13"/>
      <c r="BJU1111" s="13"/>
      <c r="BJV1111" s="13"/>
      <c r="BJW1111" s="13"/>
      <c r="BJX1111" s="13"/>
      <c r="BJY1111" s="13"/>
      <c r="BJZ1111" s="13"/>
      <c r="BKA1111" s="13"/>
      <c r="BKB1111" s="13"/>
      <c r="BKC1111" s="13"/>
      <c r="BKD1111" s="13"/>
      <c r="BKE1111" s="13"/>
      <c r="BKF1111" s="13"/>
      <c r="BKG1111" s="13"/>
      <c r="BKH1111" s="13"/>
      <c r="BKI1111" s="13"/>
      <c r="BKJ1111" s="13"/>
      <c r="BKK1111" s="13"/>
      <c r="BKL1111" s="13"/>
      <c r="BKM1111" s="13"/>
      <c r="BKN1111" s="13"/>
      <c r="BKO1111" s="13"/>
      <c r="BKP1111" s="13"/>
      <c r="BKQ1111" s="13"/>
      <c r="BKR1111" s="13"/>
      <c r="BKS1111" s="13"/>
      <c r="BKT1111" s="13"/>
      <c r="BKU1111" s="13"/>
      <c r="BKV1111" s="13"/>
      <c r="BKW1111" s="13"/>
      <c r="BKX1111" s="13"/>
      <c r="BKY1111" s="13"/>
      <c r="BKZ1111" s="13"/>
      <c r="BLA1111" s="13"/>
      <c r="BLB1111" s="13"/>
      <c r="BLC1111" s="13"/>
      <c r="BLD1111" s="13"/>
      <c r="BLE1111" s="13"/>
      <c r="BLF1111" s="13"/>
      <c r="BLG1111" s="13"/>
      <c r="BLH1111" s="13"/>
      <c r="BLI1111" s="13"/>
      <c r="BLJ1111" s="13"/>
      <c r="BLK1111" s="13"/>
      <c r="BLL1111" s="13"/>
      <c r="BLM1111" s="13"/>
      <c r="BLN1111" s="13"/>
      <c r="BLO1111" s="13"/>
      <c r="BLP1111" s="13"/>
      <c r="BLQ1111" s="13"/>
      <c r="BLR1111" s="13"/>
      <c r="BLS1111" s="13"/>
      <c r="BLT1111" s="13"/>
      <c r="BLU1111" s="13"/>
      <c r="BLV1111" s="13"/>
      <c r="BLW1111" s="13"/>
      <c r="BLX1111" s="13"/>
      <c r="BLY1111" s="13"/>
      <c r="BLZ1111" s="13"/>
      <c r="BMA1111" s="13"/>
      <c r="BMB1111" s="13"/>
      <c r="BMC1111" s="13"/>
      <c r="BMD1111" s="13"/>
      <c r="BME1111" s="13"/>
      <c r="BMF1111" s="13"/>
      <c r="BMG1111" s="13"/>
      <c r="BMH1111" s="13"/>
      <c r="BMI1111" s="13"/>
      <c r="BMJ1111" s="13"/>
      <c r="BMK1111" s="13"/>
      <c r="BML1111" s="13"/>
      <c r="BMM1111" s="13"/>
      <c r="BMN1111" s="13"/>
      <c r="BMO1111" s="13"/>
      <c r="BMP1111" s="13"/>
      <c r="BMQ1111" s="13"/>
      <c r="BMR1111" s="13"/>
      <c r="BMS1111" s="13"/>
      <c r="BMT1111" s="13"/>
      <c r="BMU1111" s="13"/>
      <c r="BMV1111" s="13"/>
      <c r="BMW1111" s="13"/>
      <c r="BMX1111" s="13"/>
      <c r="BMY1111" s="13"/>
      <c r="BMZ1111" s="13"/>
      <c r="BNA1111" s="13"/>
      <c r="BNB1111" s="13"/>
      <c r="BNC1111" s="13"/>
      <c r="BND1111" s="13"/>
      <c r="BNE1111" s="13"/>
      <c r="BNF1111" s="13"/>
      <c r="BNG1111" s="13"/>
      <c r="BNH1111" s="13"/>
      <c r="BNI1111" s="13"/>
      <c r="BNJ1111" s="13"/>
      <c r="BNK1111" s="13"/>
      <c r="BNL1111" s="13"/>
      <c r="BNM1111" s="13"/>
      <c r="BNN1111" s="13"/>
      <c r="BNO1111" s="13"/>
      <c r="BNP1111" s="13"/>
      <c r="BNQ1111" s="13"/>
      <c r="BNR1111" s="13"/>
      <c r="BNS1111" s="13"/>
      <c r="BNT1111" s="13"/>
      <c r="BNU1111" s="13"/>
      <c r="BNV1111" s="13"/>
      <c r="BNW1111" s="13"/>
      <c r="BNX1111" s="13"/>
      <c r="BNY1111" s="13"/>
      <c r="BNZ1111" s="13"/>
      <c r="BOA1111" s="13"/>
      <c r="BOB1111" s="13"/>
      <c r="BOC1111" s="13"/>
      <c r="BOD1111" s="13"/>
      <c r="BOE1111" s="13"/>
      <c r="BOF1111" s="13"/>
      <c r="BOG1111" s="13"/>
      <c r="BOH1111" s="13"/>
      <c r="BOI1111" s="13"/>
      <c r="BOJ1111" s="13"/>
      <c r="BOK1111" s="13"/>
      <c r="BOL1111" s="13"/>
      <c r="BOM1111" s="13"/>
      <c r="BON1111" s="13"/>
      <c r="BOO1111" s="13"/>
      <c r="BOP1111" s="13"/>
      <c r="BOQ1111" s="13"/>
      <c r="BOR1111" s="13"/>
      <c r="BOS1111" s="13"/>
      <c r="BOT1111" s="13"/>
      <c r="BOU1111" s="13"/>
      <c r="BOV1111" s="13"/>
      <c r="BOW1111" s="13"/>
      <c r="BOX1111" s="13"/>
      <c r="BOY1111" s="13"/>
      <c r="BOZ1111" s="13"/>
      <c r="BPA1111" s="13"/>
      <c r="BPB1111" s="13"/>
      <c r="BPC1111" s="13"/>
      <c r="BPD1111" s="13"/>
      <c r="BPE1111" s="13"/>
      <c r="BPF1111" s="13"/>
      <c r="BPG1111" s="13"/>
      <c r="BPH1111" s="13"/>
      <c r="BPI1111" s="13"/>
      <c r="BPJ1111" s="13"/>
      <c r="BPK1111" s="13"/>
      <c r="BPL1111" s="13"/>
      <c r="BPM1111" s="13"/>
      <c r="BPN1111" s="13"/>
      <c r="BPO1111" s="13"/>
      <c r="BPP1111" s="13"/>
      <c r="BPQ1111" s="13"/>
      <c r="BPR1111" s="13"/>
      <c r="BPS1111" s="13"/>
      <c r="BPT1111" s="13"/>
      <c r="BPU1111" s="13"/>
      <c r="BPV1111" s="13"/>
      <c r="BPW1111" s="13"/>
      <c r="BPX1111" s="13"/>
      <c r="BPY1111" s="13"/>
      <c r="BPZ1111" s="13"/>
      <c r="BQA1111" s="13"/>
      <c r="BQB1111" s="13"/>
      <c r="BQC1111" s="13"/>
      <c r="BQD1111" s="13"/>
      <c r="BQE1111" s="13"/>
      <c r="BQF1111" s="13"/>
      <c r="BQG1111" s="13"/>
      <c r="BQH1111" s="13"/>
      <c r="BQI1111" s="13"/>
      <c r="BQJ1111" s="13"/>
      <c r="BQK1111" s="13"/>
      <c r="BQL1111" s="13"/>
      <c r="BQM1111" s="13"/>
      <c r="BQN1111" s="13"/>
      <c r="BQO1111" s="13"/>
      <c r="BQP1111" s="13"/>
      <c r="BQQ1111" s="13"/>
      <c r="BQR1111" s="13"/>
      <c r="BQS1111" s="13"/>
      <c r="BQT1111" s="13"/>
      <c r="BQU1111" s="13"/>
      <c r="BQV1111" s="13"/>
      <c r="BQW1111" s="13"/>
      <c r="BQX1111" s="13"/>
      <c r="BQY1111" s="13"/>
      <c r="BQZ1111" s="13"/>
      <c r="BRA1111" s="13"/>
      <c r="BRB1111" s="13"/>
      <c r="BRC1111" s="13"/>
      <c r="BRD1111" s="13"/>
      <c r="BRE1111" s="13"/>
      <c r="BRF1111" s="13"/>
      <c r="BRG1111" s="13"/>
      <c r="BRH1111" s="13"/>
      <c r="BRI1111" s="13"/>
      <c r="BRJ1111" s="13"/>
      <c r="BRK1111" s="13"/>
      <c r="BRL1111" s="13"/>
      <c r="BRM1111" s="13"/>
      <c r="BRN1111" s="13"/>
      <c r="BRO1111" s="13"/>
      <c r="BRP1111" s="13"/>
      <c r="BRQ1111" s="13"/>
      <c r="BRR1111" s="13"/>
      <c r="BRS1111" s="13"/>
      <c r="BRT1111" s="13"/>
      <c r="BRU1111" s="13"/>
      <c r="BRV1111" s="13"/>
      <c r="BRW1111" s="13"/>
      <c r="BRX1111" s="13"/>
      <c r="BRY1111" s="13"/>
      <c r="BRZ1111" s="13"/>
      <c r="BSA1111" s="13"/>
      <c r="BSB1111" s="13"/>
      <c r="BSC1111" s="13"/>
      <c r="BSD1111" s="13"/>
      <c r="BSE1111" s="13"/>
      <c r="BSF1111" s="13"/>
      <c r="BSG1111" s="13"/>
      <c r="BSH1111" s="13"/>
      <c r="BSI1111" s="13"/>
      <c r="BSJ1111" s="13"/>
      <c r="BSK1111" s="13"/>
      <c r="BSL1111" s="13"/>
      <c r="BSM1111" s="13"/>
      <c r="BSN1111" s="13"/>
      <c r="BSO1111" s="13"/>
      <c r="BSP1111" s="13"/>
      <c r="BSQ1111" s="13"/>
      <c r="BSR1111" s="13"/>
      <c r="BSS1111" s="13"/>
      <c r="BST1111" s="13"/>
      <c r="BSU1111" s="13"/>
      <c r="BSV1111" s="13"/>
      <c r="BSW1111" s="13"/>
      <c r="BSX1111" s="13"/>
      <c r="BSY1111" s="13"/>
      <c r="BSZ1111" s="13"/>
      <c r="BTA1111" s="13"/>
    </row>
    <row r="1112" spans="1:1873" s="210" customFormat="1" ht="14.25" x14ac:dyDescent="0.25">
      <c r="A1112" s="411" t="s">
        <v>932</v>
      </c>
      <c r="B1112" s="574" t="s">
        <v>1169</v>
      </c>
      <c r="C1112" s="411" t="s">
        <v>1131</v>
      </c>
      <c r="D1112" s="411" t="s">
        <v>619</v>
      </c>
      <c r="E1112" s="571" t="s">
        <v>1530</v>
      </c>
      <c r="F1112" s="571">
        <v>1</v>
      </c>
      <c r="G1112" s="411">
        <v>4</v>
      </c>
      <c r="H1112" s="577">
        <v>4</v>
      </c>
      <c r="I1112" s="411" t="s">
        <v>955</v>
      </c>
      <c r="J1112" s="411">
        <v>1987</v>
      </c>
      <c r="K1112" s="411" t="s">
        <v>1211</v>
      </c>
      <c r="L1112" s="411">
        <v>1990</v>
      </c>
      <c r="M1112" s="573">
        <v>-9999</v>
      </c>
      <c r="N1112" s="411">
        <v>-9999</v>
      </c>
      <c r="O1112" s="18"/>
      <c r="P1112" s="573">
        <v>-9999</v>
      </c>
      <c r="Q1112" s="411">
        <v>-9999</v>
      </c>
      <c r="R1112" s="573"/>
      <c r="S1112" s="411"/>
      <c r="T1112" s="573">
        <v>31.2</v>
      </c>
      <c r="U1112" s="411">
        <v>-9999</v>
      </c>
      <c r="V1112" s="411"/>
      <c r="W1112" s="573">
        <v>-9999</v>
      </c>
      <c r="X1112" s="411">
        <v>-9999</v>
      </c>
      <c r="Y1112" s="411"/>
      <c r="Z1112" s="411" t="s">
        <v>1220</v>
      </c>
      <c r="AA1112" s="582">
        <v>2222</v>
      </c>
      <c r="AB1112" s="573">
        <v>1</v>
      </c>
      <c r="AC1112" s="411">
        <v>-9999</v>
      </c>
      <c r="AD1112" s="411" t="s">
        <v>1237</v>
      </c>
      <c r="AE1112" s="411" t="s">
        <v>1955</v>
      </c>
      <c r="AF1112" s="411">
        <v>3</v>
      </c>
      <c r="AG1112" s="411">
        <v>2</v>
      </c>
      <c r="AH1112" s="411" t="s">
        <v>623</v>
      </c>
      <c r="AI1112" s="411" t="s">
        <v>834</v>
      </c>
      <c r="AJ1112" s="411" t="s">
        <v>1235</v>
      </c>
      <c r="AK1112" s="411" t="s">
        <v>1236</v>
      </c>
      <c r="AL1112" s="411">
        <v>-9999</v>
      </c>
      <c r="AM1112" s="411">
        <v>-9999</v>
      </c>
      <c r="AN1112" s="411" t="s">
        <v>631</v>
      </c>
      <c r="AO1112" s="411">
        <v>-9999</v>
      </c>
      <c r="AP1112" s="411">
        <v>-9999</v>
      </c>
      <c r="AQ1112" s="411" t="s">
        <v>626</v>
      </c>
      <c r="AR1112" s="411">
        <v>500</v>
      </c>
      <c r="AS1112" s="411" t="s">
        <v>1111</v>
      </c>
      <c r="AT1112" s="411" t="s">
        <v>688</v>
      </c>
      <c r="AU1112" s="411">
        <v>0</v>
      </c>
      <c r="AV1112" s="411">
        <v>-9999</v>
      </c>
      <c r="AW1112" s="411">
        <v>-9999</v>
      </c>
      <c r="AX1112" s="411">
        <v>0</v>
      </c>
      <c r="AY1112" s="411">
        <v>-9999</v>
      </c>
      <c r="AZ1112" s="411">
        <v>-9999</v>
      </c>
      <c r="BA1112" s="411">
        <v>-9999</v>
      </c>
      <c r="BB1112" s="411" t="s">
        <v>626</v>
      </c>
      <c r="BC1112" s="411" t="s">
        <v>881</v>
      </c>
      <c r="BD1112" s="411" t="s">
        <v>1229</v>
      </c>
      <c r="BE1112" s="411" t="s">
        <v>1231</v>
      </c>
      <c r="BF1112" s="411" t="s">
        <v>1230</v>
      </c>
      <c r="BG1112" s="411" t="s">
        <v>1232</v>
      </c>
      <c r="BH1112" s="411" t="s">
        <v>1233</v>
      </c>
      <c r="BI1112" s="411" t="s">
        <v>1234</v>
      </c>
      <c r="BJ1112" s="585">
        <v>23</v>
      </c>
      <c r="BK1112" s="411">
        <v>-9999</v>
      </c>
      <c r="BL1112" s="411">
        <v>14.4</v>
      </c>
      <c r="BM1112" s="411">
        <v>-9999</v>
      </c>
      <c r="BN1112" s="411">
        <v>4.5999999999999996</v>
      </c>
      <c r="BO1112" s="411">
        <v>-9999</v>
      </c>
      <c r="BP1112" s="411">
        <v>-9999</v>
      </c>
      <c r="BQ1112" s="411">
        <v>-9999</v>
      </c>
      <c r="BR1112" s="411">
        <v>-9999</v>
      </c>
      <c r="BS1112" s="583">
        <f t="shared" si="118"/>
        <v>397.1508</v>
      </c>
      <c r="BT1112" s="585">
        <v>27.8</v>
      </c>
      <c r="BU1112" s="411">
        <v>-9999</v>
      </c>
      <c r="BV1112" s="411">
        <v>-9999</v>
      </c>
      <c r="BW1112" s="411"/>
      <c r="BX1112" s="411">
        <v>-9999</v>
      </c>
      <c r="BY1112" s="411">
        <v>-9999</v>
      </c>
      <c r="BZ1112" s="411">
        <v>-9999</v>
      </c>
      <c r="CA1112" s="578" t="s">
        <v>524</v>
      </c>
      <c r="CB1112" s="579" t="s">
        <v>0</v>
      </c>
      <c r="CC1112" s="571">
        <v>1</v>
      </c>
      <c r="CD1112" s="411" t="s">
        <v>1597</v>
      </c>
      <c r="CE1112" s="393">
        <v>31.2</v>
      </c>
      <c r="CF1112" s="99">
        <v>-9999</v>
      </c>
      <c r="CG1112" s="209">
        <v>4</v>
      </c>
      <c r="CH1112" s="436" t="s">
        <v>1757</v>
      </c>
      <c r="CI1112" s="13"/>
      <c r="CJ1112" s="13"/>
      <c r="CK1112" s="13"/>
      <c r="CL1112" s="13"/>
      <c r="CM1112" s="13"/>
      <c r="CN1112" s="13"/>
      <c r="CO1112" s="13"/>
      <c r="CP1112" s="13"/>
      <c r="CQ1112" s="13"/>
      <c r="CR1112" s="13"/>
      <c r="CS1112" s="13"/>
      <c r="CT1112" s="13"/>
      <c r="CU1112" s="13"/>
      <c r="CV1112" s="13"/>
      <c r="CW1112" s="13"/>
      <c r="CX1112" s="13"/>
      <c r="CY1112" s="13"/>
      <c r="CZ1112" s="13"/>
      <c r="DA1112" s="13"/>
      <c r="DB1112" s="13"/>
      <c r="DC1112" s="13"/>
      <c r="DD1112" s="13"/>
      <c r="DE1112" s="13"/>
      <c r="DF1112" s="13"/>
      <c r="DG1112" s="13"/>
      <c r="DH1112" s="13"/>
      <c r="DI1112" s="13"/>
      <c r="DJ1112" s="13"/>
      <c r="DK1112" s="13"/>
      <c r="DL1112" s="13"/>
      <c r="DM1112" s="13"/>
      <c r="DN1112" s="13"/>
      <c r="DO1112" s="13"/>
      <c r="DP1112" s="13"/>
      <c r="DQ1112" s="13"/>
      <c r="DR1112" s="13"/>
      <c r="DS1112" s="13"/>
      <c r="DT1112" s="13"/>
      <c r="DU1112" s="13"/>
      <c r="DV1112" s="13"/>
      <c r="DW1112" s="13"/>
      <c r="DX1112" s="13"/>
      <c r="DY1112" s="13"/>
      <c r="DZ1112" s="13"/>
      <c r="EA1112" s="13"/>
      <c r="EB1112" s="13"/>
      <c r="EC1112" s="13"/>
      <c r="ED1112" s="13"/>
      <c r="EE1112" s="13"/>
      <c r="EF1112" s="13"/>
      <c r="EG1112" s="13"/>
      <c r="EH1112" s="13"/>
      <c r="EI1112" s="13"/>
      <c r="EJ1112" s="13"/>
      <c r="EK1112" s="13"/>
      <c r="EL1112" s="13"/>
      <c r="EM1112" s="13"/>
      <c r="EN1112" s="13"/>
      <c r="EO1112" s="13"/>
      <c r="EP1112" s="13"/>
      <c r="EQ1112" s="13"/>
      <c r="ER1112" s="13"/>
      <c r="ES1112" s="13"/>
      <c r="ET1112" s="13"/>
      <c r="EU1112" s="13"/>
      <c r="EV1112" s="13"/>
      <c r="EW1112" s="13"/>
      <c r="EX1112" s="13"/>
      <c r="EY1112" s="13"/>
      <c r="EZ1112" s="13"/>
      <c r="FA1112" s="13"/>
      <c r="FB1112" s="13"/>
      <c r="FC1112" s="13"/>
      <c r="FD1112" s="13"/>
      <c r="FE1112" s="13"/>
      <c r="FF1112" s="13"/>
      <c r="FG1112" s="13"/>
      <c r="FH1112" s="13"/>
      <c r="FI1112" s="13"/>
      <c r="FJ1112" s="13"/>
      <c r="FK1112" s="13"/>
      <c r="FL1112" s="13"/>
      <c r="FM1112" s="13"/>
      <c r="FN1112" s="13"/>
      <c r="FO1112" s="13"/>
      <c r="FP1112" s="13"/>
      <c r="FQ1112" s="13"/>
      <c r="FR1112" s="13"/>
      <c r="FS1112" s="13"/>
      <c r="FT1112" s="13"/>
      <c r="FU1112" s="13"/>
      <c r="FV1112" s="13"/>
      <c r="FW1112" s="13"/>
      <c r="FX1112" s="13"/>
      <c r="FY1112" s="13"/>
      <c r="FZ1112" s="13"/>
      <c r="GA1112" s="13"/>
      <c r="GB1112" s="13"/>
      <c r="GC1112" s="13"/>
      <c r="GD1112" s="13"/>
      <c r="GE1112" s="13"/>
      <c r="GF1112" s="13"/>
      <c r="GG1112" s="13"/>
      <c r="GH1112" s="13"/>
      <c r="GI1112" s="13"/>
      <c r="GJ1112" s="13"/>
      <c r="GK1112" s="13"/>
      <c r="GL1112" s="13"/>
      <c r="GM1112" s="13"/>
      <c r="GN1112" s="13"/>
      <c r="GO1112" s="13"/>
      <c r="GP1112" s="13"/>
      <c r="GQ1112" s="13"/>
      <c r="GR1112" s="13"/>
      <c r="GS1112" s="13"/>
      <c r="GT1112" s="13"/>
      <c r="GU1112" s="13"/>
      <c r="GV1112" s="13"/>
      <c r="GW1112" s="13"/>
      <c r="GX1112" s="13"/>
      <c r="GY1112" s="13"/>
      <c r="GZ1112" s="13"/>
      <c r="HA1112" s="13"/>
      <c r="HB1112" s="13"/>
      <c r="HC1112" s="13"/>
      <c r="HD1112" s="13"/>
      <c r="HE1112" s="13"/>
      <c r="HF1112" s="13"/>
      <c r="HG1112" s="13"/>
      <c r="HH1112" s="13"/>
      <c r="HI1112" s="13"/>
      <c r="HJ1112" s="13"/>
      <c r="HK1112" s="13"/>
      <c r="HL1112" s="13"/>
      <c r="HM1112" s="13"/>
      <c r="HN1112" s="13"/>
      <c r="HO1112" s="13"/>
      <c r="HP1112" s="13"/>
      <c r="HQ1112" s="13"/>
      <c r="HR1112" s="13"/>
      <c r="HS1112" s="13"/>
      <c r="HT1112" s="13"/>
      <c r="HU1112" s="13"/>
      <c r="HV1112" s="13"/>
      <c r="HW1112" s="13"/>
      <c r="HX1112" s="13"/>
      <c r="HY1112" s="13"/>
      <c r="HZ1112" s="13"/>
      <c r="IA1112" s="13"/>
      <c r="IB1112" s="13"/>
      <c r="IC1112" s="13"/>
      <c r="ID1112" s="13"/>
      <c r="IE1112" s="13"/>
      <c r="IF1112" s="13"/>
      <c r="IG1112" s="13"/>
      <c r="IH1112" s="13"/>
      <c r="II1112" s="13"/>
      <c r="IJ1112" s="13"/>
      <c r="IK1112" s="13"/>
      <c r="IL1112" s="13"/>
      <c r="IM1112" s="13"/>
      <c r="IN1112" s="13"/>
      <c r="IO1112" s="13"/>
      <c r="IP1112" s="13"/>
      <c r="IQ1112" s="13"/>
      <c r="IR1112" s="13"/>
      <c r="IS1112" s="13"/>
      <c r="IT1112" s="13"/>
      <c r="IU1112" s="13"/>
      <c r="IV1112" s="13"/>
      <c r="IW1112" s="13"/>
      <c r="IX1112" s="13"/>
      <c r="IY1112" s="13"/>
      <c r="IZ1112" s="13"/>
      <c r="JA1112" s="13"/>
      <c r="JB1112" s="13"/>
      <c r="JC1112" s="13"/>
      <c r="JD1112" s="13"/>
      <c r="JE1112" s="13"/>
      <c r="JF1112" s="13"/>
      <c r="JG1112" s="13"/>
      <c r="JH1112" s="13"/>
      <c r="JI1112" s="13"/>
      <c r="JJ1112" s="13"/>
      <c r="JK1112" s="13"/>
      <c r="JL1112" s="13"/>
      <c r="JM1112" s="13"/>
      <c r="JN1112" s="13"/>
      <c r="JO1112" s="13"/>
      <c r="JP1112" s="13"/>
      <c r="JQ1112" s="13"/>
      <c r="JR1112" s="13"/>
      <c r="JS1112" s="13"/>
      <c r="JT1112" s="13"/>
      <c r="JU1112" s="13"/>
      <c r="JV1112" s="13"/>
      <c r="JW1112" s="13"/>
      <c r="JX1112" s="13"/>
      <c r="JY1112" s="13"/>
      <c r="JZ1112" s="13"/>
      <c r="KA1112" s="13"/>
      <c r="KB1112" s="13"/>
      <c r="KC1112" s="13"/>
      <c r="KD1112" s="13"/>
      <c r="KE1112" s="13"/>
      <c r="KF1112" s="13"/>
      <c r="KG1112" s="13"/>
      <c r="KH1112" s="13"/>
      <c r="KI1112" s="13"/>
      <c r="KJ1112" s="13"/>
      <c r="KK1112" s="13"/>
      <c r="KL1112" s="13"/>
      <c r="KM1112" s="13"/>
      <c r="KN1112" s="13"/>
      <c r="KO1112" s="13"/>
      <c r="KP1112" s="13"/>
      <c r="KQ1112" s="13"/>
      <c r="KR1112" s="13"/>
      <c r="KS1112" s="13"/>
      <c r="KT1112" s="13"/>
      <c r="KU1112" s="13"/>
      <c r="KV1112" s="13"/>
      <c r="KW1112" s="13"/>
      <c r="KX1112" s="13"/>
      <c r="KY1112" s="13"/>
      <c r="KZ1112" s="13"/>
      <c r="LA1112" s="13"/>
      <c r="LB1112" s="13"/>
      <c r="LC1112" s="13"/>
      <c r="LD1112" s="13"/>
      <c r="LE1112" s="13"/>
      <c r="LF1112" s="13"/>
      <c r="LG1112" s="13"/>
      <c r="LH1112" s="13"/>
      <c r="LI1112" s="13"/>
      <c r="LJ1112" s="13"/>
      <c r="LK1112" s="13"/>
      <c r="LL1112" s="13"/>
      <c r="LM1112" s="13"/>
      <c r="LN1112" s="13"/>
      <c r="LO1112" s="13"/>
      <c r="LP1112" s="13"/>
      <c r="LQ1112" s="13"/>
      <c r="LR1112" s="13"/>
      <c r="LS1112" s="13"/>
      <c r="LT1112" s="13"/>
      <c r="LU1112" s="13"/>
      <c r="LV1112" s="13"/>
      <c r="LW1112" s="13"/>
      <c r="LX1112" s="13"/>
      <c r="LY1112" s="13"/>
      <c r="LZ1112" s="13"/>
      <c r="MA1112" s="13"/>
      <c r="MB1112" s="13"/>
      <c r="MC1112" s="13"/>
      <c r="MD1112" s="13"/>
      <c r="ME1112" s="13"/>
      <c r="MF1112" s="13"/>
      <c r="MG1112" s="13"/>
      <c r="MH1112" s="13"/>
      <c r="MI1112" s="13"/>
      <c r="MJ1112" s="13"/>
      <c r="MK1112" s="13"/>
      <c r="ML1112" s="13"/>
      <c r="MM1112" s="13"/>
      <c r="MN1112" s="13"/>
      <c r="MO1112" s="13"/>
      <c r="MP1112" s="13"/>
      <c r="MQ1112" s="13"/>
      <c r="MR1112" s="13"/>
      <c r="MS1112" s="13"/>
      <c r="MT1112" s="13"/>
      <c r="MU1112" s="13"/>
      <c r="MV1112" s="13"/>
      <c r="MW1112" s="13"/>
      <c r="MX1112" s="13"/>
      <c r="MY1112" s="13"/>
      <c r="MZ1112" s="13"/>
      <c r="NA1112" s="13"/>
      <c r="NB1112" s="13"/>
      <c r="NC1112" s="13"/>
      <c r="ND1112" s="13"/>
      <c r="NE1112" s="13"/>
      <c r="NF1112" s="13"/>
      <c r="NG1112" s="13"/>
      <c r="NH1112" s="13"/>
      <c r="NI1112" s="13"/>
      <c r="NJ1112" s="13"/>
      <c r="NK1112" s="13"/>
      <c r="NL1112" s="13"/>
      <c r="NM1112" s="13"/>
      <c r="NN1112" s="13"/>
      <c r="NO1112" s="13"/>
      <c r="NP1112" s="13"/>
      <c r="NQ1112" s="13"/>
      <c r="NR1112" s="13"/>
      <c r="NS1112" s="13"/>
      <c r="NT1112" s="13"/>
      <c r="NU1112" s="13"/>
      <c r="NV1112" s="13"/>
      <c r="NW1112" s="13"/>
      <c r="NX1112" s="13"/>
      <c r="NY1112" s="13"/>
      <c r="NZ1112" s="13"/>
      <c r="OA1112" s="13"/>
      <c r="OB1112" s="13"/>
      <c r="OC1112" s="13"/>
      <c r="OD1112" s="13"/>
      <c r="OE1112" s="13"/>
      <c r="OF1112" s="13"/>
      <c r="OG1112" s="13"/>
      <c r="OH1112" s="13"/>
      <c r="OI1112" s="13"/>
      <c r="OJ1112" s="13"/>
      <c r="OK1112" s="13"/>
      <c r="OL1112" s="13"/>
      <c r="OM1112" s="13"/>
      <c r="ON1112" s="13"/>
      <c r="OO1112" s="13"/>
      <c r="OP1112" s="13"/>
      <c r="OQ1112" s="13"/>
      <c r="OR1112" s="13"/>
      <c r="OS1112" s="13"/>
      <c r="OT1112" s="13"/>
      <c r="OU1112" s="13"/>
      <c r="OV1112" s="13"/>
      <c r="OW1112" s="13"/>
      <c r="OX1112" s="13"/>
      <c r="OY1112" s="13"/>
      <c r="OZ1112" s="13"/>
      <c r="PA1112" s="13"/>
      <c r="PB1112" s="13"/>
      <c r="PC1112" s="13"/>
      <c r="PD1112" s="13"/>
      <c r="PE1112" s="13"/>
      <c r="PF1112" s="13"/>
      <c r="PG1112" s="13"/>
      <c r="PH1112" s="13"/>
      <c r="PI1112" s="13"/>
      <c r="PJ1112" s="13"/>
      <c r="PK1112" s="13"/>
      <c r="PL1112" s="13"/>
      <c r="PM1112" s="13"/>
      <c r="PN1112" s="13"/>
      <c r="PO1112" s="13"/>
      <c r="PP1112" s="13"/>
      <c r="PQ1112" s="13"/>
      <c r="PR1112" s="13"/>
      <c r="PS1112" s="13"/>
      <c r="PT1112" s="13"/>
      <c r="PU1112" s="13"/>
      <c r="PV1112" s="13"/>
      <c r="PW1112" s="13"/>
      <c r="PX1112" s="13"/>
      <c r="PY1112" s="13"/>
      <c r="PZ1112" s="13"/>
      <c r="QA1112" s="13"/>
      <c r="QB1112" s="13"/>
      <c r="QC1112" s="13"/>
      <c r="QD1112" s="13"/>
      <c r="QE1112" s="13"/>
      <c r="QF1112" s="13"/>
      <c r="QG1112" s="13"/>
      <c r="QH1112" s="13"/>
      <c r="QI1112" s="13"/>
      <c r="QJ1112" s="13"/>
      <c r="QK1112" s="13"/>
      <c r="QL1112" s="13"/>
      <c r="QM1112" s="13"/>
      <c r="QN1112" s="13"/>
      <c r="QO1112" s="13"/>
      <c r="QP1112" s="13"/>
      <c r="QQ1112" s="13"/>
      <c r="QR1112" s="13"/>
      <c r="QS1112" s="13"/>
      <c r="QT1112" s="13"/>
      <c r="QU1112" s="13"/>
      <c r="QV1112" s="13"/>
      <c r="QW1112" s="13"/>
      <c r="QX1112" s="13"/>
      <c r="QY1112" s="13"/>
      <c r="QZ1112" s="13"/>
      <c r="RA1112" s="13"/>
      <c r="RB1112" s="13"/>
      <c r="RC1112" s="13"/>
      <c r="RD1112" s="13"/>
      <c r="RE1112" s="13"/>
      <c r="RF1112" s="13"/>
      <c r="RG1112" s="13"/>
      <c r="RH1112" s="13"/>
      <c r="RI1112" s="13"/>
      <c r="RJ1112" s="13"/>
      <c r="RK1112" s="13"/>
      <c r="RL1112" s="13"/>
      <c r="RM1112" s="13"/>
      <c r="RN1112" s="13"/>
      <c r="RO1112" s="13"/>
      <c r="RP1112" s="13"/>
      <c r="RQ1112" s="13"/>
      <c r="RR1112" s="13"/>
      <c r="RS1112" s="13"/>
      <c r="RT1112" s="13"/>
      <c r="RU1112" s="13"/>
      <c r="RV1112" s="13"/>
      <c r="RW1112" s="13"/>
      <c r="RX1112" s="13"/>
      <c r="RY1112" s="13"/>
      <c r="RZ1112" s="13"/>
      <c r="SA1112" s="13"/>
      <c r="SB1112" s="13"/>
      <c r="SC1112" s="13"/>
      <c r="SD1112" s="13"/>
      <c r="SE1112" s="13"/>
      <c r="SF1112" s="13"/>
      <c r="SG1112" s="13"/>
      <c r="SH1112" s="13"/>
      <c r="SI1112" s="13"/>
      <c r="SJ1112" s="13"/>
      <c r="SK1112" s="13"/>
      <c r="SL1112" s="13"/>
      <c r="SM1112" s="13"/>
      <c r="SN1112" s="13"/>
      <c r="SO1112" s="13"/>
      <c r="SP1112" s="13"/>
      <c r="SQ1112" s="13"/>
      <c r="SR1112" s="13"/>
      <c r="SS1112" s="13"/>
      <c r="ST1112" s="13"/>
      <c r="SU1112" s="13"/>
      <c r="SV1112" s="13"/>
      <c r="SW1112" s="13"/>
      <c r="SX1112" s="13"/>
      <c r="SY1112" s="13"/>
      <c r="SZ1112" s="13"/>
      <c r="TA1112" s="13"/>
      <c r="TB1112" s="13"/>
      <c r="TC1112" s="13"/>
      <c r="TD1112" s="13"/>
      <c r="TE1112" s="13"/>
      <c r="TF1112" s="13"/>
      <c r="TG1112" s="13"/>
      <c r="TH1112" s="13"/>
      <c r="TI1112" s="13"/>
      <c r="TJ1112" s="13"/>
      <c r="TK1112" s="13"/>
      <c r="TL1112" s="13"/>
      <c r="TM1112" s="13"/>
      <c r="TN1112" s="13"/>
      <c r="TO1112" s="13"/>
      <c r="TP1112" s="13"/>
      <c r="TQ1112" s="13"/>
      <c r="TR1112" s="13"/>
      <c r="TS1112" s="13"/>
      <c r="TT1112" s="13"/>
      <c r="TU1112" s="13"/>
      <c r="TV1112" s="13"/>
      <c r="TW1112" s="13"/>
      <c r="TX1112" s="13"/>
      <c r="TY1112" s="13"/>
      <c r="TZ1112" s="13"/>
      <c r="UA1112" s="13"/>
      <c r="UB1112" s="13"/>
      <c r="UC1112" s="13"/>
      <c r="UD1112" s="13"/>
      <c r="UE1112" s="13"/>
      <c r="UF1112" s="13"/>
      <c r="UG1112" s="13"/>
      <c r="UH1112" s="13"/>
      <c r="UI1112" s="13"/>
      <c r="UJ1112" s="13"/>
      <c r="UK1112" s="13"/>
      <c r="UL1112" s="13"/>
      <c r="UM1112" s="13"/>
      <c r="UN1112" s="13"/>
      <c r="UO1112" s="13"/>
      <c r="UP1112" s="13"/>
      <c r="UQ1112" s="13"/>
      <c r="UR1112" s="13"/>
      <c r="US1112" s="13"/>
      <c r="UT1112" s="13"/>
      <c r="UU1112" s="13"/>
      <c r="UV1112" s="13"/>
      <c r="UW1112" s="13"/>
      <c r="UX1112" s="13"/>
      <c r="UY1112" s="13"/>
      <c r="UZ1112" s="13"/>
      <c r="VA1112" s="13"/>
      <c r="VB1112" s="13"/>
      <c r="VC1112" s="13"/>
      <c r="VD1112" s="13"/>
      <c r="VE1112" s="13"/>
      <c r="VF1112" s="13"/>
      <c r="VG1112" s="13"/>
      <c r="VH1112" s="13"/>
      <c r="VI1112" s="13"/>
      <c r="VJ1112" s="13"/>
      <c r="VK1112" s="13"/>
      <c r="VL1112" s="13"/>
      <c r="VM1112" s="13"/>
      <c r="VN1112" s="13"/>
      <c r="VO1112" s="13"/>
      <c r="VP1112" s="13"/>
      <c r="VQ1112" s="13"/>
      <c r="VR1112" s="13"/>
      <c r="VS1112" s="13"/>
      <c r="VT1112" s="13"/>
      <c r="VU1112" s="13"/>
      <c r="VV1112" s="13"/>
      <c r="VW1112" s="13"/>
      <c r="VX1112" s="13"/>
      <c r="VY1112" s="13"/>
      <c r="VZ1112" s="13"/>
      <c r="WA1112" s="13"/>
      <c r="WB1112" s="13"/>
      <c r="WC1112" s="13"/>
      <c r="WD1112" s="13"/>
      <c r="WE1112" s="13"/>
      <c r="WF1112" s="13"/>
      <c r="WG1112" s="13"/>
      <c r="WH1112" s="13"/>
      <c r="WI1112" s="13"/>
      <c r="WJ1112" s="13"/>
      <c r="WK1112" s="13"/>
      <c r="WL1112" s="13"/>
      <c r="WM1112" s="13"/>
      <c r="WN1112" s="13"/>
      <c r="WO1112" s="13"/>
      <c r="WP1112" s="13"/>
      <c r="WQ1112" s="13"/>
      <c r="WR1112" s="13"/>
      <c r="WS1112" s="13"/>
      <c r="WT1112" s="13"/>
      <c r="WU1112" s="13"/>
      <c r="WV1112" s="13"/>
      <c r="WW1112" s="13"/>
      <c r="WX1112" s="13"/>
      <c r="WY1112" s="13"/>
      <c r="WZ1112" s="13"/>
      <c r="XA1112" s="13"/>
      <c r="XB1112" s="13"/>
      <c r="XC1112" s="13"/>
      <c r="XD1112" s="13"/>
      <c r="XE1112" s="13"/>
      <c r="XF1112" s="13"/>
      <c r="XG1112" s="13"/>
      <c r="XH1112" s="13"/>
      <c r="XI1112" s="13"/>
      <c r="XJ1112" s="13"/>
      <c r="XK1112" s="13"/>
      <c r="XL1112" s="13"/>
      <c r="XM1112" s="13"/>
      <c r="XN1112" s="13"/>
      <c r="XO1112" s="13"/>
      <c r="XP1112" s="13"/>
      <c r="XQ1112" s="13"/>
      <c r="XR1112" s="13"/>
      <c r="XS1112" s="13"/>
      <c r="XT1112" s="13"/>
      <c r="XU1112" s="13"/>
      <c r="XV1112" s="13"/>
      <c r="XW1112" s="13"/>
      <c r="XX1112" s="13"/>
      <c r="XY1112" s="13"/>
      <c r="XZ1112" s="13"/>
      <c r="YA1112" s="13"/>
      <c r="YB1112" s="13"/>
      <c r="YC1112" s="13"/>
      <c r="YD1112" s="13"/>
      <c r="YE1112" s="13"/>
      <c r="YF1112" s="13"/>
      <c r="YG1112" s="13"/>
      <c r="YH1112" s="13"/>
      <c r="YI1112" s="13"/>
      <c r="YJ1112" s="13"/>
      <c r="YK1112" s="13"/>
      <c r="YL1112" s="13"/>
      <c r="YM1112" s="13"/>
      <c r="YN1112" s="13"/>
      <c r="YO1112" s="13"/>
      <c r="YP1112" s="13"/>
      <c r="YQ1112" s="13"/>
      <c r="YR1112" s="13"/>
      <c r="YS1112" s="13"/>
      <c r="YT1112" s="13"/>
      <c r="YU1112" s="13"/>
      <c r="YV1112" s="13"/>
      <c r="YW1112" s="13"/>
      <c r="YX1112" s="13"/>
      <c r="YY1112" s="13"/>
      <c r="YZ1112" s="13"/>
      <c r="ZA1112" s="13"/>
      <c r="ZB1112" s="13"/>
      <c r="ZC1112" s="13"/>
      <c r="ZD1112" s="13"/>
      <c r="ZE1112" s="13"/>
      <c r="ZF1112" s="13"/>
      <c r="ZG1112" s="13"/>
      <c r="ZH1112" s="13"/>
      <c r="ZI1112" s="13"/>
      <c r="ZJ1112" s="13"/>
      <c r="ZK1112" s="13"/>
      <c r="ZL1112" s="13"/>
      <c r="ZM1112" s="13"/>
      <c r="ZN1112" s="13"/>
      <c r="ZO1112" s="13"/>
      <c r="ZP1112" s="13"/>
      <c r="ZQ1112" s="13"/>
      <c r="ZR1112" s="13"/>
      <c r="ZS1112" s="13"/>
      <c r="ZT1112" s="13"/>
      <c r="ZU1112" s="13"/>
      <c r="ZV1112" s="13"/>
      <c r="ZW1112" s="13"/>
      <c r="ZX1112" s="13"/>
      <c r="ZY1112" s="13"/>
      <c r="ZZ1112" s="13"/>
      <c r="AAA1112" s="13"/>
      <c r="AAB1112" s="13"/>
      <c r="AAC1112" s="13"/>
      <c r="AAD1112" s="13"/>
      <c r="AAE1112" s="13"/>
      <c r="AAF1112" s="13"/>
      <c r="AAG1112" s="13"/>
      <c r="AAH1112" s="13"/>
      <c r="AAI1112" s="13"/>
      <c r="AAJ1112" s="13"/>
      <c r="AAK1112" s="13"/>
      <c r="AAL1112" s="13"/>
      <c r="AAM1112" s="13"/>
      <c r="AAN1112" s="13"/>
      <c r="AAO1112" s="13"/>
      <c r="AAP1112" s="13"/>
      <c r="AAQ1112" s="13"/>
      <c r="AAR1112" s="13"/>
      <c r="AAS1112" s="13"/>
      <c r="AAT1112" s="13"/>
      <c r="AAU1112" s="13"/>
      <c r="AAV1112" s="13"/>
      <c r="AAW1112" s="13"/>
      <c r="AAX1112" s="13"/>
      <c r="AAY1112" s="13"/>
      <c r="AAZ1112" s="13"/>
      <c r="ABA1112" s="13"/>
      <c r="ABB1112" s="13"/>
      <c r="ABC1112" s="13"/>
      <c r="ABD1112" s="13"/>
      <c r="ABE1112" s="13"/>
      <c r="ABF1112" s="13"/>
      <c r="ABG1112" s="13"/>
      <c r="ABH1112" s="13"/>
      <c r="ABI1112" s="13"/>
      <c r="ABJ1112" s="13"/>
      <c r="ABK1112" s="13"/>
      <c r="ABL1112" s="13"/>
      <c r="ABM1112" s="13"/>
      <c r="ABN1112" s="13"/>
      <c r="ABO1112" s="13"/>
      <c r="ABP1112" s="13"/>
      <c r="ABQ1112" s="13"/>
      <c r="ABR1112" s="13"/>
      <c r="ABS1112" s="13"/>
      <c r="ABT1112" s="13"/>
      <c r="ABU1112" s="13"/>
      <c r="ABV1112" s="13"/>
      <c r="ABW1112" s="13"/>
      <c r="ABX1112" s="13"/>
      <c r="ABY1112" s="13"/>
      <c r="ABZ1112" s="13"/>
      <c r="ACA1112" s="13"/>
      <c r="ACB1112" s="13"/>
      <c r="ACC1112" s="13"/>
      <c r="ACD1112" s="13"/>
      <c r="ACE1112" s="13"/>
      <c r="ACF1112" s="13"/>
      <c r="ACG1112" s="13"/>
      <c r="ACH1112" s="13"/>
      <c r="ACI1112" s="13"/>
      <c r="ACJ1112" s="13"/>
      <c r="ACK1112" s="13"/>
      <c r="ACL1112" s="13"/>
      <c r="ACM1112" s="13"/>
      <c r="ACN1112" s="13"/>
      <c r="ACO1112" s="13"/>
      <c r="ACP1112" s="13"/>
      <c r="ACQ1112" s="13"/>
      <c r="ACR1112" s="13"/>
      <c r="ACS1112" s="13"/>
      <c r="ACT1112" s="13"/>
      <c r="ACU1112" s="13"/>
      <c r="ACV1112" s="13"/>
      <c r="ACW1112" s="13"/>
      <c r="ACX1112" s="13"/>
      <c r="ACY1112" s="13"/>
      <c r="ACZ1112" s="13"/>
      <c r="ADA1112" s="13"/>
      <c r="ADB1112" s="13"/>
      <c r="ADC1112" s="13"/>
      <c r="ADD1112" s="13"/>
      <c r="ADE1112" s="13"/>
      <c r="ADF1112" s="13"/>
      <c r="ADG1112" s="13"/>
      <c r="ADH1112" s="13"/>
      <c r="ADI1112" s="13"/>
      <c r="ADJ1112" s="13"/>
      <c r="ADK1112" s="13"/>
      <c r="ADL1112" s="13"/>
      <c r="ADM1112" s="13"/>
      <c r="ADN1112" s="13"/>
      <c r="ADO1112" s="13"/>
      <c r="ADP1112" s="13"/>
      <c r="ADQ1112" s="13"/>
      <c r="ADR1112" s="13"/>
      <c r="ADS1112" s="13"/>
      <c r="ADT1112" s="13"/>
      <c r="ADU1112" s="13"/>
      <c r="ADV1112" s="13"/>
      <c r="ADW1112" s="13"/>
      <c r="ADX1112" s="13"/>
      <c r="ADY1112" s="13"/>
      <c r="ADZ1112" s="13"/>
      <c r="AEA1112" s="13"/>
      <c r="AEB1112" s="13"/>
      <c r="AEC1112" s="13"/>
      <c r="AED1112" s="13"/>
      <c r="AEE1112" s="13"/>
      <c r="AEF1112" s="13"/>
      <c r="AEG1112" s="13"/>
      <c r="AEH1112" s="13"/>
      <c r="AEI1112" s="13"/>
      <c r="AEJ1112" s="13"/>
      <c r="AEK1112" s="13"/>
      <c r="AEL1112" s="13"/>
      <c r="AEM1112" s="13"/>
      <c r="AEN1112" s="13"/>
      <c r="AEO1112" s="13"/>
      <c r="AEP1112" s="13"/>
      <c r="AEQ1112" s="13"/>
      <c r="AER1112" s="13"/>
      <c r="AES1112" s="13"/>
      <c r="AET1112" s="13"/>
      <c r="AEU1112" s="13"/>
      <c r="AEV1112" s="13"/>
      <c r="AEW1112" s="13"/>
      <c r="AEX1112" s="13"/>
      <c r="AEY1112" s="13"/>
      <c r="AEZ1112" s="13"/>
      <c r="AFA1112" s="13"/>
      <c r="AFB1112" s="13"/>
      <c r="AFC1112" s="13"/>
      <c r="AFD1112" s="13"/>
      <c r="AFE1112" s="13"/>
      <c r="AFF1112" s="13"/>
      <c r="AFG1112" s="13"/>
      <c r="AFH1112" s="13"/>
      <c r="AFI1112" s="13"/>
      <c r="AFJ1112" s="13"/>
      <c r="AFK1112" s="13"/>
      <c r="AFL1112" s="13"/>
      <c r="AFM1112" s="13"/>
      <c r="AFN1112" s="13"/>
      <c r="AFO1112" s="13"/>
      <c r="AFP1112" s="13"/>
      <c r="AFQ1112" s="13"/>
      <c r="AFR1112" s="13"/>
      <c r="AFS1112" s="13"/>
      <c r="AFT1112" s="13"/>
      <c r="AFU1112" s="13"/>
      <c r="AFV1112" s="13"/>
      <c r="AFW1112" s="13"/>
      <c r="AFX1112" s="13"/>
      <c r="AFY1112" s="13"/>
      <c r="AFZ1112" s="13"/>
      <c r="AGA1112" s="13"/>
      <c r="AGB1112" s="13"/>
      <c r="AGC1112" s="13"/>
      <c r="AGD1112" s="13"/>
      <c r="AGE1112" s="13"/>
      <c r="AGF1112" s="13"/>
      <c r="AGG1112" s="13"/>
      <c r="AGH1112" s="13"/>
      <c r="AGI1112" s="13"/>
      <c r="AGJ1112" s="13"/>
      <c r="AGK1112" s="13"/>
      <c r="AGL1112" s="13"/>
      <c r="AGM1112" s="13"/>
      <c r="AGN1112" s="13"/>
      <c r="AGO1112" s="13"/>
      <c r="AGP1112" s="13"/>
      <c r="AGQ1112" s="13"/>
      <c r="AGR1112" s="13"/>
      <c r="AGS1112" s="13"/>
      <c r="AGT1112" s="13"/>
      <c r="AGU1112" s="13"/>
      <c r="AGV1112" s="13"/>
      <c r="AGW1112" s="13"/>
      <c r="AGX1112" s="13"/>
      <c r="AGY1112" s="13"/>
      <c r="AGZ1112" s="13"/>
      <c r="AHA1112" s="13"/>
      <c r="AHB1112" s="13"/>
      <c r="AHC1112" s="13"/>
      <c r="AHD1112" s="13"/>
      <c r="AHE1112" s="13"/>
      <c r="AHF1112" s="13"/>
      <c r="AHG1112" s="13"/>
      <c r="AHH1112" s="13"/>
      <c r="AHI1112" s="13"/>
      <c r="AHJ1112" s="13"/>
      <c r="AHK1112" s="13"/>
      <c r="AHL1112" s="13"/>
      <c r="AHM1112" s="13"/>
      <c r="AHN1112" s="13"/>
      <c r="AHO1112" s="13"/>
      <c r="AHP1112" s="13"/>
      <c r="AHQ1112" s="13"/>
      <c r="AHR1112" s="13"/>
      <c r="AHS1112" s="13"/>
      <c r="AHT1112" s="13"/>
      <c r="AHU1112" s="13"/>
      <c r="AHV1112" s="13"/>
      <c r="AHW1112" s="13"/>
      <c r="AHX1112" s="13"/>
      <c r="AHY1112" s="13"/>
      <c r="AHZ1112" s="13"/>
      <c r="AIA1112" s="13"/>
      <c r="AIB1112" s="13"/>
      <c r="AIC1112" s="13"/>
      <c r="AID1112" s="13"/>
      <c r="AIE1112" s="13"/>
      <c r="AIF1112" s="13"/>
      <c r="AIG1112" s="13"/>
      <c r="AIH1112" s="13"/>
      <c r="AII1112" s="13"/>
      <c r="AIJ1112" s="13"/>
      <c r="AIK1112" s="13"/>
      <c r="AIL1112" s="13"/>
      <c r="AIM1112" s="13"/>
      <c r="AIN1112" s="13"/>
      <c r="AIO1112" s="13"/>
      <c r="AIP1112" s="13"/>
      <c r="AIQ1112" s="13"/>
      <c r="AIR1112" s="13"/>
      <c r="AIS1112" s="13"/>
      <c r="AIT1112" s="13"/>
      <c r="AIU1112" s="13"/>
      <c r="AIV1112" s="13"/>
      <c r="AIW1112" s="13"/>
      <c r="AIX1112" s="13"/>
      <c r="AIY1112" s="13"/>
      <c r="AIZ1112" s="13"/>
      <c r="AJA1112" s="13"/>
      <c r="AJB1112" s="13"/>
      <c r="AJC1112" s="13"/>
      <c r="AJD1112" s="13"/>
      <c r="AJE1112" s="13"/>
      <c r="AJF1112" s="13"/>
      <c r="AJG1112" s="13"/>
      <c r="AJH1112" s="13"/>
      <c r="AJI1112" s="13"/>
      <c r="AJJ1112" s="13"/>
      <c r="AJK1112" s="13"/>
      <c r="AJL1112" s="13"/>
      <c r="AJM1112" s="13"/>
      <c r="AJN1112" s="13"/>
      <c r="AJO1112" s="13"/>
      <c r="AJP1112" s="13"/>
      <c r="AJQ1112" s="13"/>
      <c r="AJR1112" s="13"/>
      <c r="AJS1112" s="13"/>
      <c r="AJT1112" s="13"/>
      <c r="AJU1112" s="13"/>
      <c r="AJV1112" s="13"/>
      <c r="AJW1112" s="13"/>
      <c r="AJX1112" s="13"/>
      <c r="AJY1112" s="13"/>
      <c r="AJZ1112" s="13"/>
      <c r="AKA1112" s="13"/>
      <c r="AKB1112" s="13"/>
      <c r="AKC1112" s="13"/>
      <c r="AKD1112" s="13"/>
      <c r="AKE1112" s="13"/>
      <c r="AKF1112" s="13"/>
      <c r="AKG1112" s="13"/>
      <c r="AKH1112" s="13"/>
      <c r="AKI1112" s="13"/>
      <c r="AKJ1112" s="13"/>
      <c r="AKK1112" s="13"/>
      <c r="AKL1112" s="13"/>
      <c r="AKM1112" s="13"/>
      <c r="AKN1112" s="13"/>
      <c r="AKO1112" s="13"/>
      <c r="AKP1112" s="13"/>
      <c r="AKQ1112" s="13"/>
      <c r="AKR1112" s="13"/>
      <c r="AKS1112" s="13"/>
      <c r="AKT1112" s="13"/>
      <c r="AKU1112" s="13"/>
      <c r="AKV1112" s="13"/>
      <c r="AKW1112" s="13"/>
      <c r="AKX1112" s="13"/>
      <c r="AKY1112" s="13"/>
      <c r="AKZ1112" s="13"/>
      <c r="ALA1112" s="13"/>
      <c r="ALB1112" s="13"/>
      <c r="ALC1112" s="13"/>
      <c r="ALD1112" s="13"/>
      <c r="ALE1112" s="13"/>
      <c r="ALF1112" s="13"/>
      <c r="ALG1112" s="13"/>
      <c r="ALH1112" s="13"/>
      <c r="ALI1112" s="13"/>
      <c r="ALJ1112" s="13"/>
      <c r="ALK1112" s="13"/>
      <c r="ALL1112" s="13"/>
      <c r="ALM1112" s="13"/>
      <c r="ALN1112" s="13"/>
      <c r="ALO1112" s="13"/>
      <c r="ALP1112" s="13"/>
      <c r="ALQ1112" s="13"/>
      <c r="ALR1112" s="13"/>
      <c r="ALS1112" s="13"/>
      <c r="ALT1112" s="13"/>
      <c r="ALU1112" s="13"/>
      <c r="ALV1112" s="13"/>
      <c r="ALW1112" s="13"/>
      <c r="ALX1112" s="13"/>
      <c r="ALY1112" s="13"/>
      <c r="ALZ1112" s="13"/>
      <c r="AMA1112" s="13"/>
      <c r="AMB1112" s="13"/>
      <c r="AMC1112" s="13"/>
      <c r="AMD1112" s="13"/>
      <c r="AME1112" s="13"/>
      <c r="AMF1112" s="13"/>
      <c r="AMG1112" s="13"/>
      <c r="AMH1112" s="13"/>
      <c r="AMI1112" s="13"/>
      <c r="AMJ1112" s="13"/>
      <c r="AMK1112" s="13"/>
      <c r="AML1112" s="13"/>
      <c r="AMM1112" s="13"/>
      <c r="AMN1112" s="13"/>
      <c r="AMO1112" s="13"/>
      <c r="AMP1112" s="13"/>
      <c r="AMQ1112" s="13"/>
      <c r="AMR1112" s="13"/>
      <c r="AMS1112" s="13"/>
      <c r="AMT1112" s="13"/>
      <c r="AMU1112" s="13"/>
      <c r="AMV1112" s="13"/>
      <c r="AMW1112" s="13"/>
      <c r="AMX1112" s="13"/>
      <c r="AMY1112" s="13"/>
      <c r="AMZ1112" s="13"/>
      <c r="ANA1112" s="13"/>
      <c r="ANB1112" s="13"/>
      <c r="ANC1112" s="13"/>
      <c r="AND1112" s="13"/>
      <c r="ANE1112" s="13"/>
      <c r="ANF1112" s="13"/>
      <c r="ANG1112" s="13"/>
      <c r="ANH1112" s="13"/>
      <c r="ANI1112" s="13"/>
      <c r="ANJ1112" s="13"/>
      <c r="ANK1112" s="13"/>
      <c r="ANL1112" s="13"/>
      <c r="ANM1112" s="13"/>
      <c r="ANN1112" s="13"/>
      <c r="ANO1112" s="13"/>
      <c r="ANP1112" s="13"/>
      <c r="ANQ1112" s="13"/>
      <c r="ANR1112" s="13"/>
      <c r="ANS1112" s="13"/>
      <c r="ANT1112" s="13"/>
      <c r="ANU1112" s="13"/>
      <c r="ANV1112" s="13"/>
      <c r="ANW1112" s="13"/>
      <c r="ANX1112" s="13"/>
      <c r="ANY1112" s="13"/>
      <c r="ANZ1112" s="13"/>
      <c r="AOA1112" s="13"/>
      <c r="AOB1112" s="13"/>
      <c r="AOC1112" s="13"/>
      <c r="AOD1112" s="13"/>
      <c r="AOE1112" s="13"/>
      <c r="AOF1112" s="13"/>
      <c r="AOG1112" s="13"/>
      <c r="AOH1112" s="13"/>
      <c r="AOI1112" s="13"/>
      <c r="AOJ1112" s="13"/>
      <c r="AOK1112" s="13"/>
      <c r="AOL1112" s="13"/>
      <c r="AOM1112" s="13"/>
      <c r="AON1112" s="13"/>
      <c r="AOO1112" s="13"/>
      <c r="AOP1112" s="13"/>
      <c r="AOQ1112" s="13"/>
      <c r="AOR1112" s="13"/>
      <c r="AOS1112" s="13"/>
      <c r="AOT1112" s="13"/>
      <c r="AOU1112" s="13"/>
      <c r="AOV1112" s="13"/>
      <c r="AOW1112" s="13"/>
      <c r="AOX1112" s="13"/>
      <c r="AOY1112" s="13"/>
      <c r="AOZ1112" s="13"/>
      <c r="APA1112" s="13"/>
      <c r="APB1112" s="13"/>
      <c r="APC1112" s="13"/>
      <c r="APD1112" s="13"/>
      <c r="APE1112" s="13"/>
      <c r="APF1112" s="13"/>
      <c r="APG1112" s="13"/>
      <c r="APH1112" s="13"/>
      <c r="API1112" s="13"/>
      <c r="APJ1112" s="13"/>
      <c r="APK1112" s="13"/>
      <c r="APL1112" s="13"/>
      <c r="APM1112" s="13"/>
      <c r="APN1112" s="13"/>
      <c r="APO1112" s="13"/>
      <c r="APP1112" s="13"/>
      <c r="APQ1112" s="13"/>
      <c r="APR1112" s="13"/>
      <c r="APS1112" s="13"/>
      <c r="APT1112" s="13"/>
      <c r="APU1112" s="13"/>
      <c r="APV1112" s="13"/>
      <c r="APW1112" s="13"/>
      <c r="APX1112" s="13"/>
      <c r="APY1112" s="13"/>
      <c r="APZ1112" s="13"/>
      <c r="AQA1112" s="13"/>
      <c r="AQB1112" s="13"/>
      <c r="AQC1112" s="13"/>
      <c r="AQD1112" s="13"/>
      <c r="AQE1112" s="13"/>
      <c r="AQF1112" s="13"/>
      <c r="AQG1112" s="13"/>
      <c r="AQH1112" s="13"/>
      <c r="AQI1112" s="13"/>
      <c r="AQJ1112" s="13"/>
      <c r="AQK1112" s="13"/>
      <c r="AQL1112" s="13"/>
      <c r="AQM1112" s="13"/>
      <c r="AQN1112" s="13"/>
      <c r="AQO1112" s="13"/>
      <c r="AQP1112" s="13"/>
      <c r="AQQ1112" s="13"/>
      <c r="AQR1112" s="13"/>
      <c r="AQS1112" s="13"/>
      <c r="AQT1112" s="13"/>
      <c r="AQU1112" s="13"/>
      <c r="AQV1112" s="13"/>
      <c r="AQW1112" s="13"/>
      <c r="AQX1112" s="13"/>
      <c r="AQY1112" s="13"/>
      <c r="AQZ1112" s="13"/>
      <c r="ARA1112" s="13"/>
      <c r="ARB1112" s="13"/>
      <c r="ARC1112" s="13"/>
      <c r="ARD1112" s="13"/>
      <c r="ARE1112" s="13"/>
      <c r="ARF1112" s="13"/>
      <c r="ARG1112" s="13"/>
      <c r="ARH1112" s="13"/>
      <c r="ARI1112" s="13"/>
      <c r="ARJ1112" s="13"/>
      <c r="ARK1112" s="13"/>
      <c r="ARL1112" s="13"/>
      <c r="ARM1112" s="13"/>
      <c r="ARN1112" s="13"/>
      <c r="ARO1112" s="13"/>
      <c r="ARP1112" s="13"/>
      <c r="ARQ1112" s="13"/>
      <c r="ARR1112" s="13"/>
      <c r="ARS1112" s="13"/>
      <c r="ART1112" s="13"/>
      <c r="ARU1112" s="13"/>
      <c r="ARV1112" s="13"/>
      <c r="ARW1112" s="13"/>
      <c r="ARX1112" s="13"/>
      <c r="ARY1112" s="13"/>
      <c r="ARZ1112" s="13"/>
      <c r="ASA1112" s="13"/>
      <c r="ASB1112" s="13"/>
      <c r="ASC1112" s="13"/>
      <c r="ASD1112" s="13"/>
      <c r="ASE1112" s="13"/>
      <c r="ASF1112" s="13"/>
      <c r="ASG1112" s="13"/>
      <c r="ASH1112" s="13"/>
      <c r="ASI1112" s="13"/>
      <c r="ASJ1112" s="13"/>
      <c r="ASK1112" s="13"/>
      <c r="ASL1112" s="13"/>
      <c r="ASM1112" s="13"/>
      <c r="ASN1112" s="13"/>
      <c r="ASO1112" s="13"/>
      <c r="ASP1112" s="13"/>
      <c r="ASQ1112" s="13"/>
      <c r="ASR1112" s="13"/>
      <c r="ASS1112" s="13"/>
      <c r="AST1112" s="13"/>
      <c r="ASU1112" s="13"/>
      <c r="ASV1112" s="13"/>
      <c r="ASW1112" s="13"/>
      <c r="ASX1112" s="13"/>
      <c r="ASY1112" s="13"/>
      <c r="ASZ1112" s="13"/>
      <c r="ATA1112" s="13"/>
      <c r="ATB1112" s="13"/>
      <c r="ATC1112" s="13"/>
      <c r="ATD1112" s="13"/>
      <c r="ATE1112" s="13"/>
      <c r="ATF1112" s="13"/>
      <c r="ATG1112" s="13"/>
      <c r="ATH1112" s="13"/>
      <c r="ATI1112" s="13"/>
      <c r="ATJ1112" s="13"/>
      <c r="ATK1112" s="13"/>
      <c r="ATL1112" s="13"/>
      <c r="ATM1112" s="13"/>
      <c r="ATN1112" s="13"/>
      <c r="ATO1112" s="13"/>
      <c r="ATP1112" s="13"/>
      <c r="ATQ1112" s="13"/>
      <c r="ATR1112" s="13"/>
      <c r="ATS1112" s="13"/>
      <c r="ATT1112" s="13"/>
      <c r="ATU1112" s="13"/>
      <c r="ATV1112" s="13"/>
      <c r="ATW1112" s="13"/>
      <c r="ATX1112" s="13"/>
      <c r="ATY1112" s="13"/>
      <c r="ATZ1112" s="13"/>
      <c r="AUA1112" s="13"/>
      <c r="AUB1112" s="13"/>
      <c r="AUC1112" s="13"/>
      <c r="AUD1112" s="13"/>
      <c r="AUE1112" s="13"/>
      <c r="AUF1112" s="13"/>
      <c r="AUG1112" s="13"/>
      <c r="AUH1112" s="13"/>
      <c r="AUI1112" s="13"/>
      <c r="AUJ1112" s="13"/>
      <c r="AUK1112" s="13"/>
      <c r="AUL1112" s="13"/>
      <c r="AUM1112" s="13"/>
      <c r="AUN1112" s="13"/>
      <c r="AUO1112" s="13"/>
      <c r="AUP1112" s="13"/>
      <c r="AUQ1112" s="13"/>
      <c r="AUR1112" s="13"/>
      <c r="AUS1112" s="13"/>
      <c r="AUT1112" s="13"/>
      <c r="AUU1112" s="13"/>
      <c r="AUV1112" s="13"/>
      <c r="AUW1112" s="13"/>
      <c r="AUX1112" s="13"/>
      <c r="AUY1112" s="13"/>
      <c r="AUZ1112" s="13"/>
      <c r="AVA1112" s="13"/>
      <c r="AVB1112" s="13"/>
      <c r="AVC1112" s="13"/>
      <c r="AVD1112" s="13"/>
      <c r="AVE1112" s="13"/>
      <c r="AVF1112" s="13"/>
      <c r="AVG1112" s="13"/>
      <c r="AVH1112" s="13"/>
      <c r="AVI1112" s="13"/>
      <c r="AVJ1112" s="13"/>
      <c r="AVK1112" s="13"/>
      <c r="AVL1112" s="13"/>
      <c r="AVM1112" s="13"/>
      <c r="AVN1112" s="13"/>
      <c r="AVO1112" s="13"/>
      <c r="AVP1112" s="13"/>
      <c r="AVQ1112" s="13"/>
      <c r="AVR1112" s="13"/>
      <c r="AVS1112" s="13"/>
      <c r="AVT1112" s="13"/>
      <c r="AVU1112" s="13"/>
      <c r="AVV1112" s="13"/>
      <c r="AVW1112" s="13"/>
      <c r="AVX1112" s="13"/>
      <c r="AVY1112" s="13"/>
      <c r="AVZ1112" s="13"/>
      <c r="AWA1112" s="13"/>
      <c r="AWB1112" s="13"/>
      <c r="AWC1112" s="13"/>
      <c r="AWD1112" s="13"/>
      <c r="AWE1112" s="13"/>
      <c r="AWF1112" s="13"/>
      <c r="AWG1112" s="13"/>
      <c r="AWH1112" s="13"/>
      <c r="AWI1112" s="13"/>
      <c r="AWJ1112" s="13"/>
      <c r="AWK1112" s="13"/>
      <c r="AWL1112" s="13"/>
      <c r="AWM1112" s="13"/>
      <c r="AWN1112" s="13"/>
      <c r="AWO1112" s="13"/>
      <c r="AWP1112" s="13"/>
      <c r="AWQ1112" s="13"/>
      <c r="AWR1112" s="13"/>
      <c r="AWS1112" s="13"/>
      <c r="AWT1112" s="13"/>
      <c r="AWU1112" s="13"/>
      <c r="AWV1112" s="13"/>
      <c r="AWW1112" s="13"/>
      <c r="AWX1112" s="13"/>
      <c r="AWY1112" s="13"/>
      <c r="AWZ1112" s="13"/>
      <c r="AXA1112" s="13"/>
      <c r="AXB1112" s="13"/>
      <c r="AXC1112" s="13"/>
      <c r="AXD1112" s="13"/>
      <c r="AXE1112" s="13"/>
      <c r="AXF1112" s="13"/>
      <c r="AXG1112" s="13"/>
      <c r="AXH1112" s="13"/>
      <c r="AXI1112" s="13"/>
      <c r="AXJ1112" s="13"/>
      <c r="AXK1112" s="13"/>
      <c r="AXL1112" s="13"/>
      <c r="AXM1112" s="13"/>
      <c r="AXN1112" s="13"/>
      <c r="AXO1112" s="13"/>
      <c r="AXP1112" s="13"/>
      <c r="AXQ1112" s="13"/>
      <c r="AXR1112" s="13"/>
      <c r="AXS1112" s="13"/>
      <c r="AXT1112" s="13"/>
      <c r="AXU1112" s="13"/>
      <c r="AXV1112" s="13"/>
      <c r="AXW1112" s="13"/>
      <c r="AXX1112" s="13"/>
      <c r="AXY1112" s="13"/>
      <c r="AXZ1112" s="13"/>
      <c r="AYA1112" s="13"/>
      <c r="AYB1112" s="13"/>
      <c r="AYC1112" s="13"/>
      <c r="AYD1112" s="13"/>
      <c r="AYE1112" s="13"/>
      <c r="AYF1112" s="13"/>
      <c r="AYG1112" s="13"/>
      <c r="AYH1112" s="13"/>
      <c r="AYI1112" s="13"/>
      <c r="AYJ1112" s="13"/>
      <c r="AYK1112" s="13"/>
      <c r="AYL1112" s="13"/>
      <c r="AYM1112" s="13"/>
      <c r="AYN1112" s="13"/>
      <c r="AYO1112" s="13"/>
      <c r="AYP1112" s="13"/>
      <c r="AYQ1112" s="13"/>
      <c r="AYR1112" s="13"/>
      <c r="AYS1112" s="13"/>
      <c r="AYT1112" s="13"/>
      <c r="AYU1112" s="13"/>
      <c r="AYV1112" s="13"/>
      <c r="AYW1112" s="13"/>
      <c r="AYX1112" s="13"/>
      <c r="AYY1112" s="13"/>
      <c r="AYZ1112" s="13"/>
      <c r="AZA1112" s="13"/>
      <c r="AZB1112" s="13"/>
      <c r="AZC1112" s="13"/>
      <c r="AZD1112" s="13"/>
      <c r="AZE1112" s="13"/>
      <c r="AZF1112" s="13"/>
      <c r="AZG1112" s="13"/>
      <c r="AZH1112" s="13"/>
      <c r="AZI1112" s="13"/>
      <c r="AZJ1112" s="13"/>
      <c r="AZK1112" s="13"/>
      <c r="AZL1112" s="13"/>
      <c r="AZM1112" s="13"/>
      <c r="AZN1112" s="13"/>
      <c r="AZO1112" s="13"/>
      <c r="AZP1112" s="13"/>
      <c r="AZQ1112" s="13"/>
      <c r="AZR1112" s="13"/>
      <c r="AZS1112" s="13"/>
      <c r="AZT1112" s="13"/>
      <c r="AZU1112" s="13"/>
      <c r="AZV1112" s="13"/>
      <c r="AZW1112" s="13"/>
      <c r="AZX1112" s="13"/>
      <c r="AZY1112" s="13"/>
      <c r="AZZ1112" s="13"/>
      <c r="BAA1112" s="13"/>
      <c r="BAB1112" s="13"/>
      <c r="BAC1112" s="13"/>
      <c r="BAD1112" s="13"/>
      <c r="BAE1112" s="13"/>
      <c r="BAF1112" s="13"/>
      <c r="BAG1112" s="13"/>
      <c r="BAH1112" s="13"/>
      <c r="BAI1112" s="13"/>
      <c r="BAJ1112" s="13"/>
      <c r="BAK1112" s="13"/>
      <c r="BAL1112" s="13"/>
      <c r="BAM1112" s="13"/>
      <c r="BAN1112" s="13"/>
      <c r="BAO1112" s="13"/>
      <c r="BAP1112" s="13"/>
      <c r="BAQ1112" s="13"/>
      <c r="BAR1112" s="13"/>
      <c r="BAS1112" s="13"/>
      <c r="BAT1112" s="13"/>
      <c r="BAU1112" s="13"/>
      <c r="BAV1112" s="13"/>
      <c r="BAW1112" s="13"/>
      <c r="BAX1112" s="13"/>
      <c r="BAY1112" s="13"/>
      <c r="BAZ1112" s="13"/>
      <c r="BBA1112" s="13"/>
      <c r="BBB1112" s="13"/>
      <c r="BBC1112" s="13"/>
      <c r="BBD1112" s="13"/>
      <c r="BBE1112" s="13"/>
      <c r="BBF1112" s="13"/>
      <c r="BBG1112" s="13"/>
      <c r="BBH1112" s="13"/>
      <c r="BBI1112" s="13"/>
      <c r="BBJ1112" s="13"/>
      <c r="BBK1112" s="13"/>
      <c r="BBL1112" s="13"/>
      <c r="BBM1112" s="13"/>
      <c r="BBN1112" s="13"/>
      <c r="BBO1112" s="13"/>
      <c r="BBP1112" s="13"/>
      <c r="BBQ1112" s="13"/>
      <c r="BBR1112" s="13"/>
      <c r="BBS1112" s="13"/>
      <c r="BBT1112" s="13"/>
      <c r="BBU1112" s="13"/>
      <c r="BBV1112" s="13"/>
      <c r="BBW1112" s="13"/>
      <c r="BBX1112" s="13"/>
      <c r="BBY1112" s="13"/>
      <c r="BBZ1112" s="13"/>
      <c r="BCA1112" s="13"/>
      <c r="BCB1112" s="13"/>
      <c r="BCC1112" s="13"/>
      <c r="BCD1112" s="13"/>
      <c r="BCE1112" s="13"/>
      <c r="BCF1112" s="13"/>
      <c r="BCG1112" s="13"/>
      <c r="BCH1112" s="13"/>
      <c r="BCI1112" s="13"/>
      <c r="BCJ1112" s="13"/>
      <c r="BCK1112" s="13"/>
      <c r="BCL1112" s="13"/>
      <c r="BCM1112" s="13"/>
      <c r="BCN1112" s="13"/>
      <c r="BCO1112" s="13"/>
      <c r="BCP1112" s="13"/>
      <c r="BCQ1112" s="13"/>
      <c r="BCR1112" s="13"/>
      <c r="BCS1112" s="13"/>
      <c r="BCT1112" s="13"/>
      <c r="BCU1112" s="13"/>
      <c r="BCV1112" s="13"/>
      <c r="BCW1112" s="13"/>
      <c r="BCX1112" s="13"/>
      <c r="BCY1112" s="13"/>
      <c r="BCZ1112" s="13"/>
      <c r="BDA1112" s="13"/>
      <c r="BDB1112" s="13"/>
      <c r="BDC1112" s="13"/>
      <c r="BDD1112" s="13"/>
      <c r="BDE1112" s="13"/>
      <c r="BDF1112" s="13"/>
      <c r="BDG1112" s="13"/>
      <c r="BDH1112" s="13"/>
      <c r="BDI1112" s="13"/>
      <c r="BDJ1112" s="13"/>
      <c r="BDK1112" s="13"/>
      <c r="BDL1112" s="13"/>
      <c r="BDM1112" s="13"/>
      <c r="BDN1112" s="13"/>
      <c r="BDO1112" s="13"/>
      <c r="BDP1112" s="13"/>
      <c r="BDQ1112" s="13"/>
      <c r="BDR1112" s="13"/>
      <c r="BDS1112" s="13"/>
      <c r="BDT1112" s="13"/>
      <c r="BDU1112" s="13"/>
      <c r="BDV1112" s="13"/>
      <c r="BDW1112" s="13"/>
      <c r="BDX1112" s="13"/>
      <c r="BDY1112" s="13"/>
      <c r="BDZ1112" s="13"/>
      <c r="BEA1112" s="13"/>
      <c r="BEB1112" s="13"/>
      <c r="BEC1112" s="13"/>
      <c r="BED1112" s="13"/>
      <c r="BEE1112" s="13"/>
      <c r="BEF1112" s="13"/>
      <c r="BEG1112" s="13"/>
      <c r="BEH1112" s="13"/>
      <c r="BEI1112" s="13"/>
      <c r="BEJ1112" s="13"/>
      <c r="BEK1112" s="13"/>
      <c r="BEL1112" s="13"/>
      <c r="BEM1112" s="13"/>
      <c r="BEN1112" s="13"/>
      <c r="BEO1112" s="13"/>
      <c r="BEP1112" s="13"/>
      <c r="BEQ1112" s="13"/>
      <c r="BER1112" s="13"/>
      <c r="BES1112" s="13"/>
      <c r="BET1112" s="13"/>
      <c r="BEU1112" s="13"/>
      <c r="BEV1112" s="13"/>
      <c r="BEW1112" s="13"/>
      <c r="BEX1112" s="13"/>
      <c r="BEY1112" s="13"/>
      <c r="BEZ1112" s="13"/>
      <c r="BFA1112" s="13"/>
      <c r="BFB1112" s="13"/>
      <c r="BFC1112" s="13"/>
      <c r="BFD1112" s="13"/>
      <c r="BFE1112" s="13"/>
      <c r="BFF1112" s="13"/>
      <c r="BFG1112" s="13"/>
      <c r="BFH1112" s="13"/>
      <c r="BFI1112" s="13"/>
      <c r="BFJ1112" s="13"/>
      <c r="BFK1112" s="13"/>
      <c r="BFL1112" s="13"/>
      <c r="BFM1112" s="13"/>
      <c r="BFN1112" s="13"/>
      <c r="BFO1112" s="13"/>
      <c r="BFP1112" s="13"/>
      <c r="BFQ1112" s="13"/>
      <c r="BFR1112" s="13"/>
      <c r="BFS1112" s="13"/>
      <c r="BFT1112" s="13"/>
      <c r="BFU1112" s="13"/>
      <c r="BFV1112" s="13"/>
      <c r="BFW1112" s="13"/>
      <c r="BFX1112" s="13"/>
      <c r="BFY1112" s="13"/>
      <c r="BFZ1112" s="13"/>
      <c r="BGA1112" s="13"/>
      <c r="BGB1112" s="13"/>
      <c r="BGC1112" s="13"/>
      <c r="BGD1112" s="13"/>
      <c r="BGE1112" s="13"/>
      <c r="BGF1112" s="13"/>
      <c r="BGG1112" s="13"/>
      <c r="BGH1112" s="13"/>
      <c r="BGI1112" s="13"/>
      <c r="BGJ1112" s="13"/>
      <c r="BGK1112" s="13"/>
      <c r="BGL1112" s="13"/>
      <c r="BGM1112" s="13"/>
      <c r="BGN1112" s="13"/>
      <c r="BGO1112" s="13"/>
      <c r="BGP1112" s="13"/>
      <c r="BGQ1112" s="13"/>
      <c r="BGR1112" s="13"/>
      <c r="BGS1112" s="13"/>
      <c r="BGT1112" s="13"/>
      <c r="BGU1112" s="13"/>
      <c r="BGV1112" s="13"/>
      <c r="BGW1112" s="13"/>
      <c r="BGX1112" s="13"/>
      <c r="BGY1112" s="13"/>
      <c r="BGZ1112" s="13"/>
      <c r="BHA1112" s="13"/>
      <c r="BHB1112" s="13"/>
      <c r="BHC1112" s="13"/>
      <c r="BHD1112" s="13"/>
      <c r="BHE1112" s="13"/>
      <c r="BHF1112" s="13"/>
      <c r="BHG1112" s="13"/>
      <c r="BHH1112" s="13"/>
      <c r="BHI1112" s="13"/>
      <c r="BHJ1112" s="13"/>
      <c r="BHK1112" s="13"/>
      <c r="BHL1112" s="13"/>
      <c r="BHM1112" s="13"/>
      <c r="BHN1112" s="13"/>
      <c r="BHO1112" s="13"/>
      <c r="BHP1112" s="13"/>
      <c r="BHQ1112" s="13"/>
      <c r="BHR1112" s="13"/>
      <c r="BHS1112" s="13"/>
      <c r="BHT1112" s="13"/>
      <c r="BHU1112" s="13"/>
      <c r="BHV1112" s="13"/>
      <c r="BHW1112" s="13"/>
      <c r="BHX1112" s="13"/>
      <c r="BHY1112" s="13"/>
      <c r="BHZ1112" s="13"/>
      <c r="BIA1112" s="13"/>
      <c r="BIB1112" s="13"/>
      <c r="BIC1112" s="13"/>
      <c r="BID1112" s="13"/>
      <c r="BIE1112" s="13"/>
      <c r="BIF1112" s="13"/>
      <c r="BIG1112" s="13"/>
      <c r="BIH1112" s="13"/>
      <c r="BII1112" s="13"/>
      <c r="BIJ1112" s="13"/>
      <c r="BIK1112" s="13"/>
      <c r="BIL1112" s="13"/>
      <c r="BIM1112" s="13"/>
      <c r="BIN1112" s="13"/>
      <c r="BIO1112" s="13"/>
      <c r="BIP1112" s="13"/>
      <c r="BIQ1112" s="13"/>
      <c r="BIR1112" s="13"/>
      <c r="BIS1112" s="13"/>
      <c r="BIT1112" s="13"/>
      <c r="BIU1112" s="13"/>
      <c r="BIV1112" s="13"/>
      <c r="BIW1112" s="13"/>
      <c r="BIX1112" s="13"/>
      <c r="BIY1112" s="13"/>
      <c r="BIZ1112" s="13"/>
      <c r="BJA1112" s="13"/>
      <c r="BJB1112" s="13"/>
      <c r="BJC1112" s="13"/>
      <c r="BJD1112" s="13"/>
      <c r="BJE1112" s="13"/>
      <c r="BJF1112" s="13"/>
      <c r="BJG1112" s="13"/>
      <c r="BJH1112" s="13"/>
      <c r="BJI1112" s="13"/>
      <c r="BJJ1112" s="13"/>
      <c r="BJK1112" s="13"/>
      <c r="BJL1112" s="13"/>
      <c r="BJM1112" s="13"/>
      <c r="BJN1112" s="13"/>
      <c r="BJO1112" s="13"/>
      <c r="BJP1112" s="13"/>
      <c r="BJQ1112" s="13"/>
      <c r="BJR1112" s="13"/>
      <c r="BJS1112" s="13"/>
      <c r="BJT1112" s="13"/>
      <c r="BJU1112" s="13"/>
      <c r="BJV1112" s="13"/>
      <c r="BJW1112" s="13"/>
      <c r="BJX1112" s="13"/>
      <c r="BJY1112" s="13"/>
      <c r="BJZ1112" s="13"/>
      <c r="BKA1112" s="13"/>
      <c r="BKB1112" s="13"/>
      <c r="BKC1112" s="13"/>
      <c r="BKD1112" s="13"/>
      <c r="BKE1112" s="13"/>
      <c r="BKF1112" s="13"/>
      <c r="BKG1112" s="13"/>
      <c r="BKH1112" s="13"/>
      <c r="BKI1112" s="13"/>
      <c r="BKJ1112" s="13"/>
      <c r="BKK1112" s="13"/>
      <c r="BKL1112" s="13"/>
      <c r="BKM1112" s="13"/>
      <c r="BKN1112" s="13"/>
      <c r="BKO1112" s="13"/>
      <c r="BKP1112" s="13"/>
      <c r="BKQ1112" s="13"/>
      <c r="BKR1112" s="13"/>
      <c r="BKS1112" s="13"/>
      <c r="BKT1112" s="13"/>
      <c r="BKU1112" s="13"/>
      <c r="BKV1112" s="13"/>
      <c r="BKW1112" s="13"/>
      <c r="BKX1112" s="13"/>
      <c r="BKY1112" s="13"/>
      <c r="BKZ1112" s="13"/>
      <c r="BLA1112" s="13"/>
      <c r="BLB1112" s="13"/>
      <c r="BLC1112" s="13"/>
      <c r="BLD1112" s="13"/>
      <c r="BLE1112" s="13"/>
      <c r="BLF1112" s="13"/>
      <c r="BLG1112" s="13"/>
      <c r="BLH1112" s="13"/>
      <c r="BLI1112" s="13"/>
      <c r="BLJ1112" s="13"/>
      <c r="BLK1112" s="13"/>
      <c r="BLL1112" s="13"/>
      <c r="BLM1112" s="13"/>
      <c r="BLN1112" s="13"/>
      <c r="BLO1112" s="13"/>
      <c r="BLP1112" s="13"/>
      <c r="BLQ1112" s="13"/>
      <c r="BLR1112" s="13"/>
      <c r="BLS1112" s="13"/>
      <c r="BLT1112" s="13"/>
      <c r="BLU1112" s="13"/>
      <c r="BLV1112" s="13"/>
      <c r="BLW1112" s="13"/>
      <c r="BLX1112" s="13"/>
      <c r="BLY1112" s="13"/>
      <c r="BLZ1112" s="13"/>
      <c r="BMA1112" s="13"/>
      <c r="BMB1112" s="13"/>
      <c r="BMC1112" s="13"/>
      <c r="BMD1112" s="13"/>
      <c r="BME1112" s="13"/>
      <c r="BMF1112" s="13"/>
      <c r="BMG1112" s="13"/>
      <c r="BMH1112" s="13"/>
      <c r="BMI1112" s="13"/>
      <c r="BMJ1112" s="13"/>
      <c r="BMK1112" s="13"/>
      <c r="BML1112" s="13"/>
      <c r="BMM1112" s="13"/>
      <c r="BMN1112" s="13"/>
      <c r="BMO1112" s="13"/>
      <c r="BMP1112" s="13"/>
      <c r="BMQ1112" s="13"/>
      <c r="BMR1112" s="13"/>
      <c r="BMS1112" s="13"/>
      <c r="BMT1112" s="13"/>
      <c r="BMU1112" s="13"/>
      <c r="BMV1112" s="13"/>
      <c r="BMW1112" s="13"/>
      <c r="BMX1112" s="13"/>
      <c r="BMY1112" s="13"/>
      <c r="BMZ1112" s="13"/>
      <c r="BNA1112" s="13"/>
      <c r="BNB1112" s="13"/>
      <c r="BNC1112" s="13"/>
      <c r="BND1112" s="13"/>
      <c r="BNE1112" s="13"/>
      <c r="BNF1112" s="13"/>
      <c r="BNG1112" s="13"/>
      <c r="BNH1112" s="13"/>
      <c r="BNI1112" s="13"/>
      <c r="BNJ1112" s="13"/>
      <c r="BNK1112" s="13"/>
      <c r="BNL1112" s="13"/>
      <c r="BNM1112" s="13"/>
      <c r="BNN1112" s="13"/>
      <c r="BNO1112" s="13"/>
      <c r="BNP1112" s="13"/>
      <c r="BNQ1112" s="13"/>
      <c r="BNR1112" s="13"/>
      <c r="BNS1112" s="13"/>
      <c r="BNT1112" s="13"/>
      <c r="BNU1112" s="13"/>
      <c r="BNV1112" s="13"/>
      <c r="BNW1112" s="13"/>
      <c r="BNX1112" s="13"/>
      <c r="BNY1112" s="13"/>
      <c r="BNZ1112" s="13"/>
      <c r="BOA1112" s="13"/>
      <c r="BOB1112" s="13"/>
      <c r="BOC1112" s="13"/>
      <c r="BOD1112" s="13"/>
      <c r="BOE1112" s="13"/>
      <c r="BOF1112" s="13"/>
      <c r="BOG1112" s="13"/>
      <c r="BOH1112" s="13"/>
      <c r="BOI1112" s="13"/>
      <c r="BOJ1112" s="13"/>
      <c r="BOK1112" s="13"/>
      <c r="BOL1112" s="13"/>
      <c r="BOM1112" s="13"/>
      <c r="BON1112" s="13"/>
      <c r="BOO1112" s="13"/>
      <c r="BOP1112" s="13"/>
      <c r="BOQ1112" s="13"/>
      <c r="BOR1112" s="13"/>
      <c r="BOS1112" s="13"/>
      <c r="BOT1112" s="13"/>
      <c r="BOU1112" s="13"/>
      <c r="BOV1112" s="13"/>
      <c r="BOW1112" s="13"/>
      <c r="BOX1112" s="13"/>
      <c r="BOY1112" s="13"/>
      <c r="BOZ1112" s="13"/>
      <c r="BPA1112" s="13"/>
      <c r="BPB1112" s="13"/>
      <c r="BPC1112" s="13"/>
      <c r="BPD1112" s="13"/>
      <c r="BPE1112" s="13"/>
      <c r="BPF1112" s="13"/>
      <c r="BPG1112" s="13"/>
      <c r="BPH1112" s="13"/>
      <c r="BPI1112" s="13"/>
      <c r="BPJ1112" s="13"/>
      <c r="BPK1112" s="13"/>
      <c r="BPL1112" s="13"/>
      <c r="BPM1112" s="13"/>
      <c r="BPN1112" s="13"/>
      <c r="BPO1112" s="13"/>
      <c r="BPP1112" s="13"/>
      <c r="BPQ1112" s="13"/>
      <c r="BPR1112" s="13"/>
      <c r="BPS1112" s="13"/>
      <c r="BPT1112" s="13"/>
      <c r="BPU1112" s="13"/>
      <c r="BPV1112" s="13"/>
      <c r="BPW1112" s="13"/>
      <c r="BPX1112" s="13"/>
      <c r="BPY1112" s="13"/>
      <c r="BPZ1112" s="13"/>
      <c r="BQA1112" s="13"/>
      <c r="BQB1112" s="13"/>
      <c r="BQC1112" s="13"/>
      <c r="BQD1112" s="13"/>
      <c r="BQE1112" s="13"/>
      <c r="BQF1112" s="13"/>
      <c r="BQG1112" s="13"/>
      <c r="BQH1112" s="13"/>
      <c r="BQI1112" s="13"/>
      <c r="BQJ1112" s="13"/>
      <c r="BQK1112" s="13"/>
      <c r="BQL1112" s="13"/>
      <c r="BQM1112" s="13"/>
      <c r="BQN1112" s="13"/>
      <c r="BQO1112" s="13"/>
      <c r="BQP1112" s="13"/>
      <c r="BQQ1112" s="13"/>
      <c r="BQR1112" s="13"/>
      <c r="BQS1112" s="13"/>
      <c r="BQT1112" s="13"/>
      <c r="BQU1112" s="13"/>
      <c r="BQV1112" s="13"/>
      <c r="BQW1112" s="13"/>
      <c r="BQX1112" s="13"/>
      <c r="BQY1112" s="13"/>
      <c r="BQZ1112" s="13"/>
      <c r="BRA1112" s="13"/>
      <c r="BRB1112" s="13"/>
      <c r="BRC1112" s="13"/>
      <c r="BRD1112" s="13"/>
      <c r="BRE1112" s="13"/>
      <c r="BRF1112" s="13"/>
      <c r="BRG1112" s="13"/>
      <c r="BRH1112" s="13"/>
      <c r="BRI1112" s="13"/>
      <c r="BRJ1112" s="13"/>
      <c r="BRK1112" s="13"/>
      <c r="BRL1112" s="13"/>
      <c r="BRM1112" s="13"/>
      <c r="BRN1112" s="13"/>
      <c r="BRO1112" s="13"/>
      <c r="BRP1112" s="13"/>
      <c r="BRQ1112" s="13"/>
      <c r="BRR1112" s="13"/>
      <c r="BRS1112" s="13"/>
      <c r="BRT1112" s="13"/>
      <c r="BRU1112" s="13"/>
      <c r="BRV1112" s="13"/>
      <c r="BRW1112" s="13"/>
      <c r="BRX1112" s="13"/>
      <c r="BRY1112" s="13"/>
      <c r="BRZ1112" s="13"/>
      <c r="BSA1112" s="13"/>
      <c r="BSB1112" s="13"/>
      <c r="BSC1112" s="13"/>
      <c r="BSD1112" s="13"/>
      <c r="BSE1112" s="13"/>
      <c r="BSF1112" s="13"/>
      <c r="BSG1112" s="13"/>
      <c r="BSH1112" s="13"/>
      <c r="BSI1112" s="13"/>
      <c r="BSJ1112" s="13"/>
      <c r="BSK1112" s="13"/>
      <c r="BSL1112" s="13"/>
      <c r="BSM1112" s="13"/>
      <c r="BSN1112" s="13"/>
      <c r="BSO1112" s="13"/>
      <c r="BSP1112" s="13"/>
      <c r="BSQ1112" s="13"/>
      <c r="BSR1112" s="13"/>
      <c r="BSS1112" s="13"/>
      <c r="BST1112" s="13"/>
      <c r="BSU1112" s="13"/>
      <c r="BSV1112" s="13"/>
      <c r="BSW1112" s="13"/>
      <c r="BSX1112" s="13"/>
      <c r="BSY1112" s="13"/>
      <c r="BSZ1112" s="13"/>
      <c r="BTA1112" s="13"/>
    </row>
    <row r="1113" spans="1:1873" s="13" customFormat="1" ht="14.25" x14ac:dyDescent="0.25">
      <c r="A1113" s="411" t="s">
        <v>932</v>
      </c>
      <c r="B1113" s="574" t="s">
        <v>1169</v>
      </c>
      <c r="C1113" s="411" t="s">
        <v>1213</v>
      </c>
      <c r="D1113" s="411" t="s">
        <v>619</v>
      </c>
      <c r="E1113" s="571" t="s">
        <v>1531</v>
      </c>
      <c r="F1113" s="571">
        <v>1</v>
      </c>
      <c r="G1113" s="411">
        <v>4</v>
      </c>
      <c r="H1113" s="577">
        <v>4</v>
      </c>
      <c r="I1113" s="411" t="s">
        <v>955</v>
      </c>
      <c r="J1113" s="411">
        <v>1987</v>
      </c>
      <c r="K1113" s="411" t="s">
        <v>1211</v>
      </c>
      <c r="L1113" s="411">
        <v>1990</v>
      </c>
      <c r="M1113" s="573">
        <v>-9999</v>
      </c>
      <c r="N1113" s="411">
        <v>-9999</v>
      </c>
      <c r="O1113" s="18"/>
      <c r="P1113" s="573">
        <v>-9999</v>
      </c>
      <c r="Q1113" s="411">
        <v>-9999</v>
      </c>
      <c r="R1113" s="573"/>
      <c r="S1113" s="411"/>
      <c r="T1113" s="573">
        <v>26.8</v>
      </c>
      <c r="U1113" s="411">
        <v>-9999</v>
      </c>
      <c r="V1113" s="411"/>
      <c r="W1113" s="573">
        <v>-9999</v>
      </c>
      <c r="X1113" s="411">
        <v>-9999</v>
      </c>
      <c r="Y1113" s="411"/>
      <c r="Z1113" s="411" t="s">
        <v>1220</v>
      </c>
      <c r="AA1113" s="582">
        <v>2222</v>
      </c>
      <c r="AB1113" s="573">
        <v>1</v>
      </c>
      <c r="AC1113" s="411">
        <v>-9999</v>
      </c>
      <c r="AD1113" s="411" t="s">
        <v>1237</v>
      </c>
      <c r="AE1113" s="411" t="s">
        <v>1955</v>
      </c>
      <c r="AF1113" s="411">
        <v>3</v>
      </c>
      <c r="AG1113" s="411">
        <v>2</v>
      </c>
      <c r="AH1113" s="411" t="s">
        <v>623</v>
      </c>
      <c r="AI1113" s="411" t="s">
        <v>834</v>
      </c>
      <c r="AJ1113" s="411" t="s">
        <v>1235</v>
      </c>
      <c r="AK1113" s="411" t="s">
        <v>1236</v>
      </c>
      <c r="AL1113" s="411">
        <v>-9999</v>
      </c>
      <c r="AM1113" s="411">
        <v>-9999</v>
      </c>
      <c r="AN1113" s="411" t="s">
        <v>631</v>
      </c>
      <c r="AO1113" s="411">
        <v>-9999</v>
      </c>
      <c r="AP1113" s="411">
        <v>-9999</v>
      </c>
      <c r="AQ1113" s="411" t="s">
        <v>626</v>
      </c>
      <c r="AR1113" s="411">
        <v>500</v>
      </c>
      <c r="AS1113" s="411" t="s">
        <v>1111</v>
      </c>
      <c r="AT1113" s="411" t="s">
        <v>688</v>
      </c>
      <c r="AU1113" s="411">
        <v>0</v>
      </c>
      <c r="AV1113" s="411">
        <v>-9999</v>
      </c>
      <c r="AW1113" s="411">
        <v>-9999</v>
      </c>
      <c r="AX1113" s="411">
        <v>0</v>
      </c>
      <c r="AY1113" s="411">
        <v>-9999</v>
      </c>
      <c r="AZ1113" s="411">
        <v>-9999</v>
      </c>
      <c r="BA1113" s="411">
        <v>-9999</v>
      </c>
      <c r="BB1113" s="411" t="s">
        <v>626</v>
      </c>
      <c r="BC1113" s="411" t="s">
        <v>881</v>
      </c>
      <c r="BD1113" s="411" t="s">
        <v>1229</v>
      </c>
      <c r="BE1113" s="411" t="s">
        <v>1231</v>
      </c>
      <c r="BF1113" s="411" t="s">
        <v>1230</v>
      </c>
      <c r="BG1113" s="411" t="s">
        <v>1232</v>
      </c>
      <c r="BH1113" s="411" t="s">
        <v>1233</v>
      </c>
      <c r="BI1113" s="411" t="s">
        <v>1234</v>
      </c>
      <c r="BJ1113" s="585">
        <v>23</v>
      </c>
      <c r="BK1113" s="411">
        <v>-9999</v>
      </c>
      <c r="BL1113" s="411">
        <v>13.4</v>
      </c>
      <c r="BM1113" s="411">
        <v>-9999</v>
      </c>
      <c r="BN1113" s="411">
        <v>4.3</v>
      </c>
      <c r="BO1113" s="411">
        <v>-9999</v>
      </c>
      <c r="BP1113" s="411">
        <v>-9999</v>
      </c>
      <c r="BQ1113" s="411">
        <v>-9999</v>
      </c>
      <c r="BR1113" s="411">
        <v>-9999</v>
      </c>
      <c r="BS1113" s="583">
        <f t="shared" si="118"/>
        <v>354.2928</v>
      </c>
      <c r="BT1113" s="585">
        <v>24.8</v>
      </c>
      <c r="BU1113" s="411">
        <v>-9999</v>
      </c>
      <c r="BV1113" s="411">
        <v>-9999</v>
      </c>
      <c r="BW1113" s="411"/>
      <c r="BX1113" s="411">
        <v>-9999</v>
      </c>
      <c r="BY1113" s="411">
        <v>-9999</v>
      </c>
      <c r="BZ1113" s="411">
        <v>-9999</v>
      </c>
      <c r="CA1113" s="578" t="s">
        <v>524</v>
      </c>
      <c r="CB1113" s="579" t="s">
        <v>0</v>
      </c>
      <c r="CC1113" s="571">
        <v>1</v>
      </c>
      <c r="CD1113" s="411" t="s">
        <v>1598</v>
      </c>
      <c r="CE1113" s="393">
        <v>26.8</v>
      </c>
      <c r="CF1113" s="99">
        <v>-9999</v>
      </c>
      <c r="CG1113" s="92">
        <v>4</v>
      </c>
      <c r="CH1113" s="436"/>
    </row>
    <row r="1114" spans="1:1873" s="23" customFormat="1" ht="15.75" x14ac:dyDescent="0.3">
      <c r="A1114" s="273" t="s">
        <v>932</v>
      </c>
      <c r="B1114" s="469" t="s">
        <v>1169</v>
      </c>
      <c r="C1114" s="570" t="s">
        <v>1216</v>
      </c>
      <c r="D1114" s="273" t="s">
        <v>619</v>
      </c>
      <c r="E1114" s="462" t="s">
        <v>1532</v>
      </c>
      <c r="F1114" s="462">
        <v>1</v>
      </c>
      <c r="G1114" s="273">
        <v>4</v>
      </c>
      <c r="H1114" s="468">
        <v>4</v>
      </c>
      <c r="I1114" s="273" t="s">
        <v>955</v>
      </c>
      <c r="J1114" s="273">
        <v>1987</v>
      </c>
      <c r="K1114" s="273" t="s">
        <v>1211</v>
      </c>
      <c r="L1114" s="273">
        <v>1990</v>
      </c>
      <c r="M1114" s="471">
        <v>-9999</v>
      </c>
      <c r="N1114" s="273">
        <v>-9999</v>
      </c>
      <c r="O1114" s="29"/>
      <c r="P1114" s="471">
        <v>-9999</v>
      </c>
      <c r="Q1114" s="273">
        <v>-9999</v>
      </c>
      <c r="R1114" s="471"/>
      <c r="S1114" s="273"/>
      <c r="T1114" s="471">
        <v>21.5</v>
      </c>
      <c r="U1114" s="273">
        <v>-9999</v>
      </c>
      <c r="V1114" s="273"/>
      <c r="W1114" s="471">
        <v>-9999</v>
      </c>
      <c r="X1114" s="273">
        <v>-9999</v>
      </c>
      <c r="Y1114" s="273"/>
      <c r="Z1114" s="273" t="s">
        <v>1220</v>
      </c>
      <c r="AA1114" s="580">
        <v>2222</v>
      </c>
      <c r="AB1114" s="471">
        <v>1</v>
      </c>
      <c r="AC1114" s="273">
        <v>-9999</v>
      </c>
      <c r="AD1114" s="273" t="s">
        <v>1237</v>
      </c>
      <c r="AE1114" s="461" t="s">
        <v>1955</v>
      </c>
      <c r="AF1114" s="273">
        <v>3</v>
      </c>
      <c r="AG1114" s="273">
        <v>2</v>
      </c>
      <c r="AH1114" s="273" t="s">
        <v>623</v>
      </c>
      <c r="AI1114" s="273" t="s">
        <v>834</v>
      </c>
      <c r="AJ1114" s="273" t="s">
        <v>1235</v>
      </c>
      <c r="AK1114" s="273" t="s">
        <v>1236</v>
      </c>
      <c r="AL1114" s="273">
        <v>-9999</v>
      </c>
      <c r="AM1114" s="273">
        <v>-9999</v>
      </c>
      <c r="AN1114" s="273" t="s">
        <v>631</v>
      </c>
      <c r="AO1114" s="273">
        <v>-9999</v>
      </c>
      <c r="AP1114" s="273">
        <v>-9999</v>
      </c>
      <c r="AQ1114" s="273" t="s">
        <v>626</v>
      </c>
      <c r="AR1114" s="273">
        <v>500</v>
      </c>
      <c r="AS1114" s="273" t="s">
        <v>1201</v>
      </c>
      <c r="AT1114" s="273" t="s">
        <v>688</v>
      </c>
      <c r="AU1114" s="273">
        <v>0</v>
      </c>
      <c r="AV1114" s="273">
        <v>-9999</v>
      </c>
      <c r="AW1114" s="273">
        <v>-9999</v>
      </c>
      <c r="AX1114" s="273">
        <v>0</v>
      </c>
      <c r="AY1114" s="273">
        <v>-9999</v>
      </c>
      <c r="AZ1114" s="273">
        <v>-9999</v>
      </c>
      <c r="BA1114" s="273">
        <v>-9999</v>
      </c>
      <c r="BB1114" s="273" t="s">
        <v>626</v>
      </c>
      <c r="BC1114" s="273" t="s">
        <v>881</v>
      </c>
      <c r="BD1114" s="273" t="s">
        <v>1229</v>
      </c>
      <c r="BE1114" s="273" t="s">
        <v>1231</v>
      </c>
      <c r="BF1114" s="273" t="s">
        <v>1230</v>
      </c>
      <c r="BG1114" s="273" t="s">
        <v>1232</v>
      </c>
      <c r="BH1114" s="273" t="s">
        <v>1233</v>
      </c>
      <c r="BI1114" s="273" t="s">
        <v>1234</v>
      </c>
      <c r="BJ1114" s="586">
        <v>16.8</v>
      </c>
      <c r="BK1114" s="273">
        <v>-9999</v>
      </c>
      <c r="BL1114" s="273">
        <v>11.6</v>
      </c>
      <c r="BM1114" s="273">
        <v>-9999</v>
      </c>
      <c r="BN1114" s="273">
        <v>3.1</v>
      </c>
      <c r="BO1114" s="273">
        <v>-9999</v>
      </c>
      <c r="BP1114" s="273">
        <v>-9999</v>
      </c>
      <c r="BQ1114" s="273">
        <v>-9999</v>
      </c>
      <c r="BR1114" s="273">
        <v>-9999</v>
      </c>
      <c r="BS1114" s="584">
        <f t="shared" si="118"/>
        <v>261.43380000000002</v>
      </c>
      <c r="BT1114" s="586">
        <v>18.3</v>
      </c>
      <c r="BU1114" s="273">
        <v>-9999</v>
      </c>
      <c r="BV1114" s="273">
        <v>-9999</v>
      </c>
      <c r="BW1114" s="273"/>
      <c r="BX1114" s="273">
        <v>-9999</v>
      </c>
      <c r="BY1114" s="273">
        <v>-9999</v>
      </c>
      <c r="BZ1114" s="273">
        <v>-9999</v>
      </c>
      <c r="CA1114" s="472" t="s">
        <v>524</v>
      </c>
      <c r="CB1114" s="473" t="s">
        <v>0</v>
      </c>
      <c r="CC1114" s="462">
        <v>1</v>
      </c>
      <c r="CD1114" s="587" t="s">
        <v>1599</v>
      </c>
      <c r="CE1114" s="292">
        <v>21.5</v>
      </c>
      <c r="CF1114" s="292">
        <v>-9999</v>
      </c>
      <c r="CG1114" s="93">
        <v>4</v>
      </c>
    </row>
    <row r="1115" spans="1:1873" s="23" customFormat="1" ht="15.75" x14ac:dyDescent="0.3">
      <c r="A1115" s="273" t="s">
        <v>932</v>
      </c>
      <c r="B1115" s="469" t="s">
        <v>1169</v>
      </c>
      <c r="C1115" s="273" t="s">
        <v>1214</v>
      </c>
      <c r="D1115" s="273" t="s">
        <v>619</v>
      </c>
      <c r="E1115" s="462" t="s">
        <v>1533</v>
      </c>
      <c r="F1115" s="462">
        <v>1</v>
      </c>
      <c r="G1115" s="273">
        <v>4</v>
      </c>
      <c r="H1115" s="468">
        <v>4</v>
      </c>
      <c r="I1115" s="273" t="s">
        <v>955</v>
      </c>
      <c r="J1115" s="273">
        <v>1987</v>
      </c>
      <c r="K1115" s="273" t="s">
        <v>1211</v>
      </c>
      <c r="L1115" s="273">
        <v>1990</v>
      </c>
      <c r="M1115" s="471">
        <v>-9999</v>
      </c>
      <c r="N1115" s="273">
        <v>-9999</v>
      </c>
      <c r="O1115" s="29"/>
      <c r="P1115" s="471">
        <v>-9999</v>
      </c>
      <c r="Q1115" s="273">
        <v>-9999</v>
      </c>
      <c r="R1115" s="471"/>
      <c r="S1115" s="273"/>
      <c r="T1115" s="471">
        <v>22.5</v>
      </c>
      <c r="U1115" s="273">
        <v>-9999</v>
      </c>
      <c r="V1115" s="273"/>
      <c r="W1115" s="471">
        <v>-9999</v>
      </c>
      <c r="X1115" s="273">
        <v>-9999</v>
      </c>
      <c r="Y1115" s="273"/>
      <c r="Z1115" s="273" t="s">
        <v>1220</v>
      </c>
      <c r="AA1115" s="580">
        <v>2222</v>
      </c>
      <c r="AB1115" s="471">
        <v>1</v>
      </c>
      <c r="AC1115" s="273">
        <v>-9999</v>
      </c>
      <c r="AD1115" s="273" t="s">
        <v>1237</v>
      </c>
      <c r="AE1115" s="461" t="s">
        <v>1955</v>
      </c>
      <c r="AF1115" s="273">
        <v>3</v>
      </c>
      <c r="AG1115" s="273">
        <v>2</v>
      </c>
      <c r="AH1115" s="273" t="s">
        <v>623</v>
      </c>
      <c r="AI1115" s="273" t="s">
        <v>834</v>
      </c>
      <c r="AJ1115" s="273" t="s">
        <v>1235</v>
      </c>
      <c r="AK1115" s="273" t="s">
        <v>1236</v>
      </c>
      <c r="AL1115" s="273">
        <v>-9999</v>
      </c>
      <c r="AM1115" s="273">
        <v>-9999</v>
      </c>
      <c r="AN1115" s="273" t="s">
        <v>631</v>
      </c>
      <c r="AO1115" s="273">
        <v>-9999</v>
      </c>
      <c r="AP1115" s="273">
        <v>-9999</v>
      </c>
      <c r="AQ1115" s="273" t="s">
        <v>626</v>
      </c>
      <c r="AR1115" s="273">
        <v>500</v>
      </c>
      <c r="AS1115" s="273" t="s">
        <v>1201</v>
      </c>
      <c r="AT1115" s="273" t="s">
        <v>688</v>
      </c>
      <c r="AU1115" s="273">
        <v>0</v>
      </c>
      <c r="AV1115" s="273">
        <v>-9999</v>
      </c>
      <c r="AW1115" s="273">
        <v>-9999</v>
      </c>
      <c r="AX1115" s="273">
        <v>0</v>
      </c>
      <c r="AY1115" s="273">
        <v>-9999</v>
      </c>
      <c r="AZ1115" s="273">
        <v>-9999</v>
      </c>
      <c r="BA1115" s="273">
        <v>-9999</v>
      </c>
      <c r="BB1115" s="273" t="s">
        <v>626</v>
      </c>
      <c r="BC1115" s="273" t="s">
        <v>881</v>
      </c>
      <c r="BD1115" s="273" t="s">
        <v>1229</v>
      </c>
      <c r="BE1115" s="273" t="s">
        <v>1231</v>
      </c>
      <c r="BF1115" s="273" t="s">
        <v>1230</v>
      </c>
      <c r="BG1115" s="273" t="s">
        <v>1232</v>
      </c>
      <c r="BH1115" s="273" t="s">
        <v>1233</v>
      </c>
      <c r="BI1115" s="273" t="s">
        <v>1234</v>
      </c>
      <c r="BJ1115" s="586">
        <v>18.8</v>
      </c>
      <c r="BK1115" s="273">
        <v>-9999</v>
      </c>
      <c r="BL1115" s="273">
        <v>12.8</v>
      </c>
      <c r="BM1115" s="273">
        <v>-9999</v>
      </c>
      <c r="BN1115" s="273">
        <v>3.3</v>
      </c>
      <c r="BO1115" s="273">
        <v>-9999</v>
      </c>
      <c r="BP1115" s="273">
        <v>-9999</v>
      </c>
      <c r="BQ1115" s="273">
        <v>-9999</v>
      </c>
      <c r="BR1115" s="273">
        <v>-9999</v>
      </c>
      <c r="BS1115" s="584">
        <f t="shared" si="118"/>
        <v>258.57659999999998</v>
      </c>
      <c r="BT1115" s="586">
        <v>18.100000000000001</v>
      </c>
      <c r="BU1115" s="273">
        <v>-9999</v>
      </c>
      <c r="BV1115" s="273">
        <v>-9999</v>
      </c>
      <c r="BW1115" s="273"/>
      <c r="BX1115" s="273">
        <v>-9999</v>
      </c>
      <c r="BY1115" s="273">
        <v>-9999</v>
      </c>
      <c r="BZ1115" s="273">
        <v>-9999</v>
      </c>
      <c r="CA1115" s="472" t="s">
        <v>524</v>
      </c>
      <c r="CB1115" s="473" t="s">
        <v>0</v>
      </c>
      <c r="CC1115" s="462">
        <v>1</v>
      </c>
      <c r="CD1115" s="461" t="s">
        <v>1600</v>
      </c>
      <c r="CE1115" s="292">
        <v>22.5</v>
      </c>
      <c r="CF1115" s="292">
        <v>-9999</v>
      </c>
      <c r="CG1115" s="93">
        <v>4</v>
      </c>
    </row>
    <row r="1116" spans="1:1873" s="23" customFormat="1" ht="15.75" x14ac:dyDescent="0.3">
      <c r="A1116" s="273" t="s">
        <v>932</v>
      </c>
      <c r="B1116" s="469" t="s">
        <v>1169</v>
      </c>
      <c r="C1116" s="273" t="s">
        <v>1218</v>
      </c>
      <c r="D1116" s="273" t="s">
        <v>619</v>
      </c>
      <c r="E1116" s="462" t="s">
        <v>1534</v>
      </c>
      <c r="F1116" s="462">
        <v>1</v>
      </c>
      <c r="G1116" s="273">
        <v>4</v>
      </c>
      <c r="H1116" s="468">
        <v>4</v>
      </c>
      <c r="I1116" s="273" t="s">
        <v>955</v>
      </c>
      <c r="J1116" s="273">
        <v>1987</v>
      </c>
      <c r="K1116" s="273" t="s">
        <v>1211</v>
      </c>
      <c r="L1116" s="273">
        <v>1990</v>
      </c>
      <c r="M1116" s="471">
        <v>-9999</v>
      </c>
      <c r="N1116" s="273">
        <v>-9999</v>
      </c>
      <c r="O1116" s="29"/>
      <c r="P1116" s="471">
        <v>-9999</v>
      </c>
      <c r="Q1116" s="273">
        <v>-9999</v>
      </c>
      <c r="R1116" s="471"/>
      <c r="S1116" s="273"/>
      <c r="T1116" s="471">
        <v>19.399999999999999</v>
      </c>
      <c r="U1116" s="273">
        <v>-9999</v>
      </c>
      <c r="V1116" s="273"/>
      <c r="W1116" s="471">
        <v>-9999</v>
      </c>
      <c r="X1116" s="273">
        <v>-9999</v>
      </c>
      <c r="Y1116" s="273"/>
      <c r="Z1116" s="273" t="s">
        <v>1220</v>
      </c>
      <c r="AA1116" s="580">
        <v>2222</v>
      </c>
      <c r="AB1116" s="471">
        <v>1</v>
      </c>
      <c r="AC1116" s="273">
        <v>-9999</v>
      </c>
      <c r="AD1116" s="273" t="s">
        <v>1237</v>
      </c>
      <c r="AE1116" s="461" t="s">
        <v>1955</v>
      </c>
      <c r="AF1116" s="273">
        <v>3</v>
      </c>
      <c r="AG1116" s="273">
        <v>2</v>
      </c>
      <c r="AH1116" s="273" t="s">
        <v>623</v>
      </c>
      <c r="AI1116" s="273" t="s">
        <v>834</v>
      </c>
      <c r="AJ1116" s="273" t="s">
        <v>1235</v>
      </c>
      <c r="AK1116" s="273" t="s">
        <v>1236</v>
      </c>
      <c r="AL1116" s="273">
        <v>-9999</v>
      </c>
      <c r="AM1116" s="273">
        <v>-9999</v>
      </c>
      <c r="AN1116" s="273" t="s">
        <v>631</v>
      </c>
      <c r="AO1116" s="273">
        <v>-9999</v>
      </c>
      <c r="AP1116" s="273">
        <v>-9999</v>
      </c>
      <c r="AQ1116" s="273" t="s">
        <v>626</v>
      </c>
      <c r="AR1116" s="273">
        <v>500</v>
      </c>
      <c r="AS1116" s="273" t="s">
        <v>1201</v>
      </c>
      <c r="AT1116" s="273" t="s">
        <v>688</v>
      </c>
      <c r="AU1116" s="273">
        <v>0</v>
      </c>
      <c r="AV1116" s="273">
        <v>-9999</v>
      </c>
      <c r="AW1116" s="273">
        <v>-9999</v>
      </c>
      <c r="AX1116" s="273">
        <v>0</v>
      </c>
      <c r="AY1116" s="273">
        <v>-9999</v>
      </c>
      <c r="AZ1116" s="273">
        <v>-9999</v>
      </c>
      <c r="BA1116" s="273">
        <v>-9999</v>
      </c>
      <c r="BB1116" s="273" t="s">
        <v>626</v>
      </c>
      <c r="BC1116" s="273" t="s">
        <v>881</v>
      </c>
      <c r="BD1116" s="273" t="s">
        <v>1229</v>
      </c>
      <c r="BE1116" s="273" t="s">
        <v>1231</v>
      </c>
      <c r="BF1116" s="273" t="s">
        <v>1230</v>
      </c>
      <c r="BG1116" s="273" t="s">
        <v>1232</v>
      </c>
      <c r="BH1116" s="273" t="s">
        <v>1233</v>
      </c>
      <c r="BI1116" s="273" t="s">
        <v>1234</v>
      </c>
      <c r="BJ1116" s="586">
        <v>15.8</v>
      </c>
      <c r="BK1116" s="273">
        <v>-9999</v>
      </c>
      <c r="BL1116" s="273">
        <v>13.4</v>
      </c>
      <c r="BM1116" s="273">
        <v>-9999</v>
      </c>
      <c r="BN1116" s="273">
        <v>3.1</v>
      </c>
      <c r="BO1116" s="273">
        <v>-9999</v>
      </c>
      <c r="BP1116" s="273">
        <v>-9999</v>
      </c>
      <c r="BQ1116" s="273">
        <v>-9999</v>
      </c>
      <c r="BR1116" s="273">
        <v>-9999</v>
      </c>
      <c r="BS1116" s="584">
        <f t="shared" si="118"/>
        <v>228.57599999999999</v>
      </c>
      <c r="BT1116" s="586">
        <v>16</v>
      </c>
      <c r="BU1116" s="273">
        <v>-9999</v>
      </c>
      <c r="BV1116" s="273">
        <v>-9999</v>
      </c>
      <c r="BW1116" s="273"/>
      <c r="BX1116" s="273">
        <v>-9999</v>
      </c>
      <c r="BY1116" s="273">
        <v>-9999</v>
      </c>
      <c r="BZ1116" s="273">
        <v>-9999</v>
      </c>
      <c r="CA1116" s="472" t="s">
        <v>524</v>
      </c>
      <c r="CB1116" s="473" t="s">
        <v>0</v>
      </c>
      <c r="CC1116" s="462">
        <v>1</v>
      </c>
      <c r="CD1116" s="461" t="s">
        <v>1601</v>
      </c>
      <c r="CE1116" s="292">
        <v>19.399999999999999</v>
      </c>
      <c r="CF1116" s="292">
        <v>-9999</v>
      </c>
      <c r="CG1116" s="93">
        <v>4</v>
      </c>
    </row>
    <row r="1117" spans="1:1873" s="23" customFormat="1" ht="11.45" customHeight="1" x14ac:dyDescent="0.2">
      <c r="A1117" s="29"/>
      <c r="B1117" s="29"/>
      <c r="C1117" s="29"/>
      <c r="D1117" s="29"/>
      <c r="E1117" s="66"/>
      <c r="F1117" s="66"/>
      <c r="G1117" s="29"/>
      <c r="H1117" s="30"/>
      <c r="I1117" s="29"/>
      <c r="J1117" s="29"/>
      <c r="K1117" s="29"/>
      <c r="L1117" s="29"/>
      <c r="M1117" s="70"/>
      <c r="N1117" s="71"/>
      <c r="O1117" s="29"/>
      <c r="P1117" s="31"/>
      <c r="Q1117" s="29"/>
      <c r="R1117" s="31"/>
      <c r="S1117" s="29"/>
      <c r="T1117" s="31"/>
      <c r="U1117" s="31"/>
      <c r="V1117" s="31"/>
      <c r="W1117" s="31"/>
      <c r="X1117" s="31"/>
      <c r="Y1117" s="31"/>
      <c r="Z1117" s="29"/>
      <c r="AA1117" s="116"/>
      <c r="AB1117" s="31"/>
      <c r="AC1117" s="29"/>
      <c r="AD1117" s="29"/>
      <c r="AE1117" s="29"/>
      <c r="AF1117" s="29"/>
      <c r="AG1117" s="29"/>
      <c r="AH1117" s="29"/>
      <c r="AI1117" s="29"/>
      <c r="AJ1117" s="29"/>
      <c r="AK1117" s="29"/>
      <c r="AL1117" s="29"/>
      <c r="AM1117" s="29"/>
      <c r="AN1117" s="29"/>
      <c r="AO1117" s="29"/>
      <c r="AP1117" s="29"/>
      <c r="AQ1117" s="29"/>
      <c r="AR1117" s="29"/>
      <c r="AS1117" s="29"/>
      <c r="AT1117" s="29"/>
      <c r="AU1117" s="29"/>
      <c r="AV1117" s="29"/>
      <c r="AW1117" s="29"/>
      <c r="AX1117" s="29"/>
      <c r="AY1117" s="29"/>
      <c r="AZ1117" s="29"/>
      <c r="BA1117" s="29"/>
      <c r="BB1117" s="29"/>
      <c r="BC1117" s="29"/>
      <c r="BD1117" s="29"/>
      <c r="BE1117" s="29"/>
      <c r="BF1117" s="29"/>
      <c r="BG1117" s="29"/>
      <c r="BH1117" s="29"/>
      <c r="BI1117" s="29"/>
      <c r="BJ1117" s="29"/>
      <c r="BK1117" s="29"/>
      <c r="BL1117" s="29"/>
      <c r="BM1117" s="29"/>
      <c r="BN1117" s="29"/>
      <c r="BO1117" s="29"/>
      <c r="BP1117" s="29"/>
      <c r="BQ1117" s="29"/>
      <c r="BR1117" s="29"/>
      <c r="BS1117" s="30"/>
      <c r="BT1117" s="29"/>
      <c r="BU1117" s="29"/>
      <c r="BV1117" s="29"/>
      <c r="BW1117" s="29"/>
      <c r="BX1117" s="29"/>
      <c r="BY1117" s="29"/>
      <c r="BZ1117" s="29"/>
      <c r="CA1117" s="330"/>
      <c r="CC1117" s="66"/>
      <c r="CD1117" s="323" t="s">
        <v>1605</v>
      </c>
      <c r="CE1117" s="342" t="s">
        <v>1606</v>
      </c>
      <c r="CF1117" s="292"/>
      <c r="CG1117" s="30"/>
    </row>
    <row r="1118" spans="1:1873" s="23" customFormat="1" x14ac:dyDescent="0.2">
      <c r="A1118" s="273" t="s">
        <v>1221</v>
      </c>
      <c r="B1118" s="469" t="s">
        <v>1169</v>
      </c>
      <c r="C1118" s="273" t="s">
        <v>1170</v>
      </c>
      <c r="D1118" s="273" t="s">
        <v>619</v>
      </c>
      <c r="E1118" s="462" t="s">
        <v>1535</v>
      </c>
      <c r="F1118" s="462">
        <v>1</v>
      </c>
      <c r="G1118" s="273">
        <v>4</v>
      </c>
      <c r="H1118" s="468">
        <v>4</v>
      </c>
      <c r="I1118" s="273" t="s">
        <v>842</v>
      </c>
      <c r="J1118" s="273">
        <v>1985</v>
      </c>
      <c r="K1118" s="273" t="s">
        <v>1211</v>
      </c>
      <c r="L1118" s="273">
        <v>1988</v>
      </c>
      <c r="M1118" s="471">
        <v>-9999</v>
      </c>
      <c r="N1118" s="273">
        <v>-9999</v>
      </c>
      <c r="O1118" s="29"/>
      <c r="P1118" s="414">
        <f t="shared" ref="P1118:P1129" si="119">+T1118*H1118</f>
        <v>58.4</v>
      </c>
      <c r="Q1118" s="273">
        <v>-9999</v>
      </c>
      <c r="R1118" s="471"/>
      <c r="S1118" s="273"/>
      <c r="T1118" s="471">
        <v>14.6</v>
      </c>
      <c r="U1118" s="273">
        <v>-9999</v>
      </c>
      <c r="V1118" s="273"/>
      <c r="W1118" s="471">
        <v>-9999</v>
      </c>
      <c r="X1118" s="273">
        <v>-9999</v>
      </c>
      <c r="Y1118" s="273"/>
      <c r="Z1118" s="273" t="s">
        <v>793</v>
      </c>
      <c r="AA1118" s="273">
        <v>10000</v>
      </c>
      <c r="AB1118" s="471">
        <v>1</v>
      </c>
      <c r="AC1118" s="273">
        <v>0.36</v>
      </c>
      <c r="AD1118" s="273">
        <v>88</v>
      </c>
      <c r="AE1118" s="461" t="s">
        <v>1955</v>
      </c>
      <c r="AF1118" s="273">
        <v>3</v>
      </c>
      <c r="AG1118" s="273">
        <v>1</v>
      </c>
      <c r="AH1118" s="273" t="s">
        <v>623</v>
      </c>
      <c r="AI1118" s="273" t="s">
        <v>624</v>
      </c>
      <c r="AJ1118" s="273">
        <v>-9999</v>
      </c>
      <c r="AK1118" s="273" t="s">
        <v>626</v>
      </c>
      <c r="AL1118" s="273">
        <v>-9999</v>
      </c>
      <c r="AM1118" s="273">
        <v>-9999</v>
      </c>
      <c r="AN1118" s="273" t="s">
        <v>626</v>
      </c>
      <c r="AO1118" s="273" t="s">
        <v>847</v>
      </c>
      <c r="AP1118" s="273" t="s">
        <v>1195</v>
      </c>
      <c r="AQ1118" s="273" t="s">
        <v>631</v>
      </c>
      <c r="AR1118" s="273">
        <v>0</v>
      </c>
      <c r="AS1118" s="273">
        <v>-9999</v>
      </c>
      <c r="AT1118" s="273">
        <v>-9999</v>
      </c>
      <c r="AU1118" s="273">
        <v>0</v>
      </c>
      <c r="AV1118" s="273">
        <v>-9999</v>
      </c>
      <c r="AW1118" s="273">
        <v>-9999</v>
      </c>
      <c r="AX1118" s="273">
        <v>0</v>
      </c>
      <c r="AY1118" s="273">
        <v>-9999</v>
      </c>
      <c r="AZ1118" s="273">
        <v>-9999</v>
      </c>
      <c r="BA1118" s="273" t="s">
        <v>631</v>
      </c>
      <c r="BB1118" s="273" t="s">
        <v>626</v>
      </c>
      <c r="BC1118" s="273" t="s">
        <v>848</v>
      </c>
      <c r="BD1118" s="273" t="s">
        <v>849</v>
      </c>
      <c r="BE1118" s="273"/>
      <c r="BF1118" s="273"/>
      <c r="BG1118" s="273"/>
      <c r="BH1118" s="273"/>
      <c r="BI1118" s="273" t="s">
        <v>1190</v>
      </c>
      <c r="BJ1118" s="273">
        <v>-9999</v>
      </c>
      <c r="BK1118" s="273">
        <v>-9999</v>
      </c>
      <c r="BL1118" s="273">
        <v>10.42</v>
      </c>
      <c r="BM1118" s="273">
        <v>-9999</v>
      </c>
      <c r="BN1118" s="273">
        <v>-9999</v>
      </c>
      <c r="BO1118" s="273">
        <v>-9999</v>
      </c>
      <c r="BP1118" s="273">
        <v>-9999</v>
      </c>
      <c r="BQ1118" s="273">
        <v>-9999</v>
      </c>
      <c r="BR1118" s="273">
        <v>72.31</v>
      </c>
      <c r="BS1118" s="468">
        <v>-9999</v>
      </c>
      <c r="BT1118" s="273">
        <v>-9999</v>
      </c>
      <c r="BU1118" s="273">
        <v>59.52</v>
      </c>
      <c r="BV1118" s="273">
        <v>-9999</v>
      </c>
      <c r="BW1118" s="273"/>
      <c r="BX1118" s="273">
        <v>-9999</v>
      </c>
      <c r="BY1118" s="273">
        <v>-9999</v>
      </c>
      <c r="BZ1118" s="273">
        <v>-9999</v>
      </c>
      <c r="CA1118" s="472" t="s">
        <v>850</v>
      </c>
      <c r="CB1118" s="467" t="s">
        <v>1602</v>
      </c>
      <c r="CC1118" s="462">
        <v>1</v>
      </c>
      <c r="CD1118" s="273" t="s">
        <v>1170</v>
      </c>
      <c r="CE1118" s="292">
        <v>14.6</v>
      </c>
      <c r="CF1118" s="292">
        <v>-9999</v>
      </c>
      <c r="CG1118" s="93">
        <v>4</v>
      </c>
    </row>
    <row r="1119" spans="1:1873" s="23" customFormat="1" x14ac:dyDescent="0.2">
      <c r="A1119" s="273" t="s">
        <v>1221</v>
      </c>
      <c r="B1119" s="469" t="s">
        <v>1169</v>
      </c>
      <c r="C1119" s="273" t="s">
        <v>356</v>
      </c>
      <c r="D1119" s="273" t="s">
        <v>619</v>
      </c>
      <c r="E1119" s="462" t="s">
        <v>1536</v>
      </c>
      <c r="F1119" s="462">
        <v>1</v>
      </c>
      <c r="G1119" s="273">
        <v>4</v>
      </c>
      <c r="H1119" s="468">
        <v>4</v>
      </c>
      <c r="I1119" s="273" t="s">
        <v>842</v>
      </c>
      <c r="J1119" s="273">
        <v>1985</v>
      </c>
      <c r="K1119" s="273" t="s">
        <v>1211</v>
      </c>
      <c r="L1119" s="273">
        <v>1988</v>
      </c>
      <c r="M1119" s="471">
        <v>-9999</v>
      </c>
      <c r="N1119" s="273">
        <v>-9999</v>
      </c>
      <c r="O1119" s="29"/>
      <c r="P1119" s="414">
        <f t="shared" si="119"/>
        <v>55.2</v>
      </c>
      <c r="Q1119" s="273">
        <v>-9999</v>
      </c>
      <c r="R1119" s="471"/>
      <c r="S1119" s="273"/>
      <c r="T1119" s="471">
        <v>13.8</v>
      </c>
      <c r="U1119" s="273">
        <v>-9999</v>
      </c>
      <c r="V1119" s="273"/>
      <c r="W1119" s="471">
        <v>-9999</v>
      </c>
      <c r="X1119" s="273">
        <v>-9999</v>
      </c>
      <c r="Y1119" s="273"/>
      <c r="Z1119" s="273" t="s">
        <v>793</v>
      </c>
      <c r="AA1119" s="273">
        <v>10000</v>
      </c>
      <c r="AB1119" s="471">
        <v>1</v>
      </c>
      <c r="AC1119" s="273">
        <v>0.36</v>
      </c>
      <c r="AD1119" s="273">
        <v>88</v>
      </c>
      <c r="AE1119" s="461" t="s">
        <v>1955</v>
      </c>
      <c r="AF1119" s="273">
        <v>3</v>
      </c>
      <c r="AG1119" s="273">
        <v>1</v>
      </c>
      <c r="AH1119" s="273" t="s">
        <v>623</v>
      </c>
      <c r="AI1119" s="273" t="s">
        <v>624</v>
      </c>
      <c r="AJ1119" s="273">
        <v>-9999</v>
      </c>
      <c r="AK1119" s="273" t="s">
        <v>626</v>
      </c>
      <c r="AL1119" s="273">
        <v>-9999</v>
      </c>
      <c r="AM1119" s="273">
        <v>-9999</v>
      </c>
      <c r="AN1119" s="273" t="s">
        <v>626</v>
      </c>
      <c r="AO1119" s="273" t="s">
        <v>847</v>
      </c>
      <c r="AP1119" s="273" t="s">
        <v>1195</v>
      </c>
      <c r="AQ1119" s="273" t="s">
        <v>631</v>
      </c>
      <c r="AR1119" s="273">
        <v>0</v>
      </c>
      <c r="AS1119" s="273">
        <v>-9999</v>
      </c>
      <c r="AT1119" s="273">
        <v>-9999</v>
      </c>
      <c r="AU1119" s="273">
        <v>0</v>
      </c>
      <c r="AV1119" s="273">
        <v>-9999</v>
      </c>
      <c r="AW1119" s="273">
        <v>-9999</v>
      </c>
      <c r="AX1119" s="273">
        <v>0</v>
      </c>
      <c r="AY1119" s="273">
        <v>-9999</v>
      </c>
      <c r="AZ1119" s="273">
        <v>-9999</v>
      </c>
      <c r="BA1119" s="273" t="s">
        <v>631</v>
      </c>
      <c r="BB1119" s="273" t="s">
        <v>626</v>
      </c>
      <c r="BC1119" s="273" t="s">
        <v>848</v>
      </c>
      <c r="BD1119" s="273" t="s">
        <v>849</v>
      </c>
      <c r="BE1119" s="273"/>
      <c r="BF1119" s="273"/>
      <c r="BG1119" s="273"/>
      <c r="BH1119" s="273"/>
      <c r="BI1119" s="273" t="s">
        <v>1190</v>
      </c>
      <c r="BJ1119" s="273">
        <v>-9999</v>
      </c>
      <c r="BK1119" s="273">
        <v>-9999</v>
      </c>
      <c r="BL1119" s="273">
        <v>9.3699999999999992</v>
      </c>
      <c r="BM1119" s="273">
        <v>-9999</v>
      </c>
      <c r="BN1119" s="273">
        <v>-9999</v>
      </c>
      <c r="BO1119" s="273">
        <v>-9999</v>
      </c>
      <c r="BP1119" s="273">
        <v>-9999</v>
      </c>
      <c r="BQ1119" s="273">
        <v>-9999</v>
      </c>
      <c r="BR1119" s="273">
        <v>71.430000000000007</v>
      </c>
      <c r="BS1119" s="468">
        <v>-9999</v>
      </c>
      <c r="BT1119" s="273">
        <v>-9999</v>
      </c>
      <c r="BU1119" s="273">
        <v>53.22</v>
      </c>
      <c r="BV1119" s="273">
        <v>-9999</v>
      </c>
      <c r="BW1119" s="273"/>
      <c r="BX1119" s="273">
        <v>-9999</v>
      </c>
      <c r="BY1119" s="273">
        <v>-9999</v>
      </c>
      <c r="BZ1119" s="273">
        <v>-9999</v>
      </c>
      <c r="CA1119" s="472" t="s">
        <v>850</v>
      </c>
      <c r="CB1119" s="467" t="s">
        <v>1602</v>
      </c>
      <c r="CC1119" s="462">
        <v>1</v>
      </c>
      <c r="CD1119" s="273" t="s">
        <v>356</v>
      </c>
      <c r="CE1119" s="292">
        <v>13.8</v>
      </c>
      <c r="CF1119" s="292">
        <v>-9999</v>
      </c>
      <c r="CG1119" s="93">
        <v>4</v>
      </c>
      <c r="CP1119" s="301" t="s">
        <v>1614</v>
      </c>
    </row>
    <row r="1120" spans="1:1873" s="210" customFormat="1" x14ac:dyDescent="0.2">
      <c r="A1120" s="411" t="s">
        <v>1221</v>
      </c>
      <c r="B1120" s="574" t="s">
        <v>1169</v>
      </c>
      <c r="C1120" s="411" t="s">
        <v>1174</v>
      </c>
      <c r="D1120" s="411" t="s">
        <v>619</v>
      </c>
      <c r="E1120" s="571" t="s">
        <v>1506</v>
      </c>
      <c r="F1120" s="571">
        <v>1</v>
      </c>
      <c r="G1120" s="411">
        <v>4</v>
      </c>
      <c r="H1120" s="577">
        <v>4</v>
      </c>
      <c r="I1120" s="411" t="s">
        <v>842</v>
      </c>
      <c r="J1120" s="411">
        <v>1985</v>
      </c>
      <c r="K1120" s="589" t="s">
        <v>1211</v>
      </c>
      <c r="L1120" s="411">
        <v>1988</v>
      </c>
      <c r="M1120" s="573">
        <v>-9999</v>
      </c>
      <c r="N1120" s="411">
        <v>-9999</v>
      </c>
      <c r="O1120" s="18"/>
      <c r="P1120" s="414">
        <f t="shared" si="119"/>
        <v>96.8</v>
      </c>
      <c r="Q1120" s="411">
        <v>-9999</v>
      </c>
      <c r="R1120" s="573"/>
      <c r="S1120" s="411"/>
      <c r="T1120" s="573">
        <v>24.2</v>
      </c>
      <c r="U1120" s="411">
        <v>-9999</v>
      </c>
      <c r="V1120" s="411"/>
      <c r="W1120" s="573">
        <v>-9999</v>
      </c>
      <c r="X1120" s="411">
        <v>-9999</v>
      </c>
      <c r="Y1120" s="411"/>
      <c r="Z1120" s="411" t="s">
        <v>793</v>
      </c>
      <c r="AA1120" s="411">
        <v>10000</v>
      </c>
      <c r="AB1120" s="573">
        <v>1</v>
      </c>
      <c r="AC1120" s="411">
        <v>0.36</v>
      </c>
      <c r="AD1120" s="411">
        <v>88</v>
      </c>
      <c r="AE1120" s="411" t="s">
        <v>1955</v>
      </c>
      <c r="AF1120" s="411">
        <v>3</v>
      </c>
      <c r="AG1120" s="411">
        <v>1</v>
      </c>
      <c r="AH1120" s="411" t="s">
        <v>623</v>
      </c>
      <c r="AI1120" s="411" t="s">
        <v>624</v>
      </c>
      <c r="AJ1120" s="411">
        <v>-9999</v>
      </c>
      <c r="AK1120" s="411" t="s">
        <v>626</v>
      </c>
      <c r="AL1120" s="411">
        <v>-9999</v>
      </c>
      <c r="AM1120" s="411">
        <v>-9999</v>
      </c>
      <c r="AN1120" s="411" t="s">
        <v>626</v>
      </c>
      <c r="AO1120" s="411" t="s">
        <v>847</v>
      </c>
      <c r="AP1120" s="411" t="s">
        <v>1195</v>
      </c>
      <c r="AQ1120" s="411" t="s">
        <v>631</v>
      </c>
      <c r="AR1120" s="411">
        <v>0</v>
      </c>
      <c r="AS1120" s="411">
        <v>-9999</v>
      </c>
      <c r="AT1120" s="411">
        <v>-9999</v>
      </c>
      <c r="AU1120" s="411">
        <v>0</v>
      </c>
      <c r="AV1120" s="411">
        <v>-9999</v>
      </c>
      <c r="AW1120" s="411">
        <v>-9999</v>
      </c>
      <c r="AX1120" s="411">
        <v>0</v>
      </c>
      <c r="AY1120" s="411">
        <v>-9999</v>
      </c>
      <c r="AZ1120" s="411">
        <v>-9999</v>
      </c>
      <c r="BA1120" s="411" t="s">
        <v>631</v>
      </c>
      <c r="BB1120" s="411" t="s">
        <v>626</v>
      </c>
      <c r="BC1120" s="411" t="s">
        <v>848</v>
      </c>
      <c r="BD1120" s="411" t="s">
        <v>849</v>
      </c>
      <c r="BE1120" s="411"/>
      <c r="BF1120" s="411"/>
      <c r="BG1120" s="411"/>
      <c r="BH1120" s="411"/>
      <c r="BI1120" s="411" t="s">
        <v>1190</v>
      </c>
      <c r="BJ1120" s="411">
        <v>-9999</v>
      </c>
      <c r="BK1120" s="411">
        <v>-9999</v>
      </c>
      <c r="BL1120" s="411">
        <v>11.73</v>
      </c>
      <c r="BM1120" s="411">
        <v>-9999</v>
      </c>
      <c r="BN1120" s="411">
        <v>-9999</v>
      </c>
      <c r="BO1120" s="411">
        <v>-9999</v>
      </c>
      <c r="BP1120" s="411">
        <v>-9999</v>
      </c>
      <c r="BQ1120" s="411">
        <v>-9999</v>
      </c>
      <c r="BR1120" s="411">
        <v>82.67</v>
      </c>
      <c r="BS1120" s="468">
        <v>-9999</v>
      </c>
      <c r="BT1120" s="411">
        <v>-9999</v>
      </c>
      <c r="BU1120" s="411">
        <v>89</v>
      </c>
      <c r="BV1120" s="411">
        <v>-9999</v>
      </c>
      <c r="BW1120" s="411"/>
      <c r="BX1120" s="411">
        <v>-9999</v>
      </c>
      <c r="BY1120" s="411">
        <v>-9999</v>
      </c>
      <c r="BZ1120" s="411">
        <v>-9999</v>
      </c>
      <c r="CA1120" s="578" t="s">
        <v>850</v>
      </c>
      <c r="CB1120" s="579" t="s">
        <v>1602</v>
      </c>
      <c r="CC1120" s="571">
        <v>1</v>
      </c>
      <c r="CD1120" s="411" t="s">
        <v>1607</v>
      </c>
      <c r="CE1120" s="393">
        <v>24.2</v>
      </c>
      <c r="CF1120" s="99">
        <v>-9999</v>
      </c>
      <c r="CG1120" s="209">
        <v>4</v>
      </c>
      <c r="CH1120" s="436" t="s">
        <v>1757</v>
      </c>
      <c r="CI1120" s="13"/>
      <c r="CJ1120" s="13"/>
      <c r="CK1120" s="13"/>
      <c r="CL1120" s="13"/>
      <c r="CM1120" s="13"/>
      <c r="CN1120" s="13"/>
      <c r="CO1120" s="13"/>
      <c r="CP1120" s="301" t="s">
        <v>1612</v>
      </c>
      <c r="CQ1120" s="13"/>
      <c r="CR1120" s="13"/>
      <c r="CS1120" s="13"/>
      <c r="CT1120" s="13"/>
      <c r="CU1120" s="13"/>
      <c r="CV1120" s="13"/>
      <c r="CW1120" s="13"/>
      <c r="CX1120" s="13"/>
      <c r="CY1120" s="13"/>
      <c r="CZ1120" s="13"/>
      <c r="DA1120" s="13"/>
      <c r="DB1120" s="13"/>
      <c r="DC1120" s="13"/>
      <c r="DD1120" s="13"/>
      <c r="DE1120" s="13"/>
      <c r="DF1120" s="13"/>
      <c r="DG1120" s="13"/>
      <c r="DH1120" s="13"/>
      <c r="DI1120" s="13"/>
      <c r="DJ1120" s="13"/>
      <c r="DK1120" s="13"/>
      <c r="DL1120" s="13"/>
      <c r="DM1120" s="13"/>
      <c r="DN1120" s="13"/>
      <c r="DO1120" s="13"/>
      <c r="DP1120" s="13"/>
      <c r="DQ1120" s="13"/>
      <c r="DR1120" s="13"/>
      <c r="DS1120" s="13"/>
      <c r="DT1120" s="13"/>
      <c r="DU1120" s="13"/>
      <c r="DV1120" s="13"/>
      <c r="DW1120" s="13"/>
      <c r="DX1120" s="13"/>
      <c r="DY1120" s="13"/>
      <c r="DZ1120" s="13"/>
      <c r="EA1120" s="13"/>
      <c r="EB1120" s="13"/>
      <c r="EC1120" s="13"/>
      <c r="ED1120" s="13"/>
      <c r="EE1120" s="13"/>
      <c r="EF1120" s="13"/>
      <c r="EG1120" s="13"/>
      <c r="EH1120" s="13"/>
      <c r="EI1120" s="13"/>
      <c r="EJ1120" s="13"/>
      <c r="EK1120" s="13"/>
      <c r="EL1120" s="13"/>
      <c r="EM1120" s="13"/>
      <c r="EN1120" s="13"/>
      <c r="EO1120" s="13"/>
      <c r="EP1120" s="13"/>
      <c r="EQ1120" s="13"/>
      <c r="ER1120" s="13"/>
      <c r="ES1120" s="13"/>
      <c r="ET1120" s="13"/>
      <c r="EU1120" s="13"/>
      <c r="EV1120" s="13"/>
      <c r="EW1120" s="13"/>
      <c r="EX1120" s="13"/>
      <c r="EY1120" s="13"/>
      <c r="EZ1120" s="13"/>
      <c r="FA1120" s="13"/>
      <c r="FB1120" s="13"/>
      <c r="FC1120" s="13"/>
      <c r="FD1120" s="13"/>
      <c r="FE1120" s="13"/>
      <c r="FF1120" s="13"/>
      <c r="FG1120" s="13"/>
      <c r="FH1120" s="13"/>
      <c r="FI1120" s="13"/>
      <c r="FJ1120" s="13"/>
      <c r="FK1120" s="13"/>
      <c r="FL1120" s="13"/>
      <c r="FM1120" s="13"/>
      <c r="FN1120" s="13"/>
      <c r="FO1120" s="13"/>
      <c r="FP1120" s="13"/>
      <c r="FQ1120" s="13"/>
      <c r="FR1120" s="13"/>
      <c r="FS1120" s="13"/>
      <c r="FT1120" s="13"/>
      <c r="FU1120" s="13"/>
      <c r="FV1120" s="13"/>
      <c r="FW1120" s="13"/>
      <c r="FX1120" s="13"/>
      <c r="FY1120" s="13"/>
      <c r="FZ1120" s="13"/>
      <c r="GA1120" s="13"/>
      <c r="GB1120" s="13"/>
      <c r="GC1120" s="13"/>
      <c r="GD1120" s="13"/>
      <c r="GE1120" s="13"/>
      <c r="GF1120" s="13"/>
      <c r="GG1120" s="13"/>
      <c r="GH1120" s="13"/>
      <c r="GI1120" s="13"/>
      <c r="GJ1120" s="13"/>
      <c r="GK1120" s="13"/>
      <c r="GL1120" s="13"/>
      <c r="GM1120" s="13"/>
      <c r="GN1120" s="13"/>
      <c r="GO1120" s="13"/>
      <c r="GP1120" s="13"/>
      <c r="GQ1120" s="13"/>
      <c r="GR1120" s="13"/>
      <c r="GS1120" s="13"/>
      <c r="GT1120" s="13"/>
      <c r="GU1120" s="13"/>
      <c r="GV1120" s="13"/>
      <c r="GW1120" s="13"/>
      <c r="GX1120" s="13"/>
      <c r="GY1120" s="13"/>
      <c r="GZ1120" s="13"/>
      <c r="HA1120" s="13"/>
      <c r="HB1120" s="13"/>
      <c r="HC1120" s="13"/>
      <c r="HD1120" s="13"/>
      <c r="HE1120" s="13"/>
      <c r="HF1120" s="13"/>
      <c r="HG1120" s="13"/>
      <c r="HH1120" s="13"/>
      <c r="HI1120" s="13"/>
      <c r="HJ1120" s="13"/>
      <c r="HK1120" s="13"/>
      <c r="HL1120" s="13"/>
      <c r="HM1120" s="13"/>
      <c r="HN1120" s="13"/>
      <c r="HO1120" s="13"/>
      <c r="HP1120" s="13"/>
      <c r="HQ1120" s="13"/>
      <c r="HR1120" s="13"/>
      <c r="HS1120" s="13"/>
      <c r="HT1120" s="13"/>
      <c r="HU1120" s="13"/>
      <c r="HV1120" s="13"/>
      <c r="HW1120" s="13"/>
      <c r="HX1120" s="13"/>
      <c r="HY1120" s="13"/>
      <c r="HZ1120" s="13"/>
      <c r="IA1120" s="13"/>
      <c r="IB1120" s="13"/>
      <c r="IC1120" s="13"/>
      <c r="ID1120" s="13"/>
      <c r="IE1120" s="13"/>
      <c r="IF1120" s="13"/>
      <c r="IG1120" s="13"/>
      <c r="IH1120" s="13"/>
      <c r="II1120" s="13"/>
      <c r="IJ1120" s="13"/>
      <c r="IK1120" s="13"/>
      <c r="IL1120" s="13"/>
      <c r="IM1120" s="13"/>
      <c r="IN1120" s="13"/>
      <c r="IO1120" s="13"/>
      <c r="IP1120" s="13"/>
      <c r="IQ1120" s="13"/>
      <c r="IR1120" s="13"/>
      <c r="IS1120" s="13"/>
      <c r="IT1120" s="13"/>
      <c r="IU1120" s="13"/>
      <c r="IV1120" s="13"/>
      <c r="IW1120" s="13"/>
      <c r="IX1120" s="13"/>
      <c r="IY1120" s="13"/>
      <c r="IZ1120" s="13"/>
      <c r="JA1120" s="13"/>
      <c r="JB1120" s="13"/>
      <c r="JC1120" s="13"/>
      <c r="JD1120" s="13"/>
      <c r="JE1120" s="13"/>
      <c r="JF1120" s="13"/>
      <c r="JG1120" s="13"/>
      <c r="JH1120" s="13"/>
      <c r="JI1120" s="13"/>
      <c r="JJ1120" s="13"/>
      <c r="JK1120" s="13"/>
      <c r="JL1120" s="13"/>
      <c r="JM1120" s="13"/>
      <c r="JN1120" s="13"/>
      <c r="JO1120" s="13"/>
      <c r="JP1120" s="13"/>
      <c r="JQ1120" s="13"/>
      <c r="JR1120" s="13"/>
      <c r="JS1120" s="13"/>
      <c r="JT1120" s="13"/>
      <c r="JU1120" s="13"/>
      <c r="JV1120" s="13"/>
      <c r="JW1120" s="13"/>
      <c r="JX1120" s="13"/>
      <c r="JY1120" s="13"/>
      <c r="JZ1120" s="13"/>
      <c r="KA1120" s="13"/>
      <c r="KB1120" s="13"/>
      <c r="KC1120" s="13"/>
      <c r="KD1120" s="13"/>
      <c r="KE1120" s="13"/>
      <c r="KF1120" s="13"/>
      <c r="KG1120" s="13"/>
      <c r="KH1120" s="13"/>
      <c r="KI1120" s="13"/>
      <c r="KJ1120" s="13"/>
      <c r="KK1120" s="13"/>
      <c r="KL1120" s="13"/>
      <c r="KM1120" s="13"/>
      <c r="KN1120" s="13"/>
      <c r="KO1120" s="13"/>
      <c r="KP1120" s="13"/>
      <c r="KQ1120" s="13"/>
      <c r="KR1120" s="13"/>
      <c r="KS1120" s="13"/>
      <c r="KT1120" s="13"/>
      <c r="KU1120" s="13"/>
      <c r="KV1120" s="13"/>
      <c r="KW1120" s="13"/>
      <c r="KX1120" s="13"/>
      <c r="KY1120" s="13"/>
      <c r="KZ1120" s="13"/>
      <c r="LA1120" s="13"/>
      <c r="LB1120" s="13"/>
      <c r="LC1120" s="13"/>
      <c r="LD1120" s="13"/>
      <c r="LE1120" s="13"/>
      <c r="LF1120" s="13"/>
      <c r="LG1120" s="13"/>
      <c r="LH1120" s="13"/>
      <c r="LI1120" s="13"/>
      <c r="LJ1120" s="13"/>
      <c r="LK1120" s="13"/>
      <c r="LL1120" s="13"/>
      <c r="LM1120" s="13"/>
      <c r="LN1120" s="13"/>
      <c r="LO1120" s="13"/>
      <c r="LP1120" s="13"/>
      <c r="LQ1120" s="13"/>
      <c r="LR1120" s="13"/>
      <c r="LS1120" s="13"/>
      <c r="LT1120" s="13"/>
      <c r="LU1120" s="13"/>
      <c r="LV1120" s="13"/>
      <c r="LW1120" s="13"/>
      <c r="LX1120" s="13"/>
      <c r="LY1120" s="13"/>
      <c r="LZ1120" s="13"/>
      <c r="MA1120" s="13"/>
      <c r="MB1120" s="13"/>
      <c r="MC1120" s="13"/>
      <c r="MD1120" s="13"/>
      <c r="ME1120" s="13"/>
      <c r="MF1120" s="13"/>
      <c r="MG1120" s="13"/>
      <c r="MH1120" s="13"/>
      <c r="MI1120" s="13"/>
      <c r="MJ1120" s="13"/>
      <c r="MK1120" s="13"/>
      <c r="ML1120" s="13"/>
      <c r="MM1120" s="13"/>
      <c r="MN1120" s="13"/>
      <c r="MO1120" s="13"/>
      <c r="MP1120" s="13"/>
      <c r="MQ1120" s="13"/>
      <c r="MR1120" s="13"/>
      <c r="MS1120" s="13"/>
      <c r="MT1120" s="13"/>
      <c r="MU1120" s="13"/>
      <c r="MV1120" s="13"/>
      <c r="MW1120" s="13"/>
      <c r="MX1120" s="13"/>
      <c r="MY1120" s="13"/>
      <c r="MZ1120" s="13"/>
      <c r="NA1120" s="13"/>
      <c r="NB1120" s="13"/>
      <c r="NC1120" s="13"/>
      <c r="ND1120" s="13"/>
      <c r="NE1120" s="13"/>
      <c r="NF1120" s="13"/>
      <c r="NG1120" s="13"/>
      <c r="NH1120" s="13"/>
      <c r="NI1120" s="13"/>
      <c r="NJ1120" s="13"/>
      <c r="NK1120" s="13"/>
      <c r="NL1120" s="13"/>
      <c r="NM1120" s="13"/>
      <c r="NN1120" s="13"/>
      <c r="NO1120" s="13"/>
      <c r="NP1120" s="13"/>
      <c r="NQ1120" s="13"/>
      <c r="NR1120" s="13"/>
      <c r="NS1120" s="13"/>
      <c r="NT1120" s="13"/>
      <c r="NU1120" s="13"/>
      <c r="NV1120" s="13"/>
      <c r="NW1120" s="13"/>
      <c r="NX1120" s="13"/>
      <c r="NY1120" s="13"/>
      <c r="NZ1120" s="13"/>
      <c r="OA1120" s="13"/>
      <c r="OB1120" s="13"/>
      <c r="OC1120" s="13"/>
      <c r="OD1120" s="13"/>
      <c r="OE1120" s="13"/>
      <c r="OF1120" s="13"/>
      <c r="OG1120" s="13"/>
      <c r="OH1120" s="13"/>
      <c r="OI1120" s="13"/>
      <c r="OJ1120" s="13"/>
      <c r="OK1120" s="13"/>
      <c r="OL1120" s="13"/>
      <c r="OM1120" s="13"/>
      <c r="ON1120" s="13"/>
      <c r="OO1120" s="13"/>
      <c r="OP1120" s="13"/>
      <c r="OQ1120" s="13"/>
      <c r="OR1120" s="13"/>
      <c r="OS1120" s="13"/>
      <c r="OT1120" s="13"/>
      <c r="OU1120" s="13"/>
      <c r="OV1120" s="13"/>
      <c r="OW1120" s="13"/>
      <c r="OX1120" s="13"/>
      <c r="OY1120" s="13"/>
      <c r="OZ1120" s="13"/>
      <c r="PA1120" s="13"/>
      <c r="PB1120" s="13"/>
      <c r="PC1120" s="13"/>
      <c r="PD1120" s="13"/>
      <c r="PE1120" s="13"/>
      <c r="PF1120" s="13"/>
      <c r="PG1120" s="13"/>
      <c r="PH1120" s="13"/>
      <c r="PI1120" s="13"/>
      <c r="PJ1120" s="13"/>
      <c r="PK1120" s="13"/>
      <c r="PL1120" s="13"/>
      <c r="PM1120" s="13"/>
      <c r="PN1120" s="13"/>
      <c r="PO1120" s="13"/>
      <c r="PP1120" s="13"/>
      <c r="PQ1120" s="13"/>
      <c r="PR1120" s="13"/>
      <c r="PS1120" s="13"/>
      <c r="PT1120" s="13"/>
      <c r="PU1120" s="13"/>
      <c r="PV1120" s="13"/>
      <c r="PW1120" s="13"/>
      <c r="PX1120" s="13"/>
      <c r="PY1120" s="13"/>
      <c r="PZ1120" s="13"/>
      <c r="QA1120" s="13"/>
      <c r="QB1120" s="13"/>
      <c r="QC1120" s="13"/>
      <c r="QD1120" s="13"/>
      <c r="QE1120" s="13"/>
      <c r="QF1120" s="13"/>
      <c r="QG1120" s="13"/>
      <c r="QH1120" s="13"/>
      <c r="QI1120" s="13"/>
      <c r="QJ1120" s="13"/>
      <c r="QK1120" s="13"/>
      <c r="QL1120" s="13"/>
      <c r="QM1120" s="13"/>
      <c r="QN1120" s="13"/>
      <c r="QO1120" s="13"/>
      <c r="QP1120" s="13"/>
      <c r="QQ1120" s="13"/>
      <c r="QR1120" s="13"/>
      <c r="QS1120" s="13"/>
      <c r="QT1120" s="13"/>
      <c r="QU1120" s="13"/>
      <c r="QV1120" s="13"/>
      <c r="QW1120" s="13"/>
      <c r="QX1120" s="13"/>
      <c r="QY1120" s="13"/>
      <c r="QZ1120" s="13"/>
      <c r="RA1120" s="13"/>
      <c r="RB1120" s="13"/>
      <c r="RC1120" s="13"/>
      <c r="RD1120" s="13"/>
      <c r="RE1120" s="13"/>
      <c r="RF1120" s="13"/>
      <c r="RG1120" s="13"/>
      <c r="RH1120" s="13"/>
      <c r="RI1120" s="13"/>
      <c r="RJ1120" s="13"/>
      <c r="RK1120" s="13"/>
      <c r="RL1120" s="13"/>
      <c r="RM1120" s="13"/>
      <c r="RN1120" s="13"/>
      <c r="RO1120" s="13"/>
      <c r="RP1120" s="13"/>
      <c r="RQ1120" s="13"/>
      <c r="RR1120" s="13"/>
      <c r="RS1120" s="13"/>
      <c r="RT1120" s="13"/>
      <c r="RU1120" s="13"/>
      <c r="RV1120" s="13"/>
      <c r="RW1120" s="13"/>
      <c r="RX1120" s="13"/>
      <c r="RY1120" s="13"/>
      <c r="RZ1120" s="13"/>
      <c r="SA1120" s="13"/>
      <c r="SB1120" s="13"/>
      <c r="SC1120" s="13"/>
      <c r="SD1120" s="13"/>
      <c r="SE1120" s="13"/>
      <c r="SF1120" s="13"/>
      <c r="SG1120" s="13"/>
      <c r="SH1120" s="13"/>
      <c r="SI1120" s="13"/>
      <c r="SJ1120" s="13"/>
      <c r="SK1120" s="13"/>
      <c r="SL1120" s="13"/>
      <c r="SM1120" s="13"/>
      <c r="SN1120" s="13"/>
      <c r="SO1120" s="13"/>
      <c r="SP1120" s="13"/>
      <c r="SQ1120" s="13"/>
      <c r="SR1120" s="13"/>
      <c r="SS1120" s="13"/>
      <c r="ST1120" s="13"/>
      <c r="SU1120" s="13"/>
      <c r="SV1120" s="13"/>
      <c r="SW1120" s="13"/>
      <c r="SX1120" s="13"/>
      <c r="SY1120" s="13"/>
      <c r="SZ1120" s="13"/>
      <c r="TA1120" s="13"/>
      <c r="TB1120" s="13"/>
      <c r="TC1120" s="13"/>
      <c r="TD1120" s="13"/>
      <c r="TE1120" s="13"/>
      <c r="TF1120" s="13"/>
      <c r="TG1120" s="13"/>
      <c r="TH1120" s="13"/>
      <c r="TI1120" s="13"/>
      <c r="TJ1120" s="13"/>
      <c r="TK1120" s="13"/>
      <c r="TL1120" s="13"/>
      <c r="TM1120" s="13"/>
      <c r="TN1120" s="13"/>
      <c r="TO1120" s="13"/>
      <c r="TP1120" s="13"/>
      <c r="TQ1120" s="13"/>
      <c r="TR1120" s="13"/>
      <c r="TS1120" s="13"/>
      <c r="TT1120" s="13"/>
      <c r="TU1120" s="13"/>
      <c r="TV1120" s="13"/>
      <c r="TW1120" s="13"/>
      <c r="TX1120" s="13"/>
      <c r="TY1120" s="13"/>
      <c r="TZ1120" s="13"/>
      <c r="UA1120" s="13"/>
      <c r="UB1120" s="13"/>
      <c r="UC1120" s="13"/>
      <c r="UD1120" s="13"/>
      <c r="UE1120" s="13"/>
      <c r="UF1120" s="13"/>
      <c r="UG1120" s="13"/>
      <c r="UH1120" s="13"/>
      <c r="UI1120" s="13"/>
      <c r="UJ1120" s="13"/>
      <c r="UK1120" s="13"/>
      <c r="UL1120" s="13"/>
      <c r="UM1120" s="13"/>
      <c r="UN1120" s="13"/>
      <c r="UO1120" s="13"/>
      <c r="UP1120" s="13"/>
      <c r="UQ1120" s="13"/>
      <c r="UR1120" s="13"/>
      <c r="US1120" s="13"/>
      <c r="UT1120" s="13"/>
      <c r="UU1120" s="13"/>
      <c r="UV1120" s="13"/>
      <c r="UW1120" s="13"/>
      <c r="UX1120" s="13"/>
      <c r="UY1120" s="13"/>
      <c r="UZ1120" s="13"/>
      <c r="VA1120" s="13"/>
      <c r="VB1120" s="13"/>
      <c r="VC1120" s="13"/>
      <c r="VD1120" s="13"/>
      <c r="VE1120" s="13"/>
      <c r="VF1120" s="13"/>
      <c r="VG1120" s="13"/>
      <c r="VH1120" s="13"/>
      <c r="VI1120" s="13"/>
      <c r="VJ1120" s="13"/>
      <c r="VK1120" s="13"/>
      <c r="VL1120" s="13"/>
      <c r="VM1120" s="13"/>
      <c r="VN1120" s="13"/>
      <c r="VO1120" s="13"/>
      <c r="VP1120" s="13"/>
      <c r="VQ1120" s="13"/>
      <c r="VR1120" s="13"/>
      <c r="VS1120" s="13"/>
      <c r="VT1120" s="13"/>
      <c r="VU1120" s="13"/>
      <c r="VV1120" s="13"/>
      <c r="VW1120" s="13"/>
      <c r="VX1120" s="13"/>
      <c r="VY1120" s="13"/>
      <c r="VZ1120" s="13"/>
      <c r="WA1120" s="13"/>
      <c r="WB1120" s="13"/>
      <c r="WC1120" s="13"/>
      <c r="WD1120" s="13"/>
      <c r="WE1120" s="13"/>
      <c r="WF1120" s="13"/>
      <c r="WG1120" s="13"/>
      <c r="WH1120" s="13"/>
      <c r="WI1120" s="13"/>
      <c r="WJ1120" s="13"/>
      <c r="WK1120" s="13"/>
      <c r="WL1120" s="13"/>
      <c r="WM1120" s="13"/>
      <c r="WN1120" s="13"/>
      <c r="WO1120" s="13"/>
      <c r="WP1120" s="13"/>
      <c r="WQ1120" s="13"/>
      <c r="WR1120" s="13"/>
      <c r="WS1120" s="13"/>
      <c r="WT1120" s="13"/>
      <c r="WU1120" s="13"/>
      <c r="WV1120" s="13"/>
      <c r="WW1120" s="13"/>
      <c r="WX1120" s="13"/>
      <c r="WY1120" s="13"/>
      <c r="WZ1120" s="13"/>
      <c r="XA1120" s="13"/>
      <c r="XB1120" s="13"/>
      <c r="XC1120" s="13"/>
      <c r="XD1120" s="13"/>
      <c r="XE1120" s="13"/>
      <c r="XF1120" s="13"/>
      <c r="XG1120" s="13"/>
      <c r="XH1120" s="13"/>
      <c r="XI1120" s="13"/>
      <c r="XJ1120" s="13"/>
      <c r="XK1120" s="13"/>
      <c r="XL1120" s="13"/>
      <c r="XM1120" s="13"/>
      <c r="XN1120" s="13"/>
      <c r="XO1120" s="13"/>
      <c r="XP1120" s="13"/>
      <c r="XQ1120" s="13"/>
      <c r="XR1120" s="13"/>
      <c r="XS1120" s="13"/>
      <c r="XT1120" s="13"/>
      <c r="XU1120" s="13"/>
      <c r="XV1120" s="13"/>
      <c r="XW1120" s="13"/>
      <c r="XX1120" s="13"/>
      <c r="XY1120" s="13"/>
      <c r="XZ1120" s="13"/>
      <c r="YA1120" s="13"/>
      <c r="YB1120" s="13"/>
      <c r="YC1120" s="13"/>
      <c r="YD1120" s="13"/>
      <c r="YE1120" s="13"/>
      <c r="YF1120" s="13"/>
      <c r="YG1120" s="13"/>
      <c r="YH1120" s="13"/>
      <c r="YI1120" s="13"/>
      <c r="YJ1120" s="13"/>
      <c r="YK1120" s="13"/>
      <c r="YL1120" s="13"/>
      <c r="YM1120" s="13"/>
      <c r="YN1120" s="13"/>
      <c r="YO1120" s="13"/>
      <c r="YP1120" s="13"/>
      <c r="YQ1120" s="13"/>
      <c r="YR1120" s="13"/>
      <c r="YS1120" s="13"/>
      <c r="YT1120" s="13"/>
      <c r="YU1120" s="13"/>
      <c r="YV1120" s="13"/>
      <c r="YW1120" s="13"/>
      <c r="YX1120" s="13"/>
      <c r="YY1120" s="13"/>
      <c r="YZ1120" s="13"/>
      <c r="ZA1120" s="13"/>
      <c r="ZB1120" s="13"/>
      <c r="ZC1120" s="13"/>
      <c r="ZD1120" s="13"/>
      <c r="ZE1120" s="13"/>
      <c r="ZF1120" s="13"/>
      <c r="ZG1120" s="13"/>
      <c r="ZH1120" s="13"/>
      <c r="ZI1120" s="13"/>
      <c r="ZJ1120" s="13"/>
      <c r="ZK1120" s="13"/>
      <c r="ZL1120" s="13"/>
      <c r="ZM1120" s="13"/>
      <c r="ZN1120" s="13"/>
      <c r="ZO1120" s="13"/>
      <c r="ZP1120" s="13"/>
      <c r="ZQ1120" s="13"/>
      <c r="ZR1120" s="13"/>
      <c r="ZS1120" s="13"/>
      <c r="ZT1120" s="13"/>
      <c r="ZU1120" s="13"/>
      <c r="ZV1120" s="13"/>
      <c r="ZW1120" s="13"/>
      <c r="ZX1120" s="13"/>
      <c r="ZY1120" s="13"/>
      <c r="ZZ1120" s="13"/>
      <c r="AAA1120" s="13"/>
      <c r="AAB1120" s="13"/>
      <c r="AAC1120" s="13"/>
      <c r="AAD1120" s="13"/>
      <c r="AAE1120" s="13"/>
      <c r="AAF1120" s="13"/>
      <c r="AAG1120" s="13"/>
      <c r="AAH1120" s="13"/>
      <c r="AAI1120" s="13"/>
      <c r="AAJ1120" s="13"/>
      <c r="AAK1120" s="13"/>
      <c r="AAL1120" s="13"/>
      <c r="AAM1120" s="13"/>
      <c r="AAN1120" s="13"/>
      <c r="AAO1120" s="13"/>
      <c r="AAP1120" s="13"/>
      <c r="AAQ1120" s="13"/>
      <c r="AAR1120" s="13"/>
      <c r="AAS1120" s="13"/>
      <c r="AAT1120" s="13"/>
      <c r="AAU1120" s="13"/>
      <c r="AAV1120" s="13"/>
      <c r="AAW1120" s="13"/>
      <c r="AAX1120" s="13"/>
      <c r="AAY1120" s="13"/>
      <c r="AAZ1120" s="13"/>
      <c r="ABA1120" s="13"/>
      <c r="ABB1120" s="13"/>
      <c r="ABC1120" s="13"/>
      <c r="ABD1120" s="13"/>
      <c r="ABE1120" s="13"/>
      <c r="ABF1120" s="13"/>
      <c r="ABG1120" s="13"/>
      <c r="ABH1120" s="13"/>
      <c r="ABI1120" s="13"/>
      <c r="ABJ1120" s="13"/>
      <c r="ABK1120" s="13"/>
      <c r="ABL1120" s="13"/>
      <c r="ABM1120" s="13"/>
      <c r="ABN1120" s="13"/>
      <c r="ABO1120" s="13"/>
      <c r="ABP1120" s="13"/>
      <c r="ABQ1120" s="13"/>
      <c r="ABR1120" s="13"/>
      <c r="ABS1120" s="13"/>
      <c r="ABT1120" s="13"/>
      <c r="ABU1120" s="13"/>
      <c r="ABV1120" s="13"/>
      <c r="ABW1120" s="13"/>
      <c r="ABX1120" s="13"/>
      <c r="ABY1120" s="13"/>
      <c r="ABZ1120" s="13"/>
      <c r="ACA1120" s="13"/>
      <c r="ACB1120" s="13"/>
      <c r="ACC1120" s="13"/>
      <c r="ACD1120" s="13"/>
      <c r="ACE1120" s="13"/>
      <c r="ACF1120" s="13"/>
      <c r="ACG1120" s="13"/>
      <c r="ACH1120" s="13"/>
      <c r="ACI1120" s="13"/>
      <c r="ACJ1120" s="13"/>
      <c r="ACK1120" s="13"/>
      <c r="ACL1120" s="13"/>
      <c r="ACM1120" s="13"/>
      <c r="ACN1120" s="13"/>
      <c r="ACO1120" s="13"/>
      <c r="ACP1120" s="13"/>
      <c r="ACQ1120" s="13"/>
      <c r="ACR1120" s="13"/>
      <c r="ACS1120" s="13"/>
      <c r="ACT1120" s="13"/>
      <c r="ACU1120" s="13"/>
      <c r="ACV1120" s="13"/>
      <c r="ACW1120" s="13"/>
      <c r="ACX1120" s="13"/>
      <c r="ACY1120" s="13"/>
      <c r="ACZ1120" s="13"/>
      <c r="ADA1120" s="13"/>
      <c r="ADB1120" s="13"/>
      <c r="ADC1120" s="13"/>
      <c r="ADD1120" s="13"/>
      <c r="ADE1120" s="13"/>
      <c r="ADF1120" s="13"/>
      <c r="ADG1120" s="13"/>
      <c r="ADH1120" s="13"/>
      <c r="ADI1120" s="13"/>
      <c r="ADJ1120" s="13"/>
      <c r="ADK1120" s="13"/>
      <c r="ADL1120" s="13"/>
      <c r="ADM1120" s="13"/>
      <c r="ADN1120" s="13"/>
      <c r="ADO1120" s="13"/>
      <c r="ADP1120" s="13"/>
      <c r="ADQ1120" s="13"/>
      <c r="ADR1120" s="13"/>
      <c r="ADS1120" s="13"/>
      <c r="ADT1120" s="13"/>
      <c r="ADU1120" s="13"/>
      <c r="ADV1120" s="13"/>
      <c r="ADW1120" s="13"/>
      <c r="ADX1120" s="13"/>
      <c r="ADY1120" s="13"/>
      <c r="ADZ1120" s="13"/>
      <c r="AEA1120" s="13"/>
      <c r="AEB1120" s="13"/>
      <c r="AEC1120" s="13"/>
      <c r="AED1120" s="13"/>
      <c r="AEE1120" s="13"/>
      <c r="AEF1120" s="13"/>
      <c r="AEG1120" s="13"/>
      <c r="AEH1120" s="13"/>
      <c r="AEI1120" s="13"/>
      <c r="AEJ1120" s="13"/>
      <c r="AEK1120" s="13"/>
      <c r="AEL1120" s="13"/>
      <c r="AEM1120" s="13"/>
      <c r="AEN1120" s="13"/>
      <c r="AEO1120" s="13"/>
      <c r="AEP1120" s="13"/>
      <c r="AEQ1120" s="13"/>
      <c r="AER1120" s="13"/>
      <c r="AES1120" s="13"/>
      <c r="AET1120" s="13"/>
      <c r="AEU1120" s="13"/>
      <c r="AEV1120" s="13"/>
      <c r="AEW1120" s="13"/>
      <c r="AEX1120" s="13"/>
      <c r="AEY1120" s="13"/>
      <c r="AEZ1120" s="13"/>
      <c r="AFA1120" s="13"/>
      <c r="AFB1120" s="13"/>
      <c r="AFC1120" s="13"/>
      <c r="AFD1120" s="13"/>
      <c r="AFE1120" s="13"/>
      <c r="AFF1120" s="13"/>
      <c r="AFG1120" s="13"/>
      <c r="AFH1120" s="13"/>
      <c r="AFI1120" s="13"/>
      <c r="AFJ1120" s="13"/>
      <c r="AFK1120" s="13"/>
      <c r="AFL1120" s="13"/>
      <c r="AFM1120" s="13"/>
      <c r="AFN1120" s="13"/>
      <c r="AFO1120" s="13"/>
      <c r="AFP1120" s="13"/>
      <c r="AFQ1120" s="13"/>
      <c r="AFR1120" s="13"/>
      <c r="AFS1120" s="13"/>
      <c r="AFT1120" s="13"/>
      <c r="AFU1120" s="13"/>
      <c r="AFV1120" s="13"/>
      <c r="AFW1120" s="13"/>
      <c r="AFX1120" s="13"/>
      <c r="AFY1120" s="13"/>
      <c r="AFZ1120" s="13"/>
      <c r="AGA1120" s="13"/>
      <c r="AGB1120" s="13"/>
      <c r="AGC1120" s="13"/>
      <c r="AGD1120" s="13"/>
      <c r="AGE1120" s="13"/>
      <c r="AGF1120" s="13"/>
      <c r="AGG1120" s="13"/>
      <c r="AGH1120" s="13"/>
      <c r="AGI1120" s="13"/>
      <c r="AGJ1120" s="13"/>
      <c r="AGK1120" s="13"/>
      <c r="AGL1120" s="13"/>
      <c r="AGM1120" s="13"/>
      <c r="AGN1120" s="13"/>
      <c r="AGO1120" s="13"/>
      <c r="AGP1120" s="13"/>
      <c r="AGQ1120" s="13"/>
      <c r="AGR1120" s="13"/>
      <c r="AGS1120" s="13"/>
      <c r="AGT1120" s="13"/>
      <c r="AGU1120" s="13"/>
      <c r="AGV1120" s="13"/>
      <c r="AGW1120" s="13"/>
      <c r="AGX1120" s="13"/>
      <c r="AGY1120" s="13"/>
      <c r="AGZ1120" s="13"/>
      <c r="AHA1120" s="13"/>
      <c r="AHB1120" s="13"/>
      <c r="AHC1120" s="13"/>
      <c r="AHD1120" s="13"/>
      <c r="AHE1120" s="13"/>
      <c r="AHF1120" s="13"/>
      <c r="AHG1120" s="13"/>
      <c r="AHH1120" s="13"/>
      <c r="AHI1120" s="13"/>
      <c r="AHJ1120" s="13"/>
      <c r="AHK1120" s="13"/>
      <c r="AHL1120" s="13"/>
      <c r="AHM1120" s="13"/>
      <c r="AHN1120" s="13"/>
      <c r="AHO1120" s="13"/>
      <c r="AHP1120" s="13"/>
      <c r="AHQ1120" s="13"/>
      <c r="AHR1120" s="13"/>
      <c r="AHS1120" s="13"/>
      <c r="AHT1120" s="13"/>
      <c r="AHU1120" s="13"/>
      <c r="AHV1120" s="13"/>
      <c r="AHW1120" s="13"/>
      <c r="AHX1120" s="13"/>
      <c r="AHY1120" s="13"/>
      <c r="AHZ1120" s="13"/>
      <c r="AIA1120" s="13"/>
      <c r="AIB1120" s="13"/>
      <c r="AIC1120" s="13"/>
      <c r="AID1120" s="13"/>
      <c r="AIE1120" s="13"/>
      <c r="AIF1120" s="13"/>
      <c r="AIG1120" s="13"/>
      <c r="AIH1120" s="13"/>
      <c r="AII1120" s="13"/>
      <c r="AIJ1120" s="13"/>
      <c r="AIK1120" s="13"/>
      <c r="AIL1120" s="13"/>
      <c r="AIM1120" s="13"/>
      <c r="AIN1120" s="13"/>
      <c r="AIO1120" s="13"/>
      <c r="AIP1120" s="13"/>
      <c r="AIQ1120" s="13"/>
      <c r="AIR1120" s="13"/>
      <c r="AIS1120" s="13"/>
      <c r="AIT1120" s="13"/>
      <c r="AIU1120" s="13"/>
      <c r="AIV1120" s="13"/>
      <c r="AIW1120" s="13"/>
      <c r="AIX1120" s="13"/>
      <c r="AIY1120" s="13"/>
      <c r="AIZ1120" s="13"/>
      <c r="AJA1120" s="13"/>
      <c r="AJB1120" s="13"/>
      <c r="AJC1120" s="13"/>
      <c r="AJD1120" s="13"/>
      <c r="AJE1120" s="13"/>
      <c r="AJF1120" s="13"/>
      <c r="AJG1120" s="13"/>
      <c r="AJH1120" s="13"/>
      <c r="AJI1120" s="13"/>
      <c r="AJJ1120" s="13"/>
      <c r="AJK1120" s="13"/>
      <c r="AJL1120" s="13"/>
      <c r="AJM1120" s="13"/>
      <c r="AJN1120" s="13"/>
      <c r="AJO1120" s="13"/>
      <c r="AJP1120" s="13"/>
      <c r="AJQ1120" s="13"/>
      <c r="AJR1120" s="13"/>
      <c r="AJS1120" s="13"/>
      <c r="AJT1120" s="13"/>
      <c r="AJU1120" s="13"/>
      <c r="AJV1120" s="13"/>
      <c r="AJW1120" s="13"/>
      <c r="AJX1120" s="13"/>
      <c r="AJY1120" s="13"/>
      <c r="AJZ1120" s="13"/>
      <c r="AKA1120" s="13"/>
      <c r="AKB1120" s="13"/>
      <c r="AKC1120" s="13"/>
      <c r="AKD1120" s="13"/>
      <c r="AKE1120" s="13"/>
      <c r="AKF1120" s="13"/>
      <c r="AKG1120" s="13"/>
      <c r="AKH1120" s="13"/>
      <c r="AKI1120" s="13"/>
      <c r="AKJ1120" s="13"/>
      <c r="AKK1120" s="13"/>
      <c r="AKL1120" s="13"/>
      <c r="AKM1120" s="13"/>
      <c r="AKN1120" s="13"/>
      <c r="AKO1120" s="13"/>
      <c r="AKP1120" s="13"/>
      <c r="AKQ1120" s="13"/>
      <c r="AKR1120" s="13"/>
      <c r="AKS1120" s="13"/>
      <c r="AKT1120" s="13"/>
      <c r="AKU1120" s="13"/>
      <c r="AKV1120" s="13"/>
      <c r="AKW1120" s="13"/>
      <c r="AKX1120" s="13"/>
      <c r="AKY1120" s="13"/>
      <c r="AKZ1120" s="13"/>
      <c r="ALA1120" s="13"/>
      <c r="ALB1120" s="13"/>
      <c r="ALC1120" s="13"/>
      <c r="ALD1120" s="13"/>
      <c r="ALE1120" s="13"/>
      <c r="ALF1120" s="13"/>
      <c r="ALG1120" s="13"/>
      <c r="ALH1120" s="13"/>
      <c r="ALI1120" s="13"/>
      <c r="ALJ1120" s="13"/>
      <c r="ALK1120" s="13"/>
      <c r="ALL1120" s="13"/>
      <c r="ALM1120" s="13"/>
      <c r="ALN1120" s="13"/>
      <c r="ALO1120" s="13"/>
      <c r="ALP1120" s="13"/>
      <c r="ALQ1120" s="13"/>
      <c r="ALR1120" s="13"/>
      <c r="ALS1120" s="13"/>
      <c r="ALT1120" s="13"/>
      <c r="ALU1120" s="13"/>
      <c r="ALV1120" s="13"/>
      <c r="ALW1120" s="13"/>
      <c r="ALX1120" s="13"/>
      <c r="ALY1120" s="13"/>
      <c r="ALZ1120" s="13"/>
      <c r="AMA1120" s="13"/>
      <c r="AMB1120" s="13"/>
      <c r="AMC1120" s="13"/>
      <c r="AMD1120" s="13"/>
      <c r="AME1120" s="13"/>
      <c r="AMF1120" s="13"/>
      <c r="AMG1120" s="13"/>
      <c r="AMH1120" s="13"/>
      <c r="AMI1120" s="13"/>
      <c r="AMJ1120" s="13"/>
      <c r="AMK1120" s="13"/>
      <c r="AML1120" s="13"/>
      <c r="AMM1120" s="13"/>
      <c r="AMN1120" s="13"/>
      <c r="AMO1120" s="13"/>
      <c r="AMP1120" s="13"/>
      <c r="AMQ1120" s="13"/>
      <c r="AMR1120" s="13"/>
      <c r="AMS1120" s="13"/>
      <c r="AMT1120" s="13"/>
      <c r="AMU1120" s="13"/>
      <c r="AMV1120" s="13"/>
      <c r="AMW1120" s="13"/>
      <c r="AMX1120" s="13"/>
      <c r="AMY1120" s="13"/>
      <c r="AMZ1120" s="13"/>
      <c r="ANA1120" s="13"/>
      <c r="ANB1120" s="13"/>
      <c r="ANC1120" s="13"/>
      <c r="AND1120" s="13"/>
      <c r="ANE1120" s="13"/>
      <c r="ANF1120" s="13"/>
      <c r="ANG1120" s="13"/>
      <c r="ANH1120" s="13"/>
      <c r="ANI1120" s="13"/>
      <c r="ANJ1120" s="13"/>
      <c r="ANK1120" s="13"/>
      <c r="ANL1120" s="13"/>
      <c r="ANM1120" s="13"/>
      <c r="ANN1120" s="13"/>
      <c r="ANO1120" s="13"/>
      <c r="ANP1120" s="13"/>
      <c r="ANQ1120" s="13"/>
      <c r="ANR1120" s="13"/>
      <c r="ANS1120" s="13"/>
      <c r="ANT1120" s="13"/>
      <c r="ANU1120" s="13"/>
      <c r="ANV1120" s="13"/>
      <c r="ANW1120" s="13"/>
      <c r="ANX1120" s="13"/>
      <c r="ANY1120" s="13"/>
      <c r="ANZ1120" s="13"/>
      <c r="AOA1120" s="13"/>
      <c r="AOB1120" s="13"/>
      <c r="AOC1120" s="13"/>
      <c r="AOD1120" s="13"/>
      <c r="AOE1120" s="13"/>
      <c r="AOF1120" s="13"/>
      <c r="AOG1120" s="13"/>
      <c r="AOH1120" s="13"/>
      <c r="AOI1120" s="13"/>
      <c r="AOJ1120" s="13"/>
      <c r="AOK1120" s="13"/>
      <c r="AOL1120" s="13"/>
      <c r="AOM1120" s="13"/>
      <c r="AON1120" s="13"/>
      <c r="AOO1120" s="13"/>
      <c r="AOP1120" s="13"/>
      <c r="AOQ1120" s="13"/>
      <c r="AOR1120" s="13"/>
      <c r="AOS1120" s="13"/>
      <c r="AOT1120" s="13"/>
      <c r="AOU1120" s="13"/>
      <c r="AOV1120" s="13"/>
      <c r="AOW1120" s="13"/>
      <c r="AOX1120" s="13"/>
      <c r="AOY1120" s="13"/>
      <c r="AOZ1120" s="13"/>
      <c r="APA1120" s="13"/>
      <c r="APB1120" s="13"/>
      <c r="APC1120" s="13"/>
      <c r="APD1120" s="13"/>
      <c r="APE1120" s="13"/>
      <c r="APF1120" s="13"/>
      <c r="APG1120" s="13"/>
      <c r="APH1120" s="13"/>
      <c r="API1120" s="13"/>
      <c r="APJ1120" s="13"/>
      <c r="APK1120" s="13"/>
      <c r="APL1120" s="13"/>
      <c r="APM1120" s="13"/>
      <c r="APN1120" s="13"/>
      <c r="APO1120" s="13"/>
      <c r="APP1120" s="13"/>
      <c r="APQ1120" s="13"/>
      <c r="APR1120" s="13"/>
      <c r="APS1120" s="13"/>
      <c r="APT1120" s="13"/>
      <c r="APU1120" s="13"/>
      <c r="APV1120" s="13"/>
      <c r="APW1120" s="13"/>
      <c r="APX1120" s="13"/>
      <c r="APY1120" s="13"/>
      <c r="APZ1120" s="13"/>
      <c r="AQA1120" s="13"/>
      <c r="AQB1120" s="13"/>
      <c r="AQC1120" s="13"/>
      <c r="AQD1120" s="13"/>
      <c r="AQE1120" s="13"/>
      <c r="AQF1120" s="13"/>
      <c r="AQG1120" s="13"/>
      <c r="AQH1120" s="13"/>
      <c r="AQI1120" s="13"/>
      <c r="AQJ1120" s="13"/>
      <c r="AQK1120" s="13"/>
      <c r="AQL1120" s="13"/>
      <c r="AQM1120" s="13"/>
      <c r="AQN1120" s="13"/>
      <c r="AQO1120" s="13"/>
      <c r="AQP1120" s="13"/>
      <c r="AQQ1120" s="13"/>
      <c r="AQR1120" s="13"/>
      <c r="AQS1120" s="13"/>
      <c r="AQT1120" s="13"/>
      <c r="AQU1120" s="13"/>
      <c r="AQV1120" s="13"/>
      <c r="AQW1120" s="13"/>
      <c r="AQX1120" s="13"/>
      <c r="AQY1120" s="13"/>
      <c r="AQZ1120" s="13"/>
      <c r="ARA1120" s="13"/>
      <c r="ARB1120" s="13"/>
      <c r="ARC1120" s="13"/>
      <c r="ARD1120" s="13"/>
      <c r="ARE1120" s="13"/>
      <c r="ARF1120" s="13"/>
      <c r="ARG1120" s="13"/>
      <c r="ARH1120" s="13"/>
      <c r="ARI1120" s="13"/>
      <c r="ARJ1120" s="13"/>
      <c r="ARK1120" s="13"/>
      <c r="ARL1120" s="13"/>
      <c r="ARM1120" s="13"/>
      <c r="ARN1120" s="13"/>
      <c r="ARO1120" s="13"/>
      <c r="ARP1120" s="13"/>
      <c r="ARQ1120" s="13"/>
      <c r="ARR1120" s="13"/>
      <c r="ARS1120" s="13"/>
      <c r="ART1120" s="13"/>
      <c r="ARU1120" s="13"/>
      <c r="ARV1120" s="13"/>
      <c r="ARW1120" s="13"/>
      <c r="ARX1120" s="13"/>
      <c r="ARY1120" s="13"/>
      <c r="ARZ1120" s="13"/>
      <c r="ASA1120" s="13"/>
      <c r="ASB1120" s="13"/>
      <c r="ASC1120" s="13"/>
      <c r="ASD1120" s="13"/>
      <c r="ASE1120" s="13"/>
      <c r="ASF1120" s="13"/>
      <c r="ASG1120" s="13"/>
      <c r="ASH1120" s="13"/>
      <c r="ASI1120" s="13"/>
      <c r="ASJ1120" s="13"/>
      <c r="ASK1120" s="13"/>
      <c r="ASL1120" s="13"/>
      <c r="ASM1120" s="13"/>
      <c r="ASN1120" s="13"/>
      <c r="ASO1120" s="13"/>
      <c r="ASP1120" s="13"/>
      <c r="ASQ1120" s="13"/>
      <c r="ASR1120" s="13"/>
      <c r="ASS1120" s="13"/>
      <c r="AST1120" s="13"/>
      <c r="ASU1120" s="13"/>
      <c r="ASV1120" s="13"/>
      <c r="ASW1120" s="13"/>
      <c r="ASX1120" s="13"/>
      <c r="ASY1120" s="13"/>
      <c r="ASZ1120" s="13"/>
      <c r="ATA1120" s="13"/>
      <c r="ATB1120" s="13"/>
      <c r="ATC1120" s="13"/>
      <c r="ATD1120" s="13"/>
      <c r="ATE1120" s="13"/>
      <c r="ATF1120" s="13"/>
      <c r="ATG1120" s="13"/>
      <c r="ATH1120" s="13"/>
      <c r="ATI1120" s="13"/>
      <c r="ATJ1120" s="13"/>
      <c r="ATK1120" s="13"/>
      <c r="ATL1120" s="13"/>
      <c r="ATM1120" s="13"/>
      <c r="ATN1120" s="13"/>
      <c r="ATO1120" s="13"/>
      <c r="ATP1120" s="13"/>
      <c r="ATQ1120" s="13"/>
      <c r="ATR1120" s="13"/>
      <c r="ATS1120" s="13"/>
      <c r="ATT1120" s="13"/>
      <c r="ATU1120" s="13"/>
      <c r="ATV1120" s="13"/>
      <c r="ATW1120" s="13"/>
      <c r="ATX1120" s="13"/>
      <c r="ATY1120" s="13"/>
      <c r="ATZ1120" s="13"/>
      <c r="AUA1120" s="13"/>
      <c r="AUB1120" s="13"/>
      <c r="AUC1120" s="13"/>
      <c r="AUD1120" s="13"/>
      <c r="AUE1120" s="13"/>
      <c r="AUF1120" s="13"/>
      <c r="AUG1120" s="13"/>
      <c r="AUH1120" s="13"/>
      <c r="AUI1120" s="13"/>
      <c r="AUJ1120" s="13"/>
      <c r="AUK1120" s="13"/>
      <c r="AUL1120" s="13"/>
      <c r="AUM1120" s="13"/>
      <c r="AUN1120" s="13"/>
      <c r="AUO1120" s="13"/>
      <c r="AUP1120" s="13"/>
      <c r="AUQ1120" s="13"/>
      <c r="AUR1120" s="13"/>
      <c r="AUS1120" s="13"/>
      <c r="AUT1120" s="13"/>
      <c r="AUU1120" s="13"/>
      <c r="AUV1120" s="13"/>
      <c r="AUW1120" s="13"/>
      <c r="AUX1120" s="13"/>
      <c r="AUY1120" s="13"/>
      <c r="AUZ1120" s="13"/>
      <c r="AVA1120" s="13"/>
      <c r="AVB1120" s="13"/>
      <c r="AVC1120" s="13"/>
      <c r="AVD1120" s="13"/>
      <c r="AVE1120" s="13"/>
      <c r="AVF1120" s="13"/>
      <c r="AVG1120" s="13"/>
      <c r="AVH1120" s="13"/>
      <c r="AVI1120" s="13"/>
      <c r="AVJ1120" s="13"/>
      <c r="AVK1120" s="13"/>
      <c r="AVL1120" s="13"/>
      <c r="AVM1120" s="13"/>
      <c r="AVN1120" s="13"/>
      <c r="AVO1120" s="13"/>
      <c r="AVP1120" s="13"/>
      <c r="AVQ1120" s="13"/>
      <c r="AVR1120" s="13"/>
      <c r="AVS1120" s="13"/>
      <c r="AVT1120" s="13"/>
      <c r="AVU1120" s="13"/>
      <c r="AVV1120" s="13"/>
      <c r="AVW1120" s="13"/>
      <c r="AVX1120" s="13"/>
      <c r="AVY1120" s="13"/>
      <c r="AVZ1120" s="13"/>
      <c r="AWA1120" s="13"/>
      <c r="AWB1120" s="13"/>
      <c r="AWC1120" s="13"/>
      <c r="AWD1120" s="13"/>
      <c r="AWE1120" s="13"/>
      <c r="AWF1120" s="13"/>
      <c r="AWG1120" s="13"/>
      <c r="AWH1120" s="13"/>
      <c r="AWI1120" s="13"/>
      <c r="AWJ1120" s="13"/>
      <c r="AWK1120" s="13"/>
      <c r="AWL1120" s="13"/>
      <c r="AWM1120" s="13"/>
      <c r="AWN1120" s="13"/>
      <c r="AWO1120" s="13"/>
      <c r="AWP1120" s="13"/>
      <c r="AWQ1120" s="13"/>
      <c r="AWR1120" s="13"/>
      <c r="AWS1120" s="13"/>
      <c r="AWT1120" s="13"/>
      <c r="AWU1120" s="13"/>
      <c r="AWV1120" s="13"/>
      <c r="AWW1120" s="13"/>
      <c r="AWX1120" s="13"/>
      <c r="AWY1120" s="13"/>
      <c r="AWZ1120" s="13"/>
      <c r="AXA1120" s="13"/>
      <c r="AXB1120" s="13"/>
      <c r="AXC1120" s="13"/>
      <c r="AXD1120" s="13"/>
      <c r="AXE1120" s="13"/>
      <c r="AXF1120" s="13"/>
      <c r="AXG1120" s="13"/>
      <c r="AXH1120" s="13"/>
      <c r="AXI1120" s="13"/>
      <c r="AXJ1120" s="13"/>
      <c r="AXK1120" s="13"/>
      <c r="AXL1120" s="13"/>
      <c r="AXM1120" s="13"/>
      <c r="AXN1120" s="13"/>
      <c r="AXO1120" s="13"/>
      <c r="AXP1120" s="13"/>
      <c r="AXQ1120" s="13"/>
      <c r="AXR1120" s="13"/>
      <c r="AXS1120" s="13"/>
      <c r="AXT1120" s="13"/>
      <c r="AXU1120" s="13"/>
      <c r="AXV1120" s="13"/>
      <c r="AXW1120" s="13"/>
      <c r="AXX1120" s="13"/>
      <c r="AXY1120" s="13"/>
      <c r="AXZ1120" s="13"/>
      <c r="AYA1120" s="13"/>
      <c r="AYB1120" s="13"/>
      <c r="AYC1120" s="13"/>
      <c r="AYD1120" s="13"/>
      <c r="AYE1120" s="13"/>
      <c r="AYF1120" s="13"/>
      <c r="AYG1120" s="13"/>
      <c r="AYH1120" s="13"/>
      <c r="AYI1120" s="13"/>
      <c r="AYJ1120" s="13"/>
      <c r="AYK1120" s="13"/>
      <c r="AYL1120" s="13"/>
      <c r="AYM1120" s="13"/>
      <c r="AYN1120" s="13"/>
      <c r="AYO1120" s="13"/>
      <c r="AYP1120" s="13"/>
      <c r="AYQ1120" s="13"/>
      <c r="AYR1120" s="13"/>
      <c r="AYS1120" s="13"/>
      <c r="AYT1120" s="13"/>
      <c r="AYU1120" s="13"/>
      <c r="AYV1120" s="13"/>
      <c r="AYW1120" s="13"/>
      <c r="AYX1120" s="13"/>
      <c r="AYY1120" s="13"/>
      <c r="AYZ1120" s="13"/>
      <c r="AZA1120" s="13"/>
      <c r="AZB1120" s="13"/>
      <c r="AZC1120" s="13"/>
      <c r="AZD1120" s="13"/>
      <c r="AZE1120" s="13"/>
      <c r="AZF1120" s="13"/>
      <c r="AZG1120" s="13"/>
      <c r="AZH1120" s="13"/>
      <c r="AZI1120" s="13"/>
      <c r="AZJ1120" s="13"/>
      <c r="AZK1120" s="13"/>
      <c r="AZL1120" s="13"/>
      <c r="AZM1120" s="13"/>
      <c r="AZN1120" s="13"/>
      <c r="AZO1120" s="13"/>
      <c r="AZP1120" s="13"/>
      <c r="AZQ1120" s="13"/>
      <c r="AZR1120" s="13"/>
      <c r="AZS1120" s="13"/>
      <c r="AZT1120" s="13"/>
      <c r="AZU1120" s="13"/>
      <c r="AZV1120" s="13"/>
      <c r="AZW1120" s="13"/>
      <c r="AZX1120" s="13"/>
      <c r="AZY1120" s="13"/>
      <c r="AZZ1120" s="13"/>
      <c r="BAA1120" s="13"/>
      <c r="BAB1120" s="13"/>
      <c r="BAC1120" s="13"/>
      <c r="BAD1120" s="13"/>
      <c r="BAE1120" s="13"/>
      <c r="BAF1120" s="13"/>
      <c r="BAG1120" s="13"/>
      <c r="BAH1120" s="13"/>
      <c r="BAI1120" s="13"/>
      <c r="BAJ1120" s="13"/>
      <c r="BAK1120" s="13"/>
      <c r="BAL1120" s="13"/>
      <c r="BAM1120" s="13"/>
      <c r="BAN1120" s="13"/>
      <c r="BAO1120" s="13"/>
      <c r="BAP1120" s="13"/>
      <c r="BAQ1120" s="13"/>
      <c r="BAR1120" s="13"/>
      <c r="BAS1120" s="13"/>
      <c r="BAT1120" s="13"/>
      <c r="BAU1120" s="13"/>
      <c r="BAV1120" s="13"/>
      <c r="BAW1120" s="13"/>
      <c r="BAX1120" s="13"/>
      <c r="BAY1120" s="13"/>
      <c r="BAZ1120" s="13"/>
      <c r="BBA1120" s="13"/>
      <c r="BBB1120" s="13"/>
      <c r="BBC1120" s="13"/>
      <c r="BBD1120" s="13"/>
      <c r="BBE1120" s="13"/>
      <c r="BBF1120" s="13"/>
      <c r="BBG1120" s="13"/>
      <c r="BBH1120" s="13"/>
      <c r="BBI1120" s="13"/>
      <c r="BBJ1120" s="13"/>
      <c r="BBK1120" s="13"/>
      <c r="BBL1120" s="13"/>
      <c r="BBM1120" s="13"/>
      <c r="BBN1120" s="13"/>
      <c r="BBO1120" s="13"/>
      <c r="BBP1120" s="13"/>
      <c r="BBQ1120" s="13"/>
      <c r="BBR1120" s="13"/>
      <c r="BBS1120" s="13"/>
      <c r="BBT1120" s="13"/>
      <c r="BBU1120" s="13"/>
      <c r="BBV1120" s="13"/>
      <c r="BBW1120" s="13"/>
      <c r="BBX1120" s="13"/>
      <c r="BBY1120" s="13"/>
      <c r="BBZ1120" s="13"/>
      <c r="BCA1120" s="13"/>
      <c r="BCB1120" s="13"/>
      <c r="BCC1120" s="13"/>
      <c r="BCD1120" s="13"/>
      <c r="BCE1120" s="13"/>
      <c r="BCF1120" s="13"/>
      <c r="BCG1120" s="13"/>
      <c r="BCH1120" s="13"/>
      <c r="BCI1120" s="13"/>
      <c r="BCJ1120" s="13"/>
      <c r="BCK1120" s="13"/>
      <c r="BCL1120" s="13"/>
      <c r="BCM1120" s="13"/>
      <c r="BCN1120" s="13"/>
      <c r="BCO1120" s="13"/>
      <c r="BCP1120" s="13"/>
      <c r="BCQ1120" s="13"/>
      <c r="BCR1120" s="13"/>
      <c r="BCS1120" s="13"/>
      <c r="BCT1120" s="13"/>
      <c r="BCU1120" s="13"/>
      <c r="BCV1120" s="13"/>
      <c r="BCW1120" s="13"/>
      <c r="BCX1120" s="13"/>
      <c r="BCY1120" s="13"/>
      <c r="BCZ1120" s="13"/>
      <c r="BDA1120" s="13"/>
      <c r="BDB1120" s="13"/>
      <c r="BDC1120" s="13"/>
      <c r="BDD1120" s="13"/>
      <c r="BDE1120" s="13"/>
      <c r="BDF1120" s="13"/>
      <c r="BDG1120" s="13"/>
      <c r="BDH1120" s="13"/>
      <c r="BDI1120" s="13"/>
      <c r="BDJ1120" s="13"/>
      <c r="BDK1120" s="13"/>
      <c r="BDL1120" s="13"/>
      <c r="BDM1120" s="13"/>
      <c r="BDN1120" s="13"/>
      <c r="BDO1120" s="13"/>
      <c r="BDP1120" s="13"/>
      <c r="BDQ1120" s="13"/>
      <c r="BDR1120" s="13"/>
      <c r="BDS1120" s="13"/>
      <c r="BDT1120" s="13"/>
      <c r="BDU1120" s="13"/>
      <c r="BDV1120" s="13"/>
      <c r="BDW1120" s="13"/>
      <c r="BDX1120" s="13"/>
      <c r="BDY1120" s="13"/>
      <c r="BDZ1120" s="13"/>
      <c r="BEA1120" s="13"/>
      <c r="BEB1120" s="13"/>
      <c r="BEC1120" s="13"/>
      <c r="BED1120" s="13"/>
      <c r="BEE1120" s="13"/>
      <c r="BEF1120" s="13"/>
      <c r="BEG1120" s="13"/>
      <c r="BEH1120" s="13"/>
      <c r="BEI1120" s="13"/>
      <c r="BEJ1120" s="13"/>
      <c r="BEK1120" s="13"/>
      <c r="BEL1120" s="13"/>
      <c r="BEM1120" s="13"/>
      <c r="BEN1120" s="13"/>
      <c r="BEO1120" s="13"/>
      <c r="BEP1120" s="13"/>
      <c r="BEQ1120" s="13"/>
      <c r="BER1120" s="13"/>
      <c r="BES1120" s="13"/>
      <c r="BET1120" s="13"/>
      <c r="BEU1120" s="13"/>
      <c r="BEV1120" s="13"/>
      <c r="BEW1120" s="13"/>
      <c r="BEX1120" s="13"/>
      <c r="BEY1120" s="13"/>
      <c r="BEZ1120" s="13"/>
      <c r="BFA1120" s="13"/>
      <c r="BFB1120" s="13"/>
      <c r="BFC1120" s="13"/>
      <c r="BFD1120" s="13"/>
      <c r="BFE1120" s="13"/>
      <c r="BFF1120" s="13"/>
      <c r="BFG1120" s="13"/>
      <c r="BFH1120" s="13"/>
      <c r="BFI1120" s="13"/>
      <c r="BFJ1120" s="13"/>
      <c r="BFK1120" s="13"/>
      <c r="BFL1120" s="13"/>
      <c r="BFM1120" s="13"/>
      <c r="BFN1120" s="13"/>
      <c r="BFO1120" s="13"/>
      <c r="BFP1120" s="13"/>
      <c r="BFQ1120" s="13"/>
      <c r="BFR1120" s="13"/>
      <c r="BFS1120" s="13"/>
      <c r="BFT1120" s="13"/>
      <c r="BFU1120" s="13"/>
      <c r="BFV1120" s="13"/>
      <c r="BFW1120" s="13"/>
      <c r="BFX1120" s="13"/>
      <c r="BFY1120" s="13"/>
      <c r="BFZ1120" s="13"/>
      <c r="BGA1120" s="13"/>
      <c r="BGB1120" s="13"/>
      <c r="BGC1120" s="13"/>
      <c r="BGD1120" s="13"/>
      <c r="BGE1120" s="13"/>
      <c r="BGF1120" s="13"/>
      <c r="BGG1120" s="13"/>
      <c r="BGH1120" s="13"/>
      <c r="BGI1120" s="13"/>
      <c r="BGJ1120" s="13"/>
      <c r="BGK1120" s="13"/>
      <c r="BGL1120" s="13"/>
      <c r="BGM1120" s="13"/>
      <c r="BGN1120" s="13"/>
      <c r="BGO1120" s="13"/>
      <c r="BGP1120" s="13"/>
      <c r="BGQ1120" s="13"/>
      <c r="BGR1120" s="13"/>
      <c r="BGS1120" s="13"/>
      <c r="BGT1120" s="13"/>
      <c r="BGU1120" s="13"/>
      <c r="BGV1120" s="13"/>
      <c r="BGW1120" s="13"/>
      <c r="BGX1120" s="13"/>
      <c r="BGY1120" s="13"/>
      <c r="BGZ1120" s="13"/>
      <c r="BHA1120" s="13"/>
      <c r="BHB1120" s="13"/>
      <c r="BHC1120" s="13"/>
      <c r="BHD1120" s="13"/>
      <c r="BHE1120" s="13"/>
      <c r="BHF1120" s="13"/>
      <c r="BHG1120" s="13"/>
      <c r="BHH1120" s="13"/>
      <c r="BHI1120" s="13"/>
      <c r="BHJ1120" s="13"/>
      <c r="BHK1120" s="13"/>
      <c r="BHL1120" s="13"/>
      <c r="BHM1120" s="13"/>
      <c r="BHN1120" s="13"/>
      <c r="BHO1120" s="13"/>
      <c r="BHP1120" s="13"/>
      <c r="BHQ1120" s="13"/>
      <c r="BHR1120" s="13"/>
      <c r="BHS1120" s="13"/>
      <c r="BHT1120" s="13"/>
      <c r="BHU1120" s="13"/>
      <c r="BHV1120" s="13"/>
      <c r="BHW1120" s="13"/>
      <c r="BHX1120" s="13"/>
      <c r="BHY1120" s="13"/>
      <c r="BHZ1120" s="13"/>
      <c r="BIA1120" s="13"/>
      <c r="BIB1120" s="13"/>
      <c r="BIC1120" s="13"/>
      <c r="BID1120" s="13"/>
      <c r="BIE1120" s="13"/>
      <c r="BIF1120" s="13"/>
      <c r="BIG1120" s="13"/>
      <c r="BIH1120" s="13"/>
      <c r="BII1120" s="13"/>
      <c r="BIJ1120" s="13"/>
      <c r="BIK1120" s="13"/>
      <c r="BIL1120" s="13"/>
      <c r="BIM1120" s="13"/>
      <c r="BIN1120" s="13"/>
      <c r="BIO1120" s="13"/>
      <c r="BIP1120" s="13"/>
      <c r="BIQ1120" s="13"/>
      <c r="BIR1120" s="13"/>
      <c r="BIS1120" s="13"/>
      <c r="BIT1120" s="13"/>
      <c r="BIU1120" s="13"/>
      <c r="BIV1120" s="13"/>
      <c r="BIW1120" s="13"/>
      <c r="BIX1120" s="13"/>
      <c r="BIY1120" s="13"/>
      <c r="BIZ1120" s="13"/>
      <c r="BJA1120" s="13"/>
      <c r="BJB1120" s="13"/>
      <c r="BJC1120" s="13"/>
      <c r="BJD1120" s="13"/>
      <c r="BJE1120" s="13"/>
      <c r="BJF1120" s="13"/>
      <c r="BJG1120" s="13"/>
      <c r="BJH1120" s="13"/>
      <c r="BJI1120" s="13"/>
      <c r="BJJ1120" s="13"/>
      <c r="BJK1120" s="13"/>
      <c r="BJL1120" s="13"/>
      <c r="BJM1120" s="13"/>
      <c r="BJN1120" s="13"/>
      <c r="BJO1120" s="13"/>
      <c r="BJP1120" s="13"/>
      <c r="BJQ1120" s="13"/>
      <c r="BJR1120" s="13"/>
      <c r="BJS1120" s="13"/>
      <c r="BJT1120" s="13"/>
      <c r="BJU1120" s="13"/>
      <c r="BJV1120" s="13"/>
      <c r="BJW1120" s="13"/>
      <c r="BJX1120" s="13"/>
      <c r="BJY1120" s="13"/>
      <c r="BJZ1120" s="13"/>
      <c r="BKA1120" s="13"/>
      <c r="BKB1120" s="13"/>
      <c r="BKC1120" s="13"/>
      <c r="BKD1120" s="13"/>
      <c r="BKE1120" s="13"/>
      <c r="BKF1120" s="13"/>
      <c r="BKG1120" s="13"/>
      <c r="BKH1120" s="13"/>
      <c r="BKI1120" s="13"/>
      <c r="BKJ1120" s="13"/>
      <c r="BKK1120" s="13"/>
      <c r="BKL1120" s="13"/>
      <c r="BKM1120" s="13"/>
      <c r="BKN1120" s="13"/>
      <c r="BKO1120" s="13"/>
      <c r="BKP1120" s="13"/>
      <c r="BKQ1120" s="13"/>
      <c r="BKR1120" s="13"/>
      <c r="BKS1120" s="13"/>
      <c r="BKT1120" s="13"/>
      <c r="BKU1120" s="13"/>
      <c r="BKV1120" s="13"/>
      <c r="BKW1120" s="13"/>
      <c r="BKX1120" s="13"/>
      <c r="BKY1120" s="13"/>
      <c r="BKZ1120" s="13"/>
      <c r="BLA1120" s="13"/>
      <c r="BLB1120" s="13"/>
      <c r="BLC1120" s="13"/>
      <c r="BLD1120" s="13"/>
      <c r="BLE1120" s="13"/>
      <c r="BLF1120" s="13"/>
      <c r="BLG1120" s="13"/>
      <c r="BLH1120" s="13"/>
      <c r="BLI1120" s="13"/>
      <c r="BLJ1120" s="13"/>
      <c r="BLK1120" s="13"/>
      <c r="BLL1120" s="13"/>
      <c r="BLM1120" s="13"/>
      <c r="BLN1120" s="13"/>
      <c r="BLO1120" s="13"/>
      <c r="BLP1120" s="13"/>
      <c r="BLQ1120" s="13"/>
      <c r="BLR1120" s="13"/>
      <c r="BLS1120" s="13"/>
      <c r="BLT1120" s="13"/>
      <c r="BLU1120" s="13"/>
      <c r="BLV1120" s="13"/>
      <c r="BLW1120" s="13"/>
      <c r="BLX1120" s="13"/>
      <c r="BLY1120" s="13"/>
      <c r="BLZ1120" s="13"/>
      <c r="BMA1120" s="13"/>
      <c r="BMB1120" s="13"/>
      <c r="BMC1120" s="13"/>
      <c r="BMD1120" s="13"/>
      <c r="BME1120" s="13"/>
      <c r="BMF1120" s="13"/>
      <c r="BMG1120" s="13"/>
      <c r="BMH1120" s="13"/>
      <c r="BMI1120" s="13"/>
      <c r="BMJ1120" s="13"/>
      <c r="BMK1120" s="13"/>
      <c r="BML1120" s="13"/>
      <c r="BMM1120" s="13"/>
      <c r="BMN1120" s="13"/>
      <c r="BMO1120" s="13"/>
      <c r="BMP1120" s="13"/>
      <c r="BMQ1120" s="13"/>
      <c r="BMR1120" s="13"/>
      <c r="BMS1120" s="13"/>
      <c r="BMT1120" s="13"/>
      <c r="BMU1120" s="13"/>
      <c r="BMV1120" s="13"/>
      <c r="BMW1120" s="13"/>
      <c r="BMX1120" s="13"/>
      <c r="BMY1120" s="13"/>
      <c r="BMZ1120" s="13"/>
      <c r="BNA1120" s="13"/>
      <c r="BNB1120" s="13"/>
      <c r="BNC1120" s="13"/>
      <c r="BND1120" s="13"/>
      <c r="BNE1120" s="13"/>
      <c r="BNF1120" s="13"/>
      <c r="BNG1120" s="13"/>
      <c r="BNH1120" s="13"/>
      <c r="BNI1120" s="13"/>
      <c r="BNJ1120" s="13"/>
      <c r="BNK1120" s="13"/>
      <c r="BNL1120" s="13"/>
      <c r="BNM1120" s="13"/>
      <c r="BNN1120" s="13"/>
      <c r="BNO1120" s="13"/>
      <c r="BNP1120" s="13"/>
      <c r="BNQ1120" s="13"/>
      <c r="BNR1120" s="13"/>
      <c r="BNS1120" s="13"/>
      <c r="BNT1120" s="13"/>
      <c r="BNU1120" s="13"/>
      <c r="BNV1120" s="13"/>
      <c r="BNW1120" s="13"/>
      <c r="BNX1120" s="13"/>
      <c r="BNY1120" s="13"/>
      <c r="BNZ1120" s="13"/>
      <c r="BOA1120" s="13"/>
      <c r="BOB1120" s="13"/>
      <c r="BOC1120" s="13"/>
      <c r="BOD1120" s="13"/>
      <c r="BOE1120" s="13"/>
      <c r="BOF1120" s="13"/>
      <c r="BOG1120" s="13"/>
      <c r="BOH1120" s="13"/>
      <c r="BOI1120" s="13"/>
      <c r="BOJ1120" s="13"/>
      <c r="BOK1120" s="13"/>
      <c r="BOL1120" s="13"/>
      <c r="BOM1120" s="13"/>
      <c r="BON1120" s="13"/>
      <c r="BOO1120" s="13"/>
      <c r="BOP1120" s="13"/>
      <c r="BOQ1120" s="13"/>
      <c r="BOR1120" s="13"/>
      <c r="BOS1120" s="13"/>
      <c r="BOT1120" s="13"/>
      <c r="BOU1120" s="13"/>
      <c r="BOV1120" s="13"/>
      <c r="BOW1120" s="13"/>
      <c r="BOX1120" s="13"/>
      <c r="BOY1120" s="13"/>
      <c r="BOZ1120" s="13"/>
      <c r="BPA1120" s="13"/>
      <c r="BPB1120" s="13"/>
      <c r="BPC1120" s="13"/>
      <c r="BPD1120" s="13"/>
      <c r="BPE1120" s="13"/>
      <c r="BPF1120" s="13"/>
      <c r="BPG1120" s="13"/>
      <c r="BPH1120" s="13"/>
      <c r="BPI1120" s="13"/>
      <c r="BPJ1120" s="13"/>
      <c r="BPK1120" s="13"/>
      <c r="BPL1120" s="13"/>
      <c r="BPM1120" s="13"/>
      <c r="BPN1120" s="13"/>
      <c r="BPO1120" s="13"/>
      <c r="BPP1120" s="13"/>
      <c r="BPQ1120" s="13"/>
      <c r="BPR1120" s="13"/>
      <c r="BPS1120" s="13"/>
      <c r="BPT1120" s="13"/>
      <c r="BPU1120" s="13"/>
      <c r="BPV1120" s="13"/>
      <c r="BPW1120" s="13"/>
      <c r="BPX1120" s="13"/>
      <c r="BPY1120" s="13"/>
      <c r="BPZ1120" s="13"/>
      <c r="BQA1120" s="13"/>
      <c r="BQB1120" s="13"/>
      <c r="BQC1120" s="13"/>
      <c r="BQD1120" s="13"/>
      <c r="BQE1120" s="13"/>
      <c r="BQF1120" s="13"/>
      <c r="BQG1120" s="13"/>
      <c r="BQH1120" s="13"/>
      <c r="BQI1120" s="13"/>
      <c r="BQJ1120" s="13"/>
      <c r="BQK1120" s="13"/>
      <c r="BQL1120" s="13"/>
      <c r="BQM1120" s="13"/>
      <c r="BQN1120" s="13"/>
      <c r="BQO1120" s="13"/>
      <c r="BQP1120" s="13"/>
      <c r="BQQ1120" s="13"/>
      <c r="BQR1120" s="13"/>
      <c r="BQS1120" s="13"/>
      <c r="BQT1120" s="13"/>
      <c r="BQU1120" s="13"/>
      <c r="BQV1120" s="13"/>
      <c r="BQW1120" s="13"/>
      <c r="BQX1120" s="13"/>
      <c r="BQY1120" s="13"/>
      <c r="BQZ1120" s="13"/>
      <c r="BRA1120" s="13"/>
      <c r="BRB1120" s="13"/>
      <c r="BRC1120" s="13"/>
      <c r="BRD1120" s="13"/>
      <c r="BRE1120" s="13"/>
      <c r="BRF1120" s="13"/>
      <c r="BRG1120" s="13"/>
      <c r="BRH1120" s="13"/>
      <c r="BRI1120" s="13"/>
      <c r="BRJ1120" s="13"/>
      <c r="BRK1120" s="13"/>
      <c r="BRL1120" s="13"/>
      <c r="BRM1120" s="13"/>
      <c r="BRN1120" s="13"/>
      <c r="BRO1120" s="13"/>
      <c r="BRP1120" s="13"/>
      <c r="BRQ1120" s="13"/>
      <c r="BRR1120" s="13"/>
      <c r="BRS1120" s="13"/>
      <c r="BRT1120" s="13"/>
      <c r="BRU1120" s="13"/>
      <c r="BRV1120" s="13"/>
      <c r="BRW1120" s="13"/>
      <c r="BRX1120" s="13"/>
      <c r="BRY1120" s="13"/>
      <c r="BRZ1120" s="13"/>
      <c r="BSA1120" s="13"/>
      <c r="BSB1120" s="13"/>
      <c r="BSC1120" s="13"/>
      <c r="BSD1120" s="13"/>
      <c r="BSE1120" s="13"/>
      <c r="BSF1120" s="13"/>
      <c r="BSG1120" s="13"/>
      <c r="BSH1120" s="13"/>
      <c r="BSI1120" s="13"/>
      <c r="BSJ1120" s="13"/>
      <c r="BSK1120" s="13"/>
      <c r="BSL1120" s="13"/>
      <c r="BSM1120" s="13"/>
      <c r="BSN1120" s="13"/>
      <c r="BSO1120" s="13"/>
      <c r="BSP1120" s="13"/>
      <c r="BSQ1120" s="13"/>
      <c r="BSR1120" s="13"/>
      <c r="BSS1120" s="13"/>
      <c r="BST1120" s="13"/>
      <c r="BSU1120" s="13"/>
      <c r="BSV1120" s="13"/>
      <c r="BSW1120" s="13"/>
      <c r="BSX1120" s="13"/>
      <c r="BSY1120" s="13"/>
      <c r="BSZ1120" s="13"/>
      <c r="BTA1120" s="13"/>
    </row>
    <row r="1121" spans="1:1873" s="210" customFormat="1" x14ac:dyDescent="0.2">
      <c r="A1121" s="411" t="s">
        <v>1221</v>
      </c>
      <c r="B1121" s="574" t="s">
        <v>1169</v>
      </c>
      <c r="C1121" s="411" t="s">
        <v>157</v>
      </c>
      <c r="D1121" s="411" t="s">
        <v>619</v>
      </c>
      <c r="E1121" s="571" t="s">
        <v>1507</v>
      </c>
      <c r="F1121" s="571">
        <v>1</v>
      </c>
      <c r="G1121" s="411">
        <v>4</v>
      </c>
      <c r="H1121" s="577">
        <v>4</v>
      </c>
      <c r="I1121" s="411" t="s">
        <v>842</v>
      </c>
      <c r="J1121" s="411">
        <v>1985</v>
      </c>
      <c r="K1121" s="589" t="s">
        <v>1211</v>
      </c>
      <c r="L1121" s="411">
        <v>1988</v>
      </c>
      <c r="M1121" s="573">
        <v>-9999</v>
      </c>
      <c r="N1121" s="411">
        <v>-9999</v>
      </c>
      <c r="O1121" s="18"/>
      <c r="P1121" s="575">
        <f t="shared" si="119"/>
        <v>117.6</v>
      </c>
      <c r="Q1121" s="411">
        <v>-9999</v>
      </c>
      <c r="R1121" s="573"/>
      <c r="S1121" s="411"/>
      <c r="T1121" s="573">
        <v>29.4</v>
      </c>
      <c r="U1121" s="411">
        <v>-9999</v>
      </c>
      <c r="V1121" s="411"/>
      <c r="W1121" s="573">
        <v>-9999</v>
      </c>
      <c r="X1121" s="411">
        <v>-9999</v>
      </c>
      <c r="Y1121" s="411"/>
      <c r="Z1121" s="411" t="s">
        <v>793</v>
      </c>
      <c r="AA1121" s="411">
        <v>10000</v>
      </c>
      <c r="AB1121" s="573">
        <v>1</v>
      </c>
      <c r="AC1121" s="411">
        <v>0.36</v>
      </c>
      <c r="AD1121" s="411">
        <v>88</v>
      </c>
      <c r="AE1121" s="411" t="s">
        <v>1955</v>
      </c>
      <c r="AF1121" s="411">
        <v>3</v>
      </c>
      <c r="AG1121" s="411">
        <v>1</v>
      </c>
      <c r="AH1121" s="411" t="s">
        <v>623</v>
      </c>
      <c r="AI1121" s="411" t="s">
        <v>624</v>
      </c>
      <c r="AJ1121" s="411">
        <v>-9999</v>
      </c>
      <c r="AK1121" s="411" t="s">
        <v>626</v>
      </c>
      <c r="AL1121" s="411">
        <v>-9999</v>
      </c>
      <c r="AM1121" s="411">
        <v>-9999</v>
      </c>
      <c r="AN1121" s="411" t="s">
        <v>626</v>
      </c>
      <c r="AO1121" s="411" t="s">
        <v>847</v>
      </c>
      <c r="AP1121" s="411" t="s">
        <v>1195</v>
      </c>
      <c r="AQ1121" s="411" t="s">
        <v>631</v>
      </c>
      <c r="AR1121" s="411">
        <v>0</v>
      </c>
      <c r="AS1121" s="411">
        <v>-9999</v>
      </c>
      <c r="AT1121" s="411">
        <v>-9999</v>
      </c>
      <c r="AU1121" s="411">
        <v>0</v>
      </c>
      <c r="AV1121" s="411">
        <v>-9999</v>
      </c>
      <c r="AW1121" s="411">
        <v>-9999</v>
      </c>
      <c r="AX1121" s="411">
        <v>0</v>
      </c>
      <c r="AY1121" s="411">
        <v>-9999</v>
      </c>
      <c r="AZ1121" s="411">
        <v>-9999</v>
      </c>
      <c r="BA1121" s="411" t="s">
        <v>631</v>
      </c>
      <c r="BB1121" s="411" t="s">
        <v>626</v>
      </c>
      <c r="BC1121" s="411" t="s">
        <v>848</v>
      </c>
      <c r="BD1121" s="411" t="s">
        <v>849</v>
      </c>
      <c r="BE1121" s="411"/>
      <c r="BF1121" s="411"/>
      <c r="BG1121" s="411"/>
      <c r="BH1121" s="411"/>
      <c r="BI1121" s="411" t="s">
        <v>1190</v>
      </c>
      <c r="BJ1121" s="411">
        <v>-9999</v>
      </c>
      <c r="BK1121" s="411">
        <v>-9999</v>
      </c>
      <c r="BL1121" s="411">
        <v>13.04</v>
      </c>
      <c r="BM1121" s="411">
        <v>-9999</v>
      </c>
      <c r="BN1121" s="411">
        <v>-9999</v>
      </c>
      <c r="BO1121" s="411">
        <v>-9999</v>
      </c>
      <c r="BP1121" s="411">
        <v>-9999</v>
      </c>
      <c r="BQ1121" s="411">
        <v>-9999</v>
      </c>
      <c r="BR1121" s="411">
        <v>95.98</v>
      </c>
      <c r="BS1121" s="468">
        <v>-9999</v>
      </c>
      <c r="BT1121" s="411">
        <v>-9999</v>
      </c>
      <c r="BU1121" s="411">
        <v>129.34</v>
      </c>
      <c r="BV1121" s="411">
        <v>-9999</v>
      </c>
      <c r="BW1121" s="411"/>
      <c r="BX1121" s="411">
        <v>-9999</v>
      </c>
      <c r="BY1121" s="411">
        <v>-9999</v>
      </c>
      <c r="BZ1121" s="411">
        <v>-9999</v>
      </c>
      <c r="CA1121" s="578" t="s">
        <v>850</v>
      </c>
      <c r="CB1121" s="579" t="s">
        <v>1602</v>
      </c>
      <c r="CC1121" s="571">
        <v>1</v>
      </c>
      <c r="CD1121" s="411" t="s">
        <v>1608</v>
      </c>
      <c r="CE1121" s="393">
        <v>29.4</v>
      </c>
      <c r="CF1121" s="99">
        <v>-9999</v>
      </c>
      <c r="CG1121" s="209">
        <v>4</v>
      </c>
      <c r="CH1121" s="436" t="s">
        <v>1757</v>
      </c>
      <c r="CI1121" s="13"/>
      <c r="CJ1121" s="13"/>
      <c r="CK1121" s="13"/>
      <c r="CL1121" s="13"/>
      <c r="CM1121" s="13"/>
      <c r="CN1121" s="13"/>
      <c r="CO1121" s="13"/>
      <c r="CP1121" s="301" t="s">
        <v>1613</v>
      </c>
      <c r="CQ1121" s="13"/>
      <c r="CR1121" s="13"/>
      <c r="CS1121" s="13"/>
      <c r="CT1121" s="13"/>
      <c r="CU1121" s="13"/>
      <c r="CV1121" s="13"/>
      <c r="CW1121" s="13"/>
      <c r="CX1121" s="13"/>
      <c r="CY1121" s="13"/>
      <c r="CZ1121" s="13"/>
      <c r="DA1121" s="13"/>
      <c r="DB1121" s="13"/>
      <c r="DC1121" s="13"/>
      <c r="DD1121" s="13"/>
      <c r="DE1121" s="13"/>
      <c r="DF1121" s="13"/>
      <c r="DG1121" s="13"/>
      <c r="DH1121" s="13"/>
      <c r="DI1121" s="13"/>
      <c r="DJ1121" s="13"/>
      <c r="DK1121" s="13"/>
      <c r="DL1121" s="13"/>
      <c r="DM1121" s="13"/>
      <c r="DN1121" s="13"/>
      <c r="DO1121" s="13"/>
      <c r="DP1121" s="13"/>
      <c r="DQ1121" s="13"/>
      <c r="DR1121" s="13"/>
      <c r="DS1121" s="13"/>
      <c r="DT1121" s="13"/>
      <c r="DU1121" s="13"/>
      <c r="DV1121" s="13"/>
      <c r="DW1121" s="13"/>
      <c r="DX1121" s="13"/>
      <c r="DY1121" s="13"/>
      <c r="DZ1121" s="13"/>
      <c r="EA1121" s="13"/>
      <c r="EB1121" s="13"/>
      <c r="EC1121" s="13"/>
      <c r="ED1121" s="13"/>
      <c r="EE1121" s="13"/>
      <c r="EF1121" s="13"/>
      <c r="EG1121" s="13"/>
      <c r="EH1121" s="13"/>
      <c r="EI1121" s="13"/>
      <c r="EJ1121" s="13"/>
      <c r="EK1121" s="13"/>
      <c r="EL1121" s="13"/>
      <c r="EM1121" s="13"/>
      <c r="EN1121" s="13"/>
      <c r="EO1121" s="13"/>
      <c r="EP1121" s="13"/>
      <c r="EQ1121" s="13"/>
      <c r="ER1121" s="13"/>
      <c r="ES1121" s="13"/>
      <c r="ET1121" s="13"/>
      <c r="EU1121" s="13"/>
      <c r="EV1121" s="13"/>
      <c r="EW1121" s="13"/>
      <c r="EX1121" s="13"/>
      <c r="EY1121" s="13"/>
      <c r="EZ1121" s="13"/>
      <c r="FA1121" s="13"/>
      <c r="FB1121" s="13"/>
      <c r="FC1121" s="13"/>
      <c r="FD1121" s="13"/>
      <c r="FE1121" s="13"/>
      <c r="FF1121" s="13"/>
      <c r="FG1121" s="13"/>
      <c r="FH1121" s="13"/>
      <c r="FI1121" s="13"/>
      <c r="FJ1121" s="13"/>
      <c r="FK1121" s="13"/>
      <c r="FL1121" s="13"/>
      <c r="FM1121" s="13"/>
      <c r="FN1121" s="13"/>
      <c r="FO1121" s="13"/>
      <c r="FP1121" s="13"/>
      <c r="FQ1121" s="13"/>
      <c r="FR1121" s="13"/>
      <c r="FS1121" s="13"/>
      <c r="FT1121" s="13"/>
      <c r="FU1121" s="13"/>
      <c r="FV1121" s="13"/>
      <c r="FW1121" s="13"/>
      <c r="FX1121" s="13"/>
      <c r="FY1121" s="13"/>
      <c r="FZ1121" s="13"/>
      <c r="GA1121" s="13"/>
      <c r="GB1121" s="13"/>
      <c r="GC1121" s="13"/>
      <c r="GD1121" s="13"/>
      <c r="GE1121" s="13"/>
      <c r="GF1121" s="13"/>
      <c r="GG1121" s="13"/>
      <c r="GH1121" s="13"/>
      <c r="GI1121" s="13"/>
      <c r="GJ1121" s="13"/>
      <c r="GK1121" s="13"/>
      <c r="GL1121" s="13"/>
      <c r="GM1121" s="13"/>
      <c r="GN1121" s="13"/>
      <c r="GO1121" s="13"/>
      <c r="GP1121" s="13"/>
      <c r="GQ1121" s="13"/>
      <c r="GR1121" s="13"/>
      <c r="GS1121" s="13"/>
      <c r="GT1121" s="13"/>
      <c r="GU1121" s="13"/>
      <c r="GV1121" s="13"/>
      <c r="GW1121" s="13"/>
      <c r="GX1121" s="13"/>
      <c r="GY1121" s="13"/>
      <c r="GZ1121" s="13"/>
      <c r="HA1121" s="13"/>
      <c r="HB1121" s="13"/>
      <c r="HC1121" s="13"/>
      <c r="HD1121" s="13"/>
      <c r="HE1121" s="13"/>
      <c r="HF1121" s="13"/>
      <c r="HG1121" s="13"/>
      <c r="HH1121" s="13"/>
      <c r="HI1121" s="13"/>
      <c r="HJ1121" s="13"/>
      <c r="HK1121" s="13"/>
      <c r="HL1121" s="13"/>
      <c r="HM1121" s="13"/>
      <c r="HN1121" s="13"/>
      <c r="HO1121" s="13"/>
      <c r="HP1121" s="13"/>
      <c r="HQ1121" s="13"/>
      <c r="HR1121" s="13"/>
      <c r="HS1121" s="13"/>
      <c r="HT1121" s="13"/>
      <c r="HU1121" s="13"/>
      <c r="HV1121" s="13"/>
      <c r="HW1121" s="13"/>
      <c r="HX1121" s="13"/>
      <c r="HY1121" s="13"/>
      <c r="HZ1121" s="13"/>
      <c r="IA1121" s="13"/>
      <c r="IB1121" s="13"/>
      <c r="IC1121" s="13"/>
      <c r="ID1121" s="13"/>
      <c r="IE1121" s="13"/>
      <c r="IF1121" s="13"/>
      <c r="IG1121" s="13"/>
      <c r="IH1121" s="13"/>
      <c r="II1121" s="13"/>
      <c r="IJ1121" s="13"/>
      <c r="IK1121" s="13"/>
      <c r="IL1121" s="13"/>
      <c r="IM1121" s="13"/>
      <c r="IN1121" s="13"/>
      <c r="IO1121" s="13"/>
      <c r="IP1121" s="13"/>
      <c r="IQ1121" s="13"/>
      <c r="IR1121" s="13"/>
      <c r="IS1121" s="13"/>
      <c r="IT1121" s="13"/>
      <c r="IU1121" s="13"/>
      <c r="IV1121" s="13"/>
      <c r="IW1121" s="13"/>
      <c r="IX1121" s="13"/>
      <c r="IY1121" s="13"/>
      <c r="IZ1121" s="13"/>
      <c r="JA1121" s="13"/>
      <c r="JB1121" s="13"/>
      <c r="JC1121" s="13"/>
      <c r="JD1121" s="13"/>
      <c r="JE1121" s="13"/>
      <c r="JF1121" s="13"/>
      <c r="JG1121" s="13"/>
      <c r="JH1121" s="13"/>
      <c r="JI1121" s="13"/>
      <c r="JJ1121" s="13"/>
      <c r="JK1121" s="13"/>
      <c r="JL1121" s="13"/>
      <c r="JM1121" s="13"/>
      <c r="JN1121" s="13"/>
      <c r="JO1121" s="13"/>
      <c r="JP1121" s="13"/>
      <c r="JQ1121" s="13"/>
      <c r="JR1121" s="13"/>
      <c r="JS1121" s="13"/>
      <c r="JT1121" s="13"/>
      <c r="JU1121" s="13"/>
      <c r="JV1121" s="13"/>
      <c r="JW1121" s="13"/>
      <c r="JX1121" s="13"/>
      <c r="JY1121" s="13"/>
      <c r="JZ1121" s="13"/>
      <c r="KA1121" s="13"/>
      <c r="KB1121" s="13"/>
      <c r="KC1121" s="13"/>
      <c r="KD1121" s="13"/>
      <c r="KE1121" s="13"/>
      <c r="KF1121" s="13"/>
      <c r="KG1121" s="13"/>
      <c r="KH1121" s="13"/>
      <c r="KI1121" s="13"/>
      <c r="KJ1121" s="13"/>
      <c r="KK1121" s="13"/>
      <c r="KL1121" s="13"/>
      <c r="KM1121" s="13"/>
      <c r="KN1121" s="13"/>
      <c r="KO1121" s="13"/>
      <c r="KP1121" s="13"/>
      <c r="KQ1121" s="13"/>
      <c r="KR1121" s="13"/>
      <c r="KS1121" s="13"/>
      <c r="KT1121" s="13"/>
      <c r="KU1121" s="13"/>
      <c r="KV1121" s="13"/>
      <c r="KW1121" s="13"/>
      <c r="KX1121" s="13"/>
      <c r="KY1121" s="13"/>
      <c r="KZ1121" s="13"/>
      <c r="LA1121" s="13"/>
      <c r="LB1121" s="13"/>
      <c r="LC1121" s="13"/>
      <c r="LD1121" s="13"/>
      <c r="LE1121" s="13"/>
      <c r="LF1121" s="13"/>
      <c r="LG1121" s="13"/>
      <c r="LH1121" s="13"/>
      <c r="LI1121" s="13"/>
      <c r="LJ1121" s="13"/>
      <c r="LK1121" s="13"/>
      <c r="LL1121" s="13"/>
      <c r="LM1121" s="13"/>
      <c r="LN1121" s="13"/>
      <c r="LO1121" s="13"/>
      <c r="LP1121" s="13"/>
      <c r="LQ1121" s="13"/>
      <c r="LR1121" s="13"/>
      <c r="LS1121" s="13"/>
      <c r="LT1121" s="13"/>
      <c r="LU1121" s="13"/>
      <c r="LV1121" s="13"/>
      <c r="LW1121" s="13"/>
      <c r="LX1121" s="13"/>
      <c r="LY1121" s="13"/>
      <c r="LZ1121" s="13"/>
      <c r="MA1121" s="13"/>
      <c r="MB1121" s="13"/>
      <c r="MC1121" s="13"/>
      <c r="MD1121" s="13"/>
      <c r="ME1121" s="13"/>
      <c r="MF1121" s="13"/>
      <c r="MG1121" s="13"/>
      <c r="MH1121" s="13"/>
      <c r="MI1121" s="13"/>
      <c r="MJ1121" s="13"/>
      <c r="MK1121" s="13"/>
      <c r="ML1121" s="13"/>
      <c r="MM1121" s="13"/>
      <c r="MN1121" s="13"/>
      <c r="MO1121" s="13"/>
      <c r="MP1121" s="13"/>
      <c r="MQ1121" s="13"/>
      <c r="MR1121" s="13"/>
      <c r="MS1121" s="13"/>
      <c r="MT1121" s="13"/>
      <c r="MU1121" s="13"/>
      <c r="MV1121" s="13"/>
      <c r="MW1121" s="13"/>
      <c r="MX1121" s="13"/>
      <c r="MY1121" s="13"/>
      <c r="MZ1121" s="13"/>
      <c r="NA1121" s="13"/>
      <c r="NB1121" s="13"/>
      <c r="NC1121" s="13"/>
      <c r="ND1121" s="13"/>
      <c r="NE1121" s="13"/>
      <c r="NF1121" s="13"/>
      <c r="NG1121" s="13"/>
      <c r="NH1121" s="13"/>
      <c r="NI1121" s="13"/>
      <c r="NJ1121" s="13"/>
      <c r="NK1121" s="13"/>
      <c r="NL1121" s="13"/>
      <c r="NM1121" s="13"/>
      <c r="NN1121" s="13"/>
      <c r="NO1121" s="13"/>
      <c r="NP1121" s="13"/>
      <c r="NQ1121" s="13"/>
      <c r="NR1121" s="13"/>
      <c r="NS1121" s="13"/>
      <c r="NT1121" s="13"/>
      <c r="NU1121" s="13"/>
      <c r="NV1121" s="13"/>
      <c r="NW1121" s="13"/>
      <c r="NX1121" s="13"/>
      <c r="NY1121" s="13"/>
      <c r="NZ1121" s="13"/>
      <c r="OA1121" s="13"/>
      <c r="OB1121" s="13"/>
      <c r="OC1121" s="13"/>
      <c r="OD1121" s="13"/>
      <c r="OE1121" s="13"/>
      <c r="OF1121" s="13"/>
      <c r="OG1121" s="13"/>
      <c r="OH1121" s="13"/>
      <c r="OI1121" s="13"/>
      <c r="OJ1121" s="13"/>
      <c r="OK1121" s="13"/>
      <c r="OL1121" s="13"/>
      <c r="OM1121" s="13"/>
      <c r="ON1121" s="13"/>
      <c r="OO1121" s="13"/>
      <c r="OP1121" s="13"/>
      <c r="OQ1121" s="13"/>
      <c r="OR1121" s="13"/>
      <c r="OS1121" s="13"/>
      <c r="OT1121" s="13"/>
      <c r="OU1121" s="13"/>
      <c r="OV1121" s="13"/>
      <c r="OW1121" s="13"/>
      <c r="OX1121" s="13"/>
      <c r="OY1121" s="13"/>
      <c r="OZ1121" s="13"/>
      <c r="PA1121" s="13"/>
      <c r="PB1121" s="13"/>
      <c r="PC1121" s="13"/>
      <c r="PD1121" s="13"/>
      <c r="PE1121" s="13"/>
      <c r="PF1121" s="13"/>
      <c r="PG1121" s="13"/>
      <c r="PH1121" s="13"/>
      <c r="PI1121" s="13"/>
      <c r="PJ1121" s="13"/>
      <c r="PK1121" s="13"/>
      <c r="PL1121" s="13"/>
      <c r="PM1121" s="13"/>
      <c r="PN1121" s="13"/>
      <c r="PO1121" s="13"/>
      <c r="PP1121" s="13"/>
      <c r="PQ1121" s="13"/>
      <c r="PR1121" s="13"/>
      <c r="PS1121" s="13"/>
      <c r="PT1121" s="13"/>
      <c r="PU1121" s="13"/>
      <c r="PV1121" s="13"/>
      <c r="PW1121" s="13"/>
      <c r="PX1121" s="13"/>
      <c r="PY1121" s="13"/>
      <c r="PZ1121" s="13"/>
      <c r="QA1121" s="13"/>
      <c r="QB1121" s="13"/>
      <c r="QC1121" s="13"/>
      <c r="QD1121" s="13"/>
      <c r="QE1121" s="13"/>
      <c r="QF1121" s="13"/>
      <c r="QG1121" s="13"/>
      <c r="QH1121" s="13"/>
      <c r="QI1121" s="13"/>
      <c r="QJ1121" s="13"/>
      <c r="QK1121" s="13"/>
      <c r="QL1121" s="13"/>
      <c r="QM1121" s="13"/>
      <c r="QN1121" s="13"/>
      <c r="QO1121" s="13"/>
      <c r="QP1121" s="13"/>
      <c r="QQ1121" s="13"/>
      <c r="QR1121" s="13"/>
      <c r="QS1121" s="13"/>
      <c r="QT1121" s="13"/>
      <c r="QU1121" s="13"/>
      <c r="QV1121" s="13"/>
      <c r="QW1121" s="13"/>
      <c r="QX1121" s="13"/>
      <c r="QY1121" s="13"/>
      <c r="QZ1121" s="13"/>
      <c r="RA1121" s="13"/>
      <c r="RB1121" s="13"/>
      <c r="RC1121" s="13"/>
      <c r="RD1121" s="13"/>
      <c r="RE1121" s="13"/>
      <c r="RF1121" s="13"/>
      <c r="RG1121" s="13"/>
      <c r="RH1121" s="13"/>
      <c r="RI1121" s="13"/>
      <c r="RJ1121" s="13"/>
      <c r="RK1121" s="13"/>
      <c r="RL1121" s="13"/>
      <c r="RM1121" s="13"/>
      <c r="RN1121" s="13"/>
      <c r="RO1121" s="13"/>
      <c r="RP1121" s="13"/>
      <c r="RQ1121" s="13"/>
      <c r="RR1121" s="13"/>
      <c r="RS1121" s="13"/>
      <c r="RT1121" s="13"/>
      <c r="RU1121" s="13"/>
      <c r="RV1121" s="13"/>
      <c r="RW1121" s="13"/>
      <c r="RX1121" s="13"/>
      <c r="RY1121" s="13"/>
      <c r="RZ1121" s="13"/>
      <c r="SA1121" s="13"/>
      <c r="SB1121" s="13"/>
      <c r="SC1121" s="13"/>
      <c r="SD1121" s="13"/>
      <c r="SE1121" s="13"/>
      <c r="SF1121" s="13"/>
      <c r="SG1121" s="13"/>
      <c r="SH1121" s="13"/>
      <c r="SI1121" s="13"/>
      <c r="SJ1121" s="13"/>
      <c r="SK1121" s="13"/>
      <c r="SL1121" s="13"/>
      <c r="SM1121" s="13"/>
      <c r="SN1121" s="13"/>
      <c r="SO1121" s="13"/>
      <c r="SP1121" s="13"/>
      <c r="SQ1121" s="13"/>
      <c r="SR1121" s="13"/>
      <c r="SS1121" s="13"/>
      <c r="ST1121" s="13"/>
      <c r="SU1121" s="13"/>
      <c r="SV1121" s="13"/>
      <c r="SW1121" s="13"/>
      <c r="SX1121" s="13"/>
      <c r="SY1121" s="13"/>
      <c r="SZ1121" s="13"/>
      <c r="TA1121" s="13"/>
      <c r="TB1121" s="13"/>
      <c r="TC1121" s="13"/>
      <c r="TD1121" s="13"/>
      <c r="TE1121" s="13"/>
      <c r="TF1121" s="13"/>
      <c r="TG1121" s="13"/>
      <c r="TH1121" s="13"/>
      <c r="TI1121" s="13"/>
      <c r="TJ1121" s="13"/>
      <c r="TK1121" s="13"/>
      <c r="TL1121" s="13"/>
      <c r="TM1121" s="13"/>
      <c r="TN1121" s="13"/>
      <c r="TO1121" s="13"/>
      <c r="TP1121" s="13"/>
      <c r="TQ1121" s="13"/>
      <c r="TR1121" s="13"/>
      <c r="TS1121" s="13"/>
      <c r="TT1121" s="13"/>
      <c r="TU1121" s="13"/>
      <c r="TV1121" s="13"/>
      <c r="TW1121" s="13"/>
      <c r="TX1121" s="13"/>
      <c r="TY1121" s="13"/>
      <c r="TZ1121" s="13"/>
      <c r="UA1121" s="13"/>
      <c r="UB1121" s="13"/>
      <c r="UC1121" s="13"/>
      <c r="UD1121" s="13"/>
      <c r="UE1121" s="13"/>
      <c r="UF1121" s="13"/>
      <c r="UG1121" s="13"/>
      <c r="UH1121" s="13"/>
      <c r="UI1121" s="13"/>
      <c r="UJ1121" s="13"/>
      <c r="UK1121" s="13"/>
      <c r="UL1121" s="13"/>
      <c r="UM1121" s="13"/>
      <c r="UN1121" s="13"/>
      <c r="UO1121" s="13"/>
      <c r="UP1121" s="13"/>
      <c r="UQ1121" s="13"/>
      <c r="UR1121" s="13"/>
      <c r="US1121" s="13"/>
      <c r="UT1121" s="13"/>
      <c r="UU1121" s="13"/>
      <c r="UV1121" s="13"/>
      <c r="UW1121" s="13"/>
      <c r="UX1121" s="13"/>
      <c r="UY1121" s="13"/>
      <c r="UZ1121" s="13"/>
      <c r="VA1121" s="13"/>
      <c r="VB1121" s="13"/>
      <c r="VC1121" s="13"/>
      <c r="VD1121" s="13"/>
      <c r="VE1121" s="13"/>
      <c r="VF1121" s="13"/>
      <c r="VG1121" s="13"/>
      <c r="VH1121" s="13"/>
      <c r="VI1121" s="13"/>
      <c r="VJ1121" s="13"/>
      <c r="VK1121" s="13"/>
      <c r="VL1121" s="13"/>
      <c r="VM1121" s="13"/>
      <c r="VN1121" s="13"/>
      <c r="VO1121" s="13"/>
      <c r="VP1121" s="13"/>
      <c r="VQ1121" s="13"/>
      <c r="VR1121" s="13"/>
      <c r="VS1121" s="13"/>
      <c r="VT1121" s="13"/>
      <c r="VU1121" s="13"/>
      <c r="VV1121" s="13"/>
      <c r="VW1121" s="13"/>
      <c r="VX1121" s="13"/>
      <c r="VY1121" s="13"/>
      <c r="VZ1121" s="13"/>
      <c r="WA1121" s="13"/>
      <c r="WB1121" s="13"/>
      <c r="WC1121" s="13"/>
      <c r="WD1121" s="13"/>
      <c r="WE1121" s="13"/>
      <c r="WF1121" s="13"/>
      <c r="WG1121" s="13"/>
      <c r="WH1121" s="13"/>
      <c r="WI1121" s="13"/>
      <c r="WJ1121" s="13"/>
      <c r="WK1121" s="13"/>
      <c r="WL1121" s="13"/>
      <c r="WM1121" s="13"/>
      <c r="WN1121" s="13"/>
      <c r="WO1121" s="13"/>
      <c r="WP1121" s="13"/>
      <c r="WQ1121" s="13"/>
      <c r="WR1121" s="13"/>
      <c r="WS1121" s="13"/>
      <c r="WT1121" s="13"/>
      <c r="WU1121" s="13"/>
      <c r="WV1121" s="13"/>
      <c r="WW1121" s="13"/>
      <c r="WX1121" s="13"/>
      <c r="WY1121" s="13"/>
      <c r="WZ1121" s="13"/>
      <c r="XA1121" s="13"/>
      <c r="XB1121" s="13"/>
      <c r="XC1121" s="13"/>
      <c r="XD1121" s="13"/>
      <c r="XE1121" s="13"/>
      <c r="XF1121" s="13"/>
      <c r="XG1121" s="13"/>
      <c r="XH1121" s="13"/>
      <c r="XI1121" s="13"/>
      <c r="XJ1121" s="13"/>
      <c r="XK1121" s="13"/>
      <c r="XL1121" s="13"/>
      <c r="XM1121" s="13"/>
      <c r="XN1121" s="13"/>
      <c r="XO1121" s="13"/>
      <c r="XP1121" s="13"/>
      <c r="XQ1121" s="13"/>
      <c r="XR1121" s="13"/>
      <c r="XS1121" s="13"/>
      <c r="XT1121" s="13"/>
      <c r="XU1121" s="13"/>
      <c r="XV1121" s="13"/>
      <c r="XW1121" s="13"/>
      <c r="XX1121" s="13"/>
      <c r="XY1121" s="13"/>
      <c r="XZ1121" s="13"/>
      <c r="YA1121" s="13"/>
      <c r="YB1121" s="13"/>
      <c r="YC1121" s="13"/>
      <c r="YD1121" s="13"/>
      <c r="YE1121" s="13"/>
      <c r="YF1121" s="13"/>
      <c r="YG1121" s="13"/>
      <c r="YH1121" s="13"/>
      <c r="YI1121" s="13"/>
      <c r="YJ1121" s="13"/>
      <c r="YK1121" s="13"/>
      <c r="YL1121" s="13"/>
      <c r="YM1121" s="13"/>
      <c r="YN1121" s="13"/>
      <c r="YO1121" s="13"/>
      <c r="YP1121" s="13"/>
      <c r="YQ1121" s="13"/>
      <c r="YR1121" s="13"/>
      <c r="YS1121" s="13"/>
      <c r="YT1121" s="13"/>
      <c r="YU1121" s="13"/>
      <c r="YV1121" s="13"/>
      <c r="YW1121" s="13"/>
      <c r="YX1121" s="13"/>
      <c r="YY1121" s="13"/>
      <c r="YZ1121" s="13"/>
      <c r="ZA1121" s="13"/>
      <c r="ZB1121" s="13"/>
      <c r="ZC1121" s="13"/>
      <c r="ZD1121" s="13"/>
      <c r="ZE1121" s="13"/>
      <c r="ZF1121" s="13"/>
      <c r="ZG1121" s="13"/>
      <c r="ZH1121" s="13"/>
      <c r="ZI1121" s="13"/>
      <c r="ZJ1121" s="13"/>
      <c r="ZK1121" s="13"/>
      <c r="ZL1121" s="13"/>
      <c r="ZM1121" s="13"/>
      <c r="ZN1121" s="13"/>
      <c r="ZO1121" s="13"/>
      <c r="ZP1121" s="13"/>
      <c r="ZQ1121" s="13"/>
      <c r="ZR1121" s="13"/>
      <c r="ZS1121" s="13"/>
      <c r="ZT1121" s="13"/>
      <c r="ZU1121" s="13"/>
      <c r="ZV1121" s="13"/>
      <c r="ZW1121" s="13"/>
      <c r="ZX1121" s="13"/>
      <c r="ZY1121" s="13"/>
      <c r="ZZ1121" s="13"/>
      <c r="AAA1121" s="13"/>
      <c r="AAB1121" s="13"/>
      <c r="AAC1121" s="13"/>
      <c r="AAD1121" s="13"/>
      <c r="AAE1121" s="13"/>
      <c r="AAF1121" s="13"/>
      <c r="AAG1121" s="13"/>
      <c r="AAH1121" s="13"/>
      <c r="AAI1121" s="13"/>
      <c r="AAJ1121" s="13"/>
      <c r="AAK1121" s="13"/>
      <c r="AAL1121" s="13"/>
      <c r="AAM1121" s="13"/>
      <c r="AAN1121" s="13"/>
      <c r="AAO1121" s="13"/>
      <c r="AAP1121" s="13"/>
      <c r="AAQ1121" s="13"/>
      <c r="AAR1121" s="13"/>
      <c r="AAS1121" s="13"/>
      <c r="AAT1121" s="13"/>
      <c r="AAU1121" s="13"/>
      <c r="AAV1121" s="13"/>
      <c r="AAW1121" s="13"/>
      <c r="AAX1121" s="13"/>
      <c r="AAY1121" s="13"/>
      <c r="AAZ1121" s="13"/>
      <c r="ABA1121" s="13"/>
      <c r="ABB1121" s="13"/>
      <c r="ABC1121" s="13"/>
      <c r="ABD1121" s="13"/>
      <c r="ABE1121" s="13"/>
      <c r="ABF1121" s="13"/>
      <c r="ABG1121" s="13"/>
      <c r="ABH1121" s="13"/>
      <c r="ABI1121" s="13"/>
      <c r="ABJ1121" s="13"/>
      <c r="ABK1121" s="13"/>
      <c r="ABL1121" s="13"/>
      <c r="ABM1121" s="13"/>
      <c r="ABN1121" s="13"/>
      <c r="ABO1121" s="13"/>
      <c r="ABP1121" s="13"/>
      <c r="ABQ1121" s="13"/>
      <c r="ABR1121" s="13"/>
      <c r="ABS1121" s="13"/>
      <c r="ABT1121" s="13"/>
      <c r="ABU1121" s="13"/>
      <c r="ABV1121" s="13"/>
      <c r="ABW1121" s="13"/>
      <c r="ABX1121" s="13"/>
      <c r="ABY1121" s="13"/>
      <c r="ABZ1121" s="13"/>
      <c r="ACA1121" s="13"/>
      <c r="ACB1121" s="13"/>
      <c r="ACC1121" s="13"/>
      <c r="ACD1121" s="13"/>
      <c r="ACE1121" s="13"/>
      <c r="ACF1121" s="13"/>
      <c r="ACG1121" s="13"/>
      <c r="ACH1121" s="13"/>
      <c r="ACI1121" s="13"/>
      <c r="ACJ1121" s="13"/>
      <c r="ACK1121" s="13"/>
      <c r="ACL1121" s="13"/>
      <c r="ACM1121" s="13"/>
      <c r="ACN1121" s="13"/>
      <c r="ACO1121" s="13"/>
      <c r="ACP1121" s="13"/>
      <c r="ACQ1121" s="13"/>
      <c r="ACR1121" s="13"/>
      <c r="ACS1121" s="13"/>
      <c r="ACT1121" s="13"/>
      <c r="ACU1121" s="13"/>
      <c r="ACV1121" s="13"/>
      <c r="ACW1121" s="13"/>
      <c r="ACX1121" s="13"/>
      <c r="ACY1121" s="13"/>
      <c r="ACZ1121" s="13"/>
      <c r="ADA1121" s="13"/>
      <c r="ADB1121" s="13"/>
      <c r="ADC1121" s="13"/>
      <c r="ADD1121" s="13"/>
      <c r="ADE1121" s="13"/>
      <c r="ADF1121" s="13"/>
      <c r="ADG1121" s="13"/>
      <c r="ADH1121" s="13"/>
      <c r="ADI1121" s="13"/>
      <c r="ADJ1121" s="13"/>
      <c r="ADK1121" s="13"/>
      <c r="ADL1121" s="13"/>
      <c r="ADM1121" s="13"/>
      <c r="ADN1121" s="13"/>
      <c r="ADO1121" s="13"/>
      <c r="ADP1121" s="13"/>
      <c r="ADQ1121" s="13"/>
      <c r="ADR1121" s="13"/>
      <c r="ADS1121" s="13"/>
      <c r="ADT1121" s="13"/>
      <c r="ADU1121" s="13"/>
      <c r="ADV1121" s="13"/>
      <c r="ADW1121" s="13"/>
      <c r="ADX1121" s="13"/>
      <c r="ADY1121" s="13"/>
      <c r="ADZ1121" s="13"/>
      <c r="AEA1121" s="13"/>
      <c r="AEB1121" s="13"/>
      <c r="AEC1121" s="13"/>
      <c r="AED1121" s="13"/>
      <c r="AEE1121" s="13"/>
      <c r="AEF1121" s="13"/>
      <c r="AEG1121" s="13"/>
      <c r="AEH1121" s="13"/>
      <c r="AEI1121" s="13"/>
      <c r="AEJ1121" s="13"/>
      <c r="AEK1121" s="13"/>
      <c r="AEL1121" s="13"/>
      <c r="AEM1121" s="13"/>
      <c r="AEN1121" s="13"/>
      <c r="AEO1121" s="13"/>
      <c r="AEP1121" s="13"/>
      <c r="AEQ1121" s="13"/>
      <c r="AER1121" s="13"/>
      <c r="AES1121" s="13"/>
      <c r="AET1121" s="13"/>
      <c r="AEU1121" s="13"/>
      <c r="AEV1121" s="13"/>
      <c r="AEW1121" s="13"/>
      <c r="AEX1121" s="13"/>
      <c r="AEY1121" s="13"/>
      <c r="AEZ1121" s="13"/>
      <c r="AFA1121" s="13"/>
      <c r="AFB1121" s="13"/>
      <c r="AFC1121" s="13"/>
      <c r="AFD1121" s="13"/>
      <c r="AFE1121" s="13"/>
      <c r="AFF1121" s="13"/>
      <c r="AFG1121" s="13"/>
      <c r="AFH1121" s="13"/>
      <c r="AFI1121" s="13"/>
      <c r="AFJ1121" s="13"/>
      <c r="AFK1121" s="13"/>
      <c r="AFL1121" s="13"/>
      <c r="AFM1121" s="13"/>
      <c r="AFN1121" s="13"/>
      <c r="AFO1121" s="13"/>
      <c r="AFP1121" s="13"/>
      <c r="AFQ1121" s="13"/>
      <c r="AFR1121" s="13"/>
      <c r="AFS1121" s="13"/>
      <c r="AFT1121" s="13"/>
      <c r="AFU1121" s="13"/>
      <c r="AFV1121" s="13"/>
      <c r="AFW1121" s="13"/>
      <c r="AFX1121" s="13"/>
      <c r="AFY1121" s="13"/>
      <c r="AFZ1121" s="13"/>
      <c r="AGA1121" s="13"/>
      <c r="AGB1121" s="13"/>
      <c r="AGC1121" s="13"/>
      <c r="AGD1121" s="13"/>
      <c r="AGE1121" s="13"/>
      <c r="AGF1121" s="13"/>
      <c r="AGG1121" s="13"/>
      <c r="AGH1121" s="13"/>
      <c r="AGI1121" s="13"/>
      <c r="AGJ1121" s="13"/>
      <c r="AGK1121" s="13"/>
      <c r="AGL1121" s="13"/>
      <c r="AGM1121" s="13"/>
      <c r="AGN1121" s="13"/>
      <c r="AGO1121" s="13"/>
      <c r="AGP1121" s="13"/>
      <c r="AGQ1121" s="13"/>
      <c r="AGR1121" s="13"/>
      <c r="AGS1121" s="13"/>
      <c r="AGT1121" s="13"/>
      <c r="AGU1121" s="13"/>
      <c r="AGV1121" s="13"/>
      <c r="AGW1121" s="13"/>
      <c r="AGX1121" s="13"/>
      <c r="AGY1121" s="13"/>
      <c r="AGZ1121" s="13"/>
      <c r="AHA1121" s="13"/>
      <c r="AHB1121" s="13"/>
      <c r="AHC1121" s="13"/>
      <c r="AHD1121" s="13"/>
      <c r="AHE1121" s="13"/>
      <c r="AHF1121" s="13"/>
      <c r="AHG1121" s="13"/>
      <c r="AHH1121" s="13"/>
      <c r="AHI1121" s="13"/>
      <c r="AHJ1121" s="13"/>
      <c r="AHK1121" s="13"/>
      <c r="AHL1121" s="13"/>
      <c r="AHM1121" s="13"/>
      <c r="AHN1121" s="13"/>
      <c r="AHO1121" s="13"/>
      <c r="AHP1121" s="13"/>
      <c r="AHQ1121" s="13"/>
      <c r="AHR1121" s="13"/>
      <c r="AHS1121" s="13"/>
      <c r="AHT1121" s="13"/>
      <c r="AHU1121" s="13"/>
      <c r="AHV1121" s="13"/>
      <c r="AHW1121" s="13"/>
      <c r="AHX1121" s="13"/>
      <c r="AHY1121" s="13"/>
      <c r="AHZ1121" s="13"/>
      <c r="AIA1121" s="13"/>
      <c r="AIB1121" s="13"/>
      <c r="AIC1121" s="13"/>
      <c r="AID1121" s="13"/>
      <c r="AIE1121" s="13"/>
      <c r="AIF1121" s="13"/>
      <c r="AIG1121" s="13"/>
      <c r="AIH1121" s="13"/>
      <c r="AII1121" s="13"/>
      <c r="AIJ1121" s="13"/>
      <c r="AIK1121" s="13"/>
      <c r="AIL1121" s="13"/>
      <c r="AIM1121" s="13"/>
      <c r="AIN1121" s="13"/>
      <c r="AIO1121" s="13"/>
      <c r="AIP1121" s="13"/>
      <c r="AIQ1121" s="13"/>
      <c r="AIR1121" s="13"/>
      <c r="AIS1121" s="13"/>
      <c r="AIT1121" s="13"/>
      <c r="AIU1121" s="13"/>
      <c r="AIV1121" s="13"/>
      <c r="AIW1121" s="13"/>
      <c r="AIX1121" s="13"/>
      <c r="AIY1121" s="13"/>
      <c r="AIZ1121" s="13"/>
      <c r="AJA1121" s="13"/>
      <c r="AJB1121" s="13"/>
      <c r="AJC1121" s="13"/>
      <c r="AJD1121" s="13"/>
      <c r="AJE1121" s="13"/>
      <c r="AJF1121" s="13"/>
      <c r="AJG1121" s="13"/>
      <c r="AJH1121" s="13"/>
      <c r="AJI1121" s="13"/>
      <c r="AJJ1121" s="13"/>
      <c r="AJK1121" s="13"/>
      <c r="AJL1121" s="13"/>
      <c r="AJM1121" s="13"/>
      <c r="AJN1121" s="13"/>
      <c r="AJO1121" s="13"/>
      <c r="AJP1121" s="13"/>
      <c r="AJQ1121" s="13"/>
      <c r="AJR1121" s="13"/>
      <c r="AJS1121" s="13"/>
      <c r="AJT1121" s="13"/>
      <c r="AJU1121" s="13"/>
      <c r="AJV1121" s="13"/>
      <c r="AJW1121" s="13"/>
      <c r="AJX1121" s="13"/>
      <c r="AJY1121" s="13"/>
      <c r="AJZ1121" s="13"/>
      <c r="AKA1121" s="13"/>
      <c r="AKB1121" s="13"/>
      <c r="AKC1121" s="13"/>
      <c r="AKD1121" s="13"/>
      <c r="AKE1121" s="13"/>
      <c r="AKF1121" s="13"/>
      <c r="AKG1121" s="13"/>
      <c r="AKH1121" s="13"/>
      <c r="AKI1121" s="13"/>
      <c r="AKJ1121" s="13"/>
      <c r="AKK1121" s="13"/>
      <c r="AKL1121" s="13"/>
      <c r="AKM1121" s="13"/>
      <c r="AKN1121" s="13"/>
      <c r="AKO1121" s="13"/>
      <c r="AKP1121" s="13"/>
      <c r="AKQ1121" s="13"/>
      <c r="AKR1121" s="13"/>
      <c r="AKS1121" s="13"/>
      <c r="AKT1121" s="13"/>
      <c r="AKU1121" s="13"/>
      <c r="AKV1121" s="13"/>
      <c r="AKW1121" s="13"/>
      <c r="AKX1121" s="13"/>
      <c r="AKY1121" s="13"/>
      <c r="AKZ1121" s="13"/>
      <c r="ALA1121" s="13"/>
      <c r="ALB1121" s="13"/>
      <c r="ALC1121" s="13"/>
      <c r="ALD1121" s="13"/>
      <c r="ALE1121" s="13"/>
      <c r="ALF1121" s="13"/>
      <c r="ALG1121" s="13"/>
      <c r="ALH1121" s="13"/>
      <c r="ALI1121" s="13"/>
      <c r="ALJ1121" s="13"/>
      <c r="ALK1121" s="13"/>
      <c r="ALL1121" s="13"/>
      <c r="ALM1121" s="13"/>
      <c r="ALN1121" s="13"/>
      <c r="ALO1121" s="13"/>
      <c r="ALP1121" s="13"/>
      <c r="ALQ1121" s="13"/>
      <c r="ALR1121" s="13"/>
      <c r="ALS1121" s="13"/>
      <c r="ALT1121" s="13"/>
      <c r="ALU1121" s="13"/>
      <c r="ALV1121" s="13"/>
      <c r="ALW1121" s="13"/>
      <c r="ALX1121" s="13"/>
      <c r="ALY1121" s="13"/>
      <c r="ALZ1121" s="13"/>
      <c r="AMA1121" s="13"/>
      <c r="AMB1121" s="13"/>
      <c r="AMC1121" s="13"/>
      <c r="AMD1121" s="13"/>
      <c r="AME1121" s="13"/>
      <c r="AMF1121" s="13"/>
      <c r="AMG1121" s="13"/>
      <c r="AMH1121" s="13"/>
      <c r="AMI1121" s="13"/>
      <c r="AMJ1121" s="13"/>
      <c r="AMK1121" s="13"/>
      <c r="AML1121" s="13"/>
      <c r="AMM1121" s="13"/>
      <c r="AMN1121" s="13"/>
      <c r="AMO1121" s="13"/>
      <c r="AMP1121" s="13"/>
      <c r="AMQ1121" s="13"/>
      <c r="AMR1121" s="13"/>
      <c r="AMS1121" s="13"/>
      <c r="AMT1121" s="13"/>
      <c r="AMU1121" s="13"/>
      <c r="AMV1121" s="13"/>
      <c r="AMW1121" s="13"/>
      <c r="AMX1121" s="13"/>
      <c r="AMY1121" s="13"/>
      <c r="AMZ1121" s="13"/>
      <c r="ANA1121" s="13"/>
      <c r="ANB1121" s="13"/>
      <c r="ANC1121" s="13"/>
      <c r="AND1121" s="13"/>
      <c r="ANE1121" s="13"/>
      <c r="ANF1121" s="13"/>
      <c r="ANG1121" s="13"/>
      <c r="ANH1121" s="13"/>
      <c r="ANI1121" s="13"/>
      <c r="ANJ1121" s="13"/>
      <c r="ANK1121" s="13"/>
      <c r="ANL1121" s="13"/>
      <c r="ANM1121" s="13"/>
      <c r="ANN1121" s="13"/>
      <c r="ANO1121" s="13"/>
      <c r="ANP1121" s="13"/>
      <c r="ANQ1121" s="13"/>
      <c r="ANR1121" s="13"/>
      <c r="ANS1121" s="13"/>
      <c r="ANT1121" s="13"/>
      <c r="ANU1121" s="13"/>
      <c r="ANV1121" s="13"/>
      <c r="ANW1121" s="13"/>
      <c r="ANX1121" s="13"/>
      <c r="ANY1121" s="13"/>
      <c r="ANZ1121" s="13"/>
      <c r="AOA1121" s="13"/>
      <c r="AOB1121" s="13"/>
      <c r="AOC1121" s="13"/>
      <c r="AOD1121" s="13"/>
      <c r="AOE1121" s="13"/>
      <c r="AOF1121" s="13"/>
      <c r="AOG1121" s="13"/>
      <c r="AOH1121" s="13"/>
      <c r="AOI1121" s="13"/>
      <c r="AOJ1121" s="13"/>
      <c r="AOK1121" s="13"/>
      <c r="AOL1121" s="13"/>
      <c r="AOM1121" s="13"/>
      <c r="AON1121" s="13"/>
      <c r="AOO1121" s="13"/>
      <c r="AOP1121" s="13"/>
      <c r="AOQ1121" s="13"/>
      <c r="AOR1121" s="13"/>
      <c r="AOS1121" s="13"/>
      <c r="AOT1121" s="13"/>
      <c r="AOU1121" s="13"/>
      <c r="AOV1121" s="13"/>
      <c r="AOW1121" s="13"/>
      <c r="AOX1121" s="13"/>
      <c r="AOY1121" s="13"/>
      <c r="AOZ1121" s="13"/>
      <c r="APA1121" s="13"/>
      <c r="APB1121" s="13"/>
      <c r="APC1121" s="13"/>
      <c r="APD1121" s="13"/>
      <c r="APE1121" s="13"/>
      <c r="APF1121" s="13"/>
      <c r="APG1121" s="13"/>
      <c r="APH1121" s="13"/>
      <c r="API1121" s="13"/>
      <c r="APJ1121" s="13"/>
      <c r="APK1121" s="13"/>
      <c r="APL1121" s="13"/>
      <c r="APM1121" s="13"/>
      <c r="APN1121" s="13"/>
      <c r="APO1121" s="13"/>
      <c r="APP1121" s="13"/>
      <c r="APQ1121" s="13"/>
      <c r="APR1121" s="13"/>
      <c r="APS1121" s="13"/>
      <c r="APT1121" s="13"/>
      <c r="APU1121" s="13"/>
      <c r="APV1121" s="13"/>
      <c r="APW1121" s="13"/>
      <c r="APX1121" s="13"/>
      <c r="APY1121" s="13"/>
      <c r="APZ1121" s="13"/>
      <c r="AQA1121" s="13"/>
      <c r="AQB1121" s="13"/>
      <c r="AQC1121" s="13"/>
      <c r="AQD1121" s="13"/>
      <c r="AQE1121" s="13"/>
      <c r="AQF1121" s="13"/>
      <c r="AQG1121" s="13"/>
      <c r="AQH1121" s="13"/>
      <c r="AQI1121" s="13"/>
      <c r="AQJ1121" s="13"/>
      <c r="AQK1121" s="13"/>
      <c r="AQL1121" s="13"/>
      <c r="AQM1121" s="13"/>
      <c r="AQN1121" s="13"/>
      <c r="AQO1121" s="13"/>
      <c r="AQP1121" s="13"/>
      <c r="AQQ1121" s="13"/>
      <c r="AQR1121" s="13"/>
      <c r="AQS1121" s="13"/>
      <c r="AQT1121" s="13"/>
      <c r="AQU1121" s="13"/>
      <c r="AQV1121" s="13"/>
      <c r="AQW1121" s="13"/>
      <c r="AQX1121" s="13"/>
      <c r="AQY1121" s="13"/>
      <c r="AQZ1121" s="13"/>
      <c r="ARA1121" s="13"/>
      <c r="ARB1121" s="13"/>
      <c r="ARC1121" s="13"/>
      <c r="ARD1121" s="13"/>
      <c r="ARE1121" s="13"/>
      <c r="ARF1121" s="13"/>
      <c r="ARG1121" s="13"/>
      <c r="ARH1121" s="13"/>
      <c r="ARI1121" s="13"/>
      <c r="ARJ1121" s="13"/>
      <c r="ARK1121" s="13"/>
      <c r="ARL1121" s="13"/>
      <c r="ARM1121" s="13"/>
      <c r="ARN1121" s="13"/>
      <c r="ARO1121" s="13"/>
      <c r="ARP1121" s="13"/>
      <c r="ARQ1121" s="13"/>
      <c r="ARR1121" s="13"/>
      <c r="ARS1121" s="13"/>
      <c r="ART1121" s="13"/>
      <c r="ARU1121" s="13"/>
      <c r="ARV1121" s="13"/>
      <c r="ARW1121" s="13"/>
      <c r="ARX1121" s="13"/>
      <c r="ARY1121" s="13"/>
      <c r="ARZ1121" s="13"/>
      <c r="ASA1121" s="13"/>
      <c r="ASB1121" s="13"/>
      <c r="ASC1121" s="13"/>
      <c r="ASD1121" s="13"/>
      <c r="ASE1121" s="13"/>
      <c r="ASF1121" s="13"/>
      <c r="ASG1121" s="13"/>
      <c r="ASH1121" s="13"/>
      <c r="ASI1121" s="13"/>
      <c r="ASJ1121" s="13"/>
      <c r="ASK1121" s="13"/>
      <c r="ASL1121" s="13"/>
      <c r="ASM1121" s="13"/>
      <c r="ASN1121" s="13"/>
      <c r="ASO1121" s="13"/>
      <c r="ASP1121" s="13"/>
      <c r="ASQ1121" s="13"/>
      <c r="ASR1121" s="13"/>
      <c r="ASS1121" s="13"/>
      <c r="AST1121" s="13"/>
      <c r="ASU1121" s="13"/>
      <c r="ASV1121" s="13"/>
      <c r="ASW1121" s="13"/>
      <c r="ASX1121" s="13"/>
      <c r="ASY1121" s="13"/>
      <c r="ASZ1121" s="13"/>
      <c r="ATA1121" s="13"/>
      <c r="ATB1121" s="13"/>
      <c r="ATC1121" s="13"/>
      <c r="ATD1121" s="13"/>
      <c r="ATE1121" s="13"/>
      <c r="ATF1121" s="13"/>
      <c r="ATG1121" s="13"/>
      <c r="ATH1121" s="13"/>
      <c r="ATI1121" s="13"/>
      <c r="ATJ1121" s="13"/>
      <c r="ATK1121" s="13"/>
      <c r="ATL1121" s="13"/>
      <c r="ATM1121" s="13"/>
      <c r="ATN1121" s="13"/>
      <c r="ATO1121" s="13"/>
      <c r="ATP1121" s="13"/>
      <c r="ATQ1121" s="13"/>
      <c r="ATR1121" s="13"/>
      <c r="ATS1121" s="13"/>
      <c r="ATT1121" s="13"/>
      <c r="ATU1121" s="13"/>
      <c r="ATV1121" s="13"/>
      <c r="ATW1121" s="13"/>
      <c r="ATX1121" s="13"/>
      <c r="ATY1121" s="13"/>
      <c r="ATZ1121" s="13"/>
      <c r="AUA1121" s="13"/>
      <c r="AUB1121" s="13"/>
      <c r="AUC1121" s="13"/>
      <c r="AUD1121" s="13"/>
      <c r="AUE1121" s="13"/>
      <c r="AUF1121" s="13"/>
      <c r="AUG1121" s="13"/>
      <c r="AUH1121" s="13"/>
      <c r="AUI1121" s="13"/>
      <c r="AUJ1121" s="13"/>
      <c r="AUK1121" s="13"/>
      <c r="AUL1121" s="13"/>
      <c r="AUM1121" s="13"/>
      <c r="AUN1121" s="13"/>
      <c r="AUO1121" s="13"/>
      <c r="AUP1121" s="13"/>
      <c r="AUQ1121" s="13"/>
      <c r="AUR1121" s="13"/>
      <c r="AUS1121" s="13"/>
      <c r="AUT1121" s="13"/>
      <c r="AUU1121" s="13"/>
      <c r="AUV1121" s="13"/>
      <c r="AUW1121" s="13"/>
      <c r="AUX1121" s="13"/>
      <c r="AUY1121" s="13"/>
      <c r="AUZ1121" s="13"/>
      <c r="AVA1121" s="13"/>
      <c r="AVB1121" s="13"/>
      <c r="AVC1121" s="13"/>
      <c r="AVD1121" s="13"/>
      <c r="AVE1121" s="13"/>
      <c r="AVF1121" s="13"/>
      <c r="AVG1121" s="13"/>
      <c r="AVH1121" s="13"/>
      <c r="AVI1121" s="13"/>
      <c r="AVJ1121" s="13"/>
      <c r="AVK1121" s="13"/>
      <c r="AVL1121" s="13"/>
      <c r="AVM1121" s="13"/>
      <c r="AVN1121" s="13"/>
      <c r="AVO1121" s="13"/>
      <c r="AVP1121" s="13"/>
      <c r="AVQ1121" s="13"/>
      <c r="AVR1121" s="13"/>
      <c r="AVS1121" s="13"/>
      <c r="AVT1121" s="13"/>
      <c r="AVU1121" s="13"/>
      <c r="AVV1121" s="13"/>
      <c r="AVW1121" s="13"/>
      <c r="AVX1121" s="13"/>
      <c r="AVY1121" s="13"/>
      <c r="AVZ1121" s="13"/>
      <c r="AWA1121" s="13"/>
      <c r="AWB1121" s="13"/>
      <c r="AWC1121" s="13"/>
      <c r="AWD1121" s="13"/>
      <c r="AWE1121" s="13"/>
      <c r="AWF1121" s="13"/>
      <c r="AWG1121" s="13"/>
      <c r="AWH1121" s="13"/>
      <c r="AWI1121" s="13"/>
      <c r="AWJ1121" s="13"/>
      <c r="AWK1121" s="13"/>
      <c r="AWL1121" s="13"/>
      <c r="AWM1121" s="13"/>
      <c r="AWN1121" s="13"/>
      <c r="AWO1121" s="13"/>
      <c r="AWP1121" s="13"/>
      <c r="AWQ1121" s="13"/>
      <c r="AWR1121" s="13"/>
      <c r="AWS1121" s="13"/>
      <c r="AWT1121" s="13"/>
      <c r="AWU1121" s="13"/>
      <c r="AWV1121" s="13"/>
      <c r="AWW1121" s="13"/>
      <c r="AWX1121" s="13"/>
      <c r="AWY1121" s="13"/>
      <c r="AWZ1121" s="13"/>
      <c r="AXA1121" s="13"/>
      <c r="AXB1121" s="13"/>
      <c r="AXC1121" s="13"/>
      <c r="AXD1121" s="13"/>
      <c r="AXE1121" s="13"/>
      <c r="AXF1121" s="13"/>
      <c r="AXG1121" s="13"/>
      <c r="AXH1121" s="13"/>
      <c r="AXI1121" s="13"/>
      <c r="AXJ1121" s="13"/>
      <c r="AXK1121" s="13"/>
      <c r="AXL1121" s="13"/>
      <c r="AXM1121" s="13"/>
      <c r="AXN1121" s="13"/>
      <c r="AXO1121" s="13"/>
      <c r="AXP1121" s="13"/>
      <c r="AXQ1121" s="13"/>
      <c r="AXR1121" s="13"/>
      <c r="AXS1121" s="13"/>
      <c r="AXT1121" s="13"/>
      <c r="AXU1121" s="13"/>
      <c r="AXV1121" s="13"/>
      <c r="AXW1121" s="13"/>
      <c r="AXX1121" s="13"/>
      <c r="AXY1121" s="13"/>
      <c r="AXZ1121" s="13"/>
      <c r="AYA1121" s="13"/>
      <c r="AYB1121" s="13"/>
      <c r="AYC1121" s="13"/>
      <c r="AYD1121" s="13"/>
      <c r="AYE1121" s="13"/>
      <c r="AYF1121" s="13"/>
      <c r="AYG1121" s="13"/>
      <c r="AYH1121" s="13"/>
      <c r="AYI1121" s="13"/>
      <c r="AYJ1121" s="13"/>
      <c r="AYK1121" s="13"/>
      <c r="AYL1121" s="13"/>
      <c r="AYM1121" s="13"/>
      <c r="AYN1121" s="13"/>
      <c r="AYO1121" s="13"/>
      <c r="AYP1121" s="13"/>
      <c r="AYQ1121" s="13"/>
      <c r="AYR1121" s="13"/>
      <c r="AYS1121" s="13"/>
      <c r="AYT1121" s="13"/>
      <c r="AYU1121" s="13"/>
      <c r="AYV1121" s="13"/>
      <c r="AYW1121" s="13"/>
      <c r="AYX1121" s="13"/>
      <c r="AYY1121" s="13"/>
      <c r="AYZ1121" s="13"/>
      <c r="AZA1121" s="13"/>
      <c r="AZB1121" s="13"/>
      <c r="AZC1121" s="13"/>
      <c r="AZD1121" s="13"/>
      <c r="AZE1121" s="13"/>
      <c r="AZF1121" s="13"/>
      <c r="AZG1121" s="13"/>
      <c r="AZH1121" s="13"/>
      <c r="AZI1121" s="13"/>
      <c r="AZJ1121" s="13"/>
      <c r="AZK1121" s="13"/>
      <c r="AZL1121" s="13"/>
      <c r="AZM1121" s="13"/>
      <c r="AZN1121" s="13"/>
      <c r="AZO1121" s="13"/>
      <c r="AZP1121" s="13"/>
      <c r="AZQ1121" s="13"/>
      <c r="AZR1121" s="13"/>
      <c r="AZS1121" s="13"/>
      <c r="AZT1121" s="13"/>
      <c r="AZU1121" s="13"/>
      <c r="AZV1121" s="13"/>
      <c r="AZW1121" s="13"/>
      <c r="AZX1121" s="13"/>
      <c r="AZY1121" s="13"/>
      <c r="AZZ1121" s="13"/>
      <c r="BAA1121" s="13"/>
      <c r="BAB1121" s="13"/>
      <c r="BAC1121" s="13"/>
      <c r="BAD1121" s="13"/>
      <c r="BAE1121" s="13"/>
      <c r="BAF1121" s="13"/>
      <c r="BAG1121" s="13"/>
      <c r="BAH1121" s="13"/>
      <c r="BAI1121" s="13"/>
      <c r="BAJ1121" s="13"/>
      <c r="BAK1121" s="13"/>
      <c r="BAL1121" s="13"/>
      <c r="BAM1121" s="13"/>
      <c r="BAN1121" s="13"/>
      <c r="BAO1121" s="13"/>
      <c r="BAP1121" s="13"/>
      <c r="BAQ1121" s="13"/>
      <c r="BAR1121" s="13"/>
      <c r="BAS1121" s="13"/>
      <c r="BAT1121" s="13"/>
      <c r="BAU1121" s="13"/>
      <c r="BAV1121" s="13"/>
      <c r="BAW1121" s="13"/>
      <c r="BAX1121" s="13"/>
      <c r="BAY1121" s="13"/>
      <c r="BAZ1121" s="13"/>
      <c r="BBA1121" s="13"/>
      <c r="BBB1121" s="13"/>
      <c r="BBC1121" s="13"/>
      <c r="BBD1121" s="13"/>
      <c r="BBE1121" s="13"/>
      <c r="BBF1121" s="13"/>
      <c r="BBG1121" s="13"/>
      <c r="BBH1121" s="13"/>
      <c r="BBI1121" s="13"/>
      <c r="BBJ1121" s="13"/>
      <c r="BBK1121" s="13"/>
      <c r="BBL1121" s="13"/>
      <c r="BBM1121" s="13"/>
      <c r="BBN1121" s="13"/>
      <c r="BBO1121" s="13"/>
      <c r="BBP1121" s="13"/>
      <c r="BBQ1121" s="13"/>
      <c r="BBR1121" s="13"/>
      <c r="BBS1121" s="13"/>
      <c r="BBT1121" s="13"/>
      <c r="BBU1121" s="13"/>
      <c r="BBV1121" s="13"/>
      <c r="BBW1121" s="13"/>
      <c r="BBX1121" s="13"/>
      <c r="BBY1121" s="13"/>
      <c r="BBZ1121" s="13"/>
      <c r="BCA1121" s="13"/>
      <c r="BCB1121" s="13"/>
      <c r="BCC1121" s="13"/>
      <c r="BCD1121" s="13"/>
      <c r="BCE1121" s="13"/>
      <c r="BCF1121" s="13"/>
      <c r="BCG1121" s="13"/>
      <c r="BCH1121" s="13"/>
      <c r="BCI1121" s="13"/>
      <c r="BCJ1121" s="13"/>
      <c r="BCK1121" s="13"/>
      <c r="BCL1121" s="13"/>
      <c r="BCM1121" s="13"/>
      <c r="BCN1121" s="13"/>
      <c r="BCO1121" s="13"/>
      <c r="BCP1121" s="13"/>
      <c r="BCQ1121" s="13"/>
      <c r="BCR1121" s="13"/>
      <c r="BCS1121" s="13"/>
      <c r="BCT1121" s="13"/>
      <c r="BCU1121" s="13"/>
      <c r="BCV1121" s="13"/>
      <c r="BCW1121" s="13"/>
      <c r="BCX1121" s="13"/>
      <c r="BCY1121" s="13"/>
      <c r="BCZ1121" s="13"/>
      <c r="BDA1121" s="13"/>
      <c r="BDB1121" s="13"/>
      <c r="BDC1121" s="13"/>
      <c r="BDD1121" s="13"/>
      <c r="BDE1121" s="13"/>
      <c r="BDF1121" s="13"/>
      <c r="BDG1121" s="13"/>
      <c r="BDH1121" s="13"/>
      <c r="BDI1121" s="13"/>
      <c r="BDJ1121" s="13"/>
      <c r="BDK1121" s="13"/>
      <c r="BDL1121" s="13"/>
      <c r="BDM1121" s="13"/>
      <c r="BDN1121" s="13"/>
      <c r="BDO1121" s="13"/>
      <c r="BDP1121" s="13"/>
      <c r="BDQ1121" s="13"/>
      <c r="BDR1121" s="13"/>
      <c r="BDS1121" s="13"/>
      <c r="BDT1121" s="13"/>
      <c r="BDU1121" s="13"/>
      <c r="BDV1121" s="13"/>
      <c r="BDW1121" s="13"/>
      <c r="BDX1121" s="13"/>
      <c r="BDY1121" s="13"/>
      <c r="BDZ1121" s="13"/>
      <c r="BEA1121" s="13"/>
      <c r="BEB1121" s="13"/>
      <c r="BEC1121" s="13"/>
      <c r="BED1121" s="13"/>
      <c r="BEE1121" s="13"/>
      <c r="BEF1121" s="13"/>
      <c r="BEG1121" s="13"/>
      <c r="BEH1121" s="13"/>
      <c r="BEI1121" s="13"/>
      <c r="BEJ1121" s="13"/>
      <c r="BEK1121" s="13"/>
      <c r="BEL1121" s="13"/>
      <c r="BEM1121" s="13"/>
      <c r="BEN1121" s="13"/>
      <c r="BEO1121" s="13"/>
      <c r="BEP1121" s="13"/>
      <c r="BEQ1121" s="13"/>
      <c r="BER1121" s="13"/>
      <c r="BES1121" s="13"/>
      <c r="BET1121" s="13"/>
      <c r="BEU1121" s="13"/>
      <c r="BEV1121" s="13"/>
      <c r="BEW1121" s="13"/>
      <c r="BEX1121" s="13"/>
      <c r="BEY1121" s="13"/>
      <c r="BEZ1121" s="13"/>
      <c r="BFA1121" s="13"/>
      <c r="BFB1121" s="13"/>
      <c r="BFC1121" s="13"/>
      <c r="BFD1121" s="13"/>
      <c r="BFE1121" s="13"/>
      <c r="BFF1121" s="13"/>
      <c r="BFG1121" s="13"/>
      <c r="BFH1121" s="13"/>
      <c r="BFI1121" s="13"/>
      <c r="BFJ1121" s="13"/>
      <c r="BFK1121" s="13"/>
      <c r="BFL1121" s="13"/>
      <c r="BFM1121" s="13"/>
      <c r="BFN1121" s="13"/>
      <c r="BFO1121" s="13"/>
      <c r="BFP1121" s="13"/>
      <c r="BFQ1121" s="13"/>
      <c r="BFR1121" s="13"/>
      <c r="BFS1121" s="13"/>
      <c r="BFT1121" s="13"/>
      <c r="BFU1121" s="13"/>
      <c r="BFV1121" s="13"/>
      <c r="BFW1121" s="13"/>
      <c r="BFX1121" s="13"/>
      <c r="BFY1121" s="13"/>
      <c r="BFZ1121" s="13"/>
      <c r="BGA1121" s="13"/>
      <c r="BGB1121" s="13"/>
      <c r="BGC1121" s="13"/>
      <c r="BGD1121" s="13"/>
      <c r="BGE1121" s="13"/>
      <c r="BGF1121" s="13"/>
      <c r="BGG1121" s="13"/>
      <c r="BGH1121" s="13"/>
      <c r="BGI1121" s="13"/>
      <c r="BGJ1121" s="13"/>
      <c r="BGK1121" s="13"/>
      <c r="BGL1121" s="13"/>
      <c r="BGM1121" s="13"/>
      <c r="BGN1121" s="13"/>
      <c r="BGO1121" s="13"/>
      <c r="BGP1121" s="13"/>
      <c r="BGQ1121" s="13"/>
      <c r="BGR1121" s="13"/>
      <c r="BGS1121" s="13"/>
      <c r="BGT1121" s="13"/>
      <c r="BGU1121" s="13"/>
      <c r="BGV1121" s="13"/>
      <c r="BGW1121" s="13"/>
      <c r="BGX1121" s="13"/>
      <c r="BGY1121" s="13"/>
      <c r="BGZ1121" s="13"/>
      <c r="BHA1121" s="13"/>
      <c r="BHB1121" s="13"/>
      <c r="BHC1121" s="13"/>
      <c r="BHD1121" s="13"/>
      <c r="BHE1121" s="13"/>
      <c r="BHF1121" s="13"/>
      <c r="BHG1121" s="13"/>
      <c r="BHH1121" s="13"/>
      <c r="BHI1121" s="13"/>
      <c r="BHJ1121" s="13"/>
      <c r="BHK1121" s="13"/>
      <c r="BHL1121" s="13"/>
      <c r="BHM1121" s="13"/>
      <c r="BHN1121" s="13"/>
      <c r="BHO1121" s="13"/>
      <c r="BHP1121" s="13"/>
      <c r="BHQ1121" s="13"/>
      <c r="BHR1121" s="13"/>
      <c r="BHS1121" s="13"/>
      <c r="BHT1121" s="13"/>
      <c r="BHU1121" s="13"/>
      <c r="BHV1121" s="13"/>
      <c r="BHW1121" s="13"/>
      <c r="BHX1121" s="13"/>
      <c r="BHY1121" s="13"/>
      <c r="BHZ1121" s="13"/>
      <c r="BIA1121" s="13"/>
      <c r="BIB1121" s="13"/>
      <c r="BIC1121" s="13"/>
      <c r="BID1121" s="13"/>
      <c r="BIE1121" s="13"/>
      <c r="BIF1121" s="13"/>
      <c r="BIG1121" s="13"/>
      <c r="BIH1121" s="13"/>
      <c r="BII1121" s="13"/>
      <c r="BIJ1121" s="13"/>
      <c r="BIK1121" s="13"/>
      <c r="BIL1121" s="13"/>
      <c r="BIM1121" s="13"/>
      <c r="BIN1121" s="13"/>
      <c r="BIO1121" s="13"/>
      <c r="BIP1121" s="13"/>
      <c r="BIQ1121" s="13"/>
      <c r="BIR1121" s="13"/>
      <c r="BIS1121" s="13"/>
      <c r="BIT1121" s="13"/>
      <c r="BIU1121" s="13"/>
      <c r="BIV1121" s="13"/>
      <c r="BIW1121" s="13"/>
      <c r="BIX1121" s="13"/>
      <c r="BIY1121" s="13"/>
      <c r="BIZ1121" s="13"/>
      <c r="BJA1121" s="13"/>
      <c r="BJB1121" s="13"/>
      <c r="BJC1121" s="13"/>
      <c r="BJD1121" s="13"/>
      <c r="BJE1121" s="13"/>
      <c r="BJF1121" s="13"/>
      <c r="BJG1121" s="13"/>
      <c r="BJH1121" s="13"/>
      <c r="BJI1121" s="13"/>
      <c r="BJJ1121" s="13"/>
      <c r="BJK1121" s="13"/>
      <c r="BJL1121" s="13"/>
      <c r="BJM1121" s="13"/>
      <c r="BJN1121" s="13"/>
      <c r="BJO1121" s="13"/>
      <c r="BJP1121" s="13"/>
      <c r="BJQ1121" s="13"/>
      <c r="BJR1121" s="13"/>
      <c r="BJS1121" s="13"/>
      <c r="BJT1121" s="13"/>
      <c r="BJU1121" s="13"/>
      <c r="BJV1121" s="13"/>
      <c r="BJW1121" s="13"/>
      <c r="BJX1121" s="13"/>
      <c r="BJY1121" s="13"/>
      <c r="BJZ1121" s="13"/>
      <c r="BKA1121" s="13"/>
      <c r="BKB1121" s="13"/>
      <c r="BKC1121" s="13"/>
      <c r="BKD1121" s="13"/>
      <c r="BKE1121" s="13"/>
      <c r="BKF1121" s="13"/>
      <c r="BKG1121" s="13"/>
      <c r="BKH1121" s="13"/>
      <c r="BKI1121" s="13"/>
      <c r="BKJ1121" s="13"/>
      <c r="BKK1121" s="13"/>
      <c r="BKL1121" s="13"/>
      <c r="BKM1121" s="13"/>
      <c r="BKN1121" s="13"/>
      <c r="BKO1121" s="13"/>
      <c r="BKP1121" s="13"/>
      <c r="BKQ1121" s="13"/>
      <c r="BKR1121" s="13"/>
      <c r="BKS1121" s="13"/>
      <c r="BKT1121" s="13"/>
      <c r="BKU1121" s="13"/>
      <c r="BKV1121" s="13"/>
      <c r="BKW1121" s="13"/>
      <c r="BKX1121" s="13"/>
      <c r="BKY1121" s="13"/>
      <c r="BKZ1121" s="13"/>
      <c r="BLA1121" s="13"/>
      <c r="BLB1121" s="13"/>
      <c r="BLC1121" s="13"/>
      <c r="BLD1121" s="13"/>
      <c r="BLE1121" s="13"/>
      <c r="BLF1121" s="13"/>
      <c r="BLG1121" s="13"/>
      <c r="BLH1121" s="13"/>
      <c r="BLI1121" s="13"/>
      <c r="BLJ1121" s="13"/>
      <c r="BLK1121" s="13"/>
      <c r="BLL1121" s="13"/>
      <c r="BLM1121" s="13"/>
      <c r="BLN1121" s="13"/>
      <c r="BLO1121" s="13"/>
      <c r="BLP1121" s="13"/>
      <c r="BLQ1121" s="13"/>
      <c r="BLR1121" s="13"/>
      <c r="BLS1121" s="13"/>
      <c r="BLT1121" s="13"/>
      <c r="BLU1121" s="13"/>
      <c r="BLV1121" s="13"/>
      <c r="BLW1121" s="13"/>
      <c r="BLX1121" s="13"/>
      <c r="BLY1121" s="13"/>
      <c r="BLZ1121" s="13"/>
      <c r="BMA1121" s="13"/>
      <c r="BMB1121" s="13"/>
      <c r="BMC1121" s="13"/>
      <c r="BMD1121" s="13"/>
      <c r="BME1121" s="13"/>
      <c r="BMF1121" s="13"/>
      <c r="BMG1121" s="13"/>
      <c r="BMH1121" s="13"/>
      <c r="BMI1121" s="13"/>
      <c r="BMJ1121" s="13"/>
      <c r="BMK1121" s="13"/>
      <c r="BML1121" s="13"/>
      <c r="BMM1121" s="13"/>
      <c r="BMN1121" s="13"/>
      <c r="BMO1121" s="13"/>
      <c r="BMP1121" s="13"/>
      <c r="BMQ1121" s="13"/>
      <c r="BMR1121" s="13"/>
      <c r="BMS1121" s="13"/>
      <c r="BMT1121" s="13"/>
      <c r="BMU1121" s="13"/>
      <c r="BMV1121" s="13"/>
      <c r="BMW1121" s="13"/>
      <c r="BMX1121" s="13"/>
      <c r="BMY1121" s="13"/>
      <c r="BMZ1121" s="13"/>
      <c r="BNA1121" s="13"/>
      <c r="BNB1121" s="13"/>
      <c r="BNC1121" s="13"/>
      <c r="BND1121" s="13"/>
      <c r="BNE1121" s="13"/>
      <c r="BNF1121" s="13"/>
      <c r="BNG1121" s="13"/>
      <c r="BNH1121" s="13"/>
      <c r="BNI1121" s="13"/>
      <c r="BNJ1121" s="13"/>
      <c r="BNK1121" s="13"/>
      <c r="BNL1121" s="13"/>
      <c r="BNM1121" s="13"/>
      <c r="BNN1121" s="13"/>
      <c r="BNO1121" s="13"/>
      <c r="BNP1121" s="13"/>
      <c r="BNQ1121" s="13"/>
      <c r="BNR1121" s="13"/>
      <c r="BNS1121" s="13"/>
      <c r="BNT1121" s="13"/>
      <c r="BNU1121" s="13"/>
      <c r="BNV1121" s="13"/>
      <c r="BNW1121" s="13"/>
      <c r="BNX1121" s="13"/>
      <c r="BNY1121" s="13"/>
      <c r="BNZ1121" s="13"/>
      <c r="BOA1121" s="13"/>
      <c r="BOB1121" s="13"/>
      <c r="BOC1121" s="13"/>
      <c r="BOD1121" s="13"/>
      <c r="BOE1121" s="13"/>
      <c r="BOF1121" s="13"/>
      <c r="BOG1121" s="13"/>
      <c r="BOH1121" s="13"/>
      <c r="BOI1121" s="13"/>
      <c r="BOJ1121" s="13"/>
      <c r="BOK1121" s="13"/>
      <c r="BOL1121" s="13"/>
      <c r="BOM1121" s="13"/>
      <c r="BON1121" s="13"/>
      <c r="BOO1121" s="13"/>
      <c r="BOP1121" s="13"/>
      <c r="BOQ1121" s="13"/>
      <c r="BOR1121" s="13"/>
      <c r="BOS1121" s="13"/>
      <c r="BOT1121" s="13"/>
      <c r="BOU1121" s="13"/>
      <c r="BOV1121" s="13"/>
      <c r="BOW1121" s="13"/>
      <c r="BOX1121" s="13"/>
      <c r="BOY1121" s="13"/>
      <c r="BOZ1121" s="13"/>
      <c r="BPA1121" s="13"/>
      <c r="BPB1121" s="13"/>
      <c r="BPC1121" s="13"/>
      <c r="BPD1121" s="13"/>
      <c r="BPE1121" s="13"/>
      <c r="BPF1121" s="13"/>
      <c r="BPG1121" s="13"/>
      <c r="BPH1121" s="13"/>
      <c r="BPI1121" s="13"/>
      <c r="BPJ1121" s="13"/>
      <c r="BPK1121" s="13"/>
      <c r="BPL1121" s="13"/>
      <c r="BPM1121" s="13"/>
      <c r="BPN1121" s="13"/>
      <c r="BPO1121" s="13"/>
      <c r="BPP1121" s="13"/>
      <c r="BPQ1121" s="13"/>
      <c r="BPR1121" s="13"/>
      <c r="BPS1121" s="13"/>
      <c r="BPT1121" s="13"/>
      <c r="BPU1121" s="13"/>
      <c r="BPV1121" s="13"/>
      <c r="BPW1121" s="13"/>
      <c r="BPX1121" s="13"/>
      <c r="BPY1121" s="13"/>
      <c r="BPZ1121" s="13"/>
      <c r="BQA1121" s="13"/>
      <c r="BQB1121" s="13"/>
      <c r="BQC1121" s="13"/>
      <c r="BQD1121" s="13"/>
      <c r="BQE1121" s="13"/>
      <c r="BQF1121" s="13"/>
      <c r="BQG1121" s="13"/>
      <c r="BQH1121" s="13"/>
      <c r="BQI1121" s="13"/>
      <c r="BQJ1121" s="13"/>
      <c r="BQK1121" s="13"/>
      <c r="BQL1121" s="13"/>
      <c r="BQM1121" s="13"/>
      <c r="BQN1121" s="13"/>
      <c r="BQO1121" s="13"/>
      <c r="BQP1121" s="13"/>
      <c r="BQQ1121" s="13"/>
      <c r="BQR1121" s="13"/>
      <c r="BQS1121" s="13"/>
      <c r="BQT1121" s="13"/>
      <c r="BQU1121" s="13"/>
      <c r="BQV1121" s="13"/>
      <c r="BQW1121" s="13"/>
      <c r="BQX1121" s="13"/>
      <c r="BQY1121" s="13"/>
      <c r="BQZ1121" s="13"/>
      <c r="BRA1121" s="13"/>
      <c r="BRB1121" s="13"/>
      <c r="BRC1121" s="13"/>
      <c r="BRD1121" s="13"/>
      <c r="BRE1121" s="13"/>
      <c r="BRF1121" s="13"/>
      <c r="BRG1121" s="13"/>
      <c r="BRH1121" s="13"/>
      <c r="BRI1121" s="13"/>
      <c r="BRJ1121" s="13"/>
      <c r="BRK1121" s="13"/>
      <c r="BRL1121" s="13"/>
      <c r="BRM1121" s="13"/>
      <c r="BRN1121" s="13"/>
      <c r="BRO1121" s="13"/>
      <c r="BRP1121" s="13"/>
      <c r="BRQ1121" s="13"/>
      <c r="BRR1121" s="13"/>
      <c r="BRS1121" s="13"/>
      <c r="BRT1121" s="13"/>
      <c r="BRU1121" s="13"/>
      <c r="BRV1121" s="13"/>
      <c r="BRW1121" s="13"/>
      <c r="BRX1121" s="13"/>
      <c r="BRY1121" s="13"/>
      <c r="BRZ1121" s="13"/>
      <c r="BSA1121" s="13"/>
      <c r="BSB1121" s="13"/>
      <c r="BSC1121" s="13"/>
      <c r="BSD1121" s="13"/>
      <c r="BSE1121" s="13"/>
      <c r="BSF1121" s="13"/>
      <c r="BSG1121" s="13"/>
      <c r="BSH1121" s="13"/>
      <c r="BSI1121" s="13"/>
      <c r="BSJ1121" s="13"/>
      <c r="BSK1121" s="13"/>
      <c r="BSL1121" s="13"/>
      <c r="BSM1121" s="13"/>
      <c r="BSN1121" s="13"/>
      <c r="BSO1121" s="13"/>
      <c r="BSP1121" s="13"/>
      <c r="BSQ1121" s="13"/>
      <c r="BSR1121" s="13"/>
      <c r="BSS1121" s="13"/>
      <c r="BST1121" s="13"/>
      <c r="BSU1121" s="13"/>
      <c r="BSV1121" s="13"/>
      <c r="BSW1121" s="13"/>
      <c r="BSX1121" s="13"/>
      <c r="BSY1121" s="13"/>
      <c r="BSZ1121" s="13"/>
      <c r="BTA1121" s="13"/>
    </row>
    <row r="1122" spans="1:1873" s="23" customFormat="1" x14ac:dyDescent="0.2">
      <c r="A1122" s="273" t="s">
        <v>1221</v>
      </c>
      <c r="B1122" s="469" t="s">
        <v>1169</v>
      </c>
      <c r="C1122" s="273" t="s">
        <v>1189</v>
      </c>
      <c r="D1122" s="273" t="s">
        <v>619</v>
      </c>
      <c r="E1122" s="462" t="s">
        <v>1537</v>
      </c>
      <c r="F1122" s="462">
        <v>1</v>
      </c>
      <c r="G1122" s="273">
        <v>4</v>
      </c>
      <c r="H1122" s="468">
        <v>4</v>
      </c>
      <c r="I1122" s="273" t="s">
        <v>842</v>
      </c>
      <c r="J1122" s="273">
        <v>1985</v>
      </c>
      <c r="K1122" s="273" t="s">
        <v>1211</v>
      </c>
      <c r="L1122" s="273">
        <v>1988</v>
      </c>
      <c r="M1122" s="471">
        <v>-9999</v>
      </c>
      <c r="N1122" s="273">
        <v>-9999</v>
      </c>
      <c r="O1122" s="29"/>
      <c r="P1122" s="414">
        <f t="shared" si="119"/>
        <v>78</v>
      </c>
      <c r="Q1122" s="273">
        <v>-9999</v>
      </c>
      <c r="R1122" s="471"/>
      <c r="S1122" s="273"/>
      <c r="T1122" s="471">
        <v>19.5</v>
      </c>
      <c r="U1122" s="273">
        <v>-9999</v>
      </c>
      <c r="V1122" s="273"/>
      <c r="W1122" s="471">
        <v>-9999</v>
      </c>
      <c r="X1122" s="273">
        <v>-9999</v>
      </c>
      <c r="Y1122" s="273"/>
      <c r="Z1122" s="273" t="s">
        <v>793</v>
      </c>
      <c r="AA1122" s="273">
        <v>10000</v>
      </c>
      <c r="AB1122" s="471">
        <v>1</v>
      </c>
      <c r="AC1122" s="273">
        <v>0.36</v>
      </c>
      <c r="AD1122" s="273">
        <v>88</v>
      </c>
      <c r="AE1122" s="461" t="s">
        <v>1955</v>
      </c>
      <c r="AF1122" s="273">
        <v>3</v>
      </c>
      <c r="AG1122" s="273">
        <v>1</v>
      </c>
      <c r="AH1122" s="273" t="s">
        <v>623</v>
      </c>
      <c r="AI1122" s="273" t="s">
        <v>624</v>
      </c>
      <c r="AJ1122" s="273">
        <v>-9999</v>
      </c>
      <c r="AK1122" s="273" t="s">
        <v>626</v>
      </c>
      <c r="AL1122" s="273">
        <v>-9999</v>
      </c>
      <c r="AM1122" s="273">
        <v>-9999</v>
      </c>
      <c r="AN1122" s="273" t="s">
        <v>626</v>
      </c>
      <c r="AO1122" s="273" t="s">
        <v>847</v>
      </c>
      <c r="AP1122" s="273" t="s">
        <v>1195</v>
      </c>
      <c r="AQ1122" s="273" t="s">
        <v>631</v>
      </c>
      <c r="AR1122" s="273">
        <v>0</v>
      </c>
      <c r="AS1122" s="273">
        <v>-9999</v>
      </c>
      <c r="AT1122" s="273">
        <v>-9999</v>
      </c>
      <c r="AU1122" s="273">
        <v>0</v>
      </c>
      <c r="AV1122" s="273">
        <v>-9999</v>
      </c>
      <c r="AW1122" s="273">
        <v>-9999</v>
      </c>
      <c r="AX1122" s="273">
        <v>0</v>
      </c>
      <c r="AY1122" s="273">
        <v>-9999</v>
      </c>
      <c r="AZ1122" s="273">
        <v>-9999</v>
      </c>
      <c r="BA1122" s="273" t="s">
        <v>631</v>
      </c>
      <c r="BB1122" s="273" t="s">
        <v>626</v>
      </c>
      <c r="BC1122" s="273" t="s">
        <v>848</v>
      </c>
      <c r="BD1122" s="273" t="s">
        <v>849</v>
      </c>
      <c r="BE1122" s="273"/>
      <c r="BF1122" s="273"/>
      <c r="BG1122" s="273"/>
      <c r="BH1122" s="273"/>
      <c r="BI1122" s="273" t="s">
        <v>1190</v>
      </c>
      <c r="BJ1122" s="273">
        <v>-9999</v>
      </c>
      <c r="BK1122" s="273">
        <v>-9999</v>
      </c>
      <c r="BL1122" s="273">
        <v>11.54</v>
      </c>
      <c r="BM1122" s="273">
        <v>-9999</v>
      </c>
      <c r="BN1122" s="273">
        <v>-9999</v>
      </c>
      <c r="BO1122" s="273">
        <v>-9999</v>
      </c>
      <c r="BP1122" s="273">
        <v>-9999</v>
      </c>
      <c r="BQ1122" s="273">
        <v>-9999</v>
      </c>
      <c r="BR1122" s="273">
        <v>81.569999999999993</v>
      </c>
      <c r="BS1122" s="468">
        <v>-9999</v>
      </c>
      <c r="BT1122" s="273">
        <v>-9999</v>
      </c>
      <c r="BU1122" s="273">
        <v>82.15</v>
      </c>
      <c r="BV1122" s="273">
        <v>-9999</v>
      </c>
      <c r="BW1122" s="273"/>
      <c r="BX1122" s="273">
        <v>-9999</v>
      </c>
      <c r="BY1122" s="273">
        <v>-9999</v>
      </c>
      <c r="BZ1122" s="273">
        <v>-9999</v>
      </c>
      <c r="CA1122" s="472" t="s">
        <v>850</v>
      </c>
      <c r="CB1122" s="467" t="s">
        <v>1602</v>
      </c>
      <c r="CC1122" s="462">
        <v>1</v>
      </c>
      <c r="CD1122" s="273" t="s">
        <v>1189</v>
      </c>
      <c r="CE1122" s="292">
        <v>19.5</v>
      </c>
      <c r="CF1122" s="292">
        <v>-9999</v>
      </c>
      <c r="CG1122" s="93">
        <v>4</v>
      </c>
      <c r="CP1122" s="301" t="s">
        <v>1615</v>
      </c>
    </row>
    <row r="1123" spans="1:1873" s="23" customFormat="1" x14ac:dyDescent="0.2">
      <c r="A1123" s="273" t="s">
        <v>1221</v>
      </c>
      <c r="B1123" s="469" t="s">
        <v>1169</v>
      </c>
      <c r="C1123" s="273" t="s">
        <v>1171</v>
      </c>
      <c r="D1123" s="273" t="s">
        <v>619</v>
      </c>
      <c r="E1123" s="462" t="s">
        <v>1538</v>
      </c>
      <c r="F1123" s="462">
        <v>1</v>
      </c>
      <c r="G1123" s="273">
        <v>4</v>
      </c>
      <c r="H1123" s="468">
        <v>4</v>
      </c>
      <c r="I1123" s="273" t="s">
        <v>842</v>
      </c>
      <c r="J1123" s="273">
        <v>1985</v>
      </c>
      <c r="K1123" s="273" t="s">
        <v>1211</v>
      </c>
      <c r="L1123" s="273">
        <v>1988</v>
      </c>
      <c r="M1123" s="471">
        <v>-9999</v>
      </c>
      <c r="N1123" s="273">
        <v>-9999</v>
      </c>
      <c r="O1123" s="29"/>
      <c r="P1123" s="414">
        <f t="shared" si="119"/>
        <v>70.400000000000006</v>
      </c>
      <c r="Q1123" s="273">
        <v>-9999</v>
      </c>
      <c r="R1123" s="471"/>
      <c r="S1123" s="273"/>
      <c r="T1123" s="471">
        <v>17.600000000000001</v>
      </c>
      <c r="U1123" s="273">
        <v>-9999</v>
      </c>
      <c r="V1123" s="273"/>
      <c r="W1123" s="471">
        <v>-9999</v>
      </c>
      <c r="X1123" s="273">
        <v>-9999</v>
      </c>
      <c r="Y1123" s="273"/>
      <c r="Z1123" s="273" t="s">
        <v>793</v>
      </c>
      <c r="AA1123" s="273">
        <v>10000</v>
      </c>
      <c r="AB1123" s="471">
        <v>1</v>
      </c>
      <c r="AC1123" s="273">
        <v>0.36</v>
      </c>
      <c r="AD1123" s="273">
        <v>88</v>
      </c>
      <c r="AE1123" s="461" t="s">
        <v>1955</v>
      </c>
      <c r="AF1123" s="273">
        <v>3</v>
      </c>
      <c r="AG1123" s="273">
        <v>1</v>
      </c>
      <c r="AH1123" s="273" t="s">
        <v>623</v>
      </c>
      <c r="AI1123" s="273" t="s">
        <v>624</v>
      </c>
      <c r="AJ1123" s="273">
        <v>-9999</v>
      </c>
      <c r="AK1123" s="273" t="s">
        <v>626</v>
      </c>
      <c r="AL1123" s="273">
        <v>-9999</v>
      </c>
      <c r="AM1123" s="273">
        <v>-9999</v>
      </c>
      <c r="AN1123" s="273" t="s">
        <v>626</v>
      </c>
      <c r="AO1123" s="273" t="s">
        <v>847</v>
      </c>
      <c r="AP1123" s="273" t="s">
        <v>1195</v>
      </c>
      <c r="AQ1123" s="273" t="s">
        <v>631</v>
      </c>
      <c r="AR1123" s="273">
        <v>0</v>
      </c>
      <c r="AS1123" s="273">
        <v>-9999</v>
      </c>
      <c r="AT1123" s="273">
        <v>-9999</v>
      </c>
      <c r="AU1123" s="273">
        <v>0</v>
      </c>
      <c r="AV1123" s="273">
        <v>-9999</v>
      </c>
      <c r="AW1123" s="273">
        <v>-9999</v>
      </c>
      <c r="AX1123" s="273">
        <v>0</v>
      </c>
      <c r="AY1123" s="273">
        <v>-9999</v>
      </c>
      <c r="AZ1123" s="273">
        <v>-9999</v>
      </c>
      <c r="BA1123" s="273" t="s">
        <v>631</v>
      </c>
      <c r="BB1123" s="273" t="s">
        <v>626</v>
      </c>
      <c r="BC1123" s="273" t="s">
        <v>848</v>
      </c>
      <c r="BD1123" s="273" t="s">
        <v>849</v>
      </c>
      <c r="BE1123" s="273"/>
      <c r="BF1123" s="273"/>
      <c r="BG1123" s="273"/>
      <c r="BH1123" s="273"/>
      <c r="BI1123" s="273" t="s">
        <v>1190</v>
      </c>
      <c r="BJ1123" s="273">
        <v>-9999</v>
      </c>
      <c r="BK1123" s="273">
        <v>-9999</v>
      </c>
      <c r="BL1123" s="273">
        <v>11.35</v>
      </c>
      <c r="BM1123" s="273">
        <v>-9999</v>
      </c>
      <c r="BN1123" s="273">
        <v>-9999</v>
      </c>
      <c r="BO1123" s="273">
        <v>-9999</v>
      </c>
      <c r="BP1123" s="273">
        <v>-9999</v>
      </c>
      <c r="BQ1123" s="273">
        <v>-9999</v>
      </c>
      <c r="BR1123" s="273">
        <v>83.69</v>
      </c>
      <c r="BS1123" s="468">
        <v>-9999</v>
      </c>
      <c r="BT1123" s="273">
        <v>-9999</v>
      </c>
      <c r="BU1123" s="273">
        <v>84.13</v>
      </c>
      <c r="BV1123" s="273">
        <v>-9999</v>
      </c>
      <c r="BW1123" s="273"/>
      <c r="BX1123" s="273">
        <v>-9999</v>
      </c>
      <c r="BY1123" s="273">
        <v>-9999</v>
      </c>
      <c r="BZ1123" s="273">
        <v>-9999</v>
      </c>
      <c r="CA1123" s="472" t="s">
        <v>850</v>
      </c>
      <c r="CB1123" s="467" t="s">
        <v>1602</v>
      </c>
      <c r="CC1123" s="462">
        <v>1</v>
      </c>
      <c r="CD1123" s="273" t="s">
        <v>1171</v>
      </c>
      <c r="CE1123" s="292">
        <v>17.600000000000001</v>
      </c>
      <c r="CF1123" s="292">
        <v>-9999</v>
      </c>
      <c r="CG1123" s="93">
        <v>4</v>
      </c>
    </row>
    <row r="1124" spans="1:1873" s="23" customFormat="1" x14ac:dyDescent="0.2">
      <c r="A1124" s="273" t="s">
        <v>1221</v>
      </c>
      <c r="B1124" s="469" t="s">
        <v>1169</v>
      </c>
      <c r="C1124" s="273" t="s">
        <v>1172</v>
      </c>
      <c r="D1124" s="273" t="s">
        <v>619</v>
      </c>
      <c r="E1124" s="462" t="s">
        <v>1539</v>
      </c>
      <c r="F1124" s="462">
        <v>1</v>
      </c>
      <c r="G1124" s="273">
        <v>4</v>
      </c>
      <c r="H1124" s="468">
        <v>4</v>
      </c>
      <c r="I1124" s="273" t="s">
        <v>842</v>
      </c>
      <c r="J1124" s="273">
        <v>1985</v>
      </c>
      <c r="K1124" s="273" t="s">
        <v>1211</v>
      </c>
      <c r="L1124" s="273">
        <v>1988</v>
      </c>
      <c r="M1124" s="471">
        <v>-9999</v>
      </c>
      <c r="N1124" s="273">
        <v>-9999</v>
      </c>
      <c r="O1124" s="29"/>
      <c r="P1124" s="414">
        <f t="shared" si="119"/>
        <v>54.4</v>
      </c>
      <c r="Q1124" s="273">
        <v>-9999</v>
      </c>
      <c r="R1124" s="471"/>
      <c r="S1124" s="273"/>
      <c r="T1124" s="471">
        <v>13.6</v>
      </c>
      <c r="U1124" s="273">
        <v>-9999</v>
      </c>
      <c r="V1124" s="273"/>
      <c r="W1124" s="471">
        <v>-9999</v>
      </c>
      <c r="X1124" s="273">
        <v>-9999</v>
      </c>
      <c r="Y1124" s="273"/>
      <c r="Z1124" s="273" t="s">
        <v>793</v>
      </c>
      <c r="AA1124" s="273">
        <v>10000</v>
      </c>
      <c r="AB1124" s="471">
        <v>1</v>
      </c>
      <c r="AC1124" s="273">
        <v>0.36</v>
      </c>
      <c r="AD1124" s="273">
        <v>88</v>
      </c>
      <c r="AE1124" s="461" t="s">
        <v>1955</v>
      </c>
      <c r="AF1124" s="273">
        <v>3</v>
      </c>
      <c r="AG1124" s="273">
        <v>1</v>
      </c>
      <c r="AH1124" s="273" t="s">
        <v>623</v>
      </c>
      <c r="AI1124" s="273" t="s">
        <v>624</v>
      </c>
      <c r="AJ1124" s="273">
        <v>-9999</v>
      </c>
      <c r="AK1124" s="273" t="s">
        <v>626</v>
      </c>
      <c r="AL1124" s="273">
        <v>-9999</v>
      </c>
      <c r="AM1124" s="273">
        <v>-9999</v>
      </c>
      <c r="AN1124" s="273" t="s">
        <v>626</v>
      </c>
      <c r="AO1124" s="273" t="s">
        <v>847</v>
      </c>
      <c r="AP1124" s="273" t="s">
        <v>1195</v>
      </c>
      <c r="AQ1124" s="273" t="s">
        <v>631</v>
      </c>
      <c r="AR1124" s="273">
        <v>0</v>
      </c>
      <c r="AS1124" s="273">
        <v>-9999</v>
      </c>
      <c r="AT1124" s="273">
        <v>-9999</v>
      </c>
      <c r="AU1124" s="273">
        <v>0</v>
      </c>
      <c r="AV1124" s="273">
        <v>-9999</v>
      </c>
      <c r="AW1124" s="273">
        <v>-9999</v>
      </c>
      <c r="AX1124" s="273">
        <v>0</v>
      </c>
      <c r="AY1124" s="273">
        <v>-9999</v>
      </c>
      <c r="AZ1124" s="273">
        <v>-9999</v>
      </c>
      <c r="BA1124" s="273" t="s">
        <v>631</v>
      </c>
      <c r="BB1124" s="273" t="s">
        <v>626</v>
      </c>
      <c r="BC1124" s="273" t="s">
        <v>848</v>
      </c>
      <c r="BD1124" s="273" t="s">
        <v>849</v>
      </c>
      <c r="BE1124" s="273"/>
      <c r="BF1124" s="273"/>
      <c r="BG1124" s="273"/>
      <c r="BH1124" s="273"/>
      <c r="BI1124" s="273" t="s">
        <v>1190</v>
      </c>
      <c r="BJ1124" s="273">
        <v>-9999</v>
      </c>
      <c r="BK1124" s="273">
        <v>-9999</v>
      </c>
      <c r="BL1124" s="273">
        <v>10.52</v>
      </c>
      <c r="BM1124" s="273">
        <v>-9999</v>
      </c>
      <c r="BN1124" s="273">
        <v>-9999</v>
      </c>
      <c r="BO1124" s="273">
        <v>-9999</v>
      </c>
      <c r="BP1124" s="273">
        <v>-9999</v>
      </c>
      <c r="BQ1124" s="273">
        <v>-9999</v>
      </c>
      <c r="BR1124" s="273">
        <v>74.03</v>
      </c>
      <c r="BS1124" s="468">
        <v>-9999</v>
      </c>
      <c r="BT1124" s="273">
        <v>-9999</v>
      </c>
      <c r="BU1124" s="273">
        <v>59.33</v>
      </c>
      <c r="BV1124" s="273">
        <v>-9999</v>
      </c>
      <c r="BW1124" s="273"/>
      <c r="BX1124" s="273">
        <v>-9999</v>
      </c>
      <c r="BY1124" s="273">
        <v>-9999</v>
      </c>
      <c r="BZ1124" s="273">
        <v>-9999</v>
      </c>
      <c r="CA1124" s="472" t="s">
        <v>850</v>
      </c>
      <c r="CB1124" s="467" t="s">
        <v>1602</v>
      </c>
      <c r="CC1124" s="462">
        <v>1</v>
      </c>
      <c r="CD1124" s="273" t="s">
        <v>1172</v>
      </c>
      <c r="CE1124" s="292">
        <v>13.6</v>
      </c>
      <c r="CF1124" s="292">
        <v>-9999</v>
      </c>
      <c r="CG1124" s="93">
        <v>4</v>
      </c>
    </row>
    <row r="1125" spans="1:1873" s="23" customFormat="1" x14ac:dyDescent="0.2">
      <c r="A1125" s="273" t="s">
        <v>1221</v>
      </c>
      <c r="B1125" s="469" t="s">
        <v>1169</v>
      </c>
      <c r="C1125" s="273" t="s">
        <v>1173</v>
      </c>
      <c r="D1125" s="273" t="s">
        <v>619</v>
      </c>
      <c r="E1125" s="462" t="s">
        <v>1540</v>
      </c>
      <c r="F1125" s="462">
        <v>1</v>
      </c>
      <c r="G1125" s="273">
        <v>4</v>
      </c>
      <c r="H1125" s="468">
        <v>4</v>
      </c>
      <c r="I1125" s="273" t="s">
        <v>842</v>
      </c>
      <c r="J1125" s="273">
        <v>1985</v>
      </c>
      <c r="K1125" s="273" t="s">
        <v>1211</v>
      </c>
      <c r="L1125" s="273">
        <v>1988</v>
      </c>
      <c r="M1125" s="471">
        <v>-9999</v>
      </c>
      <c r="N1125" s="273">
        <v>-9999</v>
      </c>
      <c r="O1125" s="29"/>
      <c r="P1125" s="414">
        <f t="shared" si="119"/>
        <v>27.6</v>
      </c>
      <c r="Q1125" s="273">
        <v>-9999</v>
      </c>
      <c r="R1125" s="471"/>
      <c r="S1125" s="273"/>
      <c r="T1125" s="471">
        <v>6.9</v>
      </c>
      <c r="U1125" s="273">
        <v>-9999</v>
      </c>
      <c r="V1125" s="273"/>
      <c r="W1125" s="471">
        <v>-9999</v>
      </c>
      <c r="X1125" s="273">
        <v>-9999</v>
      </c>
      <c r="Y1125" s="273"/>
      <c r="Z1125" s="273" t="s">
        <v>793</v>
      </c>
      <c r="AA1125" s="273">
        <v>10000</v>
      </c>
      <c r="AB1125" s="471">
        <v>1</v>
      </c>
      <c r="AC1125" s="273">
        <v>0.36</v>
      </c>
      <c r="AD1125" s="273">
        <v>88</v>
      </c>
      <c r="AE1125" s="461" t="s">
        <v>1955</v>
      </c>
      <c r="AF1125" s="273">
        <v>3</v>
      </c>
      <c r="AG1125" s="273">
        <v>1</v>
      </c>
      <c r="AH1125" s="273" t="s">
        <v>623</v>
      </c>
      <c r="AI1125" s="273" t="s">
        <v>624</v>
      </c>
      <c r="AJ1125" s="273">
        <v>-9999</v>
      </c>
      <c r="AK1125" s="273" t="s">
        <v>626</v>
      </c>
      <c r="AL1125" s="273">
        <v>-9999</v>
      </c>
      <c r="AM1125" s="273">
        <v>-9999</v>
      </c>
      <c r="AN1125" s="273" t="s">
        <v>626</v>
      </c>
      <c r="AO1125" s="273" t="s">
        <v>847</v>
      </c>
      <c r="AP1125" s="273" t="s">
        <v>1195</v>
      </c>
      <c r="AQ1125" s="273" t="s">
        <v>631</v>
      </c>
      <c r="AR1125" s="273">
        <v>0</v>
      </c>
      <c r="AS1125" s="273">
        <v>-9999</v>
      </c>
      <c r="AT1125" s="273">
        <v>-9999</v>
      </c>
      <c r="AU1125" s="273">
        <v>0</v>
      </c>
      <c r="AV1125" s="273">
        <v>-9999</v>
      </c>
      <c r="AW1125" s="273">
        <v>-9999</v>
      </c>
      <c r="AX1125" s="273">
        <v>0</v>
      </c>
      <c r="AY1125" s="273">
        <v>-9999</v>
      </c>
      <c r="AZ1125" s="273">
        <v>-9999</v>
      </c>
      <c r="BA1125" s="273" t="s">
        <v>631</v>
      </c>
      <c r="BB1125" s="273" t="s">
        <v>626</v>
      </c>
      <c r="BC1125" s="273" t="s">
        <v>848</v>
      </c>
      <c r="BD1125" s="273" t="s">
        <v>849</v>
      </c>
      <c r="BE1125" s="273"/>
      <c r="BF1125" s="273"/>
      <c r="BG1125" s="273"/>
      <c r="BH1125" s="273"/>
      <c r="BI1125" s="273" t="s">
        <v>1190</v>
      </c>
      <c r="BJ1125" s="273">
        <v>-9999</v>
      </c>
      <c r="BK1125" s="273">
        <v>-9999</v>
      </c>
      <c r="BL1125" s="273">
        <v>8.1199999999999992</v>
      </c>
      <c r="BM1125" s="273">
        <v>-9999</v>
      </c>
      <c r="BN1125" s="273">
        <v>-9999</v>
      </c>
      <c r="BO1125" s="273">
        <v>-9999</v>
      </c>
      <c r="BP1125" s="273">
        <v>-9999</v>
      </c>
      <c r="BQ1125" s="273">
        <v>-9999</v>
      </c>
      <c r="BR1125" s="273">
        <v>64.84</v>
      </c>
      <c r="BS1125" s="468">
        <v>-9999</v>
      </c>
      <c r="BT1125" s="273">
        <v>-9999</v>
      </c>
      <c r="BU1125" s="273">
        <v>36.200000000000003</v>
      </c>
      <c r="BV1125" s="273">
        <v>-9999</v>
      </c>
      <c r="BW1125" s="273"/>
      <c r="BX1125" s="273">
        <v>-9999</v>
      </c>
      <c r="BY1125" s="273">
        <v>-9999</v>
      </c>
      <c r="BZ1125" s="273">
        <v>-9999</v>
      </c>
      <c r="CA1125" s="472" t="s">
        <v>850</v>
      </c>
      <c r="CB1125" s="467" t="s">
        <v>1602</v>
      </c>
      <c r="CC1125" s="462">
        <v>1</v>
      </c>
      <c r="CD1125" s="273" t="s">
        <v>1173</v>
      </c>
      <c r="CE1125" s="292">
        <v>6.9</v>
      </c>
      <c r="CF1125" s="292">
        <v>-9999</v>
      </c>
      <c r="CG1125" s="93">
        <v>4</v>
      </c>
    </row>
    <row r="1126" spans="1:1873" s="210" customFormat="1" x14ac:dyDescent="0.2">
      <c r="A1126" s="411" t="s">
        <v>1221</v>
      </c>
      <c r="B1126" s="574" t="s">
        <v>1169</v>
      </c>
      <c r="C1126" s="411" t="s">
        <v>156</v>
      </c>
      <c r="D1126" s="411" t="s">
        <v>619</v>
      </c>
      <c r="E1126" s="571" t="s">
        <v>1508</v>
      </c>
      <c r="F1126" s="571">
        <v>1</v>
      </c>
      <c r="G1126" s="411">
        <v>4</v>
      </c>
      <c r="H1126" s="577">
        <v>4</v>
      </c>
      <c r="I1126" s="411" t="s">
        <v>842</v>
      </c>
      <c r="J1126" s="411">
        <v>1985</v>
      </c>
      <c r="K1126" s="589" t="s">
        <v>1211</v>
      </c>
      <c r="L1126" s="411">
        <v>1988</v>
      </c>
      <c r="M1126" s="471">
        <v>-9999</v>
      </c>
      <c r="N1126" s="411">
        <v>-9999</v>
      </c>
      <c r="O1126" s="18"/>
      <c r="P1126" s="575">
        <f t="shared" si="119"/>
        <v>92.4</v>
      </c>
      <c r="Q1126" s="411">
        <v>-9999</v>
      </c>
      <c r="R1126" s="573"/>
      <c r="S1126" s="411"/>
      <c r="T1126" s="573">
        <v>23.1</v>
      </c>
      <c r="U1126" s="411">
        <v>-9999</v>
      </c>
      <c r="V1126" s="411"/>
      <c r="W1126" s="573">
        <v>-9999</v>
      </c>
      <c r="X1126" s="411">
        <v>-9999</v>
      </c>
      <c r="Y1126" s="411"/>
      <c r="Z1126" s="411" t="s">
        <v>793</v>
      </c>
      <c r="AA1126" s="411">
        <v>10000</v>
      </c>
      <c r="AB1126" s="573">
        <v>1</v>
      </c>
      <c r="AC1126" s="589">
        <v>0.36</v>
      </c>
      <c r="AD1126" s="411">
        <v>88</v>
      </c>
      <c r="AE1126" s="411" t="s">
        <v>1955</v>
      </c>
      <c r="AF1126" s="411">
        <v>3</v>
      </c>
      <c r="AG1126" s="411">
        <v>1</v>
      </c>
      <c r="AH1126" s="411" t="s">
        <v>623</v>
      </c>
      <c r="AI1126" s="411" t="s">
        <v>624</v>
      </c>
      <c r="AJ1126" s="411">
        <v>-9999</v>
      </c>
      <c r="AK1126" s="411" t="s">
        <v>626</v>
      </c>
      <c r="AL1126" s="411">
        <v>-9999</v>
      </c>
      <c r="AM1126" s="411">
        <v>-9999</v>
      </c>
      <c r="AN1126" s="411" t="s">
        <v>626</v>
      </c>
      <c r="AO1126" s="411" t="s">
        <v>847</v>
      </c>
      <c r="AP1126" s="273" t="s">
        <v>1195</v>
      </c>
      <c r="AQ1126" s="411" t="s">
        <v>631</v>
      </c>
      <c r="AR1126" s="411">
        <v>0</v>
      </c>
      <c r="AS1126" s="411">
        <v>-9999</v>
      </c>
      <c r="AT1126" s="411">
        <v>-9999</v>
      </c>
      <c r="AU1126" s="411">
        <v>0</v>
      </c>
      <c r="AV1126" s="411">
        <v>-9999</v>
      </c>
      <c r="AW1126" s="411">
        <v>-9999</v>
      </c>
      <c r="AX1126" s="411">
        <v>0</v>
      </c>
      <c r="AY1126" s="411">
        <v>-9999</v>
      </c>
      <c r="AZ1126" s="411">
        <v>-9999</v>
      </c>
      <c r="BA1126" s="411" t="s">
        <v>631</v>
      </c>
      <c r="BB1126" s="411" t="s">
        <v>626</v>
      </c>
      <c r="BC1126" s="411" t="s">
        <v>848</v>
      </c>
      <c r="BD1126" s="411" t="s">
        <v>849</v>
      </c>
      <c r="BE1126" s="411"/>
      <c r="BF1126" s="411"/>
      <c r="BG1126" s="411"/>
      <c r="BH1126" s="411"/>
      <c r="BI1126" s="411" t="s">
        <v>1190</v>
      </c>
      <c r="BJ1126" s="273">
        <v>-9999</v>
      </c>
      <c r="BK1126" s="411">
        <v>-9999</v>
      </c>
      <c r="BL1126" s="411">
        <v>13.45</v>
      </c>
      <c r="BM1126" s="411">
        <v>-9999</v>
      </c>
      <c r="BN1126" s="411">
        <v>-9999</v>
      </c>
      <c r="BO1126" s="411">
        <v>-9999</v>
      </c>
      <c r="BP1126" s="411">
        <v>-9999</v>
      </c>
      <c r="BQ1126" s="411">
        <v>-9999</v>
      </c>
      <c r="BR1126" s="411">
        <v>98.63</v>
      </c>
      <c r="BS1126" s="468">
        <v>-9999</v>
      </c>
      <c r="BT1126" s="411">
        <v>-9999</v>
      </c>
      <c r="BU1126" s="411">
        <v>136.25</v>
      </c>
      <c r="BV1126" s="411">
        <v>-9999</v>
      </c>
      <c r="BW1126" s="411"/>
      <c r="BX1126" s="411">
        <v>-9999</v>
      </c>
      <c r="BY1126" s="411">
        <v>-9999</v>
      </c>
      <c r="BZ1126" s="411">
        <v>-9999</v>
      </c>
      <c r="CA1126" s="578" t="s">
        <v>850</v>
      </c>
      <c r="CB1126" s="579" t="s">
        <v>1602</v>
      </c>
      <c r="CC1126" s="571">
        <v>1</v>
      </c>
      <c r="CD1126" s="411" t="s">
        <v>1609</v>
      </c>
      <c r="CE1126" s="393">
        <v>23.1</v>
      </c>
      <c r="CF1126" s="99">
        <v>-9999</v>
      </c>
      <c r="CG1126" s="209">
        <v>4</v>
      </c>
      <c r="CH1126" s="436" t="s">
        <v>1757</v>
      </c>
      <c r="CI1126" s="13"/>
      <c r="CJ1126" s="13"/>
      <c r="CK1126" s="13"/>
      <c r="CL1126" s="13"/>
      <c r="CM1126" s="13"/>
      <c r="CN1126" s="13"/>
      <c r="CO1126" s="13"/>
      <c r="CP1126" s="13"/>
      <c r="CQ1126" s="13"/>
      <c r="CR1126" s="13"/>
      <c r="CS1126" s="13"/>
      <c r="CT1126" s="13"/>
      <c r="CU1126" s="13"/>
      <c r="CV1126" s="13"/>
      <c r="CW1126" s="13"/>
      <c r="CX1126" s="13"/>
      <c r="CY1126" s="13"/>
      <c r="CZ1126" s="13"/>
      <c r="DA1126" s="13"/>
      <c r="DB1126" s="13"/>
      <c r="DC1126" s="13"/>
      <c r="DD1126" s="13"/>
      <c r="DE1126" s="13"/>
      <c r="DF1126" s="13"/>
      <c r="DG1126" s="13"/>
      <c r="DH1126" s="13"/>
      <c r="DI1126" s="13"/>
      <c r="DJ1126" s="13"/>
      <c r="DK1126" s="13"/>
      <c r="DL1126" s="13"/>
      <c r="DM1126" s="13"/>
      <c r="DN1126" s="13"/>
      <c r="DO1126" s="13"/>
      <c r="DP1126" s="13"/>
      <c r="DQ1126" s="13"/>
      <c r="DR1126" s="13"/>
      <c r="DS1126" s="13"/>
      <c r="DT1126" s="13"/>
      <c r="DU1126" s="13"/>
      <c r="DV1126" s="13"/>
      <c r="DW1126" s="13"/>
      <c r="DX1126" s="13"/>
      <c r="DY1126" s="13"/>
      <c r="DZ1126" s="13"/>
      <c r="EA1126" s="13"/>
      <c r="EB1126" s="13"/>
      <c r="EC1126" s="13"/>
      <c r="ED1126" s="13"/>
      <c r="EE1126" s="13"/>
      <c r="EF1126" s="13"/>
      <c r="EG1126" s="13"/>
      <c r="EH1126" s="13"/>
      <c r="EI1126" s="13"/>
      <c r="EJ1126" s="13"/>
      <c r="EK1126" s="13"/>
      <c r="EL1126" s="13"/>
      <c r="EM1126" s="13"/>
      <c r="EN1126" s="13"/>
      <c r="EO1126" s="13"/>
      <c r="EP1126" s="13"/>
      <c r="EQ1126" s="13"/>
      <c r="ER1126" s="13"/>
      <c r="ES1126" s="13"/>
      <c r="ET1126" s="13"/>
      <c r="EU1126" s="13"/>
      <c r="EV1126" s="13"/>
      <c r="EW1126" s="13"/>
      <c r="EX1126" s="13"/>
      <c r="EY1126" s="13"/>
      <c r="EZ1126" s="13"/>
      <c r="FA1126" s="13"/>
      <c r="FB1126" s="13"/>
      <c r="FC1126" s="13"/>
      <c r="FD1126" s="13"/>
      <c r="FE1126" s="13"/>
      <c r="FF1126" s="13"/>
      <c r="FG1126" s="13"/>
      <c r="FH1126" s="13"/>
      <c r="FI1126" s="13"/>
      <c r="FJ1126" s="13"/>
      <c r="FK1126" s="13"/>
      <c r="FL1126" s="13"/>
      <c r="FM1126" s="13"/>
      <c r="FN1126" s="13"/>
      <c r="FO1126" s="13"/>
      <c r="FP1126" s="13"/>
      <c r="FQ1126" s="13"/>
      <c r="FR1126" s="13"/>
      <c r="FS1126" s="13"/>
      <c r="FT1126" s="13"/>
      <c r="FU1126" s="13"/>
      <c r="FV1126" s="13"/>
      <c r="FW1126" s="13"/>
      <c r="FX1126" s="13"/>
      <c r="FY1126" s="13"/>
      <c r="FZ1126" s="13"/>
      <c r="GA1126" s="13"/>
      <c r="GB1126" s="13"/>
      <c r="GC1126" s="13"/>
      <c r="GD1126" s="13"/>
      <c r="GE1126" s="13"/>
      <c r="GF1126" s="13"/>
      <c r="GG1126" s="13"/>
      <c r="GH1126" s="13"/>
      <c r="GI1126" s="13"/>
      <c r="GJ1126" s="13"/>
      <c r="GK1126" s="13"/>
      <c r="GL1126" s="13"/>
      <c r="GM1126" s="13"/>
      <c r="GN1126" s="13"/>
      <c r="GO1126" s="13"/>
      <c r="GP1126" s="13"/>
      <c r="GQ1126" s="13"/>
      <c r="GR1126" s="13"/>
      <c r="GS1126" s="13"/>
      <c r="GT1126" s="13"/>
      <c r="GU1126" s="13"/>
      <c r="GV1126" s="13"/>
      <c r="GW1126" s="13"/>
      <c r="GX1126" s="13"/>
      <c r="GY1126" s="13"/>
      <c r="GZ1126" s="13"/>
      <c r="HA1126" s="13"/>
      <c r="HB1126" s="13"/>
      <c r="HC1126" s="13"/>
      <c r="HD1126" s="13"/>
      <c r="HE1126" s="13"/>
      <c r="HF1126" s="13"/>
      <c r="HG1126" s="13"/>
      <c r="HH1126" s="13"/>
      <c r="HI1126" s="13"/>
      <c r="HJ1126" s="13"/>
      <c r="HK1126" s="13"/>
      <c r="HL1126" s="13"/>
      <c r="HM1126" s="13"/>
      <c r="HN1126" s="13"/>
      <c r="HO1126" s="13"/>
      <c r="HP1126" s="13"/>
      <c r="HQ1126" s="13"/>
      <c r="HR1126" s="13"/>
      <c r="HS1126" s="13"/>
      <c r="HT1126" s="13"/>
      <c r="HU1126" s="13"/>
      <c r="HV1126" s="13"/>
      <c r="HW1126" s="13"/>
      <c r="HX1126" s="13"/>
      <c r="HY1126" s="13"/>
      <c r="HZ1126" s="13"/>
      <c r="IA1126" s="13"/>
      <c r="IB1126" s="13"/>
      <c r="IC1126" s="13"/>
      <c r="ID1126" s="13"/>
      <c r="IE1126" s="13"/>
      <c r="IF1126" s="13"/>
      <c r="IG1126" s="13"/>
      <c r="IH1126" s="13"/>
      <c r="II1126" s="13"/>
      <c r="IJ1126" s="13"/>
      <c r="IK1126" s="13"/>
      <c r="IL1126" s="13"/>
      <c r="IM1126" s="13"/>
      <c r="IN1126" s="13"/>
      <c r="IO1126" s="13"/>
      <c r="IP1126" s="13"/>
      <c r="IQ1126" s="13"/>
      <c r="IR1126" s="13"/>
      <c r="IS1126" s="13"/>
      <c r="IT1126" s="13"/>
      <c r="IU1126" s="13"/>
      <c r="IV1126" s="13"/>
      <c r="IW1126" s="13"/>
      <c r="IX1126" s="13"/>
      <c r="IY1126" s="13"/>
      <c r="IZ1126" s="13"/>
      <c r="JA1126" s="13"/>
      <c r="JB1126" s="13"/>
      <c r="JC1126" s="13"/>
      <c r="JD1126" s="13"/>
      <c r="JE1126" s="13"/>
      <c r="JF1126" s="13"/>
      <c r="JG1126" s="13"/>
      <c r="JH1126" s="13"/>
      <c r="JI1126" s="13"/>
      <c r="JJ1126" s="13"/>
      <c r="JK1126" s="13"/>
      <c r="JL1126" s="13"/>
      <c r="JM1126" s="13"/>
      <c r="JN1126" s="13"/>
      <c r="JO1126" s="13"/>
      <c r="JP1126" s="13"/>
      <c r="JQ1126" s="13"/>
      <c r="JR1126" s="13"/>
      <c r="JS1126" s="13"/>
      <c r="JT1126" s="13"/>
      <c r="JU1126" s="13"/>
      <c r="JV1126" s="13"/>
      <c r="JW1126" s="13"/>
      <c r="JX1126" s="13"/>
      <c r="JY1126" s="13"/>
      <c r="JZ1126" s="13"/>
      <c r="KA1126" s="13"/>
      <c r="KB1126" s="13"/>
      <c r="KC1126" s="13"/>
      <c r="KD1126" s="13"/>
      <c r="KE1126" s="13"/>
      <c r="KF1126" s="13"/>
      <c r="KG1126" s="13"/>
      <c r="KH1126" s="13"/>
      <c r="KI1126" s="13"/>
      <c r="KJ1126" s="13"/>
      <c r="KK1126" s="13"/>
      <c r="KL1126" s="13"/>
      <c r="KM1126" s="13"/>
      <c r="KN1126" s="13"/>
      <c r="KO1126" s="13"/>
      <c r="KP1126" s="13"/>
      <c r="KQ1126" s="13"/>
      <c r="KR1126" s="13"/>
      <c r="KS1126" s="13"/>
      <c r="KT1126" s="13"/>
      <c r="KU1126" s="13"/>
      <c r="KV1126" s="13"/>
      <c r="KW1126" s="13"/>
      <c r="KX1126" s="13"/>
      <c r="KY1126" s="13"/>
      <c r="KZ1126" s="13"/>
      <c r="LA1126" s="13"/>
      <c r="LB1126" s="13"/>
      <c r="LC1126" s="13"/>
      <c r="LD1126" s="13"/>
      <c r="LE1126" s="13"/>
      <c r="LF1126" s="13"/>
      <c r="LG1126" s="13"/>
      <c r="LH1126" s="13"/>
      <c r="LI1126" s="13"/>
      <c r="LJ1126" s="13"/>
      <c r="LK1126" s="13"/>
      <c r="LL1126" s="13"/>
      <c r="LM1126" s="13"/>
      <c r="LN1126" s="13"/>
      <c r="LO1126" s="13"/>
      <c r="LP1126" s="13"/>
      <c r="LQ1126" s="13"/>
      <c r="LR1126" s="13"/>
      <c r="LS1126" s="13"/>
      <c r="LT1126" s="13"/>
      <c r="LU1126" s="13"/>
      <c r="LV1126" s="13"/>
      <c r="LW1126" s="13"/>
      <c r="LX1126" s="13"/>
      <c r="LY1126" s="13"/>
      <c r="LZ1126" s="13"/>
      <c r="MA1126" s="13"/>
      <c r="MB1126" s="13"/>
      <c r="MC1126" s="13"/>
      <c r="MD1126" s="13"/>
      <c r="ME1126" s="13"/>
      <c r="MF1126" s="13"/>
      <c r="MG1126" s="13"/>
      <c r="MH1126" s="13"/>
      <c r="MI1126" s="13"/>
      <c r="MJ1126" s="13"/>
      <c r="MK1126" s="13"/>
      <c r="ML1126" s="13"/>
      <c r="MM1126" s="13"/>
      <c r="MN1126" s="13"/>
      <c r="MO1126" s="13"/>
      <c r="MP1126" s="13"/>
      <c r="MQ1126" s="13"/>
      <c r="MR1126" s="13"/>
      <c r="MS1126" s="13"/>
      <c r="MT1126" s="13"/>
      <c r="MU1126" s="13"/>
      <c r="MV1126" s="13"/>
      <c r="MW1126" s="13"/>
      <c r="MX1126" s="13"/>
      <c r="MY1126" s="13"/>
      <c r="MZ1126" s="13"/>
      <c r="NA1126" s="13"/>
      <c r="NB1126" s="13"/>
      <c r="NC1126" s="13"/>
      <c r="ND1126" s="13"/>
      <c r="NE1126" s="13"/>
      <c r="NF1126" s="13"/>
      <c r="NG1126" s="13"/>
      <c r="NH1126" s="13"/>
      <c r="NI1126" s="13"/>
      <c r="NJ1126" s="13"/>
      <c r="NK1126" s="13"/>
      <c r="NL1126" s="13"/>
      <c r="NM1126" s="13"/>
      <c r="NN1126" s="13"/>
      <c r="NO1126" s="13"/>
      <c r="NP1126" s="13"/>
      <c r="NQ1126" s="13"/>
      <c r="NR1126" s="13"/>
      <c r="NS1126" s="13"/>
      <c r="NT1126" s="13"/>
      <c r="NU1126" s="13"/>
      <c r="NV1126" s="13"/>
      <c r="NW1126" s="13"/>
      <c r="NX1126" s="13"/>
      <c r="NY1126" s="13"/>
      <c r="NZ1126" s="13"/>
      <c r="OA1126" s="13"/>
      <c r="OB1126" s="13"/>
      <c r="OC1126" s="13"/>
      <c r="OD1126" s="13"/>
      <c r="OE1126" s="13"/>
      <c r="OF1126" s="13"/>
      <c r="OG1126" s="13"/>
      <c r="OH1126" s="13"/>
      <c r="OI1126" s="13"/>
      <c r="OJ1126" s="13"/>
      <c r="OK1126" s="13"/>
      <c r="OL1126" s="13"/>
      <c r="OM1126" s="13"/>
      <c r="ON1126" s="13"/>
      <c r="OO1126" s="13"/>
      <c r="OP1126" s="13"/>
      <c r="OQ1126" s="13"/>
      <c r="OR1126" s="13"/>
      <c r="OS1126" s="13"/>
      <c r="OT1126" s="13"/>
      <c r="OU1126" s="13"/>
      <c r="OV1126" s="13"/>
      <c r="OW1126" s="13"/>
      <c r="OX1126" s="13"/>
      <c r="OY1126" s="13"/>
      <c r="OZ1126" s="13"/>
      <c r="PA1126" s="13"/>
      <c r="PB1126" s="13"/>
      <c r="PC1126" s="13"/>
      <c r="PD1126" s="13"/>
      <c r="PE1126" s="13"/>
      <c r="PF1126" s="13"/>
      <c r="PG1126" s="13"/>
      <c r="PH1126" s="13"/>
      <c r="PI1126" s="13"/>
      <c r="PJ1126" s="13"/>
      <c r="PK1126" s="13"/>
      <c r="PL1126" s="13"/>
      <c r="PM1126" s="13"/>
      <c r="PN1126" s="13"/>
      <c r="PO1126" s="13"/>
      <c r="PP1126" s="13"/>
      <c r="PQ1126" s="13"/>
      <c r="PR1126" s="13"/>
      <c r="PS1126" s="13"/>
      <c r="PT1126" s="13"/>
      <c r="PU1126" s="13"/>
      <c r="PV1126" s="13"/>
      <c r="PW1126" s="13"/>
      <c r="PX1126" s="13"/>
      <c r="PY1126" s="13"/>
      <c r="PZ1126" s="13"/>
      <c r="QA1126" s="13"/>
      <c r="QB1126" s="13"/>
      <c r="QC1126" s="13"/>
      <c r="QD1126" s="13"/>
      <c r="QE1126" s="13"/>
      <c r="QF1126" s="13"/>
      <c r="QG1126" s="13"/>
      <c r="QH1126" s="13"/>
      <c r="QI1126" s="13"/>
      <c r="QJ1126" s="13"/>
      <c r="QK1126" s="13"/>
      <c r="QL1126" s="13"/>
      <c r="QM1126" s="13"/>
      <c r="QN1126" s="13"/>
      <c r="QO1126" s="13"/>
      <c r="QP1126" s="13"/>
      <c r="QQ1126" s="13"/>
      <c r="QR1126" s="13"/>
      <c r="QS1126" s="13"/>
      <c r="QT1126" s="13"/>
      <c r="QU1126" s="13"/>
      <c r="QV1126" s="13"/>
      <c r="QW1126" s="13"/>
      <c r="QX1126" s="13"/>
      <c r="QY1126" s="13"/>
      <c r="QZ1126" s="13"/>
      <c r="RA1126" s="13"/>
      <c r="RB1126" s="13"/>
      <c r="RC1126" s="13"/>
      <c r="RD1126" s="13"/>
      <c r="RE1126" s="13"/>
      <c r="RF1126" s="13"/>
      <c r="RG1126" s="13"/>
      <c r="RH1126" s="13"/>
      <c r="RI1126" s="13"/>
      <c r="RJ1126" s="13"/>
      <c r="RK1126" s="13"/>
      <c r="RL1126" s="13"/>
      <c r="RM1126" s="13"/>
      <c r="RN1126" s="13"/>
      <c r="RO1126" s="13"/>
      <c r="RP1126" s="13"/>
      <c r="RQ1126" s="13"/>
      <c r="RR1126" s="13"/>
      <c r="RS1126" s="13"/>
      <c r="RT1126" s="13"/>
      <c r="RU1126" s="13"/>
      <c r="RV1126" s="13"/>
      <c r="RW1126" s="13"/>
      <c r="RX1126" s="13"/>
      <c r="RY1126" s="13"/>
      <c r="RZ1126" s="13"/>
      <c r="SA1126" s="13"/>
      <c r="SB1126" s="13"/>
      <c r="SC1126" s="13"/>
      <c r="SD1126" s="13"/>
      <c r="SE1126" s="13"/>
      <c r="SF1126" s="13"/>
      <c r="SG1126" s="13"/>
      <c r="SH1126" s="13"/>
      <c r="SI1126" s="13"/>
      <c r="SJ1126" s="13"/>
      <c r="SK1126" s="13"/>
      <c r="SL1126" s="13"/>
      <c r="SM1126" s="13"/>
      <c r="SN1126" s="13"/>
      <c r="SO1126" s="13"/>
      <c r="SP1126" s="13"/>
      <c r="SQ1126" s="13"/>
      <c r="SR1126" s="13"/>
      <c r="SS1126" s="13"/>
      <c r="ST1126" s="13"/>
      <c r="SU1126" s="13"/>
      <c r="SV1126" s="13"/>
      <c r="SW1126" s="13"/>
      <c r="SX1126" s="13"/>
      <c r="SY1126" s="13"/>
      <c r="SZ1126" s="13"/>
      <c r="TA1126" s="13"/>
      <c r="TB1126" s="13"/>
      <c r="TC1126" s="13"/>
      <c r="TD1126" s="13"/>
      <c r="TE1126" s="13"/>
      <c r="TF1126" s="13"/>
      <c r="TG1126" s="13"/>
      <c r="TH1126" s="13"/>
      <c r="TI1126" s="13"/>
      <c r="TJ1126" s="13"/>
      <c r="TK1126" s="13"/>
      <c r="TL1126" s="13"/>
      <c r="TM1126" s="13"/>
      <c r="TN1126" s="13"/>
      <c r="TO1126" s="13"/>
      <c r="TP1126" s="13"/>
      <c r="TQ1126" s="13"/>
      <c r="TR1126" s="13"/>
      <c r="TS1126" s="13"/>
      <c r="TT1126" s="13"/>
      <c r="TU1126" s="13"/>
      <c r="TV1126" s="13"/>
      <c r="TW1126" s="13"/>
      <c r="TX1126" s="13"/>
      <c r="TY1126" s="13"/>
      <c r="TZ1126" s="13"/>
      <c r="UA1126" s="13"/>
      <c r="UB1126" s="13"/>
      <c r="UC1126" s="13"/>
      <c r="UD1126" s="13"/>
      <c r="UE1126" s="13"/>
      <c r="UF1126" s="13"/>
      <c r="UG1126" s="13"/>
      <c r="UH1126" s="13"/>
      <c r="UI1126" s="13"/>
      <c r="UJ1126" s="13"/>
      <c r="UK1126" s="13"/>
      <c r="UL1126" s="13"/>
      <c r="UM1126" s="13"/>
      <c r="UN1126" s="13"/>
      <c r="UO1126" s="13"/>
      <c r="UP1126" s="13"/>
      <c r="UQ1126" s="13"/>
      <c r="UR1126" s="13"/>
      <c r="US1126" s="13"/>
      <c r="UT1126" s="13"/>
      <c r="UU1126" s="13"/>
      <c r="UV1126" s="13"/>
      <c r="UW1126" s="13"/>
      <c r="UX1126" s="13"/>
      <c r="UY1126" s="13"/>
      <c r="UZ1126" s="13"/>
      <c r="VA1126" s="13"/>
      <c r="VB1126" s="13"/>
      <c r="VC1126" s="13"/>
      <c r="VD1126" s="13"/>
      <c r="VE1126" s="13"/>
      <c r="VF1126" s="13"/>
      <c r="VG1126" s="13"/>
      <c r="VH1126" s="13"/>
      <c r="VI1126" s="13"/>
      <c r="VJ1126" s="13"/>
      <c r="VK1126" s="13"/>
      <c r="VL1126" s="13"/>
      <c r="VM1126" s="13"/>
      <c r="VN1126" s="13"/>
      <c r="VO1126" s="13"/>
      <c r="VP1126" s="13"/>
      <c r="VQ1126" s="13"/>
      <c r="VR1126" s="13"/>
      <c r="VS1126" s="13"/>
      <c r="VT1126" s="13"/>
      <c r="VU1126" s="13"/>
      <c r="VV1126" s="13"/>
      <c r="VW1126" s="13"/>
      <c r="VX1126" s="13"/>
      <c r="VY1126" s="13"/>
      <c r="VZ1126" s="13"/>
      <c r="WA1126" s="13"/>
      <c r="WB1126" s="13"/>
      <c r="WC1126" s="13"/>
      <c r="WD1126" s="13"/>
      <c r="WE1126" s="13"/>
      <c r="WF1126" s="13"/>
      <c r="WG1126" s="13"/>
      <c r="WH1126" s="13"/>
      <c r="WI1126" s="13"/>
      <c r="WJ1126" s="13"/>
      <c r="WK1126" s="13"/>
      <c r="WL1126" s="13"/>
      <c r="WM1126" s="13"/>
      <c r="WN1126" s="13"/>
      <c r="WO1126" s="13"/>
      <c r="WP1126" s="13"/>
      <c r="WQ1126" s="13"/>
      <c r="WR1126" s="13"/>
      <c r="WS1126" s="13"/>
      <c r="WT1126" s="13"/>
      <c r="WU1126" s="13"/>
      <c r="WV1126" s="13"/>
      <c r="WW1126" s="13"/>
      <c r="WX1126" s="13"/>
      <c r="WY1126" s="13"/>
      <c r="WZ1126" s="13"/>
      <c r="XA1126" s="13"/>
      <c r="XB1126" s="13"/>
      <c r="XC1126" s="13"/>
      <c r="XD1126" s="13"/>
      <c r="XE1126" s="13"/>
      <c r="XF1126" s="13"/>
      <c r="XG1126" s="13"/>
      <c r="XH1126" s="13"/>
      <c r="XI1126" s="13"/>
      <c r="XJ1126" s="13"/>
      <c r="XK1126" s="13"/>
      <c r="XL1126" s="13"/>
      <c r="XM1126" s="13"/>
      <c r="XN1126" s="13"/>
      <c r="XO1126" s="13"/>
      <c r="XP1126" s="13"/>
      <c r="XQ1126" s="13"/>
      <c r="XR1126" s="13"/>
      <c r="XS1126" s="13"/>
      <c r="XT1126" s="13"/>
      <c r="XU1126" s="13"/>
      <c r="XV1126" s="13"/>
      <c r="XW1126" s="13"/>
      <c r="XX1126" s="13"/>
      <c r="XY1126" s="13"/>
      <c r="XZ1126" s="13"/>
      <c r="YA1126" s="13"/>
      <c r="YB1126" s="13"/>
      <c r="YC1126" s="13"/>
      <c r="YD1126" s="13"/>
      <c r="YE1126" s="13"/>
      <c r="YF1126" s="13"/>
      <c r="YG1126" s="13"/>
      <c r="YH1126" s="13"/>
      <c r="YI1126" s="13"/>
      <c r="YJ1126" s="13"/>
      <c r="YK1126" s="13"/>
      <c r="YL1126" s="13"/>
      <c r="YM1126" s="13"/>
      <c r="YN1126" s="13"/>
      <c r="YO1126" s="13"/>
      <c r="YP1126" s="13"/>
      <c r="YQ1126" s="13"/>
      <c r="YR1126" s="13"/>
      <c r="YS1126" s="13"/>
      <c r="YT1126" s="13"/>
      <c r="YU1126" s="13"/>
      <c r="YV1126" s="13"/>
      <c r="YW1126" s="13"/>
      <c r="YX1126" s="13"/>
      <c r="YY1126" s="13"/>
      <c r="YZ1126" s="13"/>
      <c r="ZA1126" s="13"/>
      <c r="ZB1126" s="13"/>
      <c r="ZC1126" s="13"/>
      <c r="ZD1126" s="13"/>
      <c r="ZE1126" s="13"/>
      <c r="ZF1126" s="13"/>
      <c r="ZG1126" s="13"/>
      <c r="ZH1126" s="13"/>
      <c r="ZI1126" s="13"/>
      <c r="ZJ1126" s="13"/>
      <c r="ZK1126" s="13"/>
      <c r="ZL1126" s="13"/>
      <c r="ZM1126" s="13"/>
      <c r="ZN1126" s="13"/>
      <c r="ZO1126" s="13"/>
      <c r="ZP1126" s="13"/>
      <c r="ZQ1126" s="13"/>
      <c r="ZR1126" s="13"/>
      <c r="ZS1126" s="13"/>
      <c r="ZT1126" s="13"/>
      <c r="ZU1126" s="13"/>
      <c r="ZV1126" s="13"/>
      <c r="ZW1126" s="13"/>
      <c r="ZX1126" s="13"/>
      <c r="ZY1126" s="13"/>
      <c r="ZZ1126" s="13"/>
      <c r="AAA1126" s="13"/>
      <c r="AAB1126" s="13"/>
      <c r="AAC1126" s="13"/>
      <c r="AAD1126" s="13"/>
      <c r="AAE1126" s="13"/>
      <c r="AAF1126" s="13"/>
      <c r="AAG1126" s="13"/>
      <c r="AAH1126" s="13"/>
      <c r="AAI1126" s="13"/>
      <c r="AAJ1126" s="13"/>
      <c r="AAK1126" s="13"/>
      <c r="AAL1126" s="13"/>
      <c r="AAM1126" s="13"/>
      <c r="AAN1126" s="13"/>
      <c r="AAO1126" s="13"/>
      <c r="AAP1126" s="13"/>
      <c r="AAQ1126" s="13"/>
      <c r="AAR1126" s="13"/>
      <c r="AAS1126" s="13"/>
      <c r="AAT1126" s="13"/>
      <c r="AAU1126" s="13"/>
      <c r="AAV1126" s="13"/>
      <c r="AAW1126" s="13"/>
      <c r="AAX1126" s="13"/>
      <c r="AAY1126" s="13"/>
      <c r="AAZ1126" s="13"/>
      <c r="ABA1126" s="13"/>
      <c r="ABB1126" s="13"/>
      <c r="ABC1126" s="13"/>
      <c r="ABD1126" s="13"/>
      <c r="ABE1126" s="13"/>
      <c r="ABF1126" s="13"/>
      <c r="ABG1126" s="13"/>
      <c r="ABH1126" s="13"/>
      <c r="ABI1126" s="13"/>
      <c r="ABJ1126" s="13"/>
      <c r="ABK1126" s="13"/>
      <c r="ABL1126" s="13"/>
      <c r="ABM1126" s="13"/>
      <c r="ABN1126" s="13"/>
      <c r="ABO1126" s="13"/>
      <c r="ABP1126" s="13"/>
      <c r="ABQ1126" s="13"/>
      <c r="ABR1126" s="13"/>
      <c r="ABS1126" s="13"/>
      <c r="ABT1126" s="13"/>
      <c r="ABU1126" s="13"/>
      <c r="ABV1126" s="13"/>
      <c r="ABW1126" s="13"/>
      <c r="ABX1126" s="13"/>
      <c r="ABY1126" s="13"/>
      <c r="ABZ1126" s="13"/>
      <c r="ACA1126" s="13"/>
      <c r="ACB1126" s="13"/>
      <c r="ACC1126" s="13"/>
      <c r="ACD1126" s="13"/>
      <c r="ACE1126" s="13"/>
      <c r="ACF1126" s="13"/>
      <c r="ACG1126" s="13"/>
      <c r="ACH1126" s="13"/>
      <c r="ACI1126" s="13"/>
      <c r="ACJ1126" s="13"/>
      <c r="ACK1126" s="13"/>
      <c r="ACL1126" s="13"/>
      <c r="ACM1126" s="13"/>
      <c r="ACN1126" s="13"/>
      <c r="ACO1126" s="13"/>
      <c r="ACP1126" s="13"/>
      <c r="ACQ1126" s="13"/>
      <c r="ACR1126" s="13"/>
      <c r="ACS1126" s="13"/>
      <c r="ACT1126" s="13"/>
      <c r="ACU1126" s="13"/>
      <c r="ACV1126" s="13"/>
      <c r="ACW1126" s="13"/>
      <c r="ACX1126" s="13"/>
      <c r="ACY1126" s="13"/>
      <c r="ACZ1126" s="13"/>
      <c r="ADA1126" s="13"/>
      <c r="ADB1126" s="13"/>
      <c r="ADC1126" s="13"/>
      <c r="ADD1126" s="13"/>
      <c r="ADE1126" s="13"/>
      <c r="ADF1126" s="13"/>
      <c r="ADG1126" s="13"/>
      <c r="ADH1126" s="13"/>
      <c r="ADI1126" s="13"/>
      <c r="ADJ1126" s="13"/>
      <c r="ADK1126" s="13"/>
      <c r="ADL1126" s="13"/>
      <c r="ADM1126" s="13"/>
      <c r="ADN1126" s="13"/>
      <c r="ADO1126" s="13"/>
      <c r="ADP1126" s="13"/>
      <c r="ADQ1126" s="13"/>
      <c r="ADR1126" s="13"/>
      <c r="ADS1126" s="13"/>
      <c r="ADT1126" s="13"/>
      <c r="ADU1126" s="13"/>
      <c r="ADV1126" s="13"/>
      <c r="ADW1126" s="13"/>
      <c r="ADX1126" s="13"/>
      <c r="ADY1126" s="13"/>
      <c r="ADZ1126" s="13"/>
      <c r="AEA1126" s="13"/>
      <c r="AEB1126" s="13"/>
      <c r="AEC1126" s="13"/>
      <c r="AED1126" s="13"/>
      <c r="AEE1126" s="13"/>
      <c r="AEF1126" s="13"/>
      <c r="AEG1126" s="13"/>
      <c r="AEH1126" s="13"/>
      <c r="AEI1126" s="13"/>
      <c r="AEJ1126" s="13"/>
      <c r="AEK1126" s="13"/>
      <c r="AEL1126" s="13"/>
      <c r="AEM1126" s="13"/>
      <c r="AEN1126" s="13"/>
      <c r="AEO1126" s="13"/>
      <c r="AEP1126" s="13"/>
      <c r="AEQ1126" s="13"/>
      <c r="AER1126" s="13"/>
      <c r="AES1126" s="13"/>
      <c r="AET1126" s="13"/>
      <c r="AEU1126" s="13"/>
      <c r="AEV1126" s="13"/>
      <c r="AEW1126" s="13"/>
      <c r="AEX1126" s="13"/>
      <c r="AEY1126" s="13"/>
      <c r="AEZ1126" s="13"/>
      <c r="AFA1126" s="13"/>
      <c r="AFB1126" s="13"/>
      <c r="AFC1126" s="13"/>
      <c r="AFD1126" s="13"/>
      <c r="AFE1126" s="13"/>
      <c r="AFF1126" s="13"/>
      <c r="AFG1126" s="13"/>
      <c r="AFH1126" s="13"/>
      <c r="AFI1126" s="13"/>
      <c r="AFJ1126" s="13"/>
      <c r="AFK1126" s="13"/>
      <c r="AFL1126" s="13"/>
      <c r="AFM1126" s="13"/>
      <c r="AFN1126" s="13"/>
      <c r="AFO1126" s="13"/>
      <c r="AFP1126" s="13"/>
      <c r="AFQ1126" s="13"/>
      <c r="AFR1126" s="13"/>
      <c r="AFS1126" s="13"/>
      <c r="AFT1126" s="13"/>
      <c r="AFU1126" s="13"/>
      <c r="AFV1126" s="13"/>
      <c r="AFW1126" s="13"/>
      <c r="AFX1126" s="13"/>
      <c r="AFY1126" s="13"/>
      <c r="AFZ1126" s="13"/>
      <c r="AGA1126" s="13"/>
      <c r="AGB1126" s="13"/>
      <c r="AGC1126" s="13"/>
      <c r="AGD1126" s="13"/>
      <c r="AGE1126" s="13"/>
      <c r="AGF1126" s="13"/>
      <c r="AGG1126" s="13"/>
      <c r="AGH1126" s="13"/>
      <c r="AGI1126" s="13"/>
      <c r="AGJ1126" s="13"/>
      <c r="AGK1126" s="13"/>
      <c r="AGL1126" s="13"/>
      <c r="AGM1126" s="13"/>
      <c r="AGN1126" s="13"/>
      <c r="AGO1126" s="13"/>
      <c r="AGP1126" s="13"/>
      <c r="AGQ1126" s="13"/>
      <c r="AGR1126" s="13"/>
      <c r="AGS1126" s="13"/>
      <c r="AGT1126" s="13"/>
      <c r="AGU1126" s="13"/>
      <c r="AGV1126" s="13"/>
      <c r="AGW1126" s="13"/>
      <c r="AGX1126" s="13"/>
      <c r="AGY1126" s="13"/>
      <c r="AGZ1126" s="13"/>
      <c r="AHA1126" s="13"/>
      <c r="AHB1126" s="13"/>
      <c r="AHC1126" s="13"/>
      <c r="AHD1126" s="13"/>
      <c r="AHE1126" s="13"/>
      <c r="AHF1126" s="13"/>
      <c r="AHG1126" s="13"/>
      <c r="AHH1126" s="13"/>
      <c r="AHI1126" s="13"/>
      <c r="AHJ1126" s="13"/>
      <c r="AHK1126" s="13"/>
      <c r="AHL1126" s="13"/>
      <c r="AHM1126" s="13"/>
      <c r="AHN1126" s="13"/>
      <c r="AHO1126" s="13"/>
      <c r="AHP1126" s="13"/>
      <c r="AHQ1126" s="13"/>
      <c r="AHR1126" s="13"/>
      <c r="AHS1126" s="13"/>
      <c r="AHT1126" s="13"/>
      <c r="AHU1126" s="13"/>
      <c r="AHV1126" s="13"/>
      <c r="AHW1126" s="13"/>
      <c r="AHX1126" s="13"/>
      <c r="AHY1126" s="13"/>
      <c r="AHZ1126" s="13"/>
      <c r="AIA1126" s="13"/>
      <c r="AIB1126" s="13"/>
      <c r="AIC1126" s="13"/>
      <c r="AID1126" s="13"/>
      <c r="AIE1126" s="13"/>
      <c r="AIF1126" s="13"/>
      <c r="AIG1126" s="13"/>
      <c r="AIH1126" s="13"/>
      <c r="AII1126" s="13"/>
      <c r="AIJ1126" s="13"/>
      <c r="AIK1126" s="13"/>
      <c r="AIL1126" s="13"/>
      <c r="AIM1126" s="13"/>
      <c r="AIN1126" s="13"/>
      <c r="AIO1126" s="13"/>
      <c r="AIP1126" s="13"/>
      <c r="AIQ1126" s="13"/>
      <c r="AIR1126" s="13"/>
      <c r="AIS1126" s="13"/>
      <c r="AIT1126" s="13"/>
      <c r="AIU1126" s="13"/>
      <c r="AIV1126" s="13"/>
      <c r="AIW1126" s="13"/>
      <c r="AIX1126" s="13"/>
      <c r="AIY1126" s="13"/>
      <c r="AIZ1126" s="13"/>
      <c r="AJA1126" s="13"/>
      <c r="AJB1126" s="13"/>
      <c r="AJC1126" s="13"/>
      <c r="AJD1126" s="13"/>
      <c r="AJE1126" s="13"/>
      <c r="AJF1126" s="13"/>
      <c r="AJG1126" s="13"/>
      <c r="AJH1126" s="13"/>
      <c r="AJI1126" s="13"/>
      <c r="AJJ1126" s="13"/>
      <c r="AJK1126" s="13"/>
      <c r="AJL1126" s="13"/>
      <c r="AJM1126" s="13"/>
      <c r="AJN1126" s="13"/>
      <c r="AJO1126" s="13"/>
      <c r="AJP1126" s="13"/>
      <c r="AJQ1126" s="13"/>
      <c r="AJR1126" s="13"/>
      <c r="AJS1126" s="13"/>
      <c r="AJT1126" s="13"/>
      <c r="AJU1126" s="13"/>
      <c r="AJV1126" s="13"/>
      <c r="AJW1126" s="13"/>
      <c r="AJX1126" s="13"/>
      <c r="AJY1126" s="13"/>
      <c r="AJZ1126" s="13"/>
      <c r="AKA1126" s="13"/>
      <c r="AKB1126" s="13"/>
      <c r="AKC1126" s="13"/>
      <c r="AKD1126" s="13"/>
      <c r="AKE1126" s="13"/>
      <c r="AKF1126" s="13"/>
      <c r="AKG1126" s="13"/>
      <c r="AKH1126" s="13"/>
      <c r="AKI1126" s="13"/>
      <c r="AKJ1126" s="13"/>
      <c r="AKK1126" s="13"/>
      <c r="AKL1126" s="13"/>
      <c r="AKM1126" s="13"/>
      <c r="AKN1126" s="13"/>
      <c r="AKO1126" s="13"/>
      <c r="AKP1126" s="13"/>
      <c r="AKQ1126" s="13"/>
      <c r="AKR1126" s="13"/>
      <c r="AKS1126" s="13"/>
      <c r="AKT1126" s="13"/>
      <c r="AKU1126" s="13"/>
      <c r="AKV1126" s="13"/>
      <c r="AKW1126" s="13"/>
      <c r="AKX1126" s="13"/>
      <c r="AKY1126" s="13"/>
      <c r="AKZ1126" s="13"/>
      <c r="ALA1126" s="13"/>
      <c r="ALB1126" s="13"/>
      <c r="ALC1126" s="13"/>
      <c r="ALD1126" s="13"/>
      <c r="ALE1126" s="13"/>
      <c r="ALF1126" s="13"/>
      <c r="ALG1126" s="13"/>
      <c r="ALH1126" s="13"/>
      <c r="ALI1126" s="13"/>
      <c r="ALJ1126" s="13"/>
      <c r="ALK1126" s="13"/>
      <c r="ALL1126" s="13"/>
      <c r="ALM1126" s="13"/>
      <c r="ALN1126" s="13"/>
      <c r="ALO1126" s="13"/>
      <c r="ALP1126" s="13"/>
      <c r="ALQ1126" s="13"/>
      <c r="ALR1126" s="13"/>
      <c r="ALS1126" s="13"/>
      <c r="ALT1126" s="13"/>
      <c r="ALU1126" s="13"/>
      <c r="ALV1126" s="13"/>
      <c r="ALW1126" s="13"/>
      <c r="ALX1126" s="13"/>
      <c r="ALY1126" s="13"/>
      <c r="ALZ1126" s="13"/>
      <c r="AMA1126" s="13"/>
      <c r="AMB1126" s="13"/>
      <c r="AMC1126" s="13"/>
      <c r="AMD1126" s="13"/>
      <c r="AME1126" s="13"/>
      <c r="AMF1126" s="13"/>
      <c r="AMG1126" s="13"/>
      <c r="AMH1126" s="13"/>
      <c r="AMI1126" s="13"/>
      <c r="AMJ1126" s="13"/>
      <c r="AMK1126" s="13"/>
      <c r="AML1126" s="13"/>
      <c r="AMM1126" s="13"/>
      <c r="AMN1126" s="13"/>
      <c r="AMO1126" s="13"/>
      <c r="AMP1126" s="13"/>
      <c r="AMQ1126" s="13"/>
      <c r="AMR1126" s="13"/>
      <c r="AMS1126" s="13"/>
      <c r="AMT1126" s="13"/>
      <c r="AMU1126" s="13"/>
      <c r="AMV1126" s="13"/>
      <c r="AMW1126" s="13"/>
      <c r="AMX1126" s="13"/>
      <c r="AMY1126" s="13"/>
      <c r="AMZ1126" s="13"/>
      <c r="ANA1126" s="13"/>
      <c r="ANB1126" s="13"/>
      <c r="ANC1126" s="13"/>
      <c r="AND1126" s="13"/>
      <c r="ANE1126" s="13"/>
      <c r="ANF1126" s="13"/>
      <c r="ANG1126" s="13"/>
      <c r="ANH1126" s="13"/>
      <c r="ANI1126" s="13"/>
      <c r="ANJ1126" s="13"/>
      <c r="ANK1126" s="13"/>
      <c r="ANL1126" s="13"/>
      <c r="ANM1126" s="13"/>
      <c r="ANN1126" s="13"/>
      <c r="ANO1126" s="13"/>
      <c r="ANP1126" s="13"/>
      <c r="ANQ1126" s="13"/>
      <c r="ANR1126" s="13"/>
      <c r="ANS1126" s="13"/>
      <c r="ANT1126" s="13"/>
      <c r="ANU1126" s="13"/>
      <c r="ANV1126" s="13"/>
      <c r="ANW1126" s="13"/>
      <c r="ANX1126" s="13"/>
      <c r="ANY1126" s="13"/>
      <c r="ANZ1126" s="13"/>
      <c r="AOA1126" s="13"/>
      <c r="AOB1126" s="13"/>
      <c r="AOC1126" s="13"/>
      <c r="AOD1126" s="13"/>
      <c r="AOE1126" s="13"/>
      <c r="AOF1126" s="13"/>
      <c r="AOG1126" s="13"/>
      <c r="AOH1126" s="13"/>
      <c r="AOI1126" s="13"/>
      <c r="AOJ1126" s="13"/>
      <c r="AOK1126" s="13"/>
      <c r="AOL1126" s="13"/>
      <c r="AOM1126" s="13"/>
      <c r="AON1126" s="13"/>
      <c r="AOO1126" s="13"/>
      <c r="AOP1126" s="13"/>
      <c r="AOQ1126" s="13"/>
      <c r="AOR1126" s="13"/>
      <c r="AOS1126" s="13"/>
      <c r="AOT1126" s="13"/>
      <c r="AOU1126" s="13"/>
      <c r="AOV1126" s="13"/>
      <c r="AOW1126" s="13"/>
      <c r="AOX1126" s="13"/>
      <c r="AOY1126" s="13"/>
      <c r="AOZ1126" s="13"/>
      <c r="APA1126" s="13"/>
      <c r="APB1126" s="13"/>
      <c r="APC1126" s="13"/>
      <c r="APD1126" s="13"/>
      <c r="APE1126" s="13"/>
      <c r="APF1126" s="13"/>
      <c r="APG1126" s="13"/>
      <c r="APH1126" s="13"/>
      <c r="API1126" s="13"/>
      <c r="APJ1126" s="13"/>
      <c r="APK1126" s="13"/>
      <c r="APL1126" s="13"/>
      <c r="APM1126" s="13"/>
      <c r="APN1126" s="13"/>
      <c r="APO1126" s="13"/>
      <c r="APP1126" s="13"/>
      <c r="APQ1126" s="13"/>
      <c r="APR1126" s="13"/>
      <c r="APS1126" s="13"/>
      <c r="APT1126" s="13"/>
      <c r="APU1126" s="13"/>
      <c r="APV1126" s="13"/>
      <c r="APW1126" s="13"/>
      <c r="APX1126" s="13"/>
      <c r="APY1126" s="13"/>
      <c r="APZ1126" s="13"/>
      <c r="AQA1126" s="13"/>
      <c r="AQB1126" s="13"/>
      <c r="AQC1126" s="13"/>
      <c r="AQD1126" s="13"/>
      <c r="AQE1126" s="13"/>
      <c r="AQF1126" s="13"/>
      <c r="AQG1126" s="13"/>
      <c r="AQH1126" s="13"/>
      <c r="AQI1126" s="13"/>
      <c r="AQJ1126" s="13"/>
      <c r="AQK1126" s="13"/>
      <c r="AQL1126" s="13"/>
      <c r="AQM1126" s="13"/>
      <c r="AQN1126" s="13"/>
      <c r="AQO1126" s="13"/>
      <c r="AQP1126" s="13"/>
      <c r="AQQ1126" s="13"/>
      <c r="AQR1126" s="13"/>
      <c r="AQS1126" s="13"/>
      <c r="AQT1126" s="13"/>
      <c r="AQU1126" s="13"/>
      <c r="AQV1126" s="13"/>
      <c r="AQW1126" s="13"/>
      <c r="AQX1126" s="13"/>
      <c r="AQY1126" s="13"/>
      <c r="AQZ1126" s="13"/>
      <c r="ARA1126" s="13"/>
      <c r="ARB1126" s="13"/>
      <c r="ARC1126" s="13"/>
      <c r="ARD1126" s="13"/>
      <c r="ARE1126" s="13"/>
      <c r="ARF1126" s="13"/>
      <c r="ARG1126" s="13"/>
      <c r="ARH1126" s="13"/>
      <c r="ARI1126" s="13"/>
      <c r="ARJ1126" s="13"/>
      <c r="ARK1126" s="13"/>
      <c r="ARL1126" s="13"/>
      <c r="ARM1126" s="13"/>
      <c r="ARN1126" s="13"/>
      <c r="ARO1126" s="13"/>
      <c r="ARP1126" s="13"/>
      <c r="ARQ1126" s="13"/>
      <c r="ARR1126" s="13"/>
      <c r="ARS1126" s="13"/>
      <c r="ART1126" s="13"/>
      <c r="ARU1126" s="13"/>
      <c r="ARV1126" s="13"/>
      <c r="ARW1126" s="13"/>
      <c r="ARX1126" s="13"/>
      <c r="ARY1126" s="13"/>
      <c r="ARZ1126" s="13"/>
      <c r="ASA1126" s="13"/>
      <c r="ASB1126" s="13"/>
      <c r="ASC1126" s="13"/>
      <c r="ASD1126" s="13"/>
      <c r="ASE1126" s="13"/>
      <c r="ASF1126" s="13"/>
      <c r="ASG1126" s="13"/>
      <c r="ASH1126" s="13"/>
      <c r="ASI1126" s="13"/>
      <c r="ASJ1126" s="13"/>
      <c r="ASK1126" s="13"/>
      <c r="ASL1126" s="13"/>
      <c r="ASM1126" s="13"/>
      <c r="ASN1126" s="13"/>
      <c r="ASO1126" s="13"/>
      <c r="ASP1126" s="13"/>
      <c r="ASQ1126" s="13"/>
      <c r="ASR1126" s="13"/>
      <c r="ASS1126" s="13"/>
      <c r="AST1126" s="13"/>
      <c r="ASU1126" s="13"/>
      <c r="ASV1126" s="13"/>
      <c r="ASW1126" s="13"/>
      <c r="ASX1126" s="13"/>
      <c r="ASY1126" s="13"/>
      <c r="ASZ1126" s="13"/>
      <c r="ATA1126" s="13"/>
      <c r="ATB1126" s="13"/>
      <c r="ATC1126" s="13"/>
      <c r="ATD1126" s="13"/>
      <c r="ATE1126" s="13"/>
      <c r="ATF1126" s="13"/>
      <c r="ATG1126" s="13"/>
      <c r="ATH1126" s="13"/>
      <c r="ATI1126" s="13"/>
      <c r="ATJ1126" s="13"/>
      <c r="ATK1126" s="13"/>
      <c r="ATL1126" s="13"/>
      <c r="ATM1126" s="13"/>
      <c r="ATN1126" s="13"/>
      <c r="ATO1126" s="13"/>
      <c r="ATP1126" s="13"/>
      <c r="ATQ1126" s="13"/>
      <c r="ATR1126" s="13"/>
      <c r="ATS1126" s="13"/>
      <c r="ATT1126" s="13"/>
      <c r="ATU1126" s="13"/>
      <c r="ATV1126" s="13"/>
      <c r="ATW1126" s="13"/>
      <c r="ATX1126" s="13"/>
      <c r="ATY1126" s="13"/>
      <c r="ATZ1126" s="13"/>
      <c r="AUA1126" s="13"/>
      <c r="AUB1126" s="13"/>
      <c r="AUC1126" s="13"/>
      <c r="AUD1126" s="13"/>
      <c r="AUE1126" s="13"/>
      <c r="AUF1126" s="13"/>
      <c r="AUG1126" s="13"/>
      <c r="AUH1126" s="13"/>
      <c r="AUI1126" s="13"/>
      <c r="AUJ1126" s="13"/>
      <c r="AUK1126" s="13"/>
      <c r="AUL1126" s="13"/>
      <c r="AUM1126" s="13"/>
      <c r="AUN1126" s="13"/>
      <c r="AUO1126" s="13"/>
      <c r="AUP1126" s="13"/>
      <c r="AUQ1126" s="13"/>
      <c r="AUR1126" s="13"/>
      <c r="AUS1126" s="13"/>
      <c r="AUT1126" s="13"/>
      <c r="AUU1126" s="13"/>
      <c r="AUV1126" s="13"/>
      <c r="AUW1126" s="13"/>
      <c r="AUX1126" s="13"/>
      <c r="AUY1126" s="13"/>
      <c r="AUZ1126" s="13"/>
      <c r="AVA1126" s="13"/>
      <c r="AVB1126" s="13"/>
      <c r="AVC1126" s="13"/>
      <c r="AVD1126" s="13"/>
      <c r="AVE1126" s="13"/>
      <c r="AVF1126" s="13"/>
      <c r="AVG1126" s="13"/>
      <c r="AVH1126" s="13"/>
      <c r="AVI1126" s="13"/>
      <c r="AVJ1126" s="13"/>
      <c r="AVK1126" s="13"/>
      <c r="AVL1126" s="13"/>
      <c r="AVM1126" s="13"/>
      <c r="AVN1126" s="13"/>
      <c r="AVO1126" s="13"/>
      <c r="AVP1126" s="13"/>
      <c r="AVQ1126" s="13"/>
      <c r="AVR1126" s="13"/>
      <c r="AVS1126" s="13"/>
      <c r="AVT1126" s="13"/>
      <c r="AVU1126" s="13"/>
      <c r="AVV1126" s="13"/>
      <c r="AVW1126" s="13"/>
      <c r="AVX1126" s="13"/>
      <c r="AVY1126" s="13"/>
      <c r="AVZ1126" s="13"/>
      <c r="AWA1126" s="13"/>
      <c r="AWB1126" s="13"/>
      <c r="AWC1126" s="13"/>
      <c r="AWD1126" s="13"/>
      <c r="AWE1126" s="13"/>
      <c r="AWF1126" s="13"/>
      <c r="AWG1126" s="13"/>
      <c r="AWH1126" s="13"/>
      <c r="AWI1126" s="13"/>
      <c r="AWJ1126" s="13"/>
      <c r="AWK1126" s="13"/>
      <c r="AWL1126" s="13"/>
      <c r="AWM1126" s="13"/>
      <c r="AWN1126" s="13"/>
      <c r="AWO1126" s="13"/>
      <c r="AWP1126" s="13"/>
      <c r="AWQ1126" s="13"/>
      <c r="AWR1126" s="13"/>
      <c r="AWS1126" s="13"/>
      <c r="AWT1126" s="13"/>
      <c r="AWU1126" s="13"/>
      <c r="AWV1126" s="13"/>
      <c r="AWW1126" s="13"/>
      <c r="AWX1126" s="13"/>
      <c r="AWY1126" s="13"/>
      <c r="AWZ1126" s="13"/>
      <c r="AXA1126" s="13"/>
      <c r="AXB1126" s="13"/>
      <c r="AXC1126" s="13"/>
      <c r="AXD1126" s="13"/>
      <c r="AXE1126" s="13"/>
      <c r="AXF1126" s="13"/>
      <c r="AXG1126" s="13"/>
      <c r="AXH1126" s="13"/>
      <c r="AXI1126" s="13"/>
      <c r="AXJ1126" s="13"/>
      <c r="AXK1126" s="13"/>
      <c r="AXL1126" s="13"/>
      <c r="AXM1126" s="13"/>
      <c r="AXN1126" s="13"/>
      <c r="AXO1126" s="13"/>
      <c r="AXP1126" s="13"/>
      <c r="AXQ1126" s="13"/>
      <c r="AXR1126" s="13"/>
      <c r="AXS1126" s="13"/>
      <c r="AXT1126" s="13"/>
      <c r="AXU1126" s="13"/>
      <c r="AXV1126" s="13"/>
      <c r="AXW1126" s="13"/>
      <c r="AXX1126" s="13"/>
      <c r="AXY1126" s="13"/>
      <c r="AXZ1126" s="13"/>
      <c r="AYA1126" s="13"/>
      <c r="AYB1126" s="13"/>
      <c r="AYC1126" s="13"/>
      <c r="AYD1126" s="13"/>
      <c r="AYE1126" s="13"/>
      <c r="AYF1126" s="13"/>
      <c r="AYG1126" s="13"/>
      <c r="AYH1126" s="13"/>
      <c r="AYI1126" s="13"/>
      <c r="AYJ1126" s="13"/>
      <c r="AYK1126" s="13"/>
      <c r="AYL1126" s="13"/>
      <c r="AYM1126" s="13"/>
      <c r="AYN1126" s="13"/>
      <c r="AYO1126" s="13"/>
      <c r="AYP1126" s="13"/>
      <c r="AYQ1126" s="13"/>
      <c r="AYR1126" s="13"/>
      <c r="AYS1126" s="13"/>
      <c r="AYT1126" s="13"/>
      <c r="AYU1126" s="13"/>
      <c r="AYV1126" s="13"/>
      <c r="AYW1126" s="13"/>
      <c r="AYX1126" s="13"/>
      <c r="AYY1126" s="13"/>
      <c r="AYZ1126" s="13"/>
      <c r="AZA1126" s="13"/>
      <c r="AZB1126" s="13"/>
      <c r="AZC1126" s="13"/>
      <c r="AZD1126" s="13"/>
      <c r="AZE1126" s="13"/>
      <c r="AZF1126" s="13"/>
      <c r="AZG1126" s="13"/>
      <c r="AZH1126" s="13"/>
      <c r="AZI1126" s="13"/>
      <c r="AZJ1126" s="13"/>
      <c r="AZK1126" s="13"/>
      <c r="AZL1126" s="13"/>
      <c r="AZM1126" s="13"/>
      <c r="AZN1126" s="13"/>
      <c r="AZO1126" s="13"/>
      <c r="AZP1126" s="13"/>
      <c r="AZQ1126" s="13"/>
      <c r="AZR1126" s="13"/>
      <c r="AZS1126" s="13"/>
      <c r="AZT1126" s="13"/>
      <c r="AZU1126" s="13"/>
      <c r="AZV1126" s="13"/>
      <c r="AZW1126" s="13"/>
      <c r="AZX1126" s="13"/>
      <c r="AZY1126" s="13"/>
      <c r="AZZ1126" s="13"/>
      <c r="BAA1126" s="13"/>
      <c r="BAB1126" s="13"/>
      <c r="BAC1126" s="13"/>
      <c r="BAD1126" s="13"/>
      <c r="BAE1126" s="13"/>
      <c r="BAF1126" s="13"/>
      <c r="BAG1126" s="13"/>
      <c r="BAH1126" s="13"/>
      <c r="BAI1126" s="13"/>
      <c r="BAJ1126" s="13"/>
      <c r="BAK1126" s="13"/>
      <c r="BAL1126" s="13"/>
      <c r="BAM1126" s="13"/>
      <c r="BAN1126" s="13"/>
      <c r="BAO1126" s="13"/>
      <c r="BAP1126" s="13"/>
      <c r="BAQ1126" s="13"/>
      <c r="BAR1126" s="13"/>
      <c r="BAS1126" s="13"/>
      <c r="BAT1126" s="13"/>
      <c r="BAU1126" s="13"/>
      <c r="BAV1126" s="13"/>
      <c r="BAW1126" s="13"/>
      <c r="BAX1126" s="13"/>
      <c r="BAY1126" s="13"/>
      <c r="BAZ1126" s="13"/>
      <c r="BBA1126" s="13"/>
      <c r="BBB1126" s="13"/>
      <c r="BBC1126" s="13"/>
      <c r="BBD1126" s="13"/>
      <c r="BBE1126" s="13"/>
      <c r="BBF1126" s="13"/>
      <c r="BBG1126" s="13"/>
      <c r="BBH1126" s="13"/>
      <c r="BBI1126" s="13"/>
      <c r="BBJ1126" s="13"/>
      <c r="BBK1126" s="13"/>
      <c r="BBL1126" s="13"/>
      <c r="BBM1126" s="13"/>
      <c r="BBN1126" s="13"/>
      <c r="BBO1126" s="13"/>
      <c r="BBP1126" s="13"/>
      <c r="BBQ1126" s="13"/>
      <c r="BBR1126" s="13"/>
      <c r="BBS1126" s="13"/>
      <c r="BBT1126" s="13"/>
      <c r="BBU1126" s="13"/>
      <c r="BBV1126" s="13"/>
      <c r="BBW1126" s="13"/>
      <c r="BBX1126" s="13"/>
      <c r="BBY1126" s="13"/>
      <c r="BBZ1126" s="13"/>
      <c r="BCA1126" s="13"/>
      <c r="BCB1126" s="13"/>
      <c r="BCC1126" s="13"/>
      <c r="BCD1126" s="13"/>
      <c r="BCE1126" s="13"/>
      <c r="BCF1126" s="13"/>
      <c r="BCG1126" s="13"/>
      <c r="BCH1126" s="13"/>
      <c r="BCI1126" s="13"/>
      <c r="BCJ1126" s="13"/>
      <c r="BCK1126" s="13"/>
      <c r="BCL1126" s="13"/>
      <c r="BCM1126" s="13"/>
      <c r="BCN1126" s="13"/>
      <c r="BCO1126" s="13"/>
      <c r="BCP1126" s="13"/>
      <c r="BCQ1126" s="13"/>
      <c r="BCR1126" s="13"/>
      <c r="BCS1126" s="13"/>
      <c r="BCT1126" s="13"/>
      <c r="BCU1126" s="13"/>
      <c r="BCV1126" s="13"/>
      <c r="BCW1126" s="13"/>
      <c r="BCX1126" s="13"/>
      <c r="BCY1126" s="13"/>
      <c r="BCZ1126" s="13"/>
      <c r="BDA1126" s="13"/>
      <c r="BDB1126" s="13"/>
      <c r="BDC1126" s="13"/>
      <c r="BDD1126" s="13"/>
      <c r="BDE1126" s="13"/>
      <c r="BDF1126" s="13"/>
      <c r="BDG1126" s="13"/>
      <c r="BDH1126" s="13"/>
      <c r="BDI1126" s="13"/>
      <c r="BDJ1126" s="13"/>
      <c r="BDK1126" s="13"/>
      <c r="BDL1126" s="13"/>
      <c r="BDM1126" s="13"/>
      <c r="BDN1126" s="13"/>
      <c r="BDO1126" s="13"/>
      <c r="BDP1126" s="13"/>
      <c r="BDQ1126" s="13"/>
      <c r="BDR1126" s="13"/>
      <c r="BDS1126" s="13"/>
      <c r="BDT1126" s="13"/>
      <c r="BDU1126" s="13"/>
      <c r="BDV1126" s="13"/>
      <c r="BDW1126" s="13"/>
      <c r="BDX1126" s="13"/>
      <c r="BDY1126" s="13"/>
      <c r="BDZ1126" s="13"/>
      <c r="BEA1126" s="13"/>
      <c r="BEB1126" s="13"/>
      <c r="BEC1126" s="13"/>
      <c r="BED1126" s="13"/>
      <c r="BEE1126" s="13"/>
      <c r="BEF1126" s="13"/>
      <c r="BEG1126" s="13"/>
      <c r="BEH1126" s="13"/>
      <c r="BEI1126" s="13"/>
      <c r="BEJ1126" s="13"/>
      <c r="BEK1126" s="13"/>
      <c r="BEL1126" s="13"/>
      <c r="BEM1126" s="13"/>
      <c r="BEN1126" s="13"/>
      <c r="BEO1126" s="13"/>
      <c r="BEP1126" s="13"/>
      <c r="BEQ1126" s="13"/>
      <c r="BER1126" s="13"/>
      <c r="BES1126" s="13"/>
      <c r="BET1126" s="13"/>
      <c r="BEU1126" s="13"/>
      <c r="BEV1126" s="13"/>
      <c r="BEW1126" s="13"/>
      <c r="BEX1126" s="13"/>
      <c r="BEY1126" s="13"/>
      <c r="BEZ1126" s="13"/>
      <c r="BFA1126" s="13"/>
      <c r="BFB1126" s="13"/>
      <c r="BFC1126" s="13"/>
      <c r="BFD1126" s="13"/>
      <c r="BFE1126" s="13"/>
      <c r="BFF1126" s="13"/>
      <c r="BFG1126" s="13"/>
      <c r="BFH1126" s="13"/>
      <c r="BFI1126" s="13"/>
      <c r="BFJ1126" s="13"/>
      <c r="BFK1126" s="13"/>
      <c r="BFL1126" s="13"/>
      <c r="BFM1126" s="13"/>
      <c r="BFN1126" s="13"/>
      <c r="BFO1126" s="13"/>
      <c r="BFP1126" s="13"/>
      <c r="BFQ1126" s="13"/>
      <c r="BFR1126" s="13"/>
      <c r="BFS1126" s="13"/>
      <c r="BFT1126" s="13"/>
      <c r="BFU1126" s="13"/>
      <c r="BFV1126" s="13"/>
      <c r="BFW1126" s="13"/>
      <c r="BFX1126" s="13"/>
      <c r="BFY1126" s="13"/>
      <c r="BFZ1126" s="13"/>
      <c r="BGA1126" s="13"/>
      <c r="BGB1126" s="13"/>
      <c r="BGC1126" s="13"/>
      <c r="BGD1126" s="13"/>
      <c r="BGE1126" s="13"/>
      <c r="BGF1126" s="13"/>
      <c r="BGG1126" s="13"/>
      <c r="BGH1126" s="13"/>
      <c r="BGI1126" s="13"/>
      <c r="BGJ1126" s="13"/>
      <c r="BGK1126" s="13"/>
      <c r="BGL1126" s="13"/>
      <c r="BGM1126" s="13"/>
      <c r="BGN1126" s="13"/>
      <c r="BGO1126" s="13"/>
      <c r="BGP1126" s="13"/>
      <c r="BGQ1126" s="13"/>
      <c r="BGR1126" s="13"/>
      <c r="BGS1126" s="13"/>
      <c r="BGT1126" s="13"/>
      <c r="BGU1126" s="13"/>
      <c r="BGV1126" s="13"/>
      <c r="BGW1126" s="13"/>
      <c r="BGX1126" s="13"/>
      <c r="BGY1126" s="13"/>
      <c r="BGZ1126" s="13"/>
      <c r="BHA1126" s="13"/>
      <c r="BHB1126" s="13"/>
      <c r="BHC1126" s="13"/>
      <c r="BHD1126" s="13"/>
      <c r="BHE1126" s="13"/>
      <c r="BHF1126" s="13"/>
      <c r="BHG1126" s="13"/>
      <c r="BHH1126" s="13"/>
      <c r="BHI1126" s="13"/>
      <c r="BHJ1126" s="13"/>
      <c r="BHK1126" s="13"/>
      <c r="BHL1126" s="13"/>
      <c r="BHM1126" s="13"/>
      <c r="BHN1126" s="13"/>
      <c r="BHO1126" s="13"/>
      <c r="BHP1126" s="13"/>
      <c r="BHQ1126" s="13"/>
      <c r="BHR1126" s="13"/>
      <c r="BHS1126" s="13"/>
      <c r="BHT1126" s="13"/>
      <c r="BHU1126" s="13"/>
      <c r="BHV1126" s="13"/>
      <c r="BHW1126" s="13"/>
      <c r="BHX1126" s="13"/>
      <c r="BHY1126" s="13"/>
      <c r="BHZ1126" s="13"/>
      <c r="BIA1126" s="13"/>
      <c r="BIB1126" s="13"/>
      <c r="BIC1126" s="13"/>
      <c r="BID1126" s="13"/>
      <c r="BIE1126" s="13"/>
      <c r="BIF1126" s="13"/>
      <c r="BIG1126" s="13"/>
      <c r="BIH1126" s="13"/>
      <c r="BII1126" s="13"/>
      <c r="BIJ1126" s="13"/>
      <c r="BIK1126" s="13"/>
      <c r="BIL1126" s="13"/>
      <c r="BIM1126" s="13"/>
      <c r="BIN1126" s="13"/>
      <c r="BIO1126" s="13"/>
      <c r="BIP1126" s="13"/>
      <c r="BIQ1126" s="13"/>
      <c r="BIR1126" s="13"/>
      <c r="BIS1126" s="13"/>
      <c r="BIT1126" s="13"/>
      <c r="BIU1126" s="13"/>
      <c r="BIV1126" s="13"/>
      <c r="BIW1126" s="13"/>
      <c r="BIX1126" s="13"/>
      <c r="BIY1126" s="13"/>
      <c r="BIZ1126" s="13"/>
      <c r="BJA1126" s="13"/>
      <c r="BJB1126" s="13"/>
      <c r="BJC1126" s="13"/>
      <c r="BJD1126" s="13"/>
      <c r="BJE1126" s="13"/>
      <c r="BJF1126" s="13"/>
      <c r="BJG1126" s="13"/>
      <c r="BJH1126" s="13"/>
      <c r="BJI1126" s="13"/>
      <c r="BJJ1126" s="13"/>
      <c r="BJK1126" s="13"/>
      <c r="BJL1126" s="13"/>
      <c r="BJM1126" s="13"/>
      <c r="BJN1126" s="13"/>
      <c r="BJO1126" s="13"/>
      <c r="BJP1126" s="13"/>
      <c r="BJQ1126" s="13"/>
      <c r="BJR1126" s="13"/>
      <c r="BJS1126" s="13"/>
      <c r="BJT1126" s="13"/>
      <c r="BJU1126" s="13"/>
      <c r="BJV1126" s="13"/>
      <c r="BJW1126" s="13"/>
      <c r="BJX1126" s="13"/>
      <c r="BJY1126" s="13"/>
      <c r="BJZ1126" s="13"/>
      <c r="BKA1126" s="13"/>
      <c r="BKB1126" s="13"/>
      <c r="BKC1126" s="13"/>
      <c r="BKD1126" s="13"/>
      <c r="BKE1126" s="13"/>
      <c r="BKF1126" s="13"/>
      <c r="BKG1126" s="13"/>
      <c r="BKH1126" s="13"/>
      <c r="BKI1126" s="13"/>
      <c r="BKJ1126" s="13"/>
      <c r="BKK1126" s="13"/>
      <c r="BKL1126" s="13"/>
      <c r="BKM1126" s="13"/>
      <c r="BKN1126" s="13"/>
      <c r="BKO1126" s="13"/>
      <c r="BKP1126" s="13"/>
      <c r="BKQ1126" s="13"/>
      <c r="BKR1126" s="13"/>
      <c r="BKS1126" s="13"/>
      <c r="BKT1126" s="13"/>
      <c r="BKU1126" s="13"/>
      <c r="BKV1126" s="13"/>
      <c r="BKW1126" s="13"/>
      <c r="BKX1126" s="13"/>
      <c r="BKY1126" s="13"/>
      <c r="BKZ1126" s="13"/>
      <c r="BLA1126" s="13"/>
      <c r="BLB1126" s="13"/>
      <c r="BLC1126" s="13"/>
      <c r="BLD1126" s="13"/>
      <c r="BLE1126" s="13"/>
      <c r="BLF1126" s="13"/>
      <c r="BLG1126" s="13"/>
      <c r="BLH1126" s="13"/>
      <c r="BLI1126" s="13"/>
      <c r="BLJ1126" s="13"/>
      <c r="BLK1126" s="13"/>
      <c r="BLL1126" s="13"/>
      <c r="BLM1126" s="13"/>
      <c r="BLN1126" s="13"/>
      <c r="BLO1126" s="13"/>
      <c r="BLP1126" s="13"/>
      <c r="BLQ1126" s="13"/>
      <c r="BLR1126" s="13"/>
      <c r="BLS1126" s="13"/>
      <c r="BLT1126" s="13"/>
      <c r="BLU1126" s="13"/>
      <c r="BLV1126" s="13"/>
      <c r="BLW1126" s="13"/>
      <c r="BLX1126" s="13"/>
      <c r="BLY1126" s="13"/>
      <c r="BLZ1126" s="13"/>
      <c r="BMA1126" s="13"/>
      <c r="BMB1126" s="13"/>
      <c r="BMC1126" s="13"/>
      <c r="BMD1126" s="13"/>
      <c r="BME1126" s="13"/>
      <c r="BMF1126" s="13"/>
      <c r="BMG1126" s="13"/>
      <c r="BMH1126" s="13"/>
      <c r="BMI1126" s="13"/>
      <c r="BMJ1126" s="13"/>
      <c r="BMK1126" s="13"/>
      <c r="BML1126" s="13"/>
      <c r="BMM1126" s="13"/>
      <c r="BMN1126" s="13"/>
      <c r="BMO1126" s="13"/>
      <c r="BMP1126" s="13"/>
      <c r="BMQ1126" s="13"/>
      <c r="BMR1126" s="13"/>
      <c r="BMS1126" s="13"/>
      <c r="BMT1126" s="13"/>
      <c r="BMU1126" s="13"/>
      <c r="BMV1126" s="13"/>
      <c r="BMW1126" s="13"/>
      <c r="BMX1126" s="13"/>
      <c r="BMY1126" s="13"/>
      <c r="BMZ1126" s="13"/>
      <c r="BNA1126" s="13"/>
      <c r="BNB1126" s="13"/>
      <c r="BNC1126" s="13"/>
      <c r="BND1126" s="13"/>
      <c r="BNE1126" s="13"/>
      <c r="BNF1126" s="13"/>
      <c r="BNG1126" s="13"/>
      <c r="BNH1126" s="13"/>
      <c r="BNI1126" s="13"/>
      <c r="BNJ1126" s="13"/>
      <c r="BNK1126" s="13"/>
      <c r="BNL1126" s="13"/>
      <c r="BNM1126" s="13"/>
      <c r="BNN1126" s="13"/>
      <c r="BNO1126" s="13"/>
      <c r="BNP1126" s="13"/>
      <c r="BNQ1126" s="13"/>
      <c r="BNR1126" s="13"/>
      <c r="BNS1126" s="13"/>
      <c r="BNT1126" s="13"/>
      <c r="BNU1126" s="13"/>
      <c r="BNV1126" s="13"/>
      <c r="BNW1126" s="13"/>
      <c r="BNX1126" s="13"/>
      <c r="BNY1126" s="13"/>
      <c r="BNZ1126" s="13"/>
      <c r="BOA1126" s="13"/>
      <c r="BOB1126" s="13"/>
      <c r="BOC1126" s="13"/>
      <c r="BOD1126" s="13"/>
      <c r="BOE1126" s="13"/>
      <c r="BOF1126" s="13"/>
      <c r="BOG1126" s="13"/>
      <c r="BOH1126" s="13"/>
      <c r="BOI1126" s="13"/>
      <c r="BOJ1126" s="13"/>
      <c r="BOK1126" s="13"/>
      <c r="BOL1126" s="13"/>
      <c r="BOM1126" s="13"/>
      <c r="BON1126" s="13"/>
      <c r="BOO1126" s="13"/>
      <c r="BOP1126" s="13"/>
      <c r="BOQ1126" s="13"/>
      <c r="BOR1126" s="13"/>
      <c r="BOS1126" s="13"/>
      <c r="BOT1126" s="13"/>
      <c r="BOU1126" s="13"/>
      <c r="BOV1126" s="13"/>
      <c r="BOW1126" s="13"/>
      <c r="BOX1126" s="13"/>
      <c r="BOY1126" s="13"/>
      <c r="BOZ1126" s="13"/>
      <c r="BPA1126" s="13"/>
      <c r="BPB1126" s="13"/>
      <c r="BPC1126" s="13"/>
      <c r="BPD1126" s="13"/>
      <c r="BPE1126" s="13"/>
      <c r="BPF1126" s="13"/>
      <c r="BPG1126" s="13"/>
      <c r="BPH1126" s="13"/>
      <c r="BPI1126" s="13"/>
      <c r="BPJ1126" s="13"/>
      <c r="BPK1126" s="13"/>
      <c r="BPL1126" s="13"/>
      <c r="BPM1126" s="13"/>
      <c r="BPN1126" s="13"/>
      <c r="BPO1126" s="13"/>
      <c r="BPP1126" s="13"/>
      <c r="BPQ1126" s="13"/>
      <c r="BPR1126" s="13"/>
      <c r="BPS1126" s="13"/>
      <c r="BPT1126" s="13"/>
      <c r="BPU1126" s="13"/>
      <c r="BPV1126" s="13"/>
      <c r="BPW1126" s="13"/>
      <c r="BPX1126" s="13"/>
      <c r="BPY1126" s="13"/>
      <c r="BPZ1126" s="13"/>
      <c r="BQA1126" s="13"/>
      <c r="BQB1126" s="13"/>
      <c r="BQC1126" s="13"/>
      <c r="BQD1126" s="13"/>
      <c r="BQE1126" s="13"/>
      <c r="BQF1126" s="13"/>
      <c r="BQG1126" s="13"/>
      <c r="BQH1126" s="13"/>
      <c r="BQI1126" s="13"/>
      <c r="BQJ1126" s="13"/>
      <c r="BQK1126" s="13"/>
      <c r="BQL1126" s="13"/>
      <c r="BQM1126" s="13"/>
      <c r="BQN1126" s="13"/>
      <c r="BQO1126" s="13"/>
      <c r="BQP1126" s="13"/>
      <c r="BQQ1126" s="13"/>
      <c r="BQR1126" s="13"/>
      <c r="BQS1126" s="13"/>
      <c r="BQT1126" s="13"/>
      <c r="BQU1126" s="13"/>
      <c r="BQV1126" s="13"/>
      <c r="BQW1126" s="13"/>
      <c r="BQX1126" s="13"/>
      <c r="BQY1126" s="13"/>
      <c r="BQZ1126" s="13"/>
      <c r="BRA1126" s="13"/>
      <c r="BRB1126" s="13"/>
      <c r="BRC1126" s="13"/>
      <c r="BRD1126" s="13"/>
      <c r="BRE1126" s="13"/>
      <c r="BRF1126" s="13"/>
      <c r="BRG1126" s="13"/>
      <c r="BRH1126" s="13"/>
      <c r="BRI1126" s="13"/>
      <c r="BRJ1126" s="13"/>
      <c r="BRK1126" s="13"/>
      <c r="BRL1126" s="13"/>
      <c r="BRM1126" s="13"/>
      <c r="BRN1126" s="13"/>
      <c r="BRO1126" s="13"/>
      <c r="BRP1126" s="13"/>
      <c r="BRQ1126" s="13"/>
      <c r="BRR1126" s="13"/>
      <c r="BRS1126" s="13"/>
      <c r="BRT1126" s="13"/>
      <c r="BRU1126" s="13"/>
      <c r="BRV1126" s="13"/>
      <c r="BRW1126" s="13"/>
      <c r="BRX1126" s="13"/>
      <c r="BRY1126" s="13"/>
      <c r="BRZ1126" s="13"/>
      <c r="BSA1126" s="13"/>
      <c r="BSB1126" s="13"/>
      <c r="BSC1126" s="13"/>
      <c r="BSD1126" s="13"/>
      <c r="BSE1126" s="13"/>
      <c r="BSF1126" s="13"/>
      <c r="BSG1126" s="13"/>
      <c r="BSH1126" s="13"/>
      <c r="BSI1126" s="13"/>
      <c r="BSJ1126" s="13"/>
      <c r="BSK1126" s="13"/>
      <c r="BSL1126" s="13"/>
      <c r="BSM1126" s="13"/>
      <c r="BSN1126" s="13"/>
      <c r="BSO1126" s="13"/>
      <c r="BSP1126" s="13"/>
      <c r="BSQ1126" s="13"/>
      <c r="BSR1126" s="13"/>
      <c r="BSS1126" s="13"/>
      <c r="BST1126" s="13"/>
      <c r="BSU1126" s="13"/>
      <c r="BSV1126" s="13"/>
      <c r="BSW1126" s="13"/>
      <c r="BSX1126" s="13"/>
      <c r="BSY1126" s="13"/>
      <c r="BSZ1126" s="13"/>
      <c r="BTA1126" s="13"/>
    </row>
    <row r="1127" spans="1:1873" s="210" customFormat="1" x14ac:dyDescent="0.2">
      <c r="A1127" s="411" t="s">
        <v>1221</v>
      </c>
      <c r="B1127" s="574" t="s">
        <v>1169</v>
      </c>
      <c r="C1127" s="411" t="s">
        <v>158</v>
      </c>
      <c r="D1127" s="411" t="s">
        <v>619</v>
      </c>
      <c r="E1127" s="571" t="s">
        <v>1509</v>
      </c>
      <c r="F1127" s="571">
        <v>1</v>
      </c>
      <c r="G1127" s="411">
        <v>4</v>
      </c>
      <c r="H1127" s="577">
        <v>4</v>
      </c>
      <c r="I1127" s="411" t="s">
        <v>842</v>
      </c>
      <c r="J1127" s="411">
        <v>1985</v>
      </c>
      <c r="K1127" s="589" t="s">
        <v>1211</v>
      </c>
      <c r="L1127" s="411">
        <v>1988</v>
      </c>
      <c r="M1127" s="471">
        <v>-9999</v>
      </c>
      <c r="N1127" s="411">
        <v>-9999</v>
      </c>
      <c r="O1127" s="18"/>
      <c r="P1127" s="575">
        <f t="shared" si="119"/>
        <v>92.8</v>
      </c>
      <c r="Q1127" s="411">
        <v>-9999</v>
      </c>
      <c r="R1127" s="573"/>
      <c r="S1127" s="411"/>
      <c r="T1127" s="573">
        <v>23.2</v>
      </c>
      <c r="U1127" s="411">
        <v>-9999</v>
      </c>
      <c r="V1127" s="411"/>
      <c r="W1127" s="573">
        <v>-9999</v>
      </c>
      <c r="X1127" s="411">
        <v>-9999</v>
      </c>
      <c r="Y1127" s="411"/>
      <c r="Z1127" s="411" t="s">
        <v>793</v>
      </c>
      <c r="AA1127" s="411">
        <v>10000</v>
      </c>
      <c r="AB1127" s="573">
        <v>1</v>
      </c>
      <c r="AC1127" s="589">
        <v>0.36</v>
      </c>
      <c r="AD1127" s="411">
        <v>88</v>
      </c>
      <c r="AE1127" s="411" t="s">
        <v>1955</v>
      </c>
      <c r="AF1127" s="411">
        <v>3</v>
      </c>
      <c r="AG1127" s="411">
        <v>1</v>
      </c>
      <c r="AH1127" s="411" t="s">
        <v>623</v>
      </c>
      <c r="AI1127" s="411" t="s">
        <v>624</v>
      </c>
      <c r="AJ1127" s="411">
        <v>-9999</v>
      </c>
      <c r="AK1127" s="411" t="s">
        <v>626</v>
      </c>
      <c r="AL1127" s="411">
        <v>-9999</v>
      </c>
      <c r="AM1127" s="411">
        <v>-9999</v>
      </c>
      <c r="AN1127" s="411" t="s">
        <v>626</v>
      </c>
      <c r="AO1127" s="411" t="s">
        <v>847</v>
      </c>
      <c r="AP1127" s="273" t="s">
        <v>1195</v>
      </c>
      <c r="AQ1127" s="411" t="s">
        <v>631</v>
      </c>
      <c r="AR1127" s="411">
        <v>0</v>
      </c>
      <c r="AS1127" s="411">
        <v>-9999</v>
      </c>
      <c r="AT1127" s="411">
        <v>-9999</v>
      </c>
      <c r="AU1127" s="411">
        <v>0</v>
      </c>
      <c r="AV1127" s="411">
        <v>-9999</v>
      </c>
      <c r="AW1127" s="411">
        <v>-9999</v>
      </c>
      <c r="AX1127" s="411">
        <v>0</v>
      </c>
      <c r="AY1127" s="411">
        <v>-9999</v>
      </c>
      <c r="AZ1127" s="411">
        <v>-9999</v>
      </c>
      <c r="BA1127" s="411" t="s">
        <v>631</v>
      </c>
      <c r="BB1127" s="411" t="s">
        <v>626</v>
      </c>
      <c r="BC1127" s="411" t="s">
        <v>848</v>
      </c>
      <c r="BD1127" s="411" t="s">
        <v>849</v>
      </c>
      <c r="BE1127" s="411"/>
      <c r="BF1127" s="411"/>
      <c r="BG1127" s="411"/>
      <c r="BH1127" s="411"/>
      <c r="BI1127" s="411" t="s">
        <v>1190</v>
      </c>
      <c r="BJ1127" s="273">
        <v>-9999</v>
      </c>
      <c r="BK1127" s="411">
        <v>-9999</v>
      </c>
      <c r="BL1127" s="411">
        <v>11.36</v>
      </c>
      <c r="BM1127" s="411">
        <v>-9999</v>
      </c>
      <c r="BN1127" s="411">
        <v>-9999</v>
      </c>
      <c r="BO1127" s="411">
        <v>-9999</v>
      </c>
      <c r="BP1127" s="411">
        <v>-9999</v>
      </c>
      <c r="BQ1127" s="411">
        <v>-9999</v>
      </c>
      <c r="BR1127" s="411">
        <v>78.77</v>
      </c>
      <c r="BS1127" s="468">
        <v>-9999</v>
      </c>
      <c r="BT1127" s="411">
        <v>-9999</v>
      </c>
      <c r="BU1127" s="411">
        <v>84.9</v>
      </c>
      <c r="BV1127" s="411">
        <v>-9999</v>
      </c>
      <c r="BW1127" s="411"/>
      <c r="BX1127" s="411">
        <v>-9999</v>
      </c>
      <c r="BY1127" s="411">
        <v>-9999</v>
      </c>
      <c r="BZ1127" s="411">
        <v>-9999</v>
      </c>
      <c r="CA1127" s="578" t="s">
        <v>850</v>
      </c>
      <c r="CB1127" s="579" t="s">
        <v>1602</v>
      </c>
      <c r="CC1127" s="571">
        <v>1</v>
      </c>
      <c r="CD1127" s="411" t="s">
        <v>1610</v>
      </c>
      <c r="CE1127" s="393">
        <v>23.2</v>
      </c>
      <c r="CF1127" s="99">
        <v>-9999</v>
      </c>
      <c r="CG1127" s="209">
        <v>4</v>
      </c>
      <c r="CH1127" s="436" t="s">
        <v>1757</v>
      </c>
      <c r="CI1127" s="13"/>
      <c r="CJ1127" s="13"/>
      <c r="CK1127" s="13"/>
      <c r="CL1127" s="13"/>
      <c r="CM1127" s="13"/>
      <c r="CN1127" s="13"/>
      <c r="CO1127" s="13"/>
      <c r="CP1127" s="13"/>
      <c r="CQ1127" s="13"/>
      <c r="CR1127" s="13"/>
      <c r="CS1127" s="13"/>
      <c r="CT1127" s="13"/>
      <c r="CU1127" s="13"/>
      <c r="CV1127" s="13"/>
      <c r="CW1127" s="13"/>
      <c r="CX1127" s="13"/>
      <c r="CY1127" s="13"/>
      <c r="CZ1127" s="13"/>
      <c r="DA1127" s="13"/>
      <c r="DB1127" s="13"/>
      <c r="DC1127" s="13"/>
      <c r="DD1127" s="13"/>
      <c r="DE1127" s="13"/>
      <c r="DF1127" s="13"/>
      <c r="DG1127" s="13"/>
      <c r="DH1127" s="13"/>
      <c r="DI1127" s="13"/>
      <c r="DJ1127" s="13"/>
      <c r="DK1127" s="13"/>
      <c r="DL1127" s="13"/>
      <c r="DM1127" s="13"/>
      <c r="DN1127" s="13"/>
      <c r="DO1127" s="13"/>
      <c r="DP1127" s="13"/>
      <c r="DQ1127" s="13"/>
      <c r="DR1127" s="13"/>
      <c r="DS1127" s="13"/>
      <c r="DT1127" s="13"/>
      <c r="DU1127" s="13"/>
      <c r="DV1127" s="13"/>
      <c r="DW1127" s="13"/>
      <c r="DX1127" s="13"/>
      <c r="DY1127" s="13"/>
      <c r="DZ1127" s="13"/>
      <c r="EA1127" s="13"/>
      <c r="EB1127" s="13"/>
      <c r="EC1127" s="13"/>
      <c r="ED1127" s="13"/>
      <c r="EE1127" s="13"/>
      <c r="EF1127" s="13"/>
      <c r="EG1127" s="13"/>
      <c r="EH1127" s="13"/>
      <c r="EI1127" s="13"/>
      <c r="EJ1127" s="13"/>
      <c r="EK1127" s="13"/>
      <c r="EL1127" s="13"/>
      <c r="EM1127" s="13"/>
      <c r="EN1127" s="13"/>
      <c r="EO1127" s="13"/>
      <c r="EP1127" s="13"/>
      <c r="EQ1127" s="13"/>
      <c r="ER1127" s="13"/>
      <c r="ES1127" s="13"/>
      <c r="ET1127" s="13"/>
      <c r="EU1127" s="13"/>
      <c r="EV1127" s="13"/>
      <c r="EW1127" s="13"/>
      <c r="EX1127" s="13"/>
      <c r="EY1127" s="13"/>
      <c r="EZ1127" s="13"/>
      <c r="FA1127" s="13"/>
      <c r="FB1127" s="13"/>
      <c r="FC1127" s="13"/>
      <c r="FD1127" s="13"/>
      <c r="FE1127" s="13"/>
      <c r="FF1127" s="13"/>
      <c r="FG1127" s="13"/>
      <c r="FH1127" s="13"/>
      <c r="FI1127" s="13"/>
      <c r="FJ1127" s="13"/>
      <c r="FK1127" s="13"/>
      <c r="FL1127" s="13"/>
      <c r="FM1127" s="13"/>
      <c r="FN1127" s="13"/>
      <c r="FO1127" s="13"/>
      <c r="FP1127" s="13"/>
      <c r="FQ1127" s="13"/>
      <c r="FR1127" s="13"/>
      <c r="FS1127" s="13"/>
      <c r="FT1127" s="13"/>
      <c r="FU1127" s="13"/>
      <c r="FV1127" s="13"/>
      <c r="FW1127" s="13"/>
      <c r="FX1127" s="13"/>
      <c r="FY1127" s="13"/>
      <c r="FZ1127" s="13"/>
      <c r="GA1127" s="13"/>
      <c r="GB1127" s="13"/>
      <c r="GC1127" s="13"/>
      <c r="GD1127" s="13"/>
      <c r="GE1127" s="13"/>
      <c r="GF1127" s="13"/>
      <c r="GG1127" s="13"/>
      <c r="GH1127" s="13"/>
      <c r="GI1127" s="13"/>
      <c r="GJ1127" s="13"/>
      <c r="GK1127" s="13"/>
      <c r="GL1127" s="13"/>
      <c r="GM1127" s="13"/>
      <c r="GN1127" s="13"/>
      <c r="GO1127" s="13"/>
      <c r="GP1127" s="13"/>
      <c r="GQ1127" s="13"/>
      <c r="GR1127" s="13"/>
      <c r="GS1127" s="13"/>
      <c r="GT1127" s="13"/>
      <c r="GU1127" s="13"/>
      <c r="GV1127" s="13"/>
      <c r="GW1127" s="13"/>
      <c r="GX1127" s="13"/>
      <c r="GY1127" s="13"/>
      <c r="GZ1127" s="13"/>
      <c r="HA1127" s="13"/>
      <c r="HB1127" s="13"/>
      <c r="HC1127" s="13"/>
      <c r="HD1127" s="13"/>
      <c r="HE1127" s="13"/>
      <c r="HF1127" s="13"/>
      <c r="HG1127" s="13"/>
      <c r="HH1127" s="13"/>
      <c r="HI1127" s="13"/>
      <c r="HJ1127" s="13"/>
      <c r="HK1127" s="13"/>
      <c r="HL1127" s="13"/>
      <c r="HM1127" s="13"/>
      <c r="HN1127" s="13"/>
      <c r="HO1127" s="13"/>
      <c r="HP1127" s="13"/>
      <c r="HQ1127" s="13"/>
      <c r="HR1127" s="13"/>
      <c r="HS1127" s="13"/>
      <c r="HT1127" s="13"/>
      <c r="HU1127" s="13"/>
      <c r="HV1127" s="13"/>
      <c r="HW1127" s="13"/>
      <c r="HX1127" s="13"/>
      <c r="HY1127" s="13"/>
      <c r="HZ1127" s="13"/>
      <c r="IA1127" s="13"/>
      <c r="IB1127" s="13"/>
      <c r="IC1127" s="13"/>
      <c r="ID1127" s="13"/>
      <c r="IE1127" s="13"/>
      <c r="IF1127" s="13"/>
      <c r="IG1127" s="13"/>
      <c r="IH1127" s="13"/>
      <c r="II1127" s="13"/>
      <c r="IJ1127" s="13"/>
      <c r="IK1127" s="13"/>
      <c r="IL1127" s="13"/>
      <c r="IM1127" s="13"/>
      <c r="IN1127" s="13"/>
      <c r="IO1127" s="13"/>
      <c r="IP1127" s="13"/>
      <c r="IQ1127" s="13"/>
      <c r="IR1127" s="13"/>
      <c r="IS1127" s="13"/>
      <c r="IT1127" s="13"/>
      <c r="IU1127" s="13"/>
      <c r="IV1127" s="13"/>
      <c r="IW1127" s="13"/>
      <c r="IX1127" s="13"/>
      <c r="IY1127" s="13"/>
      <c r="IZ1127" s="13"/>
      <c r="JA1127" s="13"/>
      <c r="JB1127" s="13"/>
      <c r="JC1127" s="13"/>
      <c r="JD1127" s="13"/>
      <c r="JE1127" s="13"/>
      <c r="JF1127" s="13"/>
      <c r="JG1127" s="13"/>
      <c r="JH1127" s="13"/>
      <c r="JI1127" s="13"/>
      <c r="JJ1127" s="13"/>
      <c r="JK1127" s="13"/>
      <c r="JL1127" s="13"/>
      <c r="JM1127" s="13"/>
      <c r="JN1127" s="13"/>
      <c r="JO1127" s="13"/>
      <c r="JP1127" s="13"/>
      <c r="JQ1127" s="13"/>
      <c r="JR1127" s="13"/>
      <c r="JS1127" s="13"/>
      <c r="JT1127" s="13"/>
      <c r="JU1127" s="13"/>
      <c r="JV1127" s="13"/>
      <c r="JW1127" s="13"/>
      <c r="JX1127" s="13"/>
      <c r="JY1127" s="13"/>
      <c r="JZ1127" s="13"/>
      <c r="KA1127" s="13"/>
      <c r="KB1127" s="13"/>
      <c r="KC1127" s="13"/>
      <c r="KD1127" s="13"/>
      <c r="KE1127" s="13"/>
      <c r="KF1127" s="13"/>
      <c r="KG1127" s="13"/>
      <c r="KH1127" s="13"/>
      <c r="KI1127" s="13"/>
      <c r="KJ1127" s="13"/>
      <c r="KK1127" s="13"/>
      <c r="KL1127" s="13"/>
      <c r="KM1127" s="13"/>
      <c r="KN1127" s="13"/>
      <c r="KO1127" s="13"/>
      <c r="KP1127" s="13"/>
      <c r="KQ1127" s="13"/>
      <c r="KR1127" s="13"/>
      <c r="KS1127" s="13"/>
      <c r="KT1127" s="13"/>
      <c r="KU1127" s="13"/>
      <c r="KV1127" s="13"/>
      <c r="KW1127" s="13"/>
      <c r="KX1127" s="13"/>
      <c r="KY1127" s="13"/>
      <c r="KZ1127" s="13"/>
      <c r="LA1127" s="13"/>
      <c r="LB1127" s="13"/>
      <c r="LC1127" s="13"/>
      <c r="LD1127" s="13"/>
      <c r="LE1127" s="13"/>
      <c r="LF1127" s="13"/>
      <c r="LG1127" s="13"/>
      <c r="LH1127" s="13"/>
      <c r="LI1127" s="13"/>
      <c r="LJ1127" s="13"/>
      <c r="LK1127" s="13"/>
      <c r="LL1127" s="13"/>
      <c r="LM1127" s="13"/>
      <c r="LN1127" s="13"/>
      <c r="LO1127" s="13"/>
      <c r="LP1127" s="13"/>
      <c r="LQ1127" s="13"/>
      <c r="LR1127" s="13"/>
      <c r="LS1127" s="13"/>
      <c r="LT1127" s="13"/>
      <c r="LU1127" s="13"/>
      <c r="LV1127" s="13"/>
      <c r="LW1127" s="13"/>
      <c r="LX1127" s="13"/>
      <c r="LY1127" s="13"/>
      <c r="LZ1127" s="13"/>
      <c r="MA1127" s="13"/>
      <c r="MB1127" s="13"/>
      <c r="MC1127" s="13"/>
      <c r="MD1127" s="13"/>
      <c r="ME1127" s="13"/>
      <c r="MF1127" s="13"/>
      <c r="MG1127" s="13"/>
      <c r="MH1127" s="13"/>
      <c r="MI1127" s="13"/>
      <c r="MJ1127" s="13"/>
      <c r="MK1127" s="13"/>
      <c r="ML1127" s="13"/>
      <c r="MM1127" s="13"/>
      <c r="MN1127" s="13"/>
      <c r="MO1127" s="13"/>
      <c r="MP1127" s="13"/>
      <c r="MQ1127" s="13"/>
      <c r="MR1127" s="13"/>
      <c r="MS1127" s="13"/>
      <c r="MT1127" s="13"/>
      <c r="MU1127" s="13"/>
      <c r="MV1127" s="13"/>
      <c r="MW1127" s="13"/>
      <c r="MX1127" s="13"/>
      <c r="MY1127" s="13"/>
      <c r="MZ1127" s="13"/>
      <c r="NA1127" s="13"/>
      <c r="NB1127" s="13"/>
      <c r="NC1127" s="13"/>
      <c r="ND1127" s="13"/>
      <c r="NE1127" s="13"/>
      <c r="NF1127" s="13"/>
      <c r="NG1127" s="13"/>
      <c r="NH1127" s="13"/>
      <c r="NI1127" s="13"/>
      <c r="NJ1127" s="13"/>
      <c r="NK1127" s="13"/>
      <c r="NL1127" s="13"/>
      <c r="NM1127" s="13"/>
      <c r="NN1127" s="13"/>
      <c r="NO1127" s="13"/>
      <c r="NP1127" s="13"/>
      <c r="NQ1127" s="13"/>
      <c r="NR1127" s="13"/>
      <c r="NS1127" s="13"/>
      <c r="NT1127" s="13"/>
      <c r="NU1127" s="13"/>
      <c r="NV1127" s="13"/>
      <c r="NW1127" s="13"/>
      <c r="NX1127" s="13"/>
      <c r="NY1127" s="13"/>
      <c r="NZ1127" s="13"/>
      <c r="OA1127" s="13"/>
      <c r="OB1127" s="13"/>
      <c r="OC1127" s="13"/>
      <c r="OD1127" s="13"/>
      <c r="OE1127" s="13"/>
      <c r="OF1127" s="13"/>
      <c r="OG1127" s="13"/>
      <c r="OH1127" s="13"/>
      <c r="OI1127" s="13"/>
      <c r="OJ1127" s="13"/>
      <c r="OK1127" s="13"/>
      <c r="OL1127" s="13"/>
      <c r="OM1127" s="13"/>
      <c r="ON1127" s="13"/>
      <c r="OO1127" s="13"/>
      <c r="OP1127" s="13"/>
      <c r="OQ1127" s="13"/>
      <c r="OR1127" s="13"/>
      <c r="OS1127" s="13"/>
      <c r="OT1127" s="13"/>
      <c r="OU1127" s="13"/>
      <c r="OV1127" s="13"/>
      <c r="OW1127" s="13"/>
      <c r="OX1127" s="13"/>
      <c r="OY1127" s="13"/>
      <c r="OZ1127" s="13"/>
      <c r="PA1127" s="13"/>
      <c r="PB1127" s="13"/>
      <c r="PC1127" s="13"/>
      <c r="PD1127" s="13"/>
      <c r="PE1127" s="13"/>
      <c r="PF1127" s="13"/>
      <c r="PG1127" s="13"/>
      <c r="PH1127" s="13"/>
      <c r="PI1127" s="13"/>
      <c r="PJ1127" s="13"/>
      <c r="PK1127" s="13"/>
      <c r="PL1127" s="13"/>
      <c r="PM1127" s="13"/>
      <c r="PN1127" s="13"/>
      <c r="PO1127" s="13"/>
      <c r="PP1127" s="13"/>
      <c r="PQ1127" s="13"/>
      <c r="PR1127" s="13"/>
      <c r="PS1127" s="13"/>
      <c r="PT1127" s="13"/>
      <c r="PU1127" s="13"/>
      <c r="PV1127" s="13"/>
      <c r="PW1127" s="13"/>
      <c r="PX1127" s="13"/>
      <c r="PY1127" s="13"/>
      <c r="PZ1127" s="13"/>
      <c r="QA1127" s="13"/>
      <c r="QB1127" s="13"/>
      <c r="QC1127" s="13"/>
      <c r="QD1127" s="13"/>
      <c r="QE1127" s="13"/>
      <c r="QF1127" s="13"/>
      <c r="QG1127" s="13"/>
      <c r="QH1127" s="13"/>
      <c r="QI1127" s="13"/>
      <c r="QJ1127" s="13"/>
      <c r="QK1127" s="13"/>
      <c r="QL1127" s="13"/>
      <c r="QM1127" s="13"/>
      <c r="QN1127" s="13"/>
      <c r="QO1127" s="13"/>
      <c r="QP1127" s="13"/>
      <c r="QQ1127" s="13"/>
      <c r="QR1127" s="13"/>
      <c r="QS1127" s="13"/>
      <c r="QT1127" s="13"/>
      <c r="QU1127" s="13"/>
      <c r="QV1127" s="13"/>
      <c r="QW1127" s="13"/>
      <c r="QX1127" s="13"/>
      <c r="QY1127" s="13"/>
      <c r="QZ1127" s="13"/>
      <c r="RA1127" s="13"/>
      <c r="RB1127" s="13"/>
      <c r="RC1127" s="13"/>
      <c r="RD1127" s="13"/>
      <c r="RE1127" s="13"/>
      <c r="RF1127" s="13"/>
      <c r="RG1127" s="13"/>
      <c r="RH1127" s="13"/>
      <c r="RI1127" s="13"/>
      <c r="RJ1127" s="13"/>
      <c r="RK1127" s="13"/>
      <c r="RL1127" s="13"/>
      <c r="RM1127" s="13"/>
      <c r="RN1127" s="13"/>
      <c r="RO1127" s="13"/>
      <c r="RP1127" s="13"/>
      <c r="RQ1127" s="13"/>
      <c r="RR1127" s="13"/>
      <c r="RS1127" s="13"/>
      <c r="RT1127" s="13"/>
      <c r="RU1127" s="13"/>
      <c r="RV1127" s="13"/>
      <c r="RW1127" s="13"/>
      <c r="RX1127" s="13"/>
      <c r="RY1127" s="13"/>
      <c r="RZ1127" s="13"/>
      <c r="SA1127" s="13"/>
      <c r="SB1127" s="13"/>
      <c r="SC1127" s="13"/>
      <c r="SD1127" s="13"/>
      <c r="SE1127" s="13"/>
      <c r="SF1127" s="13"/>
      <c r="SG1127" s="13"/>
      <c r="SH1127" s="13"/>
      <c r="SI1127" s="13"/>
      <c r="SJ1127" s="13"/>
      <c r="SK1127" s="13"/>
      <c r="SL1127" s="13"/>
      <c r="SM1127" s="13"/>
      <c r="SN1127" s="13"/>
      <c r="SO1127" s="13"/>
      <c r="SP1127" s="13"/>
      <c r="SQ1127" s="13"/>
      <c r="SR1127" s="13"/>
      <c r="SS1127" s="13"/>
      <c r="ST1127" s="13"/>
      <c r="SU1127" s="13"/>
      <c r="SV1127" s="13"/>
      <c r="SW1127" s="13"/>
      <c r="SX1127" s="13"/>
      <c r="SY1127" s="13"/>
      <c r="SZ1127" s="13"/>
      <c r="TA1127" s="13"/>
      <c r="TB1127" s="13"/>
      <c r="TC1127" s="13"/>
      <c r="TD1127" s="13"/>
      <c r="TE1127" s="13"/>
      <c r="TF1127" s="13"/>
      <c r="TG1127" s="13"/>
      <c r="TH1127" s="13"/>
      <c r="TI1127" s="13"/>
      <c r="TJ1127" s="13"/>
      <c r="TK1127" s="13"/>
      <c r="TL1127" s="13"/>
      <c r="TM1127" s="13"/>
      <c r="TN1127" s="13"/>
      <c r="TO1127" s="13"/>
      <c r="TP1127" s="13"/>
      <c r="TQ1127" s="13"/>
      <c r="TR1127" s="13"/>
      <c r="TS1127" s="13"/>
      <c r="TT1127" s="13"/>
      <c r="TU1127" s="13"/>
      <c r="TV1127" s="13"/>
      <c r="TW1127" s="13"/>
      <c r="TX1127" s="13"/>
      <c r="TY1127" s="13"/>
      <c r="TZ1127" s="13"/>
      <c r="UA1127" s="13"/>
      <c r="UB1127" s="13"/>
      <c r="UC1127" s="13"/>
      <c r="UD1127" s="13"/>
      <c r="UE1127" s="13"/>
      <c r="UF1127" s="13"/>
      <c r="UG1127" s="13"/>
      <c r="UH1127" s="13"/>
      <c r="UI1127" s="13"/>
      <c r="UJ1127" s="13"/>
      <c r="UK1127" s="13"/>
      <c r="UL1127" s="13"/>
      <c r="UM1127" s="13"/>
      <c r="UN1127" s="13"/>
      <c r="UO1127" s="13"/>
      <c r="UP1127" s="13"/>
      <c r="UQ1127" s="13"/>
      <c r="UR1127" s="13"/>
      <c r="US1127" s="13"/>
      <c r="UT1127" s="13"/>
      <c r="UU1127" s="13"/>
      <c r="UV1127" s="13"/>
      <c r="UW1127" s="13"/>
      <c r="UX1127" s="13"/>
      <c r="UY1127" s="13"/>
      <c r="UZ1127" s="13"/>
      <c r="VA1127" s="13"/>
      <c r="VB1127" s="13"/>
      <c r="VC1127" s="13"/>
      <c r="VD1127" s="13"/>
      <c r="VE1127" s="13"/>
      <c r="VF1127" s="13"/>
      <c r="VG1127" s="13"/>
      <c r="VH1127" s="13"/>
      <c r="VI1127" s="13"/>
      <c r="VJ1127" s="13"/>
      <c r="VK1127" s="13"/>
      <c r="VL1127" s="13"/>
      <c r="VM1127" s="13"/>
      <c r="VN1127" s="13"/>
      <c r="VO1127" s="13"/>
      <c r="VP1127" s="13"/>
      <c r="VQ1127" s="13"/>
      <c r="VR1127" s="13"/>
      <c r="VS1127" s="13"/>
      <c r="VT1127" s="13"/>
      <c r="VU1127" s="13"/>
      <c r="VV1127" s="13"/>
      <c r="VW1127" s="13"/>
      <c r="VX1127" s="13"/>
      <c r="VY1127" s="13"/>
      <c r="VZ1127" s="13"/>
      <c r="WA1127" s="13"/>
      <c r="WB1127" s="13"/>
      <c r="WC1127" s="13"/>
      <c r="WD1127" s="13"/>
      <c r="WE1127" s="13"/>
      <c r="WF1127" s="13"/>
      <c r="WG1127" s="13"/>
      <c r="WH1127" s="13"/>
      <c r="WI1127" s="13"/>
      <c r="WJ1127" s="13"/>
      <c r="WK1127" s="13"/>
      <c r="WL1127" s="13"/>
      <c r="WM1127" s="13"/>
      <c r="WN1127" s="13"/>
      <c r="WO1127" s="13"/>
      <c r="WP1127" s="13"/>
      <c r="WQ1127" s="13"/>
      <c r="WR1127" s="13"/>
      <c r="WS1127" s="13"/>
      <c r="WT1127" s="13"/>
      <c r="WU1127" s="13"/>
      <c r="WV1127" s="13"/>
      <c r="WW1127" s="13"/>
      <c r="WX1127" s="13"/>
      <c r="WY1127" s="13"/>
      <c r="WZ1127" s="13"/>
      <c r="XA1127" s="13"/>
      <c r="XB1127" s="13"/>
      <c r="XC1127" s="13"/>
      <c r="XD1127" s="13"/>
      <c r="XE1127" s="13"/>
      <c r="XF1127" s="13"/>
      <c r="XG1127" s="13"/>
      <c r="XH1127" s="13"/>
      <c r="XI1127" s="13"/>
      <c r="XJ1127" s="13"/>
      <c r="XK1127" s="13"/>
      <c r="XL1127" s="13"/>
      <c r="XM1127" s="13"/>
      <c r="XN1127" s="13"/>
      <c r="XO1127" s="13"/>
      <c r="XP1127" s="13"/>
      <c r="XQ1127" s="13"/>
      <c r="XR1127" s="13"/>
      <c r="XS1127" s="13"/>
      <c r="XT1127" s="13"/>
      <c r="XU1127" s="13"/>
      <c r="XV1127" s="13"/>
      <c r="XW1127" s="13"/>
      <c r="XX1127" s="13"/>
      <c r="XY1127" s="13"/>
      <c r="XZ1127" s="13"/>
      <c r="YA1127" s="13"/>
      <c r="YB1127" s="13"/>
      <c r="YC1127" s="13"/>
      <c r="YD1127" s="13"/>
      <c r="YE1127" s="13"/>
      <c r="YF1127" s="13"/>
      <c r="YG1127" s="13"/>
      <c r="YH1127" s="13"/>
      <c r="YI1127" s="13"/>
      <c r="YJ1127" s="13"/>
      <c r="YK1127" s="13"/>
      <c r="YL1127" s="13"/>
      <c r="YM1127" s="13"/>
      <c r="YN1127" s="13"/>
      <c r="YO1127" s="13"/>
      <c r="YP1127" s="13"/>
      <c r="YQ1127" s="13"/>
      <c r="YR1127" s="13"/>
      <c r="YS1127" s="13"/>
      <c r="YT1127" s="13"/>
      <c r="YU1127" s="13"/>
      <c r="YV1127" s="13"/>
      <c r="YW1127" s="13"/>
      <c r="YX1127" s="13"/>
      <c r="YY1127" s="13"/>
      <c r="YZ1127" s="13"/>
      <c r="ZA1127" s="13"/>
      <c r="ZB1127" s="13"/>
      <c r="ZC1127" s="13"/>
      <c r="ZD1127" s="13"/>
      <c r="ZE1127" s="13"/>
      <c r="ZF1127" s="13"/>
      <c r="ZG1127" s="13"/>
      <c r="ZH1127" s="13"/>
      <c r="ZI1127" s="13"/>
      <c r="ZJ1127" s="13"/>
      <c r="ZK1127" s="13"/>
      <c r="ZL1127" s="13"/>
      <c r="ZM1127" s="13"/>
      <c r="ZN1127" s="13"/>
      <c r="ZO1127" s="13"/>
      <c r="ZP1127" s="13"/>
      <c r="ZQ1127" s="13"/>
      <c r="ZR1127" s="13"/>
      <c r="ZS1127" s="13"/>
      <c r="ZT1127" s="13"/>
      <c r="ZU1127" s="13"/>
      <c r="ZV1127" s="13"/>
      <c r="ZW1127" s="13"/>
      <c r="ZX1127" s="13"/>
      <c r="ZY1127" s="13"/>
      <c r="ZZ1127" s="13"/>
      <c r="AAA1127" s="13"/>
      <c r="AAB1127" s="13"/>
      <c r="AAC1127" s="13"/>
      <c r="AAD1127" s="13"/>
      <c r="AAE1127" s="13"/>
      <c r="AAF1127" s="13"/>
      <c r="AAG1127" s="13"/>
      <c r="AAH1127" s="13"/>
      <c r="AAI1127" s="13"/>
      <c r="AAJ1127" s="13"/>
      <c r="AAK1127" s="13"/>
      <c r="AAL1127" s="13"/>
      <c r="AAM1127" s="13"/>
      <c r="AAN1127" s="13"/>
      <c r="AAO1127" s="13"/>
      <c r="AAP1127" s="13"/>
      <c r="AAQ1127" s="13"/>
      <c r="AAR1127" s="13"/>
      <c r="AAS1127" s="13"/>
      <c r="AAT1127" s="13"/>
      <c r="AAU1127" s="13"/>
      <c r="AAV1127" s="13"/>
      <c r="AAW1127" s="13"/>
      <c r="AAX1127" s="13"/>
      <c r="AAY1127" s="13"/>
      <c r="AAZ1127" s="13"/>
      <c r="ABA1127" s="13"/>
      <c r="ABB1127" s="13"/>
      <c r="ABC1127" s="13"/>
      <c r="ABD1127" s="13"/>
      <c r="ABE1127" s="13"/>
      <c r="ABF1127" s="13"/>
      <c r="ABG1127" s="13"/>
      <c r="ABH1127" s="13"/>
      <c r="ABI1127" s="13"/>
      <c r="ABJ1127" s="13"/>
      <c r="ABK1127" s="13"/>
      <c r="ABL1127" s="13"/>
      <c r="ABM1127" s="13"/>
      <c r="ABN1127" s="13"/>
      <c r="ABO1127" s="13"/>
      <c r="ABP1127" s="13"/>
      <c r="ABQ1127" s="13"/>
      <c r="ABR1127" s="13"/>
      <c r="ABS1127" s="13"/>
      <c r="ABT1127" s="13"/>
      <c r="ABU1127" s="13"/>
      <c r="ABV1127" s="13"/>
      <c r="ABW1127" s="13"/>
      <c r="ABX1127" s="13"/>
      <c r="ABY1127" s="13"/>
      <c r="ABZ1127" s="13"/>
      <c r="ACA1127" s="13"/>
      <c r="ACB1127" s="13"/>
      <c r="ACC1127" s="13"/>
      <c r="ACD1127" s="13"/>
      <c r="ACE1127" s="13"/>
      <c r="ACF1127" s="13"/>
      <c r="ACG1127" s="13"/>
      <c r="ACH1127" s="13"/>
      <c r="ACI1127" s="13"/>
      <c r="ACJ1127" s="13"/>
      <c r="ACK1127" s="13"/>
      <c r="ACL1127" s="13"/>
      <c r="ACM1127" s="13"/>
      <c r="ACN1127" s="13"/>
      <c r="ACO1127" s="13"/>
      <c r="ACP1127" s="13"/>
      <c r="ACQ1127" s="13"/>
      <c r="ACR1127" s="13"/>
      <c r="ACS1127" s="13"/>
      <c r="ACT1127" s="13"/>
      <c r="ACU1127" s="13"/>
      <c r="ACV1127" s="13"/>
      <c r="ACW1127" s="13"/>
      <c r="ACX1127" s="13"/>
      <c r="ACY1127" s="13"/>
      <c r="ACZ1127" s="13"/>
      <c r="ADA1127" s="13"/>
      <c r="ADB1127" s="13"/>
      <c r="ADC1127" s="13"/>
      <c r="ADD1127" s="13"/>
      <c r="ADE1127" s="13"/>
      <c r="ADF1127" s="13"/>
      <c r="ADG1127" s="13"/>
      <c r="ADH1127" s="13"/>
      <c r="ADI1127" s="13"/>
      <c r="ADJ1127" s="13"/>
      <c r="ADK1127" s="13"/>
      <c r="ADL1127" s="13"/>
      <c r="ADM1127" s="13"/>
      <c r="ADN1127" s="13"/>
      <c r="ADO1127" s="13"/>
      <c r="ADP1127" s="13"/>
      <c r="ADQ1127" s="13"/>
      <c r="ADR1127" s="13"/>
      <c r="ADS1127" s="13"/>
      <c r="ADT1127" s="13"/>
      <c r="ADU1127" s="13"/>
      <c r="ADV1127" s="13"/>
      <c r="ADW1127" s="13"/>
      <c r="ADX1127" s="13"/>
      <c r="ADY1127" s="13"/>
      <c r="ADZ1127" s="13"/>
      <c r="AEA1127" s="13"/>
      <c r="AEB1127" s="13"/>
      <c r="AEC1127" s="13"/>
      <c r="AED1127" s="13"/>
      <c r="AEE1127" s="13"/>
      <c r="AEF1127" s="13"/>
      <c r="AEG1127" s="13"/>
      <c r="AEH1127" s="13"/>
      <c r="AEI1127" s="13"/>
      <c r="AEJ1127" s="13"/>
      <c r="AEK1127" s="13"/>
      <c r="AEL1127" s="13"/>
      <c r="AEM1127" s="13"/>
      <c r="AEN1127" s="13"/>
      <c r="AEO1127" s="13"/>
      <c r="AEP1127" s="13"/>
      <c r="AEQ1127" s="13"/>
      <c r="AER1127" s="13"/>
      <c r="AES1127" s="13"/>
      <c r="AET1127" s="13"/>
      <c r="AEU1127" s="13"/>
      <c r="AEV1127" s="13"/>
      <c r="AEW1127" s="13"/>
      <c r="AEX1127" s="13"/>
      <c r="AEY1127" s="13"/>
      <c r="AEZ1127" s="13"/>
      <c r="AFA1127" s="13"/>
      <c r="AFB1127" s="13"/>
      <c r="AFC1127" s="13"/>
      <c r="AFD1127" s="13"/>
      <c r="AFE1127" s="13"/>
      <c r="AFF1127" s="13"/>
      <c r="AFG1127" s="13"/>
      <c r="AFH1127" s="13"/>
      <c r="AFI1127" s="13"/>
      <c r="AFJ1127" s="13"/>
      <c r="AFK1127" s="13"/>
      <c r="AFL1127" s="13"/>
      <c r="AFM1127" s="13"/>
      <c r="AFN1127" s="13"/>
      <c r="AFO1127" s="13"/>
      <c r="AFP1127" s="13"/>
      <c r="AFQ1127" s="13"/>
      <c r="AFR1127" s="13"/>
      <c r="AFS1127" s="13"/>
      <c r="AFT1127" s="13"/>
      <c r="AFU1127" s="13"/>
      <c r="AFV1127" s="13"/>
      <c r="AFW1127" s="13"/>
      <c r="AFX1127" s="13"/>
      <c r="AFY1127" s="13"/>
      <c r="AFZ1127" s="13"/>
      <c r="AGA1127" s="13"/>
      <c r="AGB1127" s="13"/>
      <c r="AGC1127" s="13"/>
      <c r="AGD1127" s="13"/>
      <c r="AGE1127" s="13"/>
      <c r="AGF1127" s="13"/>
      <c r="AGG1127" s="13"/>
      <c r="AGH1127" s="13"/>
      <c r="AGI1127" s="13"/>
      <c r="AGJ1127" s="13"/>
      <c r="AGK1127" s="13"/>
      <c r="AGL1127" s="13"/>
      <c r="AGM1127" s="13"/>
      <c r="AGN1127" s="13"/>
      <c r="AGO1127" s="13"/>
      <c r="AGP1127" s="13"/>
      <c r="AGQ1127" s="13"/>
      <c r="AGR1127" s="13"/>
      <c r="AGS1127" s="13"/>
      <c r="AGT1127" s="13"/>
      <c r="AGU1127" s="13"/>
      <c r="AGV1127" s="13"/>
      <c r="AGW1127" s="13"/>
      <c r="AGX1127" s="13"/>
      <c r="AGY1127" s="13"/>
      <c r="AGZ1127" s="13"/>
      <c r="AHA1127" s="13"/>
      <c r="AHB1127" s="13"/>
      <c r="AHC1127" s="13"/>
      <c r="AHD1127" s="13"/>
      <c r="AHE1127" s="13"/>
      <c r="AHF1127" s="13"/>
      <c r="AHG1127" s="13"/>
      <c r="AHH1127" s="13"/>
      <c r="AHI1127" s="13"/>
      <c r="AHJ1127" s="13"/>
      <c r="AHK1127" s="13"/>
      <c r="AHL1127" s="13"/>
      <c r="AHM1127" s="13"/>
      <c r="AHN1127" s="13"/>
      <c r="AHO1127" s="13"/>
      <c r="AHP1127" s="13"/>
      <c r="AHQ1127" s="13"/>
      <c r="AHR1127" s="13"/>
      <c r="AHS1127" s="13"/>
      <c r="AHT1127" s="13"/>
      <c r="AHU1127" s="13"/>
      <c r="AHV1127" s="13"/>
      <c r="AHW1127" s="13"/>
      <c r="AHX1127" s="13"/>
      <c r="AHY1127" s="13"/>
      <c r="AHZ1127" s="13"/>
      <c r="AIA1127" s="13"/>
      <c r="AIB1127" s="13"/>
      <c r="AIC1127" s="13"/>
      <c r="AID1127" s="13"/>
      <c r="AIE1127" s="13"/>
      <c r="AIF1127" s="13"/>
      <c r="AIG1127" s="13"/>
      <c r="AIH1127" s="13"/>
      <c r="AII1127" s="13"/>
      <c r="AIJ1127" s="13"/>
      <c r="AIK1127" s="13"/>
      <c r="AIL1127" s="13"/>
      <c r="AIM1127" s="13"/>
      <c r="AIN1127" s="13"/>
      <c r="AIO1127" s="13"/>
      <c r="AIP1127" s="13"/>
      <c r="AIQ1127" s="13"/>
      <c r="AIR1127" s="13"/>
      <c r="AIS1127" s="13"/>
      <c r="AIT1127" s="13"/>
      <c r="AIU1127" s="13"/>
      <c r="AIV1127" s="13"/>
      <c r="AIW1127" s="13"/>
      <c r="AIX1127" s="13"/>
      <c r="AIY1127" s="13"/>
      <c r="AIZ1127" s="13"/>
      <c r="AJA1127" s="13"/>
      <c r="AJB1127" s="13"/>
      <c r="AJC1127" s="13"/>
      <c r="AJD1127" s="13"/>
      <c r="AJE1127" s="13"/>
      <c r="AJF1127" s="13"/>
      <c r="AJG1127" s="13"/>
      <c r="AJH1127" s="13"/>
      <c r="AJI1127" s="13"/>
      <c r="AJJ1127" s="13"/>
      <c r="AJK1127" s="13"/>
      <c r="AJL1127" s="13"/>
      <c r="AJM1127" s="13"/>
      <c r="AJN1127" s="13"/>
      <c r="AJO1127" s="13"/>
      <c r="AJP1127" s="13"/>
      <c r="AJQ1127" s="13"/>
      <c r="AJR1127" s="13"/>
      <c r="AJS1127" s="13"/>
      <c r="AJT1127" s="13"/>
      <c r="AJU1127" s="13"/>
      <c r="AJV1127" s="13"/>
      <c r="AJW1127" s="13"/>
      <c r="AJX1127" s="13"/>
      <c r="AJY1127" s="13"/>
      <c r="AJZ1127" s="13"/>
      <c r="AKA1127" s="13"/>
      <c r="AKB1127" s="13"/>
      <c r="AKC1127" s="13"/>
      <c r="AKD1127" s="13"/>
      <c r="AKE1127" s="13"/>
      <c r="AKF1127" s="13"/>
      <c r="AKG1127" s="13"/>
      <c r="AKH1127" s="13"/>
      <c r="AKI1127" s="13"/>
      <c r="AKJ1127" s="13"/>
      <c r="AKK1127" s="13"/>
      <c r="AKL1127" s="13"/>
      <c r="AKM1127" s="13"/>
      <c r="AKN1127" s="13"/>
      <c r="AKO1127" s="13"/>
      <c r="AKP1127" s="13"/>
      <c r="AKQ1127" s="13"/>
      <c r="AKR1127" s="13"/>
      <c r="AKS1127" s="13"/>
      <c r="AKT1127" s="13"/>
      <c r="AKU1127" s="13"/>
      <c r="AKV1127" s="13"/>
      <c r="AKW1127" s="13"/>
      <c r="AKX1127" s="13"/>
      <c r="AKY1127" s="13"/>
      <c r="AKZ1127" s="13"/>
      <c r="ALA1127" s="13"/>
      <c r="ALB1127" s="13"/>
      <c r="ALC1127" s="13"/>
      <c r="ALD1127" s="13"/>
      <c r="ALE1127" s="13"/>
      <c r="ALF1127" s="13"/>
      <c r="ALG1127" s="13"/>
      <c r="ALH1127" s="13"/>
      <c r="ALI1127" s="13"/>
      <c r="ALJ1127" s="13"/>
      <c r="ALK1127" s="13"/>
      <c r="ALL1127" s="13"/>
      <c r="ALM1127" s="13"/>
      <c r="ALN1127" s="13"/>
      <c r="ALO1127" s="13"/>
      <c r="ALP1127" s="13"/>
      <c r="ALQ1127" s="13"/>
      <c r="ALR1127" s="13"/>
      <c r="ALS1127" s="13"/>
      <c r="ALT1127" s="13"/>
      <c r="ALU1127" s="13"/>
      <c r="ALV1127" s="13"/>
      <c r="ALW1127" s="13"/>
      <c r="ALX1127" s="13"/>
      <c r="ALY1127" s="13"/>
      <c r="ALZ1127" s="13"/>
      <c r="AMA1127" s="13"/>
      <c r="AMB1127" s="13"/>
      <c r="AMC1127" s="13"/>
      <c r="AMD1127" s="13"/>
      <c r="AME1127" s="13"/>
      <c r="AMF1127" s="13"/>
      <c r="AMG1127" s="13"/>
      <c r="AMH1127" s="13"/>
      <c r="AMI1127" s="13"/>
      <c r="AMJ1127" s="13"/>
      <c r="AMK1127" s="13"/>
      <c r="AML1127" s="13"/>
      <c r="AMM1127" s="13"/>
      <c r="AMN1127" s="13"/>
      <c r="AMO1127" s="13"/>
      <c r="AMP1127" s="13"/>
      <c r="AMQ1127" s="13"/>
      <c r="AMR1127" s="13"/>
      <c r="AMS1127" s="13"/>
      <c r="AMT1127" s="13"/>
      <c r="AMU1127" s="13"/>
      <c r="AMV1127" s="13"/>
      <c r="AMW1127" s="13"/>
      <c r="AMX1127" s="13"/>
      <c r="AMY1127" s="13"/>
      <c r="AMZ1127" s="13"/>
      <c r="ANA1127" s="13"/>
      <c r="ANB1127" s="13"/>
      <c r="ANC1127" s="13"/>
      <c r="AND1127" s="13"/>
      <c r="ANE1127" s="13"/>
      <c r="ANF1127" s="13"/>
      <c r="ANG1127" s="13"/>
      <c r="ANH1127" s="13"/>
      <c r="ANI1127" s="13"/>
      <c r="ANJ1127" s="13"/>
      <c r="ANK1127" s="13"/>
      <c r="ANL1127" s="13"/>
      <c r="ANM1127" s="13"/>
      <c r="ANN1127" s="13"/>
      <c r="ANO1127" s="13"/>
      <c r="ANP1127" s="13"/>
      <c r="ANQ1127" s="13"/>
      <c r="ANR1127" s="13"/>
      <c r="ANS1127" s="13"/>
      <c r="ANT1127" s="13"/>
      <c r="ANU1127" s="13"/>
      <c r="ANV1127" s="13"/>
      <c r="ANW1127" s="13"/>
      <c r="ANX1127" s="13"/>
      <c r="ANY1127" s="13"/>
      <c r="ANZ1127" s="13"/>
      <c r="AOA1127" s="13"/>
      <c r="AOB1127" s="13"/>
      <c r="AOC1127" s="13"/>
      <c r="AOD1127" s="13"/>
      <c r="AOE1127" s="13"/>
      <c r="AOF1127" s="13"/>
      <c r="AOG1127" s="13"/>
      <c r="AOH1127" s="13"/>
      <c r="AOI1127" s="13"/>
      <c r="AOJ1127" s="13"/>
      <c r="AOK1127" s="13"/>
      <c r="AOL1127" s="13"/>
      <c r="AOM1127" s="13"/>
      <c r="AON1127" s="13"/>
      <c r="AOO1127" s="13"/>
      <c r="AOP1127" s="13"/>
      <c r="AOQ1127" s="13"/>
      <c r="AOR1127" s="13"/>
      <c r="AOS1127" s="13"/>
      <c r="AOT1127" s="13"/>
      <c r="AOU1127" s="13"/>
      <c r="AOV1127" s="13"/>
      <c r="AOW1127" s="13"/>
      <c r="AOX1127" s="13"/>
      <c r="AOY1127" s="13"/>
      <c r="AOZ1127" s="13"/>
      <c r="APA1127" s="13"/>
      <c r="APB1127" s="13"/>
      <c r="APC1127" s="13"/>
      <c r="APD1127" s="13"/>
      <c r="APE1127" s="13"/>
      <c r="APF1127" s="13"/>
      <c r="APG1127" s="13"/>
      <c r="APH1127" s="13"/>
      <c r="API1127" s="13"/>
      <c r="APJ1127" s="13"/>
      <c r="APK1127" s="13"/>
      <c r="APL1127" s="13"/>
      <c r="APM1127" s="13"/>
      <c r="APN1127" s="13"/>
      <c r="APO1127" s="13"/>
      <c r="APP1127" s="13"/>
      <c r="APQ1127" s="13"/>
      <c r="APR1127" s="13"/>
      <c r="APS1127" s="13"/>
      <c r="APT1127" s="13"/>
      <c r="APU1127" s="13"/>
      <c r="APV1127" s="13"/>
      <c r="APW1127" s="13"/>
      <c r="APX1127" s="13"/>
      <c r="APY1127" s="13"/>
      <c r="APZ1127" s="13"/>
      <c r="AQA1127" s="13"/>
      <c r="AQB1127" s="13"/>
      <c r="AQC1127" s="13"/>
      <c r="AQD1127" s="13"/>
      <c r="AQE1127" s="13"/>
      <c r="AQF1127" s="13"/>
      <c r="AQG1127" s="13"/>
      <c r="AQH1127" s="13"/>
      <c r="AQI1127" s="13"/>
      <c r="AQJ1127" s="13"/>
      <c r="AQK1127" s="13"/>
      <c r="AQL1127" s="13"/>
      <c r="AQM1127" s="13"/>
      <c r="AQN1127" s="13"/>
      <c r="AQO1127" s="13"/>
      <c r="AQP1127" s="13"/>
      <c r="AQQ1127" s="13"/>
      <c r="AQR1127" s="13"/>
      <c r="AQS1127" s="13"/>
      <c r="AQT1127" s="13"/>
      <c r="AQU1127" s="13"/>
      <c r="AQV1127" s="13"/>
      <c r="AQW1127" s="13"/>
      <c r="AQX1127" s="13"/>
      <c r="AQY1127" s="13"/>
      <c r="AQZ1127" s="13"/>
      <c r="ARA1127" s="13"/>
      <c r="ARB1127" s="13"/>
      <c r="ARC1127" s="13"/>
      <c r="ARD1127" s="13"/>
      <c r="ARE1127" s="13"/>
      <c r="ARF1127" s="13"/>
      <c r="ARG1127" s="13"/>
      <c r="ARH1127" s="13"/>
      <c r="ARI1127" s="13"/>
      <c r="ARJ1127" s="13"/>
      <c r="ARK1127" s="13"/>
      <c r="ARL1127" s="13"/>
      <c r="ARM1127" s="13"/>
      <c r="ARN1127" s="13"/>
      <c r="ARO1127" s="13"/>
      <c r="ARP1127" s="13"/>
      <c r="ARQ1127" s="13"/>
      <c r="ARR1127" s="13"/>
      <c r="ARS1127" s="13"/>
      <c r="ART1127" s="13"/>
      <c r="ARU1127" s="13"/>
      <c r="ARV1127" s="13"/>
      <c r="ARW1127" s="13"/>
      <c r="ARX1127" s="13"/>
      <c r="ARY1127" s="13"/>
      <c r="ARZ1127" s="13"/>
      <c r="ASA1127" s="13"/>
      <c r="ASB1127" s="13"/>
      <c r="ASC1127" s="13"/>
      <c r="ASD1127" s="13"/>
      <c r="ASE1127" s="13"/>
      <c r="ASF1127" s="13"/>
      <c r="ASG1127" s="13"/>
      <c r="ASH1127" s="13"/>
      <c r="ASI1127" s="13"/>
      <c r="ASJ1127" s="13"/>
      <c r="ASK1127" s="13"/>
      <c r="ASL1127" s="13"/>
      <c r="ASM1127" s="13"/>
      <c r="ASN1127" s="13"/>
      <c r="ASO1127" s="13"/>
      <c r="ASP1127" s="13"/>
      <c r="ASQ1127" s="13"/>
      <c r="ASR1127" s="13"/>
      <c r="ASS1127" s="13"/>
      <c r="AST1127" s="13"/>
      <c r="ASU1127" s="13"/>
      <c r="ASV1127" s="13"/>
      <c r="ASW1127" s="13"/>
      <c r="ASX1127" s="13"/>
      <c r="ASY1127" s="13"/>
      <c r="ASZ1127" s="13"/>
      <c r="ATA1127" s="13"/>
      <c r="ATB1127" s="13"/>
      <c r="ATC1127" s="13"/>
      <c r="ATD1127" s="13"/>
      <c r="ATE1127" s="13"/>
      <c r="ATF1127" s="13"/>
      <c r="ATG1127" s="13"/>
      <c r="ATH1127" s="13"/>
      <c r="ATI1127" s="13"/>
      <c r="ATJ1127" s="13"/>
      <c r="ATK1127" s="13"/>
      <c r="ATL1127" s="13"/>
      <c r="ATM1127" s="13"/>
      <c r="ATN1127" s="13"/>
      <c r="ATO1127" s="13"/>
      <c r="ATP1127" s="13"/>
      <c r="ATQ1127" s="13"/>
      <c r="ATR1127" s="13"/>
      <c r="ATS1127" s="13"/>
      <c r="ATT1127" s="13"/>
      <c r="ATU1127" s="13"/>
      <c r="ATV1127" s="13"/>
      <c r="ATW1127" s="13"/>
      <c r="ATX1127" s="13"/>
      <c r="ATY1127" s="13"/>
      <c r="ATZ1127" s="13"/>
      <c r="AUA1127" s="13"/>
      <c r="AUB1127" s="13"/>
      <c r="AUC1127" s="13"/>
      <c r="AUD1127" s="13"/>
      <c r="AUE1127" s="13"/>
      <c r="AUF1127" s="13"/>
      <c r="AUG1127" s="13"/>
      <c r="AUH1127" s="13"/>
      <c r="AUI1127" s="13"/>
      <c r="AUJ1127" s="13"/>
      <c r="AUK1127" s="13"/>
      <c r="AUL1127" s="13"/>
      <c r="AUM1127" s="13"/>
      <c r="AUN1127" s="13"/>
      <c r="AUO1127" s="13"/>
      <c r="AUP1127" s="13"/>
      <c r="AUQ1127" s="13"/>
      <c r="AUR1127" s="13"/>
      <c r="AUS1127" s="13"/>
      <c r="AUT1127" s="13"/>
      <c r="AUU1127" s="13"/>
      <c r="AUV1127" s="13"/>
      <c r="AUW1127" s="13"/>
      <c r="AUX1127" s="13"/>
      <c r="AUY1127" s="13"/>
      <c r="AUZ1127" s="13"/>
      <c r="AVA1127" s="13"/>
      <c r="AVB1127" s="13"/>
      <c r="AVC1127" s="13"/>
      <c r="AVD1127" s="13"/>
      <c r="AVE1127" s="13"/>
      <c r="AVF1127" s="13"/>
      <c r="AVG1127" s="13"/>
      <c r="AVH1127" s="13"/>
      <c r="AVI1127" s="13"/>
      <c r="AVJ1127" s="13"/>
      <c r="AVK1127" s="13"/>
      <c r="AVL1127" s="13"/>
      <c r="AVM1127" s="13"/>
      <c r="AVN1127" s="13"/>
      <c r="AVO1127" s="13"/>
      <c r="AVP1127" s="13"/>
      <c r="AVQ1127" s="13"/>
      <c r="AVR1127" s="13"/>
      <c r="AVS1127" s="13"/>
      <c r="AVT1127" s="13"/>
      <c r="AVU1127" s="13"/>
      <c r="AVV1127" s="13"/>
      <c r="AVW1127" s="13"/>
      <c r="AVX1127" s="13"/>
      <c r="AVY1127" s="13"/>
      <c r="AVZ1127" s="13"/>
      <c r="AWA1127" s="13"/>
      <c r="AWB1127" s="13"/>
      <c r="AWC1127" s="13"/>
      <c r="AWD1127" s="13"/>
      <c r="AWE1127" s="13"/>
      <c r="AWF1127" s="13"/>
      <c r="AWG1127" s="13"/>
      <c r="AWH1127" s="13"/>
      <c r="AWI1127" s="13"/>
      <c r="AWJ1127" s="13"/>
      <c r="AWK1127" s="13"/>
      <c r="AWL1127" s="13"/>
      <c r="AWM1127" s="13"/>
      <c r="AWN1127" s="13"/>
      <c r="AWO1127" s="13"/>
      <c r="AWP1127" s="13"/>
      <c r="AWQ1127" s="13"/>
      <c r="AWR1127" s="13"/>
      <c r="AWS1127" s="13"/>
      <c r="AWT1127" s="13"/>
      <c r="AWU1127" s="13"/>
      <c r="AWV1127" s="13"/>
      <c r="AWW1127" s="13"/>
      <c r="AWX1127" s="13"/>
      <c r="AWY1127" s="13"/>
      <c r="AWZ1127" s="13"/>
      <c r="AXA1127" s="13"/>
      <c r="AXB1127" s="13"/>
      <c r="AXC1127" s="13"/>
      <c r="AXD1127" s="13"/>
      <c r="AXE1127" s="13"/>
      <c r="AXF1127" s="13"/>
      <c r="AXG1127" s="13"/>
      <c r="AXH1127" s="13"/>
      <c r="AXI1127" s="13"/>
      <c r="AXJ1127" s="13"/>
      <c r="AXK1127" s="13"/>
      <c r="AXL1127" s="13"/>
      <c r="AXM1127" s="13"/>
      <c r="AXN1127" s="13"/>
      <c r="AXO1127" s="13"/>
      <c r="AXP1127" s="13"/>
      <c r="AXQ1127" s="13"/>
      <c r="AXR1127" s="13"/>
      <c r="AXS1127" s="13"/>
      <c r="AXT1127" s="13"/>
      <c r="AXU1127" s="13"/>
      <c r="AXV1127" s="13"/>
      <c r="AXW1127" s="13"/>
      <c r="AXX1127" s="13"/>
      <c r="AXY1127" s="13"/>
      <c r="AXZ1127" s="13"/>
      <c r="AYA1127" s="13"/>
      <c r="AYB1127" s="13"/>
      <c r="AYC1127" s="13"/>
      <c r="AYD1127" s="13"/>
      <c r="AYE1127" s="13"/>
      <c r="AYF1127" s="13"/>
      <c r="AYG1127" s="13"/>
      <c r="AYH1127" s="13"/>
      <c r="AYI1127" s="13"/>
      <c r="AYJ1127" s="13"/>
      <c r="AYK1127" s="13"/>
      <c r="AYL1127" s="13"/>
      <c r="AYM1127" s="13"/>
      <c r="AYN1127" s="13"/>
      <c r="AYO1127" s="13"/>
      <c r="AYP1127" s="13"/>
      <c r="AYQ1127" s="13"/>
      <c r="AYR1127" s="13"/>
      <c r="AYS1127" s="13"/>
      <c r="AYT1127" s="13"/>
      <c r="AYU1127" s="13"/>
      <c r="AYV1127" s="13"/>
      <c r="AYW1127" s="13"/>
      <c r="AYX1127" s="13"/>
      <c r="AYY1127" s="13"/>
      <c r="AYZ1127" s="13"/>
      <c r="AZA1127" s="13"/>
      <c r="AZB1127" s="13"/>
      <c r="AZC1127" s="13"/>
      <c r="AZD1127" s="13"/>
      <c r="AZE1127" s="13"/>
      <c r="AZF1127" s="13"/>
      <c r="AZG1127" s="13"/>
      <c r="AZH1127" s="13"/>
      <c r="AZI1127" s="13"/>
      <c r="AZJ1127" s="13"/>
      <c r="AZK1127" s="13"/>
      <c r="AZL1127" s="13"/>
      <c r="AZM1127" s="13"/>
      <c r="AZN1127" s="13"/>
      <c r="AZO1127" s="13"/>
      <c r="AZP1127" s="13"/>
      <c r="AZQ1127" s="13"/>
      <c r="AZR1127" s="13"/>
      <c r="AZS1127" s="13"/>
      <c r="AZT1127" s="13"/>
      <c r="AZU1127" s="13"/>
      <c r="AZV1127" s="13"/>
      <c r="AZW1127" s="13"/>
      <c r="AZX1127" s="13"/>
      <c r="AZY1127" s="13"/>
      <c r="AZZ1127" s="13"/>
      <c r="BAA1127" s="13"/>
      <c r="BAB1127" s="13"/>
      <c r="BAC1127" s="13"/>
      <c r="BAD1127" s="13"/>
      <c r="BAE1127" s="13"/>
      <c r="BAF1127" s="13"/>
      <c r="BAG1127" s="13"/>
      <c r="BAH1127" s="13"/>
      <c r="BAI1127" s="13"/>
      <c r="BAJ1127" s="13"/>
      <c r="BAK1127" s="13"/>
      <c r="BAL1127" s="13"/>
      <c r="BAM1127" s="13"/>
      <c r="BAN1127" s="13"/>
      <c r="BAO1127" s="13"/>
      <c r="BAP1127" s="13"/>
      <c r="BAQ1127" s="13"/>
      <c r="BAR1127" s="13"/>
      <c r="BAS1127" s="13"/>
      <c r="BAT1127" s="13"/>
      <c r="BAU1127" s="13"/>
      <c r="BAV1127" s="13"/>
      <c r="BAW1127" s="13"/>
      <c r="BAX1127" s="13"/>
      <c r="BAY1127" s="13"/>
      <c r="BAZ1127" s="13"/>
      <c r="BBA1127" s="13"/>
      <c r="BBB1127" s="13"/>
      <c r="BBC1127" s="13"/>
      <c r="BBD1127" s="13"/>
      <c r="BBE1127" s="13"/>
      <c r="BBF1127" s="13"/>
      <c r="BBG1127" s="13"/>
      <c r="BBH1127" s="13"/>
      <c r="BBI1127" s="13"/>
      <c r="BBJ1127" s="13"/>
      <c r="BBK1127" s="13"/>
      <c r="BBL1127" s="13"/>
      <c r="BBM1127" s="13"/>
      <c r="BBN1127" s="13"/>
      <c r="BBO1127" s="13"/>
      <c r="BBP1127" s="13"/>
      <c r="BBQ1127" s="13"/>
      <c r="BBR1127" s="13"/>
      <c r="BBS1127" s="13"/>
      <c r="BBT1127" s="13"/>
      <c r="BBU1127" s="13"/>
      <c r="BBV1127" s="13"/>
      <c r="BBW1127" s="13"/>
      <c r="BBX1127" s="13"/>
      <c r="BBY1127" s="13"/>
      <c r="BBZ1127" s="13"/>
      <c r="BCA1127" s="13"/>
      <c r="BCB1127" s="13"/>
      <c r="BCC1127" s="13"/>
      <c r="BCD1127" s="13"/>
      <c r="BCE1127" s="13"/>
      <c r="BCF1127" s="13"/>
      <c r="BCG1127" s="13"/>
      <c r="BCH1127" s="13"/>
      <c r="BCI1127" s="13"/>
      <c r="BCJ1127" s="13"/>
      <c r="BCK1127" s="13"/>
      <c r="BCL1127" s="13"/>
      <c r="BCM1127" s="13"/>
      <c r="BCN1127" s="13"/>
      <c r="BCO1127" s="13"/>
      <c r="BCP1127" s="13"/>
      <c r="BCQ1127" s="13"/>
      <c r="BCR1127" s="13"/>
      <c r="BCS1127" s="13"/>
      <c r="BCT1127" s="13"/>
      <c r="BCU1127" s="13"/>
      <c r="BCV1127" s="13"/>
      <c r="BCW1127" s="13"/>
      <c r="BCX1127" s="13"/>
      <c r="BCY1127" s="13"/>
      <c r="BCZ1127" s="13"/>
      <c r="BDA1127" s="13"/>
      <c r="BDB1127" s="13"/>
      <c r="BDC1127" s="13"/>
      <c r="BDD1127" s="13"/>
      <c r="BDE1127" s="13"/>
      <c r="BDF1127" s="13"/>
      <c r="BDG1127" s="13"/>
      <c r="BDH1127" s="13"/>
      <c r="BDI1127" s="13"/>
      <c r="BDJ1127" s="13"/>
      <c r="BDK1127" s="13"/>
      <c r="BDL1127" s="13"/>
      <c r="BDM1127" s="13"/>
      <c r="BDN1127" s="13"/>
      <c r="BDO1127" s="13"/>
      <c r="BDP1127" s="13"/>
      <c r="BDQ1127" s="13"/>
      <c r="BDR1127" s="13"/>
      <c r="BDS1127" s="13"/>
      <c r="BDT1127" s="13"/>
      <c r="BDU1127" s="13"/>
      <c r="BDV1127" s="13"/>
      <c r="BDW1127" s="13"/>
      <c r="BDX1127" s="13"/>
      <c r="BDY1127" s="13"/>
      <c r="BDZ1127" s="13"/>
      <c r="BEA1127" s="13"/>
      <c r="BEB1127" s="13"/>
      <c r="BEC1127" s="13"/>
      <c r="BED1127" s="13"/>
      <c r="BEE1127" s="13"/>
      <c r="BEF1127" s="13"/>
      <c r="BEG1127" s="13"/>
      <c r="BEH1127" s="13"/>
      <c r="BEI1127" s="13"/>
      <c r="BEJ1127" s="13"/>
      <c r="BEK1127" s="13"/>
      <c r="BEL1127" s="13"/>
      <c r="BEM1127" s="13"/>
      <c r="BEN1127" s="13"/>
      <c r="BEO1127" s="13"/>
      <c r="BEP1127" s="13"/>
      <c r="BEQ1127" s="13"/>
      <c r="BER1127" s="13"/>
      <c r="BES1127" s="13"/>
      <c r="BET1127" s="13"/>
      <c r="BEU1127" s="13"/>
      <c r="BEV1127" s="13"/>
      <c r="BEW1127" s="13"/>
      <c r="BEX1127" s="13"/>
      <c r="BEY1127" s="13"/>
      <c r="BEZ1127" s="13"/>
      <c r="BFA1127" s="13"/>
      <c r="BFB1127" s="13"/>
      <c r="BFC1127" s="13"/>
      <c r="BFD1127" s="13"/>
      <c r="BFE1127" s="13"/>
      <c r="BFF1127" s="13"/>
      <c r="BFG1127" s="13"/>
      <c r="BFH1127" s="13"/>
      <c r="BFI1127" s="13"/>
      <c r="BFJ1127" s="13"/>
      <c r="BFK1127" s="13"/>
      <c r="BFL1127" s="13"/>
      <c r="BFM1127" s="13"/>
      <c r="BFN1127" s="13"/>
      <c r="BFO1127" s="13"/>
      <c r="BFP1127" s="13"/>
      <c r="BFQ1127" s="13"/>
      <c r="BFR1127" s="13"/>
      <c r="BFS1127" s="13"/>
      <c r="BFT1127" s="13"/>
      <c r="BFU1127" s="13"/>
      <c r="BFV1127" s="13"/>
      <c r="BFW1127" s="13"/>
      <c r="BFX1127" s="13"/>
      <c r="BFY1127" s="13"/>
      <c r="BFZ1127" s="13"/>
      <c r="BGA1127" s="13"/>
      <c r="BGB1127" s="13"/>
      <c r="BGC1127" s="13"/>
      <c r="BGD1127" s="13"/>
      <c r="BGE1127" s="13"/>
      <c r="BGF1127" s="13"/>
      <c r="BGG1127" s="13"/>
      <c r="BGH1127" s="13"/>
      <c r="BGI1127" s="13"/>
      <c r="BGJ1127" s="13"/>
      <c r="BGK1127" s="13"/>
      <c r="BGL1127" s="13"/>
      <c r="BGM1127" s="13"/>
      <c r="BGN1127" s="13"/>
      <c r="BGO1127" s="13"/>
      <c r="BGP1127" s="13"/>
      <c r="BGQ1127" s="13"/>
      <c r="BGR1127" s="13"/>
      <c r="BGS1127" s="13"/>
      <c r="BGT1127" s="13"/>
      <c r="BGU1127" s="13"/>
      <c r="BGV1127" s="13"/>
      <c r="BGW1127" s="13"/>
      <c r="BGX1127" s="13"/>
      <c r="BGY1127" s="13"/>
      <c r="BGZ1127" s="13"/>
      <c r="BHA1127" s="13"/>
      <c r="BHB1127" s="13"/>
      <c r="BHC1127" s="13"/>
      <c r="BHD1127" s="13"/>
      <c r="BHE1127" s="13"/>
      <c r="BHF1127" s="13"/>
      <c r="BHG1127" s="13"/>
      <c r="BHH1127" s="13"/>
      <c r="BHI1127" s="13"/>
      <c r="BHJ1127" s="13"/>
      <c r="BHK1127" s="13"/>
      <c r="BHL1127" s="13"/>
      <c r="BHM1127" s="13"/>
      <c r="BHN1127" s="13"/>
      <c r="BHO1127" s="13"/>
      <c r="BHP1127" s="13"/>
      <c r="BHQ1127" s="13"/>
      <c r="BHR1127" s="13"/>
      <c r="BHS1127" s="13"/>
      <c r="BHT1127" s="13"/>
      <c r="BHU1127" s="13"/>
      <c r="BHV1127" s="13"/>
      <c r="BHW1127" s="13"/>
      <c r="BHX1127" s="13"/>
      <c r="BHY1127" s="13"/>
      <c r="BHZ1127" s="13"/>
      <c r="BIA1127" s="13"/>
      <c r="BIB1127" s="13"/>
      <c r="BIC1127" s="13"/>
      <c r="BID1127" s="13"/>
      <c r="BIE1127" s="13"/>
      <c r="BIF1127" s="13"/>
      <c r="BIG1127" s="13"/>
      <c r="BIH1127" s="13"/>
      <c r="BII1127" s="13"/>
      <c r="BIJ1127" s="13"/>
      <c r="BIK1127" s="13"/>
      <c r="BIL1127" s="13"/>
      <c r="BIM1127" s="13"/>
      <c r="BIN1127" s="13"/>
      <c r="BIO1127" s="13"/>
      <c r="BIP1127" s="13"/>
      <c r="BIQ1127" s="13"/>
      <c r="BIR1127" s="13"/>
      <c r="BIS1127" s="13"/>
      <c r="BIT1127" s="13"/>
      <c r="BIU1127" s="13"/>
      <c r="BIV1127" s="13"/>
      <c r="BIW1127" s="13"/>
      <c r="BIX1127" s="13"/>
      <c r="BIY1127" s="13"/>
      <c r="BIZ1127" s="13"/>
      <c r="BJA1127" s="13"/>
      <c r="BJB1127" s="13"/>
      <c r="BJC1127" s="13"/>
      <c r="BJD1127" s="13"/>
      <c r="BJE1127" s="13"/>
      <c r="BJF1127" s="13"/>
      <c r="BJG1127" s="13"/>
      <c r="BJH1127" s="13"/>
      <c r="BJI1127" s="13"/>
      <c r="BJJ1127" s="13"/>
      <c r="BJK1127" s="13"/>
      <c r="BJL1127" s="13"/>
      <c r="BJM1127" s="13"/>
      <c r="BJN1127" s="13"/>
      <c r="BJO1127" s="13"/>
      <c r="BJP1127" s="13"/>
      <c r="BJQ1127" s="13"/>
      <c r="BJR1127" s="13"/>
      <c r="BJS1127" s="13"/>
      <c r="BJT1127" s="13"/>
      <c r="BJU1127" s="13"/>
      <c r="BJV1127" s="13"/>
      <c r="BJW1127" s="13"/>
      <c r="BJX1127" s="13"/>
      <c r="BJY1127" s="13"/>
      <c r="BJZ1127" s="13"/>
      <c r="BKA1127" s="13"/>
      <c r="BKB1127" s="13"/>
      <c r="BKC1127" s="13"/>
      <c r="BKD1127" s="13"/>
      <c r="BKE1127" s="13"/>
      <c r="BKF1127" s="13"/>
      <c r="BKG1127" s="13"/>
      <c r="BKH1127" s="13"/>
      <c r="BKI1127" s="13"/>
      <c r="BKJ1127" s="13"/>
      <c r="BKK1127" s="13"/>
      <c r="BKL1127" s="13"/>
      <c r="BKM1127" s="13"/>
      <c r="BKN1127" s="13"/>
      <c r="BKO1127" s="13"/>
      <c r="BKP1127" s="13"/>
      <c r="BKQ1127" s="13"/>
      <c r="BKR1127" s="13"/>
      <c r="BKS1127" s="13"/>
      <c r="BKT1127" s="13"/>
      <c r="BKU1127" s="13"/>
      <c r="BKV1127" s="13"/>
      <c r="BKW1127" s="13"/>
      <c r="BKX1127" s="13"/>
      <c r="BKY1127" s="13"/>
      <c r="BKZ1127" s="13"/>
      <c r="BLA1127" s="13"/>
      <c r="BLB1127" s="13"/>
      <c r="BLC1127" s="13"/>
      <c r="BLD1127" s="13"/>
      <c r="BLE1127" s="13"/>
      <c r="BLF1127" s="13"/>
      <c r="BLG1127" s="13"/>
      <c r="BLH1127" s="13"/>
      <c r="BLI1127" s="13"/>
      <c r="BLJ1127" s="13"/>
      <c r="BLK1127" s="13"/>
      <c r="BLL1127" s="13"/>
      <c r="BLM1127" s="13"/>
      <c r="BLN1127" s="13"/>
      <c r="BLO1127" s="13"/>
      <c r="BLP1127" s="13"/>
      <c r="BLQ1127" s="13"/>
      <c r="BLR1127" s="13"/>
      <c r="BLS1127" s="13"/>
      <c r="BLT1127" s="13"/>
      <c r="BLU1127" s="13"/>
      <c r="BLV1127" s="13"/>
      <c r="BLW1127" s="13"/>
      <c r="BLX1127" s="13"/>
      <c r="BLY1127" s="13"/>
      <c r="BLZ1127" s="13"/>
      <c r="BMA1127" s="13"/>
      <c r="BMB1127" s="13"/>
      <c r="BMC1127" s="13"/>
      <c r="BMD1127" s="13"/>
      <c r="BME1127" s="13"/>
      <c r="BMF1127" s="13"/>
      <c r="BMG1127" s="13"/>
      <c r="BMH1127" s="13"/>
      <c r="BMI1127" s="13"/>
      <c r="BMJ1127" s="13"/>
      <c r="BMK1127" s="13"/>
      <c r="BML1127" s="13"/>
      <c r="BMM1127" s="13"/>
      <c r="BMN1127" s="13"/>
      <c r="BMO1127" s="13"/>
      <c r="BMP1127" s="13"/>
      <c r="BMQ1127" s="13"/>
      <c r="BMR1127" s="13"/>
      <c r="BMS1127" s="13"/>
      <c r="BMT1127" s="13"/>
      <c r="BMU1127" s="13"/>
      <c r="BMV1127" s="13"/>
      <c r="BMW1127" s="13"/>
      <c r="BMX1127" s="13"/>
      <c r="BMY1127" s="13"/>
      <c r="BMZ1127" s="13"/>
      <c r="BNA1127" s="13"/>
      <c r="BNB1127" s="13"/>
      <c r="BNC1127" s="13"/>
      <c r="BND1127" s="13"/>
      <c r="BNE1127" s="13"/>
      <c r="BNF1127" s="13"/>
      <c r="BNG1127" s="13"/>
      <c r="BNH1127" s="13"/>
      <c r="BNI1127" s="13"/>
      <c r="BNJ1127" s="13"/>
      <c r="BNK1127" s="13"/>
      <c r="BNL1127" s="13"/>
      <c r="BNM1127" s="13"/>
      <c r="BNN1127" s="13"/>
      <c r="BNO1127" s="13"/>
      <c r="BNP1127" s="13"/>
      <c r="BNQ1127" s="13"/>
      <c r="BNR1127" s="13"/>
      <c r="BNS1127" s="13"/>
      <c r="BNT1127" s="13"/>
      <c r="BNU1127" s="13"/>
      <c r="BNV1127" s="13"/>
      <c r="BNW1127" s="13"/>
      <c r="BNX1127" s="13"/>
      <c r="BNY1127" s="13"/>
      <c r="BNZ1127" s="13"/>
      <c r="BOA1127" s="13"/>
      <c r="BOB1127" s="13"/>
      <c r="BOC1127" s="13"/>
      <c r="BOD1127" s="13"/>
      <c r="BOE1127" s="13"/>
      <c r="BOF1127" s="13"/>
      <c r="BOG1127" s="13"/>
      <c r="BOH1127" s="13"/>
      <c r="BOI1127" s="13"/>
      <c r="BOJ1127" s="13"/>
      <c r="BOK1127" s="13"/>
      <c r="BOL1127" s="13"/>
      <c r="BOM1127" s="13"/>
      <c r="BON1127" s="13"/>
      <c r="BOO1127" s="13"/>
      <c r="BOP1127" s="13"/>
      <c r="BOQ1127" s="13"/>
      <c r="BOR1127" s="13"/>
      <c r="BOS1127" s="13"/>
      <c r="BOT1127" s="13"/>
      <c r="BOU1127" s="13"/>
      <c r="BOV1127" s="13"/>
      <c r="BOW1127" s="13"/>
      <c r="BOX1127" s="13"/>
      <c r="BOY1127" s="13"/>
      <c r="BOZ1127" s="13"/>
      <c r="BPA1127" s="13"/>
      <c r="BPB1127" s="13"/>
      <c r="BPC1127" s="13"/>
      <c r="BPD1127" s="13"/>
      <c r="BPE1127" s="13"/>
      <c r="BPF1127" s="13"/>
      <c r="BPG1127" s="13"/>
      <c r="BPH1127" s="13"/>
      <c r="BPI1127" s="13"/>
      <c r="BPJ1127" s="13"/>
      <c r="BPK1127" s="13"/>
      <c r="BPL1127" s="13"/>
      <c r="BPM1127" s="13"/>
      <c r="BPN1127" s="13"/>
      <c r="BPO1127" s="13"/>
      <c r="BPP1127" s="13"/>
      <c r="BPQ1127" s="13"/>
      <c r="BPR1127" s="13"/>
      <c r="BPS1127" s="13"/>
      <c r="BPT1127" s="13"/>
      <c r="BPU1127" s="13"/>
      <c r="BPV1127" s="13"/>
      <c r="BPW1127" s="13"/>
      <c r="BPX1127" s="13"/>
      <c r="BPY1127" s="13"/>
      <c r="BPZ1127" s="13"/>
      <c r="BQA1127" s="13"/>
      <c r="BQB1127" s="13"/>
      <c r="BQC1127" s="13"/>
      <c r="BQD1127" s="13"/>
      <c r="BQE1127" s="13"/>
      <c r="BQF1127" s="13"/>
      <c r="BQG1127" s="13"/>
      <c r="BQH1127" s="13"/>
      <c r="BQI1127" s="13"/>
      <c r="BQJ1127" s="13"/>
      <c r="BQK1127" s="13"/>
      <c r="BQL1127" s="13"/>
      <c r="BQM1127" s="13"/>
      <c r="BQN1127" s="13"/>
      <c r="BQO1127" s="13"/>
      <c r="BQP1127" s="13"/>
      <c r="BQQ1127" s="13"/>
      <c r="BQR1127" s="13"/>
      <c r="BQS1127" s="13"/>
      <c r="BQT1127" s="13"/>
      <c r="BQU1127" s="13"/>
      <c r="BQV1127" s="13"/>
      <c r="BQW1127" s="13"/>
      <c r="BQX1127" s="13"/>
      <c r="BQY1127" s="13"/>
      <c r="BQZ1127" s="13"/>
      <c r="BRA1127" s="13"/>
      <c r="BRB1127" s="13"/>
      <c r="BRC1127" s="13"/>
      <c r="BRD1127" s="13"/>
      <c r="BRE1127" s="13"/>
      <c r="BRF1127" s="13"/>
      <c r="BRG1127" s="13"/>
      <c r="BRH1127" s="13"/>
      <c r="BRI1127" s="13"/>
      <c r="BRJ1127" s="13"/>
      <c r="BRK1127" s="13"/>
      <c r="BRL1127" s="13"/>
      <c r="BRM1127" s="13"/>
      <c r="BRN1127" s="13"/>
      <c r="BRO1127" s="13"/>
      <c r="BRP1127" s="13"/>
      <c r="BRQ1127" s="13"/>
      <c r="BRR1127" s="13"/>
      <c r="BRS1127" s="13"/>
      <c r="BRT1127" s="13"/>
      <c r="BRU1127" s="13"/>
      <c r="BRV1127" s="13"/>
      <c r="BRW1127" s="13"/>
      <c r="BRX1127" s="13"/>
      <c r="BRY1127" s="13"/>
      <c r="BRZ1127" s="13"/>
      <c r="BSA1127" s="13"/>
      <c r="BSB1127" s="13"/>
      <c r="BSC1127" s="13"/>
      <c r="BSD1127" s="13"/>
      <c r="BSE1127" s="13"/>
      <c r="BSF1127" s="13"/>
      <c r="BSG1127" s="13"/>
      <c r="BSH1127" s="13"/>
      <c r="BSI1127" s="13"/>
      <c r="BSJ1127" s="13"/>
      <c r="BSK1127" s="13"/>
      <c r="BSL1127" s="13"/>
      <c r="BSM1127" s="13"/>
      <c r="BSN1127" s="13"/>
      <c r="BSO1127" s="13"/>
      <c r="BSP1127" s="13"/>
      <c r="BSQ1127" s="13"/>
      <c r="BSR1127" s="13"/>
      <c r="BSS1127" s="13"/>
      <c r="BST1127" s="13"/>
      <c r="BSU1127" s="13"/>
      <c r="BSV1127" s="13"/>
      <c r="BSW1127" s="13"/>
      <c r="BSX1127" s="13"/>
      <c r="BSY1127" s="13"/>
      <c r="BSZ1127" s="13"/>
      <c r="BTA1127" s="13"/>
    </row>
    <row r="1128" spans="1:1873" s="23" customFormat="1" x14ac:dyDescent="0.2">
      <c r="A1128" s="273" t="s">
        <v>1221</v>
      </c>
      <c r="B1128" s="469" t="s">
        <v>1169</v>
      </c>
      <c r="C1128" s="273" t="s">
        <v>1175</v>
      </c>
      <c r="D1128" s="273" t="s">
        <v>619</v>
      </c>
      <c r="E1128" s="462" t="s">
        <v>1541</v>
      </c>
      <c r="F1128" s="462">
        <v>1</v>
      </c>
      <c r="G1128" s="273">
        <v>4</v>
      </c>
      <c r="H1128" s="468">
        <v>4</v>
      </c>
      <c r="I1128" s="273" t="s">
        <v>842</v>
      </c>
      <c r="J1128" s="273">
        <v>1985</v>
      </c>
      <c r="K1128" s="273" t="s">
        <v>1211</v>
      </c>
      <c r="L1128" s="273">
        <v>1988</v>
      </c>
      <c r="M1128" s="471">
        <v>-9999</v>
      </c>
      <c r="N1128" s="273">
        <v>-9999</v>
      </c>
      <c r="O1128" s="29"/>
      <c r="P1128" s="414">
        <f t="shared" si="119"/>
        <v>67.599999999999994</v>
      </c>
      <c r="Q1128" s="273">
        <v>-9999</v>
      </c>
      <c r="R1128" s="471"/>
      <c r="S1128" s="273"/>
      <c r="T1128" s="471">
        <v>16.899999999999999</v>
      </c>
      <c r="U1128" s="273">
        <v>-9999</v>
      </c>
      <c r="V1128" s="273"/>
      <c r="W1128" s="471">
        <v>-9999</v>
      </c>
      <c r="X1128" s="273">
        <v>-9999</v>
      </c>
      <c r="Y1128" s="273"/>
      <c r="Z1128" s="273" t="s">
        <v>793</v>
      </c>
      <c r="AA1128" s="273">
        <v>10000</v>
      </c>
      <c r="AB1128" s="471">
        <v>1</v>
      </c>
      <c r="AC1128" s="273">
        <v>0.36</v>
      </c>
      <c r="AD1128" s="273">
        <v>88</v>
      </c>
      <c r="AE1128" s="461" t="s">
        <v>1955</v>
      </c>
      <c r="AF1128" s="273">
        <v>3</v>
      </c>
      <c r="AG1128" s="273">
        <v>1</v>
      </c>
      <c r="AH1128" s="273" t="s">
        <v>623</v>
      </c>
      <c r="AI1128" s="273" t="s">
        <v>624</v>
      </c>
      <c r="AJ1128" s="273">
        <v>-9999</v>
      </c>
      <c r="AK1128" s="273" t="s">
        <v>626</v>
      </c>
      <c r="AL1128" s="273">
        <v>-9999</v>
      </c>
      <c r="AM1128" s="273">
        <v>-9999</v>
      </c>
      <c r="AN1128" s="273" t="s">
        <v>626</v>
      </c>
      <c r="AO1128" s="273" t="s">
        <v>847</v>
      </c>
      <c r="AP1128" s="273" t="s">
        <v>1195</v>
      </c>
      <c r="AQ1128" s="273" t="s">
        <v>631</v>
      </c>
      <c r="AR1128" s="273">
        <v>0</v>
      </c>
      <c r="AS1128" s="273">
        <v>-9999</v>
      </c>
      <c r="AT1128" s="273">
        <v>-9999</v>
      </c>
      <c r="AU1128" s="273">
        <v>0</v>
      </c>
      <c r="AV1128" s="273">
        <v>-9999</v>
      </c>
      <c r="AW1128" s="273">
        <v>-9999</v>
      </c>
      <c r="AX1128" s="273">
        <v>0</v>
      </c>
      <c r="AY1128" s="273">
        <v>-9999</v>
      </c>
      <c r="AZ1128" s="273">
        <v>-9999</v>
      </c>
      <c r="BA1128" s="273" t="s">
        <v>631</v>
      </c>
      <c r="BB1128" s="273" t="s">
        <v>626</v>
      </c>
      <c r="BC1128" s="273" t="s">
        <v>848</v>
      </c>
      <c r="BD1128" s="273" t="s">
        <v>849</v>
      </c>
      <c r="BE1128" s="273"/>
      <c r="BF1128" s="273"/>
      <c r="BG1128" s="273"/>
      <c r="BH1128" s="273"/>
      <c r="BI1128" s="273" t="s">
        <v>1190</v>
      </c>
      <c r="BJ1128" s="273">
        <v>-9999</v>
      </c>
      <c r="BK1128" s="273">
        <v>-9999</v>
      </c>
      <c r="BL1128" s="273">
        <v>10.31</v>
      </c>
      <c r="BM1128" s="273">
        <v>-9999</v>
      </c>
      <c r="BN1128" s="273">
        <v>-9999</v>
      </c>
      <c r="BO1128" s="273">
        <v>-9999</v>
      </c>
      <c r="BP1128" s="273">
        <v>-9999</v>
      </c>
      <c r="BQ1128" s="273">
        <v>-9999</v>
      </c>
      <c r="BR1128" s="273">
        <v>90.2</v>
      </c>
      <c r="BS1128" s="468">
        <v>-9999</v>
      </c>
      <c r="BT1128" s="273">
        <v>-9999</v>
      </c>
      <c r="BU1128" s="273">
        <v>95</v>
      </c>
      <c r="BV1128" s="273">
        <v>-9999</v>
      </c>
      <c r="BW1128" s="273"/>
      <c r="BX1128" s="273">
        <v>-9999</v>
      </c>
      <c r="BY1128" s="273">
        <v>-9999</v>
      </c>
      <c r="BZ1128" s="273">
        <v>-9999</v>
      </c>
      <c r="CA1128" s="472" t="s">
        <v>850</v>
      </c>
      <c r="CB1128" s="467" t="s">
        <v>1602</v>
      </c>
      <c r="CC1128" s="462">
        <v>1</v>
      </c>
      <c r="CD1128" s="273" t="s">
        <v>1175</v>
      </c>
      <c r="CE1128" s="292">
        <v>16.899999999999999</v>
      </c>
      <c r="CF1128" s="292">
        <v>-9999</v>
      </c>
      <c r="CG1128" s="93">
        <v>4</v>
      </c>
    </row>
    <row r="1129" spans="1:1873" s="210" customFormat="1" x14ac:dyDescent="0.2">
      <c r="A1129" s="411" t="s">
        <v>1221</v>
      </c>
      <c r="B1129" s="574" t="s">
        <v>1169</v>
      </c>
      <c r="C1129" s="411" t="s">
        <v>1176</v>
      </c>
      <c r="D1129" s="411" t="s">
        <v>619</v>
      </c>
      <c r="E1129" s="571" t="s">
        <v>1510</v>
      </c>
      <c r="F1129" s="571">
        <v>1</v>
      </c>
      <c r="G1129" s="411">
        <v>4</v>
      </c>
      <c r="H1129" s="577">
        <v>4</v>
      </c>
      <c r="I1129" s="411" t="s">
        <v>842</v>
      </c>
      <c r="J1129" s="411">
        <v>1985</v>
      </c>
      <c r="K1129" s="589" t="s">
        <v>1211</v>
      </c>
      <c r="L1129" s="411">
        <v>1988</v>
      </c>
      <c r="M1129" s="471">
        <v>-9999</v>
      </c>
      <c r="N1129" s="411">
        <v>-9999</v>
      </c>
      <c r="O1129" s="18"/>
      <c r="P1129" s="575">
        <f t="shared" si="119"/>
        <v>116.8</v>
      </c>
      <c r="Q1129" s="411">
        <v>-9999</v>
      </c>
      <c r="R1129" s="573"/>
      <c r="S1129" s="411"/>
      <c r="T1129" s="573">
        <v>29.2</v>
      </c>
      <c r="U1129" s="411">
        <v>-9999</v>
      </c>
      <c r="V1129" s="411"/>
      <c r="W1129" s="573">
        <v>-9999</v>
      </c>
      <c r="X1129" s="411">
        <v>-9999</v>
      </c>
      <c r="Y1129" s="411"/>
      <c r="Z1129" s="411" t="s">
        <v>793</v>
      </c>
      <c r="AA1129" s="411">
        <v>10000</v>
      </c>
      <c r="AB1129" s="573">
        <v>1</v>
      </c>
      <c r="AC1129" s="589">
        <v>0.36</v>
      </c>
      <c r="AD1129" s="411">
        <v>88</v>
      </c>
      <c r="AE1129" s="411" t="s">
        <v>1955</v>
      </c>
      <c r="AF1129" s="411">
        <v>3</v>
      </c>
      <c r="AG1129" s="411">
        <v>1</v>
      </c>
      <c r="AH1129" s="411" t="s">
        <v>623</v>
      </c>
      <c r="AI1129" s="411" t="s">
        <v>624</v>
      </c>
      <c r="AJ1129" s="411">
        <v>-9999</v>
      </c>
      <c r="AK1129" s="411" t="s">
        <v>626</v>
      </c>
      <c r="AL1129" s="411">
        <v>-9999</v>
      </c>
      <c r="AM1129" s="411">
        <v>-9999</v>
      </c>
      <c r="AN1129" s="411" t="s">
        <v>626</v>
      </c>
      <c r="AO1129" s="411" t="s">
        <v>847</v>
      </c>
      <c r="AP1129" s="273" t="s">
        <v>1195</v>
      </c>
      <c r="AQ1129" s="411" t="s">
        <v>631</v>
      </c>
      <c r="AR1129" s="411">
        <v>0</v>
      </c>
      <c r="AS1129" s="411">
        <v>-9999</v>
      </c>
      <c r="AT1129" s="411">
        <v>-9999</v>
      </c>
      <c r="AU1129" s="411">
        <v>0</v>
      </c>
      <c r="AV1129" s="411">
        <v>-9999</v>
      </c>
      <c r="AW1129" s="411">
        <v>-9999</v>
      </c>
      <c r="AX1129" s="411">
        <v>0</v>
      </c>
      <c r="AY1129" s="411">
        <v>-9999</v>
      </c>
      <c r="AZ1129" s="411">
        <v>-9999</v>
      </c>
      <c r="BA1129" s="411" t="s">
        <v>631</v>
      </c>
      <c r="BB1129" s="411" t="s">
        <v>626</v>
      </c>
      <c r="BC1129" s="411" t="s">
        <v>848</v>
      </c>
      <c r="BD1129" s="411" t="s">
        <v>849</v>
      </c>
      <c r="BE1129" s="411"/>
      <c r="BF1129" s="411"/>
      <c r="BG1129" s="411"/>
      <c r="BH1129" s="411"/>
      <c r="BI1129" s="411" t="s">
        <v>1190</v>
      </c>
      <c r="BJ1129" s="273">
        <v>-9999</v>
      </c>
      <c r="BK1129" s="411">
        <v>-9999</v>
      </c>
      <c r="BL1129" s="411">
        <v>13.65</v>
      </c>
      <c r="BM1129" s="411">
        <v>-9999</v>
      </c>
      <c r="BN1129" s="411">
        <v>-9999</v>
      </c>
      <c r="BO1129" s="411">
        <v>-9999</v>
      </c>
      <c r="BP1129" s="411">
        <v>-9999</v>
      </c>
      <c r="BQ1129" s="411">
        <v>-9999</v>
      </c>
      <c r="BR1129" s="411">
        <v>102.06</v>
      </c>
      <c r="BS1129" s="468">
        <v>-9999</v>
      </c>
      <c r="BT1129" s="411">
        <v>-9999</v>
      </c>
      <c r="BU1129" s="411">
        <v>152.37</v>
      </c>
      <c r="BV1129" s="411">
        <v>-9999</v>
      </c>
      <c r="BW1129" s="411"/>
      <c r="BX1129" s="411">
        <v>-9999</v>
      </c>
      <c r="BY1129" s="411">
        <v>-9999</v>
      </c>
      <c r="BZ1129" s="411">
        <v>-9999</v>
      </c>
      <c r="CA1129" s="578" t="s">
        <v>850</v>
      </c>
      <c r="CB1129" s="579" t="s">
        <v>1602</v>
      </c>
      <c r="CC1129" s="571">
        <v>1</v>
      </c>
      <c r="CD1129" s="411" t="s">
        <v>1611</v>
      </c>
      <c r="CE1129" s="393">
        <v>29.2</v>
      </c>
      <c r="CF1129" s="99">
        <v>-9999</v>
      </c>
      <c r="CG1129" s="209">
        <v>4</v>
      </c>
      <c r="CH1129" s="436" t="s">
        <v>1757</v>
      </c>
      <c r="CI1129" s="13"/>
      <c r="CJ1129" s="13"/>
      <c r="CK1129" s="13"/>
      <c r="CL1129" s="13"/>
      <c r="CM1129" s="13"/>
      <c r="CN1129" s="13"/>
      <c r="CO1129" s="13"/>
      <c r="CP1129" s="13"/>
      <c r="CQ1129" s="13"/>
      <c r="CR1129" s="13"/>
      <c r="CS1129" s="13"/>
      <c r="CT1129" s="13"/>
      <c r="CU1129" s="13"/>
      <c r="CV1129" s="13"/>
      <c r="CW1129" s="13"/>
      <c r="CX1129" s="13"/>
      <c r="CY1129" s="13"/>
      <c r="CZ1129" s="13"/>
      <c r="DA1129" s="13"/>
      <c r="DB1129" s="13"/>
      <c r="DC1129" s="13"/>
      <c r="DD1129" s="13"/>
      <c r="DE1129" s="13"/>
      <c r="DF1129" s="13"/>
      <c r="DG1129" s="13"/>
      <c r="DH1129" s="13"/>
      <c r="DI1129" s="13"/>
      <c r="DJ1129" s="13"/>
      <c r="DK1129" s="13"/>
      <c r="DL1129" s="13"/>
      <c r="DM1129" s="13"/>
      <c r="DN1129" s="13"/>
      <c r="DO1129" s="13"/>
      <c r="DP1129" s="13"/>
      <c r="DQ1129" s="13"/>
      <c r="DR1129" s="13"/>
      <c r="DS1129" s="13"/>
      <c r="DT1129" s="13"/>
      <c r="DU1129" s="13"/>
      <c r="DV1129" s="13"/>
      <c r="DW1129" s="13"/>
      <c r="DX1129" s="13"/>
      <c r="DY1129" s="13"/>
      <c r="DZ1129" s="13"/>
      <c r="EA1129" s="13"/>
      <c r="EB1129" s="13"/>
      <c r="EC1129" s="13"/>
      <c r="ED1129" s="13"/>
      <c r="EE1129" s="13"/>
      <c r="EF1129" s="13"/>
      <c r="EG1129" s="13"/>
      <c r="EH1129" s="13"/>
      <c r="EI1129" s="13"/>
      <c r="EJ1129" s="13"/>
      <c r="EK1129" s="13"/>
      <c r="EL1129" s="13"/>
      <c r="EM1129" s="13"/>
      <c r="EN1129" s="13"/>
      <c r="EO1129" s="13"/>
      <c r="EP1129" s="13"/>
      <c r="EQ1129" s="13"/>
      <c r="ER1129" s="13"/>
      <c r="ES1129" s="13"/>
      <c r="ET1129" s="13"/>
      <c r="EU1129" s="13"/>
      <c r="EV1129" s="13"/>
      <c r="EW1129" s="13"/>
      <c r="EX1129" s="13"/>
      <c r="EY1129" s="13"/>
      <c r="EZ1129" s="13"/>
      <c r="FA1129" s="13"/>
      <c r="FB1129" s="13"/>
      <c r="FC1129" s="13"/>
      <c r="FD1129" s="13"/>
      <c r="FE1129" s="13"/>
      <c r="FF1129" s="13"/>
      <c r="FG1129" s="13"/>
      <c r="FH1129" s="13"/>
      <c r="FI1129" s="13"/>
      <c r="FJ1129" s="13"/>
      <c r="FK1129" s="13"/>
      <c r="FL1129" s="13"/>
      <c r="FM1129" s="13"/>
      <c r="FN1129" s="13"/>
      <c r="FO1129" s="13"/>
      <c r="FP1129" s="13"/>
      <c r="FQ1129" s="13"/>
      <c r="FR1129" s="13"/>
      <c r="FS1129" s="13"/>
      <c r="FT1129" s="13"/>
      <c r="FU1129" s="13"/>
      <c r="FV1129" s="13"/>
      <c r="FW1129" s="13"/>
      <c r="FX1129" s="13"/>
      <c r="FY1129" s="13"/>
      <c r="FZ1129" s="13"/>
      <c r="GA1129" s="13"/>
      <c r="GB1129" s="13"/>
      <c r="GC1129" s="13"/>
      <c r="GD1129" s="13"/>
      <c r="GE1129" s="13"/>
      <c r="GF1129" s="13"/>
      <c r="GG1129" s="13"/>
      <c r="GH1129" s="13"/>
      <c r="GI1129" s="13"/>
      <c r="GJ1129" s="13"/>
      <c r="GK1129" s="13"/>
      <c r="GL1129" s="13"/>
      <c r="GM1129" s="13"/>
      <c r="GN1129" s="13"/>
      <c r="GO1129" s="13"/>
      <c r="GP1129" s="13"/>
      <c r="GQ1129" s="13"/>
      <c r="GR1129" s="13"/>
      <c r="GS1129" s="13"/>
      <c r="GT1129" s="13"/>
      <c r="GU1129" s="13"/>
      <c r="GV1129" s="13"/>
      <c r="GW1129" s="13"/>
      <c r="GX1129" s="13"/>
      <c r="GY1129" s="13"/>
      <c r="GZ1129" s="13"/>
      <c r="HA1129" s="13"/>
      <c r="HB1129" s="13"/>
      <c r="HC1129" s="13"/>
      <c r="HD1129" s="13"/>
      <c r="HE1129" s="13"/>
      <c r="HF1129" s="13"/>
      <c r="HG1129" s="13"/>
      <c r="HH1129" s="13"/>
      <c r="HI1129" s="13"/>
      <c r="HJ1129" s="13"/>
      <c r="HK1129" s="13"/>
      <c r="HL1129" s="13"/>
      <c r="HM1129" s="13"/>
      <c r="HN1129" s="13"/>
      <c r="HO1129" s="13"/>
      <c r="HP1129" s="13"/>
      <c r="HQ1129" s="13"/>
      <c r="HR1129" s="13"/>
      <c r="HS1129" s="13"/>
      <c r="HT1129" s="13"/>
      <c r="HU1129" s="13"/>
      <c r="HV1129" s="13"/>
      <c r="HW1129" s="13"/>
      <c r="HX1129" s="13"/>
      <c r="HY1129" s="13"/>
      <c r="HZ1129" s="13"/>
      <c r="IA1129" s="13"/>
      <c r="IB1129" s="13"/>
      <c r="IC1129" s="13"/>
      <c r="ID1129" s="13"/>
      <c r="IE1129" s="13"/>
      <c r="IF1129" s="13"/>
      <c r="IG1129" s="13"/>
      <c r="IH1129" s="13"/>
      <c r="II1129" s="13"/>
      <c r="IJ1129" s="13"/>
      <c r="IK1129" s="13"/>
      <c r="IL1129" s="13"/>
      <c r="IM1129" s="13"/>
      <c r="IN1129" s="13"/>
      <c r="IO1129" s="13"/>
      <c r="IP1129" s="13"/>
      <c r="IQ1129" s="13"/>
      <c r="IR1129" s="13"/>
      <c r="IS1129" s="13"/>
      <c r="IT1129" s="13"/>
      <c r="IU1129" s="13"/>
      <c r="IV1129" s="13"/>
      <c r="IW1129" s="13"/>
      <c r="IX1129" s="13"/>
      <c r="IY1129" s="13"/>
      <c r="IZ1129" s="13"/>
      <c r="JA1129" s="13"/>
      <c r="JB1129" s="13"/>
      <c r="JC1129" s="13"/>
      <c r="JD1129" s="13"/>
      <c r="JE1129" s="13"/>
      <c r="JF1129" s="13"/>
      <c r="JG1129" s="13"/>
      <c r="JH1129" s="13"/>
      <c r="JI1129" s="13"/>
      <c r="JJ1129" s="13"/>
      <c r="JK1129" s="13"/>
      <c r="JL1129" s="13"/>
      <c r="JM1129" s="13"/>
      <c r="JN1129" s="13"/>
      <c r="JO1129" s="13"/>
      <c r="JP1129" s="13"/>
      <c r="JQ1129" s="13"/>
      <c r="JR1129" s="13"/>
      <c r="JS1129" s="13"/>
      <c r="JT1129" s="13"/>
      <c r="JU1129" s="13"/>
      <c r="JV1129" s="13"/>
      <c r="JW1129" s="13"/>
      <c r="JX1129" s="13"/>
      <c r="JY1129" s="13"/>
      <c r="JZ1129" s="13"/>
      <c r="KA1129" s="13"/>
      <c r="KB1129" s="13"/>
      <c r="KC1129" s="13"/>
      <c r="KD1129" s="13"/>
      <c r="KE1129" s="13"/>
      <c r="KF1129" s="13"/>
      <c r="KG1129" s="13"/>
      <c r="KH1129" s="13"/>
      <c r="KI1129" s="13"/>
      <c r="KJ1129" s="13"/>
      <c r="KK1129" s="13"/>
      <c r="KL1129" s="13"/>
      <c r="KM1129" s="13"/>
      <c r="KN1129" s="13"/>
      <c r="KO1129" s="13"/>
      <c r="KP1129" s="13"/>
      <c r="KQ1129" s="13"/>
      <c r="KR1129" s="13"/>
      <c r="KS1129" s="13"/>
      <c r="KT1129" s="13"/>
      <c r="KU1129" s="13"/>
      <c r="KV1129" s="13"/>
      <c r="KW1129" s="13"/>
      <c r="KX1129" s="13"/>
      <c r="KY1129" s="13"/>
      <c r="KZ1129" s="13"/>
      <c r="LA1129" s="13"/>
      <c r="LB1129" s="13"/>
      <c r="LC1129" s="13"/>
      <c r="LD1129" s="13"/>
      <c r="LE1129" s="13"/>
      <c r="LF1129" s="13"/>
      <c r="LG1129" s="13"/>
      <c r="LH1129" s="13"/>
      <c r="LI1129" s="13"/>
      <c r="LJ1129" s="13"/>
      <c r="LK1129" s="13"/>
      <c r="LL1129" s="13"/>
      <c r="LM1129" s="13"/>
      <c r="LN1129" s="13"/>
      <c r="LO1129" s="13"/>
      <c r="LP1129" s="13"/>
      <c r="LQ1129" s="13"/>
      <c r="LR1129" s="13"/>
      <c r="LS1129" s="13"/>
      <c r="LT1129" s="13"/>
      <c r="LU1129" s="13"/>
      <c r="LV1129" s="13"/>
      <c r="LW1129" s="13"/>
      <c r="LX1129" s="13"/>
      <c r="LY1129" s="13"/>
      <c r="LZ1129" s="13"/>
      <c r="MA1129" s="13"/>
      <c r="MB1129" s="13"/>
      <c r="MC1129" s="13"/>
      <c r="MD1129" s="13"/>
      <c r="ME1129" s="13"/>
      <c r="MF1129" s="13"/>
      <c r="MG1129" s="13"/>
      <c r="MH1129" s="13"/>
      <c r="MI1129" s="13"/>
      <c r="MJ1129" s="13"/>
      <c r="MK1129" s="13"/>
      <c r="ML1129" s="13"/>
      <c r="MM1129" s="13"/>
      <c r="MN1129" s="13"/>
      <c r="MO1129" s="13"/>
      <c r="MP1129" s="13"/>
      <c r="MQ1129" s="13"/>
      <c r="MR1129" s="13"/>
      <c r="MS1129" s="13"/>
      <c r="MT1129" s="13"/>
      <c r="MU1129" s="13"/>
      <c r="MV1129" s="13"/>
      <c r="MW1129" s="13"/>
      <c r="MX1129" s="13"/>
      <c r="MY1129" s="13"/>
      <c r="MZ1129" s="13"/>
      <c r="NA1129" s="13"/>
      <c r="NB1129" s="13"/>
      <c r="NC1129" s="13"/>
      <c r="ND1129" s="13"/>
      <c r="NE1129" s="13"/>
      <c r="NF1129" s="13"/>
      <c r="NG1129" s="13"/>
      <c r="NH1129" s="13"/>
      <c r="NI1129" s="13"/>
      <c r="NJ1129" s="13"/>
      <c r="NK1129" s="13"/>
      <c r="NL1129" s="13"/>
      <c r="NM1129" s="13"/>
      <c r="NN1129" s="13"/>
      <c r="NO1129" s="13"/>
      <c r="NP1129" s="13"/>
      <c r="NQ1129" s="13"/>
      <c r="NR1129" s="13"/>
      <c r="NS1129" s="13"/>
      <c r="NT1129" s="13"/>
      <c r="NU1129" s="13"/>
      <c r="NV1129" s="13"/>
      <c r="NW1129" s="13"/>
      <c r="NX1129" s="13"/>
      <c r="NY1129" s="13"/>
      <c r="NZ1129" s="13"/>
      <c r="OA1129" s="13"/>
      <c r="OB1129" s="13"/>
      <c r="OC1129" s="13"/>
      <c r="OD1129" s="13"/>
      <c r="OE1129" s="13"/>
      <c r="OF1129" s="13"/>
      <c r="OG1129" s="13"/>
      <c r="OH1129" s="13"/>
      <c r="OI1129" s="13"/>
      <c r="OJ1129" s="13"/>
      <c r="OK1129" s="13"/>
      <c r="OL1129" s="13"/>
      <c r="OM1129" s="13"/>
      <c r="ON1129" s="13"/>
      <c r="OO1129" s="13"/>
      <c r="OP1129" s="13"/>
      <c r="OQ1129" s="13"/>
      <c r="OR1129" s="13"/>
      <c r="OS1129" s="13"/>
      <c r="OT1129" s="13"/>
      <c r="OU1129" s="13"/>
      <c r="OV1129" s="13"/>
      <c r="OW1129" s="13"/>
      <c r="OX1129" s="13"/>
      <c r="OY1129" s="13"/>
      <c r="OZ1129" s="13"/>
      <c r="PA1129" s="13"/>
      <c r="PB1129" s="13"/>
      <c r="PC1129" s="13"/>
      <c r="PD1129" s="13"/>
      <c r="PE1129" s="13"/>
      <c r="PF1129" s="13"/>
      <c r="PG1129" s="13"/>
      <c r="PH1129" s="13"/>
      <c r="PI1129" s="13"/>
      <c r="PJ1129" s="13"/>
      <c r="PK1129" s="13"/>
      <c r="PL1129" s="13"/>
      <c r="PM1129" s="13"/>
      <c r="PN1129" s="13"/>
      <c r="PO1129" s="13"/>
      <c r="PP1129" s="13"/>
      <c r="PQ1129" s="13"/>
      <c r="PR1129" s="13"/>
      <c r="PS1129" s="13"/>
      <c r="PT1129" s="13"/>
      <c r="PU1129" s="13"/>
      <c r="PV1129" s="13"/>
      <c r="PW1129" s="13"/>
      <c r="PX1129" s="13"/>
      <c r="PY1129" s="13"/>
      <c r="PZ1129" s="13"/>
      <c r="QA1129" s="13"/>
      <c r="QB1129" s="13"/>
      <c r="QC1129" s="13"/>
      <c r="QD1129" s="13"/>
      <c r="QE1129" s="13"/>
      <c r="QF1129" s="13"/>
      <c r="QG1129" s="13"/>
      <c r="QH1129" s="13"/>
      <c r="QI1129" s="13"/>
      <c r="QJ1129" s="13"/>
      <c r="QK1129" s="13"/>
      <c r="QL1129" s="13"/>
      <c r="QM1129" s="13"/>
      <c r="QN1129" s="13"/>
      <c r="QO1129" s="13"/>
      <c r="QP1129" s="13"/>
      <c r="QQ1129" s="13"/>
      <c r="QR1129" s="13"/>
      <c r="QS1129" s="13"/>
      <c r="QT1129" s="13"/>
      <c r="QU1129" s="13"/>
      <c r="QV1129" s="13"/>
      <c r="QW1129" s="13"/>
      <c r="QX1129" s="13"/>
      <c r="QY1129" s="13"/>
      <c r="QZ1129" s="13"/>
      <c r="RA1129" s="13"/>
      <c r="RB1129" s="13"/>
      <c r="RC1129" s="13"/>
      <c r="RD1129" s="13"/>
      <c r="RE1129" s="13"/>
      <c r="RF1129" s="13"/>
      <c r="RG1129" s="13"/>
      <c r="RH1129" s="13"/>
      <c r="RI1129" s="13"/>
      <c r="RJ1129" s="13"/>
      <c r="RK1129" s="13"/>
      <c r="RL1129" s="13"/>
      <c r="RM1129" s="13"/>
      <c r="RN1129" s="13"/>
      <c r="RO1129" s="13"/>
      <c r="RP1129" s="13"/>
      <c r="RQ1129" s="13"/>
      <c r="RR1129" s="13"/>
      <c r="RS1129" s="13"/>
      <c r="RT1129" s="13"/>
      <c r="RU1129" s="13"/>
      <c r="RV1129" s="13"/>
      <c r="RW1129" s="13"/>
      <c r="RX1129" s="13"/>
      <c r="RY1129" s="13"/>
      <c r="RZ1129" s="13"/>
      <c r="SA1129" s="13"/>
      <c r="SB1129" s="13"/>
      <c r="SC1129" s="13"/>
      <c r="SD1129" s="13"/>
      <c r="SE1129" s="13"/>
      <c r="SF1129" s="13"/>
      <c r="SG1129" s="13"/>
      <c r="SH1129" s="13"/>
      <c r="SI1129" s="13"/>
      <c r="SJ1129" s="13"/>
      <c r="SK1129" s="13"/>
      <c r="SL1129" s="13"/>
      <c r="SM1129" s="13"/>
      <c r="SN1129" s="13"/>
      <c r="SO1129" s="13"/>
      <c r="SP1129" s="13"/>
      <c r="SQ1129" s="13"/>
      <c r="SR1129" s="13"/>
      <c r="SS1129" s="13"/>
      <c r="ST1129" s="13"/>
      <c r="SU1129" s="13"/>
      <c r="SV1129" s="13"/>
      <c r="SW1129" s="13"/>
      <c r="SX1129" s="13"/>
      <c r="SY1129" s="13"/>
      <c r="SZ1129" s="13"/>
      <c r="TA1129" s="13"/>
      <c r="TB1129" s="13"/>
      <c r="TC1129" s="13"/>
      <c r="TD1129" s="13"/>
      <c r="TE1129" s="13"/>
      <c r="TF1129" s="13"/>
      <c r="TG1129" s="13"/>
      <c r="TH1129" s="13"/>
      <c r="TI1129" s="13"/>
      <c r="TJ1129" s="13"/>
      <c r="TK1129" s="13"/>
      <c r="TL1129" s="13"/>
      <c r="TM1129" s="13"/>
      <c r="TN1129" s="13"/>
      <c r="TO1129" s="13"/>
      <c r="TP1129" s="13"/>
      <c r="TQ1129" s="13"/>
      <c r="TR1129" s="13"/>
      <c r="TS1129" s="13"/>
      <c r="TT1129" s="13"/>
      <c r="TU1129" s="13"/>
      <c r="TV1129" s="13"/>
      <c r="TW1129" s="13"/>
      <c r="TX1129" s="13"/>
      <c r="TY1129" s="13"/>
      <c r="TZ1129" s="13"/>
      <c r="UA1129" s="13"/>
      <c r="UB1129" s="13"/>
      <c r="UC1129" s="13"/>
      <c r="UD1129" s="13"/>
      <c r="UE1129" s="13"/>
      <c r="UF1129" s="13"/>
      <c r="UG1129" s="13"/>
      <c r="UH1129" s="13"/>
      <c r="UI1129" s="13"/>
      <c r="UJ1129" s="13"/>
      <c r="UK1129" s="13"/>
      <c r="UL1129" s="13"/>
      <c r="UM1129" s="13"/>
      <c r="UN1129" s="13"/>
      <c r="UO1129" s="13"/>
      <c r="UP1129" s="13"/>
      <c r="UQ1129" s="13"/>
      <c r="UR1129" s="13"/>
      <c r="US1129" s="13"/>
      <c r="UT1129" s="13"/>
      <c r="UU1129" s="13"/>
      <c r="UV1129" s="13"/>
      <c r="UW1129" s="13"/>
      <c r="UX1129" s="13"/>
      <c r="UY1129" s="13"/>
      <c r="UZ1129" s="13"/>
      <c r="VA1129" s="13"/>
      <c r="VB1129" s="13"/>
      <c r="VC1129" s="13"/>
      <c r="VD1129" s="13"/>
      <c r="VE1129" s="13"/>
      <c r="VF1129" s="13"/>
      <c r="VG1129" s="13"/>
      <c r="VH1129" s="13"/>
      <c r="VI1129" s="13"/>
      <c r="VJ1129" s="13"/>
      <c r="VK1129" s="13"/>
      <c r="VL1129" s="13"/>
      <c r="VM1129" s="13"/>
      <c r="VN1129" s="13"/>
      <c r="VO1129" s="13"/>
      <c r="VP1129" s="13"/>
      <c r="VQ1129" s="13"/>
      <c r="VR1129" s="13"/>
      <c r="VS1129" s="13"/>
      <c r="VT1129" s="13"/>
      <c r="VU1129" s="13"/>
      <c r="VV1129" s="13"/>
      <c r="VW1129" s="13"/>
      <c r="VX1129" s="13"/>
      <c r="VY1129" s="13"/>
      <c r="VZ1129" s="13"/>
      <c r="WA1129" s="13"/>
      <c r="WB1129" s="13"/>
      <c r="WC1129" s="13"/>
      <c r="WD1129" s="13"/>
      <c r="WE1129" s="13"/>
      <c r="WF1129" s="13"/>
      <c r="WG1129" s="13"/>
      <c r="WH1129" s="13"/>
      <c r="WI1129" s="13"/>
      <c r="WJ1129" s="13"/>
      <c r="WK1129" s="13"/>
      <c r="WL1129" s="13"/>
      <c r="WM1129" s="13"/>
      <c r="WN1129" s="13"/>
      <c r="WO1129" s="13"/>
      <c r="WP1129" s="13"/>
      <c r="WQ1129" s="13"/>
      <c r="WR1129" s="13"/>
      <c r="WS1129" s="13"/>
      <c r="WT1129" s="13"/>
      <c r="WU1129" s="13"/>
      <c r="WV1129" s="13"/>
      <c r="WW1129" s="13"/>
      <c r="WX1129" s="13"/>
      <c r="WY1129" s="13"/>
      <c r="WZ1129" s="13"/>
      <c r="XA1129" s="13"/>
      <c r="XB1129" s="13"/>
      <c r="XC1129" s="13"/>
      <c r="XD1129" s="13"/>
      <c r="XE1129" s="13"/>
      <c r="XF1129" s="13"/>
      <c r="XG1129" s="13"/>
      <c r="XH1129" s="13"/>
      <c r="XI1129" s="13"/>
      <c r="XJ1129" s="13"/>
      <c r="XK1129" s="13"/>
      <c r="XL1129" s="13"/>
      <c r="XM1129" s="13"/>
      <c r="XN1129" s="13"/>
      <c r="XO1129" s="13"/>
      <c r="XP1129" s="13"/>
      <c r="XQ1129" s="13"/>
      <c r="XR1129" s="13"/>
      <c r="XS1129" s="13"/>
      <c r="XT1129" s="13"/>
      <c r="XU1129" s="13"/>
      <c r="XV1129" s="13"/>
      <c r="XW1129" s="13"/>
      <c r="XX1129" s="13"/>
      <c r="XY1129" s="13"/>
      <c r="XZ1129" s="13"/>
      <c r="YA1129" s="13"/>
      <c r="YB1129" s="13"/>
      <c r="YC1129" s="13"/>
      <c r="YD1129" s="13"/>
      <c r="YE1129" s="13"/>
      <c r="YF1129" s="13"/>
      <c r="YG1129" s="13"/>
      <c r="YH1129" s="13"/>
      <c r="YI1129" s="13"/>
      <c r="YJ1129" s="13"/>
      <c r="YK1129" s="13"/>
      <c r="YL1129" s="13"/>
      <c r="YM1129" s="13"/>
      <c r="YN1129" s="13"/>
      <c r="YO1129" s="13"/>
      <c r="YP1129" s="13"/>
      <c r="YQ1129" s="13"/>
      <c r="YR1129" s="13"/>
      <c r="YS1129" s="13"/>
      <c r="YT1129" s="13"/>
      <c r="YU1129" s="13"/>
      <c r="YV1129" s="13"/>
      <c r="YW1129" s="13"/>
      <c r="YX1129" s="13"/>
      <c r="YY1129" s="13"/>
      <c r="YZ1129" s="13"/>
      <c r="ZA1129" s="13"/>
      <c r="ZB1129" s="13"/>
      <c r="ZC1129" s="13"/>
      <c r="ZD1129" s="13"/>
      <c r="ZE1129" s="13"/>
      <c r="ZF1129" s="13"/>
      <c r="ZG1129" s="13"/>
      <c r="ZH1129" s="13"/>
      <c r="ZI1129" s="13"/>
      <c r="ZJ1129" s="13"/>
      <c r="ZK1129" s="13"/>
      <c r="ZL1129" s="13"/>
      <c r="ZM1129" s="13"/>
      <c r="ZN1129" s="13"/>
      <c r="ZO1129" s="13"/>
      <c r="ZP1129" s="13"/>
      <c r="ZQ1129" s="13"/>
      <c r="ZR1129" s="13"/>
      <c r="ZS1129" s="13"/>
      <c r="ZT1129" s="13"/>
      <c r="ZU1129" s="13"/>
      <c r="ZV1129" s="13"/>
      <c r="ZW1129" s="13"/>
      <c r="ZX1129" s="13"/>
      <c r="ZY1129" s="13"/>
      <c r="ZZ1129" s="13"/>
      <c r="AAA1129" s="13"/>
      <c r="AAB1129" s="13"/>
      <c r="AAC1129" s="13"/>
      <c r="AAD1129" s="13"/>
      <c r="AAE1129" s="13"/>
      <c r="AAF1129" s="13"/>
      <c r="AAG1129" s="13"/>
      <c r="AAH1129" s="13"/>
      <c r="AAI1129" s="13"/>
      <c r="AAJ1129" s="13"/>
      <c r="AAK1129" s="13"/>
      <c r="AAL1129" s="13"/>
      <c r="AAM1129" s="13"/>
      <c r="AAN1129" s="13"/>
      <c r="AAO1129" s="13"/>
      <c r="AAP1129" s="13"/>
      <c r="AAQ1129" s="13"/>
      <c r="AAR1129" s="13"/>
      <c r="AAS1129" s="13"/>
      <c r="AAT1129" s="13"/>
      <c r="AAU1129" s="13"/>
      <c r="AAV1129" s="13"/>
      <c r="AAW1129" s="13"/>
      <c r="AAX1129" s="13"/>
      <c r="AAY1129" s="13"/>
      <c r="AAZ1129" s="13"/>
      <c r="ABA1129" s="13"/>
      <c r="ABB1129" s="13"/>
      <c r="ABC1129" s="13"/>
      <c r="ABD1129" s="13"/>
      <c r="ABE1129" s="13"/>
      <c r="ABF1129" s="13"/>
      <c r="ABG1129" s="13"/>
      <c r="ABH1129" s="13"/>
      <c r="ABI1129" s="13"/>
      <c r="ABJ1129" s="13"/>
      <c r="ABK1129" s="13"/>
      <c r="ABL1129" s="13"/>
      <c r="ABM1129" s="13"/>
      <c r="ABN1129" s="13"/>
      <c r="ABO1129" s="13"/>
      <c r="ABP1129" s="13"/>
      <c r="ABQ1129" s="13"/>
      <c r="ABR1129" s="13"/>
      <c r="ABS1129" s="13"/>
      <c r="ABT1129" s="13"/>
      <c r="ABU1129" s="13"/>
      <c r="ABV1129" s="13"/>
      <c r="ABW1129" s="13"/>
      <c r="ABX1129" s="13"/>
      <c r="ABY1129" s="13"/>
      <c r="ABZ1129" s="13"/>
      <c r="ACA1129" s="13"/>
      <c r="ACB1129" s="13"/>
      <c r="ACC1129" s="13"/>
      <c r="ACD1129" s="13"/>
      <c r="ACE1129" s="13"/>
      <c r="ACF1129" s="13"/>
      <c r="ACG1129" s="13"/>
      <c r="ACH1129" s="13"/>
      <c r="ACI1129" s="13"/>
      <c r="ACJ1129" s="13"/>
      <c r="ACK1129" s="13"/>
      <c r="ACL1129" s="13"/>
      <c r="ACM1129" s="13"/>
      <c r="ACN1129" s="13"/>
      <c r="ACO1129" s="13"/>
      <c r="ACP1129" s="13"/>
      <c r="ACQ1129" s="13"/>
      <c r="ACR1129" s="13"/>
      <c r="ACS1129" s="13"/>
      <c r="ACT1129" s="13"/>
      <c r="ACU1129" s="13"/>
      <c r="ACV1129" s="13"/>
      <c r="ACW1129" s="13"/>
      <c r="ACX1129" s="13"/>
      <c r="ACY1129" s="13"/>
      <c r="ACZ1129" s="13"/>
      <c r="ADA1129" s="13"/>
      <c r="ADB1129" s="13"/>
      <c r="ADC1129" s="13"/>
      <c r="ADD1129" s="13"/>
      <c r="ADE1129" s="13"/>
      <c r="ADF1129" s="13"/>
      <c r="ADG1129" s="13"/>
      <c r="ADH1129" s="13"/>
      <c r="ADI1129" s="13"/>
      <c r="ADJ1129" s="13"/>
      <c r="ADK1129" s="13"/>
      <c r="ADL1129" s="13"/>
      <c r="ADM1129" s="13"/>
      <c r="ADN1129" s="13"/>
      <c r="ADO1129" s="13"/>
      <c r="ADP1129" s="13"/>
      <c r="ADQ1129" s="13"/>
      <c r="ADR1129" s="13"/>
      <c r="ADS1129" s="13"/>
      <c r="ADT1129" s="13"/>
      <c r="ADU1129" s="13"/>
      <c r="ADV1129" s="13"/>
      <c r="ADW1129" s="13"/>
      <c r="ADX1129" s="13"/>
      <c r="ADY1129" s="13"/>
      <c r="ADZ1129" s="13"/>
      <c r="AEA1129" s="13"/>
      <c r="AEB1129" s="13"/>
      <c r="AEC1129" s="13"/>
      <c r="AED1129" s="13"/>
      <c r="AEE1129" s="13"/>
      <c r="AEF1129" s="13"/>
      <c r="AEG1129" s="13"/>
      <c r="AEH1129" s="13"/>
      <c r="AEI1129" s="13"/>
      <c r="AEJ1129" s="13"/>
      <c r="AEK1129" s="13"/>
      <c r="AEL1129" s="13"/>
      <c r="AEM1129" s="13"/>
      <c r="AEN1129" s="13"/>
      <c r="AEO1129" s="13"/>
      <c r="AEP1129" s="13"/>
      <c r="AEQ1129" s="13"/>
      <c r="AER1129" s="13"/>
      <c r="AES1129" s="13"/>
      <c r="AET1129" s="13"/>
      <c r="AEU1129" s="13"/>
      <c r="AEV1129" s="13"/>
      <c r="AEW1129" s="13"/>
      <c r="AEX1129" s="13"/>
      <c r="AEY1129" s="13"/>
      <c r="AEZ1129" s="13"/>
      <c r="AFA1129" s="13"/>
      <c r="AFB1129" s="13"/>
      <c r="AFC1129" s="13"/>
      <c r="AFD1129" s="13"/>
      <c r="AFE1129" s="13"/>
      <c r="AFF1129" s="13"/>
      <c r="AFG1129" s="13"/>
      <c r="AFH1129" s="13"/>
      <c r="AFI1129" s="13"/>
      <c r="AFJ1129" s="13"/>
      <c r="AFK1129" s="13"/>
      <c r="AFL1129" s="13"/>
      <c r="AFM1129" s="13"/>
      <c r="AFN1129" s="13"/>
      <c r="AFO1129" s="13"/>
      <c r="AFP1129" s="13"/>
      <c r="AFQ1129" s="13"/>
      <c r="AFR1129" s="13"/>
      <c r="AFS1129" s="13"/>
      <c r="AFT1129" s="13"/>
      <c r="AFU1129" s="13"/>
      <c r="AFV1129" s="13"/>
      <c r="AFW1129" s="13"/>
      <c r="AFX1129" s="13"/>
      <c r="AFY1129" s="13"/>
      <c r="AFZ1129" s="13"/>
      <c r="AGA1129" s="13"/>
      <c r="AGB1129" s="13"/>
      <c r="AGC1129" s="13"/>
      <c r="AGD1129" s="13"/>
      <c r="AGE1129" s="13"/>
      <c r="AGF1129" s="13"/>
      <c r="AGG1129" s="13"/>
      <c r="AGH1129" s="13"/>
      <c r="AGI1129" s="13"/>
      <c r="AGJ1129" s="13"/>
      <c r="AGK1129" s="13"/>
      <c r="AGL1129" s="13"/>
      <c r="AGM1129" s="13"/>
      <c r="AGN1129" s="13"/>
      <c r="AGO1129" s="13"/>
      <c r="AGP1129" s="13"/>
      <c r="AGQ1129" s="13"/>
      <c r="AGR1129" s="13"/>
      <c r="AGS1129" s="13"/>
      <c r="AGT1129" s="13"/>
      <c r="AGU1129" s="13"/>
      <c r="AGV1129" s="13"/>
      <c r="AGW1129" s="13"/>
      <c r="AGX1129" s="13"/>
      <c r="AGY1129" s="13"/>
      <c r="AGZ1129" s="13"/>
      <c r="AHA1129" s="13"/>
      <c r="AHB1129" s="13"/>
      <c r="AHC1129" s="13"/>
      <c r="AHD1129" s="13"/>
      <c r="AHE1129" s="13"/>
      <c r="AHF1129" s="13"/>
      <c r="AHG1129" s="13"/>
      <c r="AHH1129" s="13"/>
      <c r="AHI1129" s="13"/>
      <c r="AHJ1129" s="13"/>
      <c r="AHK1129" s="13"/>
      <c r="AHL1129" s="13"/>
      <c r="AHM1129" s="13"/>
      <c r="AHN1129" s="13"/>
      <c r="AHO1129" s="13"/>
      <c r="AHP1129" s="13"/>
      <c r="AHQ1129" s="13"/>
      <c r="AHR1129" s="13"/>
      <c r="AHS1129" s="13"/>
      <c r="AHT1129" s="13"/>
      <c r="AHU1129" s="13"/>
      <c r="AHV1129" s="13"/>
      <c r="AHW1129" s="13"/>
      <c r="AHX1129" s="13"/>
      <c r="AHY1129" s="13"/>
      <c r="AHZ1129" s="13"/>
      <c r="AIA1129" s="13"/>
      <c r="AIB1129" s="13"/>
      <c r="AIC1129" s="13"/>
      <c r="AID1129" s="13"/>
      <c r="AIE1129" s="13"/>
      <c r="AIF1129" s="13"/>
      <c r="AIG1129" s="13"/>
      <c r="AIH1129" s="13"/>
      <c r="AII1129" s="13"/>
      <c r="AIJ1129" s="13"/>
      <c r="AIK1129" s="13"/>
      <c r="AIL1129" s="13"/>
      <c r="AIM1129" s="13"/>
      <c r="AIN1129" s="13"/>
      <c r="AIO1129" s="13"/>
      <c r="AIP1129" s="13"/>
      <c r="AIQ1129" s="13"/>
      <c r="AIR1129" s="13"/>
      <c r="AIS1129" s="13"/>
      <c r="AIT1129" s="13"/>
      <c r="AIU1129" s="13"/>
      <c r="AIV1129" s="13"/>
      <c r="AIW1129" s="13"/>
      <c r="AIX1129" s="13"/>
      <c r="AIY1129" s="13"/>
      <c r="AIZ1129" s="13"/>
      <c r="AJA1129" s="13"/>
      <c r="AJB1129" s="13"/>
      <c r="AJC1129" s="13"/>
      <c r="AJD1129" s="13"/>
      <c r="AJE1129" s="13"/>
      <c r="AJF1129" s="13"/>
      <c r="AJG1129" s="13"/>
      <c r="AJH1129" s="13"/>
      <c r="AJI1129" s="13"/>
      <c r="AJJ1129" s="13"/>
      <c r="AJK1129" s="13"/>
      <c r="AJL1129" s="13"/>
      <c r="AJM1129" s="13"/>
      <c r="AJN1129" s="13"/>
      <c r="AJO1129" s="13"/>
      <c r="AJP1129" s="13"/>
      <c r="AJQ1129" s="13"/>
      <c r="AJR1129" s="13"/>
      <c r="AJS1129" s="13"/>
      <c r="AJT1129" s="13"/>
      <c r="AJU1129" s="13"/>
      <c r="AJV1129" s="13"/>
      <c r="AJW1129" s="13"/>
      <c r="AJX1129" s="13"/>
      <c r="AJY1129" s="13"/>
      <c r="AJZ1129" s="13"/>
      <c r="AKA1129" s="13"/>
      <c r="AKB1129" s="13"/>
      <c r="AKC1129" s="13"/>
      <c r="AKD1129" s="13"/>
      <c r="AKE1129" s="13"/>
      <c r="AKF1129" s="13"/>
      <c r="AKG1129" s="13"/>
      <c r="AKH1129" s="13"/>
      <c r="AKI1129" s="13"/>
      <c r="AKJ1129" s="13"/>
      <c r="AKK1129" s="13"/>
      <c r="AKL1129" s="13"/>
      <c r="AKM1129" s="13"/>
      <c r="AKN1129" s="13"/>
      <c r="AKO1129" s="13"/>
      <c r="AKP1129" s="13"/>
      <c r="AKQ1129" s="13"/>
      <c r="AKR1129" s="13"/>
      <c r="AKS1129" s="13"/>
      <c r="AKT1129" s="13"/>
      <c r="AKU1129" s="13"/>
      <c r="AKV1129" s="13"/>
      <c r="AKW1129" s="13"/>
      <c r="AKX1129" s="13"/>
      <c r="AKY1129" s="13"/>
      <c r="AKZ1129" s="13"/>
      <c r="ALA1129" s="13"/>
      <c r="ALB1129" s="13"/>
      <c r="ALC1129" s="13"/>
      <c r="ALD1129" s="13"/>
      <c r="ALE1129" s="13"/>
      <c r="ALF1129" s="13"/>
      <c r="ALG1129" s="13"/>
      <c r="ALH1129" s="13"/>
      <c r="ALI1129" s="13"/>
      <c r="ALJ1129" s="13"/>
      <c r="ALK1129" s="13"/>
      <c r="ALL1129" s="13"/>
      <c r="ALM1129" s="13"/>
      <c r="ALN1129" s="13"/>
      <c r="ALO1129" s="13"/>
      <c r="ALP1129" s="13"/>
      <c r="ALQ1129" s="13"/>
      <c r="ALR1129" s="13"/>
      <c r="ALS1129" s="13"/>
      <c r="ALT1129" s="13"/>
      <c r="ALU1129" s="13"/>
      <c r="ALV1129" s="13"/>
      <c r="ALW1129" s="13"/>
      <c r="ALX1129" s="13"/>
      <c r="ALY1129" s="13"/>
      <c r="ALZ1129" s="13"/>
      <c r="AMA1129" s="13"/>
      <c r="AMB1129" s="13"/>
      <c r="AMC1129" s="13"/>
      <c r="AMD1129" s="13"/>
      <c r="AME1129" s="13"/>
      <c r="AMF1129" s="13"/>
      <c r="AMG1129" s="13"/>
      <c r="AMH1129" s="13"/>
      <c r="AMI1129" s="13"/>
      <c r="AMJ1129" s="13"/>
      <c r="AMK1129" s="13"/>
      <c r="AML1129" s="13"/>
      <c r="AMM1129" s="13"/>
      <c r="AMN1129" s="13"/>
      <c r="AMO1129" s="13"/>
      <c r="AMP1129" s="13"/>
      <c r="AMQ1129" s="13"/>
      <c r="AMR1129" s="13"/>
      <c r="AMS1129" s="13"/>
      <c r="AMT1129" s="13"/>
      <c r="AMU1129" s="13"/>
      <c r="AMV1129" s="13"/>
      <c r="AMW1129" s="13"/>
      <c r="AMX1129" s="13"/>
      <c r="AMY1129" s="13"/>
      <c r="AMZ1129" s="13"/>
      <c r="ANA1129" s="13"/>
      <c r="ANB1129" s="13"/>
      <c r="ANC1129" s="13"/>
      <c r="AND1129" s="13"/>
      <c r="ANE1129" s="13"/>
      <c r="ANF1129" s="13"/>
      <c r="ANG1129" s="13"/>
      <c r="ANH1129" s="13"/>
      <c r="ANI1129" s="13"/>
      <c r="ANJ1129" s="13"/>
      <c r="ANK1129" s="13"/>
      <c r="ANL1129" s="13"/>
      <c r="ANM1129" s="13"/>
      <c r="ANN1129" s="13"/>
      <c r="ANO1129" s="13"/>
      <c r="ANP1129" s="13"/>
      <c r="ANQ1129" s="13"/>
      <c r="ANR1129" s="13"/>
      <c r="ANS1129" s="13"/>
      <c r="ANT1129" s="13"/>
      <c r="ANU1129" s="13"/>
      <c r="ANV1129" s="13"/>
      <c r="ANW1129" s="13"/>
      <c r="ANX1129" s="13"/>
      <c r="ANY1129" s="13"/>
      <c r="ANZ1129" s="13"/>
      <c r="AOA1129" s="13"/>
      <c r="AOB1129" s="13"/>
      <c r="AOC1129" s="13"/>
      <c r="AOD1129" s="13"/>
      <c r="AOE1129" s="13"/>
      <c r="AOF1129" s="13"/>
      <c r="AOG1129" s="13"/>
      <c r="AOH1129" s="13"/>
      <c r="AOI1129" s="13"/>
      <c r="AOJ1129" s="13"/>
      <c r="AOK1129" s="13"/>
      <c r="AOL1129" s="13"/>
      <c r="AOM1129" s="13"/>
      <c r="AON1129" s="13"/>
      <c r="AOO1129" s="13"/>
      <c r="AOP1129" s="13"/>
      <c r="AOQ1129" s="13"/>
      <c r="AOR1129" s="13"/>
      <c r="AOS1129" s="13"/>
      <c r="AOT1129" s="13"/>
      <c r="AOU1129" s="13"/>
      <c r="AOV1129" s="13"/>
      <c r="AOW1129" s="13"/>
      <c r="AOX1129" s="13"/>
      <c r="AOY1129" s="13"/>
      <c r="AOZ1129" s="13"/>
      <c r="APA1129" s="13"/>
      <c r="APB1129" s="13"/>
      <c r="APC1129" s="13"/>
      <c r="APD1129" s="13"/>
      <c r="APE1129" s="13"/>
      <c r="APF1129" s="13"/>
      <c r="APG1129" s="13"/>
      <c r="APH1129" s="13"/>
      <c r="API1129" s="13"/>
      <c r="APJ1129" s="13"/>
      <c r="APK1129" s="13"/>
      <c r="APL1129" s="13"/>
      <c r="APM1129" s="13"/>
      <c r="APN1129" s="13"/>
      <c r="APO1129" s="13"/>
      <c r="APP1129" s="13"/>
      <c r="APQ1129" s="13"/>
      <c r="APR1129" s="13"/>
      <c r="APS1129" s="13"/>
      <c r="APT1129" s="13"/>
      <c r="APU1129" s="13"/>
      <c r="APV1129" s="13"/>
      <c r="APW1129" s="13"/>
      <c r="APX1129" s="13"/>
      <c r="APY1129" s="13"/>
      <c r="APZ1129" s="13"/>
      <c r="AQA1129" s="13"/>
      <c r="AQB1129" s="13"/>
      <c r="AQC1129" s="13"/>
      <c r="AQD1129" s="13"/>
      <c r="AQE1129" s="13"/>
      <c r="AQF1129" s="13"/>
      <c r="AQG1129" s="13"/>
      <c r="AQH1129" s="13"/>
      <c r="AQI1129" s="13"/>
      <c r="AQJ1129" s="13"/>
      <c r="AQK1129" s="13"/>
      <c r="AQL1129" s="13"/>
      <c r="AQM1129" s="13"/>
      <c r="AQN1129" s="13"/>
      <c r="AQO1129" s="13"/>
      <c r="AQP1129" s="13"/>
      <c r="AQQ1129" s="13"/>
      <c r="AQR1129" s="13"/>
      <c r="AQS1129" s="13"/>
      <c r="AQT1129" s="13"/>
      <c r="AQU1129" s="13"/>
      <c r="AQV1129" s="13"/>
      <c r="AQW1129" s="13"/>
      <c r="AQX1129" s="13"/>
      <c r="AQY1129" s="13"/>
      <c r="AQZ1129" s="13"/>
      <c r="ARA1129" s="13"/>
      <c r="ARB1129" s="13"/>
      <c r="ARC1129" s="13"/>
      <c r="ARD1129" s="13"/>
      <c r="ARE1129" s="13"/>
      <c r="ARF1129" s="13"/>
      <c r="ARG1129" s="13"/>
      <c r="ARH1129" s="13"/>
      <c r="ARI1129" s="13"/>
      <c r="ARJ1129" s="13"/>
      <c r="ARK1129" s="13"/>
      <c r="ARL1129" s="13"/>
      <c r="ARM1129" s="13"/>
      <c r="ARN1129" s="13"/>
      <c r="ARO1129" s="13"/>
      <c r="ARP1129" s="13"/>
      <c r="ARQ1129" s="13"/>
      <c r="ARR1129" s="13"/>
      <c r="ARS1129" s="13"/>
      <c r="ART1129" s="13"/>
      <c r="ARU1129" s="13"/>
      <c r="ARV1129" s="13"/>
      <c r="ARW1129" s="13"/>
      <c r="ARX1129" s="13"/>
      <c r="ARY1129" s="13"/>
      <c r="ARZ1129" s="13"/>
      <c r="ASA1129" s="13"/>
      <c r="ASB1129" s="13"/>
      <c r="ASC1129" s="13"/>
      <c r="ASD1129" s="13"/>
      <c r="ASE1129" s="13"/>
      <c r="ASF1129" s="13"/>
      <c r="ASG1129" s="13"/>
      <c r="ASH1129" s="13"/>
      <c r="ASI1129" s="13"/>
      <c r="ASJ1129" s="13"/>
      <c r="ASK1129" s="13"/>
      <c r="ASL1129" s="13"/>
      <c r="ASM1129" s="13"/>
      <c r="ASN1129" s="13"/>
      <c r="ASO1129" s="13"/>
      <c r="ASP1129" s="13"/>
      <c r="ASQ1129" s="13"/>
      <c r="ASR1129" s="13"/>
      <c r="ASS1129" s="13"/>
      <c r="AST1129" s="13"/>
      <c r="ASU1129" s="13"/>
      <c r="ASV1129" s="13"/>
      <c r="ASW1129" s="13"/>
      <c r="ASX1129" s="13"/>
      <c r="ASY1129" s="13"/>
      <c r="ASZ1129" s="13"/>
      <c r="ATA1129" s="13"/>
      <c r="ATB1129" s="13"/>
      <c r="ATC1129" s="13"/>
      <c r="ATD1129" s="13"/>
      <c r="ATE1129" s="13"/>
      <c r="ATF1129" s="13"/>
      <c r="ATG1129" s="13"/>
      <c r="ATH1129" s="13"/>
      <c r="ATI1129" s="13"/>
      <c r="ATJ1129" s="13"/>
      <c r="ATK1129" s="13"/>
      <c r="ATL1129" s="13"/>
      <c r="ATM1129" s="13"/>
      <c r="ATN1129" s="13"/>
      <c r="ATO1129" s="13"/>
      <c r="ATP1129" s="13"/>
      <c r="ATQ1129" s="13"/>
      <c r="ATR1129" s="13"/>
      <c r="ATS1129" s="13"/>
      <c r="ATT1129" s="13"/>
      <c r="ATU1129" s="13"/>
      <c r="ATV1129" s="13"/>
      <c r="ATW1129" s="13"/>
      <c r="ATX1129" s="13"/>
      <c r="ATY1129" s="13"/>
      <c r="ATZ1129" s="13"/>
      <c r="AUA1129" s="13"/>
      <c r="AUB1129" s="13"/>
      <c r="AUC1129" s="13"/>
      <c r="AUD1129" s="13"/>
      <c r="AUE1129" s="13"/>
      <c r="AUF1129" s="13"/>
      <c r="AUG1129" s="13"/>
      <c r="AUH1129" s="13"/>
      <c r="AUI1129" s="13"/>
      <c r="AUJ1129" s="13"/>
      <c r="AUK1129" s="13"/>
      <c r="AUL1129" s="13"/>
      <c r="AUM1129" s="13"/>
      <c r="AUN1129" s="13"/>
      <c r="AUO1129" s="13"/>
      <c r="AUP1129" s="13"/>
      <c r="AUQ1129" s="13"/>
      <c r="AUR1129" s="13"/>
      <c r="AUS1129" s="13"/>
      <c r="AUT1129" s="13"/>
      <c r="AUU1129" s="13"/>
      <c r="AUV1129" s="13"/>
      <c r="AUW1129" s="13"/>
      <c r="AUX1129" s="13"/>
      <c r="AUY1129" s="13"/>
      <c r="AUZ1129" s="13"/>
      <c r="AVA1129" s="13"/>
      <c r="AVB1129" s="13"/>
      <c r="AVC1129" s="13"/>
      <c r="AVD1129" s="13"/>
      <c r="AVE1129" s="13"/>
      <c r="AVF1129" s="13"/>
      <c r="AVG1129" s="13"/>
      <c r="AVH1129" s="13"/>
      <c r="AVI1129" s="13"/>
      <c r="AVJ1129" s="13"/>
      <c r="AVK1129" s="13"/>
      <c r="AVL1129" s="13"/>
      <c r="AVM1129" s="13"/>
      <c r="AVN1129" s="13"/>
      <c r="AVO1129" s="13"/>
      <c r="AVP1129" s="13"/>
      <c r="AVQ1129" s="13"/>
      <c r="AVR1129" s="13"/>
      <c r="AVS1129" s="13"/>
      <c r="AVT1129" s="13"/>
      <c r="AVU1129" s="13"/>
      <c r="AVV1129" s="13"/>
      <c r="AVW1129" s="13"/>
      <c r="AVX1129" s="13"/>
      <c r="AVY1129" s="13"/>
      <c r="AVZ1129" s="13"/>
      <c r="AWA1129" s="13"/>
      <c r="AWB1129" s="13"/>
      <c r="AWC1129" s="13"/>
      <c r="AWD1129" s="13"/>
      <c r="AWE1129" s="13"/>
      <c r="AWF1129" s="13"/>
      <c r="AWG1129" s="13"/>
      <c r="AWH1129" s="13"/>
      <c r="AWI1129" s="13"/>
      <c r="AWJ1129" s="13"/>
      <c r="AWK1129" s="13"/>
      <c r="AWL1129" s="13"/>
      <c r="AWM1129" s="13"/>
      <c r="AWN1129" s="13"/>
      <c r="AWO1129" s="13"/>
      <c r="AWP1129" s="13"/>
      <c r="AWQ1129" s="13"/>
      <c r="AWR1129" s="13"/>
      <c r="AWS1129" s="13"/>
      <c r="AWT1129" s="13"/>
      <c r="AWU1129" s="13"/>
      <c r="AWV1129" s="13"/>
      <c r="AWW1129" s="13"/>
      <c r="AWX1129" s="13"/>
      <c r="AWY1129" s="13"/>
      <c r="AWZ1129" s="13"/>
      <c r="AXA1129" s="13"/>
      <c r="AXB1129" s="13"/>
      <c r="AXC1129" s="13"/>
      <c r="AXD1129" s="13"/>
      <c r="AXE1129" s="13"/>
      <c r="AXF1129" s="13"/>
      <c r="AXG1129" s="13"/>
      <c r="AXH1129" s="13"/>
      <c r="AXI1129" s="13"/>
      <c r="AXJ1129" s="13"/>
      <c r="AXK1129" s="13"/>
      <c r="AXL1129" s="13"/>
      <c r="AXM1129" s="13"/>
      <c r="AXN1129" s="13"/>
      <c r="AXO1129" s="13"/>
      <c r="AXP1129" s="13"/>
      <c r="AXQ1129" s="13"/>
      <c r="AXR1129" s="13"/>
      <c r="AXS1129" s="13"/>
      <c r="AXT1129" s="13"/>
      <c r="AXU1129" s="13"/>
      <c r="AXV1129" s="13"/>
      <c r="AXW1129" s="13"/>
      <c r="AXX1129" s="13"/>
      <c r="AXY1129" s="13"/>
      <c r="AXZ1129" s="13"/>
      <c r="AYA1129" s="13"/>
      <c r="AYB1129" s="13"/>
      <c r="AYC1129" s="13"/>
      <c r="AYD1129" s="13"/>
      <c r="AYE1129" s="13"/>
      <c r="AYF1129" s="13"/>
      <c r="AYG1129" s="13"/>
      <c r="AYH1129" s="13"/>
      <c r="AYI1129" s="13"/>
      <c r="AYJ1129" s="13"/>
      <c r="AYK1129" s="13"/>
      <c r="AYL1129" s="13"/>
      <c r="AYM1129" s="13"/>
      <c r="AYN1129" s="13"/>
      <c r="AYO1129" s="13"/>
      <c r="AYP1129" s="13"/>
      <c r="AYQ1129" s="13"/>
      <c r="AYR1129" s="13"/>
      <c r="AYS1129" s="13"/>
      <c r="AYT1129" s="13"/>
      <c r="AYU1129" s="13"/>
      <c r="AYV1129" s="13"/>
      <c r="AYW1129" s="13"/>
      <c r="AYX1129" s="13"/>
      <c r="AYY1129" s="13"/>
      <c r="AYZ1129" s="13"/>
      <c r="AZA1129" s="13"/>
      <c r="AZB1129" s="13"/>
      <c r="AZC1129" s="13"/>
      <c r="AZD1129" s="13"/>
      <c r="AZE1129" s="13"/>
      <c r="AZF1129" s="13"/>
      <c r="AZG1129" s="13"/>
      <c r="AZH1129" s="13"/>
      <c r="AZI1129" s="13"/>
      <c r="AZJ1129" s="13"/>
      <c r="AZK1129" s="13"/>
      <c r="AZL1129" s="13"/>
      <c r="AZM1129" s="13"/>
      <c r="AZN1129" s="13"/>
      <c r="AZO1129" s="13"/>
      <c r="AZP1129" s="13"/>
      <c r="AZQ1129" s="13"/>
      <c r="AZR1129" s="13"/>
      <c r="AZS1129" s="13"/>
      <c r="AZT1129" s="13"/>
      <c r="AZU1129" s="13"/>
      <c r="AZV1129" s="13"/>
      <c r="AZW1129" s="13"/>
      <c r="AZX1129" s="13"/>
      <c r="AZY1129" s="13"/>
      <c r="AZZ1129" s="13"/>
      <c r="BAA1129" s="13"/>
      <c r="BAB1129" s="13"/>
      <c r="BAC1129" s="13"/>
      <c r="BAD1129" s="13"/>
      <c r="BAE1129" s="13"/>
      <c r="BAF1129" s="13"/>
      <c r="BAG1129" s="13"/>
      <c r="BAH1129" s="13"/>
      <c r="BAI1129" s="13"/>
      <c r="BAJ1129" s="13"/>
      <c r="BAK1129" s="13"/>
      <c r="BAL1129" s="13"/>
      <c r="BAM1129" s="13"/>
      <c r="BAN1129" s="13"/>
      <c r="BAO1129" s="13"/>
      <c r="BAP1129" s="13"/>
      <c r="BAQ1129" s="13"/>
      <c r="BAR1129" s="13"/>
      <c r="BAS1129" s="13"/>
      <c r="BAT1129" s="13"/>
      <c r="BAU1129" s="13"/>
      <c r="BAV1129" s="13"/>
      <c r="BAW1129" s="13"/>
      <c r="BAX1129" s="13"/>
      <c r="BAY1129" s="13"/>
      <c r="BAZ1129" s="13"/>
      <c r="BBA1129" s="13"/>
      <c r="BBB1129" s="13"/>
      <c r="BBC1129" s="13"/>
      <c r="BBD1129" s="13"/>
      <c r="BBE1129" s="13"/>
      <c r="BBF1129" s="13"/>
      <c r="BBG1129" s="13"/>
      <c r="BBH1129" s="13"/>
      <c r="BBI1129" s="13"/>
      <c r="BBJ1129" s="13"/>
      <c r="BBK1129" s="13"/>
      <c r="BBL1129" s="13"/>
      <c r="BBM1129" s="13"/>
      <c r="BBN1129" s="13"/>
      <c r="BBO1129" s="13"/>
      <c r="BBP1129" s="13"/>
      <c r="BBQ1129" s="13"/>
      <c r="BBR1129" s="13"/>
      <c r="BBS1129" s="13"/>
      <c r="BBT1129" s="13"/>
      <c r="BBU1129" s="13"/>
      <c r="BBV1129" s="13"/>
      <c r="BBW1129" s="13"/>
      <c r="BBX1129" s="13"/>
      <c r="BBY1129" s="13"/>
      <c r="BBZ1129" s="13"/>
      <c r="BCA1129" s="13"/>
      <c r="BCB1129" s="13"/>
      <c r="BCC1129" s="13"/>
      <c r="BCD1129" s="13"/>
      <c r="BCE1129" s="13"/>
      <c r="BCF1129" s="13"/>
      <c r="BCG1129" s="13"/>
      <c r="BCH1129" s="13"/>
      <c r="BCI1129" s="13"/>
      <c r="BCJ1129" s="13"/>
      <c r="BCK1129" s="13"/>
      <c r="BCL1129" s="13"/>
      <c r="BCM1129" s="13"/>
      <c r="BCN1129" s="13"/>
      <c r="BCO1129" s="13"/>
      <c r="BCP1129" s="13"/>
      <c r="BCQ1129" s="13"/>
      <c r="BCR1129" s="13"/>
      <c r="BCS1129" s="13"/>
      <c r="BCT1129" s="13"/>
      <c r="BCU1129" s="13"/>
      <c r="BCV1129" s="13"/>
      <c r="BCW1129" s="13"/>
      <c r="BCX1129" s="13"/>
      <c r="BCY1129" s="13"/>
      <c r="BCZ1129" s="13"/>
      <c r="BDA1129" s="13"/>
      <c r="BDB1129" s="13"/>
      <c r="BDC1129" s="13"/>
      <c r="BDD1129" s="13"/>
      <c r="BDE1129" s="13"/>
      <c r="BDF1129" s="13"/>
      <c r="BDG1129" s="13"/>
      <c r="BDH1129" s="13"/>
      <c r="BDI1129" s="13"/>
      <c r="BDJ1129" s="13"/>
      <c r="BDK1129" s="13"/>
      <c r="BDL1129" s="13"/>
      <c r="BDM1129" s="13"/>
      <c r="BDN1129" s="13"/>
      <c r="BDO1129" s="13"/>
      <c r="BDP1129" s="13"/>
      <c r="BDQ1129" s="13"/>
      <c r="BDR1129" s="13"/>
      <c r="BDS1129" s="13"/>
      <c r="BDT1129" s="13"/>
      <c r="BDU1129" s="13"/>
      <c r="BDV1129" s="13"/>
      <c r="BDW1129" s="13"/>
      <c r="BDX1129" s="13"/>
      <c r="BDY1129" s="13"/>
      <c r="BDZ1129" s="13"/>
      <c r="BEA1129" s="13"/>
      <c r="BEB1129" s="13"/>
      <c r="BEC1129" s="13"/>
      <c r="BED1129" s="13"/>
      <c r="BEE1129" s="13"/>
      <c r="BEF1129" s="13"/>
      <c r="BEG1129" s="13"/>
      <c r="BEH1129" s="13"/>
      <c r="BEI1129" s="13"/>
      <c r="BEJ1129" s="13"/>
      <c r="BEK1129" s="13"/>
      <c r="BEL1129" s="13"/>
      <c r="BEM1129" s="13"/>
      <c r="BEN1129" s="13"/>
      <c r="BEO1129" s="13"/>
      <c r="BEP1129" s="13"/>
      <c r="BEQ1129" s="13"/>
      <c r="BER1129" s="13"/>
      <c r="BES1129" s="13"/>
      <c r="BET1129" s="13"/>
      <c r="BEU1129" s="13"/>
      <c r="BEV1129" s="13"/>
      <c r="BEW1129" s="13"/>
      <c r="BEX1129" s="13"/>
      <c r="BEY1129" s="13"/>
      <c r="BEZ1129" s="13"/>
      <c r="BFA1129" s="13"/>
      <c r="BFB1129" s="13"/>
      <c r="BFC1129" s="13"/>
      <c r="BFD1129" s="13"/>
      <c r="BFE1129" s="13"/>
      <c r="BFF1129" s="13"/>
      <c r="BFG1129" s="13"/>
      <c r="BFH1129" s="13"/>
      <c r="BFI1129" s="13"/>
      <c r="BFJ1129" s="13"/>
      <c r="BFK1129" s="13"/>
      <c r="BFL1129" s="13"/>
      <c r="BFM1129" s="13"/>
      <c r="BFN1129" s="13"/>
      <c r="BFO1129" s="13"/>
      <c r="BFP1129" s="13"/>
      <c r="BFQ1129" s="13"/>
      <c r="BFR1129" s="13"/>
      <c r="BFS1129" s="13"/>
      <c r="BFT1129" s="13"/>
      <c r="BFU1129" s="13"/>
      <c r="BFV1129" s="13"/>
      <c r="BFW1129" s="13"/>
      <c r="BFX1129" s="13"/>
      <c r="BFY1129" s="13"/>
      <c r="BFZ1129" s="13"/>
      <c r="BGA1129" s="13"/>
      <c r="BGB1129" s="13"/>
      <c r="BGC1129" s="13"/>
      <c r="BGD1129" s="13"/>
      <c r="BGE1129" s="13"/>
      <c r="BGF1129" s="13"/>
      <c r="BGG1129" s="13"/>
      <c r="BGH1129" s="13"/>
      <c r="BGI1129" s="13"/>
      <c r="BGJ1129" s="13"/>
      <c r="BGK1129" s="13"/>
      <c r="BGL1129" s="13"/>
      <c r="BGM1129" s="13"/>
      <c r="BGN1129" s="13"/>
      <c r="BGO1129" s="13"/>
      <c r="BGP1129" s="13"/>
      <c r="BGQ1129" s="13"/>
      <c r="BGR1129" s="13"/>
      <c r="BGS1129" s="13"/>
      <c r="BGT1129" s="13"/>
      <c r="BGU1129" s="13"/>
      <c r="BGV1129" s="13"/>
      <c r="BGW1129" s="13"/>
      <c r="BGX1129" s="13"/>
      <c r="BGY1129" s="13"/>
      <c r="BGZ1129" s="13"/>
      <c r="BHA1129" s="13"/>
      <c r="BHB1129" s="13"/>
      <c r="BHC1129" s="13"/>
      <c r="BHD1129" s="13"/>
      <c r="BHE1129" s="13"/>
      <c r="BHF1129" s="13"/>
      <c r="BHG1129" s="13"/>
      <c r="BHH1129" s="13"/>
      <c r="BHI1129" s="13"/>
      <c r="BHJ1129" s="13"/>
      <c r="BHK1129" s="13"/>
      <c r="BHL1129" s="13"/>
      <c r="BHM1129" s="13"/>
      <c r="BHN1129" s="13"/>
      <c r="BHO1129" s="13"/>
      <c r="BHP1129" s="13"/>
      <c r="BHQ1129" s="13"/>
      <c r="BHR1129" s="13"/>
      <c r="BHS1129" s="13"/>
      <c r="BHT1129" s="13"/>
      <c r="BHU1129" s="13"/>
      <c r="BHV1129" s="13"/>
      <c r="BHW1129" s="13"/>
      <c r="BHX1129" s="13"/>
      <c r="BHY1129" s="13"/>
      <c r="BHZ1129" s="13"/>
      <c r="BIA1129" s="13"/>
      <c r="BIB1129" s="13"/>
      <c r="BIC1129" s="13"/>
      <c r="BID1129" s="13"/>
      <c r="BIE1129" s="13"/>
      <c r="BIF1129" s="13"/>
      <c r="BIG1129" s="13"/>
      <c r="BIH1129" s="13"/>
      <c r="BII1129" s="13"/>
      <c r="BIJ1129" s="13"/>
      <c r="BIK1129" s="13"/>
      <c r="BIL1129" s="13"/>
      <c r="BIM1129" s="13"/>
      <c r="BIN1129" s="13"/>
      <c r="BIO1129" s="13"/>
      <c r="BIP1129" s="13"/>
      <c r="BIQ1129" s="13"/>
      <c r="BIR1129" s="13"/>
      <c r="BIS1129" s="13"/>
      <c r="BIT1129" s="13"/>
      <c r="BIU1129" s="13"/>
      <c r="BIV1129" s="13"/>
      <c r="BIW1129" s="13"/>
      <c r="BIX1129" s="13"/>
      <c r="BIY1129" s="13"/>
      <c r="BIZ1129" s="13"/>
      <c r="BJA1129" s="13"/>
      <c r="BJB1129" s="13"/>
      <c r="BJC1129" s="13"/>
      <c r="BJD1129" s="13"/>
      <c r="BJE1129" s="13"/>
      <c r="BJF1129" s="13"/>
      <c r="BJG1129" s="13"/>
      <c r="BJH1129" s="13"/>
      <c r="BJI1129" s="13"/>
      <c r="BJJ1129" s="13"/>
      <c r="BJK1129" s="13"/>
      <c r="BJL1129" s="13"/>
      <c r="BJM1129" s="13"/>
      <c r="BJN1129" s="13"/>
      <c r="BJO1129" s="13"/>
      <c r="BJP1129" s="13"/>
      <c r="BJQ1129" s="13"/>
      <c r="BJR1129" s="13"/>
      <c r="BJS1129" s="13"/>
      <c r="BJT1129" s="13"/>
      <c r="BJU1129" s="13"/>
      <c r="BJV1129" s="13"/>
      <c r="BJW1129" s="13"/>
      <c r="BJX1129" s="13"/>
      <c r="BJY1129" s="13"/>
      <c r="BJZ1129" s="13"/>
      <c r="BKA1129" s="13"/>
      <c r="BKB1129" s="13"/>
      <c r="BKC1129" s="13"/>
      <c r="BKD1129" s="13"/>
      <c r="BKE1129" s="13"/>
      <c r="BKF1129" s="13"/>
      <c r="BKG1129" s="13"/>
      <c r="BKH1129" s="13"/>
      <c r="BKI1129" s="13"/>
      <c r="BKJ1129" s="13"/>
      <c r="BKK1129" s="13"/>
      <c r="BKL1129" s="13"/>
      <c r="BKM1129" s="13"/>
      <c r="BKN1129" s="13"/>
      <c r="BKO1129" s="13"/>
      <c r="BKP1129" s="13"/>
      <c r="BKQ1129" s="13"/>
      <c r="BKR1129" s="13"/>
      <c r="BKS1129" s="13"/>
      <c r="BKT1129" s="13"/>
      <c r="BKU1129" s="13"/>
      <c r="BKV1129" s="13"/>
      <c r="BKW1129" s="13"/>
      <c r="BKX1129" s="13"/>
      <c r="BKY1129" s="13"/>
      <c r="BKZ1129" s="13"/>
      <c r="BLA1129" s="13"/>
      <c r="BLB1129" s="13"/>
      <c r="BLC1129" s="13"/>
      <c r="BLD1129" s="13"/>
      <c r="BLE1129" s="13"/>
      <c r="BLF1129" s="13"/>
      <c r="BLG1129" s="13"/>
      <c r="BLH1129" s="13"/>
      <c r="BLI1129" s="13"/>
      <c r="BLJ1129" s="13"/>
      <c r="BLK1129" s="13"/>
      <c r="BLL1129" s="13"/>
      <c r="BLM1129" s="13"/>
      <c r="BLN1129" s="13"/>
      <c r="BLO1129" s="13"/>
      <c r="BLP1129" s="13"/>
      <c r="BLQ1129" s="13"/>
      <c r="BLR1129" s="13"/>
      <c r="BLS1129" s="13"/>
      <c r="BLT1129" s="13"/>
      <c r="BLU1129" s="13"/>
      <c r="BLV1129" s="13"/>
      <c r="BLW1129" s="13"/>
      <c r="BLX1129" s="13"/>
      <c r="BLY1129" s="13"/>
      <c r="BLZ1129" s="13"/>
      <c r="BMA1129" s="13"/>
      <c r="BMB1129" s="13"/>
      <c r="BMC1129" s="13"/>
      <c r="BMD1129" s="13"/>
      <c r="BME1129" s="13"/>
      <c r="BMF1129" s="13"/>
      <c r="BMG1129" s="13"/>
      <c r="BMH1129" s="13"/>
      <c r="BMI1129" s="13"/>
      <c r="BMJ1129" s="13"/>
      <c r="BMK1129" s="13"/>
      <c r="BML1129" s="13"/>
      <c r="BMM1129" s="13"/>
      <c r="BMN1129" s="13"/>
      <c r="BMO1129" s="13"/>
      <c r="BMP1129" s="13"/>
      <c r="BMQ1129" s="13"/>
      <c r="BMR1129" s="13"/>
      <c r="BMS1129" s="13"/>
      <c r="BMT1129" s="13"/>
      <c r="BMU1129" s="13"/>
      <c r="BMV1129" s="13"/>
      <c r="BMW1129" s="13"/>
      <c r="BMX1129" s="13"/>
      <c r="BMY1129" s="13"/>
      <c r="BMZ1129" s="13"/>
      <c r="BNA1129" s="13"/>
      <c r="BNB1129" s="13"/>
      <c r="BNC1129" s="13"/>
      <c r="BND1129" s="13"/>
      <c r="BNE1129" s="13"/>
      <c r="BNF1129" s="13"/>
      <c r="BNG1129" s="13"/>
      <c r="BNH1129" s="13"/>
      <c r="BNI1129" s="13"/>
      <c r="BNJ1129" s="13"/>
      <c r="BNK1129" s="13"/>
      <c r="BNL1129" s="13"/>
      <c r="BNM1129" s="13"/>
      <c r="BNN1129" s="13"/>
      <c r="BNO1129" s="13"/>
      <c r="BNP1129" s="13"/>
      <c r="BNQ1129" s="13"/>
      <c r="BNR1129" s="13"/>
      <c r="BNS1129" s="13"/>
      <c r="BNT1129" s="13"/>
      <c r="BNU1129" s="13"/>
      <c r="BNV1129" s="13"/>
      <c r="BNW1129" s="13"/>
      <c r="BNX1129" s="13"/>
      <c r="BNY1129" s="13"/>
      <c r="BNZ1129" s="13"/>
      <c r="BOA1129" s="13"/>
      <c r="BOB1129" s="13"/>
      <c r="BOC1129" s="13"/>
      <c r="BOD1129" s="13"/>
      <c r="BOE1129" s="13"/>
      <c r="BOF1129" s="13"/>
      <c r="BOG1129" s="13"/>
      <c r="BOH1129" s="13"/>
      <c r="BOI1129" s="13"/>
      <c r="BOJ1129" s="13"/>
      <c r="BOK1129" s="13"/>
      <c r="BOL1129" s="13"/>
      <c r="BOM1129" s="13"/>
      <c r="BON1129" s="13"/>
      <c r="BOO1129" s="13"/>
      <c r="BOP1129" s="13"/>
      <c r="BOQ1129" s="13"/>
      <c r="BOR1129" s="13"/>
      <c r="BOS1129" s="13"/>
      <c r="BOT1129" s="13"/>
      <c r="BOU1129" s="13"/>
      <c r="BOV1129" s="13"/>
      <c r="BOW1129" s="13"/>
      <c r="BOX1129" s="13"/>
      <c r="BOY1129" s="13"/>
      <c r="BOZ1129" s="13"/>
      <c r="BPA1129" s="13"/>
      <c r="BPB1129" s="13"/>
      <c r="BPC1129" s="13"/>
      <c r="BPD1129" s="13"/>
      <c r="BPE1129" s="13"/>
      <c r="BPF1129" s="13"/>
      <c r="BPG1129" s="13"/>
      <c r="BPH1129" s="13"/>
      <c r="BPI1129" s="13"/>
      <c r="BPJ1129" s="13"/>
      <c r="BPK1129" s="13"/>
      <c r="BPL1129" s="13"/>
      <c r="BPM1129" s="13"/>
      <c r="BPN1129" s="13"/>
      <c r="BPO1129" s="13"/>
      <c r="BPP1129" s="13"/>
      <c r="BPQ1129" s="13"/>
      <c r="BPR1129" s="13"/>
      <c r="BPS1129" s="13"/>
      <c r="BPT1129" s="13"/>
      <c r="BPU1129" s="13"/>
      <c r="BPV1129" s="13"/>
      <c r="BPW1129" s="13"/>
      <c r="BPX1129" s="13"/>
      <c r="BPY1129" s="13"/>
      <c r="BPZ1129" s="13"/>
      <c r="BQA1129" s="13"/>
      <c r="BQB1129" s="13"/>
      <c r="BQC1129" s="13"/>
      <c r="BQD1129" s="13"/>
      <c r="BQE1129" s="13"/>
      <c r="BQF1129" s="13"/>
      <c r="BQG1129" s="13"/>
      <c r="BQH1129" s="13"/>
      <c r="BQI1129" s="13"/>
      <c r="BQJ1129" s="13"/>
      <c r="BQK1129" s="13"/>
      <c r="BQL1129" s="13"/>
      <c r="BQM1129" s="13"/>
      <c r="BQN1129" s="13"/>
      <c r="BQO1129" s="13"/>
      <c r="BQP1129" s="13"/>
      <c r="BQQ1129" s="13"/>
      <c r="BQR1129" s="13"/>
      <c r="BQS1129" s="13"/>
      <c r="BQT1129" s="13"/>
      <c r="BQU1129" s="13"/>
      <c r="BQV1129" s="13"/>
      <c r="BQW1129" s="13"/>
      <c r="BQX1129" s="13"/>
      <c r="BQY1129" s="13"/>
      <c r="BQZ1129" s="13"/>
      <c r="BRA1129" s="13"/>
      <c r="BRB1129" s="13"/>
      <c r="BRC1129" s="13"/>
      <c r="BRD1129" s="13"/>
      <c r="BRE1129" s="13"/>
      <c r="BRF1129" s="13"/>
      <c r="BRG1129" s="13"/>
      <c r="BRH1129" s="13"/>
      <c r="BRI1129" s="13"/>
      <c r="BRJ1129" s="13"/>
      <c r="BRK1129" s="13"/>
      <c r="BRL1129" s="13"/>
      <c r="BRM1129" s="13"/>
      <c r="BRN1129" s="13"/>
      <c r="BRO1129" s="13"/>
      <c r="BRP1129" s="13"/>
      <c r="BRQ1129" s="13"/>
      <c r="BRR1129" s="13"/>
      <c r="BRS1129" s="13"/>
      <c r="BRT1129" s="13"/>
      <c r="BRU1129" s="13"/>
      <c r="BRV1129" s="13"/>
      <c r="BRW1129" s="13"/>
      <c r="BRX1129" s="13"/>
      <c r="BRY1129" s="13"/>
      <c r="BRZ1129" s="13"/>
      <c r="BSA1129" s="13"/>
      <c r="BSB1129" s="13"/>
      <c r="BSC1129" s="13"/>
      <c r="BSD1129" s="13"/>
      <c r="BSE1129" s="13"/>
      <c r="BSF1129" s="13"/>
      <c r="BSG1129" s="13"/>
      <c r="BSH1129" s="13"/>
      <c r="BSI1129" s="13"/>
      <c r="BSJ1129" s="13"/>
      <c r="BSK1129" s="13"/>
      <c r="BSL1129" s="13"/>
      <c r="BSM1129" s="13"/>
      <c r="BSN1129" s="13"/>
      <c r="BSO1129" s="13"/>
      <c r="BSP1129" s="13"/>
      <c r="BSQ1129" s="13"/>
      <c r="BSR1129" s="13"/>
      <c r="BSS1129" s="13"/>
      <c r="BST1129" s="13"/>
      <c r="BSU1129" s="13"/>
      <c r="BSV1129" s="13"/>
      <c r="BSW1129" s="13"/>
      <c r="BSX1129" s="13"/>
      <c r="BSY1129" s="13"/>
      <c r="BSZ1129" s="13"/>
      <c r="BTA1129" s="13"/>
    </row>
    <row r="1130" spans="1:1873" s="61" customFormat="1" x14ac:dyDescent="0.2">
      <c r="A1130" s="65"/>
      <c r="B1130" s="29"/>
      <c r="C1130" s="65"/>
      <c r="D1130" s="65"/>
      <c r="E1130" s="66"/>
      <c r="F1130" s="66"/>
      <c r="G1130" s="65"/>
      <c r="H1130" s="68"/>
      <c r="I1130" s="65"/>
      <c r="J1130" s="65"/>
      <c r="K1130" s="65"/>
      <c r="L1130" s="65"/>
      <c r="M1130" s="67"/>
      <c r="N1130" s="67"/>
      <c r="O1130" s="65"/>
      <c r="P1130" s="67"/>
      <c r="Q1130" s="65"/>
      <c r="R1130" s="67"/>
      <c r="S1130" s="65"/>
      <c r="T1130" s="67"/>
      <c r="U1130" s="65"/>
      <c r="V1130" s="65"/>
      <c r="W1130" s="67"/>
      <c r="X1130" s="65"/>
      <c r="Y1130" s="65"/>
      <c r="Z1130" s="65"/>
      <c r="AA1130" s="65"/>
      <c r="AB1130" s="67"/>
      <c r="AC1130" s="65"/>
      <c r="AD1130" s="65"/>
      <c r="AE1130" s="65"/>
      <c r="AF1130" s="65"/>
      <c r="AG1130" s="65"/>
      <c r="AH1130" s="65"/>
      <c r="AI1130" s="65"/>
      <c r="AJ1130" s="65"/>
      <c r="AK1130" s="65"/>
      <c r="AL1130" s="65"/>
      <c r="AM1130" s="65"/>
      <c r="AN1130" s="65"/>
      <c r="AO1130" s="65"/>
      <c r="AP1130" s="65"/>
      <c r="AQ1130" s="65"/>
      <c r="AR1130" s="65"/>
      <c r="AS1130" s="65"/>
      <c r="AT1130" s="65"/>
      <c r="AU1130" s="65"/>
      <c r="AV1130" s="65"/>
      <c r="AW1130" s="65"/>
      <c r="AX1130" s="65"/>
      <c r="AY1130" s="65"/>
      <c r="AZ1130" s="65"/>
      <c r="BA1130" s="65"/>
      <c r="BB1130" s="65"/>
      <c r="BC1130" s="65"/>
      <c r="BD1130" s="65"/>
      <c r="BE1130" s="65"/>
      <c r="BF1130" s="65"/>
      <c r="BG1130" s="65"/>
      <c r="BH1130" s="65"/>
      <c r="BI1130" s="65"/>
      <c r="BJ1130" s="65"/>
      <c r="BK1130" s="65"/>
      <c r="BL1130" s="65"/>
      <c r="BM1130" s="65"/>
      <c r="BN1130" s="65"/>
      <c r="BO1130" s="65"/>
      <c r="BP1130" s="65"/>
      <c r="BQ1130" s="65"/>
      <c r="BR1130" s="65"/>
      <c r="BS1130" s="68"/>
      <c r="BT1130" s="65"/>
      <c r="BU1130" s="65"/>
      <c r="BV1130" s="65"/>
      <c r="BW1130" s="65"/>
      <c r="BX1130" s="65"/>
      <c r="BY1130" s="65"/>
      <c r="BZ1130" s="65"/>
      <c r="CA1130" s="69"/>
      <c r="CC1130" s="66"/>
      <c r="CD1130" s="65"/>
      <c r="CE1130" s="340"/>
      <c r="CF1130" s="340"/>
      <c r="CG1130" s="68"/>
    </row>
    <row r="1131" spans="1:1873" s="61" customFormat="1" x14ac:dyDescent="0.2">
      <c r="A1131" s="18" t="s">
        <v>1428</v>
      </c>
      <c r="B1131" s="29"/>
      <c r="C1131" s="65"/>
      <c r="D1131" s="65"/>
      <c r="E1131" s="65"/>
      <c r="F1131" s="65"/>
      <c r="G1131" s="65"/>
      <c r="H1131" s="68"/>
      <c r="I1131" s="65"/>
      <c r="J1131" s="65"/>
      <c r="K1131" s="65"/>
      <c r="L1131" s="65"/>
      <c r="M1131" s="67"/>
      <c r="N1131" s="65"/>
      <c r="O1131" s="65"/>
      <c r="P1131" s="67"/>
      <c r="Q1131" s="65"/>
      <c r="R1131" s="67"/>
      <c r="S1131" s="65"/>
      <c r="T1131" s="67"/>
      <c r="U1131" s="65"/>
      <c r="V1131" s="65"/>
      <c r="W1131" s="67"/>
      <c r="X1131" s="65"/>
      <c r="Y1131" s="65"/>
      <c r="Z1131" s="65"/>
      <c r="AA1131" s="65"/>
      <c r="AB1131" s="67"/>
      <c r="AC1131" s="65"/>
      <c r="AD1131" s="65"/>
      <c r="AE1131" s="65"/>
      <c r="AF1131" s="65"/>
      <c r="AG1131" s="65"/>
      <c r="AH1131" s="65"/>
      <c r="AI1131" s="65"/>
      <c r="AJ1131" s="65"/>
      <c r="AK1131" s="65"/>
      <c r="AL1131" s="65"/>
      <c r="AM1131" s="65"/>
      <c r="AN1131" s="65"/>
      <c r="AO1131" s="65"/>
      <c r="AP1131" s="65"/>
      <c r="AQ1131" s="65"/>
      <c r="AR1131" s="65"/>
      <c r="AS1131" s="65"/>
      <c r="AT1131" s="65"/>
      <c r="AU1131" s="65"/>
      <c r="AV1131" s="65"/>
      <c r="AW1131" s="65"/>
      <c r="AX1131" s="65"/>
      <c r="AY1131" s="65"/>
      <c r="AZ1131" s="65"/>
      <c r="BA1131" s="65"/>
      <c r="BB1131" s="65"/>
      <c r="BC1131" s="65"/>
      <c r="BD1131" s="65"/>
      <c r="BE1131" s="65"/>
      <c r="BF1131" s="65"/>
      <c r="BG1131" s="65"/>
      <c r="BH1131" s="65"/>
      <c r="BI1131" s="65"/>
      <c r="BJ1131" s="18"/>
      <c r="BK1131" s="18"/>
      <c r="BL1131" s="65"/>
      <c r="BM1131" s="65"/>
      <c r="BN1131" s="65"/>
      <c r="BO1131" s="65"/>
      <c r="BP1131" s="65"/>
      <c r="BQ1131" s="65"/>
      <c r="BR1131" s="65"/>
      <c r="BS1131" s="68"/>
      <c r="BT1131" s="65"/>
      <c r="BU1131" s="65"/>
      <c r="BV1131" s="65"/>
      <c r="BW1131" s="65"/>
      <c r="BX1131" s="65"/>
      <c r="BY1131" s="65"/>
      <c r="BZ1131" s="65"/>
      <c r="CA1131" s="69"/>
      <c r="CC1131" s="65"/>
      <c r="CD1131" s="65"/>
      <c r="CE1131" s="342" t="s">
        <v>1661</v>
      </c>
      <c r="CF1131" s="340"/>
      <c r="CG1131" s="68"/>
    </row>
    <row r="1132" spans="1:1873" s="215" customFormat="1" ht="14.25" x14ac:dyDescent="0.25">
      <c r="A1132" s="259" t="s">
        <v>852</v>
      </c>
      <c r="B1132" s="259" t="s">
        <v>853</v>
      </c>
      <c r="C1132" s="259" t="s">
        <v>854</v>
      </c>
      <c r="D1132" s="259" t="s">
        <v>1400</v>
      </c>
      <c r="E1132" s="259" t="s">
        <v>855</v>
      </c>
      <c r="F1132" s="259">
        <v>1</v>
      </c>
      <c r="G1132" s="259">
        <v>6</v>
      </c>
      <c r="H1132" s="260">
        <v>6</v>
      </c>
      <c r="I1132" s="259" t="s">
        <v>1210</v>
      </c>
      <c r="J1132" s="259">
        <v>1995</v>
      </c>
      <c r="K1132" s="259" t="s">
        <v>1210</v>
      </c>
      <c r="L1132" s="259">
        <v>2001</v>
      </c>
      <c r="M1132" s="288">
        <v>-9999</v>
      </c>
      <c r="N1132" s="259">
        <v>-9999</v>
      </c>
      <c r="O1132" s="18"/>
      <c r="P1132" s="288">
        <f>62.6-4.8</f>
        <v>57.800000000000004</v>
      </c>
      <c r="Q1132" s="259">
        <v>-9999</v>
      </c>
      <c r="R1132" s="288"/>
      <c r="S1132" s="259"/>
      <c r="T1132" s="590">
        <f>+P1132/G1132</f>
        <v>9.6333333333333346</v>
      </c>
      <c r="U1132" s="259">
        <v>-9999</v>
      </c>
      <c r="V1132" s="259"/>
      <c r="W1132" s="288">
        <v>-9999</v>
      </c>
      <c r="X1132" s="259">
        <v>-9999</v>
      </c>
      <c r="Y1132" s="259"/>
      <c r="Z1132" s="259" t="s">
        <v>1708</v>
      </c>
      <c r="AA1132" s="259">
        <v>1070</v>
      </c>
      <c r="AB1132" s="288">
        <v>-9999</v>
      </c>
      <c r="AC1132" s="259">
        <v>5</v>
      </c>
      <c r="AD1132" s="259">
        <v>1866</v>
      </c>
      <c r="AE1132" s="259" t="s">
        <v>1948</v>
      </c>
      <c r="AF1132" s="259">
        <v>4</v>
      </c>
      <c r="AG1132" s="259" t="s">
        <v>843</v>
      </c>
      <c r="AH1132" s="259" t="s">
        <v>857</v>
      </c>
      <c r="AI1132" s="259" t="s">
        <v>858</v>
      </c>
      <c r="AJ1132" s="259" t="s">
        <v>859</v>
      </c>
      <c r="AK1132" s="259" t="s">
        <v>860</v>
      </c>
      <c r="AL1132" s="259" t="s">
        <v>828</v>
      </c>
      <c r="AM1132" s="259" t="s">
        <v>861</v>
      </c>
      <c r="AN1132" s="259" t="s">
        <v>626</v>
      </c>
      <c r="AO1132" s="259" t="s">
        <v>826</v>
      </c>
      <c r="AP1132" s="259" t="s">
        <v>862</v>
      </c>
      <c r="AQ1132" s="259" t="s">
        <v>626</v>
      </c>
      <c r="AR1132" s="259">
        <v>480</v>
      </c>
      <c r="AS1132" s="259" t="s">
        <v>542</v>
      </c>
      <c r="AT1132" s="259" t="s">
        <v>541</v>
      </c>
      <c r="AU1132" s="259">
        <v>126</v>
      </c>
      <c r="AV1132" s="259" t="s">
        <v>543</v>
      </c>
      <c r="AW1132" s="259" t="s">
        <v>541</v>
      </c>
      <c r="AX1132" s="259">
        <v>510</v>
      </c>
      <c r="AY1132" s="259" t="s">
        <v>544</v>
      </c>
      <c r="AZ1132" s="259" t="s">
        <v>541</v>
      </c>
      <c r="BA1132" s="259">
        <v>-9999</v>
      </c>
      <c r="BB1132" s="259" t="s">
        <v>626</v>
      </c>
      <c r="BC1132" s="259" t="s">
        <v>864</v>
      </c>
      <c r="BD1132" s="259"/>
      <c r="BE1132" s="259" t="s">
        <v>865</v>
      </c>
      <c r="BF1132" s="259" t="s">
        <v>863</v>
      </c>
      <c r="BG1132" s="259">
        <v>-9999</v>
      </c>
      <c r="BH1132" s="259">
        <v>-9999</v>
      </c>
      <c r="BI1132" s="259" t="s">
        <v>866</v>
      </c>
      <c r="BJ1132" s="259">
        <v>-9999</v>
      </c>
      <c r="BK1132" s="259">
        <v>-9999</v>
      </c>
      <c r="BL1132" s="259">
        <v>9.49</v>
      </c>
      <c r="BM1132" s="259">
        <v>0.11</v>
      </c>
      <c r="BN1132" s="259">
        <v>13.1</v>
      </c>
      <c r="BO1132" s="259">
        <v>0.17</v>
      </c>
      <c r="BP1132" s="259">
        <v>-9999</v>
      </c>
      <c r="BQ1132" s="259">
        <v>-9999</v>
      </c>
      <c r="BR1132" s="259">
        <v>18.98</v>
      </c>
      <c r="BS1132" s="260">
        <v>-9999</v>
      </c>
      <c r="BT1132" s="259">
        <v>-9999</v>
      </c>
      <c r="BU1132" s="259">
        <v>-9999</v>
      </c>
      <c r="BV1132" s="259">
        <v>-9999</v>
      </c>
      <c r="BW1132" s="259"/>
      <c r="BX1132" s="259">
        <v>-9999</v>
      </c>
      <c r="BY1132" s="259">
        <v>-9999</v>
      </c>
      <c r="BZ1132" s="259">
        <v>-9999</v>
      </c>
      <c r="CA1132" s="337" t="s">
        <v>867</v>
      </c>
      <c r="CB1132" s="591" t="s">
        <v>757</v>
      </c>
      <c r="CC1132" s="259">
        <v>1</v>
      </c>
      <c r="CD1132" s="259" t="s">
        <v>854</v>
      </c>
      <c r="CE1132" s="99">
        <v>9.6333333333333346</v>
      </c>
      <c r="CF1132" s="99">
        <v>-9999</v>
      </c>
      <c r="CG1132" s="212">
        <v>6</v>
      </c>
      <c r="CH1132" s="13" t="s">
        <v>1757</v>
      </c>
      <c r="CI1132" s="13"/>
      <c r="CJ1132" s="13"/>
      <c r="CK1132" s="13"/>
      <c r="CL1132" s="13"/>
      <c r="CM1132" s="13"/>
      <c r="CN1132" s="13"/>
      <c r="CO1132" s="13"/>
      <c r="CP1132" s="13"/>
      <c r="CQ1132" s="13"/>
      <c r="CR1132" s="13"/>
      <c r="CS1132" s="13"/>
      <c r="CT1132" s="13"/>
      <c r="CU1132" s="13"/>
      <c r="CV1132" s="13"/>
      <c r="CW1132" s="13"/>
      <c r="CX1132" s="13"/>
      <c r="CY1132" s="13"/>
      <c r="CZ1132" s="13"/>
      <c r="DA1132" s="13"/>
      <c r="DB1132" s="13"/>
      <c r="DC1132" s="13"/>
      <c r="DD1132" s="13"/>
      <c r="DE1132" s="13"/>
      <c r="DF1132" s="13"/>
      <c r="DG1132" s="13"/>
      <c r="DH1132" s="13"/>
      <c r="DI1132" s="13"/>
      <c r="DJ1132" s="13"/>
      <c r="DK1132" s="13"/>
      <c r="DL1132" s="13"/>
      <c r="DM1132" s="13"/>
      <c r="DN1132" s="13"/>
      <c r="DO1132" s="13"/>
      <c r="DP1132" s="13"/>
      <c r="DQ1132" s="13"/>
      <c r="DR1132" s="13"/>
      <c r="DS1132" s="13"/>
      <c r="DT1132" s="13"/>
      <c r="DU1132" s="13"/>
      <c r="DV1132" s="13"/>
      <c r="DW1132" s="13"/>
      <c r="DX1132" s="13"/>
      <c r="DY1132" s="13"/>
      <c r="DZ1132" s="13"/>
      <c r="EA1132" s="13"/>
      <c r="EB1132" s="13"/>
      <c r="EC1132" s="13"/>
      <c r="ED1132" s="13"/>
      <c r="EE1132" s="13"/>
      <c r="EF1132" s="13"/>
      <c r="EG1132" s="13"/>
      <c r="EH1132" s="13"/>
      <c r="EI1132" s="13"/>
      <c r="EJ1132" s="13"/>
      <c r="EK1132" s="13"/>
      <c r="EL1132" s="13"/>
      <c r="EM1132" s="13"/>
      <c r="EN1132" s="13"/>
      <c r="EO1132" s="13"/>
      <c r="EP1132" s="13"/>
      <c r="EQ1132" s="13"/>
      <c r="ER1132" s="13"/>
      <c r="ES1132" s="13"/>
      <c r="ET1132" s="13"/>
      <c r="EU1132" s="13"/>
      <c r="EV1132" s="13"/>
      <c r="EW1132" s="13"/>
      <c r="EX1132" s="13"/>
      <c r="EY1132" s="13"/>
      <c r="EZ1132" s="13"/>
      <c r="FA1132" s="13"/>
      <c r="FB1132" s="13"/>
      <c r="FC1132" s="13"/>
      <c r="FD1132" s="13"/>
      <c r="FE1132" s="13"/>
      <c r="FF1132" s="13"/>
      <c r="FG1132" s="13"/>
      <c r="FH1132" s="13"/>
      <c r="FI1132" s="13"/>
      <c r="FJ1132" s="13"/>
      <c r="FK1132" s="13"/>
      <c r="FL1132" s="13"/>
      <c r="FM1132" s="13"/>
      <c r="FN1132" s="13"/>
      <c r="FO1132" s="13"/>
      <c r="FP1132" s="13"/>
      <c r="FQ1132" s="13"/>
      <c r="FR1132" s="13"/>
      <c r="FS1132" s="13"/>
      <c r="FT1132" s="13"/>
      <c r="FU1132" s="13"/>
      <c r="FV1132" s="13"/>
      <c r="FW1132" s="13"/>
      <c r="FX1132" s="13"/>
      <c r="FY1132" s="13"/>
      <c r="FZ1132" s="13"/>
      <c r="GA1132" s="13"/>
      <c r="GB1132" s="13"/>
      <c r="GC1132" s="13"/>
      <c r="GD1132" s="13"/>
      <c r="GE1132" s="13"/>
      <c r="GF1132" s="13"/>
      <c r="GG1132" s="13"/>
      <c r="GH1132" s="13"/>
      <c r="GI1132" s="13"/>
      <c r="GJ1132" s="13"/>
      <c r="GK1132" s="13"/>
      <c r="GL1132" s="13"/>
      <c r="GM1132" s="13"/>
      <c r="GN1132" s="13"/>
      <c r="GO1132" s="13"/>
      <c r="GP1132" s="13"/>
      <c r="GQ1132" s="13"/>
      <c r="GR1132" s="13"/>
      <c r="GS1132" s="13"/>
      <c r="GT1132" s="13"/>
      <c r="GU1132" s="13"/>
      <c r="GV1132" s="13"/>
      <c r="GW1132" s="13"/>
      <c r="GX1132" s="13"/>
      <c r="GY1132" s="13"/>
      <c r="GZ1132" s="13"/>
      <c r="HA1132" s="13"/>
      <c r="HB1132" s="13"/>
      <c r="HC1132" s="13"/>
      <c r="HD1132" s="13"/>
      <c r="HE1132" s="13"/>
      <c r="HF1132" s="13"/>
      <c r="HG1132" s="13"/>
      <c r="HH1132" s="13"/>
      <c r="HI1132" s="13"/>
      <c r="HJ1132" s="13"/>
      <c r="HK1132" s="13"/>
      <c r="HL1132" s="13"/>
      <c r="HM1132" s="13"/>
      <c r="HN1132" s="13"/>
      <c r="HO1132" s="13"/>
      <c r="HP1132" s="13"/>
      <c r="HQ1132" s="13"/>
      <c r="HR1132" s="13"/>
      <c r="HS1132" s="13"/>
      <c r="HT1132" s="13"/>
      <c r="HU1132" s="13"/>
      <c r="HV1132" s="13"/>
      <c r="HW1132" s="13"/>
      <c r="HX1132" s="13"/>
      <c r="HY1132" s="13"/>
      <c r="HZ1132" s="13"/>
      <c r="IA1132" s="13"/>
      <c r="IB1132" s="13"/>
      <c r="IC1132" s="13"/>
      <c r="ID1132" s="13"/>
      <c r="IE1132" s="13"/>
      <c r="IF1132" s="13"/>
      <c r="IG1132" s="13"/>
      <c r="IH1132" s="13"/>
      <c r="II1132" s="13"/>
      <c r="IJ1132" s="13"/>
      <c r="IK1132" s="13"/>
      <c r="IL1132" s="13"/>
      <c r="IM1132" s="13"/>
      <c r="IN1132" s="13"/>
      <c r="IO1132" s="13"/>
      <c r="IP1132" s="13"/>
      <c r="IQ1132" s="13"/>
      <c r="IR1132" s="13"/>
      <c r="IS1132" s="13"/>
      <c r="IT1132" s="13"/>
      <c r="IU1132" s="13"/>
      <c r="IV1132" s="13"/>
      <c r="IW1132" s="13"/>
      <c r="IX1132" s="13"/>
      <c r="IY1132" s="13"/>
      <c r="IZ1132" s="13"/>
      <c r="JA1132" s="13"/>
      <c r="JB1132" s="13"/>
      <c r="JC1132" s="13"/>
      <c r="JD1132" s="13"/>
      <c r="JE1132" s="13"/>
      <c r="JF1132" s="13"/>
      <c r="JG1132" s="13"/>
      <c r="JH1132" s="13"/>
      <c r="JI1132" s="13"/>
      <c r="JJ1132" s="13"/>
      <c r="JK1132" s="13"/>
      <c r="JL1132" s="13"/>
      <c r="JM1132" s="13"/>
      <c r="JN1132" s="13"/>
      <c r="JO1132" s="13"/>
      <c r="JP1132" s="13"/>
      <c r="JQ1132" s="13"/>
      <c r="JR1132" s="13"/>
      <c r="JS1132" s="13"/>
      <c r="JT1132" s="13"/>
      <c r="JU1132" s="13"/>
      <c r="JV1132" s="13"/>
      <c r="JW1132" s="13"/>
      <c r="JX1132" s="13"/>
      <c r="JY1132" s="13"/>
      <c r="JZ1132" s="13"/>
      <c r="KA1132" s="13"/>
      <c r="KB1132" s="13"/>
      <c r="KC1132" s="13"/>
      <c r="KD1132" s="13"/>
      <c r="KE1132" s="13"/>
      <c r="KF1132" s="13"/>
      <c r="KG1132" s="13"/>
      <c r="KH1132" s="13"/>
      <c r="KI1132" s="13"/>
      <c r="KJ1132" s="13"/>
      <c r="KK1132" s="13"/>
      <c r="KL1132" s="13"/>
      <c r="KM1132" s="13"/>
      <c r="KN1132" s="13"/>
      <c r="KO1132" s="13"/>
      <c r="KP1132" s="13"/>
      <c r="KQ1132" s="13"/>
      <c r="KR1132" s="13"/>
      <c r="KS1132" s="13"/>
      <c r="KT1132" s="13"/>
      <c r="KU1132" s="13"/>
      <c r="KV1132" s="13"/>
      <c r="KW1132" s="13"/>
      <c r="KX1132" s="13"/>
      <c r="KY1132" s="13"/>
      <c r="KZ1132" s="13"/>
      <c r="LA1132" s="13"/>
      <c r="LB1132" s="13"/>
      <c r="LC1132" s="13"/>
      <c r="LD1132" s="13"/>
      <c r="LE1132" s="13"/>
      <c r="LF1132" s="13"/>
      <c r="LG1132" s="13"/>
      <c r="LH1132" s="13"/>
      <c r="LI1132" s="13"/>
      <c r="LJ1132" s="13"/>
      <c r="LK1132" s="13"/>
      <c r="LL1132" s="13"/>
      <c r="LM1132" s="13"/>
      <c r="LN1132" s="13"/>
      <c r="LO1132" s="13"/>
      <c r="LP1132" s="13"/>
      <c r="LQ1132" s="13"/>
      <c r="LR1132" s="13"/>
      <c r="LS1132" s="13"/>
      <c r="LT1132" s="13"/>
      <c r="LU1132" s="13"/>
      <c r="LV1132" s="13"/>
      <c r="LW1132" s="13"/>
      <c r="LX1132" s="13"/>
      <c r="LY1132" s="13"/>
      <c r="LZ1132" s="13"/>
      <c r="MA1132" s="13"/>
      <c r="MB1132" s="13"/>
      <c r="MC1132" s="13"/>
      <c r="MD1132" s="13"/>
      <c r="ME1132" s="13"/>
      <c r="MF1132" s="13"/>
      <c r="MG1132" s="13"/>
      <c r="MH1132" s="13"/>
      <c r="MI1132" s="13"/>
      <c r="MJ1132" s="13"/>
      <c r="MK1132" s="13"/>
      <c r="ML1132" s="13"/>
      <c r="MM1132" s="13"/>
      <c r="MN1132" s="13"/>
      <c r="MO1132" s="13"/>
      <c r="MP1132" s="13"/>
      <c r="MQ1132" s="13"/>
      <c r="MR1132" s="13"/>
      <c r="MS1132" s="13"/>
      <c r="MT1132" s="13"/>
      <c r="MU1132" s="13"/>
      <c r="MV1132" s="13"/>
      <c r="MW1132" s="13"/>
      <c r="MX1132" s="13"/>
      <c r="MY1132" s="13"/>
      <c r="MZ1132" s="13"/>
      <c r="NA1132" s="13"/>
      <c r="NB1132" s="13"/>
      <c r="NC1132" s="13"/>
      <c r="ND1132" s="13"/>
      <c r="NE1132" s="13"/>
      <c r="NF1132" s="13"/>
      <c r="NG1132" s="13"/>
      <c r="NH1132" s="13"/>
      <c r="NI1132" s="13"/>
      <c r="NJ1132" s="13"/>
      <c r="NK1132" s="13"/>
      <c r="NL1132" s="13"/>
      <c r="NM1132" s="13"/>
      <c r="NN1132" s="13"/>
      <c r="NO1132" s="13"/>
      <c r="NP1132" s="13"/>
      <c r="NQ1132" s="13"/>
      <c r="NR1132" s="13"/>
      <c r="NS1132" s="13"/>
      <c r="NT1132" s="13"/>
      <c r="NU1132" s="13"/>
      <c r="NV1132" s="13"/>
      <c r="NW1132" s="13"/>
      <c r="NX1132" s="13"/>
      <c r="NY1132" s="13"/>
      <c r="NZ1132" s="13"/>
      <c r="OA1132" s="13"/>
      <c r="OB1132" s="13"/>
      <c r="OC1132" s="13"/>
      <c r="OD1132" s="13"/>
      <c r="OE1132" s="13"/>
      <c r="OF1132" s="13"/>
      <c r="OG1132" s="13"/>
      <c r="OH1132" s="13"/>
      <c r="OI1132" s="13"/>
      <c r="OJ1132" s="13"/>
      <c r="OK1132" s="13"/>
      <c r="OL1132" s="13"/>
      <c r="OM1132" s="13"/>
      <c r="ON1132" s="13"/>
      <c r="OO1132" s="13"/>
      <c r="OP1132" s="13"/>
      <c r="OQ1132" s="13"/>
      <c r="OR1132" s="13"/>
      <c r="OS1132" s="13"/>
      <c r="OT1132" s="13"/>
      <c r="OU1132" s="13"/>
      <c r="OV1132" s="13"/>
      <c r="OW1132" s="13"/>
      <c r="OX1132" s="13"/>
      <c r="OY1132" s="13"/>
      <c r="OZ1132" s="13"/>
      <c r="PA1132" s="13"/>
      <c r="PB1132" s="13"/>
      <c r="PC1132" s="13"/>
      <c r="PD1132" s="13"/>
      <c r="PE1132" s="13"/>
      <c r="PF1132" s="13"/>
      <c r="PG1132" s="13"/>
      <c r="PH1132" s="13"/>
      <c r="PI1132" s="13"/>
      <c r="PJ1132" s="13"/>
      <c r="PK1132" s="13"/>
      <c r="PL1132" s="13"/>
      <c r="PM1132" s="13"/>
      <c r="PN1132" s="13"/>
      <c r="PO1132" s="13"/>
      <c r="PP1132" s="13"/>
      <c r="PQ1132" s="13"/>
      <c r="PR1132" s="13"/>
      <c r="PS1132" s="13"/>
      <c r="PT1132" s="13"/>
      <c r="PU1132" s="13"/>
      <c r="PV1132" s="13"/>
      <c r="PW1132" s="13"/>
      <c r="PX1132" s="13"/>
      <c r="PY1132" s="13"/>
      <c r="PZ1132" s="13"/>
      <c r="QA1132" s="13"/>
      <c r="QB1132" s="13"/>
      <c r="QC1132" s="13"/>
      <c r="QD1132" s="13"/>
      <c r="QE1132" s="13"/>
      <c r="QF1132" s="13"/>
      <c r="QG1132" s="13"/>
      <c r="QH1132" s="13"/>
      <c r="QI1132" s="13"/>
      <c r="QJ1132" s="13"/>
      <c r="QK1132" s="13"/>
      <c r="QL1132" s="13"/>
      <c r="QM1132" s="13"/>
      <c r="QN1132" s="13"/>
      <c r="QO1132" s="13"/>
      <c r="QP1132" s="13"/>
      <c r="QQ1132" s="13"/>
      <c r="QR1132" s="13"/>
      <c r="QS1132" s="13"/>
      <c r="QT1132" s="13"/>
      <c r="QU1132" s="13"/>
      <c r="QV1132" s="13"/>
      <c r="QW1132" s="13"/>
      <c r="QX1132" s="13"/>
      <c r="QY1132" s="13"/>
      <c r="QZ1132" s="13"/>
      <c r="RA1132" s="13"/>
      <c r="RB1132" s="13"/>
      <c r="RC1132" s="13"/>
      <c r="RD1132" s="13"/>
      <c r="RE1132" s="13"/>
      <c r="RF1132" s="13"/>
      <c r="RG1132" s="13"/>
      <c r="RH1132" s="13"/>
      <c r="RI1132" s="13"/>
      <c r="RJ1132" s="13"/>
      <c r="RK1132" s="13"/>
      <c r="RL1132" s="13"/>
      <c r="RM1132" s="13"/>
      <c r="RN1132" s="13"/>
      <c r="RO1132" s="13"/>
      <c r="RP1132" s="13"/>
      <c r="RQ1132" s="13"/>
      <c r="RR1132" s="13"/>
      <c r="RS1132" s="13"/>
      <c r="RT1132" s="13"/>
      <c r="RU1132" s="13"/>
      <c r="RV1132" s="13"/>
      <c r="RW1132" s="13"/>
      <c r="RX1132" s="13"/>
      <c r="RY1132" s="13"/>
      <c r="RZ1132" s="13"/>
      <c r="SA1132" s="13"/>
      <c r="SB1132" s="13"/>
      <c r="SC1132" s="13"/>
      <c r="SD1132" s="13"/>
      <c r="SE1132" s="13"/>
      <c r="SF1132" s="13"/>
      <c r="SG1132" s="13"/>
      <c r="SH1132" s="13"/>
      <c r="SI1132" s="13"/>
      <c r="SJ1132" s="13"/>
      <c r="SK1132" s="13"/>
      <c r="SL1132" s="13"/>
      <c r="SM1132" s="13"/>
      <c r="SN1132" s="13"/>
      <c r="SO1132" s="13"/>
      <c r="SP1132" s="13"/>
      <c r="SQ1132" s="13"/>
      <c r="SR1132" s="13"/>
      <c r="SS1132" s="13"/>
      <c r="ST1132" s="13"/>
      <c r="SU1132" s="13"/>
      <c r="SV1132" s="13"/>
      <c r="SW1132" s="13"/>
      <c r="SX1132" s="13"/>
      <c r="SY1132" s="13"/>
      <c r="SZ1132" s="13"/>
      <c r="TA1132" s="13"/>
      <c r="TB1132" s="13"/>
      <c r="TC1132" s="13"/>
      <c r="TD1132" s="13"/>
      <c r="TE1132" s="13"/>
      <c r="TF1132" s="13"/>
      <c r="TG1132" s="13"/>
      <c r="TH1132" s="13"/>
      <c r="TI1132" s="13"/>
      <c r="TJ1132" s="13"/>
      <c r="TK1132" s="13"/>
      <c r="TL1132" s="13"/>
      <c r="TM1132" s="13"/>
      <c r="TN1132" s="13"/>
      <c r="TO1132" s="13"/>
      <c r="TP1132" s="13"/>
      <c r="TQ1132" s="13"/>
      <c r="TR1132" s="13"/>
      <c r="TS1132" s="13"/>
      <c r="TT1132" s="13"/>
      <c r="TU1132" s="13"/>
      <c r="TV1132" s="13"/>
      <c r="TW1132" s="13"/>
      <c r="TX1132" s="13"/>
      <c r="TY1132" s="13"/>
      <c r="TZ1132" s="13"/>
      <c r="UA1132" s="13"/>
      <c r="UB1132" s="13"/>
      <c r="UC1132" s="13"/>
      <c r="UD1132" s="13"/>
      <c r="UE1132" s="13"/>
      <c r="UF1132" s="13"/>
      <c r="UG1132" s="13"/>
      <c r="UH1132" s="13"/>
      <c r="UI1132" s="13"/>
      <c r="UJ1132" s="13"/>
      <c r="UK1132" s="13"/>
      <c r="UL1132" s="13"/>
      <c r="UM1132" s="13"/>
      <c r="UN1132" s="13"/>
      <c r="UO1132" s="13"/>
      <c r="UP1132" s="13"/>
      <c r="UQ1132" s="13"/>
      <c r="UR1132" s="13"/>
      <c r="US1132" s="13"/>
      <c r="UT1132" s="13"/>
      <c r="UU1132" s="13"/>
      <c r="UV1132" s="13"/>
      <c r="UW1132" s="13"/>
      <c r="UX1132" s="13"/>
      <c r="UY1132" s="13"/>
      <c r="UZ1132" s="13"/>
      <c r="VA1132" s="13"/>
      <c r="VB1132" s="13"/>
      <c r="VC1132" s="13"/>
      <c r="VD1132" s="13"/>
      <c r="VE1132" s="13"/>
      <c r="VF1132" s="13"/>
      <c r="VG1132" s="13"/>
      <c r="VH1132" s="13"/>
      <c r="VI1132" s="13"/>
      <c r="VJ1132" s="13"/>
      <c r="VK1132" s="13"/>
      <c r="VL1132" s="13"/>
      <c r="VM1132" s="13"/>
      <c r="VN1132" s="13"/>
      <c r="VO1132" s="13"/>
      <c r="VP1132" s="13"/>
      <c r="VQ1132" s="13"/>
      <c r="VR1132" s="13"/>
      <c r="VS1132" s="13"/>
      <c r="VT1132" s="13"/>
      <c r="VU1132" s="13"/>
      <c r="VV1132" s="13"/>
      <c r="VW1132" s="13"/>
      <c r="VX1132" s="13"/>
      <c r="VY1132" s="13"/>
      <c r="VZ1132" s="13"/>
      <c r="WA1132" s="13"/>
      <c r="WB1132" s="13"/>
      <c r="WC1132" s="13"/>
      <c r="WD1132" s="13"/>
      <c r="WE1132" s="13"/>
      <c r="WF1132" s="13"/>
      <c r="WG1132" s="13"/>
      <c r="WH1132" s="13"/>
      <c r="WI1132" s="13"/>
      <c r="WJ1132" s="13"/>
      <c r="WK1132" s="13"/>
      <c r="WL1132" s="13"/>
      <c r="WM1132" s="13"/>
      <c r="WN1132" s="13"/>
      <c r="WO1132" s="13"/>
      <c r="WP1132" s="13"/>
      <c r="WQ1132" s="13"/>
      <c r="WR1132" s="13"/>
      <c r="WS1132" s="13"/>
      <c r="WT1132" s="13"/>
      <c r="WU1132" s="13"/>
      <c r="WV1132" s="13"/>
      <c r="WW1132" s="13"/>
      <c r="WX1132" s="13"/>
      <c r="WY1132" s="13"/>
      <c r="WZ1132" s="13"/>
      <c r="XA1132" s="13"/>
      <c r="XB1132" s="13"/>
      <c r="XC1132" s="13"/>
      <c r="XD1132" s="13"/>
      <c r="XE1132" s="13"/>
      <c r="XF1132" s="13"/>
      <c r="XG1132" s="13"/>
      <c r="XH1132" s="13"/>
      <c r="XI1132" s="13"/>
      <c r="XJ1132" s="13"/>
      <c r="XK1132" s="13"/>
      <c r="XL1132" s="13"/>
      <c r="XM1132" s="13"/>
      <c r="XN1132" s="13"/>
      <c r="XO1132" s="13"/>
      <c r="XP1132" s="13"/>
      <c r="XQ1132" s="13"/>
      <c r="XR1132" s="13"/>
      <c r="XS1132" s="13"/>
      <c r="XT1132" s="13"/>
      <c r="XU1132" s="13"/>
      <c r="XV1132" s="13"/>
      <c r="XW1132" s="13"/>
      <c r="XX1132" s="13"/>
      <c r="XY1132" s="13"/>
      <c r="XZ1132" s="13"/>
      <c r="YA1132" s="13"/>
      <c r="YB1132" s="13"/>
      <c r="YC1132" s="13"/>
      <c r="YD1132" s="13"/>
      <c r="YE1132" s="13"/>
      <c r="YF1132" s="13"/>
      <c r="YG1132" s="13"/>
      <c r="YH1132" s="13"/>
      <c r="YI1132" s="13"/>
      <c r="YJ1132" s="13"/>
      <c r="YK1132" s="13"/>
      <c r="YL1132" s="13"/>
      <c r="YM1132" s="13"/>
      <c r="YN1132" s="13"/>
      <c r="YO1132" s="13"/>
      <c r="YP1132" s="13"/>
      <c r="YQ1132" s="13"/>
      <c r="YR1132" s="13"/>
      <c r="YS1132" s="13"/>
      <c r="YT1132" s="13"/>
      <c r="YU1132" s="13"/>
      <c r="YV1132" s="13"/>
      <c r="YW1132" s="13"/>
      <c r="YX1132" s="13"/>
      <c r="YY1132" s="13"/>
      <c r="YZ1132" s="13"/>
      <c r="ZA1132" s="13"/>
      <c r="ZB1132" s="13"/>
      <c r="ZC1132" s="13"/>
      <c r="ZD1132" s="13"/>
      <c r="ZE1132" s="13"/>
      <c r="ZF1132" s="13"/>
      <c r="ZG1132" s="13"/>
      <c r="ZH1132" s="13"/>
      <c r="ZI1132" s="13"/>
      <c r="ZJ1132" s="13"/>
      <c r="ZK1132" s="13"/>
      <c r="ZL1132" s="13"/>
      <c r="ZM1132" s="13"/>
      <c r="ZN1132" s="13"/>
      <c r="ZO1132" s="13"/>
      <c r="ZP1132" s="13"/>
      <c r="ZQ1132" s="13"/>
      <c r="ZR1132" s="13"/>
      <c r="ZS1132" s="13"/>
      <c r="ZT1132" s="13"/>
      <c r="ZU1132" s="13"/>
      <c r="ZV1132" s="13"/>
      <c r="ZW1132" s="13"/>
      <c r="ZX1132" s="13"/>
      <c r="ZY1132" s="13"/>
      <c r="ZZ1132" s="13"/>
      <c r="AAA1132" s="13"/>
      <c r="AAB1132" s="13"/>
      <c r="AAC1132" s="13"/>
      <c r="AAD1132" s="13"/>
      <c r="AAE1132" s="13"/>
      <c r="AAF1132" s="13"/>
      <c r="AAG1132" s="13"/>
      <c r="AAH1132" s="13"/>
      <c r="AAI1132" s="13"/>
      <c r="AAJ1132" s="13"/>
      <c r="AAK1132" s="13"/>
      <c r="AAL1132" s="13"/>
      <c r="AAM1132" s="13"/>
      <c r="AAN1132" s="13"/>
      <c r="AAO1132" s="13"/>
      <c r="AAP1132" s="13"/>
      <c r="AAQ1132" s="13"/>
      <c r="AAR1132" s="13"/>
      <c r="AAS1132" s="13"/>
      <c r="AAT1132" s="13"/>
      <c r="AAU1132" s="13"/>
      <c r="AAV1132" s="13"/>
      <c r="AAW1132" s="13"/>
      <c r="AAX1132" s="13"/>
      <c r="AAY1132" s="13"/>
      <c r="AAZ1132" s="13"/>
      <c r="ABA1132" s="13"/>
      <c r="ABB1132" s="13"/>
      <c r="ABC1132" s="13"/>
      <c r="ABD1132" s="13"/>
      <c r="ABE1132" s="13"/>
      <c r="ABF1132" s="13"/>
      <c r="ABG1132" s="13"/>
      <c r="ABH1132" s="13"/>
      <c r="ABI1132" s="13"/>
      <c r="ABJ1132" s="13"/>
      <c r="ABK1132" s="13"/>
      <c r="ABL1132" s="13"/>
      <c r="ABM1132" s="13"/>
      <c r="ABN1132" s="13"/>
      <c r="ABO1132" s="13"/>
      <c r="ABP1132" s="13"/>
      <c r="ABQ1132" s="13"/>
      <c r="ABR1132" s="13"/>
      <c r="ABS1132" s="13"/>
      <c r="ABT1132" s="13"/>
      <c r="ABU1132" s="13"/>
      <c r="ABV1132" s="13"/>
      <c r="ABW1132" s="13"/>
      <c r="ABX1132" s="13"/>
      <c r="ABY1132" s="13"/>
      <c r="ABZ1132" s="13"/>
      <c r="ACA1132" s="13"/>
      <c r="ACB1132" s="13"/>
      <c r="ACC1132" s="13"/>
      <c r="ACD1132" s="13"/>
      <c r="ACE1132" s="13"/>
      <c r="ACF1132" s="13"/>
      <c r="ACG1132" s="13"/>
      <c r="ACH1132" s="13"/>
      <c r="ACI1132" s="13"/>
      <c r="ACJ1132" s="13"/>
      <c r="ACK1132" s="13"/>
      <c r="ACL1132" s="13"/>
      <c r="ACM1132" s="13"/>
      <c r="ACN1132" s="13"/>
      <c r="ACO1132" s="13"/>
      <c r="ACP1132" s="13"/>
      <c r="ACQ1132" s="13"/>
      <c r="ACR1132" s="13"/>
      <c r="ACS1132" s="13"/>
      <c r="ACT1132" s="13"/>
      <c r="ACU1132" s="13"/>
      <c r="ACV1132" s="13"/>
      <c r="ACW1132" s="13"/>
      <c r="ACX1132" s="13"/>
      <c r="ACY1132" s="13"/>
      <c r="ACZ1132" s="13"/>
      <c r="ADA1132" s="13"/>
      <c r="ADB1132" s="13"/>
      <c r="ADC1132" s="13"/>
      <c r="ADD1132" s="13"/>
      <c r="ADE1132" s="13"/>
      <c r="ADF1132" s="13"/>
      <c r="ADG1132" s="13"/>
      <c r="ADH1132" s="13"/>
      <c r="ADI1132" s="13"/>
      <c r="ADJ1132" s="13"/>
      <c r="ADK1132" s="13"/>
      <c r="ADL1132" s="13"/>
      <c r="ADM1132" s="13"/>
      <c r="ADN1132" s="13"/>
      <c r="ADO1132" s="13"/>
      <c r="ADP1132" s="13"/>
      <c r="ADQ1132" s="13"/>
      <c r="ADR1132" s="13"/>
      <c r="ADS1132" s="13"/>
      <c r="ADT1132" s="13"/>
      <c r="ADU1132" s="13"/>
      <c r="ADV1132" s="13"/>
      <c r="ADW1132" s="13"/>
      <c r="ADX1132" s="13"/>
      <c r="ADY1132" s="13"/>
      <c r="ADZ1132" s="13"/>
      <c r="AEA1132" s="13"/>
      <c r="AEB1132" s="13"/>
      <c r="AEC1132" s="13"/>
      <c r="AED1132" s="13"/>
      <c r="AEE1132" s="13"/>
      <c r="AEF1132" s="13"/>
      <c r="AEG1132" s="13"/>
      <c r="AEH1132" s="13"/>
      <c r="AEI1132" s="13"/>
      <c r="AEJ1132" s="13"/>
      <c r="AEK1132" s="13"/>
      <c r="AEL1132" s="13"/>
      <c r="AEM1132" s="13"/>
      <c r="AEN1132" s="13"/>
      <c r="AEO1132" s="13"/>
      <c r="AEP1132" s="13"/>
      <c r="AEQ1132" s="13"/>
      <c r="AER1132" s="13"/>
      <c r="AES1132" s="13"/>
      <c r="AET1132" s="13"/>
      <c r="AEU1132" s="13"/>
      <c r="AEV1132" s="13"/>
      <c r="AEW1132" s="13"/>
      <c r="AEX1132" s="13"/>
      <c r="AEY1132" s="13"/>
      <c r="AEZ1132" s="13"/>
      <c r="AFA1132" s="13"/>
      <c r="AFB1132" s="13"/>
      <c r="AFC1132" s="13"/>
      <c r="AFD1132" s="13"/>
      <c r="AFE1132" s="13"/>
      <c r="AFF1132" s="13"/>
      <c r="AFG1132" s="13"/>
      <c r="AFH1132" s="13"/>
      <c r="AFI1132" s="13"/>
      <c r="AFJ1132" s="13"/>
      <c r="AFK1132" s="13"/>
      <c r="AFL1132" s="13"/>
      <c r="AFM1132" s="13"/>
      <c r="AFN1132" s="13"/>
      <c r="AFO1132" s="13"/>
      <c r="AFP1132" s="13"/>
      <c r="AFQ1132" s="13"/>
      <c r="AFR1132" s="13"/>
      <c r="AFS1132" s="13"/>
      <c r="AFT1132" s="13"/>
      <c r="AFU1132" s="13"/>
      <c r="AFV1132" s="13"/>
      <c r="AFW1132" s="13"/>
      <c r="AFX1132" s="13"/>
      <c r="AFY1132" s="13"/>
      <c r="AFZ1132" s="13"/>
      <c r="AGA1132" s="13"/>
      <c r="AGB1132" s="13"/>
      <c r="AGC1132" s="13"/>
      <c r="AGD1132" s="13"/>
      <c r="AGE1132" s="13"/>
      <c r="AGF1132" s="13"/>
      <c r="AGG1132" s="13"/>
      <c r="AGH1132" s="13"/>
      <c r="AGI1132" s="13"/>
      <c r="AGJ1132" s="13"/>
      <c r="AGK1132" s="13"/>
      <c r="AGL1132" s="13"/>
      <c r="AGM1132" s="13"/>
      <c r="AGN1132" s="13"/>
      <c r="AGO1132" s="13"/>
      <c r="AGP1132" s="13"/>
      <c r="AGQ1132" s="13"/>
      <c r="AGR1132" s="13"/>
      <c r="AGS1132" s="13"/>
      <c r="AGT1132" s="13"/>
      <c r="AGU1132" s="13"/>
      <c r="AGV1132" s="13"/>
      <c r="AGW1132" s="13"/>
      <c r="AGX1132" s="13"/>
      <c r="AGY1132" s="13"/>
      <c r="AGZ1132" s="13"/>
      <c r="AHA1132" s="13"/>
      <c r="AHB1132" s="13"/>
      <c r="AHC1132" s="13"/>
      <c r="AHD1132" s="13"/>
      <c r="AHE1132" s="13"/>
      <c r="AHF1132" s="13"/>
      <c r="AHG1132" s="13"/>
      <c r="AHH1132" s="13"/>
      <c r="AHI1132" s="13"/>
      <c r="AHJ1132" s="13"/>
      <c r="AHK1132" s="13"/>
      <c r="AHL1132" s="13"/>
      <c r="AHM1132" s="13"/>
      <c r="AHN1132" s="13"/>
      <c r="AHO1132" s="13"/>
      <c r="AHP1132" s="13"/>
      <c r="AHQ1132" s="13"/>
      <c r="AHR1132" s="13"/>
      <c r="AHS1132" s="13"/>
      <c r="AHT1132" s="13"/>
      <c r="AHU1132" s="13"/>
      <c r="AHV1132" s="13"/>
      <c r="AHW1132" s="13"/>
      <c r="AHX1132" s="13"/>
      <c r="AHY1132" s="13"/>
      <c r="AHZ1132" s="13"/>
      <c r="AIA1132" s="13"/>
      <c r="AIB1132" s="13"/>
      <c r="AIC1132" s="13"/>
      <c r="AID1132" s="13"/>
      <c r="AIE1132" s="13"/>
      <c r="AIF1132" s="13"/>
      <c r="AIG1132" s="13"/>
      <c r="AIH1132" s="13"/>
      <c r="AII1132" s="13"/>
      <c r="AIJ1132" s="13"/>
      <c r="AIK1132" s="13"/>
      <c r="AIL1132" s="13"/>
      <c r="AIM1132" s="13"/>
      <c r="AIN1132" s="13"/>
      <c r="AIO1132" s="13"/>
      <c r="AIP1132" s="13"/>
      <c r="AIQ1132" s="13"/>
      <c r="AIR1132" s="13"/>
      <c r="AIS1132" s="13"/>
      <c r="AIT1132" s="13"/>
      <c r="AIU1132" s="13"/>
      <c r="AIV1132" s="13"/>
      <c r="AIW1132" s="13"/>
      <c r="AIX1132" s="13"/>
      <c r="AIY1132" s="13"/>
      <c r="AIZ1132" s="13"/>
      <c r="AJA1132" s="13"/>
      <c r="AJB1132" s="13"/>
      <c r="AJC1132" s="13"/>
      <c r="AJD1132" s="13"/>
      <c r="AJE1132" s="13"/>
      <c r="AJF1132" s="13"/>
      <c r="AJG1132" s="13"/>
      <c r="AJH1132" s="13"/>
      <c r="AJI1132" s="13"/>
      <c r="AJJ1132" s="13"/>
      <c r="AJK1132" s="13"/>
      <c r="AJL1132" s="13"/>
      <c r="AJM1132" s="13"/>
      <c r="AJN1132" s="13"/>
      <c r="AJO1132" s="13"/>
      <c r="AJP1132" s="13"/>
      <c r="AJQ1132" s="13"/>
      <c r="AJR1132" s="13"/>
      <c r="AJS1132" s="13"/>
      <c r="AJT1132" s="13"/>
      <c r="AJU1132" s="13"/>
      <c r="AJV1132" s="13"/>
      <c r="AJW1132" s="13"/>
      <c r="AJX1132" s="13"/>
      <c r="AJY1132" s="13"/>
      <c r="AJZ1132" s="13"/>
      <c r="AKA1132" s="13"/>
      <c r="AKB1132" s="13"/>
      <c r="AKC1132" s="13"/>
      <c r="AKD1132" s="13"/>
      <c r="AKE1132" s="13"/>
      <c r="AKF1132" s="13"/>
      <c r="AKG1132" s="13"/>
      <c r="AKH1132" s="13"/>
      <c r="AKI1132" s="13"/>
      <c r="AKJ1132" s="13"/>
      <c r="AKK1132" s="13"/>
      <c r="AKL1132" s="13"/>
      <c r="AKM1132" s="13"/>
      <c r="AKN1132" s="13"/>
      <c r="AKO1132" s="13"/>
      <c r="AKP1132" s="13"/>
      <c r="AKQ1132" s="13"/>
      <c r="AKR1132" s="13"/>
      <c r="AKS1132" s="13"/>
      <c r="AKT1132" s="13"/>
      <c r="AKU1132" s="13"/>
      <c r="AKV1132" s="13"/>
      <c r="AKW1132" s="13"/>
      <c r="AKX1132" s="13"/>
      <c r="AKY1132" s="13"/>
      <c r="AKZ1132" s="13"/>
      <c r="ALA1132" s="13"/>
      <c r="ALB1132" s="13"/>
      <c r="ALC1132" s="13"/>
      <c r="ALD1132" s="13"/>
      <c r="ALE1132" s="13"/>
      <c r="ALF1132" s="13"/>
      <c r="ALG1132" s="13"/>
      <c r="ALH1132" s="13"/>
      <c r="ALI1132" s="13"/>
      <c r="ALJ1132" s="13"/>
      <c r="ALK1132" s="13"/>
      <c r="ALL1132" s="13"/>
      <c r="ALM1132" s="13"/>
      <c r="ALN1132" s="13"/>
      <c r="ALO1132" s="13"/>
      <c r="ALP1132" s="13"/>
      <c r="ALQ1132" s="13"/>
      <c r="ALR1132" s="13"/>
      <c r="ALS1132" s="13"/>
      <c r="ALT1132" s="13"/>
      <c r="ALU1132" s="13"/>
      <c r="ALV1132" s="13"/>
      <c r="ALW1132" s="13"/>
      <c r="ALX1132" s="13"/>
      <c r="ALY1132" s="13"/>
      <c r="ALZ1132" s="13"/>
      <c r="AMA1132" s="13"/>
      <c r="AMB1132" s="13"/>
      <c r="AMC1132" s="13"/>
      <c r="AMD1132" s="13"/>
      <c r="AME1132" s="13"/>
      <c r="AMF1132" s="13"/>
      <c r="AMG1132" s="13"/>
      <c r="AMH1132" s="13"/>
      <c r="AMI1132" s="13"/>
      <c r="AMJ1132" s="13"/>
      <c r="AMK1132" s="13"/>
      <c r="AML1132" s="13"/>
      <c r="AMM1132" s="13"/>
      <c r="AMN1132" s="13"/>
      <c r="AMO1132" s="13"/>
      <c r="AMP1132" s="13"/>
      <c r="AMQ1132" s="13"/>
      <c r="AMR1132" s="13"/>
      <c r="AMS1132" s="13"/>
      <c r="AMT1132" s="13"/>
      <c r="AMU1132" s="13"/>
      <c r="AMV1132" s="13"/>
      <c r="AMW1132" s="13"/>
      <c r="AMX1132" s="13"/>
      <c r="AMY1132" s="13"/>
      <c r="AMZ1132" s="13"/>
      <c r="ANA1132" s="13"/>
      <c r="ANB1132" s="13"/>
      <c r="ANC1132" s="13"/>
      <c r="AND1132" s="13"/>
      <c r="ANE1132" s="13"/>
      <c r="ANF1132" s="13"/>
      <c r="ANG1132" s="13"/>
      <c r="ANH1132" s="13"/>
      <c r="ANI1132" s="13"/>
      <c r="ANJ1132" s="13"/>
      <c r="ANK1132" s="13"/>
      <c r="ANL1132" s="13"/>
      <c r="ANM1132" s="13"/>
      <c r="ANN1132" s="13"/>
      <c r="ANO1132" s="13"/>
      <c r="ANP1132" s="13"/>
      <c r="ANQ1132" s="13"/>
      <c r="ANR1132" s="13"/>
      <c r="ANS1132" s="13"/>
      <c r="ANT1132" s="13"/>
      <c r="ANU1132" s="13"/>
      <c r="ANV1132" s="13"/>
      <c r="ANW1132" s="13"/>
      <c r="ANX1132" s="13"/>
      <c r="ANY1132" s="13"/>
      <c r="ANZ1132" s="13"/>
      <c r="AOA1132" s="13"/>
      <c r="AOB1132" s="13"/>
      <c r="AOC1132" s="13"/>
      <c r="AOD1132" s="13"/>
      <c r="AOE1132" s="13"/>
      <c r="AOF1132" s="13"/>
      <c r="AOG1132" s="13"/>
      <c r="AOH1132" s="13"/>
      <c r="AOI1132" s="13"/>
      <c r="AOJ1132" s="13"/>
      <c r="AOK1132" s="13"/>
      <c r="AOL1132" s="13"/>
      <c r="AOM1132" s="13"/>
      <c r="AON1132" s="13"/>
      <c r="AOO1132" s="13"/>
      <c r="AOP1132" s="13"/>
      <c r="AOQ1132" s="13"/>
      <c r="AOR1132" s="13"/>
      <c r="AOS1132" s="13"/>
      <c r="AOT1132" s="13"/>
      <c r="AOU1132" s="13"/>
      <c r="AOV1132" s="13"/>
      <c r="AOW1132" s="13"/>
      <c r="AOX1132" s="13"/>
      <c r="AOY1132" s="13"/>
      <c r="AOZ1132" s="13"/>
      <c r="APA1132" s="13"/>
      <c r="APB1132" s="13"/>
      <c r="APC1132" s="13"/>
      <c r="APD1132" s="13"/>
      <c r="APE1132" s="13"/>
      <c r="APF1132" s="13"/>
      <c r="APG1132" s="13"/>
      <c r="APH1132" s="13"/>
      <c r="API1132" s="13"/>
      <c r="APJ1132" s="13"/>
      <c r="APK1132" s="13"/>
      <c r="APL1132" s="13"/>
      <c r="APM1132" s="13"/>
      <c r="APN1132" s="13"/>
      <c r="APO1132" s="13"/>
      <c r="APP1132" s="13"/>
      <c r="APQ1132" s="13"/>
      <c r="APR1132" s="13"/>
      <c r="APS1132" s="13"/>
      <c r="APT1132" s="13"/>
      <c r="APU1132" s="13"/>
      <c r="APV1132" s="13"/>
      <c r="APW1132" s="13"/>
      <c r="APX1132" s="13"/>
      <c r="APY1132" s="13"/>
      <c r="APZ1132" s="13"/>
      <c r="AQA1132" s="13"/>
      <c r="AQB1132" s="13"/>
      <c r="AQC1132" s="13"/>
      <c r="AQD1132" s="13"/>
      <c r="AQE1132" s="13"/>
      <c r="AQF1132" s="13"/>
      <c r="AQG1132" s="13"/>
      <c r="AQH1132" s="13"/>
      <c r="AQI1132" s="13"/>
      <c r="AQJ1132" s="13"/>
      <c r="AQK1132" s="13"/>
      <c r="AQL1132" s="13"/>
      <c r="AQM1132" s="13"/>
      <c r="AQN1132" s="13"/>
      <c r="AQO1132" s="13"/>
      <c r="AQP1132" s="13"/>
      <c r="AQQ1132" s="13"/>
      <c r="AQR1132" s="13"/>
      <c r="AQS1132" s="13"/>
      <c r="AQT1132" s="13"/>
      <c r="AQU1132" s="13"/>
      <c r="AQV1132" s="13"/>
      <c r="AQW1132" s="13"/>
      <c r="AQX1132" s="13"/>
      <c r="AQY1132" s="13"/>
      <c r="AQZ1132" s="13"/>
      <c r="ARA1132" s="13"/>
      <c r="ARB1132" s="13"/>
      <c r="ARC1132" s="13"/>
      <c r="ARD1132" s="13"/>
      <c r="ARE1132" s="13"/>
      <c r="ARF1132" s="13"/>
      <c r="ARG1132" s="13"/>
      <c r="ARH1132" s="13"/>
      <c r="ARI1132" s="13"/>
      <c r="ARJ1132" s="13"/>
      <c r="ARK1132" s="13"/>
      <c r="ARL1132" s="13"/>
      <c r="ARM1132" s="13"/>
      <c r="ARN1132" s="13"/>
      <c r="ARO1132" s="13"/>
      <c r="ARP1132" s="13"/>
      <c r="ARQ1132" s="13"/>
      <c r="ARR1132" s="13"/>
      <c r="ARS1132" s="13"/>
      <c r="ART1132" s="13"/>
      <c r="ARU1132" s="13"/>
      <c r="ARV1132" s="13"/>
      <c r="ARW1132" s="13"/>
      <c r="ARX1132" s="13"/>
      <c r="ARY1132" s="13"/>
      <c r="ARZ1132" s="13"/>
      <c r="ASA1132" s="13"/>
      <c r="ASB1132" s="13"/>
      <c r="ASC1132" s="13"/>
      <c r="ASD1132" s="13"/>
      <c r="ASE1132" s="13"/>
      <c r="ASF1132" s="13"/>
      <c r="ASG1132" s="13"/>
      <c r="ASH1132" s="13"/>
      <c r="ASI1132" s="13"/>
      <c r="ASJ1132" s="13"/>
      <c r="ASK1132" s="13"/>
      <c r="ASL1132" s="13"/>
      <c r="ASM1132" s="13"/>
      <c r="ASN1132" s="13"/>
      <c r="ASO1132" s="13"/>
      <c r="ASP1132" s="13"/>
      <c r="ASQ1132" s="13"/>
      <c r="ASR1132" s="13"/>
      <c r="ASS1132" s="13"/>
      <c r="AST1132" s="13"/>
      <c r="ASU1132" s="13"/>
      <c r="ASV1132" s="13"/>
      <c r="ASW1132" s="13"/>
      <c r="ASX1132" s="13"/>
      <c r="ASY1132" s="13"/>
      <c r="ASZ1132" s="13"/>
      <c r="ATA1132" s="13"/>
      <c r="ATB1132" s="13"/>
      <c r="ATC1132" s="13"/>
      <c r="ATD1132" s="13"/>
      <c r="ATE1132" s="13"/>
      <c r="ATF1132" s="13"/>
      <c r="ATG1132" s="13"/>
      <c r="ATH1132" s="13"/>
      <c r="ATI1132" s="13"/>
      <c r="ATJ1132" s="13"/>
      <c r="ATK1132" s="13"/>
      <c r="ATL1132" s="13"/>
      <c r="ATM1132" s="13"/>
      <c r="ATN1132" s="13"/>
      <c r="ATO1132" s="13"/>
      <c r="ATP1132" s="13"/>
      <c r="ATQ1132" s="13"/>
      <c r="ATR1132" s="13"/>
      <c r="ATS1132" s="13"/>
      <c r="ATT1132" s="13"/>
      <c r="ATU1132" s="13"/>
      <c r="ATV1132" s="13"/>
      <c r="ATW1132" s="13"/>
      <c r="ATX1132" s="13"/>
      <c r="ATY1132" s="13"/>
      <c r="ATZ1132" s="13"/>
      <c r="AUA1132" s="13"/>
      <c r="AUB1132" s="13"/>
      <c r="AUC1132" s="13"/>
      <c r="AUD1132" s="13"/>
      <c r="AUE1132" s="13"/>
      <c r="AUF1132" s="13"/>
      <c r="AUG1132" s="13"/>
      <c r="AUH1132" s="13"/>
      <c r="AUI1132" s="13"/>
      <c r="AUJ1132" s="13"/>
      <c r="AUK1132" s="13"/>
      <c r="AUL1132" s="13"/>
      <c r="AUM1132" s="13"/>
      <c r="AUN1132" s="13"/>
      <c r="AUO1132" s="13"/>
      <c r="AUP1132" s="13"/>
      <c r="AUQ1132" s="13"/>
      <c r="AUR1132" s="13"/>
      <c r="AUS1132" s="13"/>
      <c r="AUT1132" s="13"/>
      <c r="AUU1132" s="13"/>
      <c r="AUV1132" s="13"/>
      <c r="AUW1132" s="13"/>
      <c r="AUX1132" s="13"/>
      <c r="AUY1132" s="13"/>
      <c r="AUZ1132" s="13"/>
      <c r="AVA1132" s="13"/>
      <c r="AVB1132" s="13"/>
      <c r="AVC1132" s="13"/>
      <c r="AVD1132" s="13"/>
      <c r="AVE1132" s="13"/>
      <c r="AVF1132" s="13"/>
      <c r="AVG1132" s="13"/>
      <c r="AVH1132" s="13"/>
      <c r="AVI1132" s="13"/>
      <c r="AVJ1132" s="13"/>
      <c r="AVK1132" s="13"/>
      <c r="AVL1132" s="13"/>
      <c r="AVM1132" s="13"/>
      <c r="AVN1132" s="13"/>
      <c r="AVO1132" s="13"/>
      <c r="AVP1132" s="13"/>
      <c r="AVQ1132" s="13"/>
      <c r="AVR1132" s="13"/>
      <c r="AVS1132" s="13"/>
      <c r="AVT1132" s="13"/>
      <c r="AVU1132" s="13"/>
      <c r="AVV1132" s="13"/>
      <c r="AVW1132" s="13"/>
      <c r="AVX1132" s="13"/>
      <c r="AVY1132" s="13"/>
      <c r="AVZ1132" s="13"/>
      <c r="AWA1132" s="13"/>
      <c r="AWB1132" s="13"/>
      <c r="AWC1132" s="13"/>
      <c r="AWD1132" s="13"/>
      <c r="AWE1132" s="13"/>
      <c r="AWF1132" s="13"/>
      <c r="AWG1132" s="13"/>
      <c r="AWH1132" s="13"/>
      <c r="AWI1132" s="13"/>
      <c r="AWJ1132" s="13"/>
      <c r="AWK1132" s="13"/>
      <c r="AWL1132" s="13"/>
      <c r="AWM1132" s="13"/>
      <c r="AWN1132" s="13"/>
      <c r="AWO1132" s="13"/>
      <c r="AWP1132" s="13"/>
      <c r="AWQ1132" s="13"/>
      <c r="AWR1132" s="13"/>
      <c r="AWS1132" s="13"/>
      <c r="AWT1132" s="13"/>
      <c r="AWU1132" s="13"/>
      <c r="AWV1132" s="13"/>
      <c r="AWW1132" s="13"/>
      <c r="AWX1132" s="13"/>
      <c r="AWY1132" s="13"/>
      <c r="AWZ1132" s="13"/>
      <c r="AXA1132" s="13"/>
      <c r="AXB1132" s="13"/>
      <c r="AXC1132" s="13"/>
      <c r="AXD1132" s="13"/>
      <c r="AXE1132" s="13"/>
      <c r="AXF1132" s="13"/>
      <c r="AXG1132" s="13"/>
      <c r="AXH1132" s="13"/>
      <c r="AXI1132" s="13"/>
      <c r="AXJ1132" s="13"/>
      <c r="AXK1132" s="13"/>
      <c r="AXL1132" s="13"/>
      <c r="AXM1132" s="13"/>
      <c r="AXN1132" s="13"/>
      <c r="AXO1132" s="13"/>
      <c r="AXP1132" s="13"/>
      <c r="AXQ1132" s="13"/>
      <c r="AXR1132" s="13"/>
      <c r="AXS1132" s="13"/>
      <c r="AXT1132" s="13"/>
      <c r="AXU1132" s="13"/>
      <c r="AXV1132" s="13"/>
      <c r="AXW1132" s="13"/>
      <c r="AXX1132" s="13"/>
      <c r="AXY1132" s="13"/>
      <c r="AXZ1132" s="13"/>
      <c r="AYA1132" s="13"/>
      <c r="AYB1132" s="13"/>
      <c r="AYC1132" s="13"/>
      <c r="AYD1132" s="13"/>
      <c r="AYE1132" s="13"/>
      <c r="AYF1132" s="13"/>
      <c r="AYG1132" s="13"/>
      <c r="AYH1132" s="13"/>
      <c r="AYI1132" s="13"/>
      <c r="AYJ1132" s="13"/>
      <c r="AYK1132" s="13"/>
      <c r="AYL1132" s="13"/>
      <c r="AYM1132" s="13"/>
      <c r="AYN1132" s="13"/>
      <c r="AYO1132" s="13"/>
      <c r="AYP1132" s="13"/>
      <c r="AYQ1132" s="13"/>
      <c r="AYR1132" s="13"/>
      <c r="AYS1132" s="13"/>
      <c r="AYT1132" s="13"/>
      <c r="AYU1132" s="13"/>
      <c r="AYV1132" s="13"/>
      <c r="AYW1132" s="13"/>
      <c r="AYX1132" s="13"/>
      <c r="AYY1132" s="13"/>
      <c r="AYZ1132" s="13"/>
      <c r="AZA1132" s="13"/>
      <c r="AZB1132" s="13"/>
      <c r="AZC1132" s="13"/>
      <c r="AZD1132" s="13"/>
      <c r="AZE1132" s="13"/>
      <c r="AZF1132" s="13"/>
      <c r="AZG1132" s="13"/>
      <c r="AZH1132" s="13"/>
      <c r="AZI1132" s="13"/>
      <c r="AZJ1132" s="13"/>
      <c r="AZK1132" s="13"/>
      <c r="AZL1132" s="13"/>
      <c r="AZM1132" s="13"/>
      <c r="AZN1132" s="13"/>
      <c r="AZO1132" s="13"/>
      <c r="AZP1132" s="13"/>
      <c r="AZQ1132" s="13"/>
      <c r="AZR1132" s="13"/>
      <c r="AZS1132" s="13"/>
      <c r="AZT1132" s="13"/>
      <c r="AZU1132" s="13"/>
      <c r="AZV1132" s="13"/>
      <c r="AZW1132" s="13"/>
      <c r="AZX1132" s="13"/>
      <c r="AZY1132" s="13"/>
      <c r="AZZ1132" s="13"/>
      <c r="BAA1132" s="13"/>
      <c r="BAB1132" s="13"/>
      <c r="BAC1132" s="13"/>
      <c r="BAD1132" s="13"/>
      <c r="BAE1132" s="13"/>
      <c r="BAF1132" s="13"/>
      <c r="BAG1132" s="13"/>
      <c r="BAH1132" s="13"/>
      <c r="BAI1132" s="13"/>
      <c r="BAJ1132" s="13"/>
      <c r="BAK1132" s="13"/>
      <c r="BAL1132" s="13"/>
      <c r="BAM1132" s="13"/>
      <c r="BAN1132" s="13"/>
      <c r="BAO1132" s="13"/>
      <c r="BAP1132" s="13"/>
      <c r="BAQ1132" s="13"/>
      <c r="BAR1132" s="13"/>
      <c r="BAS1132" s="13"/>
      <c r="BAT1132" s="13"/>
      <c r="BAU1132" s="13"/>
      <c r="BAV1132" s="13"/>
      <c r="BAW1132" s="13"/>
      <c r="BAX1132" s="13"/>
      <c r="BAY1132" s="13"/>
      <c r="BAZ1132" s="13"/>
      <c r="BBA1132" s="13"/>
      <c r="BBB1132" s="13"/>
      <c r="BBC1132" s="13"/>
      <c r="BBD1132" s="13"/>
      <c r="BBE1132" s="13"/>
      <c r="BBF1132" s="13"/>
      <c r="BBG1132" s="13"/>
      <c r="BBH1132" s="13"/>
      <c r="BBI1132" s="13"/>
      <c r="BBJ1132" s="13"/>
      <c r="BBK1132" s="13"/>
      <c r="BBL1132" s="13"/>
      <c r="BBM1132" s="13"/>
      <c r="BBN1132" s="13"/>
      <c r="BBO1132" s="13"/>
      <c r="BBP1132" s="13"/>
      <c r="BBQ1132" s="13"/>
      <c r="BBR1132" s="13"/>
      <c r="BBS1132" s="13"/>
      <c r="BBT1132" s="13"/>
      <c r="BBU1132" s="13"/>
      <c r="BBV1132" s="13"/>
      <c r="BBW1132" s="13"/>
      <c r="BBX1132" s="13"/>
      <c r="BBY1132" s="13"/>
      <c r="BBZ1132" s="13"/>
      <c r="BCA1132" s="13"/>
      <c r="BCB1132" s="13"/>
      <c r="BCC1132" s="13"/>
      <c r="BCD1132" s="13"/>
      <c r="BCE1132" s="13"/>
      <c r="BCF1132" s="13"/>
      <c r="BCG1132" s="13"/>
      <c r="BCH1132" s="13"/>
      <c r="BCI1132" s="13"/>
      <c r="BCJ1132" s="13"/>
      <c r="BCK1132" s="13"/>
      <c r="BCL1132" s="13"/>
      <c r="BCM1132" s="13"/>
      <c r="BCN1132" s="13"/>
      <c r="BCO1132" s="13"/>
      <c r="BCP1132" s="13"/>
      <c r="BCQ1132" s="13"/>
      <c r="BCR1132" s="13"/>
      <c r="BCS1132" s="13"/>
      <c r="BCT1132" s="13"/>
      <c r="BCU1132" s="13"/>
      <c r="BCV1132" s="13"/>
      <c r="BCW1132" s="13"/>
      <c r="BCX1132" s="13"/>
      <c r="BCY1132" s="13"/>
      <c r="BCZ1132" s="13"/>
      <c r="BDA1132" s="13"/>
      <c r="BDB1132" s="13"/>
      <c r="BDC1132" s="13"/>
      <c r="BDD1132" s="13"/>
      <c r="BDE1132" s="13"/>
      <c r="BDF1132" s="13"/>
      <c r="BDG1132" s="13"/>
      <c r="BDH1132" s="13"/>
      <c r="BDI1132" s="13"/>
      <c r="BDJ1132" s="13"/>
      <c r="BDK1132" s="13"/>
      <c r="BDL1132" s="13"/>
      <c r="BDM1132" s="13"/>
      <c r="BDN1132" s="13"/>
      <c r="BDO1132" s="13"/>
      <c r="BDP1132" s="13"/>
      <c r="BDQ1132" s="13"/>
      <c r="BDR1132" s="13"/>
      <c r="BDS1132" s="13"/>
      <c r="BDT1132" s="13"/>
      <c r="BDU1132" s="13"/>
      <c r="BDV1132" s="13"/>
      <c r="BDW1132" s="13"/>
      <c r="BDX1132" s="13"/>
      <c r="BDY1132" s="13"/>
      <c r="BDZ1132" s="13"/>
      <c r="BEA1132" s="13"/>
      <c r="BEB1132" s="13"/>
      <c r="BEC1132" s="13"/>
      <c r="BED1132" s="13"/>
      <c r="BEE1132" s="13"/>
      <c r="BEF1132" s="13"/>
      <c r="BEG1132" s="13"/>
      <c r="BEH1132" s="13"/>
      <c r="BEI1132" s="13"/>
      <c r="BEJ1132" s="13"/>
      <c r="BEK1132" s="13"/>
      <c r="BEL1132" s="13"/>
      <c r="BEM1132" s="13"/>
      <c r="BEN1132" s="13"/>
      <c r="BEO1132" s="13"/>
      <c r="BEP1132" s="13"/>
      <c r="BEQ1132" s="13"/>
      <c r="BER1132" s="13"/>
      <c r="BES1132" s="13"/>
      <c r="BET1132" s="13"/>
      <c r="BEU1132" s="13"/>
      <c r="BEV1132" s="13"/>
      <c r="BEW1132" s="13"/>
      <c r="BEX1132" s="13"/>
      <c r="BEY1132" s="13"/>
      <c r="BEZ1132" s="13"/>
      <c r="BFA1132" s="13"/>
      <c r="BFB1132" s="13"/>
      <c r="BFC1132" s="13"/>
      <c r="BFD1132" s="13"/>
      <c r="BFE1132" s="13"/>
      <c r="BFF1132" s="13"/>
      <c r="BFG1132" s="13"/>
      <c r="BFH1132" s="13"/>
      <c r="BFI1132" s="13"/>
      <c r="BFJ1132" s="13"/>
      <c r="BFK1132" s="13"/>
      <c r="BFL1132" s="13"/>
      <c r="BFM1132" s="13"/>
      <c r="BFN1132" s="13"/>
      <c r="BFO1132" s="13"/>
      <c r="BFP1132" s="13"/>
      <c r="BFQ1132" s="13"/>
      <c r="BFR1132" s="13"/>
      <c r="BFS1132" s="13"/>
      <c r="BFT1132" s="13"/>
      <c r="BFU1132" s="13"/>
      <c r="BFV1132" s="13"/>
      <c r="BFW1132" s="13"/>
      <c r="BFX1132" s="13"/>
      <c r="BFY1132" s="13"/>
      <c r="BFZ1132" s="13"/>
      <c r="BGA1132" s="13"/>
      <c r="BGB1132" s="13"/>
      <c r="BGC1132" s="13"/>
      <c r="BGD1132" s="13"/>
      <c r="BGE1132" s="13"/>
      <c r="BGF1132" s="13"/>
      <c r="BGG1132" s="13"/>
      <c r="BGH1132" s="13"/>
      <c r="BGI1132" s="13"/>
      <c r="BGJ1132" s="13"/>
      <c r="BGK1132" s="13"/>
      <c r="BGL1132" s="13"/>
      <c r="BGM1132" s="13"/>
      <c r="BGN1132" s="13"/>
      <c r="BGO1132" s="13"/>
      <c r="BGP1132" s="13"/>
      <c r="BGQ1132" s="13"/>
      <c r="BGR1132" s="13"/>
      <c r="BGS1132" s="13"/>
      <c r="BGT1132" s="13"/>
      <c r="BGU1132" s="13"/>
      <c r="BGV1132" s="13"/>
      <c r="BGW1132" s="13"/>
      <c r="BGX1132" s="13"/>
      <c r="BGY1132" s="13"/>
      <c r="BGZ1132" s="13"/>
      <c r="BHA1132" s="13"/>
      <c r="BHB1132" s="13"/>
      <c r="BHC1132" s="13"/>
      <c r="BHD1132" s="13"/>
      <c r="BHE1132" s="13"/>
      <c r="BHF1132" s="13"/>
      <c r="BHG1132" s="13"/>
      <c r="BHH1132" s="13"/>
      <c r="BHI1132" s="13"/>
      <c r="BHJ1132" s="13"/>
      <c r="BHK1132" s="13"/>
      <c r="BHL1132" s="13"/>
      <c r="BHM1132" s="13"/>
      <c r="BHN1132" s="13"/>
      <c r="BHO1132" s="13"/>
      <c r="BHP1132" s="13"/>
      <c r="BHQ1132" s="13"/>
      <c r="BHR1132" s="13"/>
      <c r="BHS1132" s="13"/>
      <c r="BHT1132" s="13"/>
      <c r="BHU1132" s="13"/>
      <c r="BHV1132" s="13"/>
      <c r="BHW1132" s="13"/>
      <c r="BHX1132" s="13"/>
      <c r="BHY1132" s="13"/>
      <c r="BHZ1132" s="13"/>
      <c r="BIA1132" s="13"/>
      <c r="BIB1132" s="13"/>
      <c r="BIC1132" s="13"/>
      <c r="BID1132" s="13"/>
      <c r="BIE1132" s="13"/>
      <c r="BIF1132" s="13"/>
      <c r="BIG1132" s="13"/>
      <c r="BIH1132" s="13"/>
      <c r="BII1132" s="13"/>
      <c r="BIJ1132" s="13"/>
      <c r="BIK1132" s="13"/>
      <c r="BIL1132" s="13"/>
      <c r="BIM1132" s="13"/>
      <c r="BIN1132" s="13"/>
      <c r="BIO1132" s="13"/>
      <c r="BIP1132" s="13"/>
      <c r="BIQ1132" s="13"/>
      <c r="BIR1132" s="13"/>
      <c r="BIS1132" s="13"/>
      <c r="BIT1132" s="13"/>
      <c r="BIU1132" s="13"/>
      <c r="BIV1132" s="13"/>
      <c r="BIW1132" s="13"/>
      <c r="BIX1132" s="13"/>
      <c r="BIY1132" s="13"/>
      <c r="BIZ1132" s="13"/>
      <c r="BJA1132" s="13"/>
      <c r="BJB1132" s="13"/>
      <c r="BJC1132" s="13"/>
      <c r="BJD1132" s="13"/>
      <c r="BJE1132" s="13"/>
      <c r="BJF1132" s="13"/>
      <c r="BJG1132" s="13"/>
      <c r="BJH1132" s="13"/>
      <c r="BJI1132" s="13"/>
      <c r="BJJ1132" s="13"/>
      <c r="BJK1132" s="13"/>
      <c r="BJL1132" s="13"/>
      <c r="BJM1132" s="13"/>
      <c r="BJN1132" s="13"/>
      <c r="BJO1132" s="13"/>
      <c r="BJP1132" s="13"/>
      <c r="BJQ1132" s="13"/>
      <c r="BJR1132" s="13"/>
      <c r="BJS1132" s="13"/>
      <c r="BJT1132" s="13"/>
      <c r="BJU1132" s="13"/>
      <c r="BJV1132" s="13"/>
      <c r="BJW1132" s="13"/>
      <c r="BJX1132" s="13"/>
      <c r="BJY1132" s="13"/>
      <c r="BJZ1132" s="13"/>
      <c r="BKA1132" s="13"/>
      <c r="BKB1132" s="13"/>
      <c r="BKC1132" s="13"/>
      <c r="BKD1132" s="13"/>
      <c r="BKE1132" s="13"/>
      <c r="BKF1132" s="13"/>
      <c r="BKG1132" s="13"/>
      <c r="BKH1132" s="13"/>
      <c r="BKI1132" s="13"/>
      <c r="BKJ1132" s="13"/>
      <c r="BKK1132" s="13"/>
      <c r="BKL1132" s="13"/>
      <c r="BKM1132" s="13"/>
      <c r="BKN1132" s="13"/>
      <c r="BKO1132" s="13"/>
      <c r="BKP1132" s="13"/>
      <c r="BKQ1132" s="13"/>
      <c r="BKR1132" s="13"/>
      <c r="BKS1132" s="13"/>
      <c r="BKT1132" s="13"/>
      <c r="BKU1132" s="13"/>
      <c r="BKV1132" s="13"/>
      <c r="BKW1132" s="13"/>
      <c r="BKX1132" s="13"/>
      <c r="BKY1132" s="13"/>
      <c r="BKZ1132" s="13"/>
      <c r="BLA1132" s="13"/>
      <c r="BLB1132" s="13"/>
      <c r="BLC1132" s="13"/>
      <c r="BLD1132" s="13"/>
      <c r="BLE1132" s="13"/>
      <c r="BLF1132" s="13"/>
      <c r="BLG1132" s="13"/>
      <c r="BLH1132" s="13"/>
      <c r="BLI1132" s="13"/>
      <c r="BLJ1132" s="13"/>
      <c r="BLK1132" s="13"/>
      <c r="BLL1132" s="13"/>
      <c r="BLM1132" s="13"/>
      <c r="BLN1132" s="13"/>
      <c r="BLO1132" s="13"/>
      <c r="BLP1132" s="13"/>
      <c r="BLQ1132" s="13"/>
      <c r="BLR1132" s="13"/>
      <c r="BLS1132" s="13"/>
      <c r="BLT1132" s="13"/>
      <c r="BLU1132" s="13"/>
      <c r="BLV1132" s="13"/>
      <c r="BLW1132" s="13"/>
      <c r="BLX1132" s="13"/>
      <c r="BLY1132" s="13"/>
      <c r="BLZ1132" s="13"/>
      <c r="BMA1132" s="13"/>
      <c r="BMB1132" s="13"/>
      <c r="BMC1132" s="13"/>
      <c r="BMD1132" s="13"/>
      <c r="BME1132" s="13"/>
      <c r="BMF1132" s="13"/>
      <c r="BMG1132" s="13"/>
      <c r="BMH1132" s="13"/>
      <c r="BMI1132" s="13"/>
      <c r="BMJ1132" s="13"/>
      <c r="BMK1132" s="13"/>
      <c r="BML1132" s="13"/>
      <c r="BMM1132" s="13"/>
      <c r="BMN1132" s="13"/>
      <c r="BMO1132" s="13"/>
      <c r="BMP1132" s="13"/>
      <c r="BMQ1132" s="13"/>
      <c r="BMR1132" s="13"/>
      <c r="BMS1132" s="13"/>
      <c r="BMT1132" s="13"/>
      <c r="BMU1132" s="13"/>
      <c r="BMV1132" s="13"/>
      <c r="BMW1132" s="13"/>
      <c r="BMX1132" s="13"/>
      <c r="BMY1132" s="13"/>
      <c r="BMZ1132" s="13"/>
      <c r="BNA1132" s="13"/>
      <c r="BNB1132" s="13"/>
      <c r="BNC1132" s="13"/>
      <c r="BND1132" s="13"/>
      <c r="BNE1132" s="13"/>
      <c r="BNF1132" s="13"/>
      <c r="BNG1132" s="13"/>
      <c r="BNH1132" s="13"/>
      <c r="BNI1132" s="13"/>
      <c r="BNJ1132" s="13"/>
      <c r="BNK1132" s="13"/>
      <c r="BNL1132" s="13"/>
      <c r="BNM1132" s="13"/>
      <c r="BNN1132" s="13"/>
      <c r="BNO1132" s="13"/>
      <c r="BNP1132" s="13"/>
      <c r="BNQ1132" s="13"/>
      <c r="BNR1132" s="13"/>
      <c r="BNS1132" s="13"/>
      <c r="BNT1132" s="13"/>
      <c r="BNU1132" s="13"/>
      <c r="BNV1132" s="13"/>
      <c r="BNW1132" s="13"/>
      <c r="BNX1132" s="13"/>
      <c r="BNY1132" s="13"/>
      <c r="BNZ1132" s="13"/>
      <c r="BOA1132" s="13"/>
      <c r="BOB1132" s="13"/>
      <c r="BOC1132" s="13"/>
      <c r="BOD1132" s="13"/>
      <c r="BOE1132" s="13"/>
      <c r="BOF1132" s="13"/>
      <c r="BOG1132" s="13"/>
      <c r="BOH1132" s="13"/>
      <c r="BOI1132" s="13"/>
      <c r="BOJ1132" s="13"/>
      <c r="BOK1132" s="13"/>
      <c r="BOL1132" s="13"/>
      <c r="BOM1132" s="13"/>
      <c r="BON1132" s="13"/>
      <c r="BOO1132" s="13"/>
      <c r="BOP1132" s="13"/>
      <c r="BOQ1132" s="13"/>
      <c r="BOR1132" s="13"/>
      <c r="BOS1132" s="13"/>
      <c r="BOT1132" s="13"/>
      <c r="BOU1132" s="13"/>
      <c r="BOV1132" s="13"/>
      <c r="BOW1132" s="13"/>
      <c r="BOX1132" s="13"/>
      <c r="BOY1132" s="13"/>
      <c r="BOZ1132" s="13"/>
      <c r="BPA1132" s="13"/>
      <c r="BPB1132" s="13"/>
      <c r="BPC1132" s="13"/>
      <c r="BPD1132" s="13"/>
      <c r="BPE1132" s="13"/>
      <c r="BPF1132" s="13"/>
      <c r="BPG1132" s="13"/>
      <c r="BPH1132" s="13"/>
      <c r="BPI1132" s="13"/>
      <c r="BPJ1132" s="13"/>
      <c r="BPK1132" s="13"/>
      <c r="BPL1132" s="13"/>
      <c r="BPM1132" s="13"/>
      <c r="BPN1132" s="13"/>
      <c r="BPO1132" s="13"/>
      <c r="BPP1132" s="13"/>
      <c r="BPQ1132" s="13"/>
      <c r="BPR1132" s="13"/>
      <c r="BPS1132" s="13"/>
      <c r="BPT1132" s="13"/>
      <c r="BPU1132" s="13"/>
      <c r="BPV1132" s="13"/>
      <c r="BPW1132" s="13"/>
      <c r="BPX1132" s="13"/>
      <c r="BPY1132" s="13"/>
      <c r="BPZ1132" s="13"/>
      <c r="BQA1132" s="13"/>
      <c r="BQB1132" s="13"/>
      <c r="BQC1132" s="13"/>
      <c r="BQD1132" s="13"/>
      <c r="BQE1132" s="13"/>
      <c r="BQF1132" s="13"/>
      <c r="BQG1132" s="13"/>
      <c r="BQH1132" s="13"/>
      <c r="BQI1132" s="13"/>
      <c r="BQJ1132" s="13"/>
      <c r="BQK1132" s="13"/>
      <c r="BQL1132" s="13"/>
      <c r="BQM1132" s="13"/>
      <c r="BQN1132" s="13"/>
      <c r="BQO1132" s="13"/>
      <c r="BQP1132" s="13"/>
      <c r="BQQ1132" s="13"/>
      <c r="BQR1132" s="13"/>
      <c r="BQS1132" s="13"/>
      <c r="BQT1132" s="13"/>
      <c r="BQU1132" s="13"/>
      <c r="BQV1132" s="13"/>
      <c r="BQW1132" s="13"/>
      <c r="BQX1132" s="13"/>
      <c r="BQY1132" s="13"/>
      <c r="BQZ1132" s="13"/>
      <c r="BRA1132" s="13"/>
      <c r="BRB1132" s="13"/>
      <c r="BRC1132" s="13"/>
      <c r="BRD1132" s="13"/>
      <c r="BRE1132" s="13"/>
      <c r="BRF1132" s="13"/>
      <c r="BRG1132" s="13"/>
      <c r="BRH1132" s="13"/>
      <c r="BRI1132" s="13"/>
      <c r="BRJ1132" s="13"/>
      <c r="BRK1132" s="13"/>
      <c r="BRL1132" s="13"/>
      <c r="BRM1132" s="13"/>
      <c r="BRN1132" s="13"/>
      <c r="BRO1132" s="13"/>
      <c r="BRP1132" s="13"/>
      <c r="BRQ1132" s="13"/>
      <c r="BRR1132" s="13"/>
      <c r="BRS1132" s="13"/>
      <c r="BRT1132" s="13"/>
      <c r="BRU1132" s="13"/>
      <c r="BRV1132" s="13"/>
      <c r="BRW1132" s="13"/>
      <c r="BRX1132" s="13"/>
      <c r="BRY1132" s="13"/>
      <c r="BRZ1132" s="13"/>
      <c r="BSA1132" s="13"/>
      <c r="BSB1132" s="13"/>
      <c r="BSC1132" s="13"/>
      <c r="BSD1132" s="13"/>
      <c r="BSE1132" s="13"/>
      <c r="BSF1132" s="13"/>
      <c r="BSG1132" s="13"/>
      <c r="BSH1132" s="13"/>
      <c r="BSI1132" s="13"/>
      <c r="BSJ1132" s="13"/>
      <c r="BSK1132" s="13"/>
      <c r="BSL1132" s="13"/>
      <c r="BSM1132" s="13"/>
      <c r="BSN1132" s="13"/>
      <c r="BSO1132" s="13"/>
      <c r="BSP1132" s="13"/>
      <c r="BSQ1132" s="13"/>
      <c r="BSR1132" s="13"/>
      <c r="BSS1132" s="13"/>
      <c r="BST1132" s="13"/>
      <c r="BSU1132" s="13"/>
      <c r="BSV1132" s="13"/>
      <c r="BSW1132" s="13"/>
      <c r="BSX1132" s="13"/>
      <c r="BSY1132" s="13"/>
      <c r="BSZ1132" s="13"/>
      <c r="BTA1132" s="13"/>
    </row>
    <row r="1133" spans="1:1873" s="216" customFormat="1" x14ac:dyDescent="0.2">
      <c r="A1133" s="327" t="s">
        <v>852</v>
      </c>
      <c r="B1133" s="257" t="s">
        <v>853</v>
      </c>
      <c r="C1133" s="257" t="s">
        <v>868</v>
      </c>
      <c r="D1133" s="257" t="s">
        <v>1400</v>
      </c>
      <c r="E1133" s="257" t="s">
        <v>855</v>
      </c>
      <c r="F1133" s="257">
        <v>1</v>
      </c>
      <c r="G1133" s="257">
        <v>6</v>
      </c>
      <c r="H1133" s="263">
        <v>6</v>
      </c>
      <c r="I1133" s="257" t="s">
        <v>1210</v>
      </c>
      <c r="J1133" s="257">
        <v>1995</v>
      </c>
      <c r="K1133" s="257" t="s">
        <v>1210</v>
      </c>
      <c r="L1133" s="257">
        <v>2001</v>
      </c>
      <c r="M1133" s="261">
        <v>-9999</v>
      </c>
      <c r="N1133" s="257">
        <v>-9999</v>
      </c>
      <c r="O1133" s="29"/>
      <c r="P1133" s="261">
        <f>23.1-3.1</f>
        <v>20</v>
      </c>
      <c r="Q1133" s="257">
        <v>-9999</v>
      </c>
      <c r="R1133" s="261"/>
      <c r="S1133" s="257"/>
      <c r="T1133" s="370">
        <f>+P1133/G1133</f>
        <v>3.3333333333333335</v>
      </c>
      <c r="U1133" s="257">
        <v>-9999</v>
      </c>
      <c r="V1133" s="257"/>
      <c r="W1133" s="261">
        <v>-9999</v>
      </c>
      <c r="X1133" s="257">
        <v>-9999</v>
      </c>
      <c r="Y1133" s="257"/>
      <c r="Z1133" s="327" t="s">
        <v>1708</v>
      </c>
      <c r="AA1133" s="257">
        <v>1070</v>
      </c>
      <c r="AB1133" s="261">
        <v>-9999</v>
      </c>
      <c r="AC1133" s="257">
        <v>5</v>
      </c>
      <c r="AD1133" s="327">
        <v>1866</v>
      </c>
      <c r="AE1133" s="327" t="s">
        <v>1948</v>
      </c>
      <c r="AF1133" s="257">
        <v>4</v>
      </c>
      <c r="AG1133" s="257" t="s">
        <v>843</v>
      </c>
      <c r="AH1133" s="257" t="s">
        <v>857</v>
      </c>
      <c r="AI1133" s="257" t="s">
        <v>858</v>
      </c>
      <c r="AJ1133" s="257" t="s">
        <v>859</v>
      </c>
      <c r="AK1133" s="257" t="s">
        <v>860</v>
      </c>
      <c r="AL1133" s="257" t="s">
        <v>828</v>
      </c>
      <c r="AM1133" s="257" t="s">
        <v>861</v>
      </c>
      <c r="AN1133" s="257" t="s">
        <v>626</v>
      </c>
      <c r="AO1133" s="257" t="s">
        <v>826</v>
      </c>
      <c r="AP1133" s="257" t="s">
        <v>862</v>
      </c>
      <c r="AQ1133" s="257" t="s">
        <v>631</v>
      </c>
      <c r="AR1133" s="257">
        <v>0</v>
      </c>
      <c r="AS1133" s="257">
        <v>-9999</v>
      </c>
      <c r="AT1133" s="257" t="s">
        <v>871</v>
      </c>
      <c r="AU1133" s="257">
        <v>0</v>
      </c>
      <c r="AV1133" s="257">
        <v>-9999</v>
      </c>
      <c r="AW1133" s="257" t="s">
        <v>871</v>
      </c>
      <c r="AX1133" s="257">
        <v>0</v>
      </c>
      <c r="AY1133" s="257">
        <v>-9999</v>
      </c>
      <c r="AZ1133" s="257" t="s">
        <v>871</v>
      </c>
      <c r="BA1133" s="257">
        <v>-9999</v>
      </c>
      <c r="BB1133" s="257" t="s">
        <v>626</v>
      </c>
      <c r="BC1133" s="257" t="s">
        <v>864</v>
      </c>
      <c r="BD1133" s="257"/>
      <c r="BE1133" s="257" t="s">
        <v>865</v>
      </c>
      <c r="BF1133" s="257" t="s">
        <v>869</v>
      </c>
      <c r="BG1133" s="257">
        <v>-9999</v>
      </c>
      <c r="BH1133" s="257">
        <v>-9999</v>
      </c>
      <c r="BI1133" s="257" t="s">
        <v>866</v>
      </c>
      <c r="BJ1133" s="257">
        <v>-9999</v>
      </c>
      <c r="BK1133" s="257">
        <v>-9999</v>
      </c>
      <c r="BL1133" s="257">
        <v>6.78</v>
      </c>
      <c r="BM1133" s="257">
        <v>0.08</v>
      </c>
      <c r="BN1133" s="257">
        <v>8.59</v>
      </c>
      <c r="BO1133" s="257">
        <v>0.17</v>
      </c>
      <c r="BP1133" s="257">
        <v>-9999</v>
      </c>
      <c r="BQ1133" s="257">
        <v>-9999</v>
      </c>
      <c r="BR1133" s="257">
        <v>13.88</v>
      </c>
      <c r="BS1133" s="263">
        <v>-9999</v>
      </c>
      <c r="BT1133" s="257">
        <v>-9999</v>
      </c>
      <c r="BU1133" s="257">
        <v>-9999</v>
      </c>
      <c r="BV1133" s="257">
        <v>-9999</v>
      </c>
      <c r="BW1133" s="257"/>
      <c r="BX1133" s="257">
        <v>-9999</v>
      </c>
      <c r="BY1133" s="257">
        <v>-9999</v>
      </c>
      <c r="BZ1133" s="257">
        <v>-9999</v>
      </c>
      <c r="CA1133" s="300" t="s">
        <v>867</v>
      </c>
      <c r="CB1133" s="593" t="s">
        <v>757</v>
      </c>
      <c r="CC1133" s="257">
        <v>1</v>
      </c>
      <c r="CD1133" s="257" t="s">
        <v>868</v>
      </c>
      <c r="CE1133" s="292">
        <v>3.3333333333333335</v>
      </c>
      <c r="CF1133" s="292">
        <v>-9999</v>
      </c>
      <c r="CG1133" s="214">
        <v>6</v>
      </c>
      <c r="CH1133" s="301" t="s">
        <v>1757</v>
      </c>
      <c r="CI1133" s="23"/>
      <c r="CJ1133" s="23"/>
      <c r="CK1133" s="23"/>
      <c r="CL1133" s="23"/>
      <c r="CM1133" s="23"/>
      <c r="CN1133" s="23"/>
      <c r="CO1133" s="23"/>
      <c r="CP1133" s="23"/>
      <c r="CQ1133" s="23"/>
      <c r="CR1133" s="23"/>
      <c r="CS1133" s="23"/>
      <c r="CT1133" s="23"/>
      <c r="CU1133" s="23"/>
      <c r="CV1133" s="23"/>
      <c r="CW1133" s="23"/>
      <c r="CX1133" s="23"/>
      <c r="CY1133" s="23"/>
      <c r="CZ1133" s="23"/>
      <c r="DA1133" s="23"/>
      <c r="DB1133" s="23"/>
      <c r="DC1133" s="23"/>
      <c r="DD1133" s="23"/>
      <c r="DE1133" s="23"/>
      <c r="DF1133" s="23"/>
      <c r="DG1133" s="23"/>
      <c r="DH1133" s="23"/>
      <c r="DI1133" s="23"/>
      <c r="DJ1133" s="23"/>
      <c r="DK1133" s="23"/>
      <c r="DL1133" s="23"/>
      <c r="DM1133" s="23"/>
      <c r="DN1133" s="23"/>
      <c r="DO1133" s="23"/>
      <c r="DP1133" s="23"/>
      <c r="DQ1133" s="23"/>
      <c r="DR1133" s="23"/>
      <c r="DS1133" s="23"/>
      <c r="DT1133" s="23"/>
      <c r="DU1133" s="23"/>
      <c r="DV1133" s="23"/>
      <c r="DW1133" s="23"/>
      <c r="DX1133" s="23"/>
      <c r="DY1133" s="23"/>
      <c r="DZ1133" s="23"/>
      <c r="EA1133" s="23"/>
      <c r="EB1133" s="23"/>
      <c r="EC1133" s="23"/>
      <c r="ED1133" s="23"/>
      <c r="EE1133" s="23"/>
      <c r="EF1133" s="23"/>
      <c r="EG1133" s="23"/>
      <c r="EH1133" s="23"/>
      <c r="EI1133" s="23"/>
      <c r="EJ1133" s="23"/>
      <c r="EK1133" s="23"/>
      <c r="EL1133" s="23"/>
      <c r="EM1133" s="23"/>
      <c r="EN1133" s="23"/>
      <c r="EO1133" s="23"/>
      <c r="EP1133" s="23"/>
      <c r="EQ1133" s="23"/>
      <c r="ER1133" s="23"/>
      <c r="ES1133" s="23"/>
      <c r="ET1133" s="23"/>
      <c r="EU1133" s="23"/>
      <c r="EV1133" s="23"/>
      <c r="EW1133" s="23"/>
      <c r="EX1133" s="23"/>
      <c r="EY1133" s="23"/>
      <c r="EZ1133" s="23"/>
      <c r="FA1133" s="23"/>
      <c r="FB1133" s="23"/>
      <c r="FC1133" s="23"/>
      <c r="FD1133" s="23"/>
      <c r="FE1133" s="23"/>
      <c r="FF1133" s="23"/>
      <c r="FG1133" s="23"/>
      <c r="FH1133" s="23"/>
      <c r="FI1133" s="23"/>
      <c r="FJ1133" s="23"/>
      <c r="FK1133" s="23"/>
      <c r="FL1133" s="23"/>
      <c r="FM1133" s="23"/>
      <c r="FN1133" s="23"/>
      <c r="FO1133" s="23"/>
      <c r="FP1133" s="23"/>
      <c r="FQ1133" s="23"/>
      <c r="FR1133" s="23"/>
      <c r="FS1133" s="23"/>
      <c r="FT1133" s="23"/>
      <c r="FU1133" s="23"/>
      <c r="FV1133" s="23"/>
      <c r="FW1133" s="23"/>
      <c r="FX1133" s="23"/>
      <c r="FY1133" s="23"/>
      <c r="FZ1133" s="23"/>
      <c r="GA1133" s="23"/>
      <c r="GB1133" s="23"/>
      <c r="GC1133" s="23"/>
      <c r="GD1133" s="23"/>
      <c r="GE1133" s="23"/>
      <c r="GF1133" s="23"/>
      <c r="GG1133" s="23"/>
      <c r="GH1133" s="23"/>
      <c r="GI1133" s="23"/>
      <c r="GJ1133" s="23"/>
      <c r="GK1133" s="23"/>
      <c r="GL1133" s="23"/>
      <c r="GM1133" s="23"/>
      <c r="GN1133" s="23"/>
      <c r="GO1133" s="23"/>
      <c r="GP1133" s="23"/>
      <c r="GQ1133" s="23"/>
      <c r="GR1133" s="23"/>
      <c r="GS1133" s="23"/>
      <c r="GT1133" s="23"/>
      <c r="GU1133" s="23"/>
      <c r="GV1133" s="23"/>
      <c r="GW1133" s="23"/>
      <c r="GX1133" s="23"/>
      <c r="GY1133" s="23"/>
      <c r="GZ1133" s="23"/>
      <c r="HA1133" s="23"/>
      <c r="HB1133" s="23"/>
      <c r="HC1133" s="23"/>
      <c r="HD1133" s="23"/>
      <c r="HE1133" s="23"/>
      <c r="HF1133" s="23"/>
      <c r="HG1133" s="23"/>
      <c r="HH1133" s="23"/>
      <c r="HI1133" s="23"/>
      <c r="HJ1133" s="23"/>
      <c r="HK1133" s="23"/>
      <c r="HL1133" s="23"/>
      <c r="HM1133" s="23"/>
      <c r="HN1133" s="23"/>
      <c r="HO1133" s="23"/>
      <c r="HP1133" s="23"/>
      <c r="HQ1133" s="23"/>
      <c r="HR1133" s="23"/>
      <c r="HS1133" s="23"/>
      <c r="HT1133" s="23"/>
      <c r="HU1133" s="23"/>
      <c r="HV1133" s="23"/>
      <c r="HW1133" s="23"/>
      <c r="HX1133" s="23"/>
      <c r="HY1133" s="23"/>
      <c r="HZ1133" s="23"/>
      <c r="IA1133" s="23"/>
      <c r="IB1133" s="23"/>
      <c r="IC1133" s="23"/>
      <c r="ID1133" s="23"/>
      <c r="IE1133" s="23"/>
      <c r="IF1133" s="23"/>
      <c r="IG1133" s="23"/>
      <c r="IH1133" s="23"/>
      <c r="II1133" s="23"/>
      <c r="IJ1133" s="23"/>
      <c r="IK1133" s="23"/>
      <c r="IL1133" s="23"/>
      <c r="IM1133" s="23"/>
      <c r="IN1133" s="23"/>
      <c r="IO1133" s="23"/>
      <c r="IP1133" s="23"/>
      <c r="IQ1133" s="23"/>
      <c r="IR1133" s="23"/>
      <c r="IS1133" s="23"/>
      <c r="IT1133" s="23"/>
      <c r="IU1133" s="23"/>
      <c r="IV1133" s="23"/>
      <c r="IW1133" s="23"/>
      <c r="IX1133" s="23"/>
      <c r="IY1133" s="23"/>
      <c r="IZ1133" s="23"/>
      <c r="JA1133" s="23"/>
      <c r="JB1133" s="23"/>
      <c r="JC1133" s="23"/>
      <c r="JD1133" s="23"/>
      <c r="JE1133" s="23"/>
      <c r="JF1133" s="23"/>
      <c r="JG1133" s="23"/>
      <c r="JH1133" s="23"/>
      <c r="JI1133" s="23"/>
      <c r="JJ1133" s="23"/>
      <c r="JK1133" s="23"/>
      <c r="JL1133" s="23"/>
      <c r="JM1133" s="23"/>
      <c r="JN1133" s="23"/>
      <c r="JO1133" s="23"/>
      <c r="JP1133" s="23"/>
      <c r="JQ1133" s="23"/>
      <c r="JR1133" s="23"/>
      <c r="JS1133" s="23"/>
      <c r="JT1133" s="23"/>
      <c r="JU1133" s="23"/>
      <c r="JV1133" s="23"/>
      <c r="JW1133" s="23"/>
      <c r="JX1133" s="23"/>
      <c r="JY1133" s="23"/>
      <c r="JZ1133" s="23"/>
      <c r="KA1133" s="23"/>
      <c r="KB1133" s="23"/>
      <c r="KC1133" s="23"/>
      <c r="KD1133" s="23"/>
      <c r="KE1133" s="23"/>
      <c r="KF1133" s="23"/>
      <c r="KG1133" s="23"/>
      <c r="KH1133" s="23"/>
      <c r="KI1133" s="23"/>
      <c r="KJ1133" s="23"/>
      <c r="KK1133" s="23"/>
      <c r="KL1133" s="23"/>
      <c r="KM1133" s="23"/>
      <c r="KN1133" s="23"/>
      <c r="KO1133" s="23"/>
      <c r="KP1133" s="23"/>
      <c r="KQ1133" s="23"/>
      <c r="KR1133" s="23"/>
      <c r="KS1133" s="23"/>
      <c r="KT1133" s="23"/>
      <c r="KU1133" s="23"/>
      <c r="KV1133" s="23"/>
      <c r="KW1133" s="23"/>
      <c r="KX1133" s="23"/>
      <c r="KY1133" s="23"/>
      <c r="KZ1133" s="23"/>
      <c r="LA1133" s="23"/>
      <c r="LB1133" s="23"/>
      <c r="LC1133" s="23"/>
      <c r="LD1133" s="23"/>
      <c r="LE1133" s="23"/>
      <c r="LF1133" s="23"/>
      <c r="LG1133" s="23"/>
      <c r="LH1133" s="23"/>
      <c r="LI1133" s="23"/>
      <c r="LJ1133" s="23"/>
      <c r="LK1133" s="23"/>
      <c r="LL1133" s="23"/>
      <c r="LM1133" s="23"/>
      <c r="LN1133" s="23"/>
      <c r="LO1133" s="23"/>
      <c r="LP1133" s="23"/>
      <c r="LQ1133" s="23"/>
      <c r="LR1133" s="23"/>
      <c r="LS1133" s="23"/>
      <c r="LT1133" s="23"/>
      <c r="LU1133" s="23"/>
      <c r="LV1133" s="23"/>
      <c r="LW1133" s="23"/>
      <c r="LX1133" s="23"/>
      <c r="LY1133" s="23"/>
      <c r="LZ1133" s="23"/>
      <c r="MA1133" s="23"/>
      <c r="MB1133" s="23"/>
      <c r="MC1133" s="23"/>
      <c r="MD1133" s="23"/>
      <c r="ME1133" s="23"/>
      <c r="MF1133" s="23"/>
      <c r="MG1133" s="23"/>
      <c r="MH1133" s="23"/>
      <c r="MI1133" s="23"/>
      <c r="MJ1133" s="23"/>
      <c r="MK1133" s="23"/>
      <c r="ML1133" s="23"/>
      <c r="MM1133" s="23"/>
      <c r="MN1133" s="23"/>
      <c r="MO1133" s="23"/>
      <c r="MP1133" s="23"/>
      <c r="MQ1133" s="23"/>
      <c r="MR1133" s="23"/>
      <c r="MS1133" s="23"/>
      <c r="MT1133" s="23"/>
      <c r="MU1133" s="23"/>
      <c r="MV1133" s="23"/>
      <c r="MW1133" s="23"/>
      <c r="MX1133" s="23"/>
      <c r="MY1133" s="23"/>
      <c r="MZ1133" s="23"/>
      <c r="NA1133" s="23"/>
      <c r="NB1133" s="23"/>
      <c r="NC1133" s="23"/>
      <c r="ND1133" s="23"/>
      <c r="NE1133" s="23"/>
      <c r="NF1133" s="23"/>
      <c r="NG1133" s="23"/>
      <c r="NH1133" s="23"/>
      <c r="NI1133" s="23"/>
      <c r="NJ1133" s="23"/>
      <c r="NK1133" s="23"/>
      <c r="NL1133" s="23"/>
      <c r="NM1133" s="23"/>
      <c r="NN1133" s="23"/>
      <c r="NO1133" s="23"/>
      <c r="NP1133" s="23"/>
      <c r="NQ1133" s="23"/>
      <c r="NR1133" s="23"/>
      <c r="NS1133" s="23"/>
      <c r="NT1133" s="23"/>
      <c r="NU1133" s="23"/>
      <c r="NV1133" s="23"/>
      <c r="NW1133" s="23"/>
      <c r="NX1133" s="23"/>
      <c r="NY1133" s="23"/>
      <c r="NZ1133" s="23"/>
      <c r="OA1133" s="23"/>
      <c r="OB1133" s="23"/>
      <c r="OC1133" s="23"/>
      <c r="OD1133" s="23"/>
      <c r="OE1133" s="23"/>
      <c r="OF1133" s="23"/>
      <c r="OG1133" s="23"/>
      <c r="OH1133" s="23"/>
      <c r="OI1133" s="23"/>
      <c r="OJ1133" s="23"/>
      <c r="OK1133" s="23"/>
      <c r="OL1133" s="23"/>
      <c r="OM1133" s="23"/>
      <c r="ON1133" s="23"/>
      <c r="OO1133" s="23"/>
      <c r="OP1133" s="23"/>
      <c r="OQ1133" s="23"/>
      <c r="OR1133" s="23"/>
      <c r="OS1133" s="23"/>
      <c r="OT1133" s="23"/>
      <c r="OU1133" s="23"/>
      <c r="OV1133" s="23"/>
      <c r="OW1133" s="23"/>
      <c r="OX1133" s="23"/>
      <c r="OY1133" s="23"/>
      <c r="OZ1133" s="23"/>
      <c r="PA1133" s="23"/>
      <c r="PB1133" s="23"/>
      <c r="PC1133" s="23"/>
      <c r="PD1133" s="23"/>
      <c r="PE1133" s="23"/>
      <c r="PF1133" s="23"/>
      <c r="PG1133" s="23"/>
      <c r="PH1133" s="23"/>
      <c r="PI1133" s="23"/>
      <c r="PJ1133" s="23"/>
      <c r="PK1133" s="23"/>
      <c r="PL1133" s="23"/>
      <c r="PM1133" s="23"/>
      <c r="PN1133" s="23"/>
      <c r="PO1133" s="23"/>
      <c r="PP1133" s="23"/>
      <c r="PQ1133" s="23"/>
      <c r="PR1133" s="23"/>
      <c r="PS1133" s="23"/>
      <c r="PT1133" s="23"/>
      <c r="PU1133" s="23"/>
      <c r="PV1133" s="23"/>
      <c r="PW1133" s="23"/>
      <c r="PX1133" s="23"/>
      <c r="PY1133" s="23"/>
      <c r="PZ1133" s="23"/>
      <c r="QA1133" s="23"/>
      <c r="QB1133" s="23"/>
      <c r="QC1133" s="23"/>
      <c r="QD1133" s="23"/>
      <c r="QE1133" s="23"/>
      <c r="QF1133" s="23"/>
      <c r="QG1133" s="23"/>
      <c r="QH1133" s="23"/>
      <c r="QI1133" s="23"/>
      <c r="QJ1133" s="23"/>
      <c r="QK1133" s="23"/>
      <c r="QL1133" s="23"/>
      <c r="QM1133" s="23"/>
      <c r="QN1133" s="23"/>
      <c r="QO1133" s="23"/>
      <c r="QP1133" s="23"/>
      <c r="QQ1133" s="23"/>
      <c r="QR1133" s="23"/>
      <c r="QS1133" s="23"/>
      <c r="QT1133" s="23"/>
      <c r="QU1133" s="23"/>
      <c r="QV1133" s="23"/>
      <c r="QW1133" s="23"/>
      <c r="QX1133" s="23"/>
      <c r="QY1133" s="23"/>
      <c r="QZ1133" s="23"/>
      <c r="RA1133" s="23"/>
      <c r="RB1133" s="23"/>
      <c r="RC1133" s="23"/>
      <c r="RD1133" s="23"/>
      <c r="RE1133" s="23"/>
      <c r="RF1133" s="23"/>
      <c r="RG1133" s="23"/>
      <c r="RH1133" s="23"/>
      <c r="RI1133" s="23"/>
      <c r="RJ1133" s="23"/>
      <c r="RK1133" s="23"/>
      <c r="RL1133" s="23"/>
      <c r="RM1133" s="23"/>
      <c r="RN1133" s="23"/>
      <c r="RO1133" s="23"/>
      <c r="RP1133" s="23"/>
      <c r="RQ1133" s="23"/>
      <c r="RR1133" s="23"/>
      <c r="RS1133" s="23"/>
      <c r="RT1133" s="23"/>
      <c r="RU1133" s="23"/>
      <c r="RV1133" s="23"/>
      <c r="RW1133" s="23"/>
      <c r="RX1133" s="23"/>
      <c r="RY1133" s="23"/>
      <c r="RZ1133" s="23"/>
      <c r="SA1133" s="23"/>
      <c r="SB1133" s="23"/>
      <c r="SC1133" s="23"/>
      <c r="SD1133" s="23"/>
      <c r="SE1133" s="23"/>
      <c r="SF1133" s="23"/>
      <c r="SG1133" s="23"/>
      <c r="SH1133" s="23"/>
      <c r="SI1133" s="23"/>
      <c r="SJ1133" s="23"/>
      <c r="SK1133" s="23"/>
      <c r="SL1133" s="23"/>
      <c r="SM1133" s="23"/>
      <c r="SN1133" s="23"/>
      <c r="SO1133" s="23"/>
      <c r="SP1133" s="23"/>
      <c r="SQ1133" s="23"/>
      <c r="SR1133" s="23"/>
      <c r="SS1133" s="23"/>
      <c r="ST1133" s="23"/>
      <c r="SU1133" s="23"/>
      <c r="SV1133" s="23"/>
      <c r="SW1133" s="23"/>
      <c r="SX1133" s="23"/>
      <c r="SY1133" s="23"/>
      <c r="SZ1133" s="23"/>
      <c r="TA1133" s="23"/>
      <c r="TB1133" s="23"/>
      <c r="TC1133" s="23"/>
      <c r="TD1133" s="23"/>
      <c r="TE1133" s="23"/>
      <c r="TF1133" s="23"/>
      <c r="TG1133" s="23"/>
      <c r="TH1133" s="23"/>
      <c r="TI1133" s="23"/>
      <c r="TJ1133" s="23"/>
      <c r="TK1133" s="23"/>
      <c r="TL1133" s="23"/>
      <c r="TM1133" s="23"/>
      <c r="TN1133" s="23"/>
      <c r="TO1133" s="23"/>
      <c r="TP1133" s="23"/>
      <c r="TQ1133" s="23"/>
      <c r="TR1133" s="23"/>
      <c r="TS1133" s="23"/>
      <c r="TT1133" s="23"/>
      <c r="TU1133" s="23"/>
      <c r="TV1133" s="23"/>
      <c r="TW1133" s="23"/>
      <c r="TX1133" s="23"/>
      <c r="TY1133" s="23"/>
      <c r="TZ1133" s="23"/>
      <c r="UA1133" s="23"/>
      <c r="UB1133" s="23"/>
      <c r="UC1133" s="23"/>
      <c r="UD1133" s="23"/>
      <c r="UE1133" s="23"/>
      <c r="UF1133" s="23"/>
      <c r="UG1133" s="23"/>
      <c r="UH1133" s="23"/>
      <c r="UI1133" s="23"/>
      <c r="UJ1133" s="23"/>
      <c r="UK1133" s="23"/>
      <c r="UL1133" s="23"/>
      <c r="UM1133" s="23"/>
      <c r="UN1133" s="23"/>
      <c r="UO1133" s="23"/>
      <c r="UP1133" s="23"/>
      <c r="UQ1133" s="23"/>
      <c r="UR1133" s="23"/>
      <c r="US1133" s="23"/>
      <c r="UT1133" s="23"/>
      <c r="UU1133" s="23"/>
      <c r="UV1133" s="23"/>
      <c r="UW1133" s="23"/>
      <c r="UX1133" s="23"/>
      <c r="UY1133" s="23"/>
      <c r="UZ1133" s="23"/>
      <c r="VA1133" s="23"/>
      <c r="VB1133" s="23"/>
      <c r="VC1133" s="23"/>
      <c r="VD1133" s="23"/>
      <c r="VE1133" s="23"/>
      <c r="VF1133" s="23"/>
      <c r="VG1133" s="23"/>
      <c r="VH1133" s="23"/>
      <c r="VI1133" s="23"/>
      <c r="VJ1133" s="23"/>
      <c r="VK1133" s="23"/>
      <c r="VL1133" s="23"/>
      <c r="VM1133" s="23"/>
      <c r="VN1133" s="23"/>
      <c r="VO1133" s="23"/>
      <c r="VP1133" s="23"/>
      <c r="VQ1133" s="23"/>
      <c r="VR1133" s="23"/>
      <c r="VS1133" s="23"/>
      <c r="VT1133" s="23"/>
      <c r="VU1133" s="23"/>
      <c r="VV1133" s="23"/>
      <c r="VW1133" s="23"/>
      <c r="VX1133" s="23"/>
      <c r="VY1133" s="23"/>
      <c r="VZ1133" s="23"/>
      <c r="WA1133" s="23"/>
      <c r="WB1133" s="23"/>
      <c r="WC1133" s="23"/>
      <c r="WD1133" s="23"/>
      <c r="WE1133" s="23"/>
      <c r="WF1133" s="23"/>
      <c r="WG1133" s="23"/>
      <c r="WH1133" s="23"/>
      <c r="WI1133" s="23"/>
      <c r="WJ1133" s="23"/>
      <c r="WK1133" s="23"/>
      <c r="WL1133" s="23"/>
      <c r="WM1133" s="23"/>
      <c r="WN1133" s="23"/>
      <c r="WO1133" s="23"/>
      <c r="WP1133" s="23"/>
      <c r="WQ1133" s="23"/>
      <c r="WR1133" s="23"/>
      <c r="WS1133" s="23"/>
      <c r="WT1133" s="23"/>
      <c r="WU1133" s="23"/>
      <c r="WV1133" s="23"/>
      <c r="WW1133" s="23"/>
      <c r="WX1133" s="23"/>
      <c r="WY1133" s="23"/>
      <c r="WZ1133" s="23"/>
      <c r="XA1133" s="23"/>
      <c r="XB1133" s="23"/>
      <c r="XC1133" s="23"/>
      <c r="XD1133" s="23"/>
      <c r="XE1133" s="23"/>
      <c r="XF1133" s="23"/>
      <c r="XG1133" s="23"/>
      <c r="XH1133" s="23"/>
      <c r="XI1133" s="23"/>
      <c r="XJ1133" s="23"/>
      <c r="XK1133" s="23"/>
      <c r="XL1133" s="23"/>
      <c r="XM1133" s="23"/>
      <c r="XN1133" s="23"/>
      <c r="XO1133" s="23"/>
      <c r="XP1133" s="23"/>
      <c r="XQ1133" s="23"/>
      <c r="XR1133" s="23"/>
      <c r="XS1133" s="23"/>
      <c r="XT1133" s="23"/>
      <c r="XU1133" s="23"/>
      <c r="XV1133" s="23"/>
      <c r="XW1133" s="23"/>
      <c r="XX1133" s="23"/>
      <c r="XY1133" s="23"/>
      <c r="XZ1133" s="23"/>
      <c r="YA1133" s="23"/>
      <c r="YB1133" s="23"/>
      <c r="YC1133" s="23"/>
      <c r="YD1133" s="23"/>
      <c r="YE1133" s="23"/>
      <c r="YF1133" s="23"/>
      <c r="YG1133" s="23"/>
      <c r="YH1133" s="23"/>
      <c r="YI1133" s="23"/>
      <c r="YJ1133" s="23"/>
      <c r="YK1133" s="23"/>
      <c r="YL1133" s="23"/>
      <c r="YM1133" s="23"/>
      <c r="YN1133" s="23"/>
      <c r="YO1133" s="23"/>
      <c r="YP1133" s="23"/>
      <c r="YQ1133" s="23"/>
      <c r="YR1133" s="23"/>
      <c r="YS1133" s="23"/>
      <c r="YT1133" s="23"/>
      <c r="YU1133" s="23"/>
      <c r="YV1133" s="23"/>
      <c r="YW1133" s="23"/>
      <c r="YX1133" s="23"/>
      <c r="YY1133" s="23"/>
      <c r="YZ1133" s="23"/>
      <c r="ZA1133" s="23"/>
      <c r="ZB1133" s="23"/>
      <c r="ZC1133" s="23"/>
      <c r="ZD1133" s="23"/>
      <c r="ZE1133" s="23"/>
      <c r="ZF1133" s="23"/>
      <c r="ZG1133" s="23"/>
      <c r="ZH1133" s="23"/>
      <c r="ZI1133" s="23"/>
      <c r="ZJ1133" s="23"/>
      <c r="ZK1133" s="23"/>
      <c r="ZL1133" s="23"/>
      <c r="ZM1133" s="23"/>
      <c r="ZN1133" s="23"/>
      <c r="ZO1133" s="23"/>
      <c r="ZP1133" s="23"/>
      <c r="ZQ1133" s="23"/>
      <c r="ZR1133" s="23"/>
      <c r="ZS1133" s="23"/>
      <c r="ZT1133" s="23"/>
      <c r="ZU1133" s="23"/>
      <c r="ZV1133" s="23"/>
      <c r="ZW1133" s="23"/>
      <c r="ZX1133" s="23"/>
      <c r="ZY1133" s="23"/>
      <c r="ZZ1133" s="23"/>
      <c r="AAA1133" s="23"/>
      <c r="AAB1133" s="23"/>
      <c r="AAC1133" s="23"/>
      <c r="AAD1133" s="23"/>
      <c r="AAE1133" s="23"/>
      <c r="AAF1133" s="23"/>
      <c r="AAG1133" s="23"/>
      <c r="AAH1133" s="23"/>
      <c r="AAI1133" s="23"/>
      <c r="AAJ1133" s="23"/>
      <c r="AAK1133" s="23"/>
      <c r="AAL1133" s="23"/>
      <c r="AAM1133" s="23"/>
      <c r="AAN1133" s="23"/>
      <c r="AAO1133" s="23"/>
      <c r="AAP1133" s="23"/>
      <c r="AAQ1133" s="23"/>
      <c r="AAR1133" s="23"/>
      <c r="AAS1133" s="23"/>
      <c r="AAT1133" s="23"/>
      <c r="AAU1133" s="23"/>
      <c r="AAV1133" s="23"/>
      <c r="AAW1133" s="23"/>
      <c r="AAX1133" s="23"/>
      <c r="AAY1133" s="23"/>
      <c r="AAZ1133" s="23"/>
      <c r="ABA1133" s="23"/>
      <c r="ABB1133" s="23"/>
      <c r="ABC1133" s="23"/>
      <c r="ABD1133" s="23"/>
      <c r="ABE1133" s="23"/>
      <c r="ABF1133" s="23"/>
      <c r="ABG1133" s="23"/>
      <c r="ABH1133" s="23"/>
      <c r="ABI1133" s="23"/>
      <c r="ABJ1133" s="23"/>
      <c r="ABK1133" s="23"/>
      <c r="ABL1133" s="23"/>
      <c r="ABM1133" s="23"/>
      <c r="ABN1133" s="23"/>
      <c r="ABO1133" s="23"/>
      <c r="ABP1133" s="23"/>
      <c r="ABQ1133" s="23"/>
      <c r="ABR1133" s="23"/>
      <c r="ABS1133" s="23"/>
      <c r="ABT1133" s="23"/>
      <c r="ABU1133" s="23"/>
      <c r="ABV1133" s="23"/>
      <c r="ABW1133" s="23"/>
      <c r="ABX1133" s="23"/>
      <c r="ABY1133" s="23"/>
      <c r="ABZ1133" s="23"/>
      <c r="ACA1133" s="23"/>
      <c r="ACB1133" s="23"/>
      <c r="ACC1133" s="23"/>
      <c r="ACD1133" s="23"/>
      <c r="ACE1133" s="23"/>
      <c r="ACF1133" s="23"/>
      <c r="ACG1133" s="23"/>
      <c r="ACH1133" s="23"/>
      <c r="ACI1133" s="23"/>
      <c r="ACJ1133" s="23"/>
      <c r="ACK1133" s="23"/>
      <c r="ACL1133" s="23"/>
      <c r="ACM1133" s="23"/>
      <c r="ACN1133" s="23"/>
      <c r="ACO1133" s="23"/>
      <c r="ACP1133" s="23"/>
      <c r="ACQ1133" s="23"/>
      <c r="ACR1133" s="23"/>
      <c r="ACS1133" s="23"/>
      <c r="ACT1133" s="23"/>
      <c r="ACU1133" s="23"/>
      <c r="ACV1133" s="23"/>
      <c r="ACW1133" s="23"/>
      <c r="ACX1133" s="23"/>
      <c r="ACY1133" s="23"/>
      <c r="ACZ1133" s="23"/>
      <c r="ADA1133" s="23"/>
      <c r="ADB1133" s="23"/>
      <c r="ADC1133" s="23"/>
      <c r="ADD1133" s="23"/>
      <c r="ADE1133" s="23"/>
      <c r="ADF1133" s="23"/>
      <c r="ADG1133" s="23"/>
      <c r="ADH1133" s="23"/>
      <c r="ADI1133" s="23"/>
      <c r="ADJ1133" s="23"/>
      <c r="ADK1133" s="23"/>
      <c r="ADL1133" s="23"/>
      <c r="ADM1133" s="23"/>
      <c r="ADN1133" s="23"/>
      <c r="ADO1133" s="23"/>
      <c r="ADP1133" s="23"/>
      <c r="ADQ1133" s="23"/>
      <c r="ADR1133" s="23"/>
      <c r="ADS1133" s="23"/>
      <c r="ADT1133" s="23"/>
      <c r="ADU1133" s="23"/>
      <c r="ADV1133" s="23"/>
      <c r="ADW1133" s="23"/>
      <c r="ADX1133" s="23"/>
      <c r="ADY1133" s="23"/>
      <c r="ADZ1133" s="23"/>
      <c r="AEA1133" s="23"/>
      <c r="AEB1133" s="23"/>
      <c r="AEC1133" s="23"/>
      <c r="AED1133" s="23"/>
      <c r="AEE1133" s="23"/>
      <c r="AEF1133" s="23"/>
      <c r="AEG1133" s="23"/>
      <c r="AEH1133" s="23"/>
      <c r="AEI1133" s="23"/>
      <c r="AEJ1133" s="23"/>
      <c r="AEK1133" s="23"/>
      <c r="AEL1133" s="23"/>
      <c r="AEM1133" s="23"/>
      <c r="AEN1133" s="23"/>
      <c r="AEO1133" s="23"/>
      <c r="AEP1133" s="23"/>
      <c r="AEQ1133" s="23"/>
      <c r="AER1133" s="23"/>
      <c r="AES1133" s="23"/>
      <c r="AET1133" s="23"/>
      <c r="AEU1133" s="23"/>
      <c r="AEV1133" s="23"/>
      <c r="AEW1133" s="23"/>
      <c r="AEX1133" s="23"/>
      <c r="AEY1133" s="23"/>
      <c r="AEZ1133" s="23"/>
      <c r="AFA1133" s="23"/>
      <c r="AFB1133" s="23"/>
      <c r="AFC1133" s="23"/>
      <c r="AFD1133" s="23"/>
      <c r="AFE1133" s="23"/>
      <c r="AFF1133" s="23"/>
      <c r="AFG1133" s="23"/>
      <c r="AFH1133" s="23"/>
      <c r="AFI1133" s="23"/>
      <c r="AFJ1133" s="23"/>
      <c r="AFK1133" s="23"/>
      <c r="AFL1133" s="23"/>
      <c r="AFM1133" s="23"/>
      <c r="AFN1133" s="23"/>
      <c r="AFO1133" s="23"/>
      <c r="AFP1133" s="23"/>
      <c r="AFQ1133" s="23"/>
      <c r="AFR1133" s="23"/>
      <c r="AFS1133" s="23"/>
      <c r="AFT1133" s="23"/>
      <c r="AFU1133" s="23"/>
      <c r="AFV1133" s="23"/>
      <c r="AFW1133" s="23"/>
      <c r="AFX1133" s="23"/>
      <c r="AFY1133" s="23"/>
      <c r="AFZ1133" s="23"/>
      <c r="AGA1133" s="23"/>
      <c r="AGB1133" s="23"/>
      <c r="AGC1133" s="23"/>
      <c r="AGD1133" s="23"/>
      <c r="AGE1133" s="23"/>
      <c r="AGF1133" s="23"/>
      <c r="AGG1133" s="23"/>
      <c r="AGH1133" s="23"/>
      <c r="AGI1133" s="23"/>
      <c r="AGJ1133" s="23"/>
      <c r="AGK1133" s="23"/>
      <c r="AGL1133" s="23"/>
      <c r="AGM1133" s="23"/>
      <c r="AGN1133" s="23"/>
      <c r="AGO1133" s="23"/>
      <c r="AGP1133" s="23"/>
      <c r="AGQ1133" s="23"/>
      <c r="AGR1133" s="23"/>
      <c r="AGS1133" s="23"/>
      <c r="AGT1133" s="23"/>
      <c r="AGU1133" s="23"/>
      <c r="AGV1133" s="23"/>
      <c r="AGW1133" s="23"/>
      <c r="AGX1133" s="23"/>
      <c r="AGY1133" s="23"/>
      <c r="AGZ1133" s="23"/>
      <c r="AHA1133" s="23"/>
      <c r="AHB1133" s="23"/>
      <c r="AHC1133" s="23"/>
      <c r="AHD1133" s="23"/>
      <c r="AHE1133" s="23"/>
      <c r="AHF1133" s="23"/>
      <c r="AHG1133" s="23"/>
      <c r="AHH1133" s="23"/>
      <c r="AHI1133" s="23"/>
      <c r="AHJ1133" s="23"/>
      <c r="AHK1133" s="23"/>
      <c r="AHL1133" s="23"/>
      <c r="AHM1133" s="23"/>
      <c r="AHN1133" s="23"/>
      <c r="AHO1133" s="23"/>
      <c r="AHP1133" s="23"/>
      <c r="AHQ1133" s="23"/>
      <c r="AHR1133" s="23"/>
      <c r="AHS1133" s="23"/>
      <c r="AHT1133" s="23"/>
      <c r="AHU1133" s="23"/>
      <c r="AHV1133" s="23"/>
      <c r="AHW1133" s="23"/>
      <c r="AHX1133" s="23"/>
      <c r="AHY1133" s="23"/>
      <c r="AHZ1133" s="23"/>
      <c r="AIA1133" s="23"/>
      <c r="AIB1133" s="23"/>
      <c r="AIC1133" s="23"/>
      <c r="AID1133" s="23"/>
      <c r="AIE1133" s="23"/>
      <c r="AIF1133" s="23"/>
      <c r="AIG1133" s="23"/>
      <c r="AIH1133" s="23"/>
      <c r="AII1133" s="23"/>
      <c r="AIJ1133" s="23"/>
      <c r="AIK1133" s="23"/>
      <c r="AIL1133" s="23"/>
      <c r="AIM1133" s="23"/>
      <c r="AIN1133" s="23"/>
      <c r="AIO1133" s="23"/>
      <c r="AIP1133" s="23"/>
      <c r="AIQ1133" s="23"/>
      <c r="AIR1133" s="23"/>
      <c r="AIS1133" s="23"/>
      <c r="AIT1133" s="23"/>
      <c r="AIU1133" s="23"/>
      <c r="AIV1133" s="23"/>
      <c r="AIW1133" s="23"/>
      <c r="AIX1133" s="23"/>
      <c r="AIY1133" s="23"/>
      <c r="AIZ1133" s="23"/>
      <c r="AJA1133" s="23"/>
      <c r="AJB1133" s="23"/>
      <c r="AJC1133" s="23"/>
      <c r="AJD1133" s="23"/>
      <c r="AJE1133" s="23"/>
      <c r="AJF1133" s="23"/>
      <c r="AJG1133" s="23"/>
      <c r="AJH1133" s="23"/>
      <c r="AJI1133" s="23"/>
      <c r="AJJ1133" s="23"/>
      <c r="AJK1133" s="23"/>
      <c r="AJL1133" s="23"/>
      <c r="AJM1133" s="23"/>
      <c r="AJN1133" s="23"/>
      <c r="AJO1133" s="23"/>
      <c r="AJP1133" s="23"/>
      <c r="AJQ1133" s="23"/>
      <c r="AJR1133" s="23"/>
      <c r="AJS1133" s="23"/>
      <c r="AJT1133" s="23"/>
      <c r="AJU1133" s="23"/>
      <c r="AJV1133" s="23"/>
      <c r="AJW1133" s="23"/>
      <c r="AJX1133" s="23"/>
      <c r="AJY1133" s="23"/>
      <c r="AJZ1133" s="23"/>
      <c r="AKA1133" s="23"/>
      <c r="AKB1133" s="23"/>
      <c r="AKC1133" s="23"/>
      <c r="AKD1133" s="23"/>
      <c r="AKE1133" s="23"/>
      <c r="AKF1133" s="23"/>
      <c r="AKG1133" s="23"/>
      <c r="AKH1133" s="23"/>
      <c r="AKI1133" s="23"/>
      <c r="AKJ1133" s="23"/>
      <c r="AKK1133" s="23"/>
      <c r="AKL1133" s="23"/>
      <c r="AKM1133" s="23"/>
      <c r="AKN1133" s="23"/>
      <c r="AKO1133" s="23"/>
      <c r="AKP1133" s="23"/>
      <c r="AKQ1133" s="23"/>
      <c r="AKR1133" s="23"/>
      <c r="AKS1133" s="23"/>
      <c r="AKT1133" s="23"/>
      <c r="AKU1133" s="23"/>
      <c r="AKV1133" s="23"/>
      <c r="AKW1133" s="23"/>
      <c r="AKX1133" s="23"/>
      <c r="AKY1133" s="23"/>
      <c r="AKZ1133" s="23"/>
      <c r="ALA1133" s="23"/>
      <c r="ALB1133" s="23"/>
      <c r="ALC1133" s="23"/>
      <c r="ALD1133" s="23"/>
      <c r="ALE1133" s="23"/>
      <c r="ALF1133" s="23"/>
      <c r="ALG1133" s="23"/>
      <c r="ALH1133" s="23"/>
      <c r="ALI1133" s="23"/>
      <c r="ALJ1133" s="23"/>
      <c r="ALK1133" s="23"/>
      <c r="ALL1133" s="23"/>
      <c r="ALM1133" s="23"/>
      <c r="ALN1133" s="23"/>
      <c r="ALO1133" s="23"/>
      <c r="ALP1133" s="23"/>
      <c r="ALQ1133" s="23"/>
      <c r="ALR1133" s="23"/>
      <c r="ALS1133" s="23"/>
      <c r="ALT1133" s="23"/>
      <c r="ALU1133" s="23"/>
      <c r="ALV1133" s="23"/>
      <c r="ALW1133" s="23"/>
      <c r="ALX1133" s="23"/>
      <c r="ALY1133" s="23"/>
      <c r="ALZ1133" s="23"/>
      <c r="AMA1133" s="23"/>
      <c r="AMB1133" s="23"/>
      <c r="AMC1133" s="23"/>
      <c r="AMD1133" s="23"/>
      <c r="AME1133" s="23"/>
      <c r="AMF1133" s="23"/>
      <c r="AMG1133" s="23"/>
      <c r="AMH1133" s="23"/>
      <c r="AMI1133" s="23"/>
      <c r="AMJ1133" s="23"/>
      <c r="AMK1133" s="23"/>
      <c r="AML1133" s="23"/>
      <c r="AMM1133" s="23"/>
      <c r="AMN1133" s="23"/>
      <c r="AMO1133" s="23"/>
      <c r="AMP1133" s="23"/>
      <c r="AMQ1133" s="23"/>
      <c r="AMR1133" s="23"/>
      <c r="AMS1133" s="23"/>
      <c r="AMT1133" s="23"/>
      <c r="AMU1133" s="23"/>
      <c r="AMV1133" s="23"/>
      <c r="AMW1133" s="23"/>
      <c r="AMX1133" s="23"/>
      <c r="AMY1133" s="23"/>
      <c r="AMZ1133" s="23"/>
      <c r="ANA1133" s="23"/>
      <c r="ANB1133" s="23"/>
      <c r="ANC1133" s="23"/>
      <c r="AND1133" s="23"/>
      <c r="ANE1133" s="23"/>
      <c r="ANF1133" s="23"/>
      <c r="ANG1133" s="23"/>
      <c r="ANH1133" s="23"/>
      <c r="ANI1133" s="23"/>
      <c r="ANJ1133" s="23"/>
      <c r="ANK1133" s="23"/>
      <c r="ANL1133" s="23"/>
      <c r="ANM1133" s="23"/>
      <c r="ANN1133" s="23"/>
      <c r="ANO1133" s="23"/>
      <c r="ANP1133" s="23"/>
      <c r="ANQ1133" s="23"/>
      <c r="ANR1133" s="23"/>
      <c r="ANS1133" s="23"/>
      <c r="ANT1133" s="23"/>
      <c r="ANU1133" s="23"/>
      <c r="ANV1133" s="23"/>
      <c r="ANW1133" s="23"/>
      <c r="ANX1133" s="23"/>
      <c r="ANY1133" s="23"/>
      <c r="ANZ1133" s="23"/>
      <c r="AOA1133" s="23"/>
      <c r="AOB1133" s="23"/>
      <c r="AOC1133" s="23"/>
      <c r="AOD1133" s="23"/>
      <c r="AOE1133" s="23"/>
      <c r="AOF1133" s="23"/>
      <c r="AOG1133" s="23"/>
      <c r="AOH1133" s="23"/>
      <c r="AOI1133" s="23"/>
      <c r="AOJ1133" s="23"/>
      <c r="AOK1133" s="23"/>
      <c r="AOL1133" s="23"/>
      <c r="AOM1133" s="23"/>
      <c r="AON1133" s="23"/>
      <c r="AOO1133" s="23"/>
      <c r="AOP1133" s="23"/>
      <c r="AOQ1133" s="23"/>
      <c r="AOR1133" s="23"/>
      <c r="AOS1133" s="23"/>
      <c r="AOT1133" s="23"/>
      <c r="AOU1133" s="23"/>
      <c r="AOV1133" s="23"/>
      <c r="AOW1133" s="23"/>
      <c r="AOX1133" s="23"/>
      <c r="AOY1133" s="23"/>
      <c r="AOZ1133" s="23"/>
      <c r="APA1133" s="23"/>
      <c r="APB1133" s="23"/>
      <c r="APC1133" s="23"/>
      <c r="APD1133" s="23"/>
      <c r="APE1133" s="23"/>
      <c r="APF1133" s="23"/>
      <c r="APG1133" s="23"/>
      <c r="APH1133" s="23"/>
      <c r="API1133" s="23"/>
      <c r="APJ1133" s="23"/>
      <c r="APK1133" s="23"/>
      <c r="APL1133" s="23"/>
      <c r="APM1133" s="23"/>
      <c r="APN1133" s="23"/>
      <c r="APO1133" s="23"/>
      <c r="APP1133" s="23"/>
      <c r="APQ1133" s="23"/>
      <c r="APR1133" s="23"/>
      <c r="APS1133" s="23"/>
      <c r="APT1133" s="23"/>
      <c r="APU1133" s="23"/>
      <c r="APV1133" s="23"/>
      <c r="APW1133" s="23"/>
      <c r="APX1133" s="23"/>
      <c r="APY1133" s="23"/>
      <c r="APZ1133" s="23"/>
      <c r="AQA1133" s="23"/>
      <c r="AQB1133" s="23"/>
      <c r="AQC1133" s="23"/>
      <c r="AQD1133" s="23"/>
      <c r="AQE1133" s="23"/>
      <c r="AQF1133" s="23"/>
      <c r="AQG1133" s="23"/>
      <c r="AQH1133" s="23"/>
      <c r="AQI1133" s="23"/>
      <c r="AQJ1133" s="23"/>
      <c r="AQK1133" s="23"/>
      <c r="AQL1133" s="23"/>
      <c r="AQM1133" s="23"/>
      <c r="AQN1133" s="23"/>
      <c r="AQO1133" s="23"/>
      <c r="AQP1133" s="23"/>
      <c r="AQQ1133" s="23"/>
      <c r="AQR1133" s="23"/>
      <c r="AQS1133" s="23"/>
      <c r="AQT1133" s="23"/>
      <c r="AQU1133" s="23"/>
      <c r="AQV1133" s="23"/>
      <c r="AQW1133" s="23"/>
      <c r="AQX1133" s="23"/>
      <c r="AQY1133" s="23"/>
      <c r="AQZ1133" s="23"/>
      <c r="ARA1133" s="23"/>
      <c r="ARB1133" s="23"/>
      <c r="ARC1133" s="23"/>
      <c r="ARD1133" s="23"/>
      <c r="ARE1133" s="23"/>
      <c r="ARF1133" s="23"/>
      <c r="ARG1133" s="23"/>
      <c r="ARH1133" s="23"/>
      <c r="ARI1133" s="23"/>
      <c r="ARJ1133" s="23"/>
      <c r="ARK1133" s="23"/>
      <c r="ARL1133" s="23"/>
      <c r="ARM1133" s="23"/>
      <c r="ARN1133" s="23"/>
      <c r="ARO1133" s="23"/>
      <c r="ARP1133" s="23"/>
      <c r="ARQ1133" s="23"/>
      <c r="ARR1133" s="23"/>
      <c r="ARS1133" s="23"/>
      <c r="ART1133" s="23"/>
      <c r="ARU1133" s="23"/>
      <c r="ARV1133" s="23"/>
      <c r="ARW1133" s="23"/>
      <c r="ARX1133" s="23"/>
      <c r="ARY1133" s="23"/>
      <c r="ARZ1133" s="23"/>
      <c r="ASA1133" s="23"/>
      <c r="ASB1133" s="23"/>
      <c r="ASC1133" s="23"/>
      <c r="ASD1133" s="23"/>
      <c r="ASE1133" s="23"/>
      <c r="ASF1133" s="23"/>
      <c r="ASG1133" s="23"/>
      <c r="ASH1133" s="23"/>
      <c r="ASI1133" s="23"/>
      <c r="ASJ1133" s="23"/>
      <c r="ASK1133" s="23"/>
      <c r="ASL1133" s="23"/>
      <c r="ASM1133" s="23"/>
      <c r="ASN1133" s="23"/>
      <c r="ASO1133" s="23"/>
      <c r="ASP1133" s="23"/>
      <c r="ASQ1133" s="23"/>
      <c r="ASR1133" s="23"/>
      <c r="ASS1133" s="23"/>
      <c r="AST1133" s="23"/>
      <c r="ASU1133" s="23"/>
      <c r="ASV1133" s="23"/>
      <c r="ASW1133" s="23"/>
      <c r="ASX1133" s="23"/>
      <c r="ASY1133" s="23"/>
      <c r="ASZ1133" s="23"/>
      <c r="ATA1133" s="23"/>
      <c r="ATB1133" s="23"/>
      <c r="ATC1133" s="23"/>
      <c r="ATD1133" s="23"/>
      <c r="ATE1133" s="23"/>
      <c r="ATF1133" s="23"/>
      <c r="ATG1133" s="23"/>
      <c r="ATH1133" s="23"/>
      <c r="ATI1133" s="23"/>
      <c r="ATJ1133" s="23"/>
      <c r="ATK1133" s="23"/>
      <c r="ATL1133" s="23"/>
      <c r="ATM1133" s="23"/>
      <c r="ATN1133" s="23"/>
      <c r="ATO1133" s="23"/>
      <c r="ATP1133" s="23"/>
      <c r="ATQ1133" s="23"/>
      <c r="ATR1133" s="23"/>
      <c r="ATS1133" s="23"/>
      <c r="ATT1133" s="23"/>
      <c r="ATU1133" s="23"/>
      <c r="ATV1133" s="23"/>
      <c r="ATW1133" s="23"/>
      <c r="ATX1133" s="23"/>
      <c r="ATY1133" s="23"/>
      <c r="ATZ1133" s="23"/>
      <c r="AUA1133" s="23"/>
      <c r="AUB1133" s="23"/>
      <c r="AUC1133" s="23"/>
      <c r="AUD1133" s="23"/>
      <c r="AUE1133" s="23"/>
      <c r="AUF1133" s="23"/>
      <c r="AUG1133" s="23"/>
      <c r="AUH1133" s="23"/>
      <c r="AUI1133" s="23"/>
      <c r="AUJ1133" s="23"/>
      <c r="AUK1133" s="23"/>
      <c r="AUL1133" s="23"/>
      <c r="AUM1133" s="23"/>
      <c r="AUN1133" s="23"/>
      <c r="AUO1133" s="23"/>
      <c r="AUP1133" s="23"/>
      <c r="AUQ1133" s="23"/>
      <c r="AUR1133" s="23"/>
      <c r="AUS1133" s="23"/>
      <c r="AUT1133" s="23"/>
      <c r="AUU1133" s="23"/>
      <c r="AUV1133" s="23"/>
      <c r="AUW1133" s="23"/>
      <c r="AUX1133" s="23"/>
      <c r="AUY1133" s="23"/>
      <c r="AUZ1133" s="23"/>
      <c r="AVA1133" s="23"/>
      <c r="AVB1133" s="23"/>
      <c r="AVC1133" s="23"/>
      <c r="AVD1133" s="23"/>
      <c r="AVE1133" s="23"/>
      <c r="AVF1133" s="23"/>
      <c r="AVG1133" s="23"/>
      <c r="AVH1133" s="23"/>
      <c r="AVI1133" s="23"/>
      <c r="AVJ1133" s="23"/>
      <c r="AVK1133" s="23"/>
      <c r="AVL1133" s="23"/>
      <c r="AVM1133" s="23"/>
      <c r="AVN1133" s="23"/>
      <c r="AVO1133" s="23"/>
      <c r="AVP1133" s="23"/>
      <c r="AVQ1133" s="23"/>
      <c r="AVR1133" s="23"/>
      <c r="AVS1133" s="23"/>
      <c r="AVT1133" s="23"/>
      <c r="AVU1133" s="23"/>
      <c r="AVV1133" s="23"/>
      <c r="AVW1133" s="23"/>
      <c r="AVX1133" s="23"/>
      <c r="AVY1133" s="23"/>
      <c r="AVZ1133" s="23"/>
      <c r="AWA1133" s="23"/>
      <c r="AWB1133" s="23"/>
      <c r="AWC1133" s="23"/>
      <c r="AWD1133" s="23"/>
      <c r="AWE1133" s="23"/>
      <c r="AWF1133" s="23"/>
      <c r="AWG1133" s="23"/>
      <c r="AWH1133" s="23"/>
      <c r="AWI1133" s="23"/>
      <c r="AWJ1133" s="23"/>
      <c r="AWK1133" s="23"/>
      <c r="AWL1133" s="23"/>
      <c r="AWM1133" s="23"/>
      <c r="AWN1133" s="23"/>
      <c r="AWO1133" s="23"/>
      <c r="AWP1133" s="23"/>
      <c r="AWQ1133" s="23"/>
      <c r="AWR1133" s="23"/>
      <c r="AWS1133" s="23"/>
      <c r="AWT1133" s="23"/>
      <c r="AWU1133" s="23"/>
      <c r="AWV1133" s="23"/>
      <c r="AWW1133" s="23"/>
      <c r="AWX1133" s="23"/>
      <c r="AWY1133" s="23"/>
      <c r="AWZ1133" s="23"/>
      <c r="AXA1133" s="23"/>
      <c r="AXB1133" s="23"/>
      <c r="AXC1133" s="23"/>
      <c r="AXD1133" s="23"/>
      <c r="AXE1133" s="23"/>
      <c r="AXF1133" s="23"/>
      <c r="AXG1133" s="23"/>
      <c r="AXH1133" s="23"/>
      <c r="AXI1133" s="23"/>
      <c r="AXJ1133" s="23"/>
      <c r="AXK1133" s="23"/>
      <c r="AXL1133" s="23"/>
      <c r="AXM1133" s="23"/>
      <c r="AXN1133" s="23"/>
      <c r="AXO1133" s="23"/>
      <c r="AXP1133" s="23"/>
      <c r="AXQ1133" s="23"/>
      <c r="AXR1133" s="23"/>
      <c r="AXS1133" s="23"/>
      <c r="AXT1133" s="23"/>
      <c r="AXU1133" s="23"/>
      <c r="AXV1133" s="23"/>
      <c r="AXW1133" s="23"/>
      <c r="AXX1133" s="23"/>
      <c r="AXY1133" s="23"/>
      <c r="AXZ1133" s="23"/>
      <c r="AYA1133" s="23"/>
      <c r="AYB1133" s="23"/>
      <c r="AYC1133" s="23"/>
      <c r="AYD1133" s="23"/>
      <c r="AYE1133" s="23"/>
      <c r="AYF1133" s="23"/>
      <c r="AYG1133" s="23"/>
      <c r="AYH1133" s="23"/>
      <c r="AYI1133" s="23"/>
      <c r="AYJ1133" s="23"/>
      <c r="AYK1133" s="23"/>
      <c r="AYL1133" s="23"/>
      <c r="AYM1133" s="23"/>
      <c r="AYN1133" s="23"/>
      <c r="AYO1133" s="23"/>
      <c r="AYP1133" s="23"/>
      <c r="AYQ1133" s="23"/>
      <c r="AYR1133" s="23"/>
      <c r="AYS1133" s="23"/>
      <c r="AYT1133" s="23"/>
      <c r="AYU1133" s="23"/>
      <c r="AYV1133" s="23"/>
      <c r="AYW1133" s="23"/>
      <c r="AYX1133" s="23"/>
      <c r="AYY1133" s="23"/>
      <c r="AYZ1133" s="23"/>
      <c r="AZA1133" s="23"/>
      <c r="AZB1133" s="23"/>
      <c r="AZC1133" s="23"/>
      <c r="AZD1133" s="23"/>
      <c r="AZE1133" s="23"/>
      <c r="AZF1133" s="23"/>
      <c r="AZG1133" s="23"/>
      <c r="AZH1133" s="23"/>
      <c r="AZI1133" s="23"/>
      <c r="AZJ1133" s="23"/>
      <c r="AZK1133" s="23"/>
      <c r="AZL1133" s="23"/>
      <c r="AZM1133" s="23"/>
      <c r="AZN1133" s="23"/>
      <c r="AZO1133" s="23"/>
      <c r="AZP1133" s="23"/>
      <c r="AZQ1133" s="23"/>
      <c r="AZR1133" s="23"/>
      <c r="AZS1133" s="23"/>
      <c r="AZT1133" s="23"/>
      <c r="AZU1133" s="23"/>
      <c r="AZV1133" s="23"/>
      <c r="AZW1133" s="23"/>
      <c r="AZX1133" s="23"/>
      <c r="AZY1133" s="23"/>
      <c r="AZZ1133" s="23"/>
      <c r="BAA1133" s="23"/>
      <c r="BAB1133" s="23"/>
      <c r="BAC1133" s="23"/>
      <c r="BAD1133" s="23"/>
      <c r="BAE1133" s="23"/>
      <c r="BAF1133" s="23"/>
      <c r="BAG1133" s="23"/>
      <c r="BAH1133" s="23"/>
      <c r="BAI1133" s="23"/>
      <c r="BAJ1133" s="23"/>
      <c r="BAK1133" s="23"/>
      <c r="BAL1133" s="23"/>
      <c r="BAM1133" s="23"/>
      <c r="BAN1133" s="23"/>
      <c r="BAO1133" s="23"/>
      <c r="BAP1133" s="23"/>
      <c r="BAQ1133" s="23"/>
      <c r="BAR1133" s="23"/>
      <c r="BAS1133" s="23"/>
      <c r="BAT1133" s="23"/>
      <c r="BAU1133" s="23"/>
      <c r="BAV1133" s="23"/>
      <c r="BAW1133" s="23"/>
      <c r="BAX1133" s="23"/>
      <c r="BAY1133" s="23"/>
      <c r="BAZ1133" s="23"/>
      <c r="BBA1133" s="23"/>
      <c r="BBB1133" s="23"/>
      <c r="BBC1133" s="23"/>
      <c r="BBD1133" s="23"/>
      <c r="BBE1133" s="23"/>
      <c r="BBF1133" s="23"/>
      <c r="BBG1133" s="23"/>
      <c r="BBH1133" s="23"/>
      <c r="BBI1133" s="23"/>
      <c r="BBJ1133" s="23"/>
      <c r="BBK1133" s="23"/>
      <c r="BBL1133" s="23"/>
      <c r="BBM1133" s="23"/>
      <c r="BBN1133" s="23"/>
      <c r="BBO1133" s="23"/>
      <c r="BBP1133" s="23"/>
      <c r="BBQ1133" s="23"/>
      <c r="BBR1133" s="23"/>
      <c r="BBS1133" s="23"/>
      <c r="BBT1133" s="23"/>
      <c r="BBU1133" s="23"/>
      <c r="BBV1133" s="23"/>
      <c r="BBW1133" s="23"/>
      <c r="BBX1133" s="23"/>
      <c r="BBY1133" s="23"/>
      <c r="BBZ1133" s="23"/>
      <c r="BCA1133" s="23"/>
      <c r="BCB1133" s="23"/>
      <c r="BCC1133" s="23"/>
      <c r="BCD1133" s="23"/>
      <c r="BCE1133" s="23"/>
      <c r="BCF1133" s="23"/>
      <c r="BCG1133" s="23"/>
      <c r="BCH1133" s="23"/>
      <c r="BCI1133" s="23"/>
      <c r="BCJ1133" s="23"/>
      <c r="BCK1133" s="23"/>
      <c r="BCL1133" s="23"/>
      <c r="BCM1133" s="23"/>
      <c r="BCN1133" s="23"/>
      <c r="BCO1133" s="23"/>
      <c r="BCP1133" s="23"/>
      <c r="BCQ1133" s="23"/>
      <c r="BCR1133" s="23"/>
      <c r="BCS1133" s="23"/>
      <c r="BCT1133" s="23"/>
      <c r="BCU1133" s="23"/>
      <c r="BCV1133" s="23"/>
      <c r="BCW1133" s="23"/>
      <c r="BCX1133" s="23"/>
      <c r="BCY1133" s="23"/>
      <c r="BCZ1133" s="23"/>
      <c r="BDA1133" s="23"/>
      <c r="BDB1133" s="23"/>
      <c r="BDC1133" s="23"/>
      <c r="BDD1133" s="23"/>
      <c r="BDE1133" s="23"/>
      <c r="BDF1133" s="23"/>
      <c r="BDG1133" s="23"/>
      <c r="BDH1133" s="23"/>
      <c r="BDI1133" s="23"/>
      <c r="BDJ1133" s="23"/>
      <c r="BDK1133" s="23"/>
      <c r="BDL1133" s="23"/>
      <c r="BDM1133" s="23"/>
      <c r="BDN1133" s="23"/>
      <c r="BDO1133" s="23"/>
      <c r="BDP1133" s="23"/>
      <c r="BDQ1133" s="23"/>
      <c r="BDR1133" s="23"/>
      <c r="BDS1133" s="23"/>
      <c r="BDT1133" s="23"/>
      <c r="BDU1133" s="23"/>
      <c r="BDV1133" s="23"/>
      <c r="BDW1133" s="23"/>
      <c r="BDX1133" s="23"/>
      <c r="BDY1133" s="23"/>
      <c r="BDZ1133" s="23"/>
      <c r="BEA1133" s="23"/>
      <c r="BEB1133" s="23"/>
      <c r="BEC1133" s="23"/>
      <c r="BED1133" s="23"/>
      <c r="BEE1133" s="23"/>
      <c r="BEF1133" s="23"/>
      <c r="BEG1133" s="23"/>
      <c r="BEH1133" s="23"/>
      <c r="BEI1133" s="23"/>
      <c r="BEJ1133" s="23"/>
      <c r="BEK1133" s="23"/>
      <c r="BEL1133" s="23"/>
      <c r="BEM1133" s="23"/>
      <c r="BEN1133" s="23"/>
      <c r="BEO1133" s="23"/>
      <c r="BEP1133" s="23"/>
      <c r="BEQ1133" s="23"/>
      <c r="BER1133" s="23"/>
      <c r="BES1133" s="23"/>
      <c r="BET1133" s="23"/>
      <c r="BEU1133" s="23"/>
      <c r="BEV1133" s="23"/>
      <c r="BEW1133" s="23"/>
      <c r="BEX1133" s="23"/>
      <c r="BEY1133" s="23"/>
      <c r="BEZ1133" s="23"/>
      <c r="BFA1133" s="23"/>
      <c r="BFB1133" s="23"/>
      <c r="BFC1133" s="23"/>
      <c r="BFD1133" s="23"/>
      <c r="BFE1133" s="23"/>
      <c r="BFF1133" s="23"/>
      <c r="BFG1133" s="23"/>
      <c r="BFH1133" s="23"/>
      <c r="BFI1133" s="23"/>
      <c r="BFJ1133" s="23"/>
      <c r="BFK1133" s="23"/>
      <c r="BFL1133" s="23"/>
      <c r="BFM1133" s="23"/>
      <c r="BFN1133" s="23"/>
      <c r="BFO1133" s="23"/>
      <c r="BFP1133" s="23"/>
      <c r="BFQ1133" s="23"/>
      <c r="BFR1133" s="23"/>
      <c r="BFS1133" s="23"/>
      <c r="BFT1133" s="23"/>
      <c r="BFU1133" s="23"/>
      <c r="BFV1133" s="23"/>
      <c r="BFW1133" s="23"/>
      <c r="BFX1133" s="23"/>
      <c r="BFY1133" s="23"/>
      <c r="BFZ1133" s="23"/>
      <c r="BGA1133" s="23"/>
      <c r="BGB1133" s="23"/>
      <c r="BGC1133" s="23"/>
      <c r="BGD1133" s="23"/>
      <c r="BGE1133" s="23"/>
      <c r="BGF1133" s="23"/>
      <c r="BGG1133" s="23"/>
      <c r="BGH1133" s="23"/>
      <c r="BGI1133" s="23"/>
      <c r="BGJ1133" s="23"/>
      <c r="BGK1133" s="23"/>
      <c r="BGL1133" s="23"/>
      <c r="BGM1133" s="23"/>
      <c r="BGN1133" s="23"/>
      <c r="BGO1133" s="23"/>
      <c r="BGP1133" s="23"/>
      <c r="BGQ1133" s="23"/>
      <c r="BGR1133" s="23"/>
      <c r="BGS1133" s="23"/>
      <c r="BGT1133" s="23"/>
      <c r="BGU1133" s="23"/>
      <c r="BGV1133" s="23"/>
      <c r="BGW1133" s="23"/>
      <c r="BGX1133" s="23"/>
      <c r="BGY1133" s="23"/>
      <c r="BGZ1133" s="23"/>
      <c r="BHA1133" s="23"/>
      <c r="BHB1133" s="23"/>
      <c r="BHC1133" s="23"/>
      <c r="BHD1133" s="23"/>
      <c r="BHE1133" s="23"/>
      <c r="BHF1133" s="23"/>
      <c r="BHG1133" s="23"/>
      <c r="BHH1133" s="23"/>
      <c r="BHI1133" s="23"/>
      <c r="BHJ1133" s="23"/>
      <c r="BHK1133" s="23"/>
      <c r="BHL1133" s="23"/>
      <c r="BHM1133" s="23"/>
      <c r="BHN1133" s="23"/>
      <c r="BHO1133" s="23"/>
      <c r="BHP1133" s="23"/>
      <c r="BHQ1133" s="23"/>
      <c r="BHR1133" s="23"/>
      <c r="BHS1133" s="23"/>
      <c r="BHT1133" s="23"/>
      <c r="BHU1133" s="23"/>
      <c r="BHV1133" s="23"/>
      <c r="BHW1133" s="23"/>
      <c r="BHX1133" s="23"/>
      <c r="BHY1133" s="23"/>
      <c r="BHZ1133" s="23"/>
      <c r="BIA1133" s="23"/>
      <c r="BIB1133" s="23"/>
      <c r="BIC1133" s="23"/>
      <c r="BID1133" s="23"/>
      <c r="BIE1133" s="23"/>
      <c r="BIF1133" s="23"/>
      <c r="BIG1133" s="23"/>
      <c r="BIH1133" s="23"/>
      <c r="BII1133" s="23"/>
      <c r="BIJ1133" s="23"/>
      <c r="BIK1133" s="23"/>
      <c r="BIL1133" s="23"/>
      <c r="BIM1133" s="23"/>
      <c r="BIN1133" s="23"/>
      <c r="BIO1133" s="23"/>
      <c r="BIP1133" s="23"/>
      <c r="BIQ1133" s="23"/>
      <c r="BIR1133" s="23"/>
      <c r="BIS1133" s="23"/>
      <c r="BIT1133" s="23"/>
      <c r="BIU1133" s="23"/>
      <c r="BIV1133" s="23"/>
      <c r="BIW1133" s="23"/>
      <c r="BIX1133" s="23"/>
      <c r="BIY1133" s="23"/>
      <c r="BIZ1133" s="23"/>
      <c r="BJA1133" s="23"/>
      <c r="BJB1133" s="23"/>
      <c r="BJC1133" s="23"/>
      <c r="BJD1133" s="23"/>
      <c r="BJE1133" s="23"/>
      <c r="BJF1133" s="23"/>
      <c r="BJG1133" s="23"/>
      <c r="BJH1133" s="23"/>
      <c r="BJI1133" s="23"/>
      <c r="BJJ1133" s="23"/>
      <c r="BJK1133" s="23"/>
      <c r="BJL1133" s="23"/>
      <c r="BJM1133" s="23"/>
      <c r="BJN1133" s="23"/>
      <c r="BJO1133" s="23"/>
      <c r="BJP1133" s="23"/>
      <c r="BJQ1133" s="23"/>
      <c r="BJR1133" s="23"/>
      <c r="BJS1133" s="23"/>
      <c r="BJT1133" s="23"/>
      <c r="BJU1133" s="23"/>
      <c r="BJV1133" s="23"/>
      <c r="BJW1133" s="23"/>
      <c r="BJX1133" s="23"/>
      <c r="BJY1133" s="23"/>
      <c r="BJZ1133" s="23"/>
      <c r="BKA1133" s="23"/>
      <c r="BKB1133" s="23"/>
      <c r="BKC1133" s="23"/>
      <c r="BKD1133" s="23"/>
      <c r="BKE1133" s="23"/>
      <c r="BKF1133" s="23"/>
      <c r="BKG1133" s="23"/>
      <c r="BKH1133" s="23"/>
      <c r="BKI1133" s="23"/>
      <c r="BKJ1133" s="23"/>
      <c r="BKK1133" s="23"/>
      <c r="BKL1133" s="23"/>
      <c r="BKM1133" s="23"/>
      <c r="BKN1133" s="23"/>
      <c r="BKO1133" s="23"/>
      <c r="BKP1133" s="23"/>
      <c r="BKQ1133" s="23"/>
      <c r="BKR1133" s="23"/>
      <c r="BKS1133" s="23"/>
      <c r="BKT1133" s="23"/>
      <c r="BKU1133" s="23"/>
      <c r="BKV1133" s="23"/>
      <c r="BKW1133" s="23"/>
      <c r="BKX1133" s="23"/>
      <c r="BKY1133" s="23"/>
      <c r="BKZ1133" s="23"/>
      <c r="BLA1133" s="23"/>
      <c r="BLB1133" s="23"/>
      <c r="BLC1133" s="23"/>
      <c r="BLD1133" s="23"/>
      <c r="BLE1133" s="23"/>
      <c r="BLF1133" s="23"/>
      <c r="BLG1133" s="23"/>
      <c r="BLH1133" s="23"/>
      <c r="BLI1133" s="23"/>
      <c r="BLJ1133" s="23"/>
      <c r="BLK1133" s="23"/>
      <c r="BLL1133" s="23"/>
      <c r="BLM1133" s="23"/>
      <c r="BLN1133" s="23"/>
      <c r="BLO1133" s="23"/>
      <c r="BLP1133" s="23"/>
      <c r="BLQ1133" s="23"/>
      <c r="BLR1133" s="23"/>
      <c r="BLS1133" s="23"/>
      <c r="BLT1133" s="23"/>
      <c r="BLU1133" s="23"/>
      <c r="BLV1133" s="23"/>
      <c r="BLW1133" s="23"/>
      <c r="BLX1133" s="23"/>
      <c r="BLY1133" s="23"/>
      <c r="BLZ1133" s="23"/>
      <c r="BMA1133" s="23"/>
      <c r="BMB1133" s="23"/>
      <c r="BMC1133" s="23"/>
      <c r="BMD1133" s="23"/>
      <c r="BME1133" s="23"/>
      <c r="BMF1133" s="23"/>
      <c r="BMG1133" s="23"/>
      <c r="BMH1133" s="23"/>
      <c r="BMI1133" s="23"/>
      <c r="BMJ1133" s="23"/>
      <c r="BMK1133" s="23"/>
      <c r="BML1133" s="23"/>
      <c r="BMM1133" s="23"/>
      <c r="BMN1133" s="23"/>
      <c r="BMO1133" s="23"/>
      <c r="BMP1133" s="23"/>
      <c r="BMQ1133" s="23"/>
      <c r="BMR1133" s="23"/>
      <c r="BMS1133" s="23"/>
      <c r="BMT1133" s="23"/>
      <c r="BMU1133" s="23"/>
      <c r="BMV1133" s="23"/>
      <c r="BMW1133" s="23"/>
      <c r="BMX1133" s="23"/>
      <c r="BMY1133" s="23"/>
      <c r="BMZ1133" s="23"/>
      <c r="BNA1133" s="23"/>
      <c r="BNB1133" s="23"/>
      <c r="BNC1133" s="23"/>
      <c r="BND1133" s="23"/>
      <c r="BNE1133" s="23"/>
      <c r="BNF1133" s="23"/>
      <c r="BNG1133" s="23"/>
      <c r="BNH1133" s="23"/>
      <c r="BNI1133" s="23"/>
      <c r="BNJ1133" s="23"/>
      <c r="BNK1133" s="23"/>
      <c r="BNL1133" s="23"/>
      <c r="BNM1133" s="23"/>
      <c r="BNN1133" s="23"/>
      <c r="BNO1133" s="23"/>
      <c r="BNP1133" s="23"/>
      <c r="BNQ1133" s="23"/>
      <c r="BNR1133" s="23"/>
      <c r="BNS1133" s="23"/>
      <c r="BNT1133" s="23"/>
      <c r="BNU1133" s="23"/>
      <c r="BNV1133" s="23"/>
      <c r="BNW1133" s="23"/>
      <c r="BNX1133" s="23"/>
      <c r="BNY1133" s="23"/>
      <c r="BNZ1133" s="23"/>
      <c r="BOA1133" s="23"/>
      <c r="BOB1133" s="23"/>
      <c r="BOC1133" s="23"/>
      <c r="BOD1133" s="23"/>
      <c r="BOE1133" s="23"/>
      <c r="BOF1133" s="23"/>
      <c r="BOG1133" s="23"/>
      <c r="BOH1133" s="23"/>
      <c r="BOI1133" s="23"/>
      <c r="BOJ1133" s="23"/>
      <c r="BOK1133" s="23"/>
      <c r="BOL1133" s="23"/>
      <c r="BOM1133" s="23"/>
      <c r="BON1133" s="23"/>
      <c r="BOO1133" s="23"/>
      <c r="BOP1133" s="23"/>
      <c r="BOQ1133" s="23"/>
      <c r="BOR1133" s="23"/>
      <c r="BOS1133" s="23"/>
      <c r="BOT1133" s="23"/>
      <c r="BOU1133" s="23"/>
      <c r="BOV1133" s="23"/>
      <c r="BOW1133" s="23"/>
      <c r="BOX1133" s="23"/>
      <c r="BOY1133" s="23"/>
      <c r="BOZ1133" s="23"/>
      <c r="BPA1133" s="23"/>
      <c r="BPB1133" s="23"/>
      <c r="BPC1133" s="23"/>
      <c r="BPD1133" s="23"/>
      <c r="BPE1133" s="23"/>
      <c r="BPF1133" s="23"/>
      <c r="BPG1133" s="23"/>
      <c r="BPH1133" s="23"/>
      <c r="BPI1133" s="23"/>
      <c r="BPJ1133" s="23"/>
      <c r="BPK1133" s="23"/>
      <c r="BPL1133" s="23"/>
      <c r="BPM1133" s="23"/>
      <c r="BPN1133" s="23"/>
      <c r="BPO1133" s="23"/>
      <c r="BPP1133" s="23"/>
      <c r="BPQ1133" s="23"/>
      <c r="BPR1133" s="23"/>
      <c r="BPS1133" s="23"/>
      <c r="BPT1133" s="23"/>
      <c r="BPU1133" s="23"/>
      <c r="BPV1133" s="23"/>
      <c r="BPW1133" s="23"/>
      <c r="BPX1133" s="23"/>
      <c r="BPY1133" s="23"/>
      <c r="BPZ1133" s="23"/>
      <c r="BQA1133" s="23"/>
      <c r="BQB1133" s="23"/>
      <c r="BQC1133" s="23"/>
      <c r="BQD1133" s="23"/>
      <c r="BQE1133" s="23"/>
      <c r="BQF1133" s="23"/>
      <c r="BQG1133" s="23"/>
      <c r="BQH1133" s="23"/>
      <c r="BQI1133" s="23"/>
      <c r="BQJ1133" s="23"/>
      <c r="BQK1133" s="23"/>
      <c r="BQL1133" s="23"/>
      <c r="BQM1133" s="23"/>
      <c r="BQN1133" s="23"/>
      <c r="BQO1133" s="23"/>
      <c r="BQP1133" s="23"/>
      <c r="BQQ1133" s="23"/>
      <c r="BQR1133" s="23"/>
      <c r="BQS1133" s="23"/>
      <c r="BQT1133" s="23"/>
      <c r="BQU1133" s="23"/>
      <c r="BQV1133" s="23"/>
      <c r="BQW1133" s="23"/>
      <c r="BQX1133" s="23"/>
      <c r="BQY1133" s="23"/>
      <c r="BQZ1133" s="23"/>
      <c r="BRA1133" s="23"/>
      <c r="BRB1133" s="23"/>
      <c r="BRC1133" s="23"/>
      <c r="BRD1133" s="23"/>
      <c r="BRE1133" s="23"/>
      <c r="BRF1133" s="23"/>
      <c r="BRG1133" s="23"/>
      <c r="BRH1133" s="23"/>
      <c r="BRI1133" s="23"/>
      <c r="BRJ1133" s="23"/>
      <c r="BRK1133" s="23"/>
      <c r="BRL1133" s="23"/>
      <c r="BRM1133" s="23"/>
      <c r="BRN1133" s="23"/>
      <c r="BRO1133" s="23"/>
      <c r="BRP1133" s="23"/>
      <c r="BRQ1133" s="23"/>
      <c r="BRR1133" s="23"/>
      <c r="BRS1133" s="23"/>
      <c r="BRT1133" s="23"/>
      <c r="BRU1133" s="23"/>
      <c r="BRV1133" s="23"/>
      <c r="BRW1133" s="23"/>
      <c r="BRX1133" s="23"/>
      <c r="BRY1133" s="23"/>
      <c r="BRZ1133" s="23"/>
      <c r="BSA1133" s="23"/>
      <c r="BSB1133" s="23"/>
      <c r="BSC1133" s="23"/>
      <c r="BSD1133" s="23"/>
      <c r="BSE1133" s="23"/>
      <c r="BSF1133" s="23"/>
      <c r="BSG1133" s="23"/>
      <c r="BSH1133" s="23"/>
      <c r="BSI1133" s="23"/>
      <c r="BSJ1133" s="23"/>
      <c r="BSK1133" s="23"/>
      <c r="BSL1133" s="23"/>
      <c r="BSM1133" s="23"/>
      <c r="BSN1133" s="23"/>
      <c r="BSO1133" s="23"/>
      <c r="BSP1133" s="23"/>
      <c r="BSQ1133" s="23"/>
      <c r="BSR1133" s="23"/>
      <c r="BSS1133" s="23"/>
      <c r="BST1133" s="23"/>
      <c r="BSU1133" s="23"/>
      <c r="BSV1133" s="23"/>
      <c r="BSW1133" s="23"/>
      <c r="BSX1133" s="23"/>
      <c r="BSY1133" s="23"/>
      <c r="BSZ1133" s="23"/>
      <c r="BTA1133" s="23"/>
    </row>
    <row r="1134" spans="1:1873" s="23" customFormat="1" x14ac:dyDescent="0.2">
      <c r="A1134" s="257" t="s">
        <v>852</v>
      </c>
      <c r="B1134" s="257" t="s">
        <v>853</v>
      </c>
      <c r="C1134" s="257" t="s">
        <v>633</v>
      </c>
      <c r="D1134" s="257" t="s">
        <v>1400</v>
      </c>
      <c r="E1134" s="257" t="s">
        <v>855</v>
      </c>
      <c r="F1134" s="257">
        <v>1</v>
      </c>
      <c r="G1134" s="257">
        <v>6</v>
      </c>
      <c r="H1134" s="263">
        <v>6</v>
      </c>
      <c r="I1134" s="257" t="s">
        <v>1210</v>
      </c>
      <c r="J1134" s="257">
        <v>1995</v>
      </c>
      <c r="K1134" s="257" t="s">
        <v>1210</v>
      </c>
      <c r="L1134" s="257">
        <v>2001</v>
      </c>
      <c r="M1134" s="261">
        <v>-9999</v>
      </c>
      <c r="N1134" s="257">
        <v>-9999</v>
      </c>
      <c r="O1134" s="29"/>
      <c r="P1134" s="261">
        <f>12.3-2.1</f>
        <v>10.200000000000001</v>
      </c>
      <c r="Q1134" s="257">
        <v>-9999</v>
      </c>
      <c r="R1134" s="261"/>
      <c r="S1134" s="257"/>
      <c r="T1134" s="370">
        <f>+P1134/G1134</f>
        <v>1.7000000000000002</v>
      </c>
      <c r="U1134" s="257">
        <v>-9999</v>
      </c>
      <c r="V1134" s="257"/>
      <c r="W1134" s="261">
        <v>-9999</v>
      </c>
      <c r="X1134" s="257">
        <v>-9999</v>
      </c>
      <c r="Y1134" s="257"/>
      <c r="Z1134" s="327" t="s">
        <v>1708</v>
      </c>
      <c r="AA1134" s="257">
        <v>1070</v>
      </c>
      <c r="AB1134" s="261">
        <v>-9999</v>
      </c>
      <c r="AC1134" s="257">
        <v>5</v>
      </c>
      <c r="AD1134" s="327">
        <v>1866</v>
      </c>
      <c r="AE1134" s="327" t="s">
        <v>1948</v>
      </c>
      <c r="AF1134" s="257">
        <v>4</v>
      </c>
      <c r="AG1134" s="257" t="s">
        <v>843</v>
      </c>
      <c r="AH1134" s="257" t="s">
        <v>857</v>
      </c>
      <c r="AI1134" s="257" t="s">
        <v>858</v>
      </c>
      <c r="AJ1134" s="257" t="s">
        <v>859</v>
      </c>
      <c r="AK1134" s="257" t="s">
        <v>860</v>
      </c>
      <c r="AL1134" s="257" t="s">
        <v>828</v>
      </c>
      <c r="AM1134" s="257" t="s">
        <v>861</v>
      </c>
      <c r="AN1134" s="257" t="s">
        <v>631</v>
      </c>
      <c r="AO1134" s="257" t="s">
        <v>869</v>
      </c>
      <c r="AP1134" s="257" t="s">
        <v>870</v>
      </c>
      <c r="AQ1134" s="257" t="s">
        <v>631</v>
      </c>
      <c r="AR1134" s="257">
        <v>0</v>
      </c>
      <c r="AS1134" s="257">
        <v>-9999</v>
      </c>
      <c r="AT1134" s="257" t="s">
        <v>871</v>
      </c>
      <c r="AU1134" s="257">
        <v>0</v>
      </c>
      <c r="AV1134" s="257">
        <v>-9999</v>
      </c>
      <c r="AW1134" s="257" t="s">
        <v>871</v>
      </c>
      <c r="AX1134" s="257">
        <v>0</v>
      </c>
      <c r="AY1134" s="257">
        <v>-9999</v>
      </c>
      <c r="AZ1134" s="257" t="s">
        <v>871</v>
      </c>
      <c r="BA1134" s="257">
        <v>-9999</v>
      </c>
      <c r="BB1134" s="257" t="s">
        <v>626</v>
      </c>
      <c r="BC1134" s="257" t="s">
        <v>864</v>
      </c>
      <c r="BD1134" s="257"/>
      <c r="BE1134" s="257" t="s">
        <v>865</v>
      </c>
      <c r="BF1134" s="257" t="s">
        <v>869</v>
      </c>
      <c r="BG1134" s="257">
        <v>-9999</v>
      </c>
      <c r="BH1134" s="257">
        <v>-9999</v>
      </c>
      <c r="BI1134" s="257" t="s">
        <v>866</v>
      </c>
      <c r="BJ1134" s="257">
        <v>-9999</v>
      </c>
      <c r="BK1134" s="257">
        <v>-9999</v>
      </c>
      <c r="BL1134" s="257">
        <v>5.0199999999999996</v>
      </c>
      <c r="BM1134" s="257">
        <v>0.09</v>
      </c>
      <c r="BN1134" s="257">
        <v>6.26</v>
      </c>
      <c r="BO1134" s="257">
        <v>0.17</v>
      </c>
      <c r="BP1134" s="257">
        <v>-9999</v>
      </c>
      <c r="BQ1134" s="257">
        <v>-9999</v>
      </c>
      <c r="BR1134" s="257">
        <v>11.03</v>
      </c>
      <c r="BS1134" s="263">
        <v>-9999</v>
      </c>
      <c r="BT1134" s="257">
        <v>-9999</v>
      </c>
      <c r="BU1134" s="257">
        <v>-9999</v>
      </c>
      <c r="BV1134" s="257">
        <v>-9999</v>
      </c>
      <c r="BW1134" s="257"/>
      <c r="BX1134" s="257">
        <v>-9999</v>
      </c>
      <c r="BY1134" s="257">
        <v>-9999</v>
      </c>
      <c r="BZ1134" s="257">
        <v>-9999</v>
      </c>
      <c r="CA1134" s="300" t="s">
        <v>867</v>
      </c>
      <c r="CB1134" s="593" t="s">
        <v>757</v>
      </c>
      <c r="CC1134" s="257">
        <v>1</v>
      </c>
      <c r="CD1134" s="257" t="s">
        <v>633</v>
      </c>
      <c r="CE1134" s="292">
        <v>1.7000000000000002</v>
      </c>
      <c r="CF1134" s="292">
        <v>-9999</v>
      </c>
      <c r="CG1134" s="44">
        <v>6</v>
      </c>
    </row>
    <row r="1135" spans="1:1873" s="23" customFormat="1" x14ac:dyDescent="0.2">
      <c r="A1135" s="29"/>
      <c r="B1135" s="29"/>
      <c r="C1135" s="29"/>
      <c r="D1135" s="29"/>
      <c r="E1135" s="29"/>
      <c r="F1135" s="29"/>
      <c r="G1135" s="29"/>
      <c r="H1135" s="30"/>
      <c r="I1135" s="29"/>
      <c r="J1135" s="29"/>
      <c r="K1135" s="29"/>
      <c r="L1135" s="29"/>
      <c r="M1135" s="31"/>
      <c r="N1135" s="29"/>
      <c r="O1135" s="29"/>
      <c r="P1135" s="31"/>
      <c r="Q1135" s="29"/>
      <c r="R1135" s="31"/>
      <c r="S1135" s="29"/>
      <c r="T1135" s="31"/>
      <c r="U1135" s="29"/>
      <c r="V1135" s="29"/>
      <c r="W1135" s="31"/>
      <c r="X1135" s="29"/>
      <c r="Y1135" s="29"/>
      <c r="Z1135" s="29"/>
      <c r="AA1135" s="29"/>
      <c r="AB1135" s="31"/>
      <c r="AC1135" s="29"/>
      <c r="AD1135" s="29"/>
      <c r="AE1135" s="29"/>
      <c r="AF1135" s="29"/>
      <c r="AG1135" s="29"/>
      <c r="AH1135" s="29"/>
      <c r="AI1135" s="29"/>
      <c r="AJ1135" s="29"/>
      <c r="AK1135" s="29"/>
      <c r="AL1135" s="29"/>
      <c r="AM1135" s="29"/>
      <c r="AN1135" s="29"/>
      <c r="AO1135" s="29"/>
      <c r="AP1135" s="29"/>
      <c r="AQ1135" s="29"/>
      <c r="AR1135" s="29"/>
      <c r="AS1135" s="29"/>
      <c r="AT1135" s="29"/>
      <c r="AU1135" s="29"/>
      <c r="AV1135" s="29"/>
      <c r="AW1135" s="29"/>
      <c r="AX1135" s="29"/>
      <c r="AY1135" s="29"/>
      <c r="AZ1135" s="29"/>
      <c r="BA1135" s="29"/>
      <c r="BB1135" s="29"/>
      <c r="BC1135" s="29"/>
      <c r="BD1135" s="29"/>
      <c r="BE1135" s="29"/>
      <c r="BF1135" s="29"/>
      <c r="BG1135" s="29"/>
      <c r="BH1135" s="29"/>
      <c r="BI1135" s="29"/>
      <c r="BJ1135" s="29"/>
      <c r="BK1135" s="29"/>
      <c r="BL1135" s="29"/>
      <c r="BM1135" s="29"/>
      <c r="BN1135" s="29"/>
      <c r="BO1135" s="29"/>
      <c r="BP1135" s="29"/>
      <c r="BQ1135" s="29"/>
      <c r="BR1135" s="29"/>
      <c r="BS1135" s="30"/>
      <c r="BT1135" s="29"/>
      <c r="BU1135" s="29"/>
      <c r="BV1135" s="29"/>
      <c r="BW1135" s="29"/>
      <c r="BX1135" s="29"/>
      <c r="BY1135" s="29"/>
      <c r="BZ1135" s="29"/>
      <c r="CA1135" s="98"/>
      <c r="CC1135" s="29"/>
      <c r="CD1135" s="29"/>
      <c r="CE1135" s="342" t="s">
        <v>1661</v>
      </c>
      <c r="CF1135" s="292"/>
      <c r="CG1135" s="30"/>
    </row>
    <row r="1136" spans="1:1873" s="216" customFormat="1" x14ac:dyDescent="0.2">
      <c r="A1136" s="366" t="s">
        <v>872</v>
      </c>
      <c r="B1136" s="257" t="s">
        <v>873</v>
      </c>
      <c r="C1136" s="257" t="s">
        <v>119</v>
      </c>
      <c r="D1136" s="257" t="s">
        <v>1400</v>
      </c>
      <c r="E1136" s="257" t="s">
        <v>855</v>
      </c>
      <c r="F1136" s="257">
        <v>1</v>
      </c>
      <c r="G1136" s="257">
        <v>6</v>
      </c>
      <c r="H1136" s="263">
        <v>6</v>
      </c>
      <c r="I1136" s="257" t="s">
        <v>954</v>
      </c>
      <c r="J1136" s="257">
        <v>1997</v>
      </c>
      <c r="K1136" s="257" t="s">
        <v>1211</v>
      </c>
      <c r="L1136" s="257">
        <v>2002</v>
      </c>
      <c r="M1136" s="261">
        <v>-9999</v>
      </c>
      <c r="N1136" s="257">
        <v>-9999</v>
      </c>
      <c r="O1136" s="29"/>
      <c r="P1136" s="261">
        <f>5.73-1.9</f>
        <v>3.8300000000000005</v>
      </c>
      <c r="Q1136" s="257">
        <v>-9999</v>
      </c>
      <c r="R1136" s="261"/>
      <c r="S1136" s="257"/>
      <c r="T1136" s="370">
        <f>+P1136/G1136</f>
        <v>0.63833333333333342</v>
      </c>
      <c r="U1136" s="257">
        <v>-9999</v>
      </c>
      <c r="V1136" s="257"/>
      <c r="W1136" s="261">
        <v>-9999</v>
      </c>
      <c r="X1136" s="257">
        <v>-9999</v>
      </c>
      <c r="Y1136" s="257"/>
      <c r="Z1136" s="327" t="s">
        <v>875</v>
      </c>
      <c r="AA1136" s="257">
        <v>1794</v>
      </c>
      <c r="AB1136" s="261">
        <v>0.96</v>
      </c>
      <c r="AC1136" s="257">
        <v>11.7</v>
      </c>
      <c r="AD1136" s="257">
        <v>943</v>
      </c>
      <c r="AE1136" s="327" t="s">
        <v>1969</v>
      </c>
      <c r="AF1136" s="257">
        <v>3</v>
      </c>
      <c r="AG1136" s="257" t="s">
        <v>843</v>
      </c>
      <c r="AH1136" s="257" t="s">
        <v>876</v>
      </c>
      <c r="AI1136" s="257" t="s">
        <v>858</v>
      </c>
      <c r="AJ1136" s="257">
        <v>-9999</v>
      </c>
      <c r="AK1136" s="257" t="s">
        <v>877</v>
      </c>
      <c r="AL1136" s="257" t="s">
        <v>828</v>
      </c>
      <c r="AM1136" s="257">
        <v>-9999</v>
      </c>
      <c r="AN1136" s="257" t="s">
        <v>631</v>
      </c>
      <c r="AO1136" s="257" t="s">
        <v>871</v>
      </c>
      <c r="AP1136" s="257" t="s">
        <v>871</v>
      </c>
      <c r="AQ1136" s="257" t="s">
        <v>631</v>
      </c>
      <c r="AR1136" s="257">
        <v>0</v>
      </c>
      <c r="AS1136" s="257">
        <v>-9999</v>
      </c>
      <c r="AT1136" s="257"/>
      <c r="AU1136" s="257">
        <v>0</v>
      </c>
      <c r="AV1136" s="257">
        <v>-9999</v>
      </c>
      <c r="AW1136" s="257"/>
      <c r="AX1136" s="257">
        <v>0</v>
      </c>
      <c r="AY1136" s="257">
        <v>-9999</v>
      </c>
      <c r="AZ1136" s="257" t="s">
        <v>871</v>
      </c>
      <c r="BA1136" s="257">
        <v>-9999</v>
      </c>
      <c r="BB1136" s="257" t="s">
        <v>626</v>
      </c>
      <c r="BC1136" s="257" t="s">
        <v>881</v>
      </c>
      <c r="BD1136" s="257" t="s">
        <v>121</v>
      </c>
      <c r="BE1136" s="257" t="s">
        <v>122</v>
      </c>
      <c r="BF1136" s="257" t="s">
        <v>120</v>
      </c>
      <c r="BG1136" s="257">
        <v>-9999</v>
      </c>
      <c r="BH1136" s="257">
        <v>-9999</v>
      </c>
      <c r="BI1136" s="257" t="s">
        <v>123</v>
      </c>
      <c r="BJ1136" s="257">
        <v>1.94</v>
      </c>
      <c r="BK1136" s="257">
        <v>0.38</v>
      </c>
      <c r="BL1136" s="257">
        <v>3.34</v>
      </c>
      <c r="BM1136" s="257">
        <v>0.32</v>
      </c>
      <c r="BN1136" s="257">
        <v>3.5</v>
      </c>
      <c r="BO1136" s="257">
        <v>0.4</v>
      </c>
      <c r="BP1136" s="257">
        <v>-9999</v>
      </c>
      <c r="BQ1136" s="257">
        <v>-9999</v>
      </c>
      <c r="BR1136" s="257">
        <v>-9999</v>
      </c>
      <c r="BS1136" s="594">
        <f>+BT1136*14.286</f>
        <v>88.001760000000004</v>
      </c>
      <c r="BT1136" s="257">
        <v>6.16</v>
      </c>
      <c r="BU1136" s="257">
        <v>-9999</v>
      </c>
      <c r="BV1136" s="257">
        <v>0.99</v>
      </c>
      <c r="BW1136" s="257"/>
      <c r="BX1136" s="257">
        <v>-9999</v>
      </c>
      <c r="BY1136" s="257">
        <v>-9999</v>
      </c>
      <c r="BZ1136" s="257">
        <v>-9999</v>
      </c>
      <c r="CA1136" s="300" t="s">
        <v>867</v>
      </c>
      <c r="CB1136" s="264"/>
      <c r="CC1136" s="257">
        <v>1</v>
      </c>
      <c r="CD1136" s="257" t="s">
        <v>119</v>
      </c>
      <c r="CE1136" s="292">
        <v>0.63833333333333342</v>
      </c>
      <c r="CF1136" s="292">
        <v>-9999</v>
      </c>
      <c r="CG1136" s="214">
        <v>6</v>
      </c>
      <c r="CH1136" s="301" t="s">
        <v>1757</v>
      </c>
      <c r="CI1136" s="23"/>
      <c r="CJ1136" s="23"/>
      <c r="CK1136" s="23"/>
      <c r="CL1136" s="23"/>
      <c r="CM1136" s="23"/>
      <c r="CN1136" s="23"/>
      <c r="CO1136" s="23"/>
      <c r="CP1136" s="23"/>
      <c r="CQ1136" s="23"/>
      <c r="CR1136" s="23"/>
      <c r="CS1136" s="23"/>
      <c r="CT1136" s="23"/>
      <c r="CU1136" s="23"/>
      <c r="CV1136" s="23"/>
      <c r="CW1136" s="23"/>
      <c r="CX1136" s="23"/>
      <c r="CY1136" s="23"/>
      <c r="CZ1136" s="23"/>
      <c r="DA1136" s="23"/>
      <c r="DB1136" s="23"/>
      <c r="DC1136" s="23"/>
      <c r="DD1136" s="23"/>
      <c r="DE1136" s="23"/>
      <c r="DF1136" s="23"/>
      <c r="DG1136" s="23"/>
      <c r="DH1136" s="23"/>
      <c r="DI1136" s="23"/>
      <c r="DJ1136" s="23"/>
      <c r="DK1136" s="23"/>
      <c r="DL1136" s="23"/>
      <c r="DM1136" s="23"/>
      <c r="DN1136" s="23"/>
      <c r="DO1136" s="23"/>
      <c r="DP1136" s="23"/>
      <c r="DQ1136" s="23"/>
      <c r="DR1136" s="23"/>
      <c r="DS1136" s="23"/>
      <c r="DT1136" s="23"/>
      <c r="DU1136" s="23"/>
      <c r="DV1136" s="23"/>
      <c r="DW1136" s="23"/>
      <c r="DX1136" s="23"/>
      <c r="DY1136" s="23"/>
      <c r="DZ1136" s="23"/>
      <c r="EA1136" s="23"/>
      <c r="EB1136" s="23"/>
      <c r="EC1136" s="23"/>
      <c r="ED1136" s="23"/>
      <c r="EE1136" s="23"/>
      <c r="EF1136" s="23"/>
      <c r="EG1136" s="23"/>
      <c r="EH1136" s="23"/>
      <c r="EI1136" s="23"/>
      <c r="EJ1136" s="23"/>
      <c r="EK1136" s="23"/>
      <c r="EL1136" s="23"/>
      <c r="EM1136" s="23"/>
      <c r="EN1136" s="23"/>
      <c r="EO1136" s="23"/>
      <c r="EP1136" s="23"/>
      <c r="EQ1136" s="23"/>
      <c r="ER1136" s="23"/>
      <c r="ES1136" s="23"/>
      <c r="ET1136" s="23"/>
      <c r="EU1136" s="23"/>
      <c r="EV1136" s="23"/>
      <c r="EW1136" s="23"/>
      <c r="EX1136" s="23"/>
      <c r="EY1136" s="23"/>
      <c r="EZ1136" s="23"/>
      <c r="FA1136" s="23"/>
      <c r="FB1136" s="23"/>
      <c r="FC1136" s="23"/>
      <c r="FD1136" s="23"/>
      <c r="FE1136" s="23"/>
      <c r="FF1136" s="23"/>
      <c r="FG1136" s="23"/>
      <c r="FH1136" s="23"/>
      <c r="FI1136" s="23"/>
      <c r="FJ1136" s="23"/>
      <c r="FK1136" s="23"/>
      <c r="FL1136" s="23"/>
      <c r="FM1136" s="23"/>
      <c r="FN1136" s="23"/>
      <c r="FO1136" s="23"/>
      <c r="FP1136" s="23"/>
      <c r="FQ1136" s="23"/>
      <c r="FR1136" s="23"/>
      <c r="FS1136" s="23"/>
      <c r="FT1136" s="23"/>
      <c r="FU1136" s="23"/>
      <c r="FV1136" s="23"/>
      <c r="FW1136" s="23"/>
      <c r="FX1136" s="23"/>
      <c r="FY1136" s="23"/>
      <c r="FZ1136" s="23"/>
      <c r="GA1136" s="23"/>
      <c r="GB1136" s="23"/>
      <c r="GC1136" s="23"/>
      <c r="GD1136" s="23"/>
      <c r="GE1136" s="23"/>
      <c r="GF1136" s="23"/>
      <c r="GG1136" s="23"/>
      <c r="GH1136" s="23"/>
      <c r="GI1136" s="23"/>
      <c r="GJ1136" s="23"/>
      <c r="GK1136" s="23"/>
      <c r="GL1136" s="23"/>
      <c r="GM1136" s="23"/>
      <c r="GN1136" s="23"/>
      <c r="GO1136" s="23"/>
      <c r="GP1136" s="23"/>
      <c r="GQ1136" s="23"/>
      <c r="GR1136" s="23"/>
      <c r="GS1136" s="23"/>
      <c r="GT1136" s="23"/>
      <c r="GU1136" s="23"/>
      <c r="GV1136" s="23"/>
      <c r="GW1136" s="23"/>
      <c r="GX1136" s="23"/>
      <c r="GY1136" s="23"/>
      <c r="GZ1136" s="23"/>
      <c r="HA1136" s="23"/>
      <c r="HB1136" s="23"/>
      <c r="HC1136" s="23"/>
      <c r="HD1136" s="23"/>
      <c r="HE1136" s="23"/>
      <c r="HF1136" s="23"/>
      <c r="HG1136" s="23"/>
      <c r="HH1136" s="23"/>
      <c r="HI1136" s="23"/>
      <c r="HJ1136" s="23"/>
      <c r="HK1136" s="23"/>
      <c r="HL1136" s="23"/>
      <c r="HM1136" s="23"/>
      <c r="HN1136" s="23"/>
      <c r="HO1136" s="23"/>
      <c r="HP1136" s="23"/>
      <c r="HQ1136" s="23"/>
      <c r="HR1136" s="23"/>
      <c r="HS1136" s="23"/>
      <c r="HT1136" s="23"/>
      <c r="HU1136" s="23"/>
      <c r="HV1136" s="23"/>
      <c r="HW1136" s="23"/>
      <c r="HX1136" s="23"/>
      <c r="HY1136" s="23"/>
      <c r="HZ1136" s="23"/>
      <c r="IA1136" s="23"/>
      <c r="IB1136" s="23"/>
      <c r="IC1136" s="23"/>
      <c r="ID1136" s="23"/>
      <c r="IE1136" s="23"/>
      <c r="IF1136" s="23"/>
      <c r="IG1136" s="23"/>
      <c r="IH1136" s="23"/>
      <c r="II1136" s="23"/>
      <c r="IJ1136" s="23"/>
      <c r="IK1136" s="23"/>
      <c r="IL1136" s="23"/>
      <c r="IM1136" s="23"/>
      <c r="IN1136" s="23"/>
      <c r="IO1136" s="23"/>
      <c r="IP1136" s="23"/>
      <c r="IQ1136" s="23"/>
      <c r="IR1136" s="23"/>
      <c r="IS1136" s="23"/>
      <c r="IT1136" s="23"/>
      <c r="IU1136" s="23"/>
      <c r="IV1136" s="23"/>
      <c r="IW1136" s="23"/>
      <c r="IX1136" s="23"/>
      <c r="IY1136" s="23"/>
      <c r="IZ1136" s="23"/>
      <c r="JA1136" s="23"/>
      <c r="JB1136" s="23"/>
      <c r="JC1136" s="23"/>
      <c r="JD1136" s="23"/>
      <c r="JE1136" s="23"/>
      <c r="JF1136" s="23"/>
      <c r="JG1136" s="23"/>
      <c r="JH1136" s="23"/>
      <c r="JI1136" s="23"/>
      <c r="JJ1136" s="23"/>
      <c r="JK1136" s="23"/>
      <c r="JL1136" s="23"/>
      <c r="JM1136" s="23"/>
      <c r="JN1136" s="23"/>
      <c r="JO1136" s="23"/>
      <c r="JP1136" s="23"/>
      <c r="JQ1136" s="23"/>
      <c r="JR1136" s="23"/>
      <c r="JS1136" s="23"/>
      <c r="JT1136" s="23"/>
      <c r="JU1136" s="23"/>
      <c r="JV1136" s="23"/>
      <c r="JW1136" s="23"/>
      <c r="JX1136" s="23"/>
      <c r="JY1136" s="23"/>
      <c r="JZ1136" s="23"/>
      <c r="KA1136" s="23"/>
      <c r="KB1136" s="23"/>
      <c r="KC1136" s="23"/>
      <c r="KD1136" s="23"/>
      <c r="KE1136" s="23"/>
      <c r="KF1136" s="23"/>
      <c r="KG1136" s="23"/>
      <c r="KH1136" s="23"/>
      <c r="KI1136" s="23"/>
      <c r="KJ1136" s="23"/>
      <c r="KK1136" s="23"/>
      <c r="KL1136" s="23"/>
      <c r="KM1136" s="23"/>
      <c r="KN1136" s="23"/>
      <c r="KO1136" s="23"/>
      <c r="KP1136" s="23"/>
      <c r="KQ1136" s="23"/>
      <c r="KR1136" s="23"/>
      <c r="KS1136" s="23"/>
      <c r="KT1136" s="23"/>
      <c r="KU1136" s="23"/>
      <c r="KV1136" s="23"/>
      <c r="KW1136" s="23"/>
      <c r="KX1136" s="23"/>
      <c r="KY1136" s="23"/>
      <c r="KZ1136" s="23"/>
      <c r="LA1136" s="23"/>
      <c r="LB1136" s="23"/>
      <c r="LC1136" s="23"/>
      <c r="LD1136" s="23"/>
      <c r="LE1136" s="23"/>
      <c r="LF1136" s="23"/>
      <c r="LG1136" s="23"/>
      <c r="LH1136" s="23"/>
      <c r="LI1136" s="23"/>
      <c r="LJ1136" s="23"/>
      <c r="LK1136" s="23"/>
      <c r="LL1136" s="23"/>
      <c r="LM1136" s="23"/>
      <c r="LN1136" s="23"/>
      <c r="LO1136" s="23"/>
      <c r="LP1136" s="23"/>
      <c r="LQ1136" s="23"/>
      <c r="LR1136" s="23"/>
      <c r="LS1136" s="23"/>
      <c r="LT1136" s="23"/>
      <c r="LU1136" s="23"/>
      <c r="LV1136" s="23"/>
      <c r="LW1136" s="23"/>
      <c r="LX1136" s="23"/>
      <c r="LY1136" s="23"/>
      <c r="LZ1136" s="23"/>
      <c r="MA1136" s="23"/>
      <c r="MB1136" s="23"/>
      <c r="MC1136" s="23"/>
      <c r="MD1136" s="23"/>
      <c r="ME1136" s="23"/>
      <c r="MF1136" s="23"/>
      <c r="MG1136" s="23"/>
      <c r="MH1136" s="23"/>
      <c r="MI1136" s="23"/>
      <c r="MJ1136" s="23"/>
      <c r="MK1136" s="23"/>
      <c r="ML1136" s="23"/>
      <c r="MM1136" s="23"/>
      <c r="MN1136" s="23"/>
      <c r="MO1136" s="23"/>
      <c r="MP1136" s="23"/>
      <c r="MQ1136" s="23"/>
      <c r="MR1136" s="23"/>
      <c r="MS1136" s="23"/>
      <c r="MT1136" s="23"/>
      <c r="MU1136" s="23"/>
      <c r="MV1136" s="23"/>
      <c r="MW1136" s="23"/>
      <c r="MX1136" s="23"/>
      <c r="MY1136" s="23"/>
      <c r="MZ1136" s="23"/>
      <c r="NA1136" s="23"/>
      <c r="NB1136" s="23"/>
      <c r="NC1136" s="23"/>
      <c r="ND1136" s="23"/>
      <c r="NE1136" s="23"/>
      <c r="NF1136" s="23"/>
      <c r="NG1136" s="23"/>
      <c r="NH1136" s="23"/>
      <c r="NI1136" s="23"/>
      <c r="NJ1136" s="23"/>
      <c r="NK1136" s="23"/>
      <c r="NL1136" s="23"/>
      <c r="NM1136" s="23"/>
      <c r="NN1136" s="23"/>
      <c r="NO1136" s="23"/>
      <c r="NP1136" s="23"/>
      <c r="NQ1136" s="23"/>
      <c r="NR1136" s="23"/>
      <c r="NS1136" s="23"/>
      <c r="NT1136" s="23"/>
      <c r="NU1136" s="23"/>
      <c r="NV1136" s="23"/>
      <c r="NW1136" s="23"/>
      <c r="NX1136" s="23"/>
      <c r="NY1136" s="23"/>
      <c r="NZ1136" s="23"/>
      <c r="OA1136" s="23"/>
      <c r="OB1136" s="23"/>
      <c r="OC1136" s="23"/>
      <c r="OD1136" s="23"/>
      <c r="OE1136" s="23"/>
      <c r="OF1136" s="23"/>
      <c r="OG1136" s="23"/>
      <c r="OH1136" s="23"/>
      <c r="OI1136" s="23"/>
      <c r="OJ1136" s="23"/>
      <c r="OK1136" s="23"/>
      <c r="OL1136" s="23"/>
      <c r="OM1136" s="23"/>
      <c r="ON1136" s="23"/>
      <c r="OO1136" s="23"/>
      <c r="OP1136" s="23"/>
      <c r="OQ1136" s="23"/>
      <c r="OR1136" s="23"/>
      <c r="OS1136" s="23"/>
      <c r="OT1136" s="23"/>
      <c r="OU1136" s="23"/>
      <c r="OV1136" s="23"/>
      <c r="OW1136" s="23"/>
      <c r="OX1136" s="23"/>
      <c r="OY1136" s="23"/>
      <c r="OZ1136" s="23"/>
      <c r="PA1136" s="23"/>
      <c r="PB1136" s="23"/>
      <c r="PC1136" s="23"/>
      <c r="PD1136" s="23"/>
      <c r="PE1136" s="23"/>
      <c r="PF1136" s="23"/>
      <c r="PG1136" s="23"/>
      <c r="PH1136" s="23"/>
      <c r="PI1136" s="23"/>
      <c r="PJ1136" s="23"/>
      <c r="PK1136" s="23"/>
      <c r="PL1136" s="23"/>
      <c r="PM1136" s="23"/>
      <c r="PN1136" s="23"/>
      <c r="PO1136" s="23"/>
      <c r="PP1136" s="23"/>
      <c r="PQ1136" s="23"/>
      <c r="PR1136" s="23"/>
      <c r="PS1136" s="23"/>
      <c r="PT1136" s="23"/>
      <c r="PU1136" s="23"/>
      <c r="PV1136" s="23"/>
      <c r="PW1136" s="23"/>
      <c r="PX1136" s="23"/>
      <c r="PY1136" s="23"/>
      <c r="PZ1136" s="23"/>
      <c r="QA1136" s="23"/>
      <c r="QB1136" s="23"/>
      <c r="QC1136" s="23"/>
      <c r="QD1136" s="23"/>
      <c r="QE1136" s="23"/>
      <c r="QF1136" s="23"/>
      <c r="QG1136" s="23"/>
      <c r="QH1136" s="23"/>
      <c r="QI1136" s="23"/>
      <c r="QJ1136" s="23"/>
      <c r="QK1136" s="23"/>
      <c r="QL1136" s="23"/>
      <c r="QM1136" s="23"/>
      <c r="QN1136" s="23"/>
      <c r="QO1136" s="23"/>
      <c r="QP1136" s="23"/>
      <c r="QQ1136" s="23"/>
      <c r="QR1136" s="23"/>
      <c r="QS1136" s="23"/>
      <c r="QT1136" s="23"/>
      <c r="QU1136" s="23"/>
      <c r="QV1136" s="23"/>
      <c r="QW1136" s="23"/>
      <c r="QX1136" s="23"/>
      <c r="QY1136" s="23"/>
      <c r="QZ1136" s="23"/>
      <c r="RA1136" s="23"/>
      <c r="RB1136" s="23"/>
      <c r="RC1136" s="23"/>
      <c r="RD1136" s="23"/>
      <c r="RE1136" s="23"/>
      <c r="RF1136" s="23"/>
      <c r="RG1136" s="23"/>
      <c r="RH1136" s="23"/>
      <c r="RI1136" s="23"/>
      <c r="RJ1136" s="23"/>
      <c r="RK1136" s="23"/>
      <c r="RL1136" s="23"/>
      <c r="RM1136" s="23"/>
      <c r="RN1136" s="23"/>
      <c r="RO1136" s="23"/>
      <c r="RP1136" s="23"/>
      <c r="RQ1136" s="23"/>
      <c r="RR1136" s="23"/>
      <c r="RS1136" s="23"/>
      <c r="RT1136" s="23"/>
      <c r="RU1136" s="23"/>
      <c r="RV1136" s="23"/>
      <c r="RW1136" s="23"/>
      <c r="RX1136" s="23"/>
      <c r="RY1136" s="23"/>
      <c r="RZ1136" s="23"/>
      <c r="SA1136" s="23"/>
      <c r="SB1136" s="23"/>
      <c r="SC1136" s="23"/>
      <c r="SD1136" s="23"/>
      <c r="SE1136" s="23"/>
      <c r="SF1136" s="23"/>
      <c r="SG1136" s="23"/>
      <c r="SH1136" s="23"/>
      <c r="SI1136" s="23"/>
      <c r="SJ1136" s="23"/>
      <c r="SK1136" s="23"/>
      <c r="SL1136" s="23"/>
      <c r="SM1136" s="23"/>
      <c r="SN1136" s="23"/>
      <c r="SO1136" s="23"/>
      <c r="SP1136" s="23"/>
      <c r="SQ1136" s="23"/>
      <c r="SR1136" s="23"/>
      <c r="SS1136" s="23"/>
      <c r="ST1136" s="23"/>
      <c r="SU1136" s="23"/>
      <c r="SV1136" s="23"/>
      <c r="SW1136" s="23"/>
      <c r="SX1136" s="23"/>
      <c r="SY1136" s="23"/>
      <c r="SZ1136" s="23"/>
      <c r="TA1136" s="23"/>
      <c r="TB1136" s="23"/>
      <c r="TC1136" s="23"/>
      <c r="TD1136" s="23"/>
      <c r="TE1136" s="23"/>
      <c r="TF1136" s="23"/>
      <c r="TG1136" s="23"/>
      <c r="TH1136" s="23"/>
      <c r="TI1136" s="23"/>
      <c r="TJ1136" s="23"/>
      <c r="TK1136" s="23"/>
      <c r="TL1136" s="23"/>
      <c r="TM1136" s="23"/>
      <c r="TN1136" s="23"/>
      <c r="TO1136" s="23"/>
      <c r="TP1136" s="23"/>
      <c r="TQ1136" s="23"/>
      <c r="TR1136" s="23"/>
      <c r="TS1136" s="23"/>
      <c r="TT1136" s="23"/>
      <c r="TU1136" s="23"/>
      <c r="TV1136" s="23"/>
      <c r="TW1136" s="23"/>
      <c r="TX1136" s="23"/>
      <c r="TY1136" s="23"/>
      <c r="TZ1136" s="23"/>
      <c r="UA1136" s="23"/>
      <c r="UB1136" s="23"/>
      <c r="UC1136" s="23"/>
      <c r="UD1136" s="23"/>
      <c r="UE1136" s="23"/>
      <c r="UF1136" s="23"/>
      <c r="UG1136" s="23"/>
      <c r="UH1136" s="23"/>
      <c r="UI1136" s="23"/>
      <c r="UJ1136" s="23"/>
      <c r="UK1136" s="23"/>
      <c r="UL1136" s="23"/>
      <c r="UM1136" s="23"/>
      <c r="UN1136" s="23"/>
      <c r="UO1136" s="23"/>
      <c r="UP1136" s="23"/>
      <c r="UQ1136" s="23"/>
      <c r="UR1136" s="23"/>
      <c r="US1136" s="23"/>
      <c r="UT1136" s="23"/>
      <c r="UU1136" s="23"/>
      <c r="UV1136" s="23"/>
      <c r="UW1136" s="23"/>
      <c r="UX1136" s="23"/>
      <c r="UY1136" s="23"/>
      <c r="UZ1136" s="23"/>
      <c r="VA1136" s="23"/>
      <c r="VB1136" s="23"/>
      <c r="VC1136" s="23"/>
      <c r="VD1136" s="23"/>
      <c r="VE1136" s="23"/>
      <c r="VF1136" s="23"/>
      <c r="VG1136" s="23"/>
      <c r="VH1136" s="23"/>
      <c r="VI1136" s="23"/>
      <c r="VJ1136" s="23"/>
      <c r="VK1136" s="23"/>
      <c r="VL1136" s="23"/>
      <c r="VM1136" s="23"/>
      <c r="VN1136" s="23"/>
      <c r="VO1136" s="23"/>
      <c r="VP1136" s="23"/>
      <c r="VQ1136" s="23"/>
      <c r="VR1136" s="23"/>
      <c r="VS1136" s="23"/>
      <c r="VT1136" s="23"/>
      <c r="VU1136" s="23"/>
      <c r="VV1136" s="23"/>
      <c r="VW1136" s="23"/>
      <c r="VX1136" s="23"/>
      <c r="VY1136" s="23"/>
      <c r="VZ1136" s="23"/>
      <c r="WA1136" s="23"/>
      <c r="WB1136" s="23"/>
      <c r="WC1136" s="23"/>
      <c r="WD1136" s="23"/>
      <c r="WE1136" s="23"/>
      <c r="WF1136" s="23"/>
      <c r="WG1136" s="23"/>
      <c r="WH1136" s="23"/>
      <c r="WI1136" s="23"/>
      <c r="WJ1136" s="23"/>
      <c r="WK1136" s="23"/>
      <c r="WL1136" s="23"/>
      <c r="WM1136" s="23"/>
      <c r="WN1136" s="23"/>
      <c r="WO1136" s="23"/>
      <c r="WP1136" s="23"/>
      <c r="WQ1136" s="23"/>
      <c r="WR1136" s="23"/>
      <c r="WS1136" s="23"/>
      <c r="WT1136" s="23"/>
      <c r="WU1136" s="23"/>
      <c r="WV1136" s="23"/>
      <c r="WW1136" s="23"/>
      <c r="WX1136" s="23"/>
      <c r="WY1136" s="23"/>
      <c r="WZ1136" s="23"/>
      <c r="XA1136" s="23"/>
      <c r="XB1136" s="23"/>
      <c r="XC1136" s="23"/>
      <c r="XD1136" s="23"/>
      <c r="XE1136" s="23"/>
      <c r="XF1136" s="23"/>
      <c r="XG1136" s="23"/>
      <c r="XH1136" s="23"/>
      <c r="XI1136" s="23"/>
      <c r="XJ1136" s="23"/>
      <c r="XK1136" s="23"/>
      <c r="XL1136" s="23"/>
      <c r="XM1136" s="23"/>
      <c r="XN1136" s="23"/>
      <c r="XO1136" s="23"/>
      <c r="XP1136" s="23"/>
      <c r="XQ1136" s="23"/>
      <c r="XR1136" s="23"/>
      <c r="XS1136" s="23"/>
      <c r="XT1136" s="23"/>
      <c r="XU1136" s="23"/>
      <c r="XV1136" s="23"/>
      <c r="XW1136" s="23"/>
      <c r="XX1136" s="23"/>
      <c r="XY1136" s="23"/>
      <c r="XZ1136" s="23"/>
      <c r="YA1136" s="23"/>
      <c r="YB1136" s="23"/>
      <c r="YC1136" s="23"/>
      <c r="YD1136" s="23"/>
      <c r="YE1136" s="23"/>
      <c r="YF1136" s="23"/>
      <c r="YG1136" s="23"/>
      <c r="YH1136" s="23"/>
      <c r="YI1136" s="23"/>
      <c r="YJ1136" s="23"/>
      <c r="YK1136" s="23"/>
      <c r="YL1136" s="23"/>
      <c r="YM1136" s="23"/>
      <c r="YN1136" s="23"/>
      <c r="YO1136" s="23"/>
      <c r="YP1136" s="23"/>
      <c r="YQ1136" s="23"/>
      <c r="YR1136" s="23"/>
      <c r="YS1136" s="23"/>
      <c r="YT1136" s="23"/>
      <c r="YU1136" s="23"/>
      <c r="YV1136" s="23"/>
      <c r="YW1136" s="23"/>
      <c r="YX1136" s="23"/>
      <c r="YY1136" s="23"/>
      <c r="YZ1136" s="23"/>
      <c r="ZA1136" s="23"/>
      <c r="ZB1136" s="23"/>
      <c r="ZC1136" s="23"/>
      <c r="ZD1136" s="23"/>
      <c r="ZE1136" s="23"/>
      <c r="ZF1136" s="23"/>
      <c r="ZG1136" s="23"/>
      <c r="ZH1136" s="23"/>
      <c r="ZI1136" s="23"/>
      <c r="ZJ1136" s="23"/>
      <c r="ZK1136" s="23"/>
      <c r="ZL1136" s="23"/>
      <c r="ZM1136" s="23"/>
      <c r="ZN1136" s="23"/>
      <c r="ZO1136" s="23"/>
      <c r="ZP1136" s="23"/>
      <c r="ZQ1136" s="23"/>
      <c r="ZR1136" s="23"/>
      <c r="ZS1136" s="23"/>
      <c r="ZT1136" s="23"/>
      <c r="ZU1136" s="23"/>
      <c r="ZV1136" s="23"/>
      <c r="ZW1136" s="23"/>
      <c r="ZX1136" s="23"/>
      <c r="ZY1136" s="23"/>
      <c r="ZZ1136" s="23"/>
      <c r="AAA1136" s="23"/>
      <c r="AAB1136" s="23"/>
      <c r="AAC1136" s="23"/>
      <c r="AAD1136" s="23"/>
      <c r="AAE1136" s="23"/>
      <c r="AAF1136" s="23"/>
      <c r="AAG1136" s="23"/>
      <c r="AAH1136" s="23"/>
      <c r="AAI1136" s="23"/>
      <c r="AAJ1136" s="23"/>
      <c r="AAK1136" s="23"/>
      <c r="AAL1136" s="23"/>
      <c r="AAM1136" s="23"/>
      <c r="AAN1136" s="23"/>
      <c r="AAO1136" s="23"/>
      <c r="AAP1136" s="23"/>
      <c r="AAQ1136" s="23"/>
      <c r="AAR1136" s="23"/>
      <c r="AAS1136" s="23"/>
      <c r="AAT1136" s="23"/>
      <c r="AAU1136" s="23"/>
      <c r="AAV1136" s="23"/>
      <c r="AAW1136" s="23"/>
      <c r="AAX1136" s="23"/>
      <c r="AAY1136" s="23"/>
      <c r="AAZ1136" s="23"/>
      <c r="ABA1136" s="23"/>
      <c r="ABB1136" s="23"/>
      <c r="ABC1136" s="23"/>
      <c r="ABD1136" s="23"/>
      <c r="ABE1136" s="23"/>
      <c r="ABF1136" s="23"/>
      <c r="ABG1136" s="23"/>
      <c r="ABH1136" s="23"/>
      <c r="ABI1136" s="23"/>
      <c r="ABJ1136" s="23"/>
      <c r="ABK1136" s="23"/>
      <c r="ABL1136" s="23"/>
      <c r="ABM1136" s="23"/>
      <c r="ABN1136" s="23"/>
      <c r="ABO1136" s="23"/>
      <c r="ABP1136" s="23"/>
      <c r="ABQ1136" s="23"/>
      <c r="ABR1136" s="23"/>
      <c r="ABS1136" s="23"/>
      <c r="ABT1136" s="23"/>
      <c r="ABU1136" s="23"/>
      <c r="ABV1136" s="23"/>
      <c r="ABW1136" s="23"/>
      <c r="ABX1136" s="23"/>
      <c r="ABY1136" s="23"/>
      <c r="ABZ1136" s="23"/>
      <c r="ACA1136" s="23"/>
      <c r="ACB1136" s="23"/>
      <c r="ACC1136" s="23"/>
      <c r="ACD1136" s="23"/>
      <c r="ACE1136" s="23"/>
      <c r="ACF1136" s="23"/>
      <c r="ACG1136" s="23"/>
      <c r="ACH1136" s="23"/>
      <c r="ACI1136" s="23"/>
      <c r="ACJ1136" s="23"/>
      <c r="ACK1136" s="23"/>
      <c r="ACL1136" s="23"/>
      <c r="ACM1136" s="23"/>
      <c r="ACN1136" s="23"/>
      <c r="ACO1136" s="23"/>
      <c r="ACP1136" s="23"/>
      <c r="ACQ1136" s="23"/>
      <c r="ACR1136" s="23"/>
      <c r="ACS1136" s="23"/>
      <c r="ACT1136" s="23"/>
      <c r="ACU1136" s="23"/>
      <c r="ACV1136" s="23"/>
      <c r="ACW1136" s="23"/>
      <c r="ACX1136" s="23"/>
      <c r="ACY1136" s="23"/>
      <c r="ACZ1136" s="23"/>
      <c r="ADA1136" s="23"/>
      <c r="ADB1136" s="23"/>
      <c r="ADC1136" s="23"/>
      <c r="ADD1136" s="23"/>
      <c r="ADE1136" s="23"/>
      <c r="ADF1136" s="23"/>
      <c r="ADG1136" s="23"/>
      <c r="ADH1136" s="23"/>
      <c r="ADI1136" s="23"/>
      <c r="ADJ1136" s="23"/>
      <c r="ADK1136" s="23"/>
      <c r="ADL1136" s="23"/>
      <c r="ADM1136" s="23"/>
      <c r="ADN1136" s="23"/>
      <c r="ADO1136" s="23"/>
      <c r="ADP1136" s="23"/>
      <c r="ADQ1136" s="23"/>
      <c r="ADR1136" s="23"/>
      <c r="ADS1136" s="23"/>
      <c r="ADT1136" s="23"/>
      <c r="ADU1136" s="23"/>
      <c r="ADV1136" s="23"/>
      <c r="ADW1136" s="23"/>
      <c r="ADX1136" s="23"/>
      <c r="ADY1136" s="23"/>
      <c r="ADZ1136" s="23"/>
      <c r="AEA1136" s="23"/>
      <c r="AEB1136" s="23"/>
      <c r="AEC1136" s="23"/>
      <c r="AED1136" s="23"/>
      <c r="AEE1136" s="23"/>
      <c r="AEF1136" s="23"/>
      <c r="AEG1136" s="23"/>
      <c r="AEH1136" s="23"/>
      <c r="AEI1136" s="23"/>
      <c r="AEJ1136" s="23"/>
      <c r="AEK1136" s="23"/>
      <c r="AEL1136" s="23"/>
      <c r="AEM1136" s="23"/>
      <c r="AEN1136" s="23"/>
      <c r="AEO1136" s="23"/>
      <c r="AEP1136" s="23"/>
      <c r="AEQ1136" s="23"/>
      <c r="AER1136" s="23"/>
      <c r="AES1136" s="23"/>
      <c r="AET1136" s="23"/>
      <c r="AEU1136" s="23"/>
      <c r="AEV1136" s="23"/>
      <c r="AEW1136" s="23"/>
      <c r="AEX1136" s="23"/>
      <c r="AEY1136" s="23"/>
      <c r="AEZ1136" s="23"/>
      <c r="AFA1136" s="23"/>
      <c r="AFB1136" s="23"/>
      <c r="AFC1136" s="23"/>
      <c r="AFD1136" s="23"/>
      <c r="AFE1136" s="23"/>
      <c r="AFF1136" s="23"/>
      <c r="AFG1136" s="23"/>
      <c r="AFH1136" s="23"/>
      <c r="AFI1136" s="23"/>
      <c r="AFJ1136" s="23"/>
      <c r="AFK1136" s="23"/>
      <c r="AFL1136" s="23"/>
      <c r="AFM1136" s="23"/>
      <c r="AFN1136" s="23"/>
      <c r="AFO1136" s="23"/>
      <c r="AFP1136" s="23"/>
      <c r="AFQ1136" s="23"/>
      <c r="AFR1136" s="23"/>
      <c r="AFS1136" s="23"/>
      <c r="AFT1136" s="23"/>
      <c r="AFU1136" s="23"/>
      <c r="AFV1136" s="23"/>
      <c r="AFW1136" s="23"/>
      <c r="AFX1136" s="23"/>
      <c r="AFY1136" s="23"/>
      <c r="AFZ1136" s="23"/>
      <c r="AGA1136" s="23"/>
      <c r="AGB1136" s="23"/>
      <c r="AGC1136" s="23"/>
      <c r="AGD1136" s="23"/>
      <c r="AGE1136" s="23"/>
      <c r="AGF1136" s="23"/>
      <c r="AGG1136" s="23"/>
      <c r="AGH1136" s="23"/>
      <c r="AGI1136" s="23"/>
      <c r="AGJ1136" s="23"/>
      <c r="AGK1136" s="23"/>
      <c r="AGL1136" s="23"/>
      <c r="AGM1136" s="23"/>
      <c r="AGN1136" s="23"/>
      <c r="AGO1136" s="23"/>
      <c r="AGP1136" s="23"/>
      <c r="AGQ1136" s="23"/>
      <c r="AGR1136" s="23"/>
      <c r="AGS1136" s="23"/>
      <c r="AGT1136" s="23"/>
      <c r="AGU1136" s="23"/>
      <c r="AGV1136" s="23"/>
      <c r="AGW1136" s="23"/>
      <c r="AGX1136" s="23"/>
      <c r="AGY1136" s="23"/>
      <c r="AGZ1136" s="23"/>
      <c r="AHA1136" s="23"/>
      <c r="AHB1136" s="23"/>
      <c r="AHC1136" s="23"/>
      <c r="AHD1136" s="23"/>
      <c r="AHE1136" s="23"/>
      <c r="AHF1136" s="23"/>
      <c r="AHG1136" s="23"/>
      <c r="AHH1136" s="23"/>
      <c r="AHI1136" s="23"/>
      <c r="AHJ1136" s="23"/>
      <c r="AHK1136" s="23"/>
      <c r="AHL1136" s="23"/>
      <c r="AHM1136" s="23"/>
      <c r="AHN1136" s="23"/>
      <c r="AHO1136" s="23"/>
      <c r="AHP1136" s="23"/>
      <c r="AHQ1136" s="23"/>
      <c r="AHR1136" s="23"/>
      <c r="AHS1136" s="23"/>
      <c r="AHT1136" s="23"/>
      <c r="AHU1136" s="23"/>
      <c r="AHV1136" s="23"/>
      <c r="AHW1136" s="23"/>
      <c r="AHX1136" s="23"/>
      <c r="AHY1136" s="23"/>
      <c r="AHZ1136" s="23"/>
      <c r="AIA1136" s="23"/>
      <c r="AIB1136" s="23"/>
      <c r="AIC1136" s="23"/>
      <c r="AID1136" s="23"/>
      <c r="AIE1136" s="23"/>
      <c r="AIF1136" s="23"/>
      <c r="AIG1136" s="23"/>
      <c r="AIH1136" s="23"/>
      <c r="AII1136" s="23"/>
      <c r="AIJ1136" s="23"/>
      <c r="AIK1136" s="23"/>
      <c r="AIL1136" s="23"/>
      <c r="AIM1136" s="23"/>
      <c r="AIN1136" s="23"/>
      <c r="AIO1136" s="23"/>
      <c r="AIP1136" s="23"/>
      <c r="AIQ1136" s="23"/>
      <c r="AIR1136" s="23"/>
      <c r="AIS1136" s="23"/>
      <c r="AIT1136" s="23"/>
      <c r="AIU1136" s="23"/>
      <c r="AIV1136" s="23"/>
      <c r="AIW1136" s="23"/>
      <c r="AIX1136" s="23"/>
      <c r="AIY1136" s="23"/>
      <c r="AIZ1136" s="23"/>
      <c r="AJA1136" s="23"/>
      <c r="AJB1136" s="23"/>
      <c r="AJC1136" s="23"/>
      <c r="AJD1136" s="23"/>
      <c r="AJE1136" s="23"/>
      <c r="AJF1136" s="23"/>
      <c r="AJG1136" s="23"/>
      <c r="AJH1136" s="23"/>
      <c r="AJI1136" s="23"/>
      <c r="AJJ1136" s="23"/>
      <c r="AJK1136" s="23"/>
      <c r="AJL1136" s="23"/>
      <c r="AJM1136" s="23"/>
      <c r="AJN1136" s="23"/>
      <c r="AJO1136" s="23"/>
      <c r="AJP1136" s="23"/>
      <c r="AJQ1136" s="23"/>
      <c r="AJR1136" s="23"/>
      <c r="AJS1136" s="23"/>
      <c r="AJT1136" s="23"/>
      <c r="AJU1136" s="23"/>
      <c r="AJV1136" s="23"/>
      <c r="AJW1136" s="23"/>
      <c r="AJX1136" s="23"/>
      <c r="AJY1136" s="23"/>
      <c r="AJZ1136" s="23"/>
      <c r="AKA1136" s="23"/>
      <c r="AKB1136" s="23"/>
      <c r="AKC1136" s="23"/>
      <c r="AKD1136" s="23"/>
      <c r="AKE1136" s="23"/>
      <c r="AKF1136" s="23"/>
      <c r="AKG1136" s="23"/>
      <c r="AKH1136" s="23"/>
      <c r="AKI1136" s="23"/>
      <c r="AKJ1136" s="23"/>
      <c r="AKK1136" s="23"/>
      <c r="AKL1136" s="23"/>
      <c r="AKM1136" s="23"/>
      <c r="AKN1136" s="23"/>
      <c r="AKO1136" s="23"/>
      <c r="AKP1136" s="23"/>
      <c r="AKQ1136" s="23"/>
      <c r="AKR1136" s="23"/>
      <c r="AKS1136" s="23"/>
      <c r="AKT1136" s="23"/>
      <c r="AKU1136" s="23"/>
      <c r="AKV1136" s="23"/>
      <c r="AKW1136" s="23"/>
      <c r="AKX1136" s="23"/>
      <c r="AKY1136" s="23"/>
      <c r="AKZ1136" s="23"/>
      <c r="ALA1136" s="23"/>
      <c r="ALB1136" s="23"/>
      <c r="ALC1136" s="23"/>
      <c r="ALD1136" s="23"/>
      <c r="ALE1136" s="23"/>
      <c r="ALF1136" s="23"/>
      <c r="ALG1136" s="23"/>
      <c r="ALH1136" s="23"/>
      <c r="ALI1136" s="23"/>
      <c r="ALJ1136" s="23"/>
      <c r="ALK1136" s="23"/>
      <c r="ALL1136" s="23"/>
      <c r="ALM1136" s="23"/>
      <c r="ALN1136" s="23"/>
      <c r="ALO1136" s="23"/>
      <c r="ALP1136" s="23"/>
      <c r="ALQ1136" s="23"/>
      <c r="ALR1136" s="23"/>
      <c r="ALS1136" s="23"/>
      <c r="ALT1136" s="23"/>
      <c r="ALU1136" s="23"/>
      <c r="ALV1136" s="23"/>
      <c r="ALW1136" s="23"/>
      <c r="ALX1136" s="23"/>
      <c r="ALY1136" s="23"/>
      <c r="ALZ1136" s="23"/>
      <c r="AMA1136" s="23"/>
      <c r="AMB1136" s="23"/>
      <c r="AMC1136" s="23"/>
      <c r="AMD1136" s="23"/>
      <c r="AME1136" s="23"/>
      <c r="AMF1136" s="23"/>
      <c r="AMG1136" s="23"/>
      <c r="AMH1136" s="23"/>
      <c r="AMI1136" s="23"/>
      <c r="AMJ1136" s="23"/>
      <c r="AMK1136" s="23"/>
      <c r="AML1136" s="23"/>
      <c r="AMM1136" s="23"/>
      <c r="AMN1136" s="23"/>
      <c r="AMO1136" s="23"/>
      <c r="AMP1136" s="23"/>
      <c r="AMQ1136" s="23"/>
      <c r="AMR1136" s="23"/>
      <c r="AMS1136" s="23"/>
      <c r="AMT1136" s="23"/>
      <c r="AMU1136" s="23"/>
      <c r="AMV1136" s="23"/>
      <c r="AMW1136" s="23"/>
      <c r="AMX1136" s="23"/>
      <c r="AMY1136" s="23"/>
      <c r="AMZ1136" s="23"/>
      <c r="ANA1136" s="23"/>
      <c r="ANB1136" s="23"/>
      <c r="ANC1136" s="23"/>
      <c r="AND1136" s="23"/>
      <c r="ANE1136" s="23"/>
      <c r="ANF1136" s="23"/>
      <c r="ANG1136" s="23"/>
      <c r="ANH1136" s="23"/>
      <c r="ANI1136" s="23"/>
      <c r="ANJ1136" s="23"/>
      <c r="ANK1136" s="23"/>
      <c r="ANL1136" s="23"/>
      <c r="ANM1136" s="23"/>
      <c r="ANN1136" s="23"/>
      <c r="ANO1136" s="23"/>
      <c r="ANP1136" s="23"/>
      <c r="ANQ1136" s="23"/>
      <c r="ANR1136" s="23"/>
      <c r="ANS1136" s="23"/>
      <c r="ANT1136" s="23"/>
      <c r="ANU1136" s="23"/>
      <c r="ANV1136" s="23"/>
      <c r="ANW1136" s="23"/>
      <c r="ANX1136" s="23"/>
      <c r="ANY1136" s="23"/>
      <c r="ANZ1136" s="23"/>
      <c r="AOA1136" s="23"/>
      <c r="AOB1136" s="23"/>
      <c r="AOC1136" s="23"/>
      <c r="AOD1136" s="23"/>
      <c r="AOE1136" s="23"/>
      <c r="AOF1136" s="23"/>
      <c r="AOG1136" s="23"/>
      <c r="AOH1136" s="23"/>
      <c r="AOI1136" s="23"/>
      <c r="AOJ1136" s="23"/>
      <c r="AOK1136" s="23"/>
      <c r="AOL1136" s="23"/>
      <c r="AOM1136" s="23"/>
      <c r="AON1136" s="23"/>
      <c r="AOO1136" s="23"/>
      <c r="AOP1136" s="23"/>
      <c r="AOQ1136" s="23"/>
      <c r="AOR1136" s="23"/>
      <c r="AOS1136" s="23"/>
      <c r="AOT1136" s="23"/>
      <c r="AOU1136" s="23"/>
      <c r="AOV1136" s="23"/>
      <c r="AOW1136" s="23"/>
      <c r="AOX1136" s="23"/>
      <c r="AOY1136" s="23"/>
      <c r="AOZ1136" s="23"/>
      <c r="APA1136" s="23"/>
      <c r="APB1136" s="23"/>
      <c r="APC1136" s="23"/>
      <c r="APD1136" s="23"/>
      <c r="APE1136" s="23"/>
      <c r="APF1136" s="23"/>
      <c r="APG1136" s="23"/>
      <c r="APH1136" s="23"/>
      <c r="API1136" s="23"/>
      <c r="APJ1136" s="23"/>
      <c r="APK1136" s="23"/>
      <c r="APL1136" s="23"/>
      <c r="APM1136" s="23"/>
      <c r="APN1136" s="23"/>
      <c r="APO1136" s="23"/>
      <c r="APP1136" s="23"/>
      <c r="APQ1136" s="23"/>
      <c r="APR1136" s="23"/>
      <c r="APS1136" s="23"/>
      <c r="APT1136" s="23"/>
      <c r="APU1136" s="23"/>
      <c r="APV1136" s="23"/>
      <c r="APW1136" s="23"/>
      <c r="APX1136" s="23"/>
      <c r="APY1136" s="23"/>
      <c r="APZ1136" s="23"/>
      <c r="AQA1136" s="23"/>
      <c r="AQB1136" s="23"/>
      <c r="AQC1136" s="23"/>
      <c r="AQD1136" s="23"/>
      <c r="AQE1136" s="23"/>
      <c r="AQF1136" s="23"/>
      <c r="AQG1136" s="23"/>
      <c r="AQH1136" s="23"/>
      <c r="AQI1136" s="23"/>
      <c r="AQJ1136" s="23"/>
      <c r="AQK1136" s="23"/>
      <c r="AQL1136" s="23"/>
      <c r="AQM1136" s="23"/>
      <c r="AQN1136" s="23"/>
      <c r="AQO1136" s="23"/>
      <c r="AQP1136" s="23"/>
      <c r="AQQ1136" s="23"/>
      <c r="AQR1136" s="23"/>
      <c r="AQS1136" s="23"/>
      <c r="AQT1136" s="23"/>
      <c r="AQU1136" s="23"/>
      <c r="AQV1136" s="23"/>
      <c r="AQW1136" s="23"/>
      <c r="AQX1136" s="23"/>
      <c r="AQY1136" s="23"/>
      <c r="AQZ1136" s="23"/>
      <c r="ARA1136" s="23"/>
      <c r="ARB1136" s="23"/>
      <c r="ARC1136" s="23"/>
      <c r="ARD1136" s="23"/>
      <c r="ARE1136" s="23"/>
      <c r="ARF1136" s="23"/>
      <c r="ARG1136" s="23"/>
      <c r="ARH1136" s="23"/>
      <c r="ARI1136" s="23"/>
      <c r="ARJ1136" s="23"/>
      <c r="ARK1136" s="23"/>
      <c r="ARL1136" s="23"/>
      <c r="ARM1136" s="23"/>
      <c r="ARN1136" s="23"/>
      <c r="ARO1136" s="23"/>
      <c r="ARP1136" s="23"/>
      <c r="ARQ1136" s="23"/>
      <c r="ARR1136" s="23"/>
      <c r="ARS1136" s="23"/>
      <c r="ART1136" s="23"/>
      <c r="ARU1136" s="23"/>
      <c r="ARV1136" s="23"/>
      <c r="ARW1136" s="23"/>
      <c r="ARX1136" s="23"/>
      <c r="ARY1136" s="23"/>
      <c r="ARZ1136" s="23"/>
      <c r="ASA1136" s="23"/>
      <c r="ASB1136" s="23"/>
      <c r="ASC1136" s="23"/>
      <c r="ASD1136" s="23"/>
      <c r="ASE1136" s="23"/>
      <c r="ASF1136" s="23"/>
      <c r="ASG1136" s="23"/>
      <c r="ASH1136" s="23"/>
      <c r="ASI1136" s="23"/>
      <c r="ASJ1136" s="23"/>
      <c r="ASK1136" s="23"/>
      <c r="ASL1136" s="23"/>
      <c r="ASM1136" s="23"/>
      <c r="ASN1136" s="23"/>
      <c r="ASO1136" s="23"/>
      <c r="ASP1136" s="23"/>
      <c r="ASQ1136" s="23"/>
      <c r="ASR1136" s="23"/>
      <c r="ASS1136" s="23"/>
      <c r="AST1136" s="23"/>
      <c r="ASU1136" s="23"/>
      <c r="ASV1136" s="23"/>
      <c r="ASW1136" s="23"/>
      <c r="ASX1136" s="23"/>
      <c r="ASY1136" s="23"/>
      <c r="ASZ1136" s="23"/>
      <c r="ATA1136" s="23"/>
      <c r="ATB1136" s="23"/>
      <c r="ATC1136" s="23"/>
      <c r="ATD1136" s="23"/>
      <c r="ATE1136" s="23"/>
      <c r="ATF1136" s="23"/>
      <c r="ATG1136" s="23"/>
      <c r="ATH1136" s="23"/>
      <c r="ATI1136" s="23"/>
      <c r="ATJ1136" s="23"/>
      <c r="ATK1136" s="23"/>
      <c r="ATL1136" s="23"/>
      <c r="ATM1136" s="23"/>
      <c r="ATN1136" s="23"/>
      <c r="ATO1136" s="23"/>
      <c r="ATP1136" s="23"/>
      <c r="ATQ1136" s="23"/>
      <c r="ATR1136" s="23"/>
      <c r="ATS1136" s="23"/>
      <c r="ATT1136" s="23"/>
      <c r="ATU1136" s="23"/>
      <c r="ATV1136" s="23"/>
      <c r="ATW1136" s="23"/>
      <c r="ATX1136" s="23"/>
      <c r="ATY1136" s="23"/>
      <c r="ATZ1136" s="23"/>
      <c r="AUA1136" s="23"/>
      <c r="AUB1136" s="23"/>
      <c r="AUC1136" s="23"/>
      <c r="AUD1136" s="23"/>
      <c r="AUE1136" s="23"/>
      <c r="AUF1136" s="23"/>
      <c r="AUG1136" s="23"/>
      <c r="AUH1136" s="23"/>
      <c r="AUI1136" s="23"/>
      <c r="AUJ1136" s="23"/>
      <c r="AUK1136" s="23"/>
      <c r="AUL1136" s="23"/>
      <c r="AUM1136" s="23"/>
      <c r="AUN1136" s="23"/>
      <c r="AUO1136" s="23"/>
      <c r="AUP1136" s="23"/>
      <c r="AUQ1136" s="23"/>
      <c r="AUR1136" s="23"/>
      <c r="AUS1136" s="23"/>
      <c r="AUT1136" s="23"/>
      <c r="AUU1136" s="23"/>
      <c r="AUV1136" s="23"/>
      <c r="AUW1136" s="23"/>
      <c r="AUX1136" s="23"/>
      <c r="AUY1136" s="23"/>
      <c r="AUZ1136" s="23"/>
      <c r="AVA1136" s="23"/>
      <c r="AVB1136" s="23"/>
      <c r="AVC1136" s="23"/>
      <c r="AVD1136" s="23"/>
      <c r="AVE1136" s="23"/>
      <c r="AVF1136" s="23"/>
      <c r="AVG1136" s="23"/>
      <c r="AVH1136" s="23"/>
      <c r="AVI1136" s="23"/>
      <c r="AVJ1136" s="23"/>
      <c r="AVK1136" s="23"/>
      <c r="AVL1136" s="23"/>
      <c r="AVM1136" s="23"/>
      <c r="AVN1136" s="23"/>
      <c r="AVO1136" s="23"/>
      <c r="AVP1136" s="23"/>
      <c r="AVQ1136" s="23"/>
      <c r="AVR1136" s="23"/>
      <c r="AVS1136" s="23"/>
      <c r="AVT1136" s="23"/>
      <c r="AVU1136" s="23"/>
      <c r="AVV1136" s="23"/>
      <c r="AVW1136" s="23"/>
      <c r="AVX1136" s="23"/>
      <c r="AVY1136" s="23"/>
      <c r="AVZ1136" s="23"/>
      <c r="AWA1136" s="23"/>
      <c r="AWB1136" s="23"/>
      <c r="AWC1136" s="23"/>
      <c r="AWD1136" s="23"/>
      <c r="AWE1136" s="23"/>
      <c r="AWF1136" s="23"/>
      <c r="AWG1136" s="23"/>
      <c r="AWH1136" s="23"/>
      <c r="AWI1136" s="23"/>
      <c r="AWJ1136" s="23"/>
      <c r="AWK1136" s="23"/>
      <c r="AWL1136" s="23"/>
      <c r="AWM1136" s="23"/>
      <c r="AWN1136" s="23"/>
      <c r="AWO1136" s="23"/>
      <c r="AWP1136" s="23"/>
      <c r="AWQ1136" s="23"/>
      <c r="AWR1136" s="23"/>
      <c r="AWS1136" s="23"/>
      <c r="AWT1136" s="23"/>
      <c r="AWU1136" s="23"/>
      <c r="AWV1136" s="23"/>
      <c r="AWW1136" s="23"/>
      <c r="AWX1136" s="23"/>
      <c r="AWY1136" s="23"/>
      <c r="AWZ1136" s="23"/>
      <c r="AXA1136" s="23"/>
      <c r="AXB1136" s="23"/>
      <c r="AXC1136" s="23"/>
      <c r="AXD1136" s="23"/>
      <c r="AXE1136" s="23"/>
      <c r="AXF1136" s="23"/>
      <c r="AXG1136" s="23"/>
      <c r="AXH1136" s="23"/>
      <c r="AXI1136" s="23"/>
      <c r="AXJ1136" s="23"/>
      <c r="AXK1136" s="23"/>
      <c r="AXL1136" s="23"/>
      <c r="AXM1136" s="23"/>
      <c r="AXN1136" s="23"/>
      <c r="AXO1136" s="23"/>
      <c r="AXP1136" s="23"/>
      <c r="AXQ1136" s="23"/>
      <c r="AXR1136" s="23"/>
      <c r="AXS1136" s="23"/>
      <c r="AXT1136" s="23"/>
      <c r="AXU1136" s="23"/>
      <c r="AXV1136" s="23"/>
      <c r="AXW1136" s="23"/>
      <c r="AXX1136" s="23"/>
      <c r="AXY1136" s="23"/>
      <c r="AXZ1136" s="23"/>
      <c r="AYA1136" s="23"/>
      <c r="AYB1136" s="23"/>
      <c r="AYC1136" s="23"/>
      <c r="AYD1136" s="23"/>
      <c r="AYE1136" s="23"/>
      <c r="AYF1136" s="23"/>
      <c r="AYG1136" s="23"/>
      <c r="AYH1136" s="23"/>
      <c r="AYI1136" s="23"/>
      <c r="AYJ1136" s="23"/>
      <c r="AYK1136" s="23"/>
      <c r="AYL1136" s="23"/>
      <c r="AYM1136" s="23"/>
      <c r="AYN1136" s="23"/>
      <c r="AYO1136" s="23"/>
      <c r="AYP1136" s="23"/>
      <c r="AYQ1136" s="23"/>
      <c r="AYR1136" s="23"/>
      <c r="AYS1136" s="23"/>
      <c r="AYT1136" s="23"/>
      <c r="AYU1136" s="23"/>
      <c r="AYV1136" s="23"/>
      <c r="AYW1136" s="23"/>
      <c r="AYX1136" s="23"/>
      <c r="AYY1136" s="23"/>
      <c r="AYZ1136" s="23"/>
      <c r="AZA1136" s="23"/>
      <c r="AZB1136" s="23"/>
      <c r="AZC1136" s="23"/>
      <c r="AZD1136" s="23"/>
      <c r="AZE1136" s="23"/>
      <c r="AZF1136" s="23"/>
      <c r="AZG1136" s="23"/>
      <c r="AZH1136" s="23"/>
      <c r="AZI1136" s="23"/>
      <c r="AZJ1136" s="23"/>
      <c r="AZK1136" s="23"/>
      <c r="AZL1136" s="23"/>
      <c r="AZM1136" s="23"/>
      <c r="AZN1136" s="23"/>
      <c r="AZO1136" s="23"/>
      <c r="AZP1136" s="23"/>
      <c r="AZQ1136" s="23"/>
      <c r="AZR1136" s="23"/>
      <c r="AZS1136" s="23"/>
      <c r="AZT1136" s="23"/>
      <c r="AZU1136" s="23"/>
      <c r="AZV1136" s="23"/>
      <c r="AZW1136" s="23"/>
      <c r="AZX1136" s="23"/>
      <c r="AZY1136" s="23"/>
      <c r="AZZ1136" s="23"/>
      <c r="BAA1136" s="23"/>
      <c r="BAB1136" s="23"/>
      <c r="BAC1136" s="23"/>
      <c r="BAD1136" s="23"/>
      <c r="BAE1136" s="23"/>
      <c r="BAF1136" s="23"/>
      <c r="BAG1136" s="23"/>
      <c r="BAH1136" s="23"/>
      <c r="BAI1136" s="23"/>
      <c r="BAJ1136" s="23"/>
      <c r="BAK1136" s="23"/>
      <c r="BAL1136" s="23"/>
      <c r="BAM1136" s="23"/>
      <c r="BAN1136" s="23"/>
      <c r="BAO1136" s="23"/>
      <c r="BAP1136" s="23"/>
      <c r="BAQ1136" s="23"/>
      <c r="BAR1136" s="23"/>
      <c r="BAS1136" s="23"/>
      <c r="BAT1136" s="23"/>
      <c r="BAU1136" s="23"/>
      <c r="BAV1136" s="23"/>
      <c r="BAW1136" s="23"/>
      <c r="BAX1136" s="23"/>
      <c r="BAY1136" s="23"/>
      <c r="BAZ1136" s="23"/>
      <c r="BBA1136" s="23"/>
      <c r="BBB1136" s="23"/>
      <c r="BBC1136" s="23"/>
      <c r="BBD1136" s="23"/>
      <c r="BBE1136" s="23"/>
      <c r="BBF1136" s="23"/>
      <c r="BBG1136" s="23"/>
      <c r="BBH1136" s="23"/>
      <c r="BBI1136" s="23"/>
      <c r="BBJ1136" s="23"/>
      <c r="BBK1136" s="23"/>
      <c r="BBL1136" s="23"/>
      <c r="BBM1136" s="23"/>
      <c r="BBN1136" s="23"/>
      <c r="BBO1136" s="23"/>
      <c r="BBP1136" s="23"/>
      <c r="BBQ1136" s="23"/>
      <c r="BBR1136" s="23"/>
      <c r="BBS1136" s="23"/>
      <c r="BBT1136" s="23"/>
      <c r="BBU1136" s="23"/>
      <c r="BBV1136" s="23"/>
      <c r="BBW1136" s="23"/>
      <c r="BBX1136" s="23"/>
      <c r="BBY1136" s="23"/>
      <c r="BBZ1136" s="23"/>
      <c r="BCA1136" s="23"/>
      <c r="BCB1136" s="23"/>
      <c r="BCC1136" s="23"/>
      <c r="BCD1136" s="23"/>
      <c r="BCE1136" s="23"/>
      <c r="BCF1136" s="23"/>
      <c r="BCG1136" s="23"/>
      <c r="BCH1136" s="23"/>
      <c r="BCI1136" s="23"/>
      <c r="BCJ1136" s="23"/>
      <c r="BCK1136" s="23"/>
      <c r="BCL1136" s="23"/>
      <c r="BCM1136" s="23"/>
      <c r="BCN1136" s="23"/>
      <c r="BCO1136" s="23"/>
      <c r="BCP1136" s="23"/>
      <c r="BCQ1136" s="23"/>
      <c r="BCR1136" s="23"/>
      <c r="BCS1136" s="23"/>
      <c r="BCT1136" s="23"/>
      <c r="BCU1136" s="23"/>
      <c r="BCV1136" s="23"/>
      <c r="BCW1136" s="23"/>
      <c r="BCX1136" s="23"/>
      <c r="BCY1136" s="23"/>
      <c r="BCZ1136" s="23"/>
      <c r="BDA1136" s="23"/>
      <c r="BDB1136" s="23"/>
      <c r="BDC1136" s="23"/>
      <c r="BDD1136" s="23"/>
      <c r="BDE1136" s="23"/>
      <c r="BDF1136" s="23"/>
      <c r="BDG1136" s="23"/>
      <c r="BDH1136" s="23"/>
      <c r="BDI1136" s="23"/>
      <c r="BDJ1136" s="23"/>
      <c r="BDK1136" s="23"/>
      <c r="BDL1136" s="23"/>
      <c r="BDM1136" s="23"/>
      <c r="BDN1136" s="23"/>
      <c r="BDO1136" s="23"/>
      <c r="BDP1136" s="23"/>
      <c r="BDQ1136" s="23"/>
      <c r="BDR1136" s="23"/>
      <c r="BDS1136" s="23"/>
      <c r="BDT1136" s="23"/>
      <c r="BDU1136" s="23"/>
      <c r="BDV1136" s="23"/>
      <c r="BDW1136" s="23"/>
      <c r="BDX1136" s="23"/>
      <c r="BDY1136" s="23"/>
      <c r="BDZ1136" s="23"/>
      <c r="BEA1136" s="23"/>
      <c r="BEB1136" s="23"/>
      <c r="BEC1136" s="23"/>
      <c r="BED1136" s="23"/>
      <c r="BEE1136" s="23"/>
      <c r="BEF1136" s="23"/>
      <c r="BEG1136" s="23"/>
      <c r="BEH1136" s="23"/>
      <c r="BEI1136" s="23"/>
      <c r="BEJ1136" s="23"/>
      <c r="BEK1136" s="23"/>
      <c r="BEL1136" s="23"/>
      <c r="BEM1136" s="23"/>
      <c r="BEN1136" s="23"/>
      <c r="BEO1136" s="23"/>
      <c r="BEP1136" s="23"/>
      <c r="BEQ1136" s="23"/>
      <c r="BER1136" s="23"/>
      <c r="BES1136" s="23"/>
      <c r="BET1136" s="23"/>
      <c r="BEU1136" s="23"/>
      <c r="BEV1136" s="23"/>
      <c r="BEW1136" s="23"/>
      <c r="BEX1136" s="23"/>
      <c r="BEY1136" s="23"/>
      <c r="BEZ1136" s="23"/>
      <c r="BFA1136" s="23"/>
      <c r="BFB1136" s="23"/>
      <c r="BFC1136" s="23"/>
      <c r="BFD1136" s="23"/>
      <c r="BFE1136" s="23"/>
      <c r="BFF1136" s="23"/>
      <c r="BFG1136" s="23"/>
      <c r="BFH1136" s="23"/>
      <c r="BFI1136" s="23"/>
      <c r="BFJ1136" s="23"/>
      <c r="BFK1136" s="23"/>
      <c r="BFL1136" s="23"/>
      <c r="BFM1136" s="23"/>
      <c r="BFN1136" s="23"/>
      <c r="BFO1136" s="23"/>
      <c r="BFP1136" s="23"/>
      <c r="BFQ1136" s="23"/>
      <c r="BFR1136" s="23"/>
      <c r="BFS1136" s="23"/>
      <c r="BFT1136" s="23"/>
      <c r="BFU1136" s="23"/>
      <c r="BFV1136" s="23"/>
      <c r="BFW1136" s="23"/>
      <c r="BFX1136" s="23"/>
      <c r="BFY1136" s="23"/>
      <c r="BFZ1136" s="23"/>
      <c r="BGA1136" s="23"/>
      <c r="BGB1136" s="23"/>
      <c r="BGC1136" s="23"/>
      <c r="BGD1136" s="23"/>
      <c r="BGE1136" s="23"/>
      <c r="BGF1136" s="23"/>
      <c r="BGG1136" s="23"/>
      <c r="BGH1136" s="23"/>
      <c r="BGI1136" s="23"/>
      <c r="BGJ1136" s="23"/>
      <c r="BGK1136" s="23"/>
      <c r="BGL1136" s="23"/>
      <c r="BGM1136" s="23"/>
      <c r="BGN1136" s="23"/>
      <c r="BGO1136" s="23"/>
      <c r="BGP1136" s="23"/>
      <c r="BGQ1136" s="23"/>
      <c r="BGR1136" s="23"/>
      <c r="BGS1136" s="23"/>
      <c r="BGT1136" s="23"/>
      <c r="BGU1136" s="23"/>
      <c r="BGV1136" s="23"/>
      <c r="BGW1136" s="23"/>
      <c r="BGX1136" s="23"/>
      <c r="BGY1136" s="23"/>
      <c r="BGZ1136" s="23"/>
      <c r="BHA1136" s="23"/>
      <c r="BHB1136" s="23"/>
      <c r="BHC1136" s="23"/>
      <c r="BHD1136" s="23"/>
      <c r="BHE1136" s="23"/>
      <c r="BHF1136" s="23"/>
      <c r="BHG1136" s="23"/>
      <c r="BHH1136" s="23"/>
      <c r="BHI1136" s="23"/>
      <c r="BHJ1136" s="23"/>
      <c r="BHK1136" s="23"/>
      <c r="BHL1136" s="23"/>
      <c r="BHM1136" s="23"/>
      <c r="BHN1136" s="23"/>
      <c r="BHO1136" s="23"/>
      <c r="BHP1136" s="23"/>
      <c r="BHQ1136" s="23"/>
      <c r="BHR1136" s="23"/>
      <c r="BHS1136" s="23"/>
      <c r="BHT1136" s="23"/>
      <c r="BHU1136" s="23"/>
      <c r="BHV1136" s="23"/>
      <c r="BHW1136" s="23"/>
      <c r="BHX1136" s="23"/>
      <c r="BHY1136" s="23"/>
      <c r="BHZ1136" s="23"/>
      <c r="BIA1136" s="23"/>
      <c r="BIB1136" s="23"/>
      <c r="BIC1136" s="23"/>
      <c r="BID1136" s="23"/>
      <c r="BIE1136" s="23"/>
      <c r="BIF1136" s="23"/>
      <c r="BIG1136" s="23"/>
      <c r="BIH1136" s="23"/>
      <c r="BII1136" s="23"/>
      <c r="BIJ1136" s="23"/>
      <c r="BIK1136" s="23"/>
      <c r="BIL1136" s="23"/>
      <c r="BIM1136" s="23"/>
      <c r="BIN1136" s="23"/>
      <c r="BIO1136" s="23"/>
      <c r="BIP1136" s="23"/>
      <c r="BIQ1136" s="23"/>
      <c r="BIR1136" s="23"/>
      <c r="BIS1136" s="23"/>
      <c r="BIT1136" s="23"/>
      <c r="BIU1136" s="23"/>
      <c r="BIV1136" s="23"/>
      <c r="BIW1136" s="23"/>
      <c r="BIX1136" s="23"/>
      <c r="BIY1136" s="23"/>
      <c r="BIZ1136" s="23"/>
      <c r="BJA1136" s="23"/>
      <c r="BJB1136" s="23"/>
      <c r="BJC1136" s="23"/>
      <c r="BJD1136" s="23"/>
      <c r="BJE1136" s="23"/>
      <c r="BJF1136" s="23"/>
      <c r="BJG1136" s="23"/>
      <c r="BJH1136" s="23"/>
      <c r="BJI1136" s="23"/>
      <c r="BJJ1136" s="23"/>
      <c r="BJK1136" s="23"/>
      <c r="BJL1136" s="23"/>
      <c r="BJM1136" s="23"/>
      <c r="BJN1136" s="23"/>
      <c r="BJO1136" s="23"/>
      <c r="BJP1136" s="23"/>
      <c r="BJQ1136" s="23"/>
      <c r="BJR1136" s="23"/>
      <c r="BJS1136" s="23"/>
      <c r="BJT1136" s="23"/>
      <c r="BJU1136" s="23"/>
      <c r="BJV1136" s="23"/>
      <c r="BJW1136" s="23"/>
      <c r="BJX1136" s="23"/>
      <c r="BJY1136" s="23"/>
      <c r="BJZ1136" s="23"/>
      <c r="BKA1136" s="23"/>
      <c r="BKB1136" s="23"/>
      <c r="BKC1136" s="23"/>
      <c r="BKD1136" s="23"/>
      <c r="BKE1136" s="23"/>
      <c r="BKF1136" s="23"/>
      <c r="BKG1136" s="23"/>
      <c r="BKH1136" s="23"/>
      <c r="BKI1136" s="23"/>
      <c r="BKJ1136" s="23"/>
      <c r="BKK1136" s="23"/>
      <c r="BKL1136" s="23"/>
      <c r="BKM1136" s="23"/>
      <c r="BKN1136" s="23"/>
      <c r="BKO1136" s="23"/>
      <c r="BKP1136" s="23"/>
      <c r="BKQ1136" s="23"/>
      <c r="BKR1136" s="23"/>
      <c r="BKS1136" s="23"/>
      <c r="BKT1136" s="23"/>
      <c r="BKU1136" s="23"/>
      <c r="BKV1136" s="23"/>
      <c r="BKW1136" s="23"/>
      <c r="BKX1136" s="23"/>
      <c r="BKY1136" s="23"/>
      <c r="BKZ1136" s="23"/>
      <c r="BLA1136" s="23"/>
      <c r="BLB1136" s="23"/>
      <c r="BLC1136" s="23"/>
      <c r="BLD1136" s="23"/>
      <c r="BLE1136" s="23"/>
      <c r="BLF1136" s="23"/>
      <c r="BLG1136" s="23"/>
      <c r="BLH1136" s="23"/>
      <c r="BLI1136" s="23"/>
      <c r="BLJ1136" s="23"/>
      <c r="BLK1136" s="23"/>
      <c r="BLL1136" s="23"/>
      <c r="BLM1136" s="23"/>
      <c r="BLN1136" s="23"/>
      <c r="BLO1136" s="23"/>
      <c r="BLP1136" s="23"/>
      <c r="BLQ1136" s="23"/>
      <c r="BLR1136" s="23"/>
      <c r="BLS1136" s="23"/>
      <c r="BLT1136" s="23"/>
      <c r="BLU1136" s="23"/>
      <c r="BLV1136" s="23"/>
      <c r="BLW1136" s="23"/>
      <c r="BLX1136" s="23"/>
      <c r="BLY1136" s="23"/>
      <c r="BLZ1136" s="23"/>
      <c r="BMA1136" s="23"/>
      <c r="BMB1136" s="23"/>
      <c r="BMC1136" s="23"/>
      <c r="BMD1136" s="23"/>
      <c r="BME1136" s="23"/>
      <c r="BMF1136" s="23"/>
      <c r="BMG1136" s="23"/>
      <c r="BMH1136" s="23"/>
      <c r="BMI1136" s="23"/>
      <c r="BMJ1136" s="23"/>
      <c r="BMK1136" s="23"/>
      <c r="BML1136" s="23"/>
      <c r="BMM1136" s="23"/>
      <c r="BMN1136" s="23"/>
      <c r="BMO1136" s="23"/>
      <c r="BMP1136" s="23"/>
      <c r="BMQ1136" s="23"/>
      <c r="BMR1136" s="23"/>
      <c r="BMS1136" s="23"/>
      <c r="BMT1136" s="23"/>
      <c r="BMU1136" s="23"/>
      <c r="BMV1136" s="23"/>
      <c r="BMW1136" s="23"/>
      <c r="BMX1136" s="23"/>
      <c r="BMY1136" s="23"/>
      <c r="BMZ1136" s="23"/>
      <c r="BNA1136" s="23"/>
      <c r="BNB1136" s="23"/>
      <c r="BNC1136" s="23"/>
      <c r="BND1136" s="23"/>
      <c r="BNE1136" s="23"/>
      <c r="BNF1136" s="23"/>
      <c r="BNG1136" s="23"/>
      <c r="BNH1136" s="23"/>
      <c r="BNI1136" s="23"/>
      <c r="BNJ1136" s="23"/>
      <c r="BNK1136" s="23"/>
      <c r="BNL1136" s="23"/>
      <c r="BNM1136" s="23"/>
      <c r="BNN1136" s="23"/>
      <c r="BNO1136" s="23"/>
      <c r="BNP1136" s="23"/>
      <c r="BNQ1136" s="23"/>
      <c r="BNR1136" s="23"/>
      <c r="BNS1136" s="23"/>
      <c r="BNT1136" s="23"/>
      <c r="BNU1136" s="23"/>
      <c r="BNV1136" s="23"/>
      <c r="BNW1136" s="23"/>
      <c r="BNX1136" s="23"/>
      <c r="BNY1136" s="23"/>
      <c r="BNZ1136" s="23"/>
      <c r="BOA1136" s="23"/>
      <c r="BOB1136" s="23"/>
      <c r="BOC1136" s="23"/>
      <c r="BOD1136" s="23"/>
      <c r="BOE1136" s="23"/>
      <c r="BOF1136" s="23"/>
      <c r="BOG1136" s="23"/>
      <c r="BOH1136" s="23"/>
      <c r="BOI1136" s="23"/>
      <c r="BOJ1136" s="23"/>
      <c r="BOK1136" s="23"/>
      <c r="BOL1136" s="23"/>
      <c r="BOM1136" s="23"/>
      <c r="BON1136" s="23"/>
      <c r="BOO1136" s="23"/>
      <c r="BOP1136" s="23"/>
      <c r="BOQ1136" s="23"/>
      <c r="BOR1136" s="23"/>
      <c r="BOS1136" s="23"/>
      <c r="BOT1136" s="23"/>
      <c r="BOU1136" s="23"/>
      <c r="BOV1136" s="23"/>
      <c r="BOW1136" s="23"/>
      <c r="BOX1136" s="23"/>
      <c r="BOY1136" s="23"/>
      <c r="BOZ1136" s="23"/>
      <c r="BPA1136" s="23"/>
      <c r="BPB1136" s="23"/>
      <c r="BPC1136" s="23"/>
      <c r="BPD1136" s="23"/>
      <c r="BPE1136" s="23"/>
      <c r="BPF1136" s="23"/>
      <c r="BPG1136" s="23"/>
      <c r="BPH1136" s="23"/>
      <c r="BPI1136" s="23"/>
      <c r="BPJ1136" s="23"/>
      <c r="BPK1136" s="23"/>
      <c r="BPL1136" s="23"/>
      <c r="BPM1136" s="23"/>
      <c r="BPN1136" s="23"/>
      <c r="BPO1136" s="23"/>
      <c r="BPP1136" s="23"/>
      <c r="BPQ1136" s="23"/>
      <c r="BPR1136" s="23"/>
      <c r="BPS1136" s="23"/>
      <c r="BPT1136" s="23"/>
      <c r="BPU1136" s="23"/>
      <c r="BPV1136" s="23"/>
      <c r="BPW1136" s="23"/>
      <c r="BPX1136" s="23"/>
      <c r="BPY1136" s="23"/>
      <c r="BPZ1136" s="23"/>
      <c r="BQA1136" s="23"/>
      <c r="BQB1136" s="23"/>
      <c r="BQC1136" s="23"/>
      <c r="BQD1136" s="23"/>
      <c r="BQE1136" s="23"/>
      <c r="BQF1136" s="23"/>
      <c r="BQG1136" s="23"/>
      <c r="BQH1136" s="23"/>
      <c r="BQI1136" s="23"/>
      <c r="BQJ1136" s="23"/>
      <c r="BQK1136" s="23"/>
      <c r="BQL1136" s="23"/>
      <c r="BQM1136" s="23"/>
      <c r="BQN1136" s="23"/>
      <c r="BQO1136" s="23"/>
      <c r="BQP1136" s="23"/>
      <c r="BQQ1136" s="23"/>
      <c r="BQR1136" s="23"/>
      <c r="BQS1136" s="23"/>
      <c r="BQT1136" s="23"/>
      <c r="BQU1136" s="23"/>
      <c r="BQV1136" s="23"/>
      <c r="BQW1136" s="23"/>
      <c r="BQX1136" s="23"/>
      <c r="BQY1136" s="23"/>
      <c r="BQZ1136" s="23"/>
      <c r="BRA1136" s="23"/>
      <c r="BRB1136" s="23"/>
      <c r="BRC1136" s="23"/>
      <c r="BRD1136" s="23"/>
      <c r="BRE1136" s="23"/>
      <c r="BRF1136" s="23"/>
      <c r="BRG1136" s="23"/>
      <c r="BRH1136" s="23"/>
      <c r="BRI1136" s="23"/>
      <c r="BRJ1136" s="23"/>
      <c r="BRK1136" s="23"/>
      <c r="BRL1136" s="23"/>
      <c r="BRM1136" s="23"/>
      <c r="BRN1136" s="23"/>
      <c r="BRO1136" s="23"/>
      <c r="BRP1136" s="23"/>
      <c r="BRQ1136" s="23"/>
      <c r="BRR1136" s="23"/>
      <c r="BRS1136" s="23"/>
      <c r="BRT1136" s="23"/>
      <c r="BRU1136" s="23"/>
      <c r="BRV1136" s="23"/>
      <c r="BRW1136" s="23"/>
      <c r="BRX1136" s="23"/>
      <c r="BRY1136" s="23"/>
      <c r="BRZ1136" s="23"/>
      <c r="BSA1136" s="23"/>
      <c r="BSB1136" s="23"/>
      <c r="BSC1136" s="23"/>
      <c r="BSD1136" s="23"/>
      <c r="BSE1136" s="23"/>
      <c r="BSF1136" s="23"/>
      <c r="BSG1136" s="23"/>
      <c r="BSH1136" s="23"/>
      <c r="BSI1136" s="23"/>
      <c r="BSJ1136" s="23"/>
      <c r="BSK1136" s="23"/>
      <c r="BSL1136" s="23"/>
      <c r="BSM1136" s="23"/>
      <c r="BSN1136" s="23"/>
      <c r="BSO1136" s="23"/>
      <c r="BSP1136" s="23"/>
      <c r="BSQ1136" s="23"/>
      <c r="BSR1136" s="23"/>
      <c r="BSS1136" s="23"/>
      <c r="BST1136" s="23"/>
      <c r="BSU1136" s="23"/>
      <c r="BSV1136" s="23"/>
      <c r="BSW1136" s="23"/>
      <c r="BSX1136" s="23"/>
      <c r="BSY1136" s="23"/>
      <c r="BSZ1136" s="23"/>
      <c r="BTA1136" s="23"/>
    </row>
    <row r="1137" spans="1:1873" s="23" customFormat="1" x14ac:dyDescent="0.2">
      <c r="A1137" s="595" t="s">
        <v>872</v>
      </c>
      <c r="B1137" s="257" t="s">
        <v>873</v>
      </c>
      <c r="C1137" s="257" t="s">
        <v>124</v>
      </c>
      <c r="D1137" s="257" t="s">
        <v>1400</v>
      </c>
      <c r="E1137" s="257" t="s">
        <v>855</v>
      </c>
      <c r="F1137" s="257">
        <v>1</v>
      </c>
      <c r="G1137" s="257">
        <v>6</v>
      </c>
      <c r="H1137" s="263">
        <v>6</v>
      </c>
      <c r="I1137" s="257" t="s">
        <v>954</v>
      </c>
      <c r="J1137" s="257">
        <v>1997</v>
      </c>
      <c r="K1137" s="257" t="s">
        <v>1211</v>
      </c>
      <c r="L1137" s="257">
        <v>2002</v>
      </c>
      <c r="M1137" s="261">
        <v>-9999</v>
      </c>
      <c r="N1137" s="257">
        <v>-9999</v>
      </c>
      <c r="O1137" s="29"/>
      <c r="P1137" s="261">
        <f>12.65-4.36</f>
        <v>8.2899999999999991</v>
      </c>
      <c r="Q1137" s="257">
        <v>-9999</v>
      </c>
      <c r="R1137" s="261"/>
      <c r="S1137" s="257"/>
      <c r="T1137" s="370">
        <f>+P1137/G1137</f>
        <v>1.3816666666666666</v>
      </c>
      <c r="U1137" s="257">
        <v>-9999</v>
      </c>
      <c r="V1137" s="257"/>
      <c r="W1137" s="261">
        <v>-9999</v>
      </c>
      <c r="X1137" s="257">
        <v>-9999</v>
      </c>
      <c r="Y1137" s="257"/>
      <c r="Z1137" s="327" t="s">
        <v>875</v>
      </c>
      <c r="AA1137" s="257">
        <v>1794</v>
      </c>
      <c r="AB1137" s="261">
        <v>0.96</v>
      </c>
      <c r="AC1137" s="257">
        <v>11.7</v>
      </c>
      <c r="AD1137" s="257">
        <v>943</v>
      </c>
      <c r="AE1137" s="327" t="s">
        <v>1969</v>
      </c>
      <c r="AF1137" s="257">
        <v>3</v>
      </c>
      <c r="AG1137" s="257" t="s">
        <v>843</v>
      </c>
      <c r="AH1137" s="257" t="s">
        <v>876</v>
      </c>
      <c r="AI1137" s="257" t="s">
        <v>858</v>
      </c>
      <c r="AJ1137" s="257">
        <v>-9999</v>
      </c>
      <c r="AK1137" s="257" t="s">
        <v>877</v>
      </c>
      <c r="AL1137" s="257" t="s">
        <v>828</v>
      </c>
      <c r="AM1137" s="257">
        <v>-9999</v>
      </c>
      <c r="AN1137" s="257" t="s">
        <v>626</v>
      </c>
      <c r="AO1137" s="257" t="s">
        <v>826</v>
      </c>
      <c r="AP1137" s="257" t="s">
        <v>879</v>
      </c>
      <c r="AQ1137" s="257" t="s">
        <v>631</v>
      </c>
      <c r="AR1137" s="257">
        <v>0</v>
      </c>
      <c r="AS1137" s="257">
        <v>-9999</v>
      </c>
      <c r="AT1137" s="257"/>
      <c r="AU1137" s="257">
        <v>0</v>
      </c>
      <c r="AV1137" s="257">
        <v>-9999</v>
      </c>
      <c r="AW1137" s="257"/>
      <c r="AX1137" s="257">
        <v>0</v>
      </c>
      <c r="AY1137" s="257">
        <v>-9999</v>
      </c>
      <c r="AZ1137" s="257" t="s">
        <v>871</v>
      </c>
      <c r="BA1137" s="257">
        <v>-9999</v>
      </c>
      <c r="BB1137" s="257" t="s">
        <v>626</v>
      </c>
      <c r="BC1137" s="257" t="s">
        <v>881</v>
      </c>
      <c r="BD1137" s="257" t="s">
        <v>121</v>
      </c>
      <c r="BE1137" s="257" t="s">
        <v>122</v>
      </c>
      <c r="BF1137" s="257" t="s">
        <v>120</v>
      </c>
      <c r="BG1137" s="257">
        <v>-9999</v>
      </c>
      <c r="BH1137" s="257">
        <v>-9999</v>
      </c>
      <c r="BI1137" s="257" t="s">
        <v>123</v>
      </c>
      <c r="BJ1137" s="257">
        <v>4.38</v>
      </c>
      <c r="BK1137" s="257">
        <v>0.49</v>
      </c>
      <c r="BL1137" s="257">
        <v>4.8600000000000003</v>
      </c>
      <c r="BM1137" s="257">
        <v>0.19</v>
      </c>
      <c r="BN1137" s="257">
        <v>5.5</v>
      </c>
      <c r="BO1137" s="257">
        <v>0.3</v>
      </c>
      <c r="BP1137" s="257">
        <v>-9999</v>
      </c>
      <c r="BQ1137" s="257">
        <v>-9999</v>
      </c>
      <c r="BR1137" s="257">
        <v>-9999</v>
      </c>
      <c r="BS1137" s="594">
        <f>+BT1137*14.286</f>
        <v>201.57545999999999</v>
      </c>
      <c r="BT1137" s="257">
        <v>14.11</v>
      </c>
      <c r="BU1137" s="257">
        <v>-9999</v>
      </c>
      <c r="BV1137" s="257">
        <v>1.59</v>
      </c>
      <c r="BW1137" s="257"/>
      <c r="BX1137" s="257">
        <v>-9999</v>
      </c>
      <c r="BY1137" s="257">
        <v>-9999</v>
      </c>
      <c r="BZ1137" s="257">
        <v>-9999</v>
      </c>
      <c r="CA1137" s="300" t="s">
        <v>867</v>
      </c>
      <c r="CB1137" s="264"/>
      <c r="CC1137" s="257">
        <v>1</v>
      </c>
      <c r="CD1137" s="257" t="s">
        <v>124</v>
      </c>
      <c r="CE1137" s="292">
        <v>1.3816666666666666</v>
      </c>
      <c r="CF1137" s="292">
        <v>-9999</v>
      </c>
      <c r="CG1137" s="44">
        <v>6</v>
      </c>
      <c r="CH1137" s="301"/>
    </row>
    <row r="1138" spans="1:1873" s="216" customFormat="1" ht="15.75" x14ac:dyDescent="0.3">
      <c r="A1138" s="366" t="s">
        <v>872</v>
      </c>
      <c r="B1138" s="257" t="s">
        <v>873</v>
      </c>
      <c r="C1138" s="257" t="s">
        <v>125</v>
      </c>
      <c r="D1138" s="257" t="s">
        <v>1400</v>
      </c>
      <c r="E1138" s="257" t="s">
        <v>855</v>
      </c>
      <c r="F1138" s="257">
        <v>1</v>
      </c>
      <c r="G1138" s="257">
        <v>6</v>
      </c>
      <c r="H1138" s="263">
        <v>6</v>
      </c>
      <c r="I1138" s="257" t="s">
        <v>954</v>
      </c>
      <c r="J1138" s="257">
        <v>1997</v>
      </c>
      <c r="K1138" s="257" t="s">
        <v>1211</v>
      </c>
      <c r="L1138" s="257">
        <v>2002</v>
      </c>
      <c r="M1138" s="261">
        <v>-9999</v>
      </c>
      <c r="N1138" s="257">
        <v>-9999</v>
      </c>
      <c r="O1138" s="29"/>
      <c r="P1138" s="261">
        <f>33.88-6.35</f>
        <v>27.53</v>
      </c>
      <c r="Q1138" s="257">
        <v>-9999</v>
      </c>
      <c r="R1138" s="261"/>
      <c r="S1138" s="257"/>
      <c r="T1138" s="370">
        <f>+P1138/G1138</f>
        <v>4.5883333333333338</v>
      </c>
      <c r="U1138" s="257">
        <v>-9999</v>
      </c>
      <c r="V1138" s="257"/>
      <c r="W1138" s="261">
        <v>-9999</v>
      </c>
      <c r="X1138" s="257">
        <v>-9999</v>
      </c>
      <c r="Y1138" s="257"/>
      <c r="Z1138" s="327" t="s">
        <v>875</v>
      </c>
      <c r="AA1138" s="257">
        <v>1794</v>
      </c>
      <c r="AB1138" s="261">
        <v>0.96</v>
      </c>
      <c r="AC1138" s="257">
        <v>11.7</v>
      </c>
      <c r="AD1138" s="257">
        <v>943</v>
      </c>
      <c r="AE1138" s="327" t="s">
        <v>1969</v>
      </c>
      <c r="AF1138" s="257">
        <v>3</v>
      </c>
      <c r="AG1138" s="257" t="s">
        <v>843</v>
      </c>
      <c r="AH1138" s="257" t="s">
        <v>876</v>
      </c>
      <c r="AI1138" s="257" t="s">
        <v>858</v>
      </c>
      <c r="AJ1138" s="257">
        <v>-9999</v>
      </c>
      <c r="AK1138" s="257" t="s">
        <v>877</v>
      </c>
      <c r="AL1138" s="257" t="s">
        <v>828</v>
      </c>
      <c r="AM1138" s="257">
        <v>-9999</v>
      </c>
      <c r="AN1138" s="257" t="s">
        <v>626</v>
      </c>
      <c r="AO1138" s="257" t="s">
        <v>826</v>
      </c>
      <c r="AP1138" s="257" t="s">
        <v>879</v>
      </c>
      <c r="AQ1138" s="257" t="s">
        <v>626</v>
      </c>
      <c r="AR1138" s="257">
        <f>57*6</f>
        <v>342</v>
      </c>
      <c r="AS1138" s="257" t="s">
        <v>937</v>
      </c>
      <c r="AT1138" s="257" t="s">
        <v>546</v>
      </c>
      <c r="AU1138" s="257">
        <f>8.3*6</f>
        <v>49.800000000000004</v>
      </c>
      <c r="AV1138" s="257" t="s">
        <v>549</v>
      </c>
      <c r="AW1138" s="257" t="s">
        <v>546</v>
      </c>
      <c r="AX1138" s="257">
        <f>31.5*6</f>
        <v>189</v>
      </c>
      <c r="AY1138" s="257" t="s">
        <v>551</v>
      </c>
      <c r="AZ1138" s="257" t="s">
        <v>546</v>
      </c>
      <c r="BA1138" s="257" t="s">
        <v>758</v>
      </c>
      <c r="BB1138" s="257" t="s">
        <v>626</v>
      </c>
      <c r="BC1138" s="257" t="s">
        <v>881</v>
      </c>
      <c r="BD1138" s="257" t="s">
        <v>121</v>
      </c>
      <c r="BE1138" s="257" t="s">
        <v>122</v>
      </c>
      <c r="BF1138" s="257" t="s">
        <v>880</v>
      </c>
      <c r="BG1138" s="257">
        <v>-9999</v>
      </c>
      <c r="BH1138" s="257">
        <v>-9999</v>
      </c>
      <c r="BI1138" s="257" t="s">
        <v>123</v>
      </c>
      <c r="BJ1138" s="257">
        <v>10.92</v>
      </c>
      <c r="BK1138" s="257">
        <v>1.22</v>
      </c>
      <c r="BL1138" s="257">
        <v>7.96</v>
      </c>
      <c r="BM1138" s="257">
        <v>0.28999999999999998</v>
      </c>
      <c r="BN1138" s="257">
        <v>8.8000000000000007</v>
      </c>
      <c r="BO1138" s="257">
        <v>0.6</v>
      </c>
      <c r="BP1138" s="257">
        <v>-9999</v>
      </c>
      <c r="BQ1138" s="257">
        <v>-9999</v>
      </c>
      <c r="BR1138" s="257">
        <v>-9999</v>
      </c>
      <c r="BS1138" s="594">
        <f>+BT1138*14.286</f>
        <v>682.44222000000002</v>
      </c>
      <c r="BT1138" s="257">
        <v>47.77</v>
      </c>
      <c r="BU1138" s="257">
        <v>-9999</v>
      </c>
      <c r="BV1138" s="257">
        <v>6.4</v>
      </c>
      <c r="BW1138" s="257"/>
      <c r="BX1138" s="257">
        <v>-9999</v>
      </c>
      <c r="BY1138" s="257">
        <v>-9999</v>
      </c>
      <c r="BZ1138" s="257">
        <v>-9999</v>
      </c>
      <c r="CA1138" s="300" t="s">
        <v>867</v>
      </c>
      <c r="CB1138" s="264"/>
      <c r="CC1138" s="257">
        <v>1</v>
      </c>
      <c r="CD1138" s="257" t="s">
        <v>125</v>
      </c>
      <c r="CE1138" s="292">
        <v>4.5883333333333338</v>
      </c>
      <c r="CF1138" s="292">
        <v>-9999</v>
      </c>
      <c r="CG1138" s="214">
        <v>6</v>
      </c>
      <c r="CH1138" s="301" t="s">
        <v>1757</v>
      </c>
      <c r="CI1138" s="23"/>
      <c r="CJ1138" s="23"/>
      <c r="CK1138" s="23"/>
      <c r="CL1138" s="23"/>
      <c r="CM1138" s="23"/>
      <c r="CN1138" s="23"/>
      <c r="CO1138" s="23"/>
      <c r="CP1138" s="23"/>
      <c r="CQ1138" s="23"/>
      <c r="CR1138" s="23"/>
      <c r="CS1138" s="23"/>
      <c r="CT1138" s="23"/>
      <c r="CU1138" s="23"/>
      <c r="CV1138" s="23"/>
      <c r="CW1138" s="23"/>
      <c r="CX1138" s="23"/>
      <c r="CY1138" s="23"/>
      <c r="CZ1138" s="23"/>
      <c r="DA1138" s="23"/>
      <c r="DB1138" s="23"/>
      <c r="DC1138" s="23"/>
      <c r="DD1138" s="23"/>
      <c r="DE1138" s="23"/>
      <c r="DF1138" s="23"/>
      <c r="DG1138" s="23"/>
      <c r="DH1138" s="23"/>
      <c r="DI1138" s="23"/>
      <c r="DJ1138" s="23"/>
      <c r="DK1138" s="23"/>
      <c r="DL1138" s="23"/>
      <c r="DM1138" s="23"/>
      <c r="DN1138" s="23"/>
      <c r="DO1138" s="23"/>
      <c r="DP1138" s="23"/>
      <c r="DQ1138" s="23"/>
      <c r="DR1138" s="23"/>
      <c r="DS1138" s="23"/>
      <c r="DT1138" s="23"/>
      <c r="DU1138" s="23"/>
      <c r="DV1138" s="23"/>
      <c r="DW1138" s="23"/>
      <c r="DX1138" s="23"/>
      <c r="DY1138" s="23"/>
      <c r="DZ1138" s="23"/>
      <c r="EA1138" s="23"/>
      <c r="EB1138" s="23"/>
      <c r="EC1138" s="23"/>
      <c r="ED1138" s="23"/>
      <c r="EE1138" s="23"/>
      <c r="EF1138" s="23"/>
      <c r="EG1138" s="23"/>
      <c r="EH1138" s="23"/>
      <c r="EI1138" s="23"/>
      <c r="EJ1138" s="23"/>
      <c r="EK1138" s="23"/>
      <c r="EL1138" s="23"/>
      <c r="EM1138" s="23"/>
      <c r="EN1138" s="23"/>
      <c r="EO1138" s="23"/>
      <c r="EP1138" s="23"/>
      <c r="EQ1138" s="23"/>
      <c r="ER1138" s="23"/>
      <c r="ES1138" s="23"/>
      <c r="ET1138" s="23"/>
      <c r="EU1138" s="23"/>
      <c r="EV1138" s="23"/>
      <c r="EW1138" s="23"/>
      <c r="EX1138" s="23"/>
      <c r="EY1138" s="23"/>
      <c r="EZ1138" s="23"/>
      <c r="FA1138" s="23"/>
      <c r="FB1138" s="23"/>
      <c r="FC1138" s="23"/>
      <c r="FD1138" s="23"/>
      <c r="FE1138" s="23"/>
      <c r="FF1138" s="23"/>
      <c r="FG1138" s="23"/>
      <c r="FH1138" s="23"/>
      <c r="FI1138" s="23"/>
      <c r="FJ1138" s="23"/>
      <c r="FK1138" s="23"/>
      <c r="FL1138" s="23"/>
      <c r="FM1138" s="23"/>
      <c r="FN1138" s="23"/>
      <c r="FO1138" s="23"/>
      <c r="FP1138" s="23"/>
      <c r="FQ1138" s="23"/>
      <c r="FR1138" s="23"/>
      <c r="FS1138" s="23"/>
      <c r="FT1138" s="23"/>
      <c r="FU1138" s="23"/>
      <c r="FV1138" s="23"/>
      <c r="FW1138" s="23"/>
      <c r="FX1138" s="23"/>
      <c r="FY1138" s="23"/>
      <c r="FZ1138" s="23"/>
      <c r="GA1138" s="23"/>
      <c r="GB1138" s="23"/>
      <c r="GC1138" s="23"/>
      <c r="GD1138" s="23"/>
      <c r="GE1138" s="23"/>
      <c r="GF1138" s="23"/>
      <c r="GG1138" s="23"/>
      <c r="GH1138" s="23"/>
      <c r="GI1138" s="23"/>
      <c r="GJ1138" s="23"/>
      <c r="GK1138" s="23"/>
      <c r="GL1138" s="23"/>
      <c r="GM1138" s="23"/>
      <c r="GN1138" s="23"/>
      <c r="GO1138" s="23"/>
      <c r="GP1138" s="23"/>
      <c r="GQ1138" s="23"/>
      <c r="GR1138" s="23"/>
      <c r="GS1138" s="23"/>
      <c r="GT1138" s="23"/>
      <c r="GU1138" s="23"/>
      <c r="GV1138" s="23"/>
      <c r="GW1138" s="23"/>
      <c r="GX1138" s="23"/>
      <c r="GY1138" s="23"/>
      <c r="GZ1138" s="23"/>
      <c r="HA1138" s="23"/>
      <c r="HB1138" s="23"/>
      <c r="HC1138" s="23"/>
      <c r="HD1138" s="23"/>
      <c r="HE1138" s="23"/>
      <c r="HF1138" s="23"/>
      <c r="HG1138" s="23"/>
      <c r="HH1138" s="23"/>
      <c r="HI1138" s="23"/>
      <c r="HJ1138" s="23"/>
      <c r="HK1138" s="23"/>
      <c r="HL1138" s="23"/>
      <c r="HM1138" s="23"/>
      <c r="HN1138" s="23"/>
      <c r="HO1138" s="23"/>
      <c r="HP1138" s="23"/>
      <c r="HQ1138" s="23"/>
      <c r="HR1138" s="23"/>
      <c r="HS1138" s="23"/>
      <c r="HT1138" s="23"/>
      <c r="HU1138" s="23"/>
      <c r="HV1138" s="23"/>
      <c r="HW1138" s="23"/>
      <c r="HX1138" s="23"/>
      <c r="HY1138" s="23"/>
      <c r="HZ1138" s="23"/>
      <c r="IA1138" s="23"/>
      <c r="IB1138" s="23"/>
      <c r="IC1138" s="23"/>
      <c r="ID1138" s="23"/>
      <c r="IE1138" s="23"/>
      <c r="IF1138" s="23"/>
      <c r="IG1138" s="23"/>
      <c r="IH1138" s="23"/>
      <c r="II1138" s="23"/>
      <c r="IJ1138" s="23"/>
      <c r="IK1138" s="23"/>
      <c r="IL1138" s="23"/>
      <c r="IM1138" s="23"/>
      <c r="IN1138" s="23"/>
      <c r="IO1138" s="23"/>
      <c r="IP1138" s="23"/>
      <c r="IQ1138" s="23"/>
      <c r="IR1138" s="23"/>
      <c r="IS1138" s="23"/>
      <c r="IT1138" s="23"/>
      <c r="IU1138" s="23"/>
      <c r="IV1138" s="23"/>
      <c r="IW1138" s="23"/>
      <c r="IX1138" s="23"/>
      <c r="IY1138" s="23"/>
      <c r="IZ1138" s="23"/>
      <c r="JA1138" s="23"/>
      <c r="JB1138" s="23"/>
      <c r="JC1138" s="23"/>
      <c r="JD1138" s="23"/>
      <c r="JE1138" s="23"/>
      <c r="JF1138" s="23"/>
      <c r="JG1138" s="23"/>
      <c r="JH1138" s="23"/>
      <c r="JI1138" s="23"/>
      <c r="JJ1138" s="23"/>
      <c r="JK1138" s="23"/>
      <c r="JL1138" s="23"/>
      <c r="JM1138" s="23"/>
      <c r="JN1138" s="23"/>
      <c r="JO1138" s="23"/>
      <c r="JP1138" s="23"/>
      <c r="JQ1138" s="23"/>
      <c r="JR1138" s="23"/>
      <c r="JS1138" s="23"/>
      <c r="JT1138" s="23"/>
      <c r="JU1138" s="23"/>
      <c r="JV1138" s="23"/>
      <c r="JW1138" s="23"/>
      <c r="JX1138" s="23"/>
      <c r="JY1138" s="23"/>
      <c r="JZ1138" s="23"/>
      <c r="KA1138" s="23"/>
      <c r="KB1138" s="23"/>
      <c r="KC1138" s="23"/>
      <c r="KD1138" s="23"/>
      <c r="KE1138" s="23"/>
      <c r="KF1138" s="23"/>
      <c r="KG1138" s="23"/>
      <c r="KH1138" s="23"/>
      <c r="KI1138" s="23"/>
      <c r="KJ1138" s="23"/>
      <c r="KK1138" s="23"/>
      <c r="KL1138" s="23"/>
      <c r="KM1138" s="23"/>
      <c r="KN1138" s="23"/>
      <c r="KO1138" s="23"/>
      <c r="KP1138" s="23"/>
      <c r="KQ1138" s="23"/>
      <c r="KR1138" s="23"/>
      <c r="KS1138" s="23"/>
      <c r="KT1138" s="23"/>
      <c r="KU1138" s="23"/>
      <c r="KV1138" s="23"/>
      <c r="KW1138" s="23"/>
      <c r="KX1138" s="23"/>
      <c r="KY1138" s="23"/>
      <c r="KZ1138" s="23"/>
      <c r="LA1138" s="23"/>
      <c r="LB1138" s="23"/>
      <c r="LC1138" s="23"/>
      <c r="LD1138" s="23"/>
      <c r="LE1138" s="23"/>
      <c r="LF1138" s="23"/>
      <c r="LG1138" s="23"/>
      <c r="LH1138" s="23"/>
      <c r="LI1138" s="23"/>
      <c r="LJ1138" s="23"/>
      <c r="LK1138" s="23"/>
      <c r="LL1138" s="23"/>
      <c r="LM1138" s="23"/>
      <c r="LN1138" s="23"/>
      <c r="LO1138" s="23"/>
      <c r="LP1138" s="23"/>
      <c r="LQ1138" s="23"/>
      <c r="LR1138" s="23"/>
      <c r="LS1138" s="23"/>
      <c r="LT1138" s="23"/>
      <c r="LU1138" s="23"/>
      <c r="LV1138" s="23"/>
      <c r="LW1138" s="23"/>
      <c r="LX1138" s="23"/>
      <c r="LY1138" s="23"/>
      <c r="LZ1138" s="23"/>
      <c r="MA1138" s="23"/>
      <c r="MB1138" s="23"/>
      <c r="MC1138" s="23"/>
      <c r="MD1138" s="23"/>
      <c r="ME1138" s="23"/>
      <c r="MF1138" s="23"/>
      <c r="MG1138" s="23"/>
      <c r="MH1138" s="23"/>
      <c r="MI1138" s="23"/>
      <c r="MJ1138" s="23"/>
      <c r="MK1138" s="23"/>
      <c r="ML1138" s="23"/>
      <c r="MM1138" s="23"/>
      <c r="MN1138" s="23"/>
      <c r="MO1138" s="23"/>
      <c r="MP1138" s="23"/>
      <c r="MQ1138" s="23"/>
      <c r="MR1138" s="23"/>
      <c r="MS1138" s="23"/>
      <c r="MT1138" s="23"/>
      <c r="MU1138" s="23"/>
      <c r="MV1138" s="23"/>
      <c r="MW1138" s="23"/>
      <c r="MX1138" s="23"/>
      <c r="MY1138" s="23"/>
      <c r="MZ1138" s="23"/>
      <c r="NA1138" s="23"/>
      <c r="NB1138" s="23"/>
      <c r="NC1138" s="23"/>
      <c r="ND1138" s="23"/>
      <c r="NE1138" s="23"/>
      <c r="NF1138" s="23"/>
      <c r="NG1138" s="23"/>
      <c r="NH1138" s="23"/>
      <c r="NI1138" s="23"/>
      <c r="NJ1138" s="23"/>
      <c r="NK1138" s="23"/>
      <c r="NL1138" s="23"/>
      <c r="NM1138" s="23"/>
      <c r="NN1138" s="23"/>
      <c r="NO1138" s="23"/>
      <c r="NP1138" s="23"/>
      <c r="NQ1138" s="23"/>
      <c r="NR1138" s="23"/>
      <c r="NS1138" s="23"/>
      <c r="NT1138" s="23"/>
      <c r="NU1138" s="23"/>
      <c r="NV1138" s="23"/>
      <c r="NW1138" s="23"/>
      <c r="NX1138" s="23"/>
      <c r="NY1138" s="23"/>
      <c r="NZ1138" s="23"/>
      <c r="OA1138" s="23"/>
      <c r="OB1138" s="23"/>
      <c r="OC1138" s="23"/>
      <c r="OD1138" s="23"/>
      <c r="OE1138" s="23"/>
      <c r="OF1138" s="23"/>
      <c r="OG1138" s="23"/>
      <c r="OH1138" s="23"/>
      <c r="OI1138" s="23"/>
      <c r="OJ1138" s="23"/>
      <c r="OK1138" s="23"/>
      <c r="OL1138" s="23"/>
      <c r="OM1138" s="23"/>
      <c r="ON1138" s="23"/>
      <c r="OO1138" s="23"/>
      <c r="OP1138" s="23"/>
      <c r="OQ1138" s="23"/>
      <c r="OR1138" s="23"/>
      <c r="OS1138" s="23"/>
      <c r="OT1138" s="23"/>
      <c r="OU1138" s="23"/>
      <c r="OV1138" s="23"/>
      <c r="OW1138" s="23"/>
      <c r="OX1138" s="23"/>
      <c r="OY1138" s="23"/>
      <c r="OZ1138" s="23"/>
      <c r="PA1138" s="23"/>
      <c r="PB1138" s="23"/>
      <c r="PC1138" s="23"/>
      <c r="PD1138" s="23"/>
      <c r="PE1138" s="23"/>
      <c r="PF1138" s="23"/>
      <c r="PG1138" s="23"/>
      <c r="PH1138" s="23"/>
      <c r="PI1138" s="23"/>
      <c r="PJ1138" s="23"/>
      <c r="PK1138" s="23"/>
      <c r="PL1138" s="23"/>
      <c r="PM1138" s="23"/>
      <c r="PN1138" s="23"/>
      <c r="PO1138" s="23"/>
      <c r="PP1138" s="23"/>
      <c r="PQ1138" s="23"/>
      <c r="PR1138" s="23"/>
      <c r="PS1138" s="23"/>
      <c r="PT1138" s="23"/>
      <c r="PU1138" s="23"/>
      <c r="PV1138" s="23"/>
      <c r="PW1138" s="23"/>
      <c r="PX1138" s="23"/>
      <c r="PY1138" s="23"/>
      <c r="PZ1138" s="23"/>
      <c r="QA1138" s="23"/>
      <c r="QB1138" s="23"/>
      <c r="QC1138" s="23"/>
      <c r="QD1138" s="23"/>
      <c r="QE1138" s="23"/>
      <c r="QF1138" s="23"/>
      <c r="QG1138" s="23"/>
      <c r="QH1138" s="23"/>
      <c r="QI1138" s="23"/>
      <c r="QJ1138" s="23"/>
      <c r="QK1138" s="23"/>
      <c r="QL1138" s="23"/>
      <c r="QM1138" s="23"/>
      <c r="QN1138" s="23"/>
      <c r="QO1138" s="23"/>
      <c r="QP1138" s="23"/>
      <c r="QQ1138" s="23"/>
      <c r="QR1138" s="23"/>
      <c r="QS1138" s="23"/>
      <c r="QT1138" s="23"/>
      <c r="QU1138" s="23"/>
      <c r="QV1138" s="23"/>
      <c r="QW1138" s="23"/>
      <c r="QX1138" s="23"/>
      <c r="QY1138" s="23"/>
      <c r="QZ1138" s="23"/>
      <c r="RA1138" s="23"/>
      <c r="RB1138" s="23"/>
      <c r="RC1138" s="23"/>
      <c r="RD1138" s="23"/>
      <c r="RE1138" s="23"/>
      <c r="RF1138" s="23"/>
      <c r="RG1138" s="23"/>
      <c r="RH1138" s="23"/>
      <c r="RI1138" s="23"/>
      <c r="RJ1138" s="23"/>
      <c r="RK1138" s="23"/>
      <c r="RL1138" s="23"/>
      <c r="RM1138" s="23"/>
      <c r="RN1138" s="23"/>
      <c r="RO1138" s="23"/>
      <c r="RP1138" s="23"/>
      <c r="RQ1138" s="23"/>
      <c r="RR1138" s="23"/>
      <c r="RS1138" s="23"/>
      <c r="RT1138" s="23"/>
      <c r="RU1138" s="23"/>
      <c r="RV1138" s="23"/>
      <c r="RW1138" s="23"/>
      <c r="RX1138" s="23"/>
      <c r="RY1138" s="23"/>
      <c r="RZ1138" s="23"/>
      <c r="SA1138" s="23"/>
      <c r="SB1138" s="23"/>
      <c r="SC1138" s="23"/>
      <c r="SD1138" s="23"/>
      <c r="SE1138" s="23"/>
      <c r="SF1138" s="23"/>
      <c r="SG1138" s="23"/>
      <c r="SH1138" s="23"/>
      <c r="SI1138" s="23"/>
      <c r="SJ1138" s="23"/>
      <c r="SK1138" s="23"/>
      <c r="SL1138" s="23"/>
      <c r="SM1138" s="23"/>
      <c r="SN1138" s="23"/>
      <c r="SO1138" s="23"/>
      <c r="SP1138" s="23"/>
      <c r="SQ1138" s="23"/>
      <c r="SR1138" s="23"/>
      <c r="SS1138" s="23"/>
      <c r="ST1138" s="23"/>
      <c r="SU1138" s="23"/>
      <c r="SV1138" s="23"/>
      <c r="SW1138" s="23"/>
      <c r="SX1138" s="23"/>
      <c r="SY1138" s="23"/>
      <c r="SZ1138" s="23"/>
      <c r="TA1138" s="23"/>
      <c r="TB1138" s="23"/>
      <c r="TC1138" s="23"/>
      <c r="TD1138" s="23"/>
      <c r="TE1138" s="23"/>
      <c r="TF1138" s="23"/>
      <c r="TG1138" s="23"/>
      <c r="TH1138" s="23"/>
      <c r="TI1138" s="23"/>
      <c r="TJ1138" s="23"/>
      <c r="TK1138" s="23"/>
      <c r="TL1138" s="23"/>
      <c r="TM1138" s="23"/>
      <c r="TN1138" s="23"/>
      <c r="TO1138" s="23"/>
      <c r="TP1138" s="23"/>
      <c r="TQ1138" s="23"/>
      <c r="TR1138" s="23"/>
      <c r="TS1138" s="23"/>
      <c r="TT1138" s="23"/>
      <c r="TU1138" s="23"/>
      <c r="TV1138" s="23"/>
      <c r="TW1138" s="23"/>
      <c r="TX1138" s="23"/>
      <c r="TY1138" s="23"/>
      <c r="TZ1138" s="23"/>
      <c r="UA1138" s="23"/>
      <c r="UB1138" s="23"/>
      <c r="UC1138" s="23"/>
      <c r="UD1138" s="23"/>
      <c r="UE1138" s="23"/>
      <c r="UF1138" s="23"/>
      <c r="UG1138" s="23"/>
      <c r="UH1138" s="23"/>
      <c r="UI1138" s="23"/>
      <c r="UJ1138" s="23"/>
      <c r="UK1138" s="23"/>
      <c r="UL1138" s="23"/>
      <c r="UM1138" s="23"/>
      <c r="UN1138" s="23"/>
      <c r="UO1138" s="23"/>
      <c r="UP1138" s="23"/>
      <c r="UQ1138" s="23"/>
      <c r="UR1138" s="23"/>
      <c r="US1138" s="23"/>
      <c r="UT1138" s="23"/>
      <c r="UU1138" s="23"/>
      <c r="UV1138" s="23"/>
      <c r="UW1138" s="23"/>
      <c r="UX1138" s="23"/>
      <c r="UY1138" s="23"/>
      <c r="UZ1138" s="23"/>
      <c r="VA1138" s="23"/>
      <c r="VB1138" s="23"/>
      <c r="VC1138" s="23"/>
      <c r="VD1138" s="23"/>
      <c r="VE1138" s="23"/>
      <c r="VF1138" s="23"/>
      <c r="VG1138" s="23"/>
      <c r="VH1138" s="23"/>
      <c r="VI1138" s="23"/>
      <c r="VJ1138" s="23"/>
      <c r="VK1138" s="23"/>
      <c r="VL1138" s="23"/>
      <c r="VM1138" s="23"/>
      <c r="VN1138" s="23"/>
      <c r="VO1138" s="23"/>
      <c r="VP1138" s="23"/>
      <c r="VQ1138" s="23"/>
      <c r="VR1138" s="23"/>
      <c r="VS1138" s="23"/>
      <c r="VT1138" s="23"/>
      <c r="VU1138" s="23"/>
      <c r="VV1138" s="23"/>
      <c r="VW1138" s="23"/>
      <c r="VX1138" s="23"/>
      <c r="VY1138" s="23"/>
      <c r="VZ1138" s="23"/>
      <c r="WA1138" s="23"/>
      <c r="WB1138" s="23"/>
      <c r="WC1138" s="23"/>
      <c r="WD1138" s="23"/>
      <c r="WE1138" s="23"/>
      <c r="WF1138" s="23"/>
      <c r="WG1138" s="23"/>
      <c r="WH1138" s="23"/>
      <c r="WI1138" s="23"/>
      <c r="WJ1138" s="23"/>
      <c r="WK1138" s="23"/>
      <c r="WL1138" s="23"/>
      <c r="WM1138" s="23"/>
      <c r="WN1138" s="23"/>
      <c r="WO1138" s="23"/>
      <c r="WP1138" s="23"/>
      <c r="WQ1138" s="23"/>
      <c r="WR1138" s="23"/>
      <c r="WS1138" s="23"/>
      <c r="WT1138" s="23"/>
      <c r="WU1138" s="23"/>
      <c r="WV1138" s="23"/>
      <c r="WW1138" s="23"/>
      <c r="WX1138" s="23"/>
      <c r="WY1138" s="23"/>
      <c r="WZ1138" s="23"/>
      <c r="XA1138" s="23"/>
      <c r="XB1138" s="23"/>
      <c r="XC1138" s="23"/>
      <c r="XD1138" s="23"/>
      <c r="XE1138" s="23"/>
      <c r="XF1138" s="23"/>
      <c r="XG1138" s="23"/>
      <c r="XH1138" s="23"/>
      <c r="XI1138" s="23"/>
      <c r="XJ1138" s="23"/>
      <c r="XK1138" s="23"/>
      <c r="XL1138" s="23"/>
      <c r="XM1138" s="23"/>
      <c r="XN1138" s="23"/>
      <c r="XO1138" s="23"/>
      <c r="XP1138" s="23"/>
      <c r="XQ1138" s="23"/>
      <c r="XR1138" s="23"/>
      <c r="XS1138" s="23"/>
      <c r="XT1138" s="23"/>
      <c r="XU1138" s="23"/>
      <c r="XV1138" s="23"/>
      <c r="XW1138" s="23"/>
      <c r="XX1138" s="23"/>
      <c r="XY1138" s="23"/>
      <c r="XZ1138" s="23"/>
      <c r="YA1138" s="23"/>
      <c r="YB1138" s="23"/>
      <c r="YC1138" s="23"/>
      <c r="YD1138" s="23"/>
      <c r="YE1138" s="23"/>
      <c r="YF1138" s="23"/>
      <c r="YG1138" s="23"/>
      <c r="YH1138" s="23"/>
      <c r="YI1138" s="23"/>
      <c r="YJ1138" s="23"/>
      <c r="YK1138" s="23"/>
      <c r="YL1138" s="23"/>
      <c r="YM1138" s="23"/>
      <c r="YN1138" s="23"/>
      <c r="YO1138" s="23"/>
      <c r="YP1138" s="23"/>
      <c r="YQ1138" s="23"/>
      <c r="YR1138" s="23"/>
      <c r="YS1138" s="23"/>
      <c r="YT1138" s="23"/>
      <c r="YU1138" s="23"/>
      <c r="YV1138" s="23"/>
      <c r="YW1138" s="23"/>
      <c r="YX1138" s="23"/>
      <c r="YY1138" s="23"/>
      <c r="YZ1138" s="23"/>
      <c r="ZA1138" s="23"/>
      <c r="ZB1138" s="23"/>
      <c r="ZC1138" s="23"/>
      <c r="ZD1138" s="23"/>
      <c r="ZE1138" s="23"/>
      <c r="ZF1138" s="23"/>
      <c r="ZG1138" s="23"/>
      <c r="ZH1138" s="23"/>
      <c r="ZI1138" s="23"/>
      <c r="ZJ1138" s="23"/>
      <c r="ZK1138" s="23"/>
      <c r="ZL1138" s="23"/>
      <c r="ZM1138" s="23"/>
      <c r="ZN1138" s="23"/>
      <c r="ZO1138" s="23"/>
      <c r="ZP1138" s="23"/>
      <c r="ZQ1138" s="23"/>
      <c r="ZR1138" s="23"/>
      <c r="ZS1138" s="23"/>
      <c r="ZT1138" s="23"/>
      <c r="ZU1138" s="23"/>
      <c r="ZV1138" s="23"/>
      <c r="ZW1138" s="23"/>
      <c r="ZX1138" s="23"/>
      <c r="ZY1138" s="23"/>
      <c r="ZZ1138" s="23"/>
      <c r="AAA1138" s="23"/>
      <c r="AAB1138" s="23"/>
      <c r="AAC1138" s="23"/>
      <c r="AAD1138" s="23"/>
      <c r="AAE1138" s="23"/>
      <c r="AAF1138" s="23"/>
      <c r="AAG1138" s="23"/>
      <c r="AAH1138" s="23"/>
      <c r="AAI1138" s="23"/>
      <c r="AAJ1138" s="23"/>
      <c r="AAK1138" s="23"/>
      <c r="AAL1138" s="23"/>
      <c r="AAM1138" s="23"/>
      <c r="AAN1138" s="23"/>
      <c r="AAO1138" s="23"/>
      <c r="AAP1138" s="23"/>
      <c r="AAQ1138" s="23"/>
      <c r="AAR1138" s="23"/>
      <c r="AAS1138" s="23"/>
      <c r="AAT1138" s="23"/>
      <c r="AAU1138" s="23"/>
      <c r="AAV1138" s="23"/>
      <c r="AAW1138" s="23"/>
      <c r="AAX1138" s="23"/>
      <c r="AAY1138" s="23"/>
      <c r="AAZ1138" s="23"/>
      <c r="ABA1138" s="23"/>
      <c r="ABB1138" s="23"/>
      <c r="ABC1138" s="23"/>
      <c r="ABD1138" s="23"/>
      <c r="ABE1138" s="23"/>
      <c r="ABF1138" s="23"/>
      <c r="ABG1138" s="23"/>
      <c r="ABH1138" s="23"/>
      <c r="ABI1138" s="23"/>
      <c r="ABJ1138" s="23"/>
      <c r="ABK1138" s="23"/>
      <c r="ABL1138" s="23"/>
      <c r="ABM1138" s="23"/>
      <c r="ABN1138" s="23"/>
      <c r="ABO1138" s="23"/>
      <c r="ABP1138" s="23"/>
      <c r="ABQ1138" s="23"/>
      <c r="ABR1138" s="23"/>
      <c r="ABS1138" s="23"/>
      <c r="ABT1138" s="23"/>
      <c r="ABU1138" s="23"/>
      <c r="ABV1138" s="23"/>
      <c r="ABW1138" s="23"/>
      <c r="ABX1138" s="23"/>
      <c r="ABY1138" s="23"/>
      <c r="ABZ1138" s="23"/>
      <c r="ACA1138" s="23"/>
      <c r="ACB1138" s="23"/>
      <c r="ACC1138" s="23"/>
      <c r="ACD1138" s="23"/>
      <c r="ACE1138" s="23"/>
      <c r="ACF1138" s="23"/>
      <c r="ACG1138" s="23"/>
      <c r="ACH1138" s="23"/>
      <c r="ACI1138" s="23"/>
      <c r="ACJ1138" s="23"/>
      <c r="ACK1138" s="23"/>
      <c r="ACL1138" s="23"/>
      <c r="ACM1138" s="23"/>
      <c r="ACN1138" s="23"/>
      <c r="ACO1138" s="23"/>
      <c r="ACP1138" s="23"/>
      <c r="ACQ1138" s="23"/>
      <c r="ACR1138" s="23"/>
      <c r="ACS1138" s="23"/>
      <c r="ACT1138" s="23"/>
      <c r="ACU1138" s="23"/>
      <c r="ACV1138" s="23"/>
      <c r="ACW1138" s="23"/>
      <c r="ACX1138" s="23"/>
      <c r="ACY1138" s="23"/>
      <c r="ACZ1138" s="23"/>
      <c r="ADA1138" s="23"/>
      <c r="ADB1138" s="23"/>
      <c r="ADC1138" s="23"/>
      <c r="ADD1138" s="23"/>
      <c r="ADE1138" s="23"/>
      <c r="ADF1138" s="23"/>
      <c r="ADG1138" s="23"/>
      <c r="ADH1138" s="23"/>
      <c r="ADI1138" s="23"/>
      <c r="ADJ1138" s="23"/>
      <c r="ADK1138" s="23"/>
      <c r="ADL1138" s="23"/>
      <c r="ADM1138" s="23"/>
      <c r="ADN1138" s="23"/>
      <c r="ADO1138" s="23"/>
      <c r="ADP1138" s="23"/>
      <c r="ADQ1138" s="23"/>
      <c r="ADR1138" s="23"/>
      <c r="ADS1138" s="23"/>
      <c r="ADT1138" s="23"/>
      <c r="ADU1138" s="23"/>
      <c r="ADV1138" s="23"/>
      <c r="ADW1138" s="23"/>
      <c r="ADX1138" s="23"/>
      <c r="ADY1138" s="23"/>
      <c r="ADZ1138" s="23"/>
      <c r="AEA1138" s="23"/>
      <c r="AEB1138" s="23"/>
      <c r="AEC1138" s="23"/>
      <c r="AED1138" s="23"/>
      <c r="AEE1138" s="23"/>
      <c r="AEF1138" s="23"/>
      <c r="AEG1138" s="23"/>
      <c r="AEH1138" s="23"/>
      <c r="AEI1138" s="23"/>
      <c r="AEJ1138" s="23"/>
      <c r="AEK1138" s="23"/>
      <c r="AEL1138" s="23"/>
      <c r="AEM1138" s="23"/>
      <c r="AEN1138" s="23"/>
      <c r="AEO1138" s="23"/>
      <c r="AEP1138" s="23"/>
      <c r="AEQ1138" s="23"/>
      <c r="AER1138" s="23"/>
      <c r="AES1138" s="23"/>
      <c r="AET1138" s="23"/>
      <c r="AEU1138" s="23"/>
      <c r="AEV1138" s="23"/>
      <c r="AEW1138" s="23"/>
      <c r="AEX1138" s="23"/>
      <c r="AEY1138" s="23"/>
      <c r="AEZ1138" s="23"/>
      <c r="AFA1138" s="23"/>
      <c r="AFB1138" s="23"/>
      <c r="AFC1138" s="23"/>
      <c r="AFD1138" s="23"/>
      <c r="AFE1138" s="23"/>
      <c r="AFF1138" s="23"/>
      <c r="AFG1138" s="23"/>
      <c r="AFH1138" s="23"/>
      <c r="AFI1138" s="23"/>
      <c r="AFJ1138" s="23"/>
      <c r="AFK1138" s="23"/>
      <c r="AFL1138" s="23"/>
      <c r="AFM1138" s="23"/>
      <c r="AFN1138" s="23"/>
      <c r="AFO1138" s="23"/>
      <c r="AFP1138" s="23"/>
      <c r="AFQ1138" s="23"/>
      <c r="AFR1138" s="23"/>
      <c r="AFS1138" s="23"/>
      <c r="AFT1138" s="23"/>
      <c r="AFU1138" s="23"/>
      <c r="AFV1138" s="23"/>
      <c r="AFW1138" s="23"/>
      <c r="AFX1138" s="23"/>
      <c r="AFY1138" s="23"/>
      <c r="AFZ1138" s="23"/>
      <c r="AGA1138" s="23"/>
      <c r="AGB1138" s="23"/>
      <c r="AGC1138" s="23"/>
      <c r="AGD1138" s="23"/>
      <c r="AGE1138" s="23"/>
      <c r="AGF1138" s="23"/>
      <c r="AGG1138" s="23"/>
      <c r="AGH1138" s="23"/>
      <c r="AGI1138" s="23"/>
      <c r="AGJ1138" s="23"/>
      <c r="AGK1138" s="23"/>
      <c r="AGL1138" s="23"/>
      <c r="AGM1138" s="23"/>
      <c r="AGN1138" s="23"/>
      <c r="AGO1138" s="23"/>
      <c r="AGP1138" s="23"/>
      <c r="AGQ1138" s="23"/>
      <c r="AGR1138" s="23"/>
      <c r="AGS1138" s="23"/>
      <c r="AGT1138" s="23"/>
      <c r="AGU1138" s="23"/>
      <c r="AGV1138" s="23"/>
      <c r="AGW1138" s="23"/>
      <c r="AGX1138" s="23"/>
      <c r="AGY1138" s="23"/>
      <c r="AGZ1138" s="23"/>
      <c r="AHA1138" s="23"/>
      <c r="AHB1138" s="23"/>
      <c r="AHC1138" s="23"/>
      <c r="AHD1138" s="23"/>
      <c r="AHE1138" s="23"/>
      <c r="AHF1138" s="23"/>
      <c r="AHG1138" s="23"/>
      <c r="AHH1138" s="23"/>
      <c r="AHI1138" s="23"/>
      <c r="AHJ1138" s="23"/>
      <c r="AHK1138" s="23"/>
      <c r="AHL1138" s="23"/>
      <c r="AHM1138" s="23"/>
      <c r="AHN1138" s="23"/>
      <c r="AHO1138" s="23"/>
      <c r="AHP1138" s="23"/>
      <c r="AHQ1138" s="23"/>
      <c r="AHR1138" s="23"/>
      <c r="AHS1138" s="23"/>
      <c r="AHT1138" s="23"/>
      <c r="AHU1138" s="23"/>
      <c r="AHV1138" s="23"/>
      <c r="AHW1138" s="23"/>
      <c r="AHX1138" s="23"/>
      <c r="AHY1138" s="23"/>
      <c r="AHZ1138" s="23"/>
      <c r="AIA1138" s="23"/>
      <c r="AIB1138" s="23"/>
      <c r="AIC1138" s="23"/>
      <c r="AID1138" s="23"/>
      <c r="AIE1138" s="23"/>
      <c r="AIF1138" s="23"/>
      <c r="AIG1138" s="23"/>
      <c r="AIH1138" s="23"/>
      <c r="AII1138" s="23"/>
      <c r="AIJ1138" s="23"/>
      <c r="AIK1138" s="23"/>
      <c r="AIL1138" s="23"/>
      <c r="AIM1138" s="23"/>
      <c r="AIN1138" s="23"/>
      <c r="AIO1138" s="23"/>
      <c r="AIP1138" s="23"/>
      <c r="AIQ1138" s="23"/>
      <c r="AIR1138" s="23"/>
      <c r="AIS1138" s="23"/>
      <c r="AIT1138" s="23"/>
      <c r="AIU1138" s="23"/>
      <c r="AIV1138" s="23"/>
      <c r="AIW1138" s="23"/>
      <c r="AIX1138" s="23"/>
      <c r="AIY1138" s="23"/>
      <c r="AIZ1138" s="23"/>
      <c r="AJA1138" s="23"/>
      <c r="AJB1138" s="23"/>
      <c r="AJC1138" s="23"/>
      <c r="AJD1138" s="23"/>
      <c r="AJE1138" s="23"/>
      <c r="AJF1138" s="23"/>
      <c r="AJG1138" s="23"/>
      <c r="AJH1138" s="23"/>
      <c r="AJI1138" s="23"/>
      <c r="AJJ1138" s="23"/>
      <c r="AJK1138" s="23"/>
      <c r="AJL1138" s="23"/>
      <c r="AJM1138" s="23"/>
      <c r="AJN1138" s="23"/>
      <c r="AJO1138" s="23"/>
      <c r="AJP1138" s="23"/>
      <c r="AJQ1138" s="23"/>
      <c r="AJR1138" s="23"/>
      <c r="AJS1138" s="23"/>
      <c r="AJT1138" s="23"/>
      <c r="AJU1138" s="23"/>
      <c r="AJV1138" s="23"/>
      <c r="AJW1138" s="23"/>
      <c r="AJX1138" s="23"/>
      <c r="AJY1138" s="23"/>
      <c r="AJZ1138" s="23"/>
      <c r="AKA1138" s="23"/>
      <c r="AKB1138" s="23"/>
      <c r="AKC1138" s="23"/>
      <c r="AKD1138" s="23"/>
      <c r="AKE1138" s="23"/>
      <c r="AKF1138" s="23"/>
      <c r="AKG1138" s="23"/>
      <c r="AKH1138" s="23"/>
      <c r="AKI1138" s="23"/>
      <c r="AKJ1138" s="23"/>
      <c r="AKK1138" s="23"/>
      <c r="AKL1138" s="23"/>
      <c r="AKM1138" s="23"/>
      <c r="AKN1138" s="23"/>
      <c r="AKO1138" s="23"/>
      <c r="AKP1138" s="23"/>
      <c r="AKQ1138" s="23"/>
      <c r="AKR1138" s="23"/>
      <c r="AKS1138" s="23"/>
      <c r="AKT1138" s="23"/>
      <c r="AKU1138" s="23"/>
      <c r="AKV1138" s="23"/>
      <c r="AKW1138" s="23"/>
      <c r="AKX1138" s="23"/>
      <c r="AKY1138" s="23"/>
      <c r="AKZ1138" s="23"/>
      <c r="ALA1138" s="23"/>
      <c r="ALB1138" s="23"/>
      <c r="ALC1138" s="23"/>
      <c r="ALD1138" s="23"/>
      <c r="ALE1138" s="23"/>
      <c r="ALF1138" s="23"/>
      <c r="ALG1138" s="23"/>
      <c r="ALH1138" s="23"/>
      <c r="ALI1138" s="23"/>
      <c r="ALJ1138" s="23"/>
      <c r="ALK1138" s="23"/>
      <c r="ALL1138" s="23"/>
      <c r="ALM1138" s="23"/>
      <c r="ALN1138" s="23"/>
      <c r="ALO1138" s="23"/>
      <c r="ALP1138" s="23"/>
      <c r="ALQ1138" s="23"/>
      <c r="ALR1138" s="23"/>
      <c r="ALS1138" s="23"/>
      <c r="ALT1138" s="23"/>
      <c r="ALU1138" s="23"/>
      <c r="ALV1138" s="23"/>
      <c r="ALW1138" s="23"/>
      <c r="ALX1138" s="23"/>
      <c r="ALY1138" s="23"/>
      <c r="ALZ1138" s="23"/>
      <c r="AMA1138" s="23"/>
      <c r="AMB1138" s="23"/>
      <c r="AMC1138" s="23"/>
      <c r="AMD1138" s="23"/>
      <c r="AME1138" s="23"/>
      <c r="AMF1138" s="23"/>
      <c r="AMG1138" s="23"/>
      <c r="AMH1138" s="23"/>
      <c r="AMI1138" s="23"/>
      <c r="AMJ1138" s="23"/>
      <c r="AMK1138" s="23"/>
      <c r="AML1138" s="23"/>
      <c r="AMM1138" s="23"/>
      <c r="AMN1138" s="23"/>
      <c r="AMO1138" s="23"/>
      <c r="AMP1138" s="23"/>
      <c r="AMQ1138" s="23"/>
      <c r="AMR1138" s="23"/>
      <c r="AMS1138" s="23"/>
      <c r="AMT1138" s="23"/>
      <c r="AMU1138" s="23"/>
      <c r="AMV1138" s="23"/>
      <c r="AMW1138" s="23"/>
      <c r="AMX1138" s="23"/>
      <c r="AMY1138" s="23"/>
      <c r="AMZ1138" s="23"/>
      <c r="ANA1138" s="23"/>
      <c r="ANB1138" s="23"/>
      <c r="ANC1138" s="23"/>
      <c r="AND1138" s="23"/>
      <c r="ANE1138" s="23"/>
      <c r="ANF1138" s="23"/>
      <c r="ANG1138" s="23"/>
      <c r="ANH1138" s="23"/>
      <c r="ANI1138" s="23"/>
      <c r="ANJ1138" s="23"/>
      <c r="ANK1138" s="23"/>
      <c r="ANL1138" s="23"/>
      <c r="ANM1138" s="23"/>
      <c r="ANN1138" s="23"/>
      <c r="ANO1138" s="23"/>
      <c r="ANP1138" s="23"/>
      <c r="ANQ1138" s="23"/>
      <c r="ANR1138" s="23"/>
      <c r="ANS1138" s="23"/>
      <c r="ANT1138" s="23"/>
      <c r="ANU1138" s="23"/>
      <c r="ANV1138" s="23"/>
      <c r="ANW1138" s="23"/>
      <c r="ANX1138" s="23"/>
      <c r="ANY1138" s="23"/>
      <c r="ANZ1138" s="23"/>
      <c r="AOA1138" s="23"/>
      <c r="AOB1138" s="23"/>
      <c r="AOC1138" s="23"/>
      <c r="AOD1138" s="23"/>
      <c r="AOE1138" s="23"/>
      <c r="AOF1138" s="23"/>
      <c r="AOG1138" s="23"/>
      <c r="AOH1138" s="23"/>
      <c r="AOI1138" s="23"/>
      <c r="AOJ1138" s="23"/>
      <c r="AOK1138" s="23"/>
      <c r="AOL1138" s="23"/>
      <c r="AOM1138" s="23"/>
      <c r="AON1138" s="23"/>
      <c r="AOO1138" s="23"/>
      <c r="AOP1138" s="23"/>
      <c r="AOQ1138" s="23"/>
      <c r="AOR1138" s="23"/>
      <c r="AOS1138" s="23"/>
      <c r="AOT1138" s="23"/>
      <c r="AOU1138" s="23"/>
      <c r="AOV1138" s="23"/>
      <c r="AOW1138" s="23"/>
      <c r="AOX1138" s="23"/>
      <c r="AOY1138" s="23"/>
      <c r="AOZ1138" s="23"/>
      <c r="APA1138" s="23"/>
      <c r="APB1138" s="23"/>
      <c r="APC1138" s="23"/>
      <c r="APD1138" s="23"/>
      <c r="APE1138" s="23"/>
      <c r="APF1138" s="23"/>
      <c r="APG1138" s="23"/>
      <c r="APH1138" s="23"/>
      <c r="API1138" s="23"/>
      <c r="APJ1138" s="23"/>
      <c r="APK1138" s="23"/>
      <c r="APL1138" s="23"/>
      <c r="APM1138" s="23"/>
      <c r="APN1138" s="23"/>
      <c r="APO1138" s="23"/>
      <c r="APP1138" s="23"/>
      <c r="APQ1138" s="23"/>
      <c r="APR1138" s="23"/>
      <c r="APS1138" s="23"/>
      <c r="APT1138" s="23"/>
      <c r="APU1138" s="23"/>
      <c r="APV1138" s="23"/>
      <c r="APW1138" s="23"/>
      <c r="APX1138" s="23"/>
      <c r="APY1138" s="23"/>
      <c r="APZ1138" s="23"/>
      <c r="AQA1138" s="23"/>
      <c r="AQB1138" s="23"/>
      <c r="AQC1138" s="23"/>
      <c r="AQD1138" s="23"/>
      <c r="AQE1138" s="23"/>
      <c r="AQF1138" s="23"/>
      <c r="AQG1138" s="23"/>
      <c r="AQH1138" s="23"/>
      <c r="AQI1138" s="23"/>
      <c r="AQJ1138" s="23"/>
      <c r="AQK1138" s="23"/>
      <c r="AQL1138" s="23"/>
      <c r="AQM1138" s="23"/>
      <c r="AQN1138" s="23"/>
      <c r="AQO1138" s="23"/>
      <c r="AQP1138" s="23"/>
      <c r="AQQ1138" s="23"/>
      <c r="AQR1138" s="23"/>
      <c r="AQS1138" s="23"/>
      <c r="AQT1138" s="23"/>
      <c r="AQU1138" s="23"/>
      <c r="AQV1138" s="23"/>
      <c r="AQW1138" s="23"/>
      <c r="AQX1138" s="23"/>
      <c r="AQY1138" s="23"/>
      <c r="AQZ1138" s="23"/>
      <c r="ARA1138" s="23"/>
      <c r="ARB1138" s="23"/>
      <c r="ARC1138" s="23"/>
      <c r="ARD1138" s="23"/>
      <c r="ARE1138" s="23"/>
      <c r="ARF1138" s="23"/>
      <c r="ARG1138" s="23"/>
      <c r="ARH1138" s="23"/>
      <c r="ARI1138" s="23"/>
      <c r="ARJ1138" s="23"/>
      <c r="ARK1138" s="23"/>
      <c r="ARL1138" s="23"/>
      <c r="ARM1138" s="23"/>
      <c r="ARN1138" s="23"/>
      <c r="ARO1138" s="23"/>
      <c r="ARP1138" s="23"/>
      <c r="ARQ1138" s="23"/>
      <c r="ARR1138" s="23"/>
      <c r="ARS1138" s="23"/>
      <c r="ART1138" s="23"/>
      <c r="ARU1138" s="23"/>
      <c r="ARV1138" s="23"/>
      <c r="ARW1138" s="23"/>
      <c r="ARX1138" s="23"/>
      <c r="ARY1138" s="23"/>
      <c r="ARZ1138" s="23"/>
      <c r="ASA1138" s="23"/>
      <c r="ASB1138" s="23"/>
      <c r="ASC1138" s="23"/>
      <c r="ASD1138" s="23"/>
      <c r="ASE1138" s="23"/>
      <c r="ASF1138" s="23"/>
      <c r="ASG1138" s="23"/>
      <c r="ASH1138" s="23"/>
      <c r="ASI1138" s="23"/>
      <c r="ASJ1138" s="23"/>
      <c r="ASK1138" s="23"/>
      <c r="ASL1138" s="23"/>
      <c r="ASM1138" s="23"/>
      <c r="ASN1138" s="23"/>
      <c r="ASO1138" s="23"/>
      <c r="ASP1138" s="23"/>
      <c r="ASQ1138" s="23"/>
      <c r="ASR1138" s="23"/>
      <c r="ASS1138" s="23"/>
      <c r="AST1138" s="23"/>
      <c r="ASU1138" s="23"/>
      <c r="ASV1138" s="23"/>
      <c r="ASW1138" s="23"/>
      <c r="ASX1138" s="23"/>
      <c r="ASY1138" s="23"/>
      <c r="ASZ1138" s="23"/>
      <c r="ATA1138" s="23"/>
      <c r="ATB1138" s="23"/>
      <c r="ATC1138" s="23"/>
      <c r="ATD1138" s="23"/>
      <c r="ATE1138" s="23"/>
      <c r="ATF1138" s="23"/>
      <c r="ATG1138" s="23"/>
      <c r="ATH1138" s="23"/>
      <c r="ATI1138" s="23"/>
      <c r="ATJ1138" s="23"/>
      <c r="ATK1138" s="23"/>
      <c r="ATL1138" s="23"/>
      <c r="ATM1138" s="23"/>
      <c r="ATN1138" s="23"/>
      <c r="ATO1138" s="23"/>
      <c r="ATP1138" s="23"/>
      <c r="ATQ1138" s="23"/>
      <c r="ATR1138" s="23"/>
      <c r="ATS1138" s="23"/>
      <c r="ATT1138" s="23"/>
      <c r="ATU1138" s="23"/>
      <c r="ATV1138" s="23"/>
      <c r="ATW1138" s="23"/>
      <c r="ATX1138" s="23"/>
      <c r="ATY1138" s="23"/>
      <c r="ATZ1138" s="23"/>
      <c r="AUA1138" s="23"/>
      <c r="AUB1138" s="23"/>
      <c r="AUC1138" s="23"/>
      <c r="AUD1138" s="23"/>
      <c r="AUE1138" s="23"/>
      <c r="AUF1138" s="23"/>
      <c r="AUG1138" s="23"/>
      <c r="AUH1138" s="23"/>
      <c r="AUI1138" s="23"/>
      <c r="AUJ1138" s="23"/>
      <c r="AUK1138" s="23"/>
      <c r="AUL1138" s="23"/>
      <c r="AUM1138" s="23"/>
      <c r="AUN1138" s="23"/>
      <c r="AUO1138" s="23"/>
      <c r="AUP1138" s="23"/>
      <c r="AUQ1138" s="23"/>
      <c r="AUR1138" s="23"/>
      <c r="AUS1138" s="23"/>
      <c r="AUT1138" s="23"/>
      <c r="AUU1138" s="23"/>
      <c r="AUV1138" s="23"/>
      <c r="AUW1138" s="23"/>
      <c r="AUX1138" s="23"/>
      <c r="AUY1138" s="23"/>
      <c r="AUZ1138" s="23"/>
      <c r="AVA1138" s="23"/>
      <c r="AVB1138" s="23"/>
      <c r="AVC1138" s="23"/>
      <c r="AVD1138" s="23"/>
      <c r="AVE1138" s="23"/>
      <c r="AVF1138" s="23"/>
      <c r="AVG1138" s="23"/>
      <c r="AVH1138" s="23"/>
      <c r="AVI1138" s="23"/>
      <c r="AVJ1138" s="23"/>
      <c r="AVK1138" s="23"/>
      <c r="AVL1138" s="23"/>
      <c r="AVM1138" s="23"/>
      <c r="AVN1138" s="23"/>
      <c r="AVO1138" s="23"/>
      <c r="AVP1138" s="23"/>
      <c r="AVQ1138" s="23"/>
      <c r="AVR1138" s="23"/>
      <c r="AVS1138" s="23"/>
      <c r="AVT1138" s="23"/>
      <c r="AVU1138" s="23"/>
      <c r="AVV1138" s="23"/>
      <c r="AVW1138" s="23"/>
      <c r="AVX1138" s="23"/>
      <c r="AVY1138" s="23"/>
      <c r="AVZ1138" s="23"/>
      <c r="AWA1138" s="23"/>
      <c r="AWB1138" s="23"/>
      <c r="AWC1138" s="23"/>
      <c r="AWD1138" s="23"/>
      <c r="AWE1138" s="23"/>
      <c r="AWF1138" s="23"/>
      <c r="AWG1138" s="23"/>
      <c r="AWH1138" s="23"/>
      <c r="AWI1138" s="23"/>
      <c r="AWJ1138" s="23"/>
      <c r="AWK1138" s="23"/>
      <c r="AWL1138" s="23"/>
      <c r="AWM1138" s="23"/>
      <c r="AWN1138" s="23"/>
      <c r="AWO1138" s="23"/>
      <c r="AWP1138" s="23"/>
      <c r="AWQ1138" s="23"/>
      <c r="AWR1138" s="23"/>
      <c r="AWS1138" s="23"/>
      <c r="AWT1138" s="23"/>
      <c r="AWU1138" s="23"/>
      <c r="AWV1138" s="23"/>
      <c r="AWW1138" s="23"/>
      <c r="AWX1138" s="23"/>
      <c r="AWY1138" s="23"/>
      <c r="AWZ1138" s="23"/>
      <c r="AXA1138" s="23"/>
      <c r="AXB1138" s="23"/>
      <c r="AXC1138" s="23"/>
      <c r="AXD1138" s="23"/>
      <c r="AXE1138" s="23"/>
      <c r="AXF1138" s="23"/>
      <c r="AXG1138" s="23"/>
      <c r="AXH1138" s="23"/>
      <c r="AXI1138" s="23"/>
      <c r="AXJ1138" s="23"/>
      <c r="AXK1138" s="23"/>
      <c r="AXL1138" s="23"/>
      <c r="AXM1138" s="23"/>
      <c r="AXN1138" s="23"/>
      <c r="AXO1138" s="23"/>
      <c r="AXP1138" s="23"/>
      <c r="AXQ1138" s="23"/>
      <c r="AXR1138" s="23"/>
      <c r="AXS1138" s="23"/>
      <c r="AXT1138" s="23"/>
      <c r="AXU1138" s="23"/>
      <c r="AXV1138" s="23"/>
      <c r="AXW1138" s="23"/>
      <c r="AXX1138" s="23"/>
      <c r="AXY1138" s="23"/>
      <c r="AXZ1138" s="23"/>
      <c r="AYA1138" s="23"/>
      <c r="AYB1138" s="23"/>
      <c r="AYC1138" s="23"/>
      <c r="AYD1138" s="23"/>
      <c r="AYE1138" s="23"/>
      <c r="AYF1138" s="23"/>
      <c r="AYG1138" s="23"/>
      <c r="AYH1138" s="23"/>
      <c r="AYI1138" s="23"/>
      <c r="AYJ1138" s="23"/>
      <c r="AYK1138" s="23"/>
      <c r="AYL1138" s="23"/>
      <c r="AYM1138" s="23"/>
      <c r="AYN1138" s="23"/>
      <c r="AYO1138" s="23"/>
      <c r="AYP1138" s="23"/>
      <c r="AYQ1138" s="23"/>
      <c r="AYR1138" s="23"/>
      <c r="AYS1138" s="23"/>
      <c r="AYT1138" s="23"/>
      <c r="AYU1138" s="23"/>
      <c r="AYV1138" s="23"/>
      <c r="AYW1138" s="23"/>
      <c r="AYX1138" s="23"/>
      <c r="AYY1138" s="23"/>
      <c r="AYZ1138" s="23"/>
      <c r="AZA1138" s="23"/>
      <c r="AZB1138" s="23"/>
      <c r="AZC1138" s="23"/>
      <c r="AZD1138" s="23"/>
      <c r="AZE1138" s="23"/>
      <c r="AZF1138" s="23"/>
      <c r="AZG1138" s="23"/>
      <c r="AZH1138" s="23"/>
      <c r="AZI1138" s="23"/>
      <c r="AZJ1138" s="23"/>
      <c r="AZK1138" s="23"/>
      <c r="AZL1138" s="23"/>
      <c r="AZM1138" s="23"/>
      <c r="AZN1138" s="23"/>
      <c r="AZO1138" s="23"/>
      <c r="AZP1138" s="23"/>
      <c r="AZQ1138" s="23"/>
      <c r="AZR1138" s="23"/>
      <c r="AZS1138" s="23"/>
      <c r="AZT1138" s="23"/>
      <c r="AZU1138" s="23"/>
      <c r="AZV1138" s="23"/>
      <c r="AZW1138" s="23"/>
      <c r="AZX1138" s="23"/>
      <c r="AZY1138" s="23"/>
      <c r="AZZ1138" s="23"/>
      <c r="BAA1138" s="23"/>
      <c r="BAB1138" s="23"/>
      <c r="BAC1138" s="23"/>
      <c r="BAD1138" s="23"/>
      <c r="BAE1138" s="23"/>
      <c r="BAF1138" s="23"/>
      <c r="BAG1138" s="23"/>
      <c r="BAH1138" s="23"/>
      <c r="BAI1138" s="23"/>
      <c r="BAJ1138" s="23"/>
      <c r="BAK1138" s="23"/>
      <c r="BAL1138" s="23"/>
      <c r="BAM1138" s="23"/>
      <c r="BAN1138" s="23"/>
      <c r="BAO1138" s="23"/>
      <c r="BAP1138" s="23"/>
      <c r="BAQ1138" s="23"/>
      <c r="BAR1138" s="23"/>
      <c r="BAS1138" s="23"/>
      <c r="BAT1138" s="23"/>
      <c r="BAU1138" s="23"/>
      <c r="BAV1138" s="23"/>
      <c r="BAW1138" s="23"/>
      <c r="BAX1138" s="23"/>
      <c r="BAY1138" s="23"/>
      <c r="BAZ1138" s="23"/>
      <c r="BBA1138" s="23"/>
      <c r="BBB1138" s="23"/>
      <c r="BBC1138" s="23"/>
      <c r="BBD1138" s="23"/>
      <c r="BBE1138" s="23"/>
      <c r="BBF1138" s="23"/>
      <c r="BBG1138" s="23"/>
      <c r="BBH1138" s="23"/>
      <c r="BBI1138" s="23"/>
      <c r="BBJ1138" s="23"/>
      <c r="BBK1138" s="23"/>
      <c r="BBL1138" s="23"/>
      <c r="BBM1138" s="23"/>
      <c r="BBN1138" s="23"/>
      <c r="BBO1138" s="23"/>
      <c r="BBP1138" s="23"/>
      <c r="BBQ1138" s="23"/>
      <c r="BBR1138" s="23"/>
      <c r="BBS1138" s="23"/>
      <c r="BBT1138" s="23"/>
      <c r="BBU1138" s="23"/>
      <c r="BBV1138" s="23"/>
      <c r="BBW1138" s="23"/>
      <c r="BBX1138" s="23"/>
      <c r="BBY1138" s="23"/>
      <c r="BBZ1138" s="23"/>
      <c r="BCA1138" s="23"/>
      <c r="BCB1138" s="23"/>
      <c r="BCC1138" s="23"/>
      <c r="BCD1138" s="23"/>
      <c r="BCE1138" s="23"/>
      <c r="BCF1138" s="23"/>
      <c r="BCG1138" s="23"/>
      <c r="BCH1138" s="23"/>
      <c r="BCI1138" s="23"/>
      <c r="BCJ1138" s="23"/>
      <c r="BCK1138" s="23"/>
      <c r="BCL1138" s="23"/>
      <c r="BCM1138" s="23"/>
      <c r="BCN1138" s="23"/>
      <c r="BCO1138" s="23"/>
      <c r="BCP1138" s="23"/>
      <c r="BCQ1138" s="23"/>
      <c r="BCR1138" s="23"/>
      <c r="BCS1138" s="23"/>
      <c r="BCT1138" s="23"/>
      <c r="BCU1138" s="23"/>
      <c r="BCV1138" s="23"/>
      <c r="BCW1138" s="23"/>
      <c r="BCX1138" s="23"/>
      <c r="BCY1138" s="23"/>
      <c r="BCZ1138" s="23"/>
      <c r="BDA1138" s="23"/>
      <c r="BDB1138" s="23"/>
      <c r="BDC1138" s="23"/>
      <c r="BDD1138" s="23"/>
      <c r="BDE1138" s="23"/>
      <c r="BDF1138" s="23"/>
      <c r="BDG1138" s="23"/>
      <c r="BDH1138" s="23"/>
      <c r="BDI1138" s="23"/>
      <c r="BDJ1138" s="23"/>
      <c r="BDK1138" s="23"/>
      <c r="BDL1138" s="23"/>
      <c r="BDM1138" s="23"/>
      <c r="BDN1138" s="23"/>
      <c r="BDO1138" s="23"/>
      <c r="BDP1138" s="23"/>
      <c r="BDQ1138" s="23"/>
      <c r="BDR1138" s="23"/>
      <c r="BDS1138" s="23"/>
      <c r="BDT1138" s="23"/>
      <c r="BDU1138" s="23"/>
      <c r="BDV1138" s="23"/>
      <c r="BDW1138" s="23"/>
      <c r="BDX1138" s="23"/>
      <c r="BDY1138" s="23"/>
      <c r="BDZ1138" s="23"/>
      <c r="BEA1138" s="23"/>
      <c r="BEB1138" s="23"/>
      <c r="BEC1138" s="23"/>
      <c r="BED1138" s="23"/>
      <c r="BEE1138" s="23"/>
      <c r="BEF1138" s="23"/>
      <c r="BEG1138" s="23"/>
      <c r="BEH1138" s="23"/>
      <c r="BEI1138" s="23"/>
      <c r="BEJ1138" s="23"/>
      <c r="BEK1138" s="23"/>
      <c r="BEL1138" s="23"/>
      <c r="BEM1138" s="23"/>
      <c r="BEN1138" s="23"/>
      <c r="BEO1138" s="23"/>
      <c r="BEP1138" s="23"/>
      <c r="BEQ1138" s="23"/>
      <c r="BER1138" s="23"/>
      <c r="BES1138" s="23"/>
      <c r="BET1138" s="23"/>
      <c r="BEU1138" s="23"/>
      <c r="BEV1138" s="23"/>
      <c r="BEW1138" s="23"/>
      <c r="BEX1138" s="23"/>
      <c r="BEY1138" s="23"/>
      <c r="BEZ1138" s="23"/>
      <c r="BFA1138" s="23"/>
      <c r="BFB1138" s="23"/>
      <c r="BFC1138" s="23"/>
      <c r="BFD1138" s="23"/>
      <c r="BFE1138" s="23"/>
      <c r="BFF1138" s="23"/>
      <c r="BFG1138" s="23"/>
      <c r="BFH1138" s="23"/>
      <c r="BFI1138" s="23"/>
      <c r="BFJ1138" s="23"/>
      <c r="BFK1138" s="23"/>
      <c r="BFL1138" s="23"/>
      <c r="BFM1138" s="23"/>
      <c r="BFN1138" s="23"/>
      <c r="BFO1138" s="23"/>
      <c r="BFP1138" s="23"/>
      <c r="BFQ1138" s="23"/>
      <c r="BFR1138" s="23"/>
      <c r="BFS1138" s="23"/>
      <c r="BFT1138" s="23"/>
      <c r="BFU1138" s="23"/>
      <c r="BFV1138" s="23"/>
      <c r="BFW1138" s="23"/>
      <c r="BFX1138" s="23"/>
      <c r="BFY1138" s="23"/>
      <c r="BFZ1138" s="23"/>
      <c r="BGA1138" s="23"/>
      <c r="BGB1138" s="23"/>
      <c r="BGC1138" s="23"/>
      <c r="BGD1138" s="23"/>
      <c r="BGE1138" s="23"/>
      <c r="BGF1138" s="23"/>
      <c r="BGG1138" s="23"/>
      <c r="BGH1138" s="23"/>
      <c r="BGI1138" s="23"/>
      <c r="BGJ1138" s="23"/>
      <c r="BGK1138" s="23"/>
      <c r="BGL1138" s="23"/>
      <c r="BGM1138" s="23"/>
      <c r="BGN1138" s="23"/>
      <c r="BGO1138" s="23"/>
      <c r="BGP1138" s="23"/>
      <c r="BGQ1138" s="23"/>
      <c r="BGR1138" s="23"/>
      <c r="BGS1138" s="23"/>
      <c r="BGT1138" s="23"/>
      <c r="BGU1138" s="23"/>
      <c r="BGV1138" s="23"/>
      <c r="BGW1138" s="23"/>
      <c r="BGX1138" s="23"/>
      <c r="BGY1138" s="23"/>
      <c r="BGZ1138" s="23"/>
      <c r="BHA1138" s="23"/>
      <c r="BHB1138" s="23"/>
      <c r="BHC1138" s="23"/>
      <c r="BHD1138" s="23"/>
      <c r="BHE1138" s="23"/>
      <c r="BHF1138" s="23"/>
      <c r="BHG1138" s="23"/>
      <c r="BHH1138" s="23"/>
      <c r="BHI1138" s="23"/>
      <c r="BHJ1138" s="23"/>
      <c r="BHK1138" s="23"/>
      <c r="BHL1138" s="23"/>
      <c r="BHM1138" s="23"/>
      <c r="BHN1138" s="23"/>
      <c r="BHO1138" s="23"/>
      <c r="BHP1138" s="23"/>
      <c r="BHQ1138" s="23"/>
      <c r="BHR1138" s="23"/>
      <c r="BHS1138" s="23"/>
      <c r="BHT1138" s="23"/>
      <c r="BHU1138" s="23"/>
      <c r="BHV1138" s="23"/>
      <c r="BHW1138" s="23"/>
      <c r="BHX1138" s="23"/>
      <c r="BHY1138" s="23"/>
      <c r="BHZ1138" s="23"/>
      <c r="BIA1138" s="23"/>
      <c r="BIB1138" s="23"/>
      <c r="BIC1138" s="23"/>
      <c r="BID1138" s="23"/>
      <c r="BIE1138" s="23"/>
      <c r="BIF1138" s="23"/>
      <c r="BIG1138" s="23"/>
      <c r="BIH1138" s="23"/>
      <c r="BII1138" s="23"/>
      <c r="BIJ1138" s="23"/>
      <c r="BIK1138" s="23"/>
      <c r="BIL1138" s="23"/>
      <c r="BIM1138" s="23"/>
      <c r="BIN1138" s="23"/>
      <c r="BIO1138" s="23"/>
      <c r="BIP1138" s="23"/>
      <c r="BIQ1138" s="23"/>
      <c r="BIR1138" s="23"/>
      <c r="BIS1138" s="23"/>
      <c r="BIT1138" s="23"/>
      <c r="BIU1138" s="23"/>
      <c r="BIV1138" s="23"/>
      <c r="BIW1138" s="23"/>
      <c r="BIX1138" s="23"/>
      <c r="BIY1138" s="23"/>
      <c r="BIZ1138" s="23"/>
      <c r="BJA1138" s="23"/>
      <c r="BJB1138" s="23"/>
      <c r="BJC1138" s="23"/>
      <c r="BJD1138" s="23"/>
      <c r="BJE1138" s="23"/>
      <c r="BJF1138" s="23"/>
      <c r="BJG1138" s="23"/>
      <c r="BJH1138" s="23"/>
      <c r="BJI1138" s="23"/>
      <c r="BJJ1138" s="23"/>
      <c r="BJK1138" s="23"/>
      <c r="BJL1138" s="23"/>
      <c r="BJM1138" s="23"/>
      <c r="BJN1138" s="23"/>
      <c r="BJO1138" s="23"/>
      <c r="BJP1138" s="23"/>
      <c r="BJQ1138" s="23"/>
      <c r="BJR1138" s="23"/>
      <c r="BJS1138" s="23"/>
      <c r="BJT1138" s="23"/>
      <c r="BJU1138" s="23"/>
      <c r="BJV1138" s="23"/>
      <c r="BJW1138" s="23"/>
      <c r="BJX1138" s="23"/>
      <c r="BJY1138" s="23"/>
      <c r="BJZ1138" s="23"/>
      <c r="BKA1138" s="23"/>
      <c r="BKB1138" s="23"/>
      <c r="BKC1138" s="23"/>
      <c r="BKD1138" s="23"/>
      <c r="BKE1138" s="23"/>
      <c r="BKF1138" s="23"/>
      <c r="BKG1138" s="23"/>
      <c r="BKH1138" s="23"/>
      <c r="BKI1138" s="23"/>
      <c r="BKJ1138" s="23"/>
      <c r="BKK1138" s="23"/>
      <c r="BKL1138" s="23"/>
      <c r="BKM1138" s="23"/>
      <c r="BKN1138" s="23"/>
      <c r="BKO1138" s="23"/>
      <c r="BKP1138" s="23"/>
      <c r="BKQ1138" s="23"/>
      <c r="BKR1138" s="23"/>
      <c r="BKS1138" s="23"/>
      <c r="BKT1138" s="23"/>
      <c r="BKU1138" s="23"/>
      <c r="BKV1138" s="23"/>
      <c r="BKW1138" s="23"/>
      <c r="BKX1138" s="23"/>
      <c r="BKY1138" s="23"/>
      <c r="BKZ1138" s="23"/>
      <c r="BLA1138" s="23"/>
      <c r="BLB1138" s="23"/>
      <c r="BLC1138" s="23"/>
      <c r="BLD1138" s="23"/>
      <c r="BLE1138" s="23"/>
      <c r="BLF1138" s="23"/>
      <c r="BLG1138" s="23"/>
      <c r="BLH1138" s="23"/>
      <c r="BLI1138" s="23"/>
      <c r="BLJ1138" s="23"/>
      <c r="BLK1138" s="23"/>
      <c r="BLL1138" s="23"/>
      <c r="BLM1138" s="23"/>
      <c r="BLN1138" s="23"/>
      <c r="BLO1138" s="23"/>
      <c r="BLP1138" s="23"/>
      <c r="BLQ1138" s="23"/>
      <c r="BLR1138" s="23"/>
      <c r="BLS1138" s="23"/>
      <c r="BLT1138" s="23"/>
      <c r="BLU1138" s="23"/>
      <c r="BLV1138" s="23"/>
      <c r="BLW1138" s="23"/>
      <c r="BLX1138" s="23"/>
      <c r="BLY1138" s="23"/>
      <c r="BLZ1138" s="23"/>
      <c r="BMA1138" s="23"/>
      <c r="BMB1138" s="23"/>
      <c r="BMC1138" s="23"/>
      <c r="BMD1138" s="23"/>
      <c r="BME1138" s="23"/>
      <c r="BMF1138" s="23"/>
      <c r="BMG1138" s="23"/>
      <c r="BMH1138" s="23"/>
      <c r="BMI1138" s="23"/>
      <c r="BMJ1138" s="23"/>
      <c r="BMK1138" s="23"/>
      <c r="BML1138" s="23"/>
      <c r="BMM1138" s="23"/>
      <c r="BMN1138" s="23"/>
      <c r="BMO1138" s="23"/>
      <c r="BMP1138" s="23"/>
      <c r="BMQ1138" s="23"/>
      <c r="BMR1138" s="23"/>
      <c r="BMS1138" s="23"/>
      <c r="BMT1138" s="23"/>
      <c r="BMU1138" s="23"/>
      <c r="BMV1138" s="23"/>
      <c r="BMW1138" s="23"/>
      <c r="BMX1138" s="23"/>
      <c r="BMY1138" s="23"/>
      <c r="BMZ1138" s="23"/>
      <c r="BNA1138" s="23"/>
      <c r="BNB1138" s="23"/>
      <c r="BNC1138" s="23"/>
      <c r="BND1138" s="23"/>
      <c r="BNE1138" s="23"/>
      <c r="BNF1138" s="23"/>
      <c r="BNG1138" s="23"/>
      <c r="BNH1138" s="23"/>
      <c r="BNI1138" s="23"/>
      <c r="BNJ1138" s="23"/>
      <c r="BNK1138" s="23"/>
      <c r="BNL1138" s="23"/>
      <c r="BNM1138" s="23"/>
      <c r="BNN1138" s="23"/>
      <c r="BNO1138" s="23"/>
      <c r="BNP1138" s="23"/>
      <c r="BNQ1138" s="23"/>
      <c r="BNR1138" s="23"/>
      <c r="BNS1138" s="23"/>
      <c r="BNT1138" s="23"/>
      <c r="BNU1138" s="23"/>
      <c r="BNV1138" s="23"/>
      <c r="BNW1138" s="23"/>
      <c r="BNX1138" s="23"/>
      <c r="BNY1138" s="23"/>
      <c r="BNZ1138" s="23"/>
      <c r="BOA1138" s="23"/>
      <c r="BOB1138" s="23"/>
      <c r="BOC1138" s="23"/>
      <c r="BOD1138" s="23"/>
      <c r="BOE1138" s="23"/>
      <c r="BOF1138" s="23"/>
      <c r="BOG1138" s="23"/>
      <c r="BOH1138" s="23"/>
      <c r="BOI1138" s="23"/>
      <c r="BOJ1138" s="23"/>
      <c r="BOK1138" s="23"/>
      <c r="BOL1138" s="23"/>
      <c r="BOM1138" s="23"/>
      <c r="BON1138" s="23"/>
      <c r="BOO1138" s="23"/>
      <c r="BOP1138" s="23"/>
      <c r="BOQ1138" s="23"/>
      <c r="BOR1138" s="23"/>
      <c r="BOS1138" s="23"/>
      <c r="BOT1138" s="23"/>
      <c r="BOU1138" s="23"/>
      <c r="BOV1138" s="23"/>
      <c r="BOW1138" s="23"/>
      <c r="BOX1138" s="23"/>
      <c r="BOY1138" s="23"/>
      <c r="BOZ1138" s="23"/>
      <c r="BPA1138" s="23"/>
      <c r="BPB1138" s="23"/>
      <c r="BPC1138" s="23"/>
      <c r="BPD1138" s="23"/>
      <c r="BPE1138" s="23"/>
      <c r="BPF1138" s="23"/>
      <c r="BPG1138" s="23"/>
      <c r="BPH1138" s="23"/>
      <c r="BPI1138" s="23"/>
      <c r="BPJ1138" s="23"/>
      <c r="BPK1138" s="23"/>
      <c r="BPL1138" s="23"/>
      <c r="BPM1138" s="23"/>
      <c r="BPN1138" s="23"/>
      <c r="BPO1138" s="23"/>
      <c r="BPP1138" s="23"/>
      <c r="BPQ1138" s="23"/>
      <c r="BPR1138" s="23"/>
      <c r="BPS1138" s="23"/>
      <c r="BPT1138" s="23"/>
      <c r="BPU1138" s="23"/>
      <c r="BPV1138" s="23"/>
      <c r="BPW1138" s="23"/>
      <c r="BPX1138" s="23"/>
      <c r="BPY1138" s="23"/>
      <c r="BPZ1138" s="23"/>
      <c r="BQA1138" s="23"/>
      <c r="BQB1138" s="23"/>
      <c r="BQC1138" s="23"/>
      <c r="BQD1138" s="23"/>
      <c r="BQE1138" s="23"/>
      <c r="BQF1138" s="23"/>
      <c r="BQG1138" s="23"/>
      <c r="BQH1138" s="23"/>
      <c r="BQI1138" s="23"/>
      <c r="BQJ1138" s="23"/>
      <c r="BQK1138" s="23"/>
      <c r="BQL1138" s="23"/>
      <c r="BQM1138" s="23"/>
      <c r="BQN1138" s="23"/>
      <c r="BQO1138" s="23"/>
      <c r="BQP1138" s="23"/>
      <c r="BQQ1138" s="23"/>
      <c r="BQR1138" s="23"/>
      <c r="BQS1138" s="23"/>
      <c r="BQT1138" s="23"/>
      <c r="BQU1138" s="23"/>
      <c r="BQV1138" s="23"/>
      <c r="BQW1138" s="23"/>
      <c r="BQX1138" s="23"/>
      <c r="BQY1138" s="23"/>
      <c r="BQZ1138" s="23"/>
      <c r="BRA1138" s="23"/>
      <c r="BRB1138" s="23"/>
      <c r="BRC1138" s="23"/>
      <c r="BRD1138" s="23"/>
      <c r="BRE1138" s="23"/>
      <c r="BRF1138" s="23"/>
      <c r="BRG1138" s="23"/>
      <c r="BRH1138" s="23"/>
      <c r="BRI1138" s="23"/>
      <c r="BRJ1138" s="23"/>
      <c r="BRK1138" s="23"/>
      <c r="BRL1138" s="23"/>
      <c r="BRM1138" s="23"/>
      <c r="BRN1138" s="23"/>
      <c r="BRO1138" s="23"/>
      <c r="BRP1138" s="23"/>
      <c r="BRQ1138" s="23"/>
      <c r="BRR1138" s="23"/>
      <c r="BRS1138" s="23"/>
      <c r="BRT1138" s="23"/>
      <c r="BRU1138" s="23"/>
      <c r="BRV1138" s="23"/>
      <c r="BRW1138" s="23"/>
      <c r="BRX1138" s="23"/>
      <c r="BRY1138" s="23"/>
      <c r="BRZ1138" s="23"/>
      <c r="BSA1138" s="23"/>
      <c r="BSB1138" s="23"/>
      <c r="BSC1138" s="23"/>
      <c r="BSD1138" s="23"/>
      <c r="BSE1138" s="23"/>
      <c r="BSF1138" s="23"/>
      <c r="BSG1138" s="23"/>
      <c r="BSH1138" s="23"/>
      <c r="BSI1138" s="23"/>
      <c r="BSJ1138" s="23"/>
      <c r="BSK1138" s="23"/>
      <c r="BSL1138" s="23"/>
      <c r="BSM1138" s="23"/>
      <c r="BSN1138" s="23"/>
      <c r="BSO1138" s="23"/>
      <c r="BSP1138" s="23"/>
      <c r="BSQ1138" s="23"/>
      <c r="BSR1138" s="23"/>
      <c r="BSS1138" s="23"/>
      <c r="BST1138" s="23"/>
      <c r="BSU1138" s="23"/>
      <c r="BSV1138" s="23"/>
      <c r="BSW1138" s="23"/>
      <c r="BSX1138" s="23"/>
      <c r="BSY1138" s="23"/>
      <c r="BSZ1138" s="23"/>
      <c r="BTA1138" s="23"/>
    </row>
    <row r="1139" spans="1:1873" s="216" customFormat="1" ht="15.75" x14ac:dyDescent="0.3">
      <c r="A1139" s="366" t="s">
        <v>872</v>
      </c>
      <c r="B1139" s="257" t="s">
        <v>873</v>
      </c>
      <c r="C1139" s="257" t="s">
        <v>874</v>
      </c>
      <c r="D1139" s="257" t="s">
        <v>1400</v>
      </c>
      <c r="E1139" s="257" t="s">
        <v>855</v>
      </c>
      <c r="F1139" s="257">
        <v>1</v>
      </c>
      <c r="G1139" s="257">
        <v>6</v>
      </c>
      <c r="H1139" s="263">
        <v>6</v>
      </c>
      <c r="I1139" s="257" t="s">
        <v>954</v>
      </c>
      <c r="J1139" s="257">
        <v>1997</v>
      </c>
      <c r="K1139" s="257" t="s">
        <v>1211</v>
      </c>
      <c r="L1139" s="257">
        <v>2002</v>
      </c>
      <c r="M1139" s="261">
        <v>-9999</v>
      </c>
      <c r="N1139" s="257">
        <v>-9999</v>
      </c>
      <c r="O1139" s="29"/>
      <c r="P1139" s="261">
        <f>48.25-6.93</f>
        <v>41.32</v>
      </c>
      <c r="Q1139" s="257">
        <v>-9999</v>
      </c>
      <c r="R1139" s="261"/>
      <c r="S1139" s="257"/>
      <c r="T1139" s="370">
        <f>+P1139/G1139</f>
        <v>6.8866666666666667</v>
      </c>
      <c r="U1139" s="257">
        <v>-9999</v>
      </c>
      <c r="V1139" s="257"/>
      <c r="W1139" s="261">
        <v>-9999</v>
      </c>
      <c r="X1139" s="257">
        <v>-9999</v>
      </c>
      <c r="Y1139" s="257"/>
      <c r="Z1139" s="327" t="s">
        <v>875</v>
      </c>
      <c r="AA1139" s="257">
        <v>1794</v>
      </c>
      <c r="AB1139" s="261">
        <v>0.96</v>
      </c>
      <c r="AC1139" s="257">
        <v>11.7</v>
      </c>
      <c r="AD1139" s="257">
        <v>943</v>
      </c>
      <c r="AE1139" s="327" t="s">
        <v>1969</v>
      </c>
      <c r="AF1139" s="257">
        <v>3</v>
      </c>
      <c r="AG1139" s="257" t="s">
        <v>843</v>
      </c>
      <c r="AH1139" s="257" t="s">
        <v>876</v>
      </c>
      <c r="AI1139" s="257" t="s">
        <v>858</v>
      </c>
      <c r="AJ1139" s="257">
        <v>-9999</v>
      </c>
      <c r="AK1139" s="257" t="s">
        <v>877</v>
      </c>
      <c r="AL1139" s="257" t="s">
        <v>828</v>
      </c>
      <c r="AM1139" s="257">
        <v>-9999</v>
      </c>
      <c r="AN1139" s="257" t="s">
        <v>626</v>
      </c>
      <c r="AO1139" s="257" t="s">
        <v>826</v>
      </c>
      <c r="AP1139" s="257" t="s">
        <v>879</v>
      </c>
      <c r="AQ1139" s="257" t="s">
        <v>626</v>
      </c>
      <c r="AR1139" s="257">
        <f>85*6</f>
        <v>510</v>
      </c>
      <c r="AS1139" s="257" t="s">
        <v>938</v>
      </c>
      <c r="AT1139" s="257" t="s">
        <v>546</v>
      </c>
      <c r="AU1139" s="257">
        <f>12.45*6</f>
        <v>74.699999999999989</v>
      </c>
      <c r="AV1139" s="257" t="s">
        <v>549</v>
      </c>
      <c r="AW1139" s="257" t="s">
        <v>546</v>
      </c>
      <c r="AX1139" s="257">
        <f>47.25*6</f>
        <v>283.5</v>
      </c>
      <c r="AY1139" s="257" t="s">
        <v>551</v>
      </c>
      <c r="AZ1139" s="257" t="s">
        <v>546</v>
      </c>
      <c r="BA1139" s="257" t="s">
        <v>759</v>
      </c>
      <c r="BB1139" s="257" t="s">
        <v>626</v>
      </c>
      <c r="BC1139" s="257" t="s">
        <v>881</v>
      </c>
      <c r="BD1139" s="257" t="s">
        <v>121</v>
      </c>
      <c r="BE1139" s="257" t="s">
        <v>122</v>
      </c>
      <c r="BF1139" s="257" t="s">
        <v>880</v>
      </c>
      <c r="BG1139" s="257">
        <v>-9999</v>
      </c>
      <c r="BH1139" s="257">
        <v>-9999</v>
      </c>
      <c r="BI1139" s="257" t="s">
        <v>123</v>
      </c>
      <c r="BJ1139" s="257">
        <v>15.08</v>
      </c>
      <c r="BK1139" s="257">
        <v>0.68</v>
      </c>
      <c r="BL1139" s="257">
        <v>9.07</v>
      </c>
      <c r="BM1139" s="257">
        <v>0.28000000000000003</v>
      </c>
      <c r="BN1139" s="257">
        <v>10.5</v>
      </c>
      <c r="BO1139" s="257">
        <v>0.3</v>
      </c>
      <c r="BP1139" s="257">
        <v>-9999</v>
      </c>
      <c r="BQ1139" s="257">
        <v>-9999</v>
      </c>
      <c r="BR1139" s="257">
        <v>-9999</v>
      </c>
      <c r="BS1139" s="594">
        <f>+BT1139*14.286</f>
        <v>1029.16344</v>
      </c>
      <c r="BT1139" s="257">
        <v>72.040000000000006</v>
      </c>
      <c r="BU1139" s="257">
        <v>-9999</v>
      </c>
      <c r="BV1139" s="257">
        <v>4.83</v>
      </c>
      <c r="BW1139" s="257"/>
      <c r="BX1139" s="257">
        <v>-9999</v>
      </c>
      <c r="BY1139" s="257">
        <v>-9999</v>
      </c>
      <c r="BZ1139" s="257">
        <v>-9999</v>
      </c>
      <c r="CA1139" s="300" t="s">
        <v>867</v>
      </c>
      <c r="CB1139" s="264"/>
      <c r="CC1139" s="257">
        <v>1</v>
      </c>
      <c r="CD1139" s="257" t="s">
        <v>874</v>
      </c>
      <c r="CE1139" s="292">
        <v>6.8866666666666667</v>
      </c>
      <c r="CF1139" s="292">
        <v>-9999</v>
      </c>
      <c r="CG1139" s="214">
        <v>6</v>
      </c>
      <c r="CH1139" s="301" t="s">
        <v>1757</v>
      </c>
      <c r="CI1139" s="23"/>
      <c r="CJ1139" s="23"/>
      <c r="CK1139" s="23"/>
      <c r="CL1139" s="23"/>
      <c r="CM1139" s="23"/>
      <c r="CN1139" s="23"/>
      <c r="CO1139" s="23"/>
      <c r="CP1139" s="23"/>
      <c r="CQ1139" s="23"/>
      <c r="CR1139" s="23"/>
      <c r="CS1139" s="23"/>
      <c r="CT1139" s="23"/>
      <c r="CU1139" s="23"/>
      <c r="CV1139" s="23"/>
      <c r="CW1139" s="23"/>
      <c r="CX1139" s="23"/>
      <c r="CY1139" s="23"/>
      <c r="CZ1139" s="23"/>
      <c r="DA1139" s="23"/>
      <c r="DB1139" s="23"/>
      <c r="DC1139" s="23"/>
      <c r="DD1139" s="23"/>
      <c r="DE1139" s="23"/>
      <c r="DF1139" s="23"/>
      <c r="DG1139" s="23"/>
      <c r="DH1139" s="23"/>
      <c r="DI1139" s="23"/>
      <c r="DJ1139" s="23"/>
      <c r="DK1139" s="23"/>
      <c r="DL1139" s="23"/>
      <c r="DM1139" s="23"/>
      <c r="DN1139" s="23"/>
      <c r="DO1139" s="23"/>
      <c r="DP1139" s="23"/>
      <c r="DQ1139" s="23"/>
      <c r="DR1139" s="23"/>
      <c r="DS1139" s="23"/>
      <c r="DT1139" s="23"/>
      <c r="DU1139" s="23"/>
      <c r="DV1139" s="23"/>
      <c r="DW1139" s="23"/>
      <c r="DX1139" s="23"/>
      <c r="DY1139" s="23"/>
      <c r="DZ1139" s="23"/>
      <c r="EA1139" s="23"/>
      <c r="EB1139" s="23"/>
      <c r="EC1139" s="23"/>
      <c r="ED1139" s="23"/>
      <c r="EE1139" s="23"/>
      <c r="EF1139" s="23"/>
      <c r="EG1139" s="23"/>
      <c r="EH1139" s="23"/>
      <c r="EI1139" s="23"/>
      <c r="EJ1139" s="23"/>
      <c r="EK1139" s="23"/>
      <c r="EL1139" s="23"/>
      <c r="EM1139" s="23"/>
      <c r="EN1139" s="23"/>
      <c r="EO1139" s="23"/>
      <c r="EP1139" s="23"/>
      <c r="EQ1139" s="23"/>
      <c r="ER1139" s="23"/>
      <c r="ES1139" s="23"/>
      <c r="ET1139" s="23"/>
      <c r="EU1139" s="23"/>
      <c r="EV1139" s="23"/>
      <c r="EW1139" s="23"/>
      <c r="EX1139" s="23"/>
      <c r="EY1139" s="23"/>
      <c r="EZ1139" s="23"/>
      <c r="FA1139" s="23"/>
      <c r="FB1139" s="23"/>
      <c r="FC1139" s="23"/>
      <c r="FD1139" s="23"/>
      <c r="FE1139" s="23"/>
      <c r="FF1139" s="23"/>
      <c r="FG1139" s="23"/>
      <c r="FH1139" s="23"/>
      <c r="FI1139" s="23"/>
      <c r="FJ1139" s="23"/>
      <c r="FK1139" s="23"/>
      <c r="FL1139" s="23"/>
      <c r="FM1139" s="23"/>
      <c r="FN1139" s="23"/>
      <c r="FO1139" s="23"/>
      <c r="FP1139" s="23"/>
      <c r="FQ1139" s="23"/>
      <c r="FR1139" s="23"/>
      <c r="FS1139" s="23"/>
      <c r="FT1139" s="23"/>
      <c r="FU1139" s="23"/>
      <c r="FV1139" s="23"/>
      <c r="FW1139" s="23"/>
      <c r="FX1139" s="23"/>
      <c r="FY1139" s="23"/>
      <c r="FZ1139" s="23"/>
      <c r="GA1139" s="23"/>
      <c r="GB1139" s="23"/>
      <c r="GC1139" s="23"/>
      <c r="GD1139" s="23"/>
      <c r="GE1139" s="23"/>
      <c r="GF1139" s="23"/>
      <c r="GG1139" s="23"/>
      <c r="GH1139" s="23"/>
      <c r="GI1139" s="23"/>
      <c r="GJ1139" s="23"/>
      <c r="GK1139" s="23"/>
      <c r="GL1139" s="23"/>
      <c r="GM1139" s="23"/>
      <c r="GN1139" s="23"/>
      <c r="GO1139" s="23"/>
      <c r="GP1139" s="23"/>
      <c r="GQ1139" s="23"/>
      <c r="GR1139" s="23"/>
      <c r="GS1139" s="23"/>
      <c r="GT1139" s="23"/>
      <c r="GU1139" s="23"/>
      <c r="GV1139" s="23"/>
      <c r="GW1139" s="23"/>
      <c r="GX1139" s="23"/>
      <c r="GY1139" s="23"/>
      <c r="GZ1139" s="23"/>
      <c r="HA1139" s="23"/>
      <c r="HB1139" s="23"/>
      <c r="HC1139" s="23"/>
      <c r="HD1139" s="23"/>
      <c r="HE1139" s="23"/>
      <c r="HF1139" s="23"/>
      <c r="HG1139" s="23"/>
      <c r="HH1139" s="23"/>
      <c r="HI1139" s="23"/>
      <c r="HJ1139" s="23"/>
      <c r="HK1139" s="23"/>
      <c r="HL1139" s="23"/>
      <c r="HM1139" s="23"/>
      <c r="HN1139" s="23"/>
      <c r="HO1139" s="23"/>
      <c r="HP1139" s="23"/>
      <c r="HQ1139" s="23"/>
      <c r="HR1139" s="23"/>
      <c r="HS1139" s="23"/>
      <c r="HT1139" s="23"/>
      <c r="HU1139" s="23"/>
      <c r="HV1139" s="23"/>
      <c r="HW1139" s="23"/>
      <c r="HX1139" s="23"/>
      <c r="HY1139" s="23"/>
      <c r="HZ1139" s="23"/>
      <c r="IA1139" s="23"/>
      <c r="IB1139" s="23"/>
      <c r="IC1139" s="23"/>
      <c r="ID1139" s="23"/>
      <c r="IE1139" s="23"/>
      <c r="IF1139" s="23"/>
      <c r="IG1139" s="23"/>
      <c r="IH1139" s="23"/>
      <c r="II1139" s="23"/>
      <c r="IJ1139" s="23"/>
      <c r="IK1139" s="23"/>
      <c r="IL1139" s="23"/>
      <c r="IM1139" s="23"/>
      <c r="IN1139" s="23"/>
      <c r="IO1139" s="23"/>
      <c r="IP1139" s="23"/>
      <c r="IQ1139" s="23"/>
      <c r="IR1139" s="23"/>
      <c r="IS1139" s="23"/>
      <c r="IT1139" s="23"/>
      <c r="IU1139" s="23"/>
      <c r="IV1139" s="23"/>
      <c r="IW1139" s="23"/>
      <c r="IX1139" s="23"/>
      <c r="IY1139" s="23"/>
      <c r="IZ1139" s="23"/>
      <c r="JA1139" s="23"/>
      <c r="JB1139" s="23"/>
      <c r="JC1139" s="23"/>
      <c r="JD1139" s="23"/>
      <c r="JE1139" s="23"/>
      <c r="JF1139" s="23"/>
      <c r="JG1139" s="23"/>
      <c r="JH1139" s="23"/>
      <c r="JI1139" s="23"/>
      <c r="JJ1139" s="23"/>
      <c r="JK1139" s="23"/>
      <c r="JL1139" s="23"/>
      <c r="JM1139" s="23"/>
      <c r="JN1139" s="23"/>
      <c r="JO1139" s="23"/>
      <c r="JP1139" s="23"/>
      <c r="JQ1139" s="23"/>
      <c r="JR1139" s="23"/>
      <c r="JS1139" s="23"/>
      <c r="JT1139" s="23"/>
      <c r="JU1139" s="23"/>
      <c r="JV1139" s="23"/>
      <c r="JW1139" s="23"/>
      <c r="JX1139" s="23"/>
      <c r="JY1139" s="23"/>
      <c r="JZ1139" s="23"/>
      <c r="KA1139" s="23"/>
      <c r="KB1139" s="23"/>
      <c r="KC1139" s="23"/>
      <c r="KD1139" s="23"/>
      <c r="KE1139" s="23"/>
      <c r="KF1139" s="23"/>
      <c r="KG1139" s="23"/>
      <c r="KH1139" s="23"/>
      <c r="KI1139" s="23"/>
      <c r="KJ1139" s="23"/>
      <c r="KK1139" s="23"/>
      <c r="KL1139" s="23"/>
      <c r="KM1139" s="23"/>
      <c r="KN1139" s="23"/>
      <c r="KO1139" s="23"/>
      <c r="KP1139" s="23"/>
      <c r="KQ1139" s="23"/>
      <c r="KR1139" s="23"/>
      <c r="KS1139" s="23"/>
      <c r="KT1139" s="23"/>
      <c r="KU1139" s="23"/>
      <c r="KV1139" s="23"/>
      <c r="KW1139" s="23"/>
      <c r="KX1139" s="23"/>
      <c r="KY1139" s="23"/>
      <c r="KZ1139" s="23"/>
      <c r="LA1139" s="23"/>
      <c r="LB1139" s="23"/>
      <c r="LC1139" s="23"/>
      <c r="LD1139" s="23"/>
      <c r="LE1139" s="23"/>
      <c r="LF1139" s="23"/>
      <c r="LG1139" s="23"/>
      <c r="LH1139" s="23"/>
      <c r="LI1139" s="23"/>
      <c r="LJ1139" s="23"/>
      <c r="LK1139" s="23"/>
      <c r="LL1139" s="23"/>
      <c r="LM1139" s="23"/>
      <c r="LN1139" s="23"/>
      <c r="LO1139" s="23"/>
      <c r="LP1139" s="23"/>
      <c r="LQ1139" s="23"/>
      <c r="LR1139" s="23"/>
      <c r="LS1139" s="23"/>
      <c r="LT1139" s="23"/>
      <c r="LU1139" s="23"/>
      <c r="LV1139" s="23"/>
      <c r="LW1139" s="23"/>
      <c r="LX1139" s="23"/>
      <c r="LY1139" s="23"/>
      <c r="LZ1139" s="23"/>
      <c r="MA1139" s="23"/>
      <c r="MB1139" s="23"/>
      <c r="MC1139" s="23"/>
      <c r="MD1139" s="23"/>
      <c r="ME1139" s="23"/>
      <c r="MF1139" s="23"/>
      <c r="MG1139" s="23"/>
      <c r="MH1139" s="23"/>
      <c r="MI1139" s="23"/>
      <c r="MJ1139" s="23"/>
      <c r="MK1139" s="23"/>
      <c r="ML1139" s="23"/>
      <c r="MM1139" s="23"/>
      <c r="MN1139" s="23"/>
      <c r="MO1139" s="23"/>
      <c r="MP1139" s="23"/>
      <c r="MQ1139" s="23"/>
      <c r="MR1139" s="23"/>
      <c r="MS1139" s="23"/>
      <c r="MT1139" s="23"/>
      <c r="MU1139" s="23"/>
      <c r="MV1139" s="23"/>
      <c r="MW1139" s="23"/>
      <c r="MX1139" s="23"/>
      <c r="MY1139" s="23"/>
      <c r="MZ1139" s="23"/>
      <c r="NA1139" s="23"/>
      <c r="NB1139" s="23"/>
      <c r="NC1139" s="23"/>
      <c r="ND1139" s="23"/>
      <c r="NE1139" s="23"/>
      <c r="NF1139" s="23"/>
      <c r="NG1139" s="23"/>
      <c r="NH1139" s="23"/>
      <c r="NI1139" s="23"/>
      <c r="NJ1139" s="23"/>
      <c r="NK1139" s="23"/>
      <c r="NL1139" s="23"/>
      <c r="NM1139" s="23"/>
      <c r="NN1139" s="23"/>
      <c r="NO1139" s="23"/>
      <c r="NP1139" s="23"/>
      <c r="NQ1139" s="23"/>
      <c r="NR1139" s="23"/>
      <c r="NS1139" s="23"/>
      <c r="NT1139" s="23"/>
      <c r="NU1139" s="23"/>
      <c r="NV1139" s="23"/>
      <c r="NW1139" s="23"/>
      <c r="NX1139" s="23"/>
      <c r="NY1139" s="23"/>
      <c r="NZ1139" s="23"/>
      <c r="OA1139" s="23"/>
      <c r="OB1139" s="23"/>
      <c r="OC1139" s="23"/>
      <c r="OD1139" s="23"/>
      <c r="OE1139" s="23"/>
      <c r="OF1139" s="23"/>
      <c r="OG1139" s="23"/>
      <c r="OH1139" s="23"/>
      <c r="OI1139" s="23"/>
      <c r="OJ1139" s="23"/>
      <c r="OK1139" s="23"/>
      <c r="OL1139" s="23"/>
      <c r="OM1139" s="23"/>
      <c r="ON1139" s="23"/>
      <c r="OO1139" s="23"/>
      <c r="OP1139" s="23"/>
      <c r="OQ1139" s="23"/>
      <c r="OR1139" s="23"/>
      <c r="OS1139" s="23"/>
      <c r="OT1139" s="23"/>
      <c r="OU1139" s="23"/>
      <c r="OV1139" s="23"/>
      <c r="OW1139" s="23"/>
      <c r="OX1139" s="23"/>
      <c r="OY1139" s="23"/>
      <c r="OZ1139" s="23"/>
      <c r="PA1139" s="23"/>
      <c r="PB1139" s="23"/>
      <c r="PC1139" s="23"/>
      <c r="PD1139" s="23"/>
      <c r="PE1139" s="23"/>
      <c r="PF1139" s="23"/>
      <c r="PG1139" s="23"/>
      <c r="PH1139" s="23"/>
      <c r="PI1139" s="23"/>
      <c r="PJ1139" s="23"/>
      <c r="PK1139" s="23"/>
      <c r="PL1139" s="23"/>
      <c r="PM1139" s="23"/>
      <c r="PN1139" s="23"/>
      <c r="PO1139" s="23"/>
      <c r="PP1139" s="23"/>
      <c r="PQ1139" s="23"/>
      <c r="PR1139" s="23"/>
      <c r="PS1139" s="23"/>
      <c r="PT1139" s="23"/>
      <c r="PU1139" s="23"/>
      <c r="PV1139" s="23"/>
      <c r="PW1139" s="23"/>
      <c r="PX1139" s="23"/>
      <c r="PY1139" s="23"/>
      <c r="PZ1139" s="23"/>
      <c r="QA1139" s="23"/>
      <c r="QB1139" s="23"/>
      <c r="QC1139" s="23"/>
      <c r="QD1139" s="23"/>
      <c r="QE1139" s="23"/>
      <c r="QF1139" s="23"/>
      <c r="QG1139" s="23"/>
      <c r="QH1139" s="23"/>
      <c r="QI1139" s="23"/>
      <c r="QJ1139" s="23"/>
      <c r="QK1139" s="23"/>
      <c r="QL1139" s="23"/>
      <c r="QM1139" s="23"/>
      <c r="QN1139" s="23"/>
      <c r="QO1139" s="23"/>
      <c r="QP1139" s="23"/>
      <c r="QQ1139" s="23"/>
      <c r="QR1139" s="23"/>
      <c r="QS1139" s="23"/>
      <c r="QT1139" s="23"/>
      <c r="QU1139" s="23"/>
      <c r="QV1139" s="23"/>
      <c r="QW1139" s="23"/>
      <c r="QX1139" s="23"/>
      <c r="QY1139" s="23"/>
      <c r="QZ1139" s="23"/>
      <c r="RA1139" s="23"/>
      <c r="RB1139" s="23"/>
      <c r="RC1139" s="23"/>
      <c r="RD1139" s="23"/>
      <c r="RE1139" s="23"/>
      <c r="RF1139" s="23"/>
      <c r="RG1139" s="23"/>
      <c r="RH1139" s="23"/>
      <c r="RI1139" s="23"/>
      <c r="RJ1139" s="23"/>
      <c r="RK1139" s="23"/>
      <c r="RL1139" s="23"/>
      <c r="RM1139" s="23"/>
      <c r="RN1139" s="23"/>
      <c r="RO1139" s="23"/>
      <c r="RP1139" s="23"/>
      <c r="RQ1139" s="23"/>
      <c r="RR1139" s="23"/>
      <c r="RS1139" s="23"/>
      <c r="RT1139" s="23"/>
      <c r="RU1139" s="23"/>
      <c r="RV1139" s="23"/>
      <c r="RW1139" s="23"/>
      <c r="RX1139" s="23"/>
      <c r="RY1139" s="23"/>
      <c r="RZ1139" s="23"/>
      <c r="SA1139" s="23"/>
      <c r="SB1139" s="23"/>
      <c r="SC1139" s="23"/>
      <c r="SD1139" s="23"/>
      <c r="SE1139" s="23"/>
      <c r="SF1139" s="23"/>
      <c r="SG1139" s="23"/>
      <c r="SH1139" s="23"/>
      <c r="SI1139" s="23"/>
      <c r="SJ1139" s="23"/>
      <c r="SK1139" s="23"/>
      <c r="SL1139" s="23"/>
      <c r="SM1139" s="23"/>
      <c r="SN1139" s="23"/>
      <c r="SO1139" s="23"/>
      <c r="SP1139" s="23"/>
      <c r="SQ1139" s="23"/>
      <c r="SR1139" s="23"/>
      <c r="SS1139" s="23"/>
      <c r="ST1139" s="23"/>
      <c r="SU1139" s="23"/>
      <c r="SV1139" s="23"/>
      <c r="SW1139" s="23"/>
      <c r="SX1139" s="23"/>
      <c r="SY1139" s="23"/>
      <c r="SZ1139" s="23"/>
      <c r="TA1139" s="23"/>
      <c r="TB1139" s="23"/>
      <c r="TC1139" s="23"/>
      <c r="TD1139" s="23"/>
      <c r="TE1139" s="23"/>
      <c r="TF1139" s="23"/>
      <c r="TG1139" s="23"/>
      <c r="TH1139" s="23"/>
      <c r="TI1139" s="23"/>
      <c r="TJ1139" s="23"/>
      <c r="TK1139" s="23"/>
      <c r="TL1139" s="23"/>
      <c r="TM1139" s="23"/>
      <c r="TN1139" s="23"/>
      <c r="TO1139" s="23"/>
      <c r="TP1139" s="23"/>
      <c r="TQ1139" s="23"/>
      <c r="TR1139" s="23"/>
      <c r="TS1139" s="23"/>
      <c r="TT1139" s="23"/>
      <c r="TU1139" s="23"/>
      <c r="TV1139" s="23"/>
      <c r="TW1139" s="23"/>
      <c r="TX1139" s="23"/>
      <c r="TY1139" s="23"/>
      <c r="TZ1139" s="23"/>
      <c r="UA1139" s="23"/>
      <c r="UB1139" s="23"/>
      <c r="UC1139" s="23"/>
      <c r="UD1139" s="23"/>
      <c r="UE1139" s="23"/>
      <c r="UF1139" s="23"/>
      <c r="UG1139" s="23"/>
      <c r="UH1139" s="23"/>
      <c r="UI1139" s="23"/>
      <c r="UJ1139" s="23"/>
      <c r="UK1139" s="23"/>
      <c r="UL1139" s="23"/>
      <c r="UM1139" s="23"/>
      <c r="UN1139" s="23"/>
      <c r="UO1139" s="23"/>
      <c r="UP1139" s="23"/>
      <c r="UQ1139" s="23"/>
      <c r="UR1139" s="23"/>
      <c r="US1139" s="23"/>
      <c r="UT1139" s="23"/>
      <c r="UU1139" s="23"/>
      <c r="UV1139" s="23"/>
      <c r="UW1139" s="23"/>
      <c r="UX1139" s="23"/>
      <c r="UY1139" s="23"/>
      <c r="UZ1139" s="23"/>
      <c r="VA1139" s="23"/>
      <c r="VB1139" s="23"/>
      <c r="VC1139" s="23"/>
      <c r="VD1139" s="23"/>
      <c r="VE1139" s="23"/>
      <c r="VF1139" s="23"/>
      <c r="VG1139" s="23"/>
      <c r="VH1139" s="23"/>
      <c r="VI1139" s="23"/>
      <c r="VJ1139" s="23"/>
      <c r="VK1139" s="23"/>
      <c r="VL1139" s="23"/>
      <c r="VM1139" s="23"/>
      <c r="VN1139" s="23"/>
      <c r="VO1139" s="23"/>
      <c r="VP1139" s="23"/>
      <c r="VQ1139" s="23"/>
      <c r="VR1139" s="23"/>
      <c r="VS1139" s="23"/>
      <c r="VT1139" s="23"/>
      <c r="VU1139" s="23"/>
      <c r="VV1139" s="23"/>
      <c r="VW1139" s="23"/>
      <c r="VX1139" s="23"/>
      <c r="VY1139" s="23"/>
      <c r="VZ1139" s="23"/>
      <c r="WA1139" s="23"/>
      <c r="WB1139" s="23"/>
      <c r="WC1139" s="23"/>
      <c r="WD1139" s="23"/>
      <c r="WE1139" s="23"/>
      <c r="WF1139" s="23"/>
      <c r="WG1139" s="23"/>
      <c r="WH1139" s="23"/>
      <c r="WI1139" s="23"/>
      <c r="WJ1139" s="23"/>
      <c r="WK1139" s="23"/>
      <c r="WL1139" s="23"/>
      <c r="WM1139" s="23"/>
      <c r="WN1139" s="23"/>
      <c r="WO1139" s="23"/>
      <c r="WP1139" s="23"/>
      <c r="WQ1139" s="23"/>
      <c r="WR1139" s="23"/>
      <c r="WS1139" s="23"/>
      <c r="WT1139" s="23"/>
      <c r="WU1139" s="23"/>
      <c r="WV1139" s="23"/>
      <c r="WW1139" s="23"/>
      <c r="WX1139" s="23"/>
      <c r="WY1139" s="23"/>
      <c r="WZ1139" s="23"/>
      <c r="XA1139" s="23"/>
      <c r="XB1139" s="23"/>
      <c r="XC1139" s="23"/>
      <c r="XD1139" s="23"/>
      <c r="XE1139" s="23"/>
      <c r="XF1139" s="23"/>
      <c r="XG1139" s="23"/>
      <c r="XH1139" s="23"/>
      <c r="XI1139" s="23"/>
      <c r="XJ1139" s="23"/>
      <c r="XK1139" s="23"/>
      <c r="XL1139" s="23"/>
      <c r="XM1139" s="23"/>
      <c r="XN1139" s="23"/>
      <c r="XO1139" s="23"/>
      <c r="XP1139" s="23"/>
      <c r="XQ1139" s="23"/>
      <c r="XR1139" s="23"/>
      <c r="XS1139" s="23"/>
      <c r="XT1139" s="23"/>
      <c r="XU1139" s="23"/>
      <c r="XV1139" s="23"/>
      <c r="XW1139" s="23"/>
      <c r="XX1139" s="23"/>
      <c r="XY1139" s="23"/>
      <c r="XZ1139" s="23"/>
      <c r="YA1139" s="23"/>
      <c r="YB1139" s="23"/>
      <c r="YC1139" s="23"/>
      <c r="YD1139" s="23"/>
      <c r="YE1139" s="23"/>
      <c r="YF1139" s="23"/>
      <c r="YG1139" s="23"/>
      <c r="YH1139" s="23"/>
      <c r="YI1139" s="23"/>
      <c r="YJ1139" s="23"/>
      <c r="YK1139" s="23"/>
      <c r="YL1139" s="23"/>
      <c r="YM1139" s="23"/>
      <c r="YN1139" s="23"/>
      <c r="YO1139" s="23"/>
      <c r="YP1139" s="23"/>
      <c r="YQ1139" s="23"/>
      <c r="YR1139" s="23"/>
      <c r="YS1139" s="23"/>
      <c r="YT1139" s="23"/>
      <c r="YU1139" s="23"/>
      <c r="YV1139" s="23"/>
      <c r="YW1139" s="23"/>
      <c r="YX1139" s="23"/>
      <c r="YY1139" s="23"/>
      <c r="YZ1139" s="23"/>
      <c r="ZA1139" s="23"/>
      <c r="ZB1139" s="23"/>
      <c r="ZC1139" s="23"/>
      <c r="ZD1139" s="23"/>
      <c r="ZE1139" s="23"/>
      <c r="ZF1139" s="23"/>
      <c r="ZG1139" s="23"/>
      <c r="ZH1139" s="23"/>
      <c r="ZI1139" s="23"/>
      <c r="ZJ1139" s="23"/>
      <c r="ZK1139" s="23"/>
      <c r="ZL1139" s="23"/>
      <c r="ZM1139" s="23"/>
      <c r="ZN1139" s="23"/>
      <c r="ZO1139" s="23"/>
      <c r="ZP1139" s="23"/>
      <c r="ZQ1139" s="23"/>
      <c r="ZR1139" s="23"/>
      <c r="ZS1139" s="23"/>
      <c r="ZT1139" s="23"/>
      <c r="ZU1139" s="23"/>
      <c r="ZV1139" s="23"/>
      <c r="ZW1139" s="23"/>
      <c r="ZX1139" s="23"/>
      <c r="ZY1139" s="23"/>
      <c r="ZZ1139" s="23"/>
      <c r="AAA1139" s="23"/>
      <c r="AAB1139" s="23"/>
      <c r="AAC1139" s="23"/>
      <c r="AAD1139" s="23"/>
      <c r="AAE1139" s="23"/>
      <c r="AAF1139" s="23"/>
      <c r="AAG1139" s="23"/>
      <c r="AAH1139" s="23"/>
      <c r="AAI1139" s="23"/>
      <c r="AAJ1139" s="23"/>
      <c r="AAK1139" s="23"/>
      <c r="AAL1139" s="23"/>
      <c r="AAM1139" s="23"/>
      <c r="AAN1139" s="23"/>
      <c r="AAO1139" s="23"/>
      <c r="AAP1139" s="23"/>
      <c r="AAQ1139" s="23"/>
      <c r="AAR1139" s="23"/>
      <c r="AAS1139" s="23"/>
      <c r="AAT1139" s="23"/>
      <c r="AAU1139" s="23"/>
      <c r="AAV1139" s="23"/>
      <c r="AAW1139" s="23"/>
      <c r="AAX1139" s="23"/>
      <c r="AAY1139" s="23"/>
      <c r="AAZ1139" s="23"/>
      <c r="ABA1139" s="23"/>
      <c r="ABB1139" s="23"/>
      <c r="ABC1139" s="23"/>
      <c r="ABD1139" s="23"/>
      <c r="ABE1139" s="23"/>
      <c r="ABF1139" s="23"/>
      <c r="ABG1139" s="23"/>
      <c r="ABH1139" s="23"/>
      <c r="ABI1139" s="23"/>
      <c r="ABJ1139" s="23"/>
      <c r="ABK1139" s="23"/>
      <c r="ABL1139" s="23"/>
      <c r="ABM1139" s="23"/>
      <c r="ABN1139" s="23"/>
      <c r="ABO1139" s="23"/>
      <c r="ABP1139" s="23"/>
      <c r="ABQ1139" s="23"/>
      <c r="ABR1139" s="23"/>
      <c r="ABS1139" s="23"/>
      <c r="ABT1139" s="23"/>
      <c r="ABU1139" s="23"/>
      <c r="ABV1139" s="23"/>
      <c r="ABW1139" s="23"/>
      <c r="ABX1139" s="23"/>
      <c r="ABY1139" s="23"/>
      <c r="ABZ1139" s="23"/>
      <c r="ACA1139" s="23"/>
      <c r="ACB1139" s="23"/>
      <c r="ACC1139" s="23"/>
      <c r="ACD1139" s="23"/>
      <c r="ACE1139" s="23"/>
      <c r="ACF1139" s="23"/>
      <c r="ACG1139" s="23"/>
      <c r="ACH1139" s="23"/>
      <c r="ACI1139" s="23"/>
      <c r="ACJ1139" s="23"/>
      <c r="ACK1139" s="23"/>
      <c r="ACL1139" s="23"/>
      <c r="ACM1139" s="23"/>
      <c r="ACN1139" s="23"/>
      <c r="ACO1139" s="23"/>
      <c r="ACP1139" s="23"/>
      <c r="ACQ1139" s="23"/>
      <c r="ACR1139" s="23"/>
      <c r="ACS1139" s="23"/>
      <c r="ACT1139" s="23"/>
      <c r="ACU1139" s="23"/>
      <c r="ACV1139" s="23"/>
      <c r="ACW1139" s="23"/>
      <c r="ACX1139" s="23"/>
      <c r="ACY1139" s="23"/>
      <c r="ACZ1139" s="23"/>
      <c r="ADA1139" s="23"/>
      <c r="ADB1139" s="23"/>
      <c r="ADC1139" s="23"/>
      <c r="ADD1139" s="23"/>
      <c r="ADE1139" s="23"/>
      <c r="ADF1139" s="23"/>
      <c r="ADG1139" s="23"/>
      <c r="ADH1139" s="23"/>
      <c r="ADI1139" s="23"/>
      <c r="ADJ1139" s="23"/>
      <c r="ADK1139" s="23"/>
      <c r="ADL1139" s="23"/>
      <c r="ADM1139" s="23"/>
      <c r="ADN1139" s="23"/>
      <c r="ADO1139" s="23"/>
      <c r="ADP1139" s="23"/>
      <c r="ADQ1139" s="23"/>
      <c r="ADR1139" s="23"/>
      <c r="ADS1139" s="23"/>
      <c r="ADT1139" s="23"/>
      <c r="ADU1139" s="23"/>
      <c r="ADV1139" s="23"/>
      <c r="ADW1139" s="23"/>
      <c r="ADX1139" s="23"/>
      <c r="ADY1139" s="23"/>
      <c r="ADZ1139" s="23"/>
      <c r="AEA1139" s="23"/>
      <c r="AEB1139" s="23"/>
      <c r="AEC1139" s="23"/>
      <c r="AED1139" s="23"/>
      <c r="AEE1139" s="23"/>
      <c r="AEF1139" s="23"/>
      <c r="AEG1139" s="23"/>
      <c r="AEH1139" s="23"/>
      <c r="AEI1139" s="23"/>
      <c r="AEJ1139" s="23"/>
      <c r="AEK1139" s="23"/>
      <c r="AEL1139" s="23"/>
      <c r="AEM1139" s="23"/>
      <c r="AEN1139" s="23"/>
      <c r="AEO1139" s="23"/>
      <c r="AEP1139" s="23"/>
      <c r="AEQ1139" s="23"/>
      <c r="AER1139" s="23"/>
      <c r="AES1139" s="23"/>
      <c r="AET1139" s="23"/>
      <c r="AEU1139" s="23"/>
      <c r="AEV1139" s="23"/>
      <c r="AEW1139" s="23"/>
      <c r="AEX1139" s="23"/>
      <c r="AEY1139" s="23"/>
      <c r="AEZ1139" s="23"/>
      <c r="AFA1139" s="23"/>
      <c r="AFB1139" s="23"/>
      <c r="AFC1139" s="23"/>
      <c r="AFD1139" s="23"/>
      <c r="AFE1139" s="23"/>
      <c r="AFF1139" s="23"/>
      <c r="AFG1139" s="23"/>
      <c r="AFH1139" s="23"/>
      <c r="AFI1139" s="23"/>
      <c r="AFJ1139" s="23"/>
      <c r="AFK1139" s="23"/>
      <c r="AFL1139" s="23"/>
      <c r="AFM1139" s="23"/>
      <c r="AFN1139" s="23"/>
      <c r="AFO1139" s="23"/>
      <c r="AFP1139" s="23"/>
      <c r="AFQ1139" s="23"/>
      <c r="AFR1139" s="23"/>
      <c r="AFS1139" s="23"/>
      <c r="AFT1139" s="23"/>
      <c r="AFU1139" s="23"/>
      <c r="AFV1139" s="23"/>
      <c r="AFW1139" s="23"/>
      <c r="AFX1139" s="23"/>
      <c r="AFY1139" s="23"/>
      <c r="AFZ1139" s="23"/>
      <c r="AGA1139" s="23"/>
      <c r="AGB1139" s="23"/>
      <c r="AGC1139" s="23"/>
      <c r="AGD1139" s="23"/>
      <c r="AGE1139" s="23"/>
      <c r="AGF1139" s="23"/>
      <c r="AGG1139" s="23"/>
      <c r="AGH1139" s="23"/>
      <c r="AGI1139" s="23"/>
      <c r="AGJ1139" s="23"/>
      <c r="AGK1139" s="23"/>
      <c r="AGL1139" s="23"/>
      <c r="AGM1139" s="23"/>
      <c r="AGN1139" s="23"/>
      <c r="AGO1139" s="23"/>
      <c r="AGP1139" s="23"/>
      <c r="AGQ1139" s="23"/>
      <c r="AGR1139" s="23"/>
      <c r="AGS1139" s="23"/>
      <c r="AGT1139" s="23"/>
      <c r="AGU1139" s="23"/>
      <c r="AGV1139" s="23"/>
      <c r="AGW1139" s="23"/>
      <c r="AGX1139" s="23"/>
      <c r="AGY1139" s="23"/>
      <c r="AGZ1139" s="23"/>
      <c r="AHA1139" s="23"/>
      <c r="AHB1139" s="23"/>
      <c r="AHC1139" s="23"/>
      <c r="AHD1139" s="23"/>
      <c r="AHE1139" s="23"/>
      <c r="AHF1139" s="23"/>
      <c r="AHG1139" s="23"/>
      <c r="AHH1139" s="23"/>
      <c r="AHI1139" s="23"/>
      <c r="AHJ1139" s="23"/>
      <c r="AHK1139" s="23"/>
      <c r="AHL1139" s="23"/>
      <c r="AHM1139" s="23"/>
      <c r="AHN1139" s="23"/>
      <c r="AHO1139" s="23"/>
      <c r="AHP1139" s="23"/>
      <c r="AHQ1139" s="23"/>
      <c r="AHR1139" s="23"/>
      <c r="AHS1139" s="23"/>
      <c r="AHT1139" s="23"/>
      <c r="AHU1139" s="23"/>
      <c r="AHV1139" s="23"/>
      <c r="AHW1139" s="23"/>
      <c r="AHX1139" s="23"/>
      <c r="AHY1139" s="23"/>
      <c r="AHZ1139" s="23"/>
      <c r="AIA1139" s="23"/>
      <c r="AIB1139" s="23"/>
      <c r="AIC1139" s="23"/>
      <c r="AID1139" s="23"/>
      <c r="AIE1139" s="23"/>
      <c r="AIF1139" s="23"/>
      <c r="AIG1139" s="23"/>
      <c r="AIH1139" s="23"/>
      <c r="AII1139" s="23"/>
      <c r="AIJ1139" s="23"/>
      <c r="AIK1139" s="23"/>
      <c r="AIL1139" s="23"/>
      <c r="AIM1139" s="23"/>
      <c r="AIN1139" s="23"/>
      <c r="AIO1139" s="23"/>
      <c r="AIP1139" s="23"/>
      <c r="AIQ1139" s="23"/>
      <c r="AIR1139" s="23"/>
      <c r="AIS1139" s="23"/>
      <c r="AIT1139" s="23"/>
      <c r="AIU1139" s="23"/>
      <c r="AIV1139" s="23"/>
      <c r="AIW1139" s="23"/>
      <c r="AIX1139" s="23"/>
      <c r="AIY1139" s="23"/>
      <c r="AIZ1139" s="23"/>
      <c r="AJA1139" s="23"/>
      <c r="AJB1139" s="23"/>
      <c r="AJC1139" s="23"/>
      <c r="AJD1139" s="23"/>
      <c r="AJE1139" s="23"/>
      <c r="AJF1139" s="23"/>
      <c r="AJG1139" s="23"/>
      <c r="AJH1139" s="23"/>
      <c r="AJI1139" s="23"/>
      <c r="AJJ1139" s="23"/>
      <c r="AJK1139" s="23"/>
      <c r="AJL1139" s="23"/>
      <c r="AJM1139" s="23"/>
      <c r="AJN1139" s="23"/>
      <c r="AJO1139" s="23"/>
      <c r="AJP1139" s="23"/>
      <c r="AJQ1139" s="23"/>
      <c r="AJR1139" s="23"/>
      <c r="AJS1139" s="23"/>
      <c r="AJT1139" s="23"/>
      <c r="AJU1139" s="23"/>
      <c r="AJV1139" s="23"/>
      <c r="AJW1139" s="23"/>
      <c r="AJX1139" s="23"/>
      <c r="AJY1139" s="23"/>
      <c r="AJZ1139" s="23"/>
      <c r="AKA1139" s="23"/>
      <c r="AKB1139" s="23"/>
      <c r="AKC1139" s="23"/>
      <c r="AKD1139" s="23"/>
      <c r="AKE1139" s="23"/>
      <c r="AKF1139" s="23"/>
      <c r="AKG1139" s="23"/>
      <c r="AKH1139" s="23"/>
      <c r="AKI1139" s="23"/>
      <c r="AKJ1139" s="23"/>
      <c r="AKK1139" s="23"/>
      <c r="AKL1139" s="23"/>
      <c r="AKM1139" s="23"/>
      <c r="AKN1139" s="23"/>
      <c r="AKO1139" s="23"/>
      <c r="AKP1139" s="23"/>
      <c r="AKQ1139" s="23"/>
      <c r="AKR1139" s="23"/>
      <c r="AKS1139" s="23"/>
      <c r="AKT1139" s="23"/>
      <c r="AKU1139" s="23"/>
      <c r="AKV1139" s="23"/>
      <c r="AKW1139" s="23"/>
      <c r="AKX1139" s="23"/>
      <c r="AKY1139" s="23"/>
      <c r="AKZ1139" s="23"/>
      <c r="ALA1139" s="23"/>
      <c r="ALB1139" s="23"/>
      <c r="ALC1139" s="23"/>
      <c r="ALD1139" s="23"/>
      <c r="ALE1139" s="23"/>
      <c r="ALF1139" s="23"/>
      <c r="ALG1139" s="23"/>
      <c r="ALH1139" s="23"/>
      <c r="ALI1139" s="23"/>
      <c r="ALJ1139" s="23"/>
      <c r="ALK1139" s="23"/>
      <c r="ALL1139" s="23"/>
      <c r="ALM1139" s="23"/>
      <c r="ALN1139" s="23"/>
      <c r="ALO1139" s="23"/>
      <c r="ALP1139" s="23"/>
      <c r="ALQ1139" s="23"/>
      <c r="ALR1139" s="23"/>
      <c r="ALS1139" s="23"/>
      <c r="ALT1139" s="23"/>
      <c r="ALU1139" s="23"/>
      <c r="ALV1139" s="23"/>
      <c r="ALW1139" s="23"/>
      <c r="ALX1139" s="23"/>
      <c r="ALY1139" s="23"/>
      <c r="ALZ1139" s="23"/>
      <c r="AMA1139" s="23"/>
      <c r="AMB1139" s="23"/>
      <c r="AMC1139" s="23"/>
      <c r="AMD1139" s="23"/>
      <c r="AME1139" s="23"/>
      <c r="AMF1139" s="23"/>
      <c r="AMG1139" s="23"/>
      <c r="AMH1139" s="23"/>
      <c r="AMI1139" s="23"/>
      <c r="AMJ1139" s="23"/>
      <c r="AMK1139" s="23"/>
      <c r="AML1139" s="23"/>
      <c r="AMM1139" s="23"/>
      <c r="AMN1139" s="23"/>
      <c r="AMO1139" s="23"/>
      <c r="AMP1139" s="23"/>
      <c r="AMQ1139" s="23"/>
      <c r="AMR1139" s="23"/>
      <c r="AMS1139" s="23"/>
      <c r="AMT1139" s="23"/>
      <c r="AMU1139" s="23"/>
      <c r="AMV1139" s="23"/>
      <c r="AMW1139" s="23"/>
      <c r="AMX1139" s="23"/>
      <c r="AMY1139" s="23"/>
      <c r="AMZ1139" s="23"/>
      <c r="ANA1139" s="23"/>
      <c r="ANB1139" s="23"/>
      <c r="ANC1139" s="23"/>
      <c r="AND1139" s="23"/>
      <c r="ANE1139" s="23"/>
      <c r="ANF1139" s="23"/>
      <c r="ANG1139" s="23"/>
      <c r="ANH1139" s="23"/>
      <c r="ANI1139" s="23"/>
      <c r="ANJ1139" s="23"/>
      <c r="ANK1139" s="23"/>
      <c r="ANL1139" s="23"/>
      <c r="ANM1139" s="23"/>
      <c r="ANN1139" s="23"/>
      <c r="ANO1139" s="23"/>
      <c r="ANP1139" s="23"/>
      <c r="ANQ1139" s="23"/>
      <c r="ANR1139" s="23"/>
      <c r="ANS1139" s="23"/>
      <c r="ANT1139" s="23"/>
      <c r="ANU1139" s="23"/>
      <c r="ANV1139" s="23"/>
      <c r="ANW1139" s="23"/>
      <c r="ANX1139" s="23"/>
      <c r="ANY1139" s="23"/>
      <c r="ANZ1139" s="23"/>
      <c r="AOA1139" s="23"/>
      <c r="AOB1139" s="23"/>
      <c r="AOC1139" s="23"/>
      <c r="AOD1139" s="23"/>
      <c r="AOE1139" s="23"/>
      <c r="AOF1139" s="23"/>
      <c r="AOG1139" s="23"/>
      <c r="AOH1139" s="23"/>
      <c r="AOI1139" s="23"/>
      <c r="AOJ1139" s="23"/>
      <c r="AOK1139" s="23"/>
      <c r="AOL1139" s="23"/>
      <c r="AOM1139" s="23"/>
      <c r="AON1139" s="23"/>
      <c r="AOO1139" s="23"/>
      <c r="AOP1139" s="23"/>
      <c r="AOQ1139" s="23"/>
      <c r="AOR1139" s="23"/>
      <c r="AOS1139" s="23"/>
      <c r="AOT1139" s="23"/>
      <c r="AOU1139" s="23"/>
      <c r="AOV1139" s="23"/>
      <c r="AOW1139" s="23"/>
      <c r="AOX1139" s="23"/>
      <c r="AOY1139" s="23"/>
      <c r="AOZ1139" s="23"/>
      <c r="APA1139" s="23"/>
      <c r="APB1139" s="23"/>
      <c r="APC1139" s="23"/>
      <c r="APD1139" s="23"/>
      <c r="APE1139" s="23"/>
      <c r="APF1139" s="23"/>
      <c r="APG1139" s="23"/>
      <c r="APH1139" s="23"/>
      <c r="API1139" s="23"/>
      <c r="APJ1139" s="23"/>
      <c r="APK1139" s="23"/>
      <c r="APL1139" s="23"/>
      <c r="APM1139" s="23"/>
      <c r="APN1139" s="23"/>
      <c r="APO1139" s="23"/>
      <c r="APP1139" s="23"/>
      <c r="APQ1139" s="23"/>
      <c r="APR1139" s="23"/>
      <c r="APS1139" s="23"/>
      <c r="APT1139" s="23"/>
      <c r="APU1139" s="23"/>
      <c r="APV1139" s="23"/>
      <c r="APW1139" s="23"/>
      <c r="APX1139" s="23"/>
      <c r="APY1139" s="23"/>
      <c r="APZ1139" s="23"/>
      <c r="AQA1139" s="23"/>
      <c r="AQB1139" s="23"/>
      <c r="AQC1139" s="23"/>
      <c r="AQD1139" s="23"/>
      <c r="AQE1139" s="23"/>
      <c r="AQF1139" s="23"/>
      <c r="AQG1139" s="23"/>
      <c r="AQH1139" s="23"/>
      <c r="AQI1139" s="23"/>
      <c r="AQJ1139" s="23"/>
      <c r="AQK1139" s="23"/>
      <c r="AQL1139" s="23"/>
      <c r="AQM1139" s="23"/>
      <c r="AQN1139" s="23"/>
      <c r="AQO1139" s="23"/>
      <c r="AQP1139" s="23"/>
      <c r="AQQ1139" s="23"/>
      <c r="AQR1139" s="23"/>
      <c r="AQS1139" s="23"/>
      <c r="AQT1139" s="23"/>
      <c r="AQU1139" s="23"/>
      <c r="AQV1139" s="23"/>
      <c r="AQW1139" s="23"/>
      <c r="AQX1139" s="23"/>
      <c r="AQY1139" s="23"/>
      <c r="AQZ1139" s="23"/>
      <c r="ARA1139" s="23"/>
      <c r="ARB1139" s="23"/>
      <c r="ARC1139" s="23"/>
      <c r="ARD1139" s="23"/>
      <c r="ARE1139" s="23"/>
      <c r="ARF1139" s="23"/>
      <c r="ARG1139" s="23"/>
      <c r="ARH1139" s="23"/>
      <c r="ARI1139" s="23"/>
      <c r="ARJ1139" s="23"/>
      <c r="ARK1139" s="23"/>
      <c r="ARL1139" s="23"/>
      <c r="ARM1139" s="23"/>
      <c r="ARN1139" s="23"/>
      <c r="ARO1139" s="23"/>
      <c r="ARP1139" s="23"/>
      <c r="ARQ1139" s="23"/>
      <c r="ARR1139" s="23"/>
      <c r="ARS1139" s="23"/>
      <c r="ART1139" s="23"/>
      <c r="ARU1139" s="23"/>
      <c r="ARV1139" s="23"/>
      <c r="ARW1139" s="23"/>
      <c r="ARX1139" s="23"/>
      <c r="ARY1139" s="23"/>
      <c r="ARZ1139" s="23"/>
      <c r="ASA1139" s="23"/>
      <c r="ASB1139" s="23"/>
      <c r="ASC1139" s="23"/>
      <c r="ASD1139" s="23"/>
      <c r="ASE1139" s="23"/>
      <c r="ASF1139" s="23"/>
      <c r="ASG1139" s="23"/>
      <c r="ASH1139" s="23"/>
      <c r="ASI1139" s="23"/>
      <c r="ASJ1139" s="23"/>
      <c r="ASK1139" s="23"/>
      <c r="ASL1139" s="23"/>
      <c r="ASM1139" s="23"/>
      <c r="ASN1139" s="23"/>
      <c r="ASO1139" s="23"/>
      <c r="ASP1139" s="23"/>
      <c r="ASQ1139" s="23"/>
      <c r="ASR1139" s="23"/>
      <c r="ASS1139" s="23"/>
      <c r="AST1139" s="23"/>
      <c r="ASU1139" s="23"/>
      <c r="ASV1139" s="23"/>
      <c r="ASW1139" s="23"/>
      <c r="ASX1139" s="23"/>
      <c r="ASY1139" s="23"/>
      <c r="ASZ1139" s="23"/>
      <c r="ATA1139" s="23"/>
      <c r="ATB1139" s="23"/>
      <c r="ATC1139" s="23"/>
      <c r="ATD1139" s="23"/>
      <c r="ATE1139" s="23"/>
      <c r="ATF1139" s="23"/>
      <c r="ATG1139" s="23"/>
      <c r="ATH1139" s="23"/>
      <c r="ATI1139" s="23"/>
      <c r="ATJ1139" s="23"/>
      <c r="ATK1139" s="23"/>
      <c r="ATL1139" s="23"/>
      <c r="ATM1139" s="23"/>
      <c r="ATN1139" s="23"/>
      <c r="ATO1139" s="23"/>
      <c r="ATP1139" s="23"/>
      <c r="ATQ1139" s="23"/>
      <c r="ATR1139" s="23"/>
      <c r="ATS1139" s="23"/>
      <c r="ATT1139" s="23"/>
      <c r="ATU1139" s="23"/>
      <c r="ATV1139" s="23"/>
      <c r="ATW1139" s="23"/>
      <c r="ATX1139" s="23"/>
      <c r="ATY1139" s="23"/>
      <c r="ATZ1139" s="23"/>
      <c r="AUA1139" s="23"/>
      <c r="AUB1139" s="23"/>
      <c r="AUC1139" s="23"/>
      <c r="AUD1139" s="23"/>
      <c r="AUE1139" s="23"/>
      <c r="AUF1139" s="23"/>
      <c r="AUG1139" s="23"/>
      <c r="AUH1139" s="23"/>
      <c r="AUI1139" s="23"/>
      <c r="AUJ1139" s="23"/>
      <c r="AUK1139" s="23"/>
      <c r="AUL1139" s="23"/>
      <c r="AUM1139" s="23"/>
      <c r="AUN1139" s="23"/>
      <c r="AUO1139" s="23"/>
      <c r="AUP1139" s="23"/>
      <c r="AUQ1139" s="23"/>
      <c r="AUR1139" s="23"/>
      <c r="AUS1139" s="23"/>
      <c r="AUT1139" s="23"/>
      <c r="AUU1139" s="23"/>
      <c r="AUV1139" s="23"/>
      <c r="AUW1139" s="23"/>
      <c r="AUX1139" s="23"/>
      <c r="AUY1139" s="23"/>
      <c r="AUZ1139" s="23"/>
      <c r="AVA1139" s="23"/>
      <c r="AVB1139" s="23"/>
      <c r="AVC1139" s="23"/>
      <c r="AVD1139" s="23"/>
      <c r="AVE1139" s="23"/>
      <c r="AVF1139" s="23"/>
      <c r="AVG1139" s="23"/>
      <c r="AVH1139" s="23"/>
      <c r="AVI1139" s="23"/>
      <c r="AVJ1139" s="23"/>
      <c r="AVK1139" s="23"/>
      <c r="AVL1139" s="23"/>
      <c r="AVM1139" s="23"/>
      <c r="AVN1139" s="23"/>
      <c r="AVO1139" s="23"/>
      <c r="AVP1139" s="23"/>
      <c r="AVQ1139" s="23"/>
      <c r="AVR1139" s="23"/>
      <c r="AVS1139" s="23"/>
      <c r="AVT1139" s="23"/>
      <c r="AVU1139" s="23"/>
      <c r="AVV1139" s="23"/>
      <c r="AVW1139" s="23"/>
      <c r="AVX1139" s="23"/>
      <c r="AVY1139" s="23"/>
      <c r="AVZ1139" s="23"/>
      <c r="AWA1139" s="23"/>
      <c r="AWB1139" s="23"/>
      <c r="AWC1139" s="23"/>
      <c r="AWD1139" s="23"/>
      <c r="AWE1139" s="23"/>
      <c r="AWF1139" s="23"/>
      <c r="AWG1139" s="23"/>
      <c r="AWH1139" s="23"/>
      <c r="AWI1139" s="23"/>
      <c r="AWJ1139" s="23"/>
      <c r="AWK1139" s="23"/>
      <c r="AWL1139" s="23"/>
      <c r="AWM1139" s="23"/>
      <c r="AWN1139" s="23"/>
      <c r="AWO1139" s="23"/>
      <c r="AWP1139" s="23"/>
      <c r="AWQ1139" s="23"/>
      <c r="AWR1139" s="23"/>
      <c r="AWS1139" s="23"/>
      <c r="AWT1139" s="23"/>
      <c r="AWU1139" s="23"/>
      <c r="AWV1139" s="23"/>
      <c r="AWW1139" s="23"/>
      <c r="AWX1139" s="23"/>
      <c r="AWY1139" s="23"/>
      <c r="AWZ1139" s="23"/>
      <c r="AXA1139" s="23"/>
      <c r="AXB1139" s="23"/>
      <c r="AXC1139" s="23"/>
      <c r="AXD1139" s="23"/>
      <c r="AXE1139" s="23"/>
      <c r="AXF1139" s="23"/>
      <c r="AXG1139" s="23"/>
      <c r="AXH1139" s="23"/>
      <c r="AXI1139" s="23"/>
      <c r="AXJ1139" s="23"/>
      <c r="AXK1139" s="23"/>
      <c r="AXL1139" s="23"/>
      <c r="AXM1139" s="23"/>
      <c r="AXN1139" s="23"/>
      <c r="AXO1139" s="23"/>
      <c r="AXP1139" s="23"/>
      <c r="AXQ1139" s="23"/>
      <c r="AXR1139" s="23"/>
      <c r="AXS1139" s="23"/>
      <c r="AXT1139" s="23"/>
      <c r="AXU1139" s="23"/>
      <c r="AXV1139" s="23"/>
      <c r="AXW1139" s="23"/>
      <c r="AXX1139" s="23"/>
      <c r="AXY1139" s="23"/>
      <c r="AXZ1139" s="23"/>
      <c r="AYA1139" s="23"/>
      <c r="AYB1139" s="23"/>
      <c r="AYC1139" s="23"/>
      <c r="AYD1139" s="23"/>
      <c r="AYE1139" s="23"/>
      <c r="AYF1139" s="23"/>
      <c r="AYG1139" s="23"/>
      <c r="AYH1139" s="23"/>
      <c r="AYI1139" s="23"/>
      <c r="AYJ1139" s="23"/>
      <c r="AYK1139" s="23"/>
      <c r="AYL1139" s="23"/>
      <c r="AYM1139" s="23"/>
      <c r="AYN1139" s="23"/>
      <c r="AYO1139" s="23"/>
      <c r="AYP1139" s="23"/>
      <c r="AYQ1139" s="23"/>
      <c r="AYR1139" s="23"/>
      <c r="AYS1139" s="23"/>
      <c r="AYT1139" s="23"/>
      <c r="AYU1139" s="23"/>
      <c r="AYV1139" s="23"/>
      <c r="AYW1139" s="23"/>
      <c r="AYX1139" s="23"/>
      <c r="AYY1139" s="23"/>
      <c r="AYZ1139" s="23"/>
      <c r="AZA1139" s="23"/>
      <c r="AZB1139" s="23"/>
      <c r="AZC1139" s="23"/>
      <c r="AZD1139" s="23"/>
      <c r="AZE1139" s="23"/>
      <c r="AZF1139" s="23"/>
      <c r="AZG1139" s="23"/>
      <c r="AZH1139" s="23"/>
      <c r="AZI1139" s="23"/>
      <c r="AZJ1139" s="23"/>
      <c r="AZK1139" s="23"/>
      <c r="AZL1139" s="23"/>
      <c r="AZM1139" s="23"/>
      <c r="AZN1139" s="23"/>
      <c r="AZO1139" s="23"/>
      <c r="AZP1139" s="23"/>
      <c r="AZQ1139" s="23"/>
      <c r="AZR1139" s="23"/>
      <c r="AZS1139" s="23"/>
      <c r="AZT1139" s="23"/>
      <c r="AZU1139" s="23"/>
      <c r="AZV1139" s="23"/>
      <c r="AZW1139" s="23"/>
      <c r="AZX1139" s="23"/>
      <c r="AZY1139" s="23"/>
      <c r="AZZ1139" s="23"/>
      <c r="BAA1139" s="23"/>
      <c r="BAB1139" s="23"/>
      <c r="BAC1139" s="23"/>
      <c r="BAD1139" s="23"/>
      <c r="BAE1139" s="23"/>
      <c r="BAF1139" s="23"/>
      <c r="BAG1139" s="23"/>
      <c r="BAH1139" s="23"/>
      <c r="BAI1139" s="23"/>
      <c r="BAJ1139" s="23"/>
      <c r="BAK1139" s="23"/>
      <c r="BAL1139" s="23"/>
      <c r="BAM1139" s="23"/>
      <c r="BAN1139" s="23"/>
      <c r="BAO1139" s="23"/>
      <c r="BAP1139" s="23"/>
      <c r="BAQ1139" s="23"/>
      <c r="BAR1139" s="23"/>
      <c r="BAS1139" s="23"/>
      <c r="BAT1139" s="23"/>
      <c r="BAU1139" s="23"/>
      <c r="BAV1139" s="23"/>
      <c r="BAW1139" s="23"/>
      <c r="BAX1139" s="23"/>
      <c r="BAY1139" s="23"/>
      <c r="BAZ1139" s="23"/>
      <c r="BBA1139" s="23"/>
      <c r="BBB1139" s="23"/>
      <c r="BBC1139" s="23"/>
      <c r="BBD1139" s="23"/>
      <c r="BBE1139" s="23"/>
      <c r="BBF1139" s="23"/>
      <c r="BBG1139" s="23"/>
      <c r="BBH1139" s="23"/>
      <c r="BBI1139" s="23"/>
      <c r="BBJ1139" s="23"/>
      <c r="BBK1139" s="23"/>
      <c r="BBL1139" s="23"/>
      <c r="BBM1139" s="23"/>
      <c r="BBN1139" s="23"/>
      <c r="BBO1139" s="23"/>
      <c r="BBP1139" s="23"/>
      <c r="BBQ1139" s="23"/>
      <c r="BBR1139" s="23"/>
      <c r="BBS1139" s="23"/>
      <c r="BBT1139" s="23"/>
      <c r="BBU1139" s="23"/>
      <c r="BBV1139" s="23"/>
      <c r="BBW1139" s="23"/>
      <c r="BBX1139" s="23"/>
      <c r="BBY1139" s="23"/>
      <c r="BBZ1139" s="23"/>
      <c r="BCA1139" s="23"/>
      <c r="BCB1139" s="23"/>
      <c r="BCC1139" s="23"/>
      <c r="BCD1139" s="23"/>
      <c r="BCE1139" s="23"/>
      <c r="BCF1139" s="23"/>
      <c r="BCG1139" s="23"/>
      <c r="BCH1139" s="23"/>
      <c r="BCI1139" s="23"/>
      <c r="BCJ1139" s="23"/>
      <c r="BCK1139" s="23"/>
      <c r="BCL1139" s="23"/>
      <c r="BCM1139" s="23"/>
      <c r="BCN1139" s="23"/>
      <c r="BCO1139" s="23"/>
      <c r="BCP1139" s="23"/>
      <c r="BCQ1139" s="23"/>
      <c r="BCR1139" s="23"/>
      <c r="BCS1139" s="23"/>
      <c r="BCT1139" s="23"/>
      <c r="BCU1139" s="23"/>
      <c r="BCV1139" s="23"/>
      <c r="BCW1139" s="23"/>
      <c r="BCX1139" s="23"/>
      <c r="BCY1139" s="23"/>
      <c r="BCZ1139" s="23"/>
      <c r="BDA1139" s="23"/>
      <c r="BDB1139" s="23"/>
      <c r="BDC1139" s="23"/>
      <c r="BDD1139" s="23"/>
      <c r="BDE1139" s="23"/>
      <c r="BDF1139" s="23"/>
      <c r="BDG1139" s="23"/>
      <c r="BDH1139" s="23"/>
      <c r="BDI1139" s="23"/>
      <c r="BDJ1139" s="23"/>
      <c r="BDK1139" s="23"/>
      <c r="BDL1139" s="23"/>
      <c r="BDM1139" s="23"/>
      <c r="BDN1139" s="23"/>
      <c r="BDO1139" s="23"/>
      <c r="BDP1139" s="23"/>
      <c r="BDQ1139" s="23"/>
      <c r="BDR1139" s="23"/>
      <c r="BDS1139" s="23"/>
      <c r="BDT1139" s="23"/>
      <c r="BDU1139" s="23"/>
      <c r="BDV1139" s="23"/>
      <c r="BDW1139" s="23"/>
      <c r="BDX1139" s="23"/>
      <c r="BDY1139" s="23"/>
      <c r="BDZ1139" s="23"/>
      <c r="BEA1139" s="23"/>
      <c r="BEB1139" s="23"/>
      <c r="BEC1139" s="23"/>
      <c r="BED1139" s="23"/>
      <c r="BEE1139" s="23"/>
      <c r="BEF1139" s="23"/>
      <c r="BEG1139" s="23"/>
      <c r="BEH1139" s="23"/>
      <c r="BEI1139" s="23"/>
      <c r="BEJ1139" s="23"/>
      <c r="BEK1139" s="23"/>
      <c r="BEL1139" s="23"/>
      <c r="BEM1139" s="23"/>
      <c r="BEN1139" s="23"/>
      <c r="BEO1139" s="23"/>
      <c r="BEP1139" s="23"/>
      <c r="BEQ1139" s="23"/>
      <c r="BER1139" s="23"/>
      <c r="BES1139" s="23"/>
      <c r="BET1139" s="23"/>
      <c r="BEU1139" s="23"/>
      <c r="BEV1139" s="23"/>
      <c r="BEW1139" s="23"/>
      <c r="BEX1139" s="23"/>
      <c r="BEY1139" s="23"/>
      <c r="BEZ1139" s="23"/>
      <c r="BFA1139" s="23"/>
      <c r="BFB1139" s="23"/>
      <c r="BFC1139" s="23"/>
      <c r="BFD1139" s="23"/>
      <c r="BFE1139" s="23"/>
      <c r="BFF1139" s="23"/>
      <c r="BFG1139" s="23"/>
      <c r="BFH1139" s="23"/>
      <c r="BFI1139" s="23"/>
      <c r="BFJ1139" s="23"/>
      <c r="BFK1139" s="23"/>
      <c r="BFL1139" s="23"/>
      <c r="BFM1139" s="23"/>
      <c r="BFN1139" s="23"/>
      <c r="BFO1139" s="23"/>
      <c r="BFP1139" s="23"/>
      <c r="BFQ1139" s="23"/>
      <c r="BFR1139" s="23"/>
      <c r="BFS1139" s="23"/>
      <c r="BFT1139" s="23"/>
      <c r="BFU1139" s="23"/>
      <c r="BFV1139" s="23"/>
      <c r="BFW1139" s="23"/>
      <c r="BFX1139" s="23"/>
      <c r="BFY1139" s="23"/>
      <c r="BFZ1139" s="23"/>
      <c r="BGA1139" s="23"/>
      <c r="BGB1139" s="23"/>
      <c r="BGC1139" s="23"/>
      <c r="BGD1139" s="23"/>
      <c r="BGE1139" s="23"/>
      <c r="BGF1139" s="23"/>
      <c r="BGG1139" s="23"/>
      <c r="BGH1139" s="23"/>
      <c r="BGI1139" s="23"/>
      <c r="BGJ1139" s="23"/>
      <c r="BGK1139" s="23"/>
      <c r="BGL1139" s="23"/>
      <c r="BGM1139" s="23"/>
      <c r="BGN1139" s="23"/>
      <c r="BGO1139" s="23"/>
      <c r="BGP1139" s="23"/>
      <c r="BGQ1139" s="23"/>
      <c r="BGR1139" s="23"/>
      <c r="BGS1139" s="23"/>
      <c r="BGT1139" s="23"/>
      <c r="BGU1139" s="23"/>
      <c r="BGV1139" s="23"/>
      <c r="BGW1139" s="23"/>
      <c r="BGX1139" s="23"/>
      <c r="BGY1139" s="23"/>
      <c r="BGZ1139" s="23"/>
      <c r="BHA1139" s="23"/>
      <c r="BHB1139" s="23"/>
      <c r="BHC1139" s="23"/>
      <c r="BHD1139" s="23"/>
      <c r="BHE1139" s="23"/>
      <c r="BHF1139" s="23"/>
      <c r="BHG1139" s="23"/>
      <c r="BHH1139" s="23"/>
      <c r="BHI1139" s="23"/>
      <c r="BHJ1139" s="23"/>
      <c r="BHK1139" s="23"/>
      <c r="BHL1139" s="23"/>
      <c r="BHM1139" s="23"/>
      <c r="BHN1139" s="23"/>
      <c r="BHO1139" s="23"/>
      <c r="BHP1139" s="23"/>
      <c r="BHQ1139" s="23"/>
      <c r="BHR1139" s="23"/>
      <c r="BHS1139" s="23"/>
      <c r="BHT1139" s="23"/>
      <c r="BHU1139" s="23"/>
      <c r="BHV1139" s="23"/>
      <c r="BHW1139" s="23"/>
      <c r="BHX1139" s="23"/>
      <c r="BHY1139" s="23"/>
      <c r="BHZ1139" s="23"/>
      <c r="BIA1139" s="23"/>
      <c r="BIB1139" s="23"/>
      <c r="BIC1139" s="23"/>
      <c r="BID1139" s="23"/>
      <c r="BIE1139" s="23"/>
      <c r="BIF1139" s="23"/>
      <c r="BIG1139" s="23"/>
      <c r="BIH1139" s="23"/>
      <c r="BII1139" s="23"/>
      <c r="BIJ1139" s="23"/>
      <c r="BIK1139" s="23"/>
      <c r="BIL1139" s="23"/>
      <c r="BIM1139" s="23"/>
      <c r="BIN1139" s="23"/>
      <c r="BIO1139" s="23"/>
      <c r="BIP1139" s="23"/>
      <c r="BIQ1139" s="23"/>
      <c r="BIR1139" s="23"/>
      <c r="BIS1139" s="23"/>
      <c r="BIT1139" s="23"/>
      <c r="BIU1139" s="23"/>
      <c r="BIV1139" s="23"/>
      <c r="BIW1139" s="23"/>
      <c r="BIX1139" s="23"/>
      <c r="BIY1139" s="23"/>
      <c r="BIZ1139" s="23"/>
      <c r="BJA1139" s="23"/>
      <c r="BJB1139" s="23"/>
      <c r="BJC1139" s="23"/>
      <c r="BJD1139" s="23"/>
      <c r="BJE1139" s="23"/>
      <c r="BJF1139" s="23"/>
      <c r="BJG1139" s="23"/>
      <c r="BJH1139" s="23"/>
      <c r="BJI1139" s="23"/>
      <c r="BJJ1139" s="23"/>
      <c r="BJK1139" s="23"/>
      <c r="BJL1139" s="23"/>
      <c r="BJM1139" s="23"/>
      <c r="BJN1139" s="23"/>
      <c r="BJO1139" s="23"/>
      <c r="BJP1139" s="23"/>
      <c r="BJQ1139" s="23"/>
      <c r="BJR1139" s="23"/>
      <c r="BJS1139" s="23"/>
      <c r="BJT1139" s="23"/>
      <c r="BJU1139" s="23"/>
      <c r="BJV1139" s="23"/>
      <c r="BJW1139" s="23"/>
      <c r="BJX1139" s="23"/>
      <c r="BJY1139" s="23"/>
      <c r="BJZ1139" s="23"/>
      <c r="BKA1139" s="23"/>
      <c r="BKB1139" s="23"/>
      <c r="BKC1139" s="23"/>
      <c r="BKD1139" s="23"/>
      <c r="BKE1139" s="23"/>
      <c r="BKF1139" s="23"/>
      <c r="BKG1139" s="23"/>
      <c r="BKH1139" s="23"/>
      <c r="BKI1139" s="23"/>
      <c r="BKJ1139" s="23"/>
      <c r="BKK1139" s="23"/>
      <c r="BKL1139" s="23"/>
      <c r="BKM1139" s="23"/>
      <c r="BKN1139" s="23"/>
      <c r="BKO1139" s="23"/>
      <c r="BKP1139" s="23"/>
      <c r="BKQ1139" s="23"/>
      <c r="BKR1139" s="23"/>
      <c r="BKS1139" s="23"/>
      <c r="BKT1139" s="23"/>
      <c r="BKU1139" s="23"/>
      <c r="BKV1139" s="23"/>
      <c r="BKW1139" s="23"/>
      <c r="BKX1139" s="23"/>
      <c r="BKY1139" s="23"/>
      <c r="BKZ1139" s="23"/>
      <c r="BLA1139" s="23"/>
      <c r="BLB1139" s="23"/>
      <c r="BLC1139" s="23"/>
      <c r="BLD1139" s="23"/>
      <c r="BLE1139" s="23"/>
      <c r="BLF1139" s="23"/>
      <c r="BLG1139" s="23"/>
      <c r="BLH1139" s="23"/>
      <c r="BLI1139" s="23"/>
      <c r="BLJ1139" s="23"/>
      <c r="BLK1139" s="23"/>
      <c r="BLL1139" s="23"/>
      <c r="BLM1139" s="23"/>
      <c r="BLN1139" s="23"/>
      <c r="BLO1139" s="23"/>
      <c r="BLP1139" s="23"/>
      <c r="BLQ1139" s="23"/>
      <c r="BLR1139" s="23"/>
      <c r="BLS1139" s="23"/>
      <c r="BLT1139" s="23"/>
      <c r="BLU1139" s="23"/>
      <c r="BLV1139" s="23"/>
      <c r="BLW1139" s="23"/>
      <c r="BLX1139" s="23"/>
      <c r="BLY1139" s="23"/>
      <c r="BLZ1139" s="23"/>
      <c r="BMA1139" s="23"/>
      <c r="BMB1139" s="23"/>
      <c r="BMC1139" s="23"/>
      <c r="BMD1139" s="23"/>
      <c r="BME1139" s="23"/>
      <c r="BMF1139" s="23"/>
      <c r="BMG1139" s="23"/>
      <c r="BMH1139" s="23"/>
      <c r="BMI1139" s="23"/>
      <c r="BMJ1139" s="23"/>
      <c r="BMK1139" s="23"/>
      <c r="BML1139" s="23"/>
      <c r="BMM1139" s="23"/>
      <c r="BMN1139" s="23"/>
      <c r="BMO1139" s="23"/>
      <c r="BMP1139" s="23"/>
      <c r="BMQ1139" s="23"/>
      <c r="BMR1139" s="23"/>
      <c r="BMS1139" s="23"/>
      <c r="BMT1139" s="23"/>
      <c r="BMU1139" s="23"/>
      <c r="BMV1139" s="23"/>
      <c r="BMW1139" s="23"/>
      <c r="BMX1139" s="23"/>
      <c r="BMY1139" s="23"/>
      <c r="BMZ1139" s="23"/>
      <c r="BNA1139" s="23"/>
      <c r="BNB1139" s="23"/>
      <c r="BNC1139" s="23"/>
      <c r="BND1139" s="23"/>
      <c r="BNE1139" s="23"/>
      <c r="BNF1139" s="23"/>
      <c r="BNG1139" s="23"/>
      <c r="BNH1139" s="23"/>
      <c r="BNI1139" s="23"/>
      <c r="BNJ1139" s="23"/>
      <c r="BNK1139" s="23"/>
      <c r="BNL1139" s="23"/>
      <c r="BNM1139" s="23"/>
      <c r="BNN1139" s="23"/>
      <c r="BNO1139" s="23"/>
      <c r="BNP1139" s="23"/>
      <c r="BNQ1139" s="23"/>
      <c r="BNR1139" s="23"/>
      <c r="BNS1139" s="23"/>
      <c r="BNT1139" s="23"/>
      <c r="BNU1139" s="23"/>
      <c r="BNV1139" s="23"/>
      <c r="BNW1139" s="23"/>
      <c r="BNX1139" s="23"/>
      <c r="BNY1139" s="23"/>
      <c r="BNZ1139" s="23"/>
      <c r="BOA1139" s="23"/>
      <c r="BOB1139" s="23"/>
      <c r="BOC1139" s="23"/>
      <c r="BOD1139" s="23"/>
      <c r="BOE1139" s="23"/>
      <c r="BOF1139" s="23"/>
      <c r="BOG1139" s="23"/>
      <c r="BOH1139" s="23"/>
      <c r="BOI1139" s="23"/>
      <c r="BOJ1139" s="23"/>
      <c r="BOK1139" s="23"/>
      <c r="BOL1139" s="23"/>
      <c r="BOM1139" s="23"/>
      <c r="BON1139" s="23"/>
      <c r="BOO1139" s="23"/>
      <c r="BOP1139" s="23"/>
      <c r="BOQ1139" s="23"/>
      <c r="BOR1139" s="23"/>
      <c r="BOS1139" s="23"/>
      <c r="BOT1139" s="23"/>
      <c r="BOU1139" s="23"/>
      <c r="BOV1139" s="23"/>
      <c r="BOW1139" s="23"/>
      <c r="BOX1139" s="23"/>
      <c r="BOY1139" s="23"/>
      <c r="BOZ1139" s="23"/>
      <c r="BPA1139" s="23"/>
      <c r="BPB1139" s="23"/>
      <c r="BPC1139" s="23"/>
      <c r="BPD1139" s="23"/>
      <c r="BPE1139" s="23"/>
      <c r="BPF1139" s="23"/>
      <c r="BPG1139" s="23"/>
      <c r="BPH1139" s="23"/>
      <c r="BPI1139" s="23"/>
      <c r="BPJ1139" s="23"/>
      <c r="BPK1139" s="23"/>
      <c r="BPL1139" s="23"/>
      <c r="BPM1139" s="23"/>
      <c r="BPN1139" s="23"/>
      <c r="BPO1139" s="23"/>
      <c r="BPP1139" s="23"/>
      <c r="BPQ1139" s="23"/>
      <c r="BPR1139" s="23"/>
      <c r="BPS1139" s="23"/>
      <c r="BPT1139" s="23"/>
      <c r="BPU1139" s="23"/>
      <c r="BPV1139" s="23"/>
      <c r="BPW1139" s="23"/>
      <c r="BPX1139" s="23"/>
      <c r="BPY1139" s="23"/>
      <c r="BPZ1139" s="23"/>
      <c r="BQA1139" s="23"/>
      <c r="BQB1139" s="23"/>
      <c r="BQC1139" s="23"/>
      <c r="BQD1139" s="23"/>
      <c r="BQE1139" s="23"/>
      <c r="BQF1139" s="23"/>
      <c r="BQG1139" s="23"/>
      <c r="BQH1139" s="23"/>
      <c r="BQI1139" s="23"/>
      <c r="BQJ1139" s="23"/>
      <c r="BQK1139" s="23"/>
      <c r="BQL1139" s="23"/>
      <c r="BQM1139" s="23"/>
      <c r="BQN1139" s="23"/>
      <c r="BQO1139" s="23"/>
      <c r="BQP1139" s="23"/>
      <c r="BQQ1139" s="23"/>
      <c r="BQR1139" s="23"/>
      <c r="BQS1139" s="23"/>
      <c r="BQT1139" s="23"/>
      <c r="BQU1139" s="23"/>
      <c r="BQV1139" s="23"/>
      <c r="BQW1139" s="23"/>
      <c r="BQX1139" s="23"/>
      <c r="BQY1139" s="23"/>
      <c r="BQZ1139" s="23"/>
      <c r="BRA1139" s="23"/>
      <c r="BRB1139" s="23"/>
      <c r="BRC1139" s="23"/>
      <c r="BRD1139" s="23"/>
      <c r="BRE1139" s="23"/>
      <c r="BRF1139" s="23"/>
      <c r="BRG1139" s="23"/>
      <c r="BRH1139" s="23"/>
      <c r="BRI1139" s="23"/>
      <c r="BRJ1139" s="23"/>
      <c r="BRK1139" s="23"/>
      <c r="BRL1139" s="23"/>
      <c r="BRM1139" s="23"/>
      <c r="BRN1139" s="23"/>
      <c r="BRO1139" s="23"/>
      <c r="BRP1139" s="23"/>
      <c r="BRQ1139" s="23"/>
      <c r="BRR1139" s="23"/>
      <c r="BRS1139" s="23"/>
      <c r="BRT1139" s="23"/>
      <c r="BRU1139" s="23"/>
      <c r="BRV1139" s="23"/>
      <c r="BRW1139" s="23"/>
      <c r="BRX1139" s="23"/>
      <c r="BRY1139" s="23"/>
      <c r="BRZ1139" s="23"/>
      <c r="BSA1139" s="23"/>
      <c r="BSB1139" s="23"/>
      <c r="BSC1139" s="23"/>
      <c r="BSD1139" s="23"/>
      <c r="BSE1139" s="23"/>
      <c r="BSF1139" s="23"/>
      <c r="BSG1139" s="23"/>
      <c r="BSH1139" s="23"/>
      <c r="BSI1139" s="23"/>
      <c r="BSJ1139" s="23"/>
      <c r="BSK1139" s="23"/>
      <c r="BSL1139" s="23"/>
      <c r="BSM1139" s="23"/>
      <c r="BSN1139" s="23"/>
      <c r="BSO1139" s="23"/>
      <c r="BSP1139" s="23"/>
      <c r="BSQ1139" s="23"/>
      <c r="BSR1139" s="23"/>
      <c r="BSS1139" s="23"/>
      <c r="BST1139" s="23"/>
      <c r="BSU1139" s="23"/>
      <c r="BSV1139" s="23"/>
      <c r="BSW1139" s="23"/>
      <c r="BSX1139" s="23"/>
      <c r="BSY1139" s="23"/>
      <c r="BSZ1139" s="23"/>
      <c r="BTA1139" s="23"/>
    </row>
    <row r="1140" spans="1:1873" s="23" customFormat="1" ht="15.75" x14ac:dyDescent="0.3">
      <c r="A1140" s="595" t="s">
        <v>872</v>
      </c>
      <c r="B1140" s="257" t="s">
        <v>873</v>
      </c>
      <c r="C1140" s="257" t="s">
        <v>126</v>
      </c>
      <c r="D1140" s="257" t="s">
        <v>1400</v>
      </c>
      <c r="E1140" s="257" t="s">
        <v>855</v>
      </c>
      <c r="F1140" s="257">
        <v>1</v>
      </c>
      <c r="G1140" s="257">
        <v>6</v>
      </c>
      <c r="H1140" s="263">
        <v>6</v>
      </c>
      <c r="I1140" s="257" t="s">
        <v>954</v>
      </c>
      <c r="J1140" s="257">
        <v>1997</v>
      </c>
      <c r="K1140" s="257" t="s">
        <v>1211</v>
      </c>
      <c r="L1140" s="257">
        <v>2002</v>
      </c>
      <c r="M1140" s="261">
        <v>-9999</v>
      </c>
      <c r="N1140" s="257">
        <v>-9999</v>
      </c>
      <c r="O1140" s="29"/>
      <c r="P1140" s="261">
        <f>38.08-6.98</f>
        <v>31.099999999999998</v>
      </c>
      <c r="Q1140" s="257">
        <v>-9999</v>
      </c>
      <c r="R1140" s="261"/>
      <c r="S1140" s="257"/>
      <c r="T1140" s="370">
        <f>+P1140/G1140</f>
        <v>5.1833333333333327</v>
      </c>
      <c r="U1140" s="257">
        <v>-9999</v>
      </c>
      <c r="V1140" s="257"/>
      <c r="W1140" s="261">
        <v>-9999</v>
      </c>
      <c r="X1140" s="257">
        <v>-9999</v>
      </c>
      <c r="Y1140" s="257"/>
      <c r="Z1140" s="327" t="s">
        <v>875</v>
      </c>
      <c r="AA1140" s="257">
        <v>1794</v>
      </c>
      <c r="AB1140" s="261">
        <v>0.96</v>
      </c>
      <c r="AC1140" s="257">
        <v>11.7</v>
      </c>
      <c r="AD1140" s="257">
        <v>943</v>
      </c>
      <c r="AE1140" s="327" t="s">
        <v>1969</v>
      </c>
      <c r="AF1140" s="257">
        <v>3</v>
      </c>
      <c r="AG1140" s="257" t="s">
        <v>843</v>
      </c>
      <c r="AH1140" s="257" t="s">
        <v>876</v>
      </c>
      <c r="AI1140" s="257" t="s">
        <v>858</v>
      </c>
      <c r="AJ1140" s="257">
        <v>-9999</v>
      </c>
      <c r="AK1140" s="257" t="s">
        <v>877</v>
      </c>
      <c r="AL1140" s="257" t="s">
        <v>828</v>
      </c>
      <c r="AM1140" s="257">
        <v>-9999</v>
      </c>
      <c r="AN1140" s="257" t="s">
        <v>626</v>
      </c>
      <c r="AO1140" s="257" t="s">
        <v>826</v>
      </c>
      <c r="AP1140" s="257" t="s">
        <v>879</v>
      </c>
      <c r="AQ1140" s="257" t="s">
        <v>626</v>
      </c>
      <c r="AR1140" s="257">
        <f>114*6</f>
        <v>684</v>
      </c>
      <c r="AS1140" s="257" t="s">
        <v>939</v>
      </c>
      <c r="AT1140" s="257" t="s">
        <v>546</v>
      </c>
      <c r="AU1140" s="257">
        <f>16.6*6</f>
        <v>99.600000000000009</v>
      </c>
      <c r="AV1140" s="257" t="s">
        <v>549</v>
      </c>
      <c r="AW1140" s="257" t="s">
        <v>546</v>
      </c>
      <c r="AX1140" s="257">
        <f>63*6</f>
        <v>378</v>
      </c>
      <c r="AY1140" s="257" t="s">
        <v>551</v>
      </c>
      <c r="AZ1140" s="257" t="s">
        <v>546</v>
      </c>
      <c r="BA1140" s="257" t="s">
        <v>760</v>
      </c>
      <c r="BB1140" s="257" t="s">
        <v>626</v>
      </c>
      <c r="BC1140" s="257" t="s">
        <v>881</v>
      </c>
      <c r="BD1140" s="257" t="s">
        <v>121</v>
      </c>
      <c r="BE1140" s="257" t="s">
        <v>122</v>
      </c>
      <c r="BF1140" s="257" t="s">
        <v>880</v>
      </c>
      <c r="BG1140" s="257">
        <v>-9999</v>
      </c>
      <c r="BH1140" s="257">
        <v>-9999</v>
      </c>
      <c r="BI1140" s="257" t="s">
        <v>123</v>
      </c>
      <c r="BJ1140" s="257">
        <v>12.38</v>
      </c>
      <c r="BK1140" s="257">
        <v>2.19</v>
      </c>
      <c r="BL1140" s="257">
        <v>7.96</v>
      </c>
      <c r="BM1140" s="257">
        <v>0.61</v>
      </c>
      <c r="BN1140" s="257">
        <v>9.1999999999999993</v>
      </c>
      <c r="BO1140" s="257">
        <v>0.8</v>
      </c>
      <c r="BP1140" s="257">
        <v>-9999</v>
      </c>
      <c r="BQ1140" s="257">
        <v>-9999</v>
      </c>
      <c r="BR1140" s="257">
        <v>-9999</v>
      </c>
      <c r="BS1140" s="594">
        <f>+BT1140*14.286</f>
        <v>771.30114000000003</v>
      </c>
      <c r="BT1140" s="257">
        <v>53.99</v>
      </c>
      <c r="BU1140" s="257">
        <v>-9999</v>
      </c>
      <c r="BV1140" s="257">
        <v>12.3</v>
      </c>
      <c r="BW1140" s="257"/>
      <c r="BX1140" s="257">
        <v>-9999</v>
      </c>
      <c r="BY1140" s="257">
        <v>-9999</v>
      </c>
      <c r="BZ1140" s="257">
        <v>-9999</v>
      </c>
      <c r="CA1140" s="300" t="s">
        <v>867</v>
      </c>
      <c r="CB1140" s="264"/>
      <c r="CC1140" s="257">
        <v>1</v>
      </c>
      <c r="CD1140" s="257" t="s">
        <v>126</v>
      </c>
      <c r="CE1140" s="292">
        <v>5.1833333333333327</v>
      </c>
      <c r="CF1140" s="292">
        <v>-9999</v>
      </c>
      <c r="CG1140" s="44">
        <v>6</v>
      </c>
    </row>
    <row r="1141" spans="1:1873" s="23" customFormat="1" x14ac:dyDescent="0.2">
      <c r="A1141" s="595"/>
      <c r="B1141" s="257"/>
      <c r="C1141" s="257"/>
      <c r="D1141" s="257"/>
      <c r="E1141" s="257"/>
      <c r="F1141" s="257"/>
      <c r="G1141" s="257"/>
      <c r="H1141" s="263"/>
      <c r="I1141" s="257"/>
      <c r="J1141" s="257"/>
      <c r="K1141" s="257"/>
      <c r="L1141" s="257"/>
      <c r="M1141" s="261"/>
      <c r="N1141" s="257"/>
      <c r="O1141" s="29"/>
      <c r="P1141" s="261"/>
      <c r="Q1141" s="257"/>
      <c r="R1141" s="261"/>
      <c r="S1141" s="257"/>
      <c r="T1141" s="370"/>
      <c r="U1141" s="257"/>
      <c r="V1141" s="257"/>
      <c r="W1141" s="261"/>
      <c r="X1141" s="257"/>
      <c r="Y1141" s="257"/>
      <c r="Z1141" s="257"/>
      <c r="AA1141" s="257"/>
      <c r="AB1141" s="261"/>
      <c r="AC1141" s="257"/>
      <c r="AD1141" s="257"/>
      <c r="AE1141" s="257"/>
      <c r="AF1141" s="257"/>
      <c r="AG1141" s="257"/>
      <c r="AH1141" s="257"/>
      <c r="AI1141" s="257"/>
      <c r="AJ1141" s="257"/>
      <c r="AK1141" s="257"/>
      <c r="AL1141" s="257"/>
      <c r="AM1141" s="257"/>
      <c r="AN1141" s="257"/>
      <c r="AO1141" s="257"/>
      <c r="AP1141" s="257"/>
      <c r="AQ1141" s="257"/>
      <c r="AR1141" s="257"/>
      <c r="AS1141" s="257"/>
      <c r="AT1141" s="257"/>
      <c r="AU1141" s="257"/>
      <c r="AV1141" s="257"/>
      <c r="AW1141" s="257"/>
      <c r="AX1141" s="257"/>
      <c r="AY1141" s="257"/>
      <c r="AZ1141" s="257"/>
      <c r="BA1141" s="257"/>
      <c r="BB1141" s="257"/>
      <c r="BC1141" s="257"/>
      <c r="BD1141" s="257"/>
      <c r="BE1141" s="257"/>
      <c r="BF1141" s="257"/>
      <c r="BG1141" s="257"/>
      <c r="BH1141" s="257"/>
      <c r="BI1141" s="257"/>
      <c r="BJ1141" s="257"/>
      <c r="BK1141" s="257"/>
      <c r="BL1141" s="257"/>
      <c r="BM1141" s="257"/>
      <c r="BN1141" s="257"/>
      <c r="BO1141" s="257"/>
      <c r="BP1141" s="257"/>
      <c r="BQ1141" s="257"/>
      <c r="BR1141" s="257"/>
      <c r="BS1141" s="594"/>
      <c r="BT1141" s="257"/>
      <c r="BU1141" s="257"/>
      <c r="BV1141" s="257"/>
      <c r="BW1141" s="257"/>
      <c r="BX1141" s="257"/>
      <c r="BY1141" s="257"/>
      <c r="BZ1141" s="257"/>
      <c r="CA1141" s="300"/>
      <c r="CB1141" s="264"/>
      <c r="CC1141" s="257"/>
      <c r="CD1141" s="257"/>
      <c r="CE1141" s="342" t="s">
        <v>1661</v>
      </c>
      <c r="CF1141" s="292"/>
      <c r="CG1141" s="44"/>
    </row>
    <row r="1142" spans="1:1873" s="216" customFormat="1" x14ac:dyDescent="0.2">
      <c r="A1142" s="366" t="s">
        <v>872</v>
      </c>
      <c r="B1142" s="257" t="s">
        <v>873</v>
      </c>
      <c r="C1142" s="257" t="s">
        <v>119</v>
      </c>
      <c r="D1142" s="257" t="s">
        <v>1254</v>
      </c>
      <c r="E1142" s="257" t="s">
        <v>882</v>
      </c>
      <c r="F1142" s="257">
        <v>1</v>
      </c>
      <c r="G1142" s="257">
        <v>6</v>
      </c>
      <c r="H1142" s="263">
        <v>6</v>
      </c>
      <c r="I1142" s="257" t="s">
        <v>954</v>
      </c>
      <c r="J1142" s="257">
        <v>1997</v>
      </c>
      <c r="K1142" s="257" t="s">
        <v>1211</v>
      </c>
      <c r="L1142" s="257">
        <v>2002</v>
      </c>
      <c r="M1142" s="261">
        <v>-9999</v>
      </c>
      <c r="N1142" s="257">
        <v>-9999</v>
      </c>
      <c r="O1142" s="29"/>
      <c r="P1142" s="261">
        <f>6.81-1.4</f>
        <v>5.41</v>
      </c>
      <c r="Q1142" s="257">
        <v>-9999</v>
      </c>
      <c r="R1142" s="261"/>
      <c r="S1142" s="257"/>
      <c r="T1142" s="370">
        <f>+P1142/G1142</f>
        <v>0.90166666666666673</v>
      </c>
      <c r="U1142" s="257">
        <v>-9999</v>
      </c>
      <c r="V1142" s="257"/>
      <c r="W1142" s="261">
        <v>-9999</v>
      </c>
      <c r="X1142" s="257">
        <v>-9999</v>
      </c>
      <c r="Y1142" s="257"/>
      <c r="Z1142" s="327" t="s">
        <v>875</v>
      </c>
      <c r="AA1142" s="257">
        <v>1794</v>
      </c>
      <c r="AB1142" s="261">
        <v>0.97</v>
      </c>
      <c r="AC1142" s="257">
        <v>11.7</v>
      </c>
      <c r="AD1142" s="257">
        <v>943</v>
      </c>
      <c r="AE1142" s="327" t="s">
        <v>1969</v>
      </c>
      <c r="AF1142" s="257">
        <v>3</v>
      </c>
      <c r="AG1142" s="257" t="s">
        <v>843</v>
      </c>
      <c r="AH1142" s="257" t="s">
        <v>876</v>
      </c>
      <c r="AI1142" s="257" t="s">
        <v>858</v>
      </c>
      <c r="AJ1142" s="257">
        <v>-9999</v>
      </c>
      <c r="AK1142" s="257" t="s">
        <v>877</v>
      </c>
      <c r="AL1142" s="257" t="s">
        <v>828</v>
      </c>
      <c r="AM1142" s="257">
        <v>-9999</v>
      </c>
      <c r="AN1142" s="257" t="s">
        <v>631</v>
      </c>
      <c r="AO1142" s="257" t="s">
        <v>871</v>
      </c>
      <c r="AP1142" s="257" t="s">
        <v>871</v>
      </c>
      <c r="AQ1142" s="257" t="s">
        <v>631</v>
      </c>
      <c r="AR1142" s="257">
        <v>0</v>
      </c>
      <c r="AS1142" s="257">
        <v>-9999</v>
      </c>
      <c r="AT1142" s="257"/>
      <c r="AU1142" s="257">
        <v>0</v>
      </c>
      <c r="AV1142" s="257">
        <v>-9999</v>
      </c>
      <c r="AW1142" s="257"/>
      <c r="AX1142" s="257">
        <v>0</v>
      </c>
      <c r="AY1142" s="257">
        <v>-9999</v>
      </c>
      <c r="AZ1142" s="257" t="s">
        <v>871</v>
      </c>
      <c r="BA1142" s="257">
        <v>-9999</v>
      </c>
      <c r="BB1142" s="257" t="s">
        <v>626</v>
      </c>
      <c r="BC1142" s="257" t="s">
        <v>881</v>
      </c>
      <c r="BD1142" s="257" t="s">
        <v>121</v>
      </c>
      <c r="BE1142" s="257" t="s">
        <v>122</v>
      </c>
      <c r="BF1142" s="257" t="s">
        <v>120</v>
      </c>
      <c r="BG1142" s="257">
        <v>-9999</v>
      </c>
      <c r="BH1142" s="257">
        <v>-9999</v>
      </c>
      <c r="BI1142" s="257" t="s">
        <v>123</v>
      </c>
      <c r="BJ1142" s="257">
        <v>1.39</v>
      </c>
      <c r="BK1142" s="257">
        <v>0.28999999999999998</v>
      </c>
      <c r="BL1142" s="257">
        <v>4.13</v>
      </c>
      <c r="BM1142" s="257">
        <v>0.48</v>
      </c>
      <c r="BN1142" s="257">
        <v>2.9</v>
      </c>
      <c r="BO1142" s="257">
        <v>0.4</v>
      </c>
      <c r="BP1142" s="257">
        <v>-9999</v>
      </c>
      <c r="BQ1142" s="257">
        <v>-9999</v>
      </c>
      <c r="BR1142" s="257">
        <v>-9999</v>
      </c>
      <c r="BS1142" s="594">
        <f>+BT1142*14.286</f>
        <v>84.430260000000004</v>
      </c>
      <c r="BT1142" s="257">
        <v>5.91</v>
      </c>
      <c r="BU1142" s="257">
        <v>-9999</v>
      </c>
      <c r="BV1142" s="257">
        <v>0.88</v>
      </c>
      <c r="BW1142" s="257"/>
      <c r="BX1142" s="257">
        <v>-9999</v>
      </c>
      <c r="BY1142" s="257">
        <v>-9999</v>
      </c>
      <c r="BZ1142" s="257">
        <v>-9999</v>
      </c>
      <c r="CA1142" s="300" t="s">
        <v>867</v>
      </c>
      <c r="CB1142" s="264"/>
      <c r="CC1142" s="257">
        <v>1</v>
      </c>
      <c r="CD1142" s="257" t="s">
        <v>119</v>
      </c>
      <c r="CE1142" s="292">
        <v>0.90166666666666673</v>
      </c>
      <c r="CF1142" s="292">
        <v>-9999</v>
      </c>
      <c r="CG1142" s="214">
        <v>6</v>
      </c>
      <c r="CH1142" s="301" t="s">
        <v>1757</v>
      </c>
      <c r="CI1142" s="23"/>
      <c r="CJ1142" s="23"/>
      <c r="CK1142" s="23"/>
      <c r="CL1142" s="23"/>
      <c r="CM1142" s="23"/>
      <c r="CN1142" s="23"/>
      <c r="CO1142" s="23"/>
      <c r="CP1142" s="23"/>
      <c r="CQ1142" s="23"/>
      <c r="CR1142" s="23"/>
      <c r="CS1142" s="23"/>
      <c r="CT1142" s="23"/>
      <c r="CU1142" s="23"/>
      <c r="CV1142" s="23"/>
      <c r="CW1142" s="23"/>
      <c r="CX1142" s="23"/>
      <c r="CY1142" s="23"/>
      <c r="CZ1142" s="23"/>
      <c r="DA1142" s="23"/>
      <c r="DB1142" s="23"/>
      <c r="DC1142" s="23"/>
      <c r="DD1142" s="23"/>
      <c r="DE1142" s="23"/>
      <c r="DF1142" s="23"/>
      <c r="DG1142" s="23"/>
      <c r="DH1142" s="23"/>
      <c r="DI1142" s="23"/>
      <c r="DJ1142" s="23"/>
      <c r="DK1142" s="23"/>
      <c r="DL1142" s="23"/>
      <c r="DM1142" s="23"/>
      <c r="DN1142" s="23"/>
      <c r="DO1142" s="23"/>
      <c r="DP1142" s="23"/>
      <c r="DQ1142" s="23"/>
      <c r="DR1142" s="23"/>
      <c r="DS1142" s="23"/>
      <c r="DT1142" s="23"/>
      <c r="DU1142" s="23"/>
      <c r="DV1142" s="23"/>
      <c r="DW1142" s="23"/>
      <c r="DX1142" s="23"/>
      <c r="DY1142" s="23"/>
      <c r="DZ1142" s="23"/>
      <c r="EA1142" s="23"/>
      <c r="EB1142" s="23"/>
      <c r="EC1142" s="23"/>
      <c r="ED1142" s="23"/>
      <c r="EE1142" s="23"/>
      <c r="EF1142" s="23"/>
      <c r="EG1142" s="23"/>
      <c r="EH1142" s="23"/>
      <c r="EI1142" s="23"/>
      <c r="EJ1142" s="23"/>
      <c r="EK1142" s="23"/>
      <c r="EL1142" s="23"/>
      <c r="EM1142" s="23"/>
      <c r="EN1142" s="23"/>
      <c r="EO1142" s="23"/>
      <c r="EP1142" s="23"/>
      <c r="EQ1142" s="23"/>
      <c r="ER1142" s="23"/>
      <c r="ES1142" s="23"/>
      <c r="ET1142" s="23"/>
      <c r="EU1142" s="23"/>
      <c r="EV1142" s="23"/>
      <c r="EW1142" s="23"/>
      <c r="EX1142" s="23"/>
      <c r="EY1142" s="23"/>
      <c r="EZ1142" s="23"/>
      <c r="FA1142" s="23"/>
      <c r="FB1142" s="23"/>
      <c r="FC1142" s="23"/>
      <c r="FD1142" s="23"/>
      <c r="FE1142" s="23"/>
      <c r="FF1142" s="23"/>
      <c r="FG1142" s="23"/>
      <c r="FH1142" s="23"/>
      <c r="FI1142" s="23"/>
      <c r="FJ1142" s="23"/>
      <c r="FK1142" s="23"/>
      <c r="FL1142" s="23"/>
      <c r="FM1142" s="23"/>
      <c r="FN1142" s="23"/>
      <c r="FO1142" s="23"/>
      <c r="FP1142" s="23"/>
      <c r="FQ1142" s="23"/>
      <c r="FR1142" s="23"/>
      <c r="FS1142" s="23"/>
      <c r="FT1142" s="23"/>
      <c r="FU1142" s="23"/>
      <c r="FV1142" s="23"/>
      <c r="FW1142" s="23"/>
      <c r="FX1142" s="23"/>
      <c r="FY1142" s="23"/>
      <c r="FZ1142" s="23"/>
      <c r="GA1142" s="23"/>
      <c r="GB1142" s="23"/>
      <c r="GC1142" s="23"/>
      <c r="GD1142" s="23"/>
      <c r="GE1142" s="23"/>
      <c r="GF1142" s="23"/>
      <c r="GG1142" s="23"/>
      <c r="GH1142" s="23"/>
      <c r="GI1142" s="23"/>
      <c r="GJ1142" s="23"/>
      <c r="GK1142" s="23"/>
      <c r="GL1142" s="23"/>
      <c r="GM1142" s="23"/>
      <c r="GN1142" s="23"/>
      <c r="GO1142" s="23"/>
      <c r="GP1142" s="23"/>
      <c r="GQ1142" s="23"/>
      <c r="GR1142" s="23"/>
      <c r="GS1142" s="23"/>
      <c r="GT1142" s="23"/>
      <c r="GU1142" s="23"/>
      <c r="GV1142" s="23"/>
      <c r="GW1142" s="23"/>
      <c r="GX1142" s="23"/>
      <c r="GY1142" s="23"/>
      <c r="GZ1142" s="23"/>
      <c r="HA1142" s="23"/>
      <c r="HB1142" s="23"/>
      <c r="HC1142" s="23"/>
      <c r="HD1142" s="23"/>
      <c r="HE1142" s="23"/>
      <c r="HF1142" s="23"/>
      <c r="HG1142" s="23"/>
      <c r="HH1142" s="23"/>
      <c r="HI1142" s="23"/>
      <c r="HJ1142" s="23"/>
      <c r="HK1142" s="23"/>
      <c r="HL1142" s="23"/>
      <c r="HM1142" s="23"/>
      <c r="HN1142" s="23"/>
      <c r="HO1142" s="23"/>
      <c r="HP1142" s="23"/>
      <c r="HQ1142" s="23"/>
      <c r="HR1142" s="23"/>
      <c r="HS1142" s="23"/>
      <c r="HT1142" s="23"/>
      <c r="HU1142" s="23"/>
      <c r="HV1142" s="23"/>
      <c r="HW1142" s="23"/>
      <c r="HX1142" s="23"/>
      <c r="HY1142" s="23"/>
      <c r="HZ1142" s="23"/>
      <c r="IA1142" s="23"/>
      <c r="IB1142" s="23"/>
      <c r="IC1142" s="23"/>
      <c r="ID1142" s="23"/>
      <c r="IE1142" s="23"/>
      <c r="IF1142" s="23"/>
      <c r="IG1142" s="23"/>
      <c r="IH1142" s="23"/>
      <c r="II1142" s="23"/>
      <c r="IJ1142" s="23"/>
      <c r="IK1142" s="23"/>
      <c r="IL1142" s="23"/>
      <c r="IM1142" s="23"/>
      <c r="IN1142" s="23"/>
      <c r="IO1142" s="23"/>
      <c r="IP1142" s="23"/>
      <c r="IQ1142" s="23"/>
      <c r="IR1142" s="23"/>
      <c r="IS1142" s="23"/>
      <c r="IT1142" s="23"/>
      <c r="IU1142" s="23"/>
      <c r="IV1142" s="23"/>
      <c r="IW1142" s="23"/>
      <c r="IX1142" s="23"/>
      <c r="IY1142" s="23"/>
      <c r="IZ1142" s="23"/>
      <c r="JA1142" s="23"/>
      <c r="JB1142" s="23"/>
      <c r="JC1142" s="23"/>
      <c r="JD1142" s="23"/>
      <c r="JE1142" s="23"/>
      <c r="JF1142" s="23"/>
      <c r="JG1142" s="23"/>
      <c r="JH1142" s="23"/>
      <c r="JI1142" s="23"/>
      <c r="JJ1142" s="23"/>
      <c r="JK1142" s="23"/>
      <c r="JL1142" s="23"/>
      <c r="JM1142" s="23"/>
      <c r="JN1142" s="23"/>
      <c r="JO1142" s="23"/>
      <c r="JP1142" s="23"/>
      <c r="JQ1142" s="23"/>
      <c r="JR1142" s="23"/>
      <c r="JS1142" s="23"/>
      <c r="JT1142" s="23"/>
      <c r="JU1142" s="23"/>
      <c r="JV1142" s="23"/>
      <c r="JW1142" s="23"/>
      <c r="JX1142" s="23"/>
      <c r="JY1142" s="23"/>
      <c r="JZ1142" s="23"/>
      <c r="KA1142" s="23"/>
      <c r="KB1142" s="23"/>
      <c r="KC1142" s="23"/>
      <c r="KD1142" s="23"/>
      <c r="KE1142" s="23"/>
      <c r="KF1142" s="23"/>
      <c r="KG1142" s="23"/>
      <c r="KH1142" s="23"/>
      <c r="KI1142" s="23"/>
      <c r="KJ1142" s="23"/>
      <c r="KK1142" s="23"/>
      <c r="KL1142" s="23"/>
      <c r="KM1142" s="23"/>
      <c r="KN1142" s="23"/>
      <c r="KO1142" s="23"/>
      <c r="KP1142" s="23"/>
      <c r="KQ1142" s="23"/>
      <c r="KR1142" s="23"/>
      <c r="KS1142" s="23"/>
      <c r="KT1142" s="23"/>
      <c r="KU1142" s="23"/>
      <c r="KV1142" s="23"/>
      <c r="KW1142" s="23"/>
      <c r="KX1142" s="23"/>
      <c r="KY1142" s="23"/>
      <c r="KZ1142" s="23"/>
      <c r="LA1142" s="23"/>
      <c r="LB1142" s="23"/>
      <c r="LC1142" s="23"/>
      <c r="LD1142" s="23"/>
      <c r="LE1142" s="23"/>
      <c r="LF1142" s="23"/>
      <c r="LG1142" s="23"/>
      <c r="LH1142" s="23"/>
      <c r="LI1142" s="23"/>
      <c r="LJ1142" s="23"/>
      <c r="LK1142" s="23"/>
      <c r="LL1142" s="23"/>
      <c r="LM1142" s="23"/>
      <c r="LN1142" s="23"/>
      <c r="LO1142" s="23"/>
      <c r="LP1142" s="23"/>
      <c r="LQ1142" s="23"/>
      <c r="LR1142" s="23"/>
      <c r="LS1142" s="23"/>
      <c r="LT1142" s="23"/>
      <c r="LU1142" s="23"/>
      <c r="LV1142" s="23"/>
      <c r="LW1142" s="23"/>
      <c r="LX1142" s="23"/>
      <c r="LY1142" s="23"/>
      <c r="LZ1142" s="23"/>
      <c r="MA1142" s="23"/>
      <c r="MB1142" s="23"/>
      <c r="MC1142" s="23"/>
      <c r="MD1142" s="23"/>
      <c r="ME1142" s="23"/>
      <c r="MF1142" s="23"/>
      <c r="MG1142" s="23"/>
      <c r="MH1142" s="23"/>
      <c r="MI1142" s="23"/>
      <c r="MJ1142" s="23"/>
      <c r="MK1142" s="23"/>
      <c r="ML1142" s="23"/>
      <c r="MM1142" s="23"/>
      <c r="MN1142" s="23"/>
      <c r="MO1142" s="23"/>
      <c r="MP1142" s="23"/>
      <c r="MQ1142" s="23"/>
      <c r="MR1142" s="23"/>
      <c r="MS1142" s="23"/>
      <c r="MT1142" s="23"/>
      <c r="MU1142" s="23"/>
      <c r="MV1142" s="23"/>
      <c r="MW1142" s="23"/>
      <c r="MX1142" s="23"/>
      <c r="MY1142" s="23"/>
      <c r="MZ1142" s="23"/>
      <c r="NA1142" s="23"/>
      <c r="NB1142" s="23"/>
      <c r="NC1142" s="23"/>
      <c r="ND1142" s="23"/>
      <c r="NE1142" s="23"/>
      <c r="NF1142" s="23"/>
      <c r="NG1142" s="23"/>
      <c r="NH1142" s="23"/>
      <c r="NI1142" s="23"/>
      <c r="NJ1142" s="23"/>
      <c r="NK1142" s="23"/>
      <c r="NL1142" s="23"/>
      <c r="NM1142" s="23"/>
      <c r="NN1142" s="23"/>
      <c r="NO1142" s="23"/>
      <c r="NP1142" s="23"/>
      <c r="NQ1142" s="23"/>
      <c r="NR1142" s="23"/>
      <c r="NS1142" s="23"/>
      <c r="NT1142" s="23"/>
      <c r="NU1142" s="23"/>
      <c r="NV1142" s="23"/>
      <c r="NW1142" s="23"/>
      <c r="NX1142" s="23"/>
      <c r="NY1142" s="23"/>
      <c r="NZ1142" s="23"/>
      <c r="OA1142" s="23"/>
      <c r="OB1142" s="23"/>
      <c r="OC1142" s="23"/>
      <c r="OD1142" s="23"/>
      <c r="OE1142" s="23"/>
      <c r="OF1142" s="23"/>
      <c r="OG1142" s="23"/>
      <c r="OH1142" s="23"/>
      <c r="OI1142" s="23"/>
      <c r="OJ1142" s="23"/>
      <c r="OK1142" s="23"/>
      <c r="OL1142" s="23"/>
      <c r="OM1142" s="23"/>
      <c r="ON1142" s="23"/>
      <c r="OO1142" s="23"/>
      <c r="OP1142" s="23"/>
      <c r="OQ1142" s="23"/>
      <c r="OR1142" s="23"/>
      <c r="OS1142" s="23"/>
      <c r="OT1142" s="23"/>
      <c r="OU1142" s="23"/>
      <c r="OV1142" s="23"/>
      <c r="OW1142" s="23"/>
      <c r="OX1142" s="23"/>
      <c r="OY1142" s="23"/>
      <c r="OZ1142" s="23"/>
      <c r="PA1142" s="23"/>
      <c r="PB1142" s="23"/>
      <c r="PC1142" s="23"/>
      <c r="PD1142" s="23"/>
      <c r="PE1142" s="23"/>
      <c r="PF1142" s="23"/>
      <c r="PG1142" s="23"/>
      <c r="PH1142" s="23"/>
      <c r="PI1142" s="23"/>
      <c r="PJ1142" s="23"/>
      <c r="PK1142" s="23"/>
      <c r="PL1142" s="23"/>
      <c r="PM1142" s="23"/>
      <c r="PN1142" s="23"/>
      <c r="PO1142" s="23"/>
      <c r="PP1142" s="23"/>
      <c r="PQ1142" s="23"/>
      <c r="PR1142" s="23"/>
      <c r="PS1142" s="23"/>
      <c r="PT1142" s="23"/>
      <c r="PU1142" s="23"/>
      <c r="PV1142" s="23"/>
      <c r="PW1142" s="23"/>
      <c r="PX1142" s="23"/>
      <c r="PY1142" s="23"/>
      <c r="PZ1142" s="23"/>
      <c r="QA1142" s="23"/>
      <c r="QB1142" s="23"/>
      <c r="QC1142" s="23"/>
      <c r="QD1142" s="23"/>
      <c r="QE1142" s="23"/>
      <c r="QF1142" s="23"/>
      <c r="QG1142" s="23"/>
      <c r="QH1142" s="23"/>
      <c r="QI1142" s="23"/>
      <c r="QJ1142" s="23"/>
      <c r="QK1142" s="23"/>
      <c r="QL1142" s="23"/>
      <c r="QM1142" s="23"/>
      <c r="QN1142" s="23"/>
      <c r="QO1142" s="23"/>
      <c r="QP1142" s="23"/>
      <c r="QQ1142" s="23"/>
      <c r="QR1142" s="23"/>
      <c r="QS1142" s="23"/>
      <c r="QT1142" s="23"/>
      <c r="QU1142" s="23"/>
      <c r="QV1142" s="23"/>
      <c r="QW1142" s="23"/>
      <c r="QX1142" s="23"/>
      <c r="QY1142" s="23"/>
      <c r="QZ1142" s="23"/>
      <c r="RA1142" s="23"/>
      <c r="RB1142" s="23"/>
      <c r="RC1142" s="23"/>
      <c r="RD1142" s="23"/>
      <c r="RE1142" s="23"/>
      <c r="RF1142" s="23"/>
      <c r="RG1142" s="23"/>
      <c r="RH1142" s="23"/>
      <c r="RI1142" s="23"/>
      <c r="RJ1142" s="23"/>
      <c r="RK1142" s="23"/>
      <c r="RL1142" s="23"/>
      <c r="RM1142" s="23"/>
      <c r="RN1142" s="23"/>
      <c r="RO1142" s="23"/>
      <c r="RP1142" s="23"/>
      <c r="RQ1142" s="23"/>
      <c r="RR1142" s="23"/>
      <c r="RS1142" s="23"/>
      <c r="RT1142" s="23"/>
      <c r="RU1142" s="23"/>
      <c r="RV1142" s="23"/>
      <c r="RW1142" s="23"/>
      <c r="RX1142" s="23"/>
      <c r="RY1142" s="23"/>
      <c r="RZ1142" s="23"/>
      <c r="SA1142" s="23"/>
      <c r="SB1142" s="23"/>
      <c r="SC1142" s="23"/>
      <c r="SD1142" s="23"/>
      <c r="SE1142" s="23"/>
      <c r="SF1142" s="23"/>
      <c r="SG1142" s="23"/>
      <c r="SH1142" s="23"/>
      <c r="SI1142" s="23"/>
      <c r="SJ1142" s="23"/>
      <c r="SK1142" s="23"/>
      <c r="SL1142" s="23"/>
      <c r="SM1142" s="23"/>
      <c r="SN1142" s="23"/>
      <c r="SO1142" s="23"/>
      <c r="SP1142" s="23"/>
      <c r="SQ1142" s="23"/>
      <c r="SR1142" s="23"/>
      <c r="SS1142" s="23"/>
      <c r="ST1142" s="23"/>
      <c r="SU1142" s="23"/>
      <c r="SV1142" s="23"/>
      <c r="SW1142" s="23"/>
      <c r="SX1142" s="23"/>
      <c r="SY1142" s="23"/>
      <c r="SZ1142" s="23"/>
      <c r="TA1142" s="23"/>
      <c r="TB1142" s="23"/>
      <c r="TC1142" s="23"/>
      <c r="TD1142" s="23"/>
      <c r="TE1142" s="23"/>
      <c r="TF1142" s="23"/>
      <c r="TG1142" s="23"/>
      <c r="TH1142" s="23"/>
      <c r="TI1142" s="23"/>
      <c r="TJ1142" s="23"/>
      <c r="TK1142" s="23"/>
      <c r="TL1142" s="23"/>
      <c r="TM1142" s="23"/>
      <c r="TN1142" s="23"/>
      <c r="TO1142" s="23"/>
      <c r="TP1142" s="23"/>
      <c r="TQ1142" s="23"/>
      <c r="TR1142" s="23"/>
      <c r="TS1142" s="23"/>
      <c r="TT1142" s="23"/>
      <c r="TU1142" s="23"/>
      <c r="TV1142" s="23"/>
      <c r="TW1142" s="23"/>
      <c r="TX1142" s="23"/>
      <c r="TY1142" s="23"/>
      <c r="TZ1142" s="23"/>
      <c r="UA1142" s="23"/>
      <c r="UB1142" s="23"/>
      <c r="UC1142" s="23"/>
      <c r="UD1142" s="23"/>
      <c r="UE1142" s="23"/>
      <c r="UF1142" s="23"/>
      <c r="UG1142" s="23"/>
      <c r="UH1142" s="23"/>
      <c r="UI1142" s="23"/>
      <c r="UJ1142" s="23"/>
      <c r="UK1142" s="23"/>
      <c r="UL1142" s="23"/>
      <c r="UM1142" s="23"/>
      <c r="UN1142" s="23"/>
      <c r="UO1142" s="23"/>
      <c r="UP1142" s="23"/>
      <c r="UQ1142" s="23"/>
      <c r="UR1142" s="23"/>
      <c r="US1142" s="23"/>
      <c r="UT1142" s="23"/>
      <c r="UU1142" s="23"/>
      <c r="UV1142" s="23"/>
      <c r="UW1142" s="23"/>
      <c r="UX1142" s="23"/>
      <c r="UY1142" s="23"/>
      <c r="UZ1142" s="23"/>
      <c r="VA1142" s="23"/>
      <c r="VB1142" s="23"/>
      <c r="VC1142" s="23"/>
      <c r="VD1142" s="23"/>
      <c r="VE1142" s="23"/>
      <c r="VF1142" s="23"/>
      <c r="VG1142" s="23"/>
      <c r="VH1142" s="23"/>
      <c r="VI1142" s="23"/>
      <c r="VJ1142" s="23"/>
      <c r="VK1142" s="23"/>
      <c r="VL1142" s="23"/>
      <c r="VM1142" s="23"/>
      <c r="VN1142" s="23"/>
      <c r="VO1142" s="23"/>
      <c r="VP1142" s="23"/>
      <c r="VQ1142" s="23"/>
      <c r="VR1142" s="23"/>
      <c r="VS1142" s="23"/>
      <c r="VT1142" s="23"/>
      <c r="VU1142" s="23"/>
      <c r="VV1142" s="23"/>
      <c r="VW1142" s="23"/>
      <c r="VX1142" s="23"/>
      <c r="VY1142" s="23"/>
      <c r="VZ1142" s="23"/>
      <c r="WA1142" s="23"/>
      <c r="WB1142" s="23"/>
      <c r="WC1142" s="23"/>
      <c r="WD1142" s="23"/>
      <c r="WE1142" s="23"/>
      <c r="WF1142" s="23"/>
      <c r="WG1142" s="23"/>
      <c r="WH1142" s="23"/>
      <c r="WI1142" s="23"/>
      <c r="WJ1142" s="23"/>
      <c r="WK1142" s="23"/>
      <c r="WL1142" s="23"/>
      <c r="WM1142" s="23"/>
      <c r="WN1142" s="23"/>
      <c r="WO1142" s="23"/>
      <c r="WP1142" s="23"/>
      <c r="WQ1142" s="23"/>
      <c r="WR1142" s="23"/>
      <c r="WS1142" s="23"/>
      <c r="WT1142" s="23"/>
      <c r="WU1142" s="23"/>
      <c r="WV1142" s="23"/>
      <c r="WW1142" s="23"/>
      <c r="WX1142" s="23"/>
      <c r="WY1142" s="23"/>
      <c r="WZ1142" s="23"/>
      <c r="XA1142" s="23"/>
      <c r="XB1142" s="23"/>
      <c r="XC1142" s="23"/>
      <c r="XD1142" s="23"/>
      <c r="XE1142" s="23"/>
      <c r="XF1142" s="23"/>
      <c r="XG1142" s="23"/>
      <c r="XH1142" s="23"/>
      <c r="XI1142" s="23"/>
      <c r="XJ1142" s="23"/>
      <c r="XK1142" s="23"/>
      <c r="XL1142" s="23"/>
      <c r="XM1142" s="23"/>
      <c r="XN1142" s="23"/>
      <c r="XO1142" s="23"/>
      <c r="XP1142" s="23"/>
      <c r="XQ1142" s="23"/>
      <c r="XR1142" s="23"/>
      <c r="XS1142" s="23"/>
      <c r="XT1142" s="23"/>
      <c r="XU1142" s="23"/>
      <c r="XV1142" s="23"/>
      <c r="XW1142" s="23"/>
      <c r="XX1142" s="23"/>
      <c r="XY1142" s="23"/>
      <c r="XZ1142" s="23"/>
      <c r="YA1142" s="23"/>
      <c r="YB1142" s="23"/>
      <c r="YC1142" s="23"/>
      <c r="YD1142" s="23"/>
      <c r="YE1142" s="23"/>
      <c r="YF1142" s="23"/>
      <c r="YG1142" s="23"/>
      <c r="YH1142" s="23"/>
      <c r="YI1142" s="23"/>
      <c r="YJ1142" s="23"/>
      <c r="YK1142" s="23"/>
      <c r="YL1142" s="23"/>
      <c r="YM1142" s="23"/>
      <c r="YN1142" s="23"/>
      <c r="YO1142" s="23"/>
      <c r="YP1142" s="23"/>
      <c r="YQ1142" s="23"/>
      <c r="YR1142" s="23"/>
      <c r="YS1142" s="23"/>
      <c r="YT1142" s="23"/>
      <c r="YU1142" s="23"/>
      <c r="YV1142" s="23"/>
      <c r="YW1142" s="23"/>
      <c r="YX1142" s="23"/>
      <c r="YY1142" s="23"/>
      <c r="YZ1142" s="23"/>
      <c r="ZA1142" s="23"/>
      <c r="ZB1142" s="23"/>
      <c r="ZC1142" s="23"/>
      <c r="ZD1142" s="23"/>
      <c r="ZE1142" s="23"/>
      <c r="ZF1142" s="23"/>
      <c r="ZG1142" s="23"/>
      <c r="ZH1142" s="23"/>
      <c r="ZI1142" s="23"/>
      <c r="ZJ1142" s="23"/>
      <c r="ZK1142" s="23"/>
      <c r="ZL1142" s="23"/>
      <c r="ZM1142" s="23"/>
      <c r="ZN1142" s="23"/>
      <c r="ZO1142" s="23"/>
      <c r="ZP1142" s="23"/>
      <c r="ZQ1142" s="23"/>
      <c r="ZR1142" s="23"/>
      <c r="ZS1142" s="23"/>
      <c r="ZT1142" s="23"/>
      <c r="ZU1142" s="23"/>
      <c r="ZV1142" s="23"/>
      <c r="ZW1142" s="23"/>
      <c r="ZX1142" s="23"/>
      <c r="ZY1142" s="23"/>
      <c r="ZZ1142" s="23"/>
      <c r="AAA1142" s="23"/>
      <c r="AAB1142" s="23"/>
      <c r="AAC1142" s="23"/>
      <c r="AAD1142" s="23"/>
      <c r="AAE1142" s="23"/>
      <c r="AAF1142" s="23"/>
      <c r="AAG1142" s="23"/>
      <c r="AAH1142" s="23"/>
      <c r="AAI1142" s="23"/>
      <c r="AAJ1142" s="23"/>
      <c r="AAK1142" s="23"/>
      <c r="AAL1142" s="23"/>
      <c r="AAM1142" s="23"/>
      <c r="AAN1142" s="23"/>
      <c r="AAO1142" s="23"/>
      <c r="AAP1142" s="23"/>
      <c r="AAQ1142" s="23"/>
      <c r="AAR1142" s="23"/>
      <c r="AAS1142" s="23"/>
      <c r="AAT1142" s="23"/>
      <c r="AAU1142" s="23"/>
      <c r="AAV1142" s="23"/>
      <c r="AAW1142" s="23"/>
      <c r="AAX1142" s="23"/>
      <c r="AAY1142" s="23"/>
      <c r="AAZ1142" s="23"/>
      <c r="ABA1142" s="23"/>
      <c r="ABB1142" s="23"/>
      <c r="ABC1142" s="23"/>
      <c r="ABD1142" s="23"/>
      <c r="ABE1142" s="23"/>
      <c r="ABF1142" s="23"/>
      <c r="ABG1142" s="23"/>
      <c r="ABH1142" s="23"/>
      <c r="ABI1142" s="23"/>
      <c r="ABJ1142" s="23"/>
      <c r="ABK1142" s="23"/>
      <c r="ABL1142" s="23"/>
      <c r="ABM1142" s="23"/>
      <c r="ABN1142" s="23"/>
      <c r="ABO1142" s="23"/>
      <c r="ABP1142" s="23"/>
      <c r="ABQ1142" s="23"/>
      <c r="ABR1142" s="23"/>
      <c r="ABS1142" s="23"/>
      <c r="ABT1142" s="23"/>
      <c r="ABU1142" s="23"/>
      <c r="ABV1142" s="23"/>
      <c r="ABW1142" s="23"/>
      <c r="ABX1142" s="23"/>
      <c r="ABY1142" s="23"/>
      <c r="ABZ1142" s="23"/>
      <c r="ACA1142" s="23"/>
      <c r="ACB1142" s="23"/>
      <c r="ACC1142" s="23"/>
      <c r="ACD1142" s="23"/>
      <c r="ACE1142" s="23"/>
      <c r="ACF1142" s="23"/>
      <c r="ACG1142" s="23"/>
      <c r="ACH1142" s="23"/>
      <c r="ACI1142" s="23"/>
      <c r="ACJ1142" s="23"/>
      <c r="ACK1142" s="23"/>
      <c r="ACL1142" s="23"/>
      <c r="ACM1142" s="23"/>
      <c r="ACN1142" s="23"/>
      <c r="ACO1142" s="23"/>
      <c r="ACP1142" s="23"/>
      <c r="ACQ1142" s="23"/>
      <c r="ACR1142" s="23"/>
      <c r="ACS1142" s="23"/>
      <c r="ACT1142" s="23"/>
      <c r="ACU1142" s="23"/>
      <c r="ACV1142" s="23"/>
      <c r="ACW1142" s="23"/>
      <c r="ACX1142" s="23"/>
      <c r="ACY1142" s="23"/>
      <c r="ACZ1142" s="23"/>
      <c r="ADA1142" s="23"/>
      <c r="ADB1142" s="23"/>
      <c r="ADC1142" s="23"/>
      <c r="ADD1142" s="23"/>
      <c r="ADE1142" s="23"/>
      <c r="ADF1142" s="23"/>
      <c r="ADG1142" s="23"/>
      <c r="ADH1142" s="23"/>
      <c r="ADI1142" s="23"/>
      <c r="ADJ1142" s="23"/>
      <c r="ADK1142" s="23"/>
      <c r="ADL1142" s="23"/>
      <c r="ADM1142" s="23"/>
      <c r="ADN1142" s="23"/>
      <c r="ADO1142" s="23"/>
      <c r="ADP1142" s="23"/>
      <c r="ADQ1142" s="23"/>
      <c r="ADR1142" s="23"/>
      <c r="ADS1142" s="23"/>
      <c r="ADT1142" s="23"/>
      <c r="ADU1142" s="23"/>
      <c r="ADV1142" s="23"/>
      <c r="ADW1142" s="23"/>
      <c r="ADX1142" s="23"/>
      <c r="ADY1142" s="23"/>
      <c r="ADZ1142" s="23"/>
      <c r="AEA1142" s="23"/>
      <c r="AEB1142" s="23"/>
      <c r="AEC1142" s="23"/>
      <c r="AED1142" s="23"/>
      <c r="AEE1142" s="23"/>
      <c r="AEF1142" s="23"/>
      <c r="AEG1142" s="23"/>
      <c r="AEH1142" s="23"/>
      <c r="AEI1142" s="23"/>
      <c r="AEJ1142" s="23"/>
      <c r="AEK1142" s="23"/>
      <c r="AEL1142" s="23"/>
      <c r="AEM1142" s="23"/>
      <c r="AEN1142" s="23"/>
      <c r="AEO1142" s="23"/>
      <c r="AEP1142" s="23"/>
      <c r="AEQ1142" s="23"/>
      <c r="AER1142" s="23"/>
      <c r="AES1142" s="23"/>
      <c r="AET1142" s="23"/>
      <c r="AEU1142" s="23"/>
      <c r="AEV1142" s="23"/>
      <c r="AEW1142" s="23"/>
      <c r="AEX1142" s="23"/>
      <c r="AEY1142" s="23"/>
      <c r="AEZ1142" s="23"/>
      <c r="AFA1142" s="23"/>
      <c r="AFB1142" s="23"/>
      <c r="AFC1142" s="23"/>
      <c r="AFD1142" s="23"/>
      <c r="AFE1142" s="23"/>
      <c r="AFF1142" s="23"/>
      <c r="AFG1142" s="23"/>
      <c r="AFH1142" s="23"/>
      <c r="AFI1142" s="23"/>
      <c r="AFJ1142" s="23"/>
      <c r="AFK1142" s="23"/>
      <c r="AFL1142" s="23"/>
      <c r="AFM1142" s="23"/>
      <c r="AFN1142" s="23"/>
      <c r="AFO1142" s="23"/>
      <c r="AFP1142" s="23"/>
      <c r="AFQ1142" s="23"/>
      <c r="AFR1142" s="23"/>
      <c r="AFS1142" s="23"/>
      <c r="AFT1142" s="23"/>
      <c r="AFU1142" s="23"/>
      <c r="AFV1142" s="23"/>
      <c r="AFW1142" s="23"/>
      <c r="AFX1142" s="23"/>
      <c r="AFY1142" s="23"/>
      <c r="AFZ1142" s="23"/>
      <c r="AGA1142" s="23"/>
      <c r="AGB1142" s="23"/>
      <c r="AGC1142" s="23"/>
      <c r="AGD1142" s="23"/>
      <c r="AGE1142" s="23"/>
      <c r="AGF1142" s="23"/>
      <c r="AGG1142" s="23"/>
      <c r="AGH1142" s="23"/>
      <c r="AGI1142" s="23"/>
      <c r="AGJ1142" s="23"/>
      <c r="AGK1142" s="23"/>
      <c r="AGL1142" s="23"/>
      <c r="AGM1142" s="23"/>
      <c r="AGN1142" s="23"/>
      <c r="AGO1142" s="23"/>
      <c r="AGP1142" s="23"/>
      <c r="AGQ1142" s="23"/>
      <c r="AGR1142" s="23"/>
      <c r="AGS1142" s="23"/>
      <c r="AGT1142" s="23"/>
      <c r="AGU1142" s="23"/>
      <c r="AGV1142" s="23"/>
      <c r="AGW1142" s="23"/>
      <c r="AGX1142" s="23"/>
      <c r="AGY1142" s="23"/>
      <c r="AGZ1142" s="23"/>
      <c r="AHA1142" s="23"/>
      <c r="AHB1142" s="23"/>
      <c r="AHC1142" s="23"/>
      <c r="AHD1142" s="23"/>
      <c r="AHE1142" s="23"/>
      <c r="AHF1142" s="23"/>
      <c r="AHG1142" s="23"/>
      <c r="AHH1142" s="23"/>
      <c r="AHI1142" s="23"/>
      <c r="AHJ1142" s="23"/>
      <c r="AHK1142" s="23"/>
      <c r="AHL1142" s="23"/>
      <c r="AHM1142" s="23"/>
      <c r="AHN1142" s="23"/>
      <c r="AHO1142" s="23"/>
      <c r="AHP1142" s="23"/>
      <c r="AHQ1142" s="23"/>
      <c r="AHR1142" s="23"/>
      <c r="AHS1142" s="23"/>
      <c r="AHT1142" s="23"/>
      <c r="AHU1142" s="23"/>
      <c r="AHV1142" s="23"/>
      <c r="AHW1142" s="23"/>
      <c r="AHX1142" s="23"/>
      <c r="AHY1142" s="23"/>
      <c r="AHZ1142" s="23"/>
      <c r="AIA1142" s="23"/>
      <c r="AIB1142" s="23"/>
      <c r="AIC1142" s="23"/>
      <c r="AID1142" s="23"/>
      <c r="AIE1142" s="23"/>
      <c r="AIF1142" s="23"/>
      <c r="AIG1142" s="23"/>
      <c r="AIH1142" s="23"/>
      <c r="AII1142" s="23"/>
      <c r="AIJ1142" s="23"/>
      <c r="AIK1142" s="23"/>
      <c r="AIL1142" s="23"/>
      <c r="AIM1142" s="23"/>
      <c r="AIN1142" s="23"/>
      <c r="AIO1142" s="23"/>
      <c r="AIP1142" s="23"/>
      <c r="AIQ1142" s="23"/>
      <c r="AIR1142" s="23"/>
      <c r="AIS1142" s="23"/>
      <c r="AIT1142" s="23"/>
      <c r="AIU1142" s="23"/>
      <c r="AIV1142" s="23"/>
      <c r="AIW1142" s="23"/>
      <c r="AIX1142" s="23"/>
      <c r="AIY1142" s="23"/>
      <c r="AIZ1142" s="23"/>
      <c r="AJA1142" s="23"/>
      <c r="AJB1142" s="23"/>
      <c r="AJC1142" s="23"/>
      <c r="AJD1142" s="23"/>
      <c r="AJE1142" s="23"/>
      <c r="AJF1142" s="23"/>
      <c r="AJG1142" s="23"/>
      <c r="AJH1142" s="23"/>
      <c r="AJI1142" s="23"/>
      <c r="AJJ1142" s="23"/>
      <c r="AJK1142" s="23"/>
      <c r="AJL1142" s="23"/>
      <c r="AJM1142" s="23"/>
      <c r="AJN1142" s="23"/>
      <c r="AJO1142" s="23"/>
      <c r="AJP1142" s="23"/>
      <c r="AJQ1142" s="23"/>
      <c r="AJR1142" s="23"/>
      <c r="AJS1142" s="23"/>
      <c r="AJT1142" s="23"/>
      <c r="AJU1142" s="23"/>
      <c r="AJV1142" s="23"/>
      <c r="AJW1142" s="23"/>
      <c r="AJX1142" s="23"/>
      <c r="AJY1142" s="23"/>
      <c r="AJZ1142" s="23"/>
      <c r="AKA1142" s="23"/>
      <c r="AKB1142" s="23"/>
      <c r="AKC1142" s="23"/>
      <c r="AKD1142" s="23"/>
      <c r="AKE1142" s="23"/>
      <c r="AKF1142" s="23"/>
      <c r="AKG1142" s="23"/>
      <c r="AKH1142" s="23"/>
      <c r="AKI1142" s="23"/>
      <c r="AKJ1142" s="23"/>
      <c r="AKK1142" s="23"/>
      <c r="AKL1142" s="23"/>
      <c r="AKM1142" s="23"/>
      <c r="AKN1142" s="23"/>
      <c r="AKO1142" s="23"/>
      <c r="AKP1142" s="23"/>
      <c r="AKQ1142" s="23"/>
      <c r="AKR1142" s="23"/>
      <c r="AKS1142" s="23"/>
      <c r="AKT1142" s="23"/>
      <c r="AKU1142" s="23"/>
      <c r="AKV1142" s="23"/>
      <c r="AKW1142" s="23"/>
      <c r="AKX1142" s="23"/>
      <c r="AKY1142" s="23"/>
      <c r="AKZ1142" s="23"/>
      <c r="ALA1142" s="23"/>
      <c r="ALB1142" s="23"/>
      <c r="ALC1142" s="23"/>
      <c r="ALD1142" s="23"/>
      <c r="ALE1142" s="23"/>
      <c r="ALF1142" s="23"/>
      <c r="ALG1142" s="23"/>
      <c r="ALH1142" s="23"/>
      <c r="ALI1142" s="23"/>
      <c r="ALJ1142" s="23"/>
      <c r="ALK1142" s="23"/>
      <c r="ALL1142" s="23"/>
      <c r="ALM1142" s="23"/>
      <c r="ALN1142" s="23"/>
      <c r="ALO1142" s="23"/>
      <c r="ALP1142" s="23"/>
      <c r="ALQ1142" s="23"/>
      <c r="ALR1142" s="23"/>
      <c r="ALS1142" s="23"/>
      <c r="ALT1142" s="23"/>
      <c r="ALU1142" s="23"/>
      <c r="ALV1142" s="23"/>
      <c r="ALW1142" s="23"/>
      <c r="ALX1142" s="23"/>
      <c r="ALY1142" s="23"/>
      <c r="ALZ1142" s="23"/>
      <c r="AMA1142" s="23"/>
      <c r="AMB1142" s="23"/>
      <c r="AMC1142" s="23"/>
      <c r="AMD1142" s="23"/>
      <c r="AME1142" s="23"/>
      <c r="AMF1142" s="23"/>
      <c r="AMG1142" s="23"/>
      <c r="AMH1142" s="23"/>
      <c r="AMI1142" s="23"/>
      <c r="AMJ1142" s="23"/>
      <c r="AMK1142" s="23"/>
      <c r="AML1142" s="23"/>
      <c r="AMM1142" s="23"/>
      <c r="AMN1142" s="23"/>
      <c r="AMO1142" s="23"/>
      <c r="AMP1142" s="23"/>
      <c r="AMQ1142" s="23"/>
      <c r="AMR1142" s="23"/>
      <c r="AMS1142" s="23"/>
      <c r="AMT1142" s="23"/>
      <c r="AMU1142" s="23"/>
      <c r="AMV1142" s="23"/>
      <c r="AMW1142" s="23"/>
      <c r="AMX1142" s="23"/>
      <c r="AMY1142" s="23"/>
      <c r="AMZ1142" s="23"/>
      <c r="ANA1142" s="23"/>
      <c r="ANB1142" s="23"/>
      <c r="ANC1142" s="23"/>
      <c r="AND1142" s="23"/>
      <c r="ANE1142" s="23"/>
      <c r="ANF1142" s="23"/>
      <c r="ANG1142" s="23"/>
      <c r="ANH1142" s="23"/>
      <c r="ANI1142" s="23"/>
      <c r="ANJ1142" s="23"/>
      <c r="ANK1142" s="23"/>
      <c r="ANL1142" s="23"/>
      <c r="ANM1142" s="23"/>
      <c r="ANN1142" s="23"/>
      <c r="ANO1142" s="23"/>
      <c r="ANP1142" s="23"/>
      <c r="ANQ1142" s="23"/>
      <c r="ANR1142" s="23"/>
      <c r="ANS1142" s="23"/>
      <c r="ANT1142" s="23"/>
      <c r="ANU1142" s="23"/>
      <c r="ANV1142" s="23"/>
      <c r="ANW1142" s="23"/>
      <c r="ANX1142" s="23"/>
      <c r="ANY1142" s="23"/>
      <c r="ANZ1142" s="23"/>
      <c r="AOA1142" s="23"/>
      <c r="AOB1142" s="23"/>
      <c r="AOC1142" s="23"/>
      <c r="AOD1142" s="23"/>
      <c r="AOE1142" s="23"/>
      <c r="AOF1142" s="23"/>
      <c r="AOG1142" s="23"/>
      <c r="AOH1142" s="23"/>
      <c r="AOI1142" s="23"/>
      <c r="AOJ1142" s="23"/>
      <c r="AOK1142" s="23"/>
      <c r="AOL1142" s="23"/>
      <c r="AOM1142" s="23"/>
      <c r="AON1142" s="23"/>
      <c r="AOO1142" s="23"/>
      <c r="AOP1142" s="23"/>
      <c r="AOQ1142" s="23"/>
      <c r="AOR1142" s="23"/>
      <c r="AOS1142" s="23"/>
      <c r="AOT1142" s="23"/>
      <c r="AOU1142" s="23"/>
      <c r="AOV1142" s="23"/>
      <c r="AOW1142" s="23"/>
      <c r="AOX1142" s="23"/>
      <c r="AOY1142" s="23"/>
      <c r="AOZ1142" s="23"/>
      <c r="APA1142" s="23"/>
      <c r="APB1142" s="23"/>
      <c r="APC1142" s="23"/>
      <c r="APD1142" s="23"/>
      <c r="APE1142" s="23"/>
      <c r="APF1142" s="23"/>
      <c r="APG1142" s="23"/>
      <c r="APH1142" s="23"/>
      <c r="API1142" s="23"/>
      <c r="APJ1142" s="23"/>
      <c r="APK1142" s="23"/>
      <c r="APL1142" s="23"/>
      <c r="APM1142" s="23"/>
      <c r="APN1142" s="23"/>
      <c r="APO1142" s="23"/>
      <c r="APP1142" s="23"/>
      <c r="APQ1142" s="23"/>
      <c r="APR1142" s="23"/>
      <c r="APS1142" s="23"/>
      <c r="APT1142" s="23"/>
      <c r="APU1142" s="23"/>
      <c r="APV1142" s="23"/>
      <c r="APW1142" s="23"/>
      <c r="APX1142" s="23"/>
      <c r="APY1142" s="23"/>
      <c r="APZ1142" s="23"/>
      <c r="AQA1142" s="23"/>
      <c r="AQB1142" s="23"/>
      <c r="AQC1142" s="23"/>
      <c r="AQD1142" s="23"/>
      <c r="AQE1142" s="23"/>
      <c r="AQF1142" s="23"/>
      <c r="AQG1142" s="23"/>
      <c r="AQH1142" s="23"/>
      <c r="AQI1142" s="23"/>
      <c r="AQJ1142" s="23"/>
      <c r="AQK1142" s="23"/>
      <c r="AQL1142" s="23"/>
      <c r="AQM1142" s="23"/>
      <c r="AQN1142" s="23"/>
      <c r="AQO1142" s="23"/>
      <c r="AQP1142" s="23"/>
      <c r="AQQ1142" s="23"/>
      <c r="AQR1142" s="23"/>
      <c r="AQS1142" s="23"/>
      <c r="AQT1142" s="23"/>
      <c r="AQU1142" s="23"/>
      <c r="AQV1142" s="23"/>
      <c r="AQW1142" s="23"/>
      <c r="AQX1142" s="23"/>
      <c r="AQY1142" s="23"/>
      <c r="AQZ1142" s="23"/>
      <c r="ARA1142" s="23"/>
      <c r="ARB1142" s="23"/>
      <c r="ARC1142" s="23"/>
      <c r="ARD1142" s="23"/>
      <c r="ARE1142" s="23"/>
      <c r="ARF1142" s="23"/>
      <c r="ARG1142" s="23"/>
      <c r="ARH1142" s="23"/>
      <c r="ARI1142" s="23"/>
      <c r="ARJ1142" s="23"/>
      <c r="ARK1142" s="23"/>
      <c r="ARL1142" s="23"/>
      <c r="ARM1142" s="23"/>
      <c r="ARN1142" s="23"/>
      <c r="ARO1142" s="23"/>
      <c r="ARP1142" s="23"/>
      <c r="ARQ1142" s="23"/>
      <c r="ARR1142" s="23"/>
      <c r="ARS1142" s="23"/>
      <c r="ART1142" s="23"/>
      <c r="ARU1142" s="23"/>
      <c r="ARV1142" s="23"/>
      <c r="ARW1142" s="23"/>
      <c r="ARX1142" s="23"/>
      <c r="ARY1142" s="23"/>
      <c r="ARZ1142" s="23"/>
      <c r="ASA1142" s="23"/>
      <c r="ASB1142" s="23"/>
      <c r="ASC1142" s="23"/>
      <c r="ASD1142" s="23"/>
      <c r="ASE1142" s="23"/>
      <c r="ASF1142" s="23"/>
      <c r="ASG1142" s="23"/>
      <c r="ASH1142" s="23"/>
      <c r="ASI1142" s="23"/>
      <c r="ASJ1142" s="23"/>
      <c r="ASK1142" s="23"/>
      <c r="ASL1142" s="23"/>
      <c r="ASM1142" s="23"/>
      <c r="ASN1142" s="23"/>
      <c r="ASO1142" s="23"/>
      <c r="ASP1142" s="23"/>
      <c r="ASQ1142" s="23"/>
      <c r="ASR1142" s="23"/>
      <c r="ASS1142" s="23"/>
      <c r="AST1142" s="23"/>
      <c r="ASU1142" s="23"/>
      <c r="ASV1142" s="23"/>
      <c r="ASW1142" s="23"/>
      <c r="ASX1142" s="23"/>
      <c r="ASY1142" s="23"/>
      <c r="ASZ1142" s="23"/>
      <c r="ATA1142" s="23"/>
      <c r="ATB1142" s="23"/>
      <c r="ATC1142" s="23"/>
      <c r="ATD1142" s="23"/>
      <c r="ATE1142" s="23"/>
      <c r="ATF1142" s="23"/>
      <c r="ATG1142" s="23"/>
      <c r="ATH1142" s="23"/>
      <c r="ATI1142" s="23"/>
      <c r="ATJ1142" s="23"/>
      <c r="ATK1142" s="23"/>
      <c r="ATL1142" s="23"/>
      <c r="ATM1142" s="23"/>
      <c r="ATN1142" s="23"/>
      <c r="ATO1142" s="23"/>
      <c r="ATP1142" s="23"/>
      <c r="ATQ1142" s="23"/>
      <c r="ATR1142" s="23"/>
      <c r="ATS1142" s="23"/>
      <c r="ATT1142" s="23"/>
      <c r="ATU1142" s="23"/>
      <c r="ATV1142" s="23"/>
      <c r="ATW1142" s="23"/>
      <c r="ATX1142" s="23"/>
      <c r="ATY1142" s="23"/>
      <c r="ATZ1142" s="23"/>
      <c r="AUA1142" s="23"/>
      <c r="AUB1142" s="23"/>
      <c r="AUC1142" s="23"/>
      <c r="AUD1142" s="23"/>
      <c r="AUE1142" s="23"/>
      <c r="AUF1142" s="23"/>
      <c r="AUG1142" s="23"/>
      <c r="AUH1142" s="23"/>
      <c r="AUI1142" s="23"/>
      <c r="AUJ1142" s="23"/>
      <c r="AUK1142" s="23"/>
      <c r="AUL1142" s="23"/>
      <c r="AUM1142" s="23"/>
      <c r="AUN1142" s="23"/>
      <c r="AUO1142" s="23"/>
      <c r="AUP1142" s="23"/>
      <c r="AUQ1142" s="23"/>
      <c r="AUR1142" s="23"/>
      <c r="AUS1142" s="23"/>
      <c r="AUT1142" s="23"/>
      <c r="AUU1142" s="23"/>
      <c r="AUV1142" s="23"/>
      <c r="AUW1142" s="23"/>
      <c r="AUX1142" s="23"/>
      <c r="AUY1142" s="23"/>
      <c r="AUZ1142" s="23"/>
      <c r="AVA1142" s="23"/>
      <c r="AVB1142" s="23"/>
      <c r="AVC1142" s="23"/>
      <c r="AVD1142" s="23"/>
      <c r="AVE1142" s="23"/>
      <c r="AVF1142" s="23"/>
      <c r="AVG1142" s="23"/>
      <c r="AVH1142" s="23"/>
      <c r="AVI1142" s="23"/>
      <c r="AVJ1142" s="23"/>
      <c r="AVK1142" s="23"/>
      <c r="AVL1142" s="23"/>
      <c r="AVM1142" s="23"/>
      <c r="AVN1142" s="23"/>
      <c r="AVO1142" s="23"/>
      <c r="AVP1142" s="23"/>
      <c r="AVQ1142" s="23"/>
      <c r="AVR1142" s="23"/>
      <c r="AVS1142" s="23"/>
      <c r="AVT1142" s="23"/>
      <c r="AVU1142" s="23"/>
      <c r="AVV1142" s="23"/>
      <c r="AVW1142" s="23"/>
      <c r="AVX1142" s="23"/>
      <c r="AVY1142" s="23"/>
      <c r="AVZ1142" s="23"/>
      <c r="AWA1142" s="23"/>
      <c r="AWB1142" s="23"/>
      <c r="AWC1142" s="23"/>
      <c r="AWD1142" s="23"/>
      <c r="AWE1142" s="23"/>
      <c r="AWF1142" s="23"/>
      <c r="AWG1142" s="23"/>
      <c r="AWH1142" s="23"/>
      <c r="AWI1142" s="23"/>
      <c r="AWJ1142" s="23"/>
      <c r="AWK1142" s="23"/>
      <c r="AWL1142" s="23"/>
      <c r="AWM1142" s="23"/>
      <c r="AWN1142" s="23"/>
      <c r="AWO1142" s="23"/>
      <c r="AWP1142" s="23"/>
      <c r="AWQ1142" s="23"/>
      <c r="AWR1142" s="23"/>
      <c r="AWS1142" s="23"/>
      <c r="AWT1142" s="23"/>
      <c r="AWU1142" s="23"/>
      <c r="AWV1142" s="23"/>
      <c r="AWW1142" s="23"/>
      <c r="AWX1142" s="23"/>
      <c r="AWY1142" s="23"/>
      <c r="AWZ1142" s="23"/>
      <c r="AXA1142" s="23"/>
      <c r="AXB1142" s="23"/>
      <c r="AXC1142" s="23"/>
      <c r="AXD1142" s="23"/>
      <c r="AXE1142" s="23"/>
      <c r="AXF1142" s="23"/>
      <c r="AXG1142" s="23"/>
      <c r="AXH1142" s="23"/>
      <c r="AXI1142" s="23"/>
      <c r="AXJ1142" s="23"/>
      <c r="AXK1142" s="23"/>
      <c r="AXL1142" s="23"/>
      <c r="AXM1142" s="23"/>
      <c r="AXN1142" s="23"/>
      <c r="AXO1142" s="23"/>
      <c r="AXP1142" s="23"/>
      <c r="AXQ1142" s="23"/>
      <c r="AXR1142" s="23"/>
      <c r="AXS1142" s="23"/>
      <c r="AXT1142" s="23"/>
      <c r="AXU1142" s="23"/>
      <c r="AXV1142" s="23"/>
      <c r="AXW1142" s="23"/>
      <c r="AXX1142" s="23"/>
      <c r="AXY1142" s="23"/>
      <c r="AXZ1142" s="23"/>
      <c r="AYA1142" s="23"/>
      <c r="AYB1142" s="23"/>
      <c r="AYC1142" s="23"/>
      <c r="AYD1142" s="23"/>
      <c r="AYE1142" s="23"/>
      <c r="AYF1142" s="23"/>
      <c r="AYG1142" s="23"/>
      <c r="AYH1142" s="23"/>
      <c r="AYI1142" s="23"/>
      <c r="AYJ1142" s="23"/>
      <c r="AYK1142" s="23"/>
      <c r="AYL1142" s="23"/>
      <c r="AYM1142" s="23"/>
      <c r="AYN1142" s="23"/>
      <c r="AYO1142" s="23"/>
      <c r="AYP1142" s="23"/>
      <c r="AYQ1142" s="23"/>
      <c r="AYR1142" s="23"/>
      <c r="AYS1142" s="23"/>
      <c r="AYT1142" s="23"/>
      <c r="AYU1142" s="23"/>
      <c r="AYV1142" s="23"/>
      <c r="AYW1142" s="23"/>
      <c r="AYX1142" s="23"/>
      <c r="AYY1142" s="23"/>
      <c r="AYZ1142" s="23"/>
      <c r="AZA1142" s="23"/>
      <c r="AZB1142" s="23"/>
      <c r="AZC1142" s="23"/>
      <c r="AZD1142" s="23"/>
      <c r="AZE1142" s="23"/>
      <c r="AZF1142" s="23"/>
      <c r="AZG1142" s="23"/>
      <c r="AZH1142" s="23"/>
      <c r="AZI1142" s="23"/>
      <c r="AZJ1142" s="23"/>
      <c r="AZK1142" s="23"/>
      <c r="AZL1142" s="23"/>
      <c r="AZM1142" s="23"/>
      <c r="AZN1142" s="23"/>
      <c r="AZO1142" s="23"/>
      <c r="AZP1142" s="23"/>
      <c r="AZQ1142" s="23"/>
      <c r="AZR1142" s="23"/>
      <c r="AZS1142" s="23"/>
      <c r="AZT1142" s="23"/>
      <c r="AZU1142" s="23"/>
      <c r="AZV1142" s="23"/>
      <c r="AZW1142" s="23"/>
      <c r="AZX1142" s="23"/>
      <c r="AZY1142" s="23"/>
      <c r="AZZ1142" s="23"/>
      <c r="BAA1142" s="23"/>
      <c r="BAB1142" s="23"/>
      <c r="BAC1142" s="23"/>
      <c r="BAD1142" s="23"/>
      <c r="BAE1142" s="23"/>
      <c r="BAF1142" s="23"/>
      <c r="BAG1142" s="23"/>
      <c r="BAH1142" s="23"/>
      <c r="BAI1142" s="23"/>
      <c r="BAJ1142" s="23"/>
      <c r="BAK1142" s="23"/>
      <c r="BAL1142" s="23"/>
      <c r="BAM1142" s="23"/>
      <c r="BAN1142" s="23"/>
      <c r="BAO1142" s="23"/>
      <c r="BAP1142" s="23"/>
      <c r="BAQ1142" s="23"/>
      <c r="BAR1142" s="23"/>
      <c r="BAS1142" s="23"/>
      <c r="BAT1142" s="23"/>
      <c r="BAU1142" s="23"/>
      <c r="BAV1142" s="23"/>
      <c r="BAW1142" s="23"/>
      <c r="BAX1142" s="23"/>
      <c r="BAY1142" s="23"/>
      <c r="BAZ1142" s="23"/>
      <c r="BBA1142" s="23"/>
      <c r="BBB1142" s="23"/>
      <c r="BBC1142" s="23"/>
      <c r="BBD1142" s="23"/>
      <c r="BBE1142" s="23"/>
      <c r="BBF1142" s="23"/>
      <c r="BBG1142" s="23"/>
      <c r="BBH1142" s="23"/>
      <c r="BBI1142" s="23"/>
      <c r="BBJ1142" s="23"/>
      <c r="BBK1142" s="23"/>
      <c r="BBL1142" s="23"/>
      <c r="BBM1142" s="23"/>
      <c r="BBN1142" s="23"/>
      <c r="BBO1142" s="23"/>
      <c r="BBP1142" s="23"/>
      <c r="BBQ1142" s="23"/>
      <c r="BBR1142" s="23"/>
      <c r="BBS1142" s="23"/>
      <c r="BBT1142" s="23"/>
      <c r="BBU1142" s="23"/>
      <c r="BBV1142" s="23"/>
      <c r="BBW1142" s="23"/>
      <c r="BBX1142" s="23"/>
      <c r="BBY1142" s="23"/>
      <c r="BBZ1142" s="23"/>
      <c r="BCA1142" s="23"/>
      <c r="BCB1142" s="23"/>
      <c r="BCC1142" s="23"/>
      <c r="BCD1142" s="23"/>
      <c r="BCE1142" s="23"/>
      <c r="BCF1142" s="23"/>
      <c r="BCG1142" s="23"/>
      <c r="BCH1142" s="23"/>
      <c r="BCI1142" s="23"/>
      <c r="BCJ1142" s="23"/>
      <c r="BCK1142" s="23"/>
      <c r="BCL1142" s="23"/>
      <c r="BCM1142" s="23"/>
      <c r="BCN1142" s="23"/>
      <c r="BCO1142" s="23"/>
      <c r="BCP1142" s="23"/>
      <c r="BCQ1142" s="23"/>
      <c r="BCR1142" s="23"/>
      <c r="BCS1142" s="23"/>
      <c r="BCT1142" s="23"/>
      <c r="BCU1142" s="23"/>
      <c r="BCV1142" s="23"/>
      <c r="BCW1142" s="23"/>
      <c r="BCX1142" s="23"/>
      <c r="BCY1142" s="23"/>
      <c r="BCZ1142" s="23"/>
      <c r="BDA1142" s="23"/>
      <c r="BDB1142" s="23"/>
      <c r="BDC1142" s="23"/>
      <c r="BDD1142" s="23"/>
      <c r="BDE1142" s="23"/>
      <c r="BDF1142" s="23"/>
      <c r="BDG1142" s="23"/>
      <c r="BDH1142" s="23"/>
      <c r="BDI1142" s="23"/>
      <c r="BDJ1142" s="23"/>
      <c r="BDK1142" s="23"/>
      <c r="BDL1142" s="23"/>
      <c r="BDM1142" s="23"/>
      <c r="BDN1142" s="23"/>
      <c r="BDO1142" s="23"/>
      <c r="BDP1142" s="23"/>
      <c r="BDQ1142" s="23"/>
      <c r="BDR1142" s="23"/>
      <c r="BDS1142" s="23"/>
      <c r="BDT1142" s="23"/>
      <c r="BDU1142" s="23"/>
      <c r="BDV1142" s="23"/>
      <c r="BDW1142" s="23"/>
      <c r="BDX1142" s="23"/>
      <c r="BDY1142" s="23"/>
      <c r="BDZ1142" s="23"/>
      <c r="BEA1142" s="23"/>
      <c r="BEB1142" s="23"/>
      <c r="BEC1142" s="23"/>
      <c r="BED1142" s="23"/>
      <c r="BEE1142" s="23"/>
      <c r="BEF1142" s="23"/>
      <c r="BEG1142" s="23"/>
      <c r="BEH1142" s="23"/>
      <c r="BEI1142" s="23"/>
      <c r="BEJ1142" s="23"/>
      <c r="BEK1142" s="23"/>
      <c r="BEL1142" s="23"/>
      <c r="BEM1142" s="23"/>
      <c r="BEN1142" s="23"/>
      <c r="BEO1142" s="23"/>
      <c r="BEP1142" s="23"/>
      <c r="BEQ1142" s="23"/>
      <c r="BER1142" s="23"/>
      <c r="BES1142" s="23"/>
      <c r="BET1142" s="23"/>
      <c r="BEU1142" s="23"/>
      <c r="BEV1142" s="23"/>
      <c r="BEW1142" s="23"/>
      <c r="BEX1142" s="23"/>
      <c r="BEY1142" s="23"/>
      <c r="BEZ1142" s="23"/>
      <c r="BFA1142" s="23"/>
      <c r="BFB1142" s="23"/>
      <c r="BFC1142" s="23"/>
      <c r="BFD1142" s="23"/>
      <c r="BFE1142" s="23"/>
      <c r="BFF1142" s="23"/>
      <c r="BFG1142" s="23"/>
      <c r="BFH1142" s="23"/>
      <c r="BFI1142" s="23"/>
      <c r="BFJ1142" s="23"/>
      <c r="BFK1142" s="23"/>
      <c r="BFL1142" s="23"/>
      <c r="BFM1142" s="23"/>
      <c r="BFN1142" s="23"/>
      <c r="BFO1142" s="23"/>
      <c r="BFP1142" s="23"/>
      <c r="BFQ1142" s="23"/>
      <c r="BFR1142" s="23"/>
      <c r="BFS1142" s="23"/>
      <c r="BFT1142" s="23"/>
      <c r="BFU1142" s="23"/>
      <c r="BFV1142" s="23"/>
      <c r="BFW1142" s="23"/>
      <c r="BFX1142" s="23"/>
      <c r="BFY1142" s="23"/>
      <c r="BFZ1142" s="23"/>
      <c r="BGA1142" s="23"/>
      <c r="BGB1142" s="23"/>
      <c r="BGC1142" s="23"/>
      <c r="BGD1142" s="23"/>
      <c r="BGE1142" s="23"/>
      <c r="BGF1142" s="23"/>
      <c r="BGG1142" s="23"/>
      <c r="BGH1142" s="23"/>
      <c r="BGI1142" s="23"/>
      <c r="BGJ1142" s="23"/>
      <c r="BGK1142" s="23"/>
      <c r="BGL1142" s="23"/>
      <c r="BGM1142" s="23"/>
      <c r="BGN1142" s="23"/>
      <c r="BGO1142" s="23"/>
      <c r="BGP1142" s="23"/>
      <c r="BGQ1142" s="23"/>
      <c r="BGR1142" s="23"/>
      <c r="BGS1142" s="23"/>
      <c r="BGT1142" s="23"/>
      <c r="BGU1142" s="23"/>
      <c r="BGV1142" s="23"/>
      <c r="BGW1142" s="23"/>
      <c r="BGX1142" s="23"/>
      <c r="BGY1142" s="23"/>
      <c r="BGZ1142" s="23"/>
      <c r="BHA1142" s="23"/>
      <c r="BHB1142" s="23"/>
      <c r="BHC1142" s="23"/>
      <c r="BHD1142" s="23"/>
      <c r="BHE1142" s="23"/>
      <c r="BHF1142" s="23"/>
      <c r="BHG1142" s="23"/>
      <c r="BHH1142" s="23"/>
      <c r="BHI1142" s="23"/>
      <c r="BHJ1142" s="23"/>
      <c r="BHK1142" s="23"/>
      <c r="BHL1142" s="23"/>
      <c r="BHM1142" s="23"/>
      <c r="BHN1142" s="23"/>
      <c r="BHO1142" s="23"/>
      <c r="BHP1142" s="23"/>
      <c r="BHQ1142" s="23"/>
      <c r="BHR1142" s="23"/>
      <c r="BHS1142" s="23"/>
      <c r="BHT1142" s="23"/>
      <c r="BHU1142" s="23"/>
      <c r="BHV1142" s="23"/>
      <c r="BHW1142" s="23"/>
      <c r="BHX1142" s="23"/>
      <c r="BHY1142" s="23"/>
      <c r="BHZ1142" s="23"/>
      <c r="BIA1142" s="23"/>
      <c r="BIB1142" s="23"/>
      <c r="BIC1142" s="23"/>
      <c r="BID1142" s="23"/>
      <c r="BIE1142" s="23"/>
      <c r="BIF1142" s="23"/>
      <c r="BIG1142" s="23"/>
      <c r="BIH1142" s="23"/>
      <c r="BII1142" s="23"/>
      <c r="BIJ1142" s="23"/>
      <c r="BIK1142" s="23"/>
      <c r="BIL1142" s="23"/>
      <c r="BIM1142" s="23"/>
      <c r="BIN1142" s="23"/>
      <c r="BIO1142" s="23"/>
      <c r="BIP1142" s="23"/>
      <c r="BIQ1142" s="23"/>
      <c r="BIR1142" s="23"/>
      <c r="BIS1142" s="23"/>
      <c r="BIT1142" s="23"/>
      <c r="BIU1142" s="23"/>
      <c r="BIV1142" s="23"/>
      <c r="BIW1142" s="23"/>
      <c r="BIX1142" s="23"/>
      <c r="BIY1142" s="23"/>
      <c r="BIZ1142" s="23"/>
      <c r="BJA1142" s="23"/>
      <c r="BJB1142" s="23"/>
      <c r="BJC1142" s="23"/>
      <c r="BJD1142" s="23"/>
      <c r="BJE1142" s="23"/>
      <c r="BJF1142" s="23"/>
      <c r="BJG1142" s="23"/>
      <c r="BJH1142" s="23"/>
      <c r="BJI1142" s="23"/>
      <c r="BJJ1142" s="23"/>
      <c r="BJK1142" s="23"/>
      <c r="BJL1142" s="23"/>
      <c r="BJM1142" s="23"/>
      <c r="BJN1142" s="23"/>
      <c r="BJO1142" s="23"/>
      <c r="BJP1142" s="23"/>
      <c r="BJQ1142" s="23"/>
      <c r="BJR1142" s="23"/>
      <c r="BJS1142" s="23"/>
      <c r="BJT1142" s="23"/>
      <c r="BJU1142" s="23"/>
      <c r="BJV1142" s="23"/>
      <c r="BJW1142" s="23"/>
      <c r="BJX1142" s="23"/>
      <c r="BJY1142" s="23"/>
      <c r="BJZ1142" s="23"/>
      <c r="BKA1142" s="23"/>
      <c r="BKB1142" s="23"/>
      <c r="BKC1142" s="23"/>
      <c r="BKD1142" s="23"/>
      <c r="BKE1142" s="23"/>
      <c r="BKF1142" s="23"/>
      <c r="BKG1142" s="23"/>
      <c r="BKH1142" s="23"/>
      <c r="BKI1142" s="23"/>
      <c r="BKJ1142" s="23"/>
      <c r="BKK1142" s="23"/>
      <c r="BKL1142" s="23"/>
      <c r="BKM1142" s="23"/>
      <c r="BKN1142" s="23"/>
      <c r="BKO1142" s="23"/>
      <c r="BKP1142" s="23"/>
      <c r="BKQ1142" s="23"/>
      <c r="BKR1142" s="23"/>
      <c r="BKS1142" s="23"/>
      <c r="BKT1142" s="23"/>
      <c r="BKU1142" s="23"/>
      <c r="BKV1142" s="23"/>
      <c r="BKW1142" s="23"/>
      <c r="BKX1142" s="23"/>
      <c r="BKY1142" s="23"/>
      <c r="BKZ1142" s="23"/>
      <c r="BLA1142" s="23"/>
      <c r="BLB1142" s="23"/>
      <c r="BLC1142" s="23"/>
      <c r="BLD1142" s="23"/>
      <c r="BLE1142" s="23"/>
      <c r="BLF1142" s="23"/>
      <c r="BLG1142" s="23"/>
      <c r="BLH1142" s="23"/>
      <c r="BLI1142" s="23"/>
      <c r="BLJ1142" s="23"/>
      <c r="BLK1142" s="23"/>
      <c r="BLL1142" s="23"/>
      <c r="BLM1142" s="23"/>
      <c r="BLN1142" s="23"/>
      <c r="BLO1142" s="23"/>
      <c r="BLP1142" s="23"/>
      <c r="BLQ1142" s="23"/>
      <c r="BLR1142" s="23"/>
      <c r="BLS1142" s="23"/>
      <c r="BLT1142" s="23"/>
      <c r="BLU1142" s="23"/>
      <c r="BLV1142" s="23"/>
      <c r="BLW1142" s="23"/>
      <c r="BLX1142" s="23"/>
      <c r="BLY1142" s="23"/>
      <c r="BLZ1142" s="23"/>
      <c r="BMA1142" s="23"/>
      <c r="BMB1142" s="23"/>
      <c r="BMC1142" s="23"/>
      <c r="BMD1142" s="23"/>
      <c r="BME1142" s="23"/>
      <c r="BMF1142" s="23"/>
      <c r="BMG1142" s="23"/>
      <c r="BMH1142" s="23"/>
      <c r="BMI1142" s="23"/>
      <c r="BMJ1142" s="23"/>
      <c r="BMK1142" s="23"/>
      <c r="BML1142" s="23"/>
      <c r="BMM1142" s="23"/>
      <c r="BMN1142" s="23"/>
      <c r="BMO1142" s="23"/>
      <c r="BMP1142" s="23"/>
      <c r="BMQ1142" s="23"/>
      <c r="BMR1142" s="23"/>
      <c r="BMS1142" s="23"/>
      <c r="BMT1142" s="23"/>
      <c r="BMU1142" s="23"/>
      <c r="BMV1142" s="23"/>
      <c r="BMW1142" s="23"/>
      <c r="BMX1142" s="23"/>
      <c r="BMY1142" s="23"/>
      <c r="BMZ1142" s="23"/>
      <c r="BNA1142" s="23"/>
      <c r="BNB1142" s="23"/>
      <c r="BNC1142" s="23"/>
      <c r="BND1142" s="23"/>
      <c r="BNE1142" s="23"/>
      <c r="BNF1142" s="23"/>
      <c r="BNG1142" s="23"/>
      <c r="BNH1142" s="23"/>
      <c r="BNI1142" s="23"/>
      <c r="BNJ1142" s="23"/>
      <c r="BNK1142" s="23"/>
      <c r="BNL1142" s="23"/>
      <c r="BNM1142" s="23"/>
      <c r="BNN1142" s="23"/>
      <c r="BNO1142" s="23"/>
      <c r="BNP1142" s="23"/>
      <c r="BNQ1142" s="23"/>
      <c r="BNR1142" s="23"/>
      <c r="BNS1142" s="23"/>
      <c r="BNT1142" s="23"/>
      <c r="BNU1142" s="23"/>
      <c r="BNV1142" s="23"/>
      <c r="BNW1142" s="23"/>
      <c r="BNX1142" s="23"/>
      <c r="BNY1142" s="23"/>
      <c r="BNZ1142" s="23"/>
      <c r="BOA1142" s="23"/>
      <c r="BOB1142" s="23"/>
      <c r="BOC1142" s="23"/>
      <c r="BOD1142" s="23"/>
      <c r="BOE1142" s="23"/>
      <c r="BOF1142" s="23"/>
      <c r="BOG1142" s="23"/>
      <c r="BOH1142" s="23"/>
      <c r="BOI1142" s="23"/>
      <c r="BOJ1142" s="23"/>
      <c r="BOK1142" s="23"/>
      <c r="BOL1142" s="23"/>
      <c r="BOM1142" s="23"/>
      <c r="BON1142" s="23"/>
      <c r="BOO1142" s="23"/>
      <c r="BOP1142" s="23"/>
      <c r="BOQ1142" s="23"/>
      <c r="BOR1142" s="23"/>
      <c r="BOS1142" s="23"/>
      <c r="BOT1142" s="23"/>
      <c r="BOU1142" s="23"/>
      <c r="BOV1142" s="23"/>
      <c r="BOW1142" s="23"/>
      <c r="BOX1142" s="23"/>
      <c r="BOY1142" s="23"/>
      <c r="BOZ1142" s="23"/>
      <c r="BPA1142" s="23"/>
      <c r="BPB1142" s="23"/>
      <c r="BPC1142" s="23"/>
      <c r="BPD1142" s="23"/>
      <c r="BPE1142" s="23"/>
      <c r="BPF1142" s="23"/>
      <c r="BPG1142" s="23"/>
      <c r="BPH1142" s="23"/>
      <c r="BPI1142" s="23"/>
      <c r="BPJ1142" s="23"/>
      <c r="BPK1142" s="23"/>
      <c r="BPL1142" s="23"/>
      <c r="BPM1142" s="23"/>
      <c r="BPN1142" s="23"/>
      <c r="BPO1142" s="23"/>
      <c r="BPP1142" s="23"/>
      <c r="BPQ1142" s="23"/>
      <c r="BPR1142" s="23"/>
      <c r="BPS1142" s="23"/>
      <c r="BPT1142" s="23"/>
      <c r="BPU1142" s="23"/>
      <c r="BPV1142" s="23"/>
      <c r="BPW1142" s="23"/>
      <c r="BPX1142" s="23"/>
      <c r="BPY1142" s="23"/>
      <c r="BPZ1142" s="23"/>
      <c r="BQA1142" s="23"/>
      <c r="BQB1142" s="23"/>
      <c r="BQC1142" s="23"/>
      <c r="BQD1142" s="23"/>
      <c r="BQE1142" s="23"/>
      <c r="BQF1142" s="23"/>
      <c r="BQG1142" s="23"/>
      <c r="BQH1142" s="23"/>
      <c r="BQI1142" s="23"/>
      <c r="BQJ1142" s="23"/>
      <c r="BQK1142" s="23"/>
      <c r="BQL1142" s="23"/>
      <c r="BQM1142" s="23"/>
      <c r="BQN1142" s="23"/>
      <c r="BQO1142" s="23"/>
      <c r="BQP1142" s="23"/>
      <c r="BQQ1142" s="23"/>
      <c r="BQR1142" s="23"/>
      <c r="BQS1142" s="23"/>
      <c r="BQT1142" s="23"/>
      <c r="BQU1142" s="23"/>
      <c r="BQV1142" s="23"/>
      <c r="BQW1142" s="23"/>
      <c r="BQX1142" s="23"/>
      <c r="BQY1142" s="23"/>
      <c r="BQZ1142" s="23"/>
      <c r="BRA1142" s="23"/>
      <c r="BRB1142" s="23"/>
      <c r="BRC1142" s="23"/>
      <c r="BRD1142" s="23"/>
      <c r="BRE1142" s="23"/>
      <c r="BRF1142" s="23"/>
      <c r="BRG1142" s="23"/>
      <c r="BRH1142" s="23"/>
      <c r="BRI1142" s="23"/>
      <c r="BRJ1142" s="23"/>
      <c r="BRK1142" s="23"/>
      <c r="BRL1142" s="23"/>
      <c r="BRM1142" s="23"/>
      <c r="BRN1142" s="23"/>
      <c r="BRO1142" s="23"/>
      <c r="BRP1142" s="23"/>
      <c r="BRQ1142" s="23"/>
      <c r="BRR1142" s="23"/>
      <c r="BRS1142" s="23"/>
      <c r="BRT1142" s="23"/>
      <c r="BRU1142" s="23"/>
      <c r="BRV1142" s="23"/>
      <c r="BRW1142" s="23"/>
      <c r="BRX1142" s="23"/>
      <c r="BRY1142" s="23"/>
      <c r="BRZ1142" s="23"/>
      <c r="BSA1142" s="23"/>
      <c r="BSB1142" s="23"/>
      <c r="BSC1142" s="23"/>
      <c r="BSD1142" s="23"/>
      <c r="BSE1142" s="23"/>
      <c r="BSF1142" s="23"/>
      <c r="BSG1142" s="23"/>
      <c r="BSH1142" s="23"/>
      <c r="BSI1142" s="23"/>
      <c r="BSJ1142" s="23"/>
      <c r="BSK1142" s="23"/>
      <c r="BSL1142" s="23"/>
      <c r="BSM1142" s="23"/>
      <c r="BSN1142" s="23"/>
      <c r="BSO1142" s="23"/>
      <c r="BSP1142" s="23"/>
      <c r="BSQ1142" s="23"/>
      <c r="BSR1142" s="23"/>
      <c r="BSS1142" s="23"/>
      <c r="BST1142" s="23"/>
      <c r="BSU1142" s="23"/>
      <c r="BSV1142" s="23"/>
      <c r="BSW1142" s="23"/>
      <c r="BSX1142" s="23"/>
      <c r="BSY1142" s="23"/>
      <c r="BSZ1142" s="23"/>
      <c r="BTA1142" s="23"/>
    </row>
    <row r="1143" spans="1:1873" s="23" customFormat="1" x14ac:dyDescent="0.2">
      <c r="A1143" s="595" t="s">
        <v>872</v>
      </c>
      <c r="B1143" s="257" t="s">
        <v>873</v>
      </c>
      <c r="C1143" s="257" t="s">
        <v>124</v>
      </c>
      <c r="D1143" s="257" t="s">
        <v>1254</v>
      </c>
      <c r="E1143" s="257" t="s">
        <v>882</v>
      </c>
      <c r="F1143" s="257">
        <v>1</v>
      </c>
      <c r="G1143" s="257">
        <v>6</v>
      </c>
      <c r="H1143" s="263">
        <v>6</v>
      </c>
      <c r="I1143" s="257" t="s">
        <v>954</v>
      </c>
      <c r="J1143" s="257">
        <v>1997</v>
      </c>
      <c r="K1143" s="257" t="s">
        <v>1211</v>
      </c>
      <c r="L1143" s="257">
        <v>2002</v>
      </c>
      <c r="M1143" s="261">
        <v>-9999</v>
      </c>
      <c r="N1143" s="257">
        <v>-9999</v>
      </c>
      <c r="O1143" s="29"/>
      <c r="P1143" s="261">
        <f>23.04-3.45</f>
        <v>19.59</v>
      </c>
      <c r="Q1143" s="257">
        <v>-9999</v>
      </c>
      <c r="R1143" s="261"/>
      <c r="S1143" s="257"/>
      <c r="T1143" s="370">
        <f>+P1143/G1143</f>
        <v>3.2650000000000001</v>
      </c>
      <c r="U1143" s="257">
        <v>-9999</v>
      </c>
      <c r="V1143" s="257"/>
      <c r="W1143" s="261">
        <v>-9999</v>
      </c>
      <c r="X1143" s="257">
        <v>-9999</v>
      </c>
      <c r="Y1143" s="257"/>
      <c r="Z1143" s="327" t="s">
        <v>875</v>
      </c>
      <c r="AA1143" s="257">
        <v>1794</v>
      </c>
      <c r="AB1143" s="261">
        <v>0.97</v>
      </c>
      <c r="AC1143" s="257">
        <v>11.7</v>
      </c>
      <c r="AD1143" s="257">
        <v>943</v>
      </c>
      <c r="AE1143" s="327" t="s">
        <v>1969</v>
      </c>
      <c r="AF1143" s="257">
        <v>3</v>
      </c>
      <c r="AG1143" s="257" t="s">
        <v>843</v>
      </c>
      <c r="AH1143" s="257" t="s">
        <v>876</v>
      </c>
      <c r="AI1143" s="257" t="s">
        <v>858</v>
      </c>
      <c r="AJ1143" s="257">
        <v>-9999</v>
      </c>
      <c r="AK1143" s="257" t="s">
        <v>877</v>
      </c>
      <c r="AL1143" s="257" t="s">
        <v>828</v>
      </c>
      <c r="AM1143" s="257">
        <v>-9999</v>
      </c>
      <c r="AN1143" s="257" t="s">
        <v>626</v>
      </c>
      <c r="AO1143" s="257" t="s">
        <v>826</v>
      </c>
      <c r="AP1143" s="257" t="s">
        <v>879</v>
      </c>
      <c r="AQ1143" s="257" t="s">
        <v>631</v>
      </c>
      <c r="AR1143" s="257">
        <v>0</v>
      </c>
      <c r="AS1143" s="257">
        <v>-9999</v>
      </c>
      <c r="AT1143" s="257"/>
      <c r="AU1143" s="257">
        <v>0</v>
      </c>
      <c r="AV1143" s="257">
        <v>-9999</v>
      </c>
      <c r="AW1143" s="257"/>
      <c r="AX1143" s="257">
        <v>0</v>
      </c>
      <c r="AY1143" s="257">
        <v>-9999</v>
      </c>
      <c r="AZ1143" s="257" t="s">
        <v>871</v>
      </c>
      <c r="BA1143" s="257">
        <v>-9999</v>
      </c>
      <c r="BB1143" s="257" t="s">
        <v>626</v>
      </c>
      <c r="BC1143" s="257" t="s">
        <v>881</v>
      </c>
      <c r="BD1143" s="257" t="s">
        <v>121</v>
      </c>
      <c r="BE1143" s="257" t="s">
        <v>122</v>
      </c>
      <c r="BF1143" s="257" t="s">
        <v>120</v>
      </c>
      <c r="BG1143" s="257">
        <v>-9999</v>
      </c>
      <c r="BH1143" s="257">
        <v>-9999</v>
      </c>
      <c r="BI1143" s="257" t="s">
        <v>123</v>
      </c>
      <c r="BJ1143" s="257">
        <v>6.29</v>
      </c>
      <c r="BK1143" s="257">
        <v>1.36</v>
      </c>
      <c r="BL1143" s="257">
        <v>8.89</v>
      </c>
      <c r="BM1143" s="257">
        <v>1.03</v>
      </c>
      <c r="BN1143" s="257">
        <v>6.5</v>
      </c>
      <c r="BO1143" s="257">
        <v>0.7</v>
      </c>
      <c r="BP1143" s="257">
        <v>-9999</v>
      </c>
      <c r="BQ1143" s="257">
        <v>-9999</v>
      </c>
      <c r="BR1143" s="257">
        <v>-9999</v>
      </c>
      <c r="BS1143" s="594">
        <f>+BT1143*14.286</f>
        <v>475.29522000000003</v>
      </c>
      <c r="BT1143" s="257">
        <v>33.270000000000003</v>
      </c>
      <c r="BU1143" s="257">
        <v>-9999</v>
      </c>
      <c r="BV1143" s="257">
        <v>9.9</v>
      </c>
      <c r="BW1143" s="257"/>
      <c r="BX1143" s="257">
        <v>-9999</v>
      </c>
      <c r="BY1143" s="257">
        <v>-9999</v>
      </c>
      <c r="BZ1143" s="257">
        <v>-9999</v>
      </c>
      <c r="CA1143" s="300" t="s">
        <v>867</v>
      </c>
      <c r="CB1143" s="264"/>
      <c r="CC1143" s="257">
        <v>1</v>
      </c>
      <c r="CD1143" s="257" t="s">
        <v>124</v>
      </c>
      <c r="CE1143" s="292">
        <v>3.2650000000000001</v>
      </c>
      <c r="CF1143" s="292">
        <v>-9999</v>
      </c>
      <c r="CG1143" s="44">
        <v>6</v>
      </c>
    </row>
    <row r="1144" spans="1:1873" s="216" customFormat="1" ht="15.75" x14ac:dyDescent="0.3">
      <c r="A1144" s="366" t="s">
        <v>872</v>
      </c>
      <c r="B1144" s="257" t="s">
        <v>873</v>
      </c>
      <c r="C1144" s="257" t="s">
        <v>125</v>
      </c>
      <c r="D1144" s="257" t="s">
        <v>1254</v>
      </c>
      <c r="E1144" s="257" t="s">
        <v>882</v>
      </c>
      <c r="F1144" s="257">
        <v>1</v>
      </c>
      <c r="G1144" s="257">
        <v>6</v>
      </c>
      <c r="H1144" s="263">
        <v>6</v>
      </c>
      <c r="I1144" s="257" t="s">
        <v>954</v>
      </c>
      <c r="J1144" s="257">
        <v>1997</v>
      </c>
      <c r="K1144" s="257" t="s">
        <v>1211</v>
      </c>
      <c r="L1144" s="257">
        <v>2002</v>
      </c>
      <c r="M1144" s="261">
        <v>-9999</v>
      </c>
      <c r="N1144" s="257">
        <v>-9999</v>
      </c>
      <c r="O1144" s="29"/>
      <c r="P1144" s="261">
        <f>37.94-4.96</f>
        <v>32.979999999999997</v>
      </c>
      <c r="Q1144" s="257">
        <v>-9999</v>
      </c>
      <c r="R1144" s="261"/>
      <c r="S1144" s="257"/>
      <c r="T1144" s="370">
        <f>+P1144/G1144</f>
        <v>5.4966666666666661</v>
      </c>
      <c r="U1144" s="257">
        <v>-9999</v>
      </c>
      <c r="V1144" s="257"/>
      <c r="W1144" s="261">
        <v>-9999</v>
      </c>
      <c r="X1144" s="257">
        <v>-9999</v>
      </c>
      <c r="Y1144" s="257"/>
      <c r="Z1144" s="327" t="s">
        <v>875</v>
      </c>
      <c r="AA1144" s="257">
        <v>1794</v>
      </c>
      <c r="AB1144" s="261">
        <v>0.97</v>
      </c>
      <c r="AC1144" s="257">
        <v>11.7</v>
      </c>
      <c r="AD1144" s="257">
        <v>943</v>
      </c>
      <c r="AE1144" s="327" t="s">
        <v>1969</v>
      </c>
      <c r="AF1144" s="257">
        <v>3</v>
      </c>
      <c r="AG1144" s="257" t="s">
        <v>843</v>
      </c>
      <c r="AH1144" s="257" t="s">
        <v>876</v>
      </c>
      <c r="AI1144" s="257" t="s">
        <v>858</v>
      </c>
      <c r="AJ1144" s="257">
        <v>-9999</v>
      </c>
      <c r="AK1144" s="257" t="s">
        <v>877</v>
      </c>
      <c r="AL1144" s="257" t="s">
        <v>828</v>
      </c>
      <c r="AM1144" s="257">
        <v>-9999</v>
      </c>
      <c r="AN1144" s="257" t="s">
        <v>626</v>
      </c>
      <c r="AO1144" s="257" t="s">
        <v>826</v>
      </c>
      <c r="AP1144" s="257" t="s">
        <v>879</v>
      </c>
      <c r="AQ1144" s="257" t="s">
        <v>626</v>
      </c>
      <c r="AR1144" s="257">
        <f>57*6</f>
        <v>342</v>
      </c>
      <c r="AS1144" s="257" t="s">
        <v>761</v>
      </c>
      <c r="AT1144" s="257" t="s">
        <v>546</v>
      </c>
      <c r="AU1144" s="257">
        <f>8.3*6</f>
        <v>49.800000000000004</v>
      </c>
      <c r="AV1144" s="257" t="s">
        <v>549</v>
      </c>
      <c r="AW1144" s="257" t="s">
        <v>546</v>
      </c>
      <c r="AX1144" s="257">
        <f>31.5*6</f>
        <v>189</v>
      </c>
      <c r="AY1144" s="257" t="s">
        <v>551</v>
      </c>
      <c r="AZ1144" s="257" t="s">
        <v>546</v>
      </c>
      <c r="BA1144" s="257" t="s">
        <v>758</v>
      </c>
      <c r="BB1144" s="257" t="s">
        <v>626</v>
      </c>
      <c r="BC1144" s="257" t="s">
        <v>881</v>
      </c>
      <c r="BD1144" s="257" t="s">
        <v>121</v>
      </c>
      <c r="BE1144" s="257" t="s">
        <v>122</v>
      </c>
      <c r="BF1144" s="257" t="s">
        <v>880</v>
      </c>
      <c r="BG1144" s="257">
        <v>-9999</v>
      </c>
      <c r="BH1144" s="257">
        <v>-9999</v>
      </c>
      <c r="BI1144" s="257" t="s">
        <v>123</v>
      </c>
      <c r="BJ1144" s="257">
        <v>9.83</v>
      </c>
      <c r="BK1144" s="257">
        <v>0.99</v>
      </c>
      <c r="BL1144" s="257">
        <v>11.04</v>
      </c>
      <c r="BM1144" s="257">
        <v>0.69</v>
      </c>
      <c r="BN1144" s="257">
        <v>8.1</v>
      </c>
      <c r="BO1144" s="257">
        <v>0.5</v>
      </c>
      <c r="BP1144" s="257">
        <v>-9999</v>
      </c>
      <c r="BQ1144" s="257">
        <v>-9999</v>
      </c>
      <c r="BR1144" s="257">
        <v>-9999</v>
      </c>
      <c r="BS1144" s="594">
        <f>+BT1144*14.286</f>
        <v>842.73113999999998</v>
      </c>
      <c r="BT1144" s="257">
        <v>58.99</v>
      </c>
      <c r="BU1144" s="257">
        <v>-9999</v>
      </c>
      <c r="BV1144" s="257">
        <v>8.39</v>
      </c>
      <c r="BW1144" s="257"/>
      <c r="BX1144" s="257">
        <v>-9999</v>
      </c>
      <c r="BY1144" s="257">
        <v>-9999</v>
      </c>
      <c r="BZ1144" s="257">
        <v>-9999</v>
      </c>
      <c r="CA1144" s="300" t="s">
        <v>867</v>
      </c>
      <c r="CB1144" s="264"/>
      <c r="CC1144" s="257">
        <v>1</v>
      </c>
      <c r="CD1144" s="257" t="s">
        <v>125</v>
      </c>
      <c r="CE1144" s="292">
        <v>5.4966666666666661</v>
      </c>
      <c r="CF1144" s="292">
        <v>-9999</v>
      </c>
      <c r="CG1144" s="214">
        <v>6</v>
      </c>
      <c r="CH1144" s="301" t="s">
        <v>1757</v>
      </c>
      <c r="CI1144" s="23"/>
      <c r="CJ1144" s="23"/>
      <c r="CK1144" s="23"/>
      <c r="CL1144" s="23"/>
      <c r="CM1144" s="23"/>
      <c r="CN1144" s="23"/>
      <c r="CO1144" s="23"/>
      <c r="CP1144" s="23"/>
      <c r="CQ1144" s="23"/>
      <c r="CR1144" s="23"/>
      <c r="CS1144" s="23"/>
      <c r="CT1144" s="23"/>
      <c r="CU1144" s="23"/>
      <c r="CV1144" s="23"/>
      <c r="CW1144" s="23"/>
      <c r="CX1144" s="23"/>
      <c r="CY1144" s="23"/>
      <c r="CZ1144" s="23"/>
      <c r="DA1144" s="23"/>
      <c r="DB1144" s="23"/>
      <c r="DC1144" s="23"/>
      <c r="DD1144" s="23"/>
      <c r="DE1144" s="23"/>
      <c r="DF1144" s="23"/>
      <c r="DG1144" s="23"/>
      <c r="DH1144" s="23"/>
      <c r="DI1144" s="23"/>
      <c r="DJ1144" s="23"/>
      <c r="DK1144" s="23"/>
      <c r="DL1144" s="23"/>
      <c r="DM1144" s="23"/>
      <c r="DN1144" s="23"/>
      <c r="DO1144" s="23"/>
      <c r="DP1144" s="23"/>
      <c r="DQ1144" s="23"/>
      <c r="DR1144" s="23"/>
      <c r="DS1144" s="23"/>
      <c r="DT1144" s="23"/>
      <c r="DU1144" s="23"/>
      <c r="DV1144" s="23"/>
      <c r="DW1144" s="23"/>
      <c r="DX1144" s="23"/>
      <c r="DY1144" s="23"/>
      <c r="DZ1144" s="23"/>
      <c r="EA1144" s="23"/>
      <c r="EB1144" s="23"/>
      <c r="EC1144" s="23"/>
      <c r="ED1144" s="23"/>
      <c r="EE1144" s="23"/>
      <c r="EF1144" s="23"/>
      <c r="EG1144" s="23"/>
      <c r="EH1144" s="23"/>
      <c r="EI1144" s="23"/>
      <c r="EJ1144" s="23"/>
      <c r="EK1144" s="23"/>
      <c r="EL1144" s="23"/>
      <c r="EM1144" s="23"/>
      <c r="EN1144" s="23"/>
      <c r="EO1144" s="23"/>
      <c r="EP1144" s="23"/>
      <c r="EQ1144" s="23"/>
      <c r="ER1144" s="23"/>
      <c r="ES1144" s="23"/>
      <c r="ET1144" s="23"/>
      <c r="EU1144" s="23"/>
      <c r="EV1144" s="23"/>
      <c r="EW1144" s="23"/>
      <c r="EX1144" s="23"/>
      <c r="EY1144" s="23"/>
      <c r="EZ1144" s="23"/>
      <c r="FA1144" s="23"/>
      <c r="FB1144" s="23"/>
      <c r="FC1144" s="23"/>
      <c r="FD1144" s="23"/>
      <c r="FE1144" s="23"/>
      <c r="FF1144" s="23"/>
      <c r="FG1144" s="23"/>
      <c r="FH1144" s="23"/>
      <c r="FI1144" s="23"/>
      <c r="FJ1144" s="23"/>
      <c r="FK1144" s="23"/>
      <c r="FL1144" s="23"/>
      <c r="FM1144" s="23"/>
      <c r="FN1144" s="23"/>
      <c r="FO1144" s="23"/>
      <c r="FP1144" s="23"/>
      <c r="FQ1144" s="23"/>
      <c r="FR1144" s="23"/>
      <c r="FS1144" s="23"/>
      <c r="FT1144" s="23"/>
      <c r="FU1144" s="23"/>
      <c r="FV1144" s="23"/>
      <c r="FW1144" s="23"/>
      <c r="FX1144" s="23"/>
      <c r="FY1144" s="23"/>
      <c r="FZ1144" s="23"/>
      <c r="GA1144" s="23"/>
      <c r="GB1144" s="23"/>
      <c r="GC1144" s="23"/>
      <c r="GD1144" s="23"/>
      <c r="GE1144" s="23"/>
      <c r="GF1144" s="23"/>
      <c r="GG1144" s="23"/>
      <c r="GH1144" s="23"/>
      <c r="GI1144" s="23"/>
      <c r="GJ1144" s="23"/>
      <c r="GK1144" s="23"/>
      <c r="GL1144" s="23"/>
      <c r="GM1144" s="23"/>
      <c r="GN1144" s="23"/>
      <c r="GO1144" s="23"/>
      <c r="GP1144" s="23"/>
      <c r="GQ1144" s="23"/>
      <c r="GR1144" s="23"/>
      <c r="GS1144" s="23"/>
      <c r="GT1144" s="23"/>
      <c r="GU1144" s="23"/>
      <c r="GV1144" s="23"/>
      <c r="GW1144" s="23"/>
      <c r="GX1144" s="23"/>
      <c r="GY1144" s="23"/>
      <c r="GZ1144" s="23"/>
      <c r="HA1144" s="23"/>
      <c r="HB1144" s="23"/>
      <c r="HC1144" s="23"/>
      <c r="HD1144" s="23"/>
      <c r="HE1144" s="23"/>
      <c r="HF1144" s="23"/>
      <c r="HG1144" s="23"/>
      <c r="HH1144" s="23"/>
      <c r="HI1144" s="23"/>
      <c r="HJ1144" s="23"/>
      <c r="HK1144" s="23"/>
      <c r="HL1144" s="23"/>
      <c r="HM1144" s="23"/>
      <c r="HN1144" s="23"/>
      <c r="HO1144" s="23"/>
      <c r="HP1144" s="23"/>
      <c r="HQ1144" s="23"/>
      <c r="HR1144" s="23"/>
      <c r="HS1144" s="23"/>
      <c r="HT1144" s="23"/>
      <c r="HU1144" s="23"/>
      <c r="HV1144" s="23"/>
      <c r="HW1144" s="23"/>
      <c r="HX1144" s="23"/>
      <c r="HY1144" s="23"/>
      <c r="HZ1144" s="23"/>
      <c r="IA1144" s="23"/>
      <c r="IB1144" s="23"/>
      <c r="IC1144" s="23"/>
      <c r="ID1144" s="23"/>
      <c r="IE1144" s="23"/>
      <c r="IF1144" s="23"/>
      <c r="IG1144" s="23"/>
      <c r="IH1144" s="23"/>
      <c r="II1144" s="23"/>
      <c r="IJ1144" s="23"/>
      <c r="IK1144" s="23"/>
      <c r="IL1144" s="23"/>
      <c r="IM1144" s="23"/>
      <c r="IN1144" s="23"/>
      <c r="IO1144" s="23"/>
      <c r="IP1144" s="23"/>
      <c r="IQ1144" s="23"/>
      <c r="IR1144" s="23"/>
      <c r="IS1144" s="23"/>
      <c r="IT1144" s="23"/>
      <c r="IU1144" s="23"/>
      <c r="IV1144" s="23"/>
      <c r="IW1144" s="23"/>
      <c r="IX1144" s="23"/>
      <c r="IY1144" s="23"/>
      <c r="IZ1144" s="23"/>
      <c r="JA1144" s="23"/>
      <c r="JB1144" s="23"/>
      <c r="JC1144" s="23"/>
      <c r="JD1144" s="23"/>
      <c r="JE1144" s="23"/>
      <c r="JF1144" s="23"/>
      <c r="JG1144" s="23"/>
      <c r="JH1144" s="23"/>
      <c r="JI1144" s="23"/>
      <c r="JJ1144" s="23"/>
      <c r="JK1144" s="23"/>
      <c r="JL1144" s="23"/>
      <c r="JM1144" s="23"/>
      <c r="JN1144" s="23"/>
      <c r="JO1144" s="23"/>
      <c r="JP1144" s="23"/>
      <c r="JQ1144" s="23"/>
      <c r="JR1144" s="23"/>
      <c r="JS1144" s="23"/>
      <c r="JT1144" s="23"/>
      <c r="JU1144" s="23"/>
      <c r="JV1144" s="23"/>
      <c r="JW1144" s="23"/>
      <c r="JX1144" s="23"/>
      <c r="JY1144" s="23"/>
      <c r="JZ1144" s="23"/>
      <c r="KA1144" s="23"/>
      <c r="KB1144" s="23"/>
      <c r="KC1144" s="23"/>
      <c r="KD1144" s="23"/>
      <c r="KE1144" s="23"/>
      <c r="KF1144" s="23"/>
      <c r="KG1144" s="23"/>
      <c r="KH1144" s="23"/>
      <c r="KI1144" s="23"/>
      <c r="KJ1144" s="23"/>
      <c r="KK1144" s="23"/>
      <c r="KL1144" s="23"/>
      <c r="KM1144" s="23"/>
      <c r="KN1144" s="23"/>
      <c r="KO1144" s="23"/>
      <c r="KP1144" s="23"/>
      <c r="KQ1144" s="23"/>
      <c r="KR1144" s="23"/>
      <c r="KS1144" s="23"/>
      <c r="KT1144" s="23"/>
      <c r="KU1144" s="23"/>
      <c r="KV1144" s="23"/>
      <c r="KW1144" s="23"/>
      <c r="KX1144" s="23"/>
      <c r="KY1144" s="23"/>
      <c r="KZ1144" s="23"/>
      <c r="LA1144" s="23"/>
      <c r="LB1144" s="23"/>
      <c r="LC1144" s="23"/>
      <c r="LD1144" s="23"/>
      <c r="LE1144" s="23"/>
      <c r="LF1144" s="23"/>
      <c r="LG1144" s="23"/>
      <c r="LH1144" s="23"/>
      <c r="LI1144" s="23"/>
      <c r="LJ1144" s="23"/>
      <c r="LK1144" s="23"/>
      <c r="LL1144" s="23"/>
      <c r="LM1144" s="23"/>
      <c r="LN1144" s="23"/>
      <c r="LO1144" s="23"/>
      <c r="LP1144" s="23"/>
      <c r="LQ1144" s="23"/>
      <c r="LR1144" s="23"/>
      <c r="LS1144" s="23"/>
      <c r="LT1144" s="23"/>
      <c r="LU1144" s="23"/>
      <c r="LV1144" s="23"/>
      <c r="LW1144" s="23"/>
      <c r="LX1144" s="23"/>
      <c r="LY1144" s="23"/>
      <c r="LZ1144" s="23"/>
      <c r="MA1144" s="23"/>
      <c r="MB1144" s="23"/>
      <c r="MC1144" s="23"/>
      <c r="MD1144" s="23"/>
      <c r="ME1144" s="23"/>
      <c r="MF1144" s="23"/>
      <c r="MG1144" s="23"/>
      <c r="MH1144" s="23"/>
      <c r="MI1144" s="23"/>
      <c r="MJ1144" s="23"/>
      <c r="MK1144" s="23"/>
      <c r="ML1144" s="23"/>
      <c r="MM1144" s="23"/>
      <c r="MN1144" s="23"/>
      <c r="MO1144" s="23"/>
      <c r="MP1144" s="23"/>
      <c r="MQ1144" s="23"/>
      <c r="MR1144" s="23"/>
      <c r="MS1144" s="23"/>
      <c r="MT1144" s="23"/>
      <c r="MU1144" s="23"/>
      <c r="MV1144" s="23"/>
      <c r="MW1144" s="23"/>
      <c r="MX1144" s="23"/>
      <c r="MY1144" s="23"/>
      <c r="MZ1144" s="23"/>
      <c r="NA1144" s="23"/>
      <c r="NB1144" s="23"/>
      <c r="NC1144" s="23"/>
      <c r="ND1144" s="23"/>
      <c r="NE1144" s="23"/>
      <c r="NF1144" s="23"/>
      <c r="NG1144" s="23"/>
      <c r="NH1144" s="23"/>
      <c r="NI1144" s="23"/>
      <c r="NJ1144" s="23"/>
      <c r="NK1144" s="23"/>
      <c r="NL1144" s="23"/>
      <c r="NM1144" s="23"/>
      <c r="NN1144" s="23"/>
      <c r="NO1144" s="23"/>
      <c r="NP1144" s="23"/>
      <c r="NQ1144" s="23"/>
      <c r="NR1144" s="23"/>
      <c r="NS1144" s="23"/>
      <c r="NT1144" s="23"/>
      <c r="NU1144" s="23"/>
      <c r="NV1144" s="23"/>
      <c r="NW1144" s="23"/>
      <c r="NX1144" s="23"/>
      <c r="NY1144" s="23"/>
      <c r="NZ1144" s="23"/>
      <c r="OA1144" s="23"/>
      <c r="OB1144" s="23"/>
      <c r="OC1144" s="23"/>
      <c r="OD1144" s="23"/>
      <c r="OE1144" s="23"/>
      <c r="OF1144" s="23"/>
      <c r="OG1144" s="23"/>
      <c r="OH1144" s="23"/>
      <c r="OI1144" s="23"/>
      <c r="OJ1144" s="23"/>
      <c r="OK1144" s="23"/>
      <c r="OL1144" s="23"/>
      <c r="OM1144" s="23"/>
      <c r="ON1144" s="23"/>
      <c r="OO1144" s="23"/>
      <c r="OP1144" s="23"/>
      <c r="OQ1144" s="23"/>
      <c r="OR1144" s="23"/>
      <c r="OS1144" s="23"/>
      <c r="OT1144" s="23"/>
      <c r="OU1144" s="23"/>
      <c r="OV1144" s="23"/>
      <c r="OW1144" s="23"/>
      <c r="OX1144" s="23"/>
      <c r="OY1144" s="23"/>
      <c r="OZ1144" s="23"/>
      <c r="PA1144" s="23"/>
      <c r="PB1144" s="23"/>
      <c r="PC1144" s="23"/>
      <c r="PD1144" s="23"/>
      <c r="PE1144" s="23"/>
      <c r="PF1144" s="23"/>
      <c r="PG1144" s="23"/>
      <c r="PH1144" s="23"/>
      <c r="PI1144" s="23"/>
      <c r="PJ1144" s="23"/>
      <c r="PK1144" s="23"/>
      <c r="PL1144" s="23"/>
      <c r="PM1144" s="23"/>
      <c r="PN1144" s="23"/>
      <c r="PO1144" s="23"/>
      <c r="PP1144" s="23"/>
      <c r="PQ1144" s="23"/>
      <c r="PR1144" s="23"/>
      <c r="PS1144" s="23"/>
      <c r="PT1144" s="23"/>
      <c r="PU1144" s="23"/>
      <c r="PV1144" s="23"/>
      <c r="PW1144" s="23"/>
      <c r="PX1144" s="23"/>
      <c r="PY1144" s="23"/>
      <c r="PZ1144" s="23"/>
      <c r="QA1144" s="23"/>
      <c r="QB1144" s="23"/>
      <c r="QC1144" s="23"/>
      <c r="QD1144" s="23"/>
      <c r="QE1144" s="23"/>
      <c r="QF1144" s="23"/>
      <c r="QG1144" s="23"/>
      <c r="QH1144" s="23"/>
      <c r="QI1144" s="23"/>
      <c r="QJ1144" s="23"/>
      <c r="QK1144" s="23"/>
      <c r="QL1144" s="23"/>
      <c r="QM1144" s="23"/>
      <c r="QN1144" s="23"/>
      <c r="QO1144" s="23"/>
      <c r="QP1144" s="23"/>
      <c r="QQ1144" s="23"/>
      <c r="QR1144" s="23"/>
      <c r="QS1144" s="23"/>
      <c r="QT1144" s="23"/>
      <c r="QU1144" s="23"/>
      <c r="QV1144" s="23"/>
      <c r="QW1144" s="23"/>
      <c r="QX1144" s="23"/>
      <c r="QY1144" s="23"/>
      <c r="QZ1144" s="23"/>
      <c r="RA1144" s="23"/>
      <c r="RB1144" s="23"/>
      <c r="RC1144" s="23"/>
      <c r="RD1144" s="23"/>
      <c r="RE1144" s="23"/>
      <c r="RF1144" s="23"/>
      <c r="RG1144" s="23"/>
      <c r="RH1144" s="23"/>
      <c r="RI1144" s="23"/>
      <c r="RJ1144" s="23"/>
      <c r="RK1144" s="23"/>
      <c r="RL1144" s="23"/>
      <c r="RM1144" s="23"/>
      <c r="RN1144" s="23"/>
      <c r="RO1144" s="23"/>
      <c r="RP1144" s="23"/>
      <c r="RQ1144" s="23"/>
      <c r="RR1144" s="23"/>
      <c r="RS1144" s="23"/>
      <c r="RT1144" s="23"/>
      <c r="RU1144" s="23"/>
      <c r="RV1144" s="23"/>
      <c r="RW1144" s="23"/>
      <c r="RX1144" s="23"/>
      <c r="RY1144" s="23"/>
      <c r="RZ1144" s="23"/>
      <c r="SA1144" s="23"/>
      <c r="SB1144" s="23"/>
      <c r="SC1144" s="23"/>
      <c r="SD1144" s="23"/>
      <c r="SE1144" s="23"/>
      <c r="SF1144" s="23"/>
      <c r="SG1144" s="23"/>
      <c r="SH1144" s="23"/>
      <c r="SI1144" s="23"/>
      <c r="SJ1144" s="23"/>
      <c r="SK1144" s="23"/>
      <c r="SL1144" s="23"/>
      <c r="SM1144" s="23"/>
      <c r="SN1144" s="23"/>
      <c r="SO1144" s="23"/>
      <c r="SP1144" s="23"/>
      <c r="SQ1144" s="23"/>
      <c r="SR1144" s="23"/>
      <c r="SS1144" s="23"/>
      <c r="ST1144" s="23"/>
      <c r="SU1144" s="23"/>
      <c r="SV1144" s="23"/>
      <c r="SW1144" s="23"/>
      <c r="SX1144" s="23"/>
      <c r="SY1144" s="23"/>
      <c r="SZ1144" s="23"/>
      <c r="TA1144" s="23"/>
      <c r="TB1144" s="23"/>
      <c r="TC1144" s="23"/>
      <c r="TD1144" s="23"/>
      <c r="TE1144" s="23"/>
      <c r="TF1144" s="23"/>
      <c r="TG1144" s="23"/>
      <c r="TH1144" s="23"/>
      <c r="TI1144" s="23"/>
      <c r="TJ1144" s="23"/>
      <c r="TK1144" s="23"/>
      <c r="TL1144" s="23"/>
      <c r="TM1144" s="23"/>
      <c r="TN1144" s="23"/>
      <c r="TO1144" s="23"/>
      <c r="TP1144" s="23"/>
      <c r="TQ1144" s="23"/>
      <c r="TR1144" s="23"/>
      <c r="TS1144" s="23"/>
      <c r="TT1144" s="23"/>
      <c r="TU1144" s="23"/>
      <c r="TV1144" s="23"/>
      <c r="TW1144" s="23"/>
      <c r="TX1144" s="23"/>
      <c r="TY1144" s="23"/>
      <c r="TZ1144" s="23"/>
      <c r="UA1144" s="23"/>
      <c r="UB1144" s="23"/>
      <c r="UC1144" s="23"/>
      <c r="UD1144" s="23"/>
      <c r="UE1144" s="23"/>
      <c r="UF1144" s="23"/>
      <c r="UG1144" s="23"/>
      <c r="UH1144" s="23"/>
      <c r="UI1144" s="23"/>
      <c r="UJ1144" s="23"/>
      <c r="UK1144" s="23"/>
      <c r="UL1144" s="23"/>
      <c r="UM1144" s="23"/>
      <c r="UN1144" s="23"/>
      <c r="UO1144" s="23"/>
      <c r="UP1144" s="23"/>
      <c r="UQ1144" s="23"/>
      <c r="UR1144" s="23"/>
      <c r="US1144" s="23"/>
      <c r="UT1144" s="23"/>
      <c r="UU1144" s="23"/>
      <c r="UV1144" s="23"/>
      <c r="UW1144" s="23"/>
      <c r="UX1144" s="23"/>
      <c r="UY1144" s="23"/>
      <c r="UZ1144" s="23"/>
      <c r="VA1144" s="23"/>
      <c r="VB1144" s="23"/>
      <c r="VC1144" s="23"/>
      <c r="VD1144" s="23"/>
      <c r="VE1144" s="23"/>
      <c r="VF1144" s="23"/>
      <c r="VG1144" s="23"/>
      <c r="VH1144" s="23"/>
      <c r="VI1144" s="23"/>
      <c r="VJ1144" s="23"/>
      <c r="VK1144" s="23"/>
      <c r="VL1144" s="23"/>
      <c r="VM1144" s="23"/>
      <c r="VN1144" s="23"/>
      <c r="VO1144" s="23"/>
      <c r="VP1144" s="23"/>
      <c r="VQ1144" s="23"/>
      <c r="VR1144" s="23"/>
      <c r="VS1144" s="23"/>
      <c r="VT1144" s="23"/>
      <c r="VU1144" s="23"/>
      <c r="VV1144" s="23"/>
      <c r="VW1144" s="23"/>
      <c r="VX1144" s="23"/>
      <c r="VY1144" s="23"/>
      <c r="VZ1144" s="23"/>
      <c r="WA1144" s="23"/>
      <c r="WB1144" s="23"/>
      <c r="WC1144" s="23"/>
      <c r="WD1144" s="23"/>
      <c r="WE1144" s="23"/>
      <c r="WF1144" s="23"/>
      <c r="WG1144" s="23"/>
      <c r="WH1144" s="23"/>
      <c r="WI1144" s="23"/>
      <c r="WJ1144" s="23"/>
      <c r="WK1144" s="23"/>
      <c r="WL1144" s="23"/>
      <c r="WM1144" s="23"/>
      <c r="WN1144" s="23"/>
      <c r="WO1144" s="23"/>
      <c r="WP1144" s="23"/>
      <c r="WQ1144" s="23"/>
      <c r="WR1144" s="23"/>
      <c r="WS1144" s="23"/>
      <c r="WT1144" s="23"/>
      <c r="WU1144" s="23"/>
      <c r="WV1144" s="23"/>
      <c r="WW1144" s="23"/>
      <c r="WX1144" s="23"/>
      <c r="WY1144" s="23"/>
      <c r="WZ1144" s="23"/>
      <c r="XA1144" s="23"/>
      <c r="XB1144" s="23"/>
      <c r="XC1144" s="23"/>
      <c r="XD1144" s="23"/>
      <c r="XE1144" s="23"/>
      <c r="XF1144" s="23"/>
      <c r="XG1144" s="23"/>
      <c r="XH1144" s="23"/>
      <c r="XI1144" s="23"/>
      <c r="XJ1144" s="23"/>
      <c r="XK1144" s="23"/>
      <c r="XL1144" s="23"/>
      <c r="XM1144" s="23"/>
      <c r="XN1144" s="23"/>
      <c r="XO1144" s="23"/>
      <c r="XP1144" s="23"/>
      <c r="XQ1144" s="23"/>
      <c r="XR1144" s="23"/>
      <c r="XS1144" s="23"/>
      <c r="XT1144" s="23"/>
      <c r="XU1144" s="23"/>
      <c r="XV1144" s="23"/>
      <c r="XW1144" s="23"/>
      <c r="XX1144" s="23"/>
      <c r="XY1144" s="23"/>
      <c r="XZ1144" s="23"/>
      <c r="YA1144" s="23"/>
      <c r="YB1144" s="23"/>
      <c r="YC1144" s="23"/>
      <c r="YD1144" s="23"/>
      <c r="YE1144" s="23"/>
      <c r="YF1144" s="23"/>
      <c r="YG1144" s="23"/>
      <c r="YH1144" s="23"/>
      <c r="YI1144" s="23"/>
      <c r="YJ1144" s="23"/>
      <c r="YK1144" s="23"/>
      <c r="YL1144" s="23"/>
      <c r="YM1144" s="23"/>
      <c r="YN1144" s="23"/>
      <c r="YO1144" s="23"/>
      <c r="YP1144" s="23"/>
      <c r="YQ1144" s="23"/>
      <c r="YR1144" s="23"/>
      <c r="YS1144" s="23"/>
      <c r="YT1144" s="23"/>
      <c r="YU1144" s="23"/>
      <c r="YV1144" s="23"/>
      <c r="YW1144" s="23"/>
      <c r="YX1144" s="23"/>
      <c r="YY1144" s="23"/>
      <c r="YZ1144" s="23"/>
      <c r="ZA1144" s="23"/>
      <c r="ZB1144" s="23"/>
      <c r="ZC1144" s="23"/>
      <c r="ZD1144" s="23"/>
      <c r="ZE1144" s="23"/>
      <c r="ZF1144" s="23"/>
      <c r="ZG1144" s="23"/>
      <c r="ZH1144" s="23"/>
      <c r="ZI1144" s="23"/>
      <c r="ZJ1144" s="23"/>
      <c r="ZK1144" s="23"/>
      <c r="ZL1144" s="23"/>
      <c r="ZM1144" s="23"/>
      <c r="ZN1144" s="23"/>
      <c r="ZO1144" s="23"/>
      <c r="ZP1144" s="23"/>
      <c r="ZQ1144" s="23"/>
      <c r="ZR1144" s="23"/>
      <c r="ZS1144" s="23"/>
      <c r="ZT1144" s="23"/>
      <c r="ZU1144" s="23"/>
      <c r="ZV1144" s="23"/>
      <c r="ZW1144" s="23"/>
      <c r="ZX1144" s="23"/>
      <c r="ZY1144" s="23"/>
      <c r="ZZ1144" s="23"/>
      <c r="AAA1144" s="23"/>
      <c r="AAB1144" s="23"/>
      <c r="AAC1144" s="23"/>
      <c r="AAD1144" s="23"/>
      <c r="AAE1144" s="23"/>
      <c r="AAF1144" s="23"/>
      <c r="AAG1144" s="23"/>
      <c r="AAH1144" s="23"/>
      <c r="AAI1144" s="23"/>
      <c r="AAJ1144" s="23"/>
      <c r="AAK1144" s="23"/>
      <c r="AAL1144" s="23"/>
      <c r="AAM1144" s="23"/>
      <c r="AAN1144" s="23"/>
      <c r="AAO1144" s="23"/>
      <c r="AAP1144" s="23"/>
      <c r="AAQ1144" s="23"/>
      <c r="AAR1144" s="23"/>
      <c r="AAS1144" s="23"/>
      <c r="AAT1144" s="23"/>
      <c r="AAU1144" s="23"/>
      <c r="AAV1144" s="23"/>
      <c r="AAW1144" s="23"/>
      <c r="AAX1144" s="23"/>
      <c r="AAY1144" s="23"/>
      <c r="AAZ1144" s="23"/>
      <c r="ABA1144" s="23"/>
      <c r="ABB1144" s="23"/>
      <c r="ABC1144" s="23"/>
      <c r="ABD1144" s="23"/>
      <c r="ABE1144" s="23"/>
      <c r="ABF1144" s="23"/>
      <c r="ABG1144" s="23"/>
      <c r="ABH1144" s="23"/>
      <c r="ABI1144" s="23"/>
      <c r="ABJ1144" s="23"/>
      <c r="ABK1144" s="23"/>
      <c r="ABL1144" s="23"/>
      <c r="ABM1144" s="23"/>
      <c r="ABN1144" s="23"/>
      <c r="ABO1144" s="23"/>
      <c r="ABP1144" s="23"/>
      <c r="ABQ1144" s="23"/>
      <c r="ABR1144" s="23"/>
      <c r="ABS1144" s="23"/>
      <c r="ABT1144" s="23"/>
      <c r="ABU1144" s="23"/>
      <c r="ABV1144" s="23"/>
      <c r="ABW1144" s="23"/>
      <c r="ABX1144" s="23"/>
      <c r="ABY1144" s="23"/>
      <c r="ABZ1144" s="23"/>
      <c r="ACA1144" s="23"/>
      <c r="ACB1144" s="23"/>
      <c r="ACC1144" s="23"/>
      <c r="ACD1144" s="23"/>
      <c r="ACE1144" s="23"/>
      <c r="ACF1144" s="23"/>
      <c r="ACG1144" s="23"/>
      <c r="ACH1144" s="23"/>
      <c r="ACI1144" s="23"/>
      <c r="ACJ1144" s="23"/>
      <c r="ACK1144" s="23"/>
      <c r="ACL1144" s="23"/>
      <c r="ACM1144" s="23"/>
      <c r="ACN1144" s="23"/>
      <c r="ACO1144" s="23"/>
      <c r="ACP1144" s="23"/>
      <c r="ACQ1144" s="23"/>
      <c r="ACR1144" s="23"/>
      <c r="ACS1144" s="23"/>
      <c r="ACT1144" s="23"/>
      <c r="ACU1144" s="23"/>
      <c r="ACV1144" s="23"/>
      <c r="ACW1144" s="23"/>
      <c r="ACX1144" s="23"/>
      <c r="ACY1144" s="23"/>
      <c r="ACZ1144" s="23"/>
      <c r="ADA1144" s="23"/>
      <c r="ADB1144" s="23"/>
      <c r="ADC1144" s="23"/>
      <c r="ADD1144" s="23"/>
      <c r="ADE1144" s="23"/>
      <c r="ADF1144" s="23"/>
      <c r="ADG1144" s="23"/>
      <c r="ADH1144" s="23"/>
      <c r="ADI1144" s="23"/>
      <c r="ADJ1144" s="23"/>
      <c r="ADK1144" s="23"/>
      <c r="ADL1144" s="23"/>
      <c r="ADM1144" s="23"/>
      <c r="ADN1144" s="23"/>
      <c r="ADO1144" s="23"/>
      <c r="ADP1144" s="23"/>
      <c r="ADQ1144" s="23"/>
      <c r="ADR1144" s="23"/>
      <c r="ADS1144" s="23"/>
      <c r="ADT1144" s="23"/>
      <c r="ADU1144" s="23"/>
      <c r="ADV1144" s="23"/>
      <c r="ADW1144" s="23"/>
      <c r="ADX1144" s="23"/>
      <c r="ADY1144" s="23"/>
      <c r="ADZ1144" s="23"/>
      <c r="AEA1144" s="23"/>
      <c r="AEB1144" s="23"/>
      <c r="AEC1144" s="23"/>
      <c r="AED1144" s="23"/>
      <c r="AEE1144" s="23"/>
      <c r="AEF1144" s="23"/>
      <c r="AEG1144" s="23"/>
      <c r="AEH1144" s="23"/>
      <c r="AEI1144" s="23"/>
      <c r="AEJ1144" s="23"/>
      <c r="AEK1144" s="23"/>
      <c r="AEL1144" s="23"/>
      <c r="AEM1144" s="23"/>
      <c r="AEN1144" s="23"/>
      <c r="AEO1144" s="23"/>
      <c r="AEP1144" s="23"/>
      <c r="AEQ1144" s="23"/>
      <c r="AER1144" s="23"/>
      <c r="AES1144" s="23"/>
      <c r="AET1144" s="23"/>
      <c r="AEU1144" s="23"/>
      <c r="AEV1144" s="23"/>
      <c r="AEW1144" s="23"/>
      <c r="AEX1144" s="23"/>
      <c r="AEY1144" s="23"/>
      <c r="AEZ1144" s="23"/>
      <c r="AFA1144" s="23"/>
      <c r="AFB1144" s="23"/>
      <c r="AFC1144" s="23"/>
      <c r="AFD1144" s="23"/>
      <c r="AFE1144" s="23"/>
      <c r="AFF1144" s="23"/>
      <c r="AFG1144" s="23"/>
      <c r="AFH1144" s="23"/>
      <c r="AFI1144" s="23"/>
      <c r="AFJ1144" s="23"/>
      <c r="AFK1144" s="23"/>
      <c r="AFL1144" s="23"/>
      <c r="AFM1144" s="23"/>
      <c r="AFN1144" s="23"/>
      <c r="AFO1144" s="23"/>
      <c r="AFP1144" s="23"/>
      <c r="AFQ1144" s="23"/>
      <c r="AFR1144" s="23"/>
      <c r="AFS1144" s="23"/>
      <c r="AFT1144" s="23"/>
      <c r="AFU1144" s="23"/>
      <c r="AFV1144" s="23"/>
      <c r="AFW1144" s="23"/>
      <c r="AFX1144" s="23"/>
      <c r="AFY1144" s="23"/>
      <c r="AFZ1144" s="23"/>
      <c r="AGA1144" s="23"/>
      <c r="AGB1144" s="23"/>
      <c r="AGC1144" s="23"/>
      <c r="AGD1144" s="23"/>
      <c r="AGE1144" s="23"/>
      <c r="AGF1144" s="23"/>
      <c r="AGG1144" s="23"/>
      <c r="AGH1144" s="23"/>
      <c r="AGI1144" s="23"/>
      <c r="AGJ1144" s="23"/>
      <c r="AGK1144" s="23"/>
      <c r="AGL1144" s="23"/>
      <c r="AGM1144" s="23"/>
      <c r="AGN1144" s="23"/>
      <c r="AGO1144" s="23"/>
      <c r="AGP1144" s="23"/>
      <c r="AGQ1144" s="23"/>
      <c r="AGR1144" s="23"/>
      <c r="AGS1144" s="23"/>
      <c r="AGT1144" s="23"/>
      <c r="AGU1144" s="23"/>
      <c r="AGV1144" s="23"/>
      <c r="AGW1144" s="23"/>
      <c r="AGX1144" s="23"/>
      <c r="AGY1144" s="23"/>
      <c r="AGZ1144" s="23"/>
      <c r="AHA1144" s="23"/>
      <c r="AHB1144" s="23"/>
      <c r="AHC1144" s="23"/>
      <c r="AHD1144" s="23"/>
      <c r="AHE1144" s="23"/>
      <c r="AHF1144" s="23"/>
      <c r="AHG1144" s="23"/>
      <c r="AHH1144" s="23"/>
      <c r="AHI1144" s="23"/>
      <c r="AHJ1144" s="23"/>
      <c r="AHK1144" s="23"/>
      <c r="AHL1144" s="23"/>
      <c r="AHM1144" s="23"/>
      <c r="AHN1144" s="23"/>
      <c r="AHO1144" s="23"/>
      <c r="AHP1144" s="23"/>
      <c r="AHQ1144" s="23"/>
      <c r="AHR1144" s="23"/>
      <c r="AHS1144" s="23"/>
      <c r="AHT1144" s="23"/>
      <c r="AHU1144" s="23"/>
      <c r="AHV1144" s="23"/>
      <c r="AHW1144" s="23"/>
      <c r="AHX1144" s="23"/>
      <c r="AHY1144" s="23"/>
      <c r="AHZ1144" s="23"/>
      <c r="AIA1144" s="23"/>
      <c r="AIB1144" s="23"/>
      <c r="AIC1144" s="23"/>
      <c r="AID1144" s="23"/>
      <c r="AIE1144" s="23"/>
      <c r="AIF1144" s="23"/>
      <c r="AIG1144" s="23"/>
      <c r="AIH1144" s="23"/>
      <c r="AII1144" s="23"/>
      <c r="AIJ1144" s="23"/>
      <c r="AIK1144" s="23"/>
      <c r="AIL1144" s="23"/>
      <c r="AIM1144" s="23"/>
      <c r="AIN1144" s="23"/>
      <c r="AIO1144" s="23"/>
      <c r="AIP1144" s="23"/>
      <c r="AIQ1144" s="23"/>
      <c r="AIR1144" s="23"/>
      <c r="AIS1144" s="23"/>
      <c r="AIT1144" s="23"/>
      <c r="AIU1144" s="23"/>
      <c r="AIV1144" s="23"/>
      <c r="AIW1144" s="23"/>
      <c r="AIX1144" s="23"/>
      <c r="AIY1144" s="23"/>
      <c r="AIZ1144" s="23"/>
      <c r="AJA1144" s="23"/>
      <c r="AJB1144" s="23"/>
      <c r="AJC1144" s="23"/>
      <c r="AJD1144" s="23"/>
      <c r="AJE1144" s="23"/>
      <c r="AJF1144" s="23"/>
      <c r="AJG1144" s="23"/>
      <c r="AJH1144" s="23"/>
      <c r="AJI1144" s="23"/>
      <c r="AJJ1144" s="23"/>
      <c r="AJK1144" s="23"/>
      <c r="AJL1144" s="23"/>
      <c r="AJM1144" s="23"/>
      <c r="AJN1144" s="23"/>
      <c r="AJO1144" s="23"/>
      <c r="AJP1144" s="23"/>
      <c r="AJQ1144" s="23"/>
      <c r="AJR1144" s="23"/>
      <c r="AJS1144" s="23"/>
      <c r="AJT1144" s="23"/>
      <c r="AJU1144" s="23"/>
      <c r="AJV1144" s="23"/>
      <c r="AJW1144" s="23"/>
      <c r="AJX1144" s="23"/>
      <c r="AJY1144" s="23"/>
      <c r="AJZ1144" s="23"/>
      <c r="AKA1144" s="23"/>
      <c r="AKB1144" s="23"/>
      <c r="AKC1144" s="23"/>
      <c r="AKD1144" s="23"/>
      <c r="AKE1144" s="23"/>
      <c r="AKF1144" s="23"/>
      <c r="AKG1144" s="23"/>
      <c r="AKH1144" s="23"/>
      <c r="AKI1144" s="23"/>
      <c r="AKJ1144" s="23"/>
      <c r="AKK1144" s="23"/>
      <c r="AKL1144" s="23"/>
      <c r="AKM1144" s="23"/>
      <c r="AKN1144" s="23"/>
      <c r="AKO1144" s="23"/>
      <c r="AKP1144" s="23"/>
      <c r="AKQ1144" s="23"/>
      <c r="AKR1144" s="23"/>
      <c r="AKS1144" s="23"/>
      <c r="AKT1144" s="23"/>
      <c r="AKU1144" s="23"/>
      <c r="AKV1144" s="23"/>
      <c r="AKW1144" s="23"/>
      <c r="AKX1144" s="23"/>
      <c r="AKY1144" s="23"/>
      <c r="AKZ1144" s="23"/>
      <c r="ALA1144" s="23"/>
      <c r="ALB1144" s="23"/>
      <c r="ALC1144" s="23"/>
      <c r="ALD1144" s="23"/>
      <c r="ALE1144" s="23"/>
      <c r="ALF1144" s="23"/>
      <c r="ALG1144" s="23"/>
      <c r="ALH1144" s="23"/>
      <c r="ALI1144" s="23"/>
      <c r="ALJ1144" s="23"/>
      <c r="ALK1144" s="23"/>
      <c r="ALL1144" s="23"/>
      <c r="ALM1144" s="23"/>
      <c r="ALN1144" s="23"/>
      <c r="ALO1144" s="23"/>
      <c r="ALP1144" s="23"/>
      <c r="ALQ1144" s="23"/>
      <c r="ALR1144" s="23"/>
      <c r="ALS1144" s="23"/>
      <c r="ALT1144" s="23"/>
      <c r="ALU1144" s="23"/>
      <c r="ALV1144" s="23"/>
      <c r="ALW1144" s="23"/>
      <c r="ALX1144" s="23"/>
      <c r="ALY1144" s="23"/>
      <c r="ALZ1144" s="23"/>
      <c r="AMA1144" s="23"/>
      <c r="AMB1144" s="23"/>
      <c r="AMC1144" s="23"/>
      <c r="AMD1144" s="23"/>
      <c r="AME1144" s="23"/>
      <c r="AMF1144" s="23"/>
      <c r="AMG1144" s="23"/>
      <c r="AMH1144" s="23"/>
      <c r="AMI1144" s="23"/>
      <c r="AMJ1144" s="23"/>
      <c r="AMK1144" s="23"/>
      <c r="AML1144" s="23"/>
      <c r="AMM1144" s="23"/>
      <c r="AMN1144" s="23"/>
      <c r="AMO1144" s="23"/>
      <c r="AMP1144" s="23"/>
      <c r="AMQ1144" s="23"/>
      <c r="AMR1144" s="23"/>
      <c r="AMS1144" s="23"/>
      <c r="AMT1144" s="23"/>
      <c r="AMU1144" s="23"/>
      <c r="AMV1144" s="23"/>
      <c r="AMW1144" s="23"/>
      <c r="AMX1144" s="23"/>
      <c r="AMY1144" s="23"/>
      <c r="AMZ1144" s="23"/>
      <c r="ANA1144" s="23"/>
      <c r="ANB1144" s="23"/>
      <c r="ANC1144" s="23"/>
      <c r="AND1144" s="23"/>
      <c r="ANE1144" s="23"/>
      <c r="ANF1144" s="23"/>
      <c r="ANG1144" s="23"/>
      <c r="ANH1144" s="23"/>
      <c r="ANI1144" s="23"/>
      <c r="ANJ1144" s="23"/>
      <c r="ANK1144" s="23"/>
      <c r="ANL1144" s="23"/>
      <c r="ANM1144" s="23"/>
      <c r="ANN1144" s="23"/>
      <c r="ANO1144" s="23"/>
      <c r="ANP1144" s="23"/>
      <c r="ANQ1144" s="23"/>
      <c r="ANR1144" s="23"/>
      <c r="ANS1144" s="23"/>
      <c r="ANT1144" s="23"/>
      <c r="ANU1144" s="23"/>
      <c r="ANV1144" s="23"/>
      <c r="ANW1144" s="23"/>
      <c r="ANX1144" s="23"/>
      <c r="ANY1144" s="23"/>
      <c r="ANZ1144" s="23"/>
      <c r="AOA1144" s="23"/>
      <c r="AOB1144" s="23"/>
      <c r="AOC1144" s="23"/>
      <c r="AOD1144" s="23"/>
      <c r="AOE1144" s="23"/>
      <c r="AOF1144" s="23"/>
      <c r="AOG1144" s="23"/>
      <c r="AOH1144" s="23"/>
      <c r="AOI1144" s="23"/>
      <c r="AOJ1144" s="23"/>
      <c r="AOK1144" s="23"/>
      <c r="AOL1144" s="23"/>
      <c r="AOM1144" s="23"/>
      <c r="AON1144" s="23"/>
      <c r="AOO1144" s="23"/>
      <c r="AOP1144" s="23"/>
      <c r="AOQ1144" s="23"/>
      <c r="AOR1144" s="23"/>
      <c r="AOS1144" s="23"/>
      <c r="AOT1144" s="23"/>
      <c r="AOU1144" s="23"/>
      <c r="AOV1144" s="23"/>
      <c r="AOW1144" s="23"/>
      <c r="AOX1144" s="23"/>
      <c r="AOY1144" s="23"/>
      <c r="AOZ1144" s="23"/>
      <c r="APA1144" s="23"/>
      <c r="APB1144" s="23"/>
      <c r="APC1144" s="23"/>
      <c r="APD1144" s="23"/>
      <c r="APE1144" s="23"/>
      <c r="APF1144" s="23"/>
      <c r="APG1144" s="23"/>
      <c r="APH1144" s="23"/>
      <c r="API1144" s="23"/>
      <c r="APJ1144" s="23"/>
      <c r="APK1144" s="23"/>
      <c r="APL1144" s="23"/>
      <c r="APM1144" s="23"/>
      <c r="APN1144" s="23"/>
      <c r="APO1144" s="23"/>
      <c r="APP1144" s="23"/>
      <c r="APQ1144" s="23"/>
      <c r="APR1144" s="23"/>
      <c r="APS1144" s="23"/>
      <c r="APT1144" s="23"/>
      <c r="APU1144" s="23"/>
      <c r="APV1144" s="23"/>
      <c r="APW1144" s="23"/>
      <c r="APX1144" s="23"/>
      <c r="APY1144" s="23"/>
      <c r="APZ1144" s="23"/>
      <c r="AQA1144" s="23"/>
      <c r="AQB1144" s="23"/>
      <c r="AQC1144" s="23"/>
      <c r="AQD1144" s="23"/>
      <c r="AQE1144" s="23"/>
      <c r="AQF1144" s="23"/>
      <c r="AQG1144" s="23"/>
      <c r="AQH1144" s="23"/>
      <c r="AQI1144" s="23"/>
      <c r="AQJ1144" s="23"/>
      <c r="AQK1144" s="23"/>
      <c r="AQL1144" s="23"/>
      <c r="AQM1144" s="23"/>
      <c r="AQN1144" s="23"/>
      <c r="AQO1144" s="23"/>
      <c r="AQP1144" s="23"/>
      <c r="AQQ1144" s="23"/>
      <c r="AQR1144" s="23"/>
      <c r="AQS1144" s="23"/>
      <c r="AQT1144" s="23"/>
      <c r="AQU1144" s="23"/>
      <c r="AQV1144" s="23"/>
      <c r="AQW1144" s="23"/>
      <c r="AQX1144" s="23"/>
      <c r="AQY1144" s="23"/>
      <c r="AQZ1144" s="23"/>
      <c r="ARA1144" s="23"/>
      <c r="ARB1144" s="23"/>
      <c r="ARC1144" s="23"/>
      <c r="ARD1144" s="23"/>
      <c r="ARE1144" s="23"/>
      <c r="ARF1144" s="23"/>
      <c r="ARG1144" s="23"/>
      <c r="ARH1144" s="23"/>
      <c r="ARI1144" s="23"/>
      <c r="ARJ1144" s="23"/>
      <c r="ARK1144" s="23"/>
      <c r="ARL1144" s="23"/>
      <c r="ARM1144" s="23"/>
      <c r="ARN1144" s="23"/>
      <c r="ARO1144" s="23"/>
      <c r="ARP1144" s="23"/>
      <c r="ARQ1144" s="23"/>
      <c r="ARR1144" s="23"/>
      <c r="ARS1144" s="23"/>
      <c r="ART1144" s="23"/>
      <c r="ARU1144" s="23"/>
      <c r="ARV1144" s="23"/>
      <c r="ARW1144" s="23"/>
      <c r="ARX1144" s="23"/>
      <c r="ARY1144" s="23"/>
      <c r="ARZ1144" s="23"/>
      <c r="ASA1144" s="23"/>
      <c r="ASB1144" s="23"/>
      <c r="ASC1144" s="23"/>
      <c r="ASD1144" s="23"/>
      <c r="ASE1144" s="23"/>
      <c r="ASF1144" s="23"/>
      <c r="ASG1144" s="23"/>
      <c r="ASH1144" s="23"/>
      <c r="ASI1144" s="23"/>
      <c r="ASJ1144" s="23"/>
      <c r="ASK1144" s="23"/>
      <c r="ASL1144" s="23"/>
      <c r="ASM1144" s="23"/>
      <c r="ASN1144" s="23"/>
      <c r="ASO1144" s="23"/>
      <c r="ASP1144" s="23"/>
      <c r="ASQ1144" s="23"/>
      <c r="ASR1144" s="23"/>
      <c r="ASS1144" s="23"/>
      <c r="AST1144" s="23"/>
      <c r="ASU1144" s="23"/>
      <c r="ASV1144" s="23"/>
      <c r="ASW1144" s="23"/>
      <c r="ASX1144" s="23"/>
      <c r="ASY1144" s="23"/>
      <c r="ASZ1144" s="23"/>
      <c r="ATA1144" s="23"/>
      <c r="ATB1144" s="23"/>
      <c r="ATC1144" s="23"/>
      <c r="ATD1144" s="23"/>
      <c r="ATE1144" s="23"/>
      <c r="ATF1144" s="23"/>
      <c r="ATG1144" s="23"/>
      <c r="ATH1144" s="23"/>
      <c r="ATI1144" s="23"/>
      <c r="ATJ1144" s="23"/>
      <c r="ATK1144" s="23"/>
      <c r="ATL1144" s="23"/>
      <c r="ATM1144" s="23"/>
      <c r="ATN1144" s="23"/>
      <c r="ATO1144" s="23"/>
      <c r="ATP1144" s="23"/>
      <c r="ATQ1144" s="23"/>
      <c r="ATR1144" s="23"/>
      <c r="ATS1144" s="23"/>
      <c r="ATT1144" s="23"/>
      <c r="ATU1144" s="23"/>
      <c r="ATV1144" s="23"/>
      <c r="ATW1144" s="23"/>
      <c r="ATX1144" s="23"/>
      <c r="ATY1144" s="23"/>
      <c r="ATZ1144" s="23"/>
      <c r="AUA1144" s="23"/>
      <c r="AUB1144" s="23"/>
      <c r="AUC1144" s="23"/>
      <c r="AUD1144" s="23"/>
      <c r="AUE1144" s="23"/>
      <c r="AUF1144" s="23"/>
      <c r="AUG1144" s="23"/>
      <c r="AUH1144" s="23"/>
      <c r="AUI1144" s="23"/>
      <c r="AUJ1144" s="23"/>
      <c r="AUK1144" s="23"/>
      <c r="AUL1144" s="23"/>
      <c r="AUM1144" s="23"/>
      <c r="AUN1144" s="23"/>
      <c r="AUO1144" s="23"/>
      <c r="AUP1144" s="23"/>
      <c r="AUQ1144" s="23"/>
      <c r="AUR1144" s="23"/>
      <c r="AUS1144" s="23"/>
      <c r="AUT1144" s="23"/>
      <c r="AUU1144" s="23"/>
      <c r="AUV1144" s="23"/>
      <c r="AUW1144" s="23"/>
      <c r="AUX1144" s="23"/>
      <c r="AUY1144" s="23"/>
      <c r="AUZ1144" s="23"/>
      <c r="AVA1144" s="23"/>
      <c r="AVB1144" s="23"/>
      <c r="AVC1144" s="23"/>
      <c r="AVD1144" s="23"/>
      <c r="AVE1144" s="23"/>
      <c r="AVF1144" s="23"/>
      <c r="AVG1144" s="23"/>
      <c r="AVH1144" s="23"/>
      <c r="AVI1144" s="23"/>
      <c r="AVJ1144" s="23"/>
      <c r="AVK1144" s="23"/>
      <c r="AVL1144" s="23"/>
      <c r="AVM1144" s="23"/>
      <c r="AVN1144" s="23"/>
      <c r="AVO1144" s="23"/>
      <c r="AVP1144" s="23"/>
      <c r="AVQ1144" s="23"/>
      <c r="AVR1144" s="23"/>
      <c r="AVS1144" s="23"/>
      <c r="AVT1144" s="23"/>
      <c r="AVU1144" s="23"/>
      <c r="AVV1144" s="23"/>
      <c r="AVW1144" s="23"/>
      <c r="AVX1144" s="23"/>
      <c r="AVY1144" s="23"/>
      <c r="AVZ1144" s="23"/>
      <c r="AWA1144" s="23"/>
      <c r="AWB1144" s="23"/>
      <c r="AWC1144" s="23"/>
      <c r="AWD1144" s="23"/>
      <c r="AWE1144" s="23"/>
      <c r="AWF1144" s="23"/>
      <c r="AWG1144" s="23"/>
      <c r="AWH1144" s="23"/>
      <c r="AWI1144" s="23"/>
      <c r="AWJ1144" s="23"/>
      <c r="AWK1144" s="23"/>
      <c r="AWL1144" s="23"/>
      <c r="AWM1144" s="23"/>
      <c r="AWN1144" s="23"/>
      <c r="AWO1144" s="23"/>
      <c r="AWP1144" s="23"/>
      <c r="AWQ1144" s="23"/>
      <c r="AWR1144" s="23"/>
      <c r="AWS1144" s="23"/>
      <c r="AWT1144" s="23"/>
      <c r="AWU1144" s="23"/>
      <c r="AWV1144" s="23"/>
      <c r="AWW1144" s="23"/>
      <c r="AWX1144" s="23"/>
      <c r="AWY1144" s="23"/>
      <c r="AWZ1144" s="23"/>
      <c r="AXA1144" s="23"/>
      <c r="AXB1144" s="23"/>
      <c r="AXC1144" s="23"/>
      <c r="AXD1144" s="23"/>
      <c r="AXE1144" s="23"/>
      <c r="AXF1144" s="23"/>
      <c r="AXG1144" s="23"/>
      <c r="AXH1144" s="23"/>
      <c r="AXI1144" s="23"/>
      <c r="AXJ1144" s="23"/>
      <c r="AXK1144" s="23"/>
      <c r="AXL1144" s="23"/>
      <c r="AXM1144" s="23"/>
      <c r="AXN1144" s="23"/>
      <c r="AXO1144" s="23"/>
      <c r="AXP1144" s="23"/>
      <c r="AXQ1144" s="23"/>
      <c r="AXR1144" s="23"/>
      <c r="AXS1144" s="23"/>
      <c r="AXT1144" s="23"/>
      <c r="AXU1144" s="23"/>
      <c r="AXV1144" s="23"/>
      <c r="AXW1144" s="23"/>
      <c r="AXX1144" s="23"/>
      <c r="AXY1144" s="23"/>
      <c r="AXZ1144" s="23"/>
      <c r="AYA1144" s="23"/>
      <c r="AYB1144" s="23"/>
      <c r="AYC1144" s="23"/>
      <c r="AYD1144" s="23"/>
      <c r="AYE1144" s="23"/>
      <c r="AYF1144" s="23"/>
      <c r="AYG1144" s="23"/>
      <c r="AYH1144" s="23"/>
      <c r="AYI1144" s="23"/>
      <c r="AYJ1144" s="23"/>
      <c r="AYK1144" s="23"/>
      <c r="AYL1144" s="23"/>
      <c r="AYM1144" s="23"/>
      <c r="AYN1144" s="23"/>
      <c r="AYO1144" s="23"/>
      <c r="AYP1144" s="23"/>
      <c r="AYQ1144" s="23"/>
      <c r="AYR1144" s="23"/>
      <c r="AYS1144" s="23"/>
      <c r="AYT1144" s="23"/>
      <c r="AYU1144" s="23"/>
      <c r="AYV1144" s="23"/>
      <c r="AYW1144" s="23"/>
      <c r="AYX1144" s="23"/>
      <c r="AYY1144" s="23"/>
      <c r="AYZ1144" s="23"/>
      <c r="AZA1144" s="23"/>
      <c r="AZB1144" s="23"/>
      <c r="AZC1144" s="23"/>
      <c r="AZD1144" s="23"/>
      <c r="AZE1144" s="23"/>
      <c r="AZF1144" s="23"/>
      <c r="AZG1144" s="23"/>
      <c r="AZH1144" s="23"/>
      <c r="AZI1144" s="23"/>
      <c r="AZJ1144" s="23"/>
      <c r="AZK1144" s="23"/>
      <c r="AZL1144" s="23"/>
      <c r="AZM1144" s="23"/>
      <c r="AZN1144" s="23"/>
      <c r="AZO1144" s="23"/>
      <c r="AZP1144" s="23"/>
      <c r="AZQ1144" s="23"/>
      <c r="AZR1144" s="23"/>
      <c r="AZS1144" s="23"/>
      <c r="AZT1144" s="23"/>
      <c r="AZU1144" s="23"/>
      <c r="AZV1144" s="23"/>
      <c r="AZW1144" s="23"/>
      <c r="AZX1144" s="23"/>
      <c r="AZY1144" s="23"/>
      <c r="AZZ1144" s="23"/>
      <c r="BAA1144" s="23"/>
      <c r="BAB1144" s="23"/>
      <c r="BAC1144" s="23"/>
      <c r="BAD1144" s="23"/>
      <c r="BAE1144" s="23"/>
      <c r="BAF1144" s="23"/>
      <c r="BAG1144" s="23"/>
      <c r="BAH1144" s="23"/>
      <c r="BAI1144" s="23"/>
      <c r="BAJ1144" s="23"/>
      <c r="BAK1144" s="23"/>
      <c r="BAL1144" s="23"/>
      <c r="BAM1144" s="23"/>
      <c r="BAN1144" s="23"/>
      <c r="BAO1144" s="23"/>
      <c r="BAP1144" s="23"/>
      <c r="BAQ1144" s="23"/>
      <c r="BAR1144" s="23"/>
      <c r="BAS1144" s="23"/>
      <c r="BAT1144" s="23"/>
      <c r="BAU1144" s="23"/>
      <c r="BAV1144" s="23"/>
      <c r="BAW1144" s="23"/>
      <c r="BAX1144" s="23"/>
      <c r="BAY1144" s="23"/>
      <c r="BAZ1144" s="23"/>
      <c r="BBA1144" s="23"/>
      <c r="BBB1144" s="23"/>
      <c r="BBC1144" s="23"/>
      <c r="BBD1144" s="23"/>
      <c r="BBE1144" s="23"/>
      <c r="BBF1144" s="23"/>
      <c r="BBG1144" s="23"/>
      <c r="BBH1144" s="23"/>
      <c r="BBI1144" s="23"/>
      <c r="BBJ1144" s="23"/>
      <c r="BBK1144" s="23"/>
      <c r="BBL1144" s="23"/>
      <c r="BBM1144" s="23"/>
      <c r="BBN1144" s="23"/>
      <c r="BBO1144" s="23"/>
      <c r="BBP1144" s="23"/>
      <c r="BBQ1144" s="23"/>
      <c r="BBR1144" s="23"/>
      <c r="BBS1144" s="23"/>
      <c r="BBT1144" s="23"/>
      <c r="BBU1144" s="23"/>
      <c r="BBV1144" s="23"/>
      <c r="BBW1144" s="23"/>
      <c r="BBX1144" s="23"/>
      <c r="BBY1144" s="23"/>
      <c r="BBZ1144" s="23"/>
      <c r="BCA1144" s="23"/>
      <c r="BCB1144" s="23"/>
      <c r="BCC1144" s="23"/>
      <c r="BCD1144" s="23"/>
      <c r="BCE1144" s="23"/>
      <c r="BCF1144" s="23"/>
      <c r="BCG1144" s="23"/>
      <c r="BCH1144" s="23"/>
      <c r="BCI1144" s="23"/>
      <c r="BCJ1144" s="23"/>
      <c r="BCK1144" s="23"/>
      <c r="BCL1144" s="23"/>
      <c r="BCM1144" s="23"/>
      <c r="BCN1144" s="23"/>
      <c r="BCO1144" s="23"/>
      <c r="BCP1144" s="23"/>
      <c r="BCQ1144" s="23"/>
      <c r="BCR1144" s="23"/>
      <c r="BCS1144" s="23"/>
      <c r="BCT1144" s="23"/>
      <c r="BCU1144" s="23"/>
      <c r="BCV1144" s="23"/>
      <c r="BCW1144" s="23"/>
      <c r="BCX1144" s="23"/>
      <c r="BCY1144" s="23"/>
      <c r="BCZ1144" s="23"/>
      <c r="BDA1144" s="23"/>
      <c r="BDB1144" s="23"/>
      <c r="BDC1144" s="23"/>
      <c r="BDD1144" s="23"/>
      <c r="BDE1144" s="23"/>
      <c r="BDF1144" s="23"/>
      <c r="BDG1144" s="23"/>
      <c r="BDH1144" s="23"/>
      <c r="BDI1144" s="23"/>
      <c r="BDJ1144" s="23"/>
      <c r="BDK1144" s="23"/>
      <c r="BDL1144" s="23"/>
      <c r="BDM1144" s="23"/>
      <c r="BDN1144" s="23"/>
      <c r="BDO1144" s="23"/>
      <c r="BDP1144" s="23"/>
      <c r="BDQ1144" s="23"/>
      <c r="BDR1144" s="23"/>
      <c r="BDS1144" s="23"/>
      <c r="BDT1144" s="23"/>
      <c r="BDU1144" s="23"/>
      <c r="BDV1144" s="23"/>
      <c r="BDW1144" s="23"/>
      <c r="BDX1144" s="23"/>
      <c r="BDY1144" s="23"/>
      <c r="BDZ1144" s="23"/>
      <c r="BEA1144" s="23"/>
      <c r="BEB1144" s="23"/>
      <c r="BEC1144" s="23"/>
      <c r="BED1144" s="23"/>
      <c r="BEE1144" s="23"/>
      <c r="BEF1144" s="23"/>
      <c r="BEG1144" s="23"/>
      <c r="BEH1144" s="23"/>
      <c r="BEI1144" s="23"/>
      <c r="BEJ1144" s="23"/>
      <c r="BEK1144" s="23"/>
      <c r="BEL1144" s="23"/>
      <c r="BEM1144" s="23"/>
      <c r="BEN1144" s="23"/>
      <c r="BEO1144" s="23"/>
      <c r="BEP1144" s="23"/>
      <c r="BEQ1144" s="23"/>
      <c r="BER1144" s="23"/>
      <c r="BES1144" s="23"/>
      <c r="BET1144" s="23"/>
      <c r="BEU1144" s="23"/>
      <c r="BEV1144" s="23"/>
      <c r="BEW1144" s="23"/>
      <c r="BEX1144" s="23"/>
      <c r="BEY1144" s="23"/>
      <c r="BEZ1144" s="23"/>
      <c r="BFA1144" s="23"/>
      <c r="BFB1144" s="23"/>
      <c r="BFC1144" s="23"/>
      <c r="BFD1144" s="23"/>
      <c r="BFE1144" s="23"/>
      <c r="BFF1144" s="23"/>
      <c r="BFG1144" s="23"/>
      <c r="BFH1144" s="23"/>
      <c r="BFI1144" s="23"/>
      <c r="BFJ1144" s="23"/>
      <c r="BFK1144" s="23"/>
      <c r="BFL1144" s="23"/>
      <c r="BFM1144" s="23"/>
      <c r="BFN1144" s="23"/>
      <c r="BFO1144" s="23"/>
      <c r="BFP1144" s="23"/>
      <c r="BFQ1144" s="23"/>
      <c r="BFR1144" s="23"/>
      <c r="BFS1144" s="23"/>
      <c r="BFT1144" s="23"/>
      <c r="BFU1144" s="23"/>
      <c r="BFV1144" s="23"/>
      <c r="BFW1144" s="23"/>
      <c r="BFX1144" s="23"/>
      <c r="BFY1144" s="23"/>
      <c r="BFZ1144" s="23"/>
      <c r="BGA1144" s="23"/>
      <c r="BGB1144" s="23"/>
      <c r="BGC1144" s="23"/>
      <c r="BGD1144" s="23"/>
      <c r="BGE1144" s="23"/>
      <c r="BGF1144" s="23"/>
      <c r="BGG1144" s="23"/>
      <c r="BGH1144" s="23"/>
      <c r="BGI1144" s="23"/>
      <c r="BGJ1144" s="23"/>
      <c r="BGK1144" s="23"/>
      <c r="BGL1144" s="23"/>
      <c r="BGM1144" s="23"/>
      <c r="BGN1144" s="23"/>
      <c r="BGO1144" s="23"/>
      <c r="BGP1144" s="23"/>
      <c r="BGQ1144" s="23"/>
      <c r="BGR1144" s="23"/>
      <c r="BGS1144" s="23"/>
      <c r="BGT1144" s="23"/>
      <c r="BGU1144" s="23"/>
      <c r="BGV1144" s="23"/>
      <c r="BGW1144" s="23"/>
      <c r="BGX1144" s="23"/>
      <c r="BGY1144" s="23"/>
      <c r="BGZ1144" s="23"/>
      <c r="BHA1144" s="23"/>
      <c r="BHB1144" s="23"/>
      <c r="BHC1144" s="23"/>
      <c r="BHD1144" s="23"/>
      <c r="BHE1144" s="23"/>
      <c r="BHF1144" s="23"/>
      <c r="BHG1144" s="23"/>
      <c r="BHH1144" s="23"/>
      <c r="BHI1144" s="23"/>
      <c r="BHJ1144" s="23"/>
      <c r="BHK1144" s="23"/>
      <c r="BHL1144" s="23"/>
      <c r="BHM1144" s="23"/>
      <c r="BHN1144" s="23"/>
      <c r="BHO1144" s="23"/>
      <c r="BHP1144" s="23"/>
      <c r="BHQ1144" s="23"/>
      <c r="BHR1144" s="23"/>
      <c r="BHS1144" s="23"/>
      <c r="BHT1144" s="23"/>
      <c r="BHU1144" s="23"/>
      <c r="BHV1144" s="23"/>
      <c r="BHW1144" s="23"/>
      <c r="BHX1144" s="23"/>
      <c r="BHY1144" s="23"/>
      <c r="BHZ1144" s="23"/>
      <c r="BIA1144" s="23"/>
      <c r="BIB1144" s="23"/>
      <c r="BIC1144" s="23"/>
      <c r="BID1144" s="23"/>
      <c r="BIE1144" s="23"/>
      <c r="BIF1144" s="23"/>
      <c r="BIG1144" s="23"/>
      <c r="BIH1144" s="23"/>
      <c r="BII1144" s="23"/>
      <c r="BIJ1144" s="23"/>
      <c r="BIK1144" s="23"/>
      <c r="BIL1144" s="23"/>
      <c r="BIM1144" s="23"/>
      <c r="BIN1144" s="23"/>
      <c r="BIO1144" s="23"/>
      <c r="BIP1144" s="23"/>
      <c r="BIQ1144" s="23"/>
      <c r="BIR1144" s="23"/>
      <c r="BIS1144" s="23"/>
      <c r="BIT1144" s="23"/>
      <c r="BIU1144" s="23"/>
      <c r="BIV1144" s="23"/>
      <c r="BIW1144" s="23"/>
      <c r="BIX1144" s="23"/>
      <c r="BIY1144" s="23"/>
      <c r="BIZ1144" s="23"/>
      <c r="BJA1144" s="23"/>
      <c r="BJB1144" s="23"/>
      <c r="BJC1144" s="23"/>
      <c r="BJD1144" s="23"/>
      <c r="BJE1144" s="23"/>
      <c r="BJF1144" s="23"/>
      <c r="BJG1144" s="23"/>
      <c r="BJH1144" s="23"/>
      <c r="BJI1144" s="23"/>
      <c r="BJJ1144" s="23"/>
      <c r="BJK1144" s="23"/>
      <c r="BJL1144" s="23"/>
      <c r="BJM1144" s="23"/>
      <c r="BJN1144" s="23"/>
      <c r="BJO1144" s="23"/>
      <c r="BJP1144" s="23"/>
      <c r="BJQ1144" s="23"/>
      <c r="BJR1144" s="23"/>
      <c r="BJS1144" s="23"/>
      <c r="BJT1144" s="23"/>
      <c r="BJU1144" s="23"/>
      <c r="BJV1144" s="23"/>
      <c r="BJW1144" s="23"/>
      <c r="BJX1144" s="23"/>
      <c r="BJY1144" s="23"/>
      <c r="BJZ1144" s="23"/>
      <c r="BKA1144" s="23"/>
      <c r="BKB1144" s="23"/>
      <c r="BKC1144" s="23"/>
      <c r="BKD1144" s="23"/>
      <c r="BKE1144" s="23"/>
      <c r="BKF1144" s="23"/>
      <c r="BKG1144" s="23"/>
      <c r="BKH1144" s="23"/>
      <c r="BKI1144" s="23"/>
      <c r="BKJ1144" s="23"/>
      <c r="BKK1144" s="23"/>
      <c r="BKL1144" s="23"/>
      <c r="BKM1144" s="23"/>
      <c r="BKN1144" s="23"/>
      <c r="BKO1144" s="23"/>
      <c r="BKP1144" s="23"/>
      <c r="BKQ1144" s="23"/>
      <c r="BKR1144" s="23"/>
      <c r="BKS1144" s="23"/>
      <c r="BKT1144" s="23"/>
      <c r="BKU1144" s="23"/>
      <c r="BKV1144" s="23"/>
      <c r="BKW1144" s="23"/>
      <c r="BKX1144" s="23"/>
      <c r="BKY1144" s="23"/>
      <c r="BKZ1144" s="23"/>
      <c r="BLA1144" s="23"/>
      <c r="BLB1144" s="23"/>
      <c r="BLC1144" s="23"/>
      <c r="BLD1144" s="23"/>
      <c r="BLE1144" s="23"/>
      <c r="BLF1144" s="23"/>
      <c r="BLG1144" s="23"/>
      <c r="BLH1144" s="23"/>
      <c r="BLI1144" s="23"/>
      <c r="BLJ1144" s="23"/>
      <c r="BLK1144" s="23"/>
      <c r="BLL1144" s="23"/>
      <c r="BLM1144" s="23"/>
      <c r="BLN1144" s="23"/>
      <c r="BLO1144" s="23"/>
      <c r="BLP1144" s="23"/>
      <c r="BLQ1144" s="23"/>
      <c r="BLR1144" s="23"/>
      <c r="BLS1144" s="23"/>
      <c r="BLT1144" s="23"/>
      <c r="BLU1144" s="23"/>
      <c r="BLV1144" s="23"/>
      <c r="BLW1144" s="23"/>
      <c r="BLX1144" s="23"/>
      <c r="BLY1144" s="23"/>
      <c r="BLZ1144" s="23"/>
      <c r="BMA1144" s="23"/>
      <c r="BMB1144" s="23"/>
      <c r="BMC1144" s="23"/>
      <c r="BMD1144" s="23"/>
      <c r="BME1144" s="23"/>
      <c r="BMF1144" s="23"/>
      <c r="BMG1144" s="23"/>
      <c r="BMH1144" s="23"/>
      <c r="BMI1144" s="23"/>
      <c r="BMJ1144" s="23"/>
      <c r="BMK1144" s="23"/>
      <c r="BML1144" s="23"/>
      <c r="BMM1144" s="23"/>
      <c r="BMN1144" s="23"/>
      <c r="BMO1144" s="23"/>
      <c r="BMP1144" s="23"/>
      <c r="BMQ1144" s="23"/>
      <c r="BMR1144" s="23"/>
      <c r="BMS1144" s="23"/>
      <c r="BMT1144" s="23"/>
      <c r="BMU1144" s="23"/>
      <c r="BMV1144" s="23"/>
      <c r="BMW1144" s="23"/>
      <c r="BMX1144" s="23"/>
      <c r="BMY1144" s="23"/>
      <c r="BMZ1144" s="23"/>
      <c r="BNA1144" s="23"/>
      <c r="BNB1144" s="23"/>
      <c r="BNC1144" s="23"/>
      <c r="BND1144" s="23"/>
      <c r="BNE1144" s="23"/>
      <c r="BNF1144" s="23"/>
      <c r="BNG1144" s="23"/>
      <c r="BNH1144" s="23"/>
      <c r="BNI1144" s="23"/>
      <c r="BNJ1144" s="23"/>
      <c r="BNK1144" s="23"/>
      <c r="BNL1144" s="23"/>
      <c r="BNM1144" s="23"/>
      <c r="BNN1144" s="23"/>
      <c r="BNO1144" s="23"/>
      <c r="BNP1144" s="23"/>
      <c r="BNQ1144" s="23"/>
      <c r="BNR1144" s="23"/>
      <c r="BNS1144" s="23"/>
      <c r="BNT1144" s="23"/>
      <c r="BNU1144" s="23"/>
      <c r="BNV1144" s="23"/>
      <c r="BNW1144" s="23"/>
      <c r="BNX1144" s="23"/>
      <c r="BNY1144" s="23"/>
      <c r="BNZ1144" s="23"/>
      <c r="BOA1144" s="23"/>
      <c r="BOB1144" s="23"/>
      <c r="BOC1144" s="23"/>
      <c r="BOD1144" s="23"/>
      <c r="BOE1144" s="23"/>
      <c r="BOF1144" s="23"/>
      <c r="BOG1144" s="23"/>
      <c r="BOH1144" s="23"/>
      <c r="BOI1144" s="23"/>
      <c r="BOJ1144" s="23"/>
      <c r="BOK1144" s="23"/>
      <c r="BOL1144" s="23"/>
      <c r="BOM1144" s="23"/>
      <c r="BON1144" s="23"/>
      <c r="BOO1144" s="23"/>
      <c r="BOP1144" s="23"/>
      <c r="BOQ1144" s="23"/>
      <c r="BOR1144" s="23"/>
      <c r="BOS1144" s="23"/>
      <c r="BOT1144" s="23"/>
      <c r="BOU1144" s="23"/>
      <c r="BOV1144" s="23"/>
      <c r="BOW1144" s="23"/>
      <c r="BOX1144" s="23"/>
      <c r="BOY1144" s="23"/>
      <c r="BOZ1144" s="23"/>
      <c r="BPA1144" s="23"/>
      <c r="BPB1144" s="23"/>
      <c r="BPC1144" s="23"/>
      <c r="BPD1144" s="23"/>
      <c r="BPE1144" s="23"/>
      <c r="BPF1144" s="23"/>
      <c r="BPG1144" s="23"/>
      <c r="BPH1144" s="23"/>
      <c r="BPI1144" s="23"/>
      <c r="BPJ1144" s="23"/>
      <c r="BPK1144" s="23"/>
      <c r="BPL1144" s="23"/>
      <c r="BPM1144" s="23"/>
      <c r="BPN1144" s="23"/>
      <c r="BPO1144" s="23"/>
      <c r="BPP1144" s="23"/>
      <c r="BPQ1144" s="23"/>
      <c r="BPR1144" s="23"/>
      <c r="BPS1144" s="23"/>
      <c r="BPT1144" s="23"/>
      <c r="BPU1144" s="23"/>
      <c r="BPV1144" s="23"/>
      <c r="BPW1144" s="23"/>
      <c r="BPX1144" s="23"/>
      <c r="BPY1144" s="23"/>
      <c r="BPZ1144" s="23"/>
      <c r="BQA1144" s="23"/>
      <c r="BQB1144" s="23"/>
      <c r="BQC1144" s="23"/>
      <c r="BQD1144" s="23"/>
      <c r="BQE1144" s="23"/>
      <c r="BQF1144" s="23"/>
      <c r="BQG1144" s="23"/>
      <c r="BQH1144" s="23"/>
      <c r="BQI1144" s="23"/>
      <c r="BQJ1144" s="23"/>
      <c r="BQK1144" s="23"/>
      <c r="BQL1144" s="23"/>
      <c r="BQM1144" s="23"/>
      <c r="BQN1144" s="23"/>
      <c r="BQO1144" s="23"/>
      <c r="BQP1144" s="23"/>
      <c r="BQQ1144" s="23"/>
      <c r="BQR1144" s="23"/>
      <c r="BQS1144" s="23"/>
      <c r="BQT1144" s="23"/>
      <c r="BQU1144" s="23"/>
      <c r="BQV1144" s="23"/>
      <c r="BQW1144" s="23"/>
      <c r="BQX1144" s="23"/>
      <c r="BQY1144" s="23"/>
      <c r="BQZ1144" s="23"/>
      <c r="BRA1144" s="23"/>
      <c r="BRB1144" s="23"/>
      <c r="BRC1144" s="23"/>
      <c r="BRD1144" s="23"/>
      <c r="BRE1144" s="23"/>
      <c r="BRF1144" s="23"/>
      <c r="BRG1144" s="23"/>
      <c r="BRH1144" s="23"/>
      <c r="BRI1144" s="23"/>
      <c r="BRJ1144" s="23"/>
      <c r="BRK1144" s="23"/>
      <c r="BRL1144" s="23"/>
      <c r="BRM1144" s="23"/>
      <c r="BRN1144" s="23"/>
      <c r="BRO1144" s="23"/>
      <c r="BRP1144" s="23"/>
      <c r="BRQ1144" s="23"/>
      <c r="BRR1144" s="23"/>
      <c r="BRS1144" s="23"/>
      <c r="BRT1144" s="23"/>
      <c r="BRU1144" s="23"/>
      <c r="BRV1144" s="23"/>
      <c r="BRW1144" s="23"/>
      <c r="BRX1144" s="23"/>
      <c r="BRY1144" s="23"/>
      <c r="BRZ1144" s="23"/>
      <c r="BSA1144" s="23"/>
      <c r="BSB1144" s="23"/>
      <c r="BSC1144" s="23"/>
      <c r="BSD1144" s="23"/>
      <c r="BSE1144" s="23"/>
      <c r="BSF1144" s="23"/>
      <c r="BSG1144" s="23"/>
      <c r="BSH1144" s="23"/>
      <c r="BSI1144" s="23"/>
      <c r="BSJ1144" s="23"/>
      <c r="BSK1144" s="23"/>
      <c r="BSL1144" s="23"/>
      <c r="BSM1144" s="23"/>
      <c r="BSN1144" s="23"/>
      <c r="BSO1144" s="23"/>
      <c r="BSP1144" s="23"/>
      <c r="BSQ1144" s="23"/>
      <c r="BSR1144" s="23"/>
      <c r="BSS1144" s="23"/>
      <c r="BST1144" s="23"/>
      <c r="BSU1144" s="23"/>
      <c r="BSV1144" s="23"/>
      <c r="BSW1144" s="23"/>
      <c r="BSX1144" s="23"/>
      <c r="BSY1144" s="23"/>
      <c r="BSZ1144" s="23"/>
      <c r="BTA1144" s="23"/>
    </row>
    <row r="1145" spans="1:1873" s="216" customFormat="1" ht="13.15" customHeight="1" x14ac:dyDescent="0.3">
      <c r="A1145" s="366" t="s">
        <v>872</v>
      </c>
      <c r="B1145" s="257" t="s">
        <v>873</v>
      </c>
      <c r="C1145" s="257" t="s">
        <v>874</v>
      </c>
      <c r="D1145" s="257" t="s">
        <v>1254</v>
      </c>
      <c r="E1145" s="257" t="s">
        <v>882</v>
      </c>
      <c r="F1145" s="257">
        <v>1</v>
      </c>
      <c r="G1145" s="257">
        <v>6</v>
      </c>
      <c r="H1145" s="263">
        <v>6</v>
      </c>
      <c r="I1145" s="257" t="s">
        <v>954</v>
      </c>
      <c r="J1145" s="257">
        <v>1997</v>
      </c>
      <c r="K1145" s="257" t="s">
        <v>1211</v>
      </c>
      <c r="L1145" s="257">
        <v>2002</v>
      </c>
      <c r="M1145" s="261">
        <v>-9999</v>
      </c>
      <c r="N1145" s="257">
        <v>-9999</v>
      </c>
      <c r="O1145" s="29"/>
      <c r="P1145" s="261">
        <f>53.67-4.18</f>
        <v>49.49</v>
      </c>
      <c r="Q1145" s="257">
        <v>-9999</v>
      </c>
      <c r="R1145" s="261"/>
      <c r="S1145" s="257"/>
      <c r="T1145" s="370">
        <f>+P1145/G1145</f>
        <v>8.2483333333333331</v>
      </c>
      <c r="U1145" s="257">
        <v>-9999</v>
      </c>
      <c r="V1145" s="257"/>
      <c r="W1145" s="261">
        <v>-9999</v>
      </c>
      <c r="X1145" s="257">
        <v>-9999</v>
      </c>
      <c r="Y1145" s="257"/>
      <c r="Z1145" s="327" t="s">
        <v>875</v>
      </c>
      <c r="AA1145" s="257">
        <v>1794</v>
      </c>
      <c r="AB1145" s="261">
        <v>0.97</v>
      </c>
      <c r="AC1145" s="257">
        <v>11.7</v>
      </c>
      <c r="AD1145" s="257">
        <v>943</v>
      </c>
      <c r="AE1145" s="327" t="s">
        <v>1969</v>
      </c>
      <c r="AF1145" s="257">
        <v>3</v>
      </c>
      <c r="AG1145" s="257" t="s">
        <v>843</v>
      </c>
      <c r="AH1145" s="257" t="s">
        <v>876</v>
      </c>
      <c r="AI1145" s="257" t="s">
        <v>858</v>
      </c>
      <c r="AJ1145" s="257">
        <v>-9999</v>
      </c>
      <c r="AK1145" s="257" t="s">
        <v>877</v>
      </c>
      <c r="AL1145" s="257" t="s">
        <v>828</v>
      </c>
      <c r="AM1145" s="257">
        <v>-9999</v>
      </c>
      <c r="AN1145" s="257" t="s">
        <v>626</v>
      </c>
      <c r="AO1145" s="257" t="s">
        <v>826</v>
      </c>
      <c r="AP1145" s="257" t="s">
        <v>879</v>
      </c>
      <c r="AQ1145" s="257" t="s">
        <v>626</v>
      </c>
      <c r="AR1145" s="257">
        <f>85*6</f>
        <v>510</v>
      </c>
      <c r="AS1145" s="257" t="s">
        <v>761</v>
      </c>
      <c r="AT1145" s="257" t="s">
        <v>546</v>
      </c>
      <c r="AU1145" s="257">
        <f>12.45*6</f>
        <v>74.699999999999989</v>
      </c>
      <c r="AV1145" s="257" t="s">
        <v>549</v>
      </c>
      <c r="AW1145" s="257" t="s">
        <v>546</v>
      </c>
      <c r="AX1145" s="257">
        <f>47.25*6</f>
        <v>283.5</v>
      </c>
      <c r="AY1145" s="257" t="s">
        <v>551</v>
      </c>
      <c r="AZ1145" s="257" t="s">
        <v>546</v>
      </c>
      <c r="BA1145" s="257" t="s">
        <v>759</v>
      </c>
      <c r="BB1145" s="257" t="s">
        <v>626</v>
      </c>
      <c r="BC1145" s="257" t="s">
        <v>881</v>
      </c>
      <c r="BD1145" s="257" t="s">
        <v>121</v>
      </c>
      <c r="BE1145" s="257" t="s">
        <v>122</v>
      </c>
      <c r="BF1145" s="257" t="s">
        <v>880</v>
      </c>
      <c r="BG1145" s="257">
        <v>-9999</v>
      </c>
      <c r="BH1145" s="257">
        <v>-9999</v>
      </c>
      <c r="BI1145" s="257" t="s">
        <v>123</v>
      </c>
      <c r="BJ1145" s="257">
        <v>12.99</v>
      </c>
      <c r="BK1145" s="257">
        <v>1.08</v>
      </c>
      <c r="BL1145" s="257">
        <v>13.06</v>
      </c>
      <c r="BM1145" s="257">
        <v>0.57999999999999996</v>
      </c>
      <c r="BN1145" s="257">
        <v>9.4</v>
      </c>
      <c r="BO1145" s="257">
        <v>0.4</v>
      </c>
      <c r="BP1145" s="257">
        <v>-9999</v>
      </c>
      <c r="BQ1145" s="257">
        <v>-9999</v>
      </c>
      <c r="BR1145" s="257">
        <v>-9999</v>
      </c>
      <c r="BS1145" s="594">
        <f>+BT1145*14.286</f>
        <v>1297.3116600000001</v>
      </c>
      <c r="BT1145" s="257">
        <v>90.81</v>
      </c>
      <c r="BU1145" s="257">
        <v>-9999</v>
      </c>
      <c r="BV1145" s="257">
        <v>10.98</v>
      </c>
      <c r="BW1145" s="257"/>
      <c r="BX1145" s="257">
        <v>-9999</v>
      </c>
      <c r="BY1145" s="257">
        <v>-9999</v>
      </c>
      <c r="BZ1145" s="257">
        <v>-9999</v>
      </c>
      <c r="CA1145" s="300" t="s">
        <v>867</v>
      </c>
      <c r="CB1145" s="264"/>
      <c r="CC1145" s="257">
        <v>1</v>
      </c>
      <c r="CD1145" s="257" t="s">
        <v>874</v>
      </c>
      <c r="CE1145" s="292">
        <v>8.2483333333333331</v>
      </c>
      <c r="CF1145" s="292">
        <v>-9999</v>
      </c>
      <c r="CG1145" s="214">
        <v>6</v>
      </c>
      <c r="CH1145" s="301" t="s">
        <v>1757</v>
      </c>
      <c r="CI1145" s="23"/>
      <c r="CJ1145" s="23"/>
      <c r="CK1145" s="23"/>
      <c r="CL1145" s="23"/>
      <c r="CM1145" s="23"/>
      <c r="CN1145" s="23"/>
      <c r="CO1145" s="23"/>
      <c r="CP1145" s="23"/>
      <c r="CQ1145" s="23"/>
      <c r="CR1145" s="23"/>
      <c r="CS1145" s="23"/>
      <c r="CT1145" s="23"/>
      <c r="CU1145" s="23"/>
      <c r="CV1145" s="23"/>
      <c r="CW1145" s="23"/>
      <c r="CX1145" s="23"/>
      <c r="CY1145" s="23"/>
      <c r="CZ1145" s="23"/>
      <c r="DA1145" s="23"/>
      <c r="DB1145" s="23"/>
      <c r="DC1145" s="23"/>
      <c r="DD1145" s="23"/>
      <c r="DE1145" s="23"/>
      <c r="DF1145" s="23"/>
      <c r="DG1145" s="23"/>
      <c r="DH1145" s="23"/>
      <c r="DI1145" s="23"/>
      <c r="DJ1145" s="23"/>
      <c r="DK1145" s="23"/>
      <c r="DL1145" s="23"/>
      <c r="DM1145" s="23"/>
      <c r="DN1145" s="23"/>
      <c r="DO1145" s="23"/>
      <c r="DP1145" s="23"/>
      <c r="DQ1145" s="23"/>
      <c r="DR1145" s="23"/>
      <c r="DS1145" s="23"/>
      <c r="DT1145" s="23"/>
      <c r="DU1145" s="23"/>
      <c r="DV1145" s="23"/>
      <c r="DW1145" s="23"/>
      <c r="DX1145" s="23"/>
      <c r="DY1145" s="23"/>
      <c r="DZ1145" s="23"/>
      <c r="EA1145" s="23"/>
      <c r="EB1145" s="23"/>
      <c r="EC1145" s="23"/>
      <c r="ED1145" s="23"/>
      <c r="EE1145" s="23"/>
      <c r="EF1145" s="23"/>
      <c r="EG1145" s="23"/>
      <c r="EH1145" s="23"/>
      <c r="EI1145" s="23"/>
      <c r="EJ1145" s="23"/>
      <c r="EK1145" s="23"/>
      <c r="EL1145" s="23"/>
      <c r="EM1145" s="23"/>
      <c r="EN1145" s="23"/>
      <c r="EO1145" s="23"/>
      <c r="EP1145" s="23"/>
      <c r="EQ1145" s="23"/>
      <c r="ER1145" s="23"/>
      <c r="ES1145" s="23"/>
      <c r="ET1145" s="23"/>
      <c r="EU1145" s="23"/>
      <c r="EV1145" s="23"/>
      <c r="EW1145" s="23"/>
      <c r="EX1145" s="23"/>
      <c r="EY1145" s="23"/>
      <c r="EZ1145" s="23"/>
      <c r="FA1145" s="23"/>
      <c r="FB1145" s="23"/>
      <c r="FC1145" s="23"/>
      <c r="FD1145" s="23"/>
      <c r="FE1145" s="23"/>
      <c r="FF1145" s="23"/>
      <c r="FG1145" s="23"/>
      <c r="FH1145" s="23"/>
      <c r="FI1145" s="23"/>
      <c r="FJ1145" s="23"/>
      <c r="FK1145" s="23"/>
      <c r="FL1145" s="23"/>
      <c r="FM1145" s="23"/>
      <c r="FN1145" s="23"/>
      <c r="FO1145" s="23"/>
      <c r="FP1145" s="23"/>
      <c r="FQ1145" s="23"/>
      <c r="FR1145" s="23"/>
      <c r="FS1145" s="23"/>
      <c r="FT1145" s="23"/>
      <c r="FU1145" s="23"/>
      <c r="FV1145" s="23"/>
      <c r="FW1145" s="23"/>
      <c r="FX1145" s="23"/>
      <c r="FY1145" s="23"/>
      <c r="FZ1145" s="23"/>
      <c r="GA1145" s="23"/>
      <c r="GB1145" s="23"/>
      <c r="GC1145" s="23"/>
      <c r="GD1145" s="23"/>
      <c r="GE1145" s="23"/>
      <c r="GF1145" s="23"/>
      <c r="GG1145" s="23"/>
      <c r="GH1145" s="23"/>
      <c r="GI1145" s="23"/>
      <c r="GJ1145" s="23"/>
      <c r="GK1145" s="23"/>
      <c r="GL1145" s="23"/>
      <c r="GM1145" s="23"/>
      <c r="GN1145" s="23"/>
      <c r="GO1145" s="23"/>
      <c r="GP1145" s="23"/>
      <c r="GQ1145" s="23"/>
      <c r="GR1145" s="23"/>
      <c r="GS1145" s="23"/>
      <c r="GT1145" s="23"/>
      <c r="GU1145" s="23"/>
      <c r="GV1145" s="23"/>
      <c r="GW1145" s="23"/>
      <c r="GX1145" s="23"/>
      <c r="GY1145" s="23"/>
      <c r="GZ1145" s="23"/>
      <c r="HA1145" s="23"/>
      <c r="HB1145" s="23"/>
      <c r="HC1145" s="23"/>
      <c r="HD1145" s="23"/>
      <c r="HE1145" s="23"/>
      <c r="HF1145" s="23"/>
      <c r="HG1145" s="23"/>
      <c r="HH1145" s="23"/>
      <c r="HI1145" s="23"/>
      <c r="HJ1145" s="23"/>
      <c r="HK1145" s="23"/>
      <c r="HL1145" s="23"/>
      <c r="HM1145" s="23"/>
      <c r="HN1145" s="23"/>
      <c r="HO1145" s="23"/>
      <c r="HP1145" s="23"/>
      <c r="HQ1145" s="23"/>
      <c r="HR1145" s="23"/>
      <c r="HS1145" s="23"/>
      <c r="HT1145" s="23"/>
      <c r="HU1145" s="23"/>
      <c r="HV1145" s="23"/>
      <c r="HW1145" s="23"/>
      <c r="HX1145" s="23"/>
      <c r="HY1145" s="23"/>
      <c r="HZ1145" s="23"/>
      <c r="IA1145" s="23"/>
      <c r="IB1145" s="23"/>
      <c r="IC1145" s="23"/>
      <c r="ID1145" s="23"/>
      <c r="IE1145" s="23"/>
      <c r="IF1145" s="23"/>
      <c r="IG1145" s="23"/>
      <c r="IH1145" s="23"/>
      <c r="II1145" s="23"/>
      <c r="IJ1145" s="23"/>
      <c r="IK1145" s="23"/>
      <c r="IL1145" s="23"/>
      <c r="IM1145" s="23"/>
      <c r="IN1145" s="23"/>
      <c r="IO1145" s="23"/>
      <c r="IP1145" s="23"/>
      <c r="IQ1145" s="23"/>
      <c r="IR1145" s="23"/>
      <c r="IS1145" s="23"/>
      <c r="IT1145" s="23"/>
      <c r="IU1145" s="23"/>
      <c r="IV1145" s="23"/>
      <c r="IW1145" s="23"/>
      <c r="IX1145" s="23"/>
      <c r="IY1145" s="23"/>
      <c r="IZ1145" s="23"/>
      <c r="JA1145" s="23"/>
      <c r="JB1145" s="23"/>
      <c r="JC1145" s="23"/>
      <c r="JD1145" s="23"/>
      <c r="JE1145" s="23"/>
      <c r="JF1145" s="23"/>
      <c r="JG1145" s="23"/>
      <c r="JH1145" s="23"/>
      <c r="JI1145" s="23"/>
      <c r="JJ1145" s="23"/>
      <c r="JK1145" s="23"/>
      <c r="JL1145" s="23"/>
      <c r="JM1145" s="23"/>
      <c r="JN1145" s="23"/>
      <c r="JO1145" s="23"/>
      <c r="JP1145" s="23"/>
      <c r="JQ1145" s="23"/>
      <c r="JR1145" s="23"/>
      <c r="JS1145" s="23"/>
      <c r="JT1145" s="23"/>
      <c r="JU1145" s="23"/>
      <c r="JV1145" s="23"/>
      <c r="JW1145" s="23"/>
      <c r="JX1145" s="23"/>
      <c r="JY1145" s="23"/>
      <c r="JZ1145" s="23"/>
      <c r="KA1145" s="23"/>
      <c r="KB1145" s="23"/>
      <c r="KC1145" s="23"/>
      <c r="KD1145" s="23"/>
      <c r="KE1145" s="23"/>
      <c r="KF1145" s="23"/>
      <c r="KG1145" s="23"/>
      <c r="KH1145" s="23"/>
      <c r="KI1145" s="23"/>
      <c r="KJ1145" s="23"/>
      <c r="KK1145" s="23"/>
      <c r="KL1145" s="23"/>
      <c r="KM1145" s="23"/>
      <c r="KN1145" s="23"/>
      <c r="KO1145" s="23"/>
      <c r="KP1145" s="23"/>
      <c r="KQ1145" s="23"/>
      <c r="KR1145" s="23"/>
      <c r="KS1145" s="23"/>
      <c r="KT1145" s="23"/>
      <c r="KU1145" s="23"/>
      <c r="KV1145" s="23"/>
      <c r="KW1145" s="23"/>
      <c r="KX1145" s="23"/>
      <c r="KY1145" s="23"/>
      <c r="KZ1145" s="23"/>
      <c r="LA1145" s="23"/>
      <c r="LB1145" s="23"/>
      <c r="LC1145" s="23"/>
      <c r="LD1145" s="23"/>
      <c r="LE1145" s="23"/>
      <c r="LF1145" s="23"/>
      <c r="LG1145" s="23"/>
      <c r="LH1145" s="23"/>
      <c r="LI1145" s="23"/>
      <c r="LJ1145" s="23"/>
      <c r="LK1145" s="23"/>
      <c r="LL1145" s="23"/>
      <c r="LM1145" s="23"/>
      <c r="LN1145" s="23"/>
      <c r="LO1145" s="23"/>
      <c r="LP1145" s="23"/>
      <c r="LQ1145" s="23"/>
      <c r="LR1145" s="23"/>
      <c r="LS1145" s="23"/>
      <c r="LT1145" s="23"/>
      <c r="LU1145" s="23"/>
      <c r="LV1145" s="23"/>
      <c r="LW1145" s="23"/>
      <c r="LX1145" s="23"/>
      <c r="LY1145" s="23"/>
      <c r="LZ1145" s="23"/>
      <c r="MA1145" s="23"/>
      <c r="MB1145" s="23"/>
      <c r="MC1145" s="23"/>
      <c r="MD1145" s="23"/>
      <c r="ME1145" s="23"/>
      <c r="MF1145" s="23"/>
      <c r="MG1145" s="23"/>
      <c r="MH1145" s="23"/>
      <c r="MI1145" s="23"/>
      <c r="MJ1145" s="23"/>
      <c r="MK1145" s="23"/>
      <c r="ML1145" s="23"/>
      <c r="MM1145" s="23"/>
      <c r="MN1145" s="23"/>
      <c r="MO1145" s="23"/>
      <c r="MP1145" s="23"/>
      <c r="MQ1145" s="23"/>
      <c r="MR1145" s="23"/>
      <c r="MS1145" s="23"/>
      <c r="MT1145" s="23"/>
      <c r="MU1145" s="23"/>
      <c r="MV1145" s="23"/>
      <c r="MW1145" s="23"/>
      <c r="MX1145" s="23"/>
      <c r="MY1145" s="23"/>
      <c r="MZ1145" s="23"/>
      <c r="NA1145" s="23"/>
      <c r="NB1145" s="23"/>
      <c r="NC1145" s="23"/>
      <c r="ND1145" s="23"/>
      <c r="NE1145" s="23"/>
      <c r="NF1145" s="23"/>
      <c r="NG1145" s="23"/>
      <c r="NH1145" s="23"/>
      <c r="NI1145" s="23"/>
      <c r="NJ1145" s="23"/>
      <c r="NK1145" s="23"/>
      <c r="NL1145" s="23"/>
      <c r="NM1145" s="23"/>
      <c r="NN1145" s="23"/>
      <c r="NO1145" s="23"/>
      <c r="NP1145" s="23"/>
      <c r="NQ1145" s="23"/>
      <c r="NR1145" s="23"/>
      <c r="NS1145" s="23"/>
      <c r="NT1145" s="23"/>
      <c r="NU1145" s="23"/>
      <c r="NV1145" s="23"/>
      <c r="NW1145" s="23"/>
      <c r="NX1145" s="23"/>
      <c r="NY1145" s="23"/>
      <c r="NZ1145" s="23"/>
      <c r="OA1145" s="23"/>
      <c r="OB1145" s="23"/>
      <c r="OC1145" s="23"/>
      <c r="OD1145" s="23"/>
      <c r="OE1145" s="23"/>
      <c r="OF1145" s="23"/>
      <c r="OG1145" s="23"/>
      <c r="OH1145" s="23"/>
      <c r="OI1145" s="23"/>
      <c r="OJ1145" s="23"/>
      <c r="OK1145" s="23"/>
      <c r="OL1145" s="23"/>
      <c r="OM1145" s="23"/>
      <c r="ON1145" s="23"/>
      <c r="OO1145" s="23"/>
      <c r="OP1145" s="23"/>
      <c r="OQ1145" s="23"/>
      <c r="OR1145" s="23"/>
      <c r="OS1145" s="23"/>
      <c r="OT1145" s="23"/>
      <c r="OU1145" s="23"/>
      <c r="OV1145" s="23"/>
      <c r="OW1145" s="23"/>
      <c r="OX1145" s="23"/>
      <c r="OY1145" s="23"/>
      <c r="OZ1145" s="23"/>
      <c r="PA1145" s="23"/>
      <c r="PB1145" s="23"/>
      <c r="PC1145" s="23"/>
      <c r="PD1145" s="23"/>
      <c r="PE1145" s="23"/>
      <c r="PF1145" s="23"/>
      <c r="PG1145" s="23"/>
      <c r="PH1145" s="23"/>
      <c r="PI1145" s="23"/>
      <c r="PJ1145" s="23"/>
      <c r="PK1145" s="23"/>
      <c r="PL1145" s="23"/>
      <c r="PM1145" s="23"/>
      <c r="PN1145" s="23"/>
      <c r="PO1145" s="23"/>
      <c r="PP1145" s="23"/>
      <c r="PQ1145" s="23"/>
      <c r="PR1145" s="23"/>
      <c r="PS1145" s="23"/>
      <c r="PT1145" s="23"/>
      <c r="PU1145" s="23"/>
      <c r="PV1145" s="23"/>
      <c r="PW1145" s="23"/>
      <c r="PX1145" s="23"/>
      <c r="PY1145" s="23"/>
      <c r="PZ1145" s="23"/>
      <c r="QA1145" s="23"/>
      <c r="QB1145" s="23"/>
      <c r="QC1145" s="23"/>
      <c r="QD1145" s="23"/>
      <c r="QE1145" s="23"/>
      <c r="QF1145" s="23"/>
      <c r="QG1145" s="23"/>
      <c r="QH1145" s="23"/>
      <c r="QI1145" s="23"/>
      <c r="QJ1145" s="23"/>
      <c r="QK1145" s="23"/>
      <c r="QL1145" s="23"/>
      <c r="QM1145" s="23"/>
      <c r="QN1145" s="23"/>
      <c r="QO1145" s="23"/>
      <c r="QP1145" s="23"/>
      <c r="QQ1145" s="23"/>
      <c r="QR1145" s="23"/>
      <c r="QS1145" s="23"/>
      <c r="QT1145" s="23"/>
      <c r="QU1145" s="23"/>
      <c r="QV1145" s="23"/>
      <c r="QW1145" s="23"/>
      <c r="QX1145" s="23"/>
      <c r="QY1145" s="23"/>
      <c r="QZ1145" s="23"/>
      <c r="RA1145" s="23"/>
      <c r="RB1145" s="23"/>
      <c r="RC1145" s="23"/>
      <c r="RD1145" s="23"/>
      <c r="RE1145" s="23"/>
      <c r="RF1145" s="23"/>
      <c r="RG1145" s="23"/>
      <c r="RH1145" s="23"/>
      <c r="RI1145" s="23"/>
      <c r="RJ1145" s="23"/>
      <c r="RK1145" s="23"/>
      <c r="RL1145" s="23"/>
      <c r="RM1145" s="23"/>
      <c r="RN1145" s="23"/>
      <c r="RO1145" s="23"/>
      <c r="RP1145" s="23"/>
      <c r="RQ1145" s="23"/>
      <c r="RR1145" s="23"/>
      <c r="RS1145" s="23"/>
      <c r="RT1145" s="23"/>
      <c r="RU1145" s="23"/>
      <c r="RV1145" s="23"/>
      <c r="RW1145" s="23"/>
      <c r="RX1145" s="23"/>
      <c r="RY1145" s="23"/>
      <c r="RZ1145" s="23"/>
      <c r="SA1145" s="23"/>
      <c r="SB1145" s="23"/>
      <c r="SC1145" s="23"/>
      <c r="SD1145" s="23"/>
      <c r="SE1145" s="23"/>
      <c r="SF1145" s="23"/>
      <c r="SG1145" s="23"/>
      <c r="SH1145" s="23"/>
      <c r="SI1145" s="23"/>
      <c r="SJ1145" s="23"/>
      <c r="SK1145" s="23"/>
      <c r="SL1145" s="23"/>
      <c r="SM1145" s="23"/>
      <c r="SN1145" s="23"/>
      <c r="SO1145" s="23"/>
      <c r="SP1145" s="23"/>
      <c r="SQ1145" s="23"/>
      <c r="SR1145" s="23"/>
      <c r="SS1145" s="23"/>
      <c r="ST1145" s="23"/>
      <c r="SU1145" s="23"/>
      <c r="SV1145" s="23"/>
      <c r="SW1145" s="23"/>
      <c r="SX1145" s="23"/>
      <c r="SY1145" s="23"/>
      <c r="SZ1145" s="23"/>
      <c r="TA1145" s="23"/>
      <c r="TB1145" s="23"/>
      <c r="TC1145" s="23"/>
      <c r="TD1145" s="23"/>
      <c r="TE1145" s="23"/>
      <c r="TF1145" s="23"/>
      <c r="TG1145" s="23"/>
      <c r="TH1145" s="23"/>
      <c r="TI1145" s="23"/>
      <c r="TJ1145" s="23"/>
      <c r="TK1145" s="23"/>
      <c r="TL1145" s="23"/>
      <c r="TM1145" s="23"/>
      <c r="TN1145" s="23"/>
      <c r="TO1145" s="23"/>
      <c r="TP1145" s="23"/>
      <c r="TQ1145" s="23"/>
      <c r="TR1145" s="23"/>
      <c r="TS1145" s="23"/>
      <c r="TT1145" s="23"/>
      <c r="TU1145" s="23"/>
      <c r="TV1145" s="23"/>
      <c r="TW1145" s="23"/>
      <c r="TX1145" s="23"/>
      <c r="TY1145" s="23"/>
      <c r="TZ1145" s="23"/>
      <c r="UA1145" s="23"/>
      <c r="UB1145" s="23"/>
      <c r="UC1145" s="23"/>
      <c r="UD1145" s="23"/>
      <c r="UE1145" s="23"/>
      <c r="UF1145" s="23"/>
      <c r="UG1145" s="23"/>
      <c r="UH1145" s="23"/>
      <c r="UI1145" s="23"/>
      <c r="UJ1145" s="23"/>
      <c r="UK1145" s="23"/>
      <c r="UL1145" s="23"/>
      <c r="UM1145" s="23"/>
      <c r="UN1145" s="23"/>
      <c r="UO1145" s="23"/>
      <c r="UP1145" s="23"/>
      <c r="UQ1145" s="23"/>
      <c r="UR1145" s="23"/>
      <c r="US1145" s="23"/>
      <c r="UT1145" s="23"/>
      <c r="UU1145" s="23"/>
      <c r="UV1145" s="23"/>
      <c r="UW1145" s="23"/>
      <c r="UX1145" s="23"/>
      <c r="UY1145" s="23"/>
      <c r="UZ1145" s="23"/>
      <c r="VA1145" s="23"/>
      <c r="VB1145" s="23"/>
      <c r="VC1145" s="23"/>
      <c r="VD1145" s="23"/>
      <c r="VE1145" s="23"/>
      <c r="VF1145" s="23"/>
      <c r="VG1145" s="23"/>
      <c r="VH1145" s="23"/>
      <c r="VI1145" s="23"/>
      <c r="VJ1145" s="23"/>
      <c r="VK1145" s="23"/>
      <c r="VL1145" s="23"/>
      <c r="VM1145" s="23"/>
      <c r="VN1145" s="23"/>
      <c r="VO1145" s="23"/>
      <c r="VP1145" s="23"/>
      <c r="VQ1145" s="23"/>
      <c r="VR1145" s="23"/>
      <c r="VS1145" s="23"/>
      <c r="VT1145" s="23"/>
      <c r="VU1145" s="23"/>
      <c r="VV1145" s="23"/>
      <c r="VW1145" s="23"/>
      <c r="VX1145" s="23"/>
      <c r="VY1145" s="23"/>
      <c r="VZ1145" s="23"/>
      <c r="WA1145" s="23"/>
      <c r="WB1145" s="23"/>
      <c r="WC1145" s="23"/>
      <c r="WD1145" s="23"/>
      <c r="WE1145" s="23"/>
      <c r="WF1145" s="23"/>
      <c r="WG1145" s="23"/>
      <c r="WH1145" s="23"/>
      <c r="WI1145" s="23"/>
      <c r="WJ1145" s="23"/>
      <c r="WK1145" s="23"/>
      <c r="WL1145" s="23"/>
      <c r="WM1145" s="23"/>
      <c r="WN1145" s="23"/>
      <c r="WO1145" s="23"/>
      <c r="WP1145" s="23"/>
      <c r="WQ1145" s="23"/>
      <c r="WR1145" s="23"/>
      <c r="WS1145" s="23"/>
      <c r="WT1145" s="23"/>
      <c r="WU1145" s="23"/>
      <c r="WV1145" s="23"/>
      <c r="WW1145" s="23"/>
      <c r="WX1145" s="23"/>
      <c r="WY1145" s="23"/>
      <c r="WZ1145" s="23"/>
      <c r="XA1145" s="23"/>
      <c r="XB1145" s="23"/>
      <c r="XC1145" s="23"/>
      <c r="XD1145" s="23"/>
      <c r="XE1145" s="23"/>
      <c r="XF1145" s="23"/>
      <c r="XG1145" s="23"/>
      <c r="XH1145" s="23"/>
      <c r="XI1145" s="23"/>
      <c r="XJ1145" s="23"/>
      <c r="XK1145" s="23"/>
      <c r="XL1145" s="23"/>
      <c r="XM1145" s="23"/>
      <c r="XN1145" s="23"/>
      <c r="XO1145" s="23"/>
      <c r="XP1145" s="23"/>
      <c r="XQ1145" s="23"/>
      <c r="XR1145" s="23"/>
      <c r="XS1145" s="23"/>
      <c r="XT1145" s="23"/>
      <c r="XU1145" s="23"/>
      <c r="XV1145" s="23"/>
      <c r="XW1145" s="23"/>
      <c r="XX1145" s="23"/>
      <c r="XY1145" s="23"/>
      <c r="XZ1145" s="23"/>
      <c r="YA1145" s="23"/>
      <c r="YB1145" s="23"/>
      <c r="YC1145" s="23"/>
      <c r="YD1145" s="23"/>
      <c r="YE1145" s="23"/>
      <c r="YF1145" s="23"/>
      <c r="YG1145" s="23"/>
      <c r="YH1145" s="23"/>
      <c r="YI1145" s="23"/>
      <c r="YJ1145" s="23"/>
      <c r="YK1145" s="23"/>
      <c r="YL1145" s="23"/>
      <c r="YM1145" s="23"/>
      <c r="YN1145" s="23"/>
      <c r="YO1145" s="23"/>
      <c r="YP1145" s="23"/>
      <c r="YQ1145" s="23"/>
      <c r="YR1145" s="23"/>
      <c r="YS1145" s="23"/>
      <c r="YT1145" s="23"/>
      <c r="YU1145" s="23"/>
      <c r="YV1145" s="23"/>
      <c r="YW1145" s="23"/>
      <c r="YX1145" s="23"/>
      <c r="YY1145" s="23"/>
      <c r="YZ1145" s="23"/>
      <c r="ZA1145" s="23"/>
      <c r="ZB1145" s="23"/>
      <c r="ZC1145" s="23"/>
      <c r="ZD1145" s="23"/>
      <c r="ZE1145" s="23"/>
      <c r="ZF1145" s="23"/>
      <c r="ZG1145" s="23"/>
      <c r="ZH1145" s="23"/>
      <c r="ZI1145" s="23"/>
      <c r="ZJ1145" s="23"/>
      <c r="ZK1145" s="23"/>
      <c r="ZL1145" s="23"/>
      <c r="ZM1145" s="23"/>
      <c r="ZN1145" s="23"/>
      <c r="ZO1145" s="23"/>
      <c r="ZP1145" s="23"/>
      <c r="ZQ1145" s="23"/>
      <c r="ZR1145" s="23"/>
      <c r="ZS1145" s="23"/>
      <c r="ZT1145" s="23"/>
      <c r="ZU1145" s="23"/>
      <c r="ZV1145" s="23"/>
      <c r="ZW1145" s="23"/>
      <c r="ZX1145" s="23"/>
      <c r="ZY1145" s="23"/>
      <c r="ZZ1145" s="23"/>
      <c r="AAA1145" s="23"/>
      <c r="AAB1145" s="23"/>
      <c r="AAC1145" s="23"/>
      <c r="AAD1145" s="23"/>
      <c r="AAE1145" s="23"/>
      <c r="AAF1145" s="23"/>
      <c r="AAG1145" s="23"/>
      <c r="AAH1145" s="23"/>
      <c r="AAI1145" s="23"/>
      <c r="AAJ1145" s="23"/>
      <c r="AAK1145" s="23"/>
      <c r="AAL1145" s="23"/>
      <c r="AAM1145" s="23"/>
      <c r="AAN1145" s="23"/>
      <c r="AAO1145" s="23"/>
      <c r="AAP1145" s="23"/>
      <c r="AAQ1145" s="23"/>
      <c r="AAR1145" s="23"/>
      <c r="AAS1145" s="23"/>
      <c r="AAT1145" s="23"/>
      <c r="AAU1145" s="23"/>
      <c r="AAV1145" s="23"/>
      <c r="AAW1145" s="23"/>
      <c r="AAX1145" s="23"/>
      <c r="AAY1145" s="23"/>
      <c r="AAZ1145" s="23"/>
      <c r="ABA1145" s="23"/>
      <c r="ABB1145" s="23"/>
      <c r="ABC1145" s="23"/>
      <c r="ABD1145" s="23"/>
      <c r="ABE1145" s="23"/>
      <c r="ABF1145" s="23"/>
      <c r="ABG1145" s="23"/>
      <c r="ABH1145" s="23"/>
      <c r="ABI1145" s="23"/>
      <c r="ABJ1145" s="23"/>
      <c r="ABK1145" s="23"/>
      <c r="ABL1145" s="23"/>
      <c r="ABM1145" s="23"/>
      <c r="ABN1145" s="23"/>
      <c r="ABO1145" s="23"/>
      <c r="ABP1145" s="23"/>
      <c r="ABQ1145" s="23"/>
      <c r="ABR1145" s="23"/>
      <c r="ABS1145" s="23"/>
      <c r="ABT1145" s="23"/>
      <c r="ABU1145" s="23"/>
      <c r="ABV1145" s="23"/>
      <c r="ABW1145" s="23"/>
      <c r="ABX1145" s="23"/>
      <c r="ABY1145" s="23"/>
      <c r="ABZ1145" s="23"/>
      <c r="ACA1145" s="23"/>
      <c r="ACB1145" s="23"/>
      <c r="ACC1145" s="23"/>
      <c r="ACD1145" s="23"/>
      <c r="ACE1145" s="23"/>
      <c r="ACF1145" s="23"/>
      <c r="ACG1145" s="23"/>
      <c r="ACH1145" s="23"/>
      <c r="ACI1145" s="23"/>
      <c r="ACJ1145" s="23"/>
      <c r="ACK1145" s="23"/>
      <c r="ACL1145" s="23"/>
      <c r="ACM1145" s="23"/>
      <c r="ACN1145" s="23"/>
      <c r="ACO1145" s="23"/>
      <c r="ACP1145" s="23"/>
      <c r="ACQ1145" s="23"/>
      <c r="ACR1145" s="23"/>
      <c r="ACS1145" s="23"/>
      <c r="ACT1145" s="23"/>
      <c r="ACU1145" s="23"/>
      <c r="ACV1145" s="23"/>
      <c r="ACW1145" s="23"/>
      <c r="ACX1145" s="23"/>
      <c r="ACY1145" s="23"/>
      <c r="ACZ1145" s="23"/>
      <c r="ADA1145" s="23"/>
      <c r="ADB1145" s="23"/>
      <c r="ADC1145" s="23"/>
      <c r="ADD1145" s="23"/>
      <c r="ADE1145" s="23"/>
      <c r="ADF1145" s="23"/>
      <c r="ADG1145" s="23"/>
      <c r="ADH1145" s="23"/>
      <c r="ADI1145" s="23"/>
      <c r="ADJ1145" s="23"/>
      <c r="ADK1145" s="23"/>
      <c r="ADL1145" s="23"/>
      <c r="ADM1145" s="23"/>
      <c r="ADN1145" s="23"/>
      <c r="ADO1145" s="23"/>
      <c r="ADP1145" s="23"/>
      <c r="ADQ1145" s="23"/>
      <c r="ADR1145" s="23"/>
      <c r="ADS1145" s="23"/>
      <c r="ADT1145" s="23"/>
      <c r="ADU1145" s="23"/>
      <c r="ADV1145" s="23"/>
      <c r="ADW1145" s="23"/>
      <c r="ADX1145" s="23"/>
      <c r="ADY1145" s="23"/>
      <c r="ADZ1145" s="23"/>
      <c r="AEA1145" s="23"/>
      <c r="AEB1145" s="23"/>
      <c r="AEC1145" s="23"/>
      <c r="AED1145" s="23"/>
      <c r="AEE1145" s="23"/>
      <c r="AEF1145" s="23"/>
      <c r="AEG1145" s="23"/>
      <c r="AEH1145" s="23"/>
      <c r="AEI1145" s="23"/>
      <c r="AEJ1145" s="23"/>
      <c r="AEK1145" s="23"/>
      <c r="AEL1145" s="23"/>
      <c r="AEM1145" s="23"/>
      <c r="AEN1145" s="23"/>
      <c r="AEO1145" s="23"/>
      <c r="AEP1145" s="23"/>
      <c r="AEQ1145" s="23"/>
      <c r="AER1145" s="23"/>
      <c r="AES1145" s="23"/>
      <c r="AET1145" s="23"/>
      <c r="AEU1145" s="23"/>
      <c r="AEV1145" s="23"/>
      <c r="AEW1145" s="23"/>
      <c r="AEX1145" s="23"/>
      <c r="AEY1145" s="23"/>
      <c r="AEZ1145" s="23"/>
      <c r="AFA1145" s="23"/>
      <c r="AFB1145" s="23"/>
      <c r="AFC1145" s="23"/>
      <c r="AFD1145" s="23"/>
      <c r="AFE1145" s="23"/>
      <c r="AFF1145" s="23"/>
      <c r="AFG1145" s="23"/>
      <c r="AFH1145" s="23"/>
      <c r="AFI1145" s="23"/>
      <c r="AFJ1145" s="23"/>
      <c r="AFK1145" s="23"/>
      <c r="AFL1145" s="23"/>
      <c r="AFM1145" s="23"/>
      <c r="AFN1145" s="23"/>
      <c r="AFO1145" s="23"/>
      <c r="AFP1145" s="23"/>
      <c r="AFQ1145" s="23"/>
      <c r="AFR1145" s="23"/>
      <c r="AFS1145" s="23"/>
      <c r="AFT1145" s="23"/>
      <c r="AFU1145" s="23"/>
      <c r="AFV1145" s="23"/>
      <c r="AFW1145" s="23"/>
      <c r="AFX1145" s="23"/>
      <c r="AFY1145" s="23"/>
      <c r="AFZ1145" s="23"/>
      <c r="AGA1145" s="23"/>
      <c r="AGB1145" s="23"/>
      <c r="AGC1145" s="23"/>
      <c r="AGD1145" s="23"/>
      <c r="AGE1145" s="23"/>
      <c r="AGF1145" s="23"/>
      <c r="AGG1145" s="23"/>
      <c r="AGH1145" s="23"/>
      <c r="AGI1145" s="23"/>
      <c r="AGJ1145" s="23"/>
      <c r="AGK1145" s="23"/>
      <c r="AGL1145" s="23"/>
      <c r="AGM1145" s="23"/>
      <c r="AGN1145" s="23"/>
      <c r="AGO1145" s="23"/>
      <c r="AGP1145" s="23"/>
      <c r="AGQ1145" s="23"/>
      <c r="AGR1145" s="23"/>
      <c r="AGS1145" s="23"/>
      <c r="AGT1145" s="23"/>
      <c r="AGU1145" s="23"/>
      <c r="AGV1145" s="23"/>
      <c r="AGW1145" s="23"/>
      <c r="AGX1145" s="23"/>
      <c r="AGY1145" s="23"/>
      <c r="AGZ1145" s="23"/>
      <c r="AHA1145" s="23"/>
      <c r="AHB1145" s="23"/>
      <c r="AHC1145" s="23"/>
      <c r="AHD1145" s="23"/>
      <c r="AHE1145" s="23"/>
      <c r="AHF1145" s="23"/>
      <c r="AHG1145" s="23"/>
      <c r="AHH1145" s="23"/>
      <c r="AHI1145" s="23"/>
      <c r="AHJ1145" s="23"/>
      <c r="AHK1145" s="23"/>
      <c r="AHL1145" s="23"/>
      <c r="AHM1145" s="23"/>
      <c r="AHN1145" s="23"/>
      <c r="AHO1145" s="23"/>
      <c r="AHP1145" s="23"/>
      <c r="AHQ1145" s="23"/>
      <c r="AHR1145" s="23"/>
      <c r="AHS1145" s="23"/>
      <c r="AHT1145" s="23"/>
      <c r="AHU1145" s="23"/>
      <c r="AHV1145" s="23"/>
      <c r="AHW1145" s="23"/>
      <c r="AHX1145" s="23"/>
      <c r="AHY1145" s="23"/>
      <c r="AHZ1145" s="23"/>
      <c r="AIA1145" s="23"/>
      <c r="AIB1145" s="23"/>
      <c r="AIC1145" s="23"/>
      <c r="AID1145" s="23"/>
      <c r="AIE1145" s="23"/>
      <c r="AIF1145" s="23"/>
      <c r="AIG1145" s="23"/>
      <c r="AIH1145" s="23"/>
      <c r="AII1145" s="23"/>
      <c r="AIJ1145" s="23"/>
      <c r="AIK1145" s="23"/>
      <c r="AIL1145" s="23"/>
      <c r="AIM1145" s="23"/>
      <c r="AIN1145" s="23"/>
      <c r="AIO1145" s="23"/>
      <c r="AIP1145" s="23"/>
      <c r="AIQ1145" s="23"/>
      <c r="AIR1145" s="23"/>
      <c r="AIS1145" s="23"/>
      <c r="AIT1145" s="23"/>
      <c r="AIU1145" s="23"/>
      <c r="AIV1145" s="23"/>
      <c r="AIW1145" s="23"/>
      <c r="AIX1145" s="23"/>
      <c r="AIY1145" s="23"/>
      <c r="AIZ1145" s="23"/>
      <c r="AJA1145" s="23"/>
      <c r="AJB1145" s="23"/>
      <c r="AJC1145" s="23"/>
      <c r="AJD1145" s="23"/>
      <c r="AJE1145" s="23"/>
      <c r="AJF1145" s="23"/>
      <c r="AJG1145" s="23"/>
      <c r="AJH1145" s="23"/>
      <c r="AJI1145" s="23"/>
      <c r="AJJ1145" s="23"/>
      <c r="AJK1145" s="23"/>
      <c r="AJL1145" s="23"/>
      <c r="AJM1145" s="23"/>
      <c r="AJN1145" s="23"/>
      <c r="AJO1145" s="23"/>
      <c r="AJP1145" s="23"/>
      <c r="AJQ1145" s="23"/>
      <c r="AJR1145" s="23"/>
      <c r="AJS1145" s="23"/>
      <c r="AJT1145" s="23"/>
      <c r="AJU1145" s="23"/>
      <c r="AJV1145" s="23"/>
      <c r="AJW1145" s="23"/>
      <c r="AJX1145" s="23"/>
      <c r="AJY1145" s="23"/>
      <c r="AJZ1145" s="23"/>
      <c r="AKA1145" s="23"/>
      <c r="AKB1145" s="23"/>
      <c r="AKC1145" s="23"/>
      <c r="AKD1145" s="23"/>
      <c r="AKE1145" s="23"/>
      <c r="AKF1145" s="23"/>
      <c r="AKG1145" s="23"/>
      <c r="AKH1145" s="23"/>
      <c r="AKI1145" s="23"/>
      <c r="AKJ1145" s="23"/>
      <c r="AKK1145" s="23"/>
      <c r="AKL1145" s="23"/>
      <c r="AKM1145" s="23"/>
      <c r="AKN1145" s="23"/>
      <c r="AKO1145" s="23"/>
      <c r="AKP1145" s="23"/>
      <c r="AKQ1145" s="23"/>
      <c r="AKR1145" s="23"/>
      <c r="AKS1145" s="23"/>
      <c r="AKT1145" s="23"/>
      <c r="AKU1145" s="23"/>
      <c r="AKV1145" s="23"/>
      <c r="AKW1145" s="23"/>
      <c r="AKX1145" s="23"/>
      <c r="AKY1145" s="23"/>
      <c r="AKZ1145" s="23"/>
      <c r="ALA1145" s="23"/>
      <c r="ALB1145" s="23"/>
      <c r="ALC1145" s="23"/>
      <c r="ALD1145" s="23"/>
      <c r="ALE1145" s="23"/>
      <c r="ALF1145" s="23"/>
      <c r="ALG1145" s="23"/>
      <c r="ALH1145" s="23"/>
      <c r="ALI1145" s="23"/>
      <c r="ALJ1145" s="23"/>
      <c r="ALK1145" s="23"/>
      <c r="ALL1145" s="23"/>
      <c r="ALM1145" s="23"/>
      <c r="ALN1145" s="23"/>
      <c r="ALO1145" s="23"/>
      <c r="ALP1145" s="23"/>
      <c r="ALQ1145" s="23"/>
      <c r="ALR1145" s="23"/>
      <c r="ALS1145" s="23"/>
      <c r="ALT1145" s="23"/>
      <c r="ALU1145" s="23"/>
      <c r="ALV1145" s="23"/>
      <c r="ALW1145" s="23"/>
      <c r="ALX1145" s="23"/>
      <c r="ALY1145" s="23"/>
      <c r="ALZ1145" s="23"/>
      <c r="AMA1145" s="23"/>
      <c r="AMB1145" s="23"/>
      <c r="AMC1145" s="23"/>
      <c r="AMD1145" s="23"/>
      <c r="AME1145" s="23"/>
      <c r="AMF1145" s="23"/>
      <c r="AMG1145" s="23"/>
      <c r="AMH1145" s="23"/>
      <c r="AMI1145" s="23"/>
      <c r="AMJ1145" s="23"/>
      <c r="AMK1145" s="23"/>
      <c r="AML1145" s="23"/>
      <c r="AMM1145" s="23"/>
      <c r="AMN1145" s="23"/>
      <c r="AMO1145" s="23"/>
      <c r="AMP1145" s="23"/>
      <c r="AMQ1145" s="23"/>
      <c r="AMR1145" s="23"/>
      <c r="AMS1145" s="23"/>
      <c r="AMT1145" s="23"/>
      <c r="AMU1145" s="23"/>
      <c r="AMV1145" s="23"/>
      <c r="AMW1145" s="23"/>
      <c r="AMX1145" s="23"/>
      <c r="AMY1145" s="23"/>
      <c r="AMZ1145" s="23"/>
      <c r="ANA1145" s="23"/>
      <c r="ANB1145" s="23"/>
      <c r="ANC1145" s="23"/>
      <c r="AND1145" s="23"/>
      <c r="ANE1145" s="23"/>
      <c r="ANF1145" s="23"/>
      <c r="ANG1145" s="23"/>
      <c r="ANH1145" s="23"/>
      <c r="ANI1145" s="23"/>
      <c r="ANJ1145" s="23"/>
      <c r="ANK1145" s="23"/>
      <c r="ANL1145" s="23"/>
      <c r="ANM1145" s="23"/>
      <c r="ANN1145" s="23"/>
      <c r="ANO1145" s="23"/>
      <c r="ANP1145" s="23"/>
      <c r="ANQ1145" s="23"/>
      <c r="ANR1145" s="23"/>
      <c r="ANS1145" s="23"/>
      <c r="ANT1145" s="23"/>
      <c r="ANU1145" s="23"/>
      <c r="ANV1145" s="23"/>
      <c r="ANW1145" s="23"/>
      <c r="ANX1145" s="23"/>
      <c r="ANY1145" s="23"/>
      <c r="ANZ1145" s="23"/>
      <c r="AOA1145" s="23"/>
      <c r="AOB1145" s="23"/>
      <c r="AOC1145" s="23"/>
      <c r="AOD1145" s="23"/>
      <c r="AOE1145" s="23"/>
      <c r="AOF1145" s="23"/>
      <c r="AOG1145" s="23"/>
      <c r="AOH1145" s="23"/>
      <c r="AOI1145" s="23"/>
      <c r="AOJ1145" s="23"/>
      <c r="AOK1145" s="23"/>
      <c r="AOL1145" s="23"/>
      <c r="AOM1145" s="23"/>
      <c r="AON1145" s="23"/>
      <c r="AOO1145" s="23"/>
      <c r="AOP1145" s="23"/>
      <c r="AOQ1145" s="23"/>
      <c r="AOR1145" s="23"/>
      <c r="AOS1145" s="23"/>
      <c r="AOT1145" s="23"/>
      <c r="AOU1145" s="23"/>
      <c r="AOV1145" s="23"/>
      <c r="AOW1145" s="23"/>
      <c r="AOX1145" s="23"/>
      <c r="AOY1145" s="23"/>
      <c r="AOZ1145" s="23"/>
      <c r="APA1145" s="23"/>
      <c r="APB1145" s="23"/>
      <c r="APC1145" s="23"/>
      <c r="APD1145" s="23"/>
      <c r="APE1145" s="23"/>
      <c r="APF1145" s="23"/>
      <c r="APG1145" s="23"/>
      <c r="APH1145" s="23"/>
      <c r="API1145" s="23"/>
      <c r="APJ1145" s="23"/>
      <c r="APK1145" s="23"/>
      <c r="APL1145" s="23"/>
      <c r="APM1145" s="23"/>
      <c r="APN1145" s="23"/>
      <c r="APO1145" s="23"/>
      <c r="APP1145" s="23"/>
      <c r="APQ1145" s="23"/>
      <c r="APR1145" s="23"/>
      <c r="APS1145" s="23"/>
      <c r="APT1145" s="23"/>
      <c r="APU1145" s="23"/>
      <c r="APV1145" s="23"/>
      <c r="APW1145" s="23"/>
      <c r="APX1145" s="23"/>
      <c r="APY1145" s="23"/>
      <c r="APZ1145" s="23"/>
      <c r="AQA1145" s="23"/>
      <c r="AQB1145" s="23"/>
      <c r="AQC1145" s="23"/>
      <c r="AQD1145" s="23"/>
      <c r="AQE1145" s="23"/>
      <c r="AQF1145" s="23"/>
      <c r="AQG1145" s="23"/>
      <c r="AQH1145" s="23"/>
      <c r="AQI1145" s="23"/>
      <c r="AQJ1145" s="23"/>
      <c r="AQK1145" s="23"/>
      <c r="AQL1145" s="23"/>
      <c r="AQM1145" s="23"/>
      <c r="AQN1145" s="23"/>
      <c r="AQO1145" s="23"/>
      <c r="AQP1145" s="23"/>
      <c r="AQQ1145" s="23"/>
      <c r="AQR1145" s="23"/>
      <c r="AQS1145" s="23"/>
      <c r="AQT1145" s="23"/>
      <c r="AQU1145" s="23"/>
      <c r="AQV1145" s="23"/>
      <c r="AQW1145" s="23"/>
      <c r="AQX1145" s="23"/>
      <c r="AQY1145" s="23"/>
      <c r="AQZ1145" s="23"/>
      <c r="ARA1145" s="23"/>
      <c r="ARB1145" s="23"/>
      <c r="ARC1145" s="23"/>
      <c r="ARD1145" s="23"/>
      <c r="ARE1145" s="23"/>
      <c r="ARF1145" s="23"/>
      <c r="ARG1145" s="23"/>
      <c r="ARH1145" s="23"/>
      <c r="ARI1145" s="23"/>
      <c r="ARJ1145" s="23"/>
      <c r="ARK1145" s="23"/>
      <c r="ARL1145" s="23"/>
      <c r="ARM1145" s="23"/>
      <c r="ARN1145" s="23"/>
      <c r="ARO1145" s="23"/>
      <c r="ARP1145" s="23"/>
      <c r="ARQ1145" s="23"/>
      <c r="ARR1145" s="23"/>
      <c r="ARS1145" s="23"/>
      <c r="ART1145" s="23"/>
      <c r="ARU1145" s="23"/>
      <c r="ARV1145" s="23"/>
      <c r="ARW1145" s="23"/>
      <c r="ARX1145" s="23"/>
      <c r="ARY1145" s="23"/>
      <c r="ARZ1145" s="23"/>
      <c r="ASA1145" s="23"/>
      <c r="ASB1145" s="23"/>
      <c r="ASC1145" s="23"/>
      <c r="ASD1145" s="23"/>
      <c r="ASE1145" s="23"/>
      <c r="ASF1145" s="23"/>
      <c r="ASG1145" s="23"/>
      <c r="ASH1145" s="23"/>
      <c r="ASI1145" s="23"/>
      <c r="ASJ1145" s="23"/>
      <c r="ASK1145" s="23"/>
      <c r="ASL1145" s="23"/>
      <c r="ASM1145" s="23"/>
      <c r="ASN1145" s="23"/>
      <c r="ASO1145" s="23"/>
      <c r="ASP1145" s="23"/>
      <c r="ASQ1145" s="23"/>
      <c r="ASR1145" s="23"/>
      <c r="ASS1145" s="23"/>
      <c r="AST1145" s="23"/>
      <c r="ASU1145" s="23"/>
      <c r="ASV1145" s="23"/>
      <c r="ASW1145" s="23"/>
      <c r="ASX1145" s="23"/>
      <c r="ASY1145" s="23"/>
      <c r="ASZ1145" s="23"/>
      <c r="ATA1145" s="23"/>
      <c r="ATB1145" s="23"/>
      <c r="ATC1145" s="23"/>
      <c r="ATD1145" s="23"/>
      <c r="ATE1145" s="23"/>
      <c r="ATF1145" s="23"/>
      <c r="ATG1145" s="23"/>
      <c r="ATH1145" s="23"/>
      <c r="ATI1145" s="23"/>
      <c r="ATJ1145" s="23"/>
      <c r="ATK1145" s="23"/>
      <c r="ATL1145" s="23"/>
      <c r="ATM1145" s="23"/>
      <c r="ATN1145" s="23"/>
      <c r="ATO1145" s="23"/>
      <c r="ATP1145" s="23"/>
      <c r="ATQ1145" s="23"/>
      <c r="ATR1145" s="23"/>
      <c r="ATS1145" s="23"/>
      <c r="ATT1145" s="23"/>
      <c r="ATU1145" s="23"/>
      <c r="ATV1145" s="23"/>
      <c r="ATW1145" s="23"/>
      <c r="ATX1145" s="23"/>
      <c r="ATY1145" s="23"/>
      <c r="ATZ1145" s="23"/>
      <c r="AUA1145" s="23"/>
      <c r="AUB1145" s="23"/>
      <c r="AUC1145" s="23"/>
      <c r="AUD1145" s="23"/>
      <c r="AUE1145" s="23"/>
      <c r="AUF1145" s="23"/>
      <c r="AUG1145" s="23"/>
      <c r="AUH1145" s="23"/>
      <c r="AUI1145" s="23"/>
      <c r="AUJ1145" s="23"/>
      <c r="AUK1145" s="23"/>
      <c r="AUL1145" s="23"/>
      <c r="AUM1145" s="23"/>
      <c r="AUN1145" s="23"/>
      <c r="AUO1145" s="23"/>
      <c r="AUP1145" s="23"/>
      <c r="AUQ1145" s="23"/>
      <c r="AUR1145" s="23"/>
      <c r="AUS1145" s="23"/>
      <c r="AUT1145" s="23"/>
      <c r="AUU1145" s="23"/>
      <c r="AUV1145" s="23"/>
      <c r="AUW1145" s="23"/>
      <c r="AUX1145" s="23"/>
      <c r="AUY1145" s="23"/>
      <c r="AUZ1145" s="23"/>
      <c r="AVA1145" s="23"/>
      <c r="AVB1145" s="23"/>
      <c r="AVC1145" s="23"/>
      <c r="AVD1145" s="23"/>
      <c r="AVE1145" s="23"/>
      <c r="AVF1145" s="23"/>
      <c r="AVG1145" s="23"/>
      <c r="AVH1145" s="23"/>
      <c r="AVI1145" s="23"/>
      <c r="AVJ1145" s="23"/>
      <c r="AVK1145" s="23"/>
      <c r="AVL1145" s="23"/>
      <c r="AVM1145" s="23"/>
      <c r="AVN1145" s="23"/>
      <c r="AVO1145" s="23"/>
      <c r="AVP1145" s="23"/>
      <c r="AVQ1145" s="23"/>
      <c r="AVR1145" s="23"/>
      <c r="AVS1145" s="23"/>
      <c r="AVT1145" s="23"/>
      <c r="AVU1145" s="23"/>
      <c r="AVV1145" s="23"/>
      <c r="AVW1145" s="23"/>
      <c r="AVX1145" s="23"/>
      <c r="AVY1145" s="23"/>
      <c r="AVZ1145" s="23"/>
      <c r="AWA1145" s="23"/>
      <c r="AWB1145" s="23"/>
      <c r="AWC1145" s="23"/>
      <c r="AWD1145" s="23"/>
      <c r="AWE1145" s="23"/>
      <c r="AWF1145" s="23"/>
      <c r="AWG1145" s="23"/>
      <c r="AWH1145" s="23"/>
      <c r="AWI1145" s="23"/>
      <c r="AWJ1145" s="23"/>
      <c r="AWK1145" s="23"/>
      <c r="AWL1145" s="23"/>
      <c r="AWM1145" s="23"/>
      <c r="AWN1145" s="23"/>
      <c r="AWO1145" s="23"/>
      <c r="AWP1145" s="23"/>
      <c r="AWQ1145" s="23"/>
      <c r="AWR1145" s="23"/>
      <c r="AWS1145" s="23"/>
      <c r="AWT1145" s="23"/>
      <c r="AWU1145" s="23"/>
      <c r="AWV1145" s="23"/>
      <c r="AWW1145" s="23"/>
      <c r="AWX1145" s="23"/>
      <c r="AWY1145" s="23"/>
      <c r="AWZ1145" s="23"/>
      <c r="AXA1145" s="23"/>
      <c r="AXB1145" s="23"/>
      <c r="AXC1145" s="23"/>
      <c r="AXD1145" s="23"/>
      <c r="AXE1145" s="23"/>
      <c r="AXF1145" s="23"/>
      <c r="AXG1145" s="23"/>
      <c r="AXH1145" s="23"/>
      <c r="AXI1145" s="23"/>
      <c r="AXJ1145" s="23"/>
      <c r="AXK1145" s="23"/>
      <c r="AXL1145" s="23"/>
      <c r="AXM1145" s="23"/>
      <c r="AXN1145" s="23"/>
      <c r="AXO1145" s="23"/>
      <c r="AXP1145" s="23"/>
      <c r="AXQ1145" s="23"/>
      <c r="AXR1145" s="23"/>
      <c r="AXS1145" s="23"/>
      <c r="AXT1145" s="23"/>
      <c r="AXU1145" s="23"/>
      <c r="AXV1145" s="23"/>
      <c r="AXW1145" s="23"/>
      <c r="AXX1145" s="23"/>
      <c r="AXY1145" s="23"/>
      <c r="AXZ1145" s="23"/>
      <c r="AYA1145" s="23"/>
      <c r="AYB1145" s="23"/>
      <c r="AYC1145" s="23"/>
      <c r="AYD1145" s="23"/>
      <c r="AYE1145" s="23"/>
      <c r="AYF1145" s="23"/>
      <c r="AYG1145" s="23"/>
      <c r="AYH1145" s="23"/>
      <c r="AYI1145" s="23"/>
      <c r="AYJ1145" s="23"/>
      <c r="AYK1145" s="23"/>
      <c r="AYL1145" s="23"/>
      <c r="AYM1145" s="23"/>
      <c r="AYN1145" s="23"/>
      <c r="AYO1145" s="23"/>
      <c r="AYP1145" s="23"/>
      <c r="AYQ1145" s="23"/>
      <c r="AYR1145" s="23"/>
      <c r="AYS1145" s="23"/>
      <c r="AYT1145" s="23"/>
      <c r="AYU1145" s="23"/>
      <c r="AYV1145" s="23"/>
      <c r="AYW1145" s="23"/>
      <c r="AYX1145" s="23"/>
      <c r="AYY1145" s="23"/>
      <c r="AYZ1145" s="23"/>
      <c r="AZA1145" s="23"/>
      <c r="AZB1145" s="23"/>
      <c r="AZC1145" s="23"/>
      <c r="AZD1145" s="23"/>
      <c r="AZE1145" s="23"/>
      <c r="AZF1145" s="23"/>
      <c r="AZG1145" s="23"/>
      <c r="AZH1145" s="23"/>
      <c r="AZI1145" s="23"/>
      <c r="AZJ1145" s="23"/>
      <c r="AZK1145" s="23"/>
      <c r="AZL1145" s="23"/>
      <c r="AZM1145" s="23"/>
      <c r="AZN1145" s="23"/>
      <c r="AZO1145" s="23"/>
      <c r="AZP1145" s="23"/>
      <c r="AZQ1145" s="23"/>
      <c r="AZR1145" s="23"/>
      <c r="AZS1145" s="23"/>
      <c r="AZT1145" s="23"/>
      <c r="AZU1145" s="23"/>
      <c r="AZV1145" s="23"/>
      <c r="AZW1145" s="23"/>
      <c r="AZX1145" s="23"/>
      <c r="AZY1145" s="23"/>
      <c r="AZZ1145" s="23"/>
      <c r="BAA1145" s="23"/>
      <c r="BAB1145" s="23"/>
      <c r="BAC1145" s="23"/>
      <c r="BAD1145" s="23"/>
      <c r="BAE1145" s="23"/>
      <c r="BAF1145" s="23"/>
      <c r="BAG1145" s="23"/>
      <c r="BAH1145" s="23"/>
      <c r="BAI1145" s="23"/>
      <c r="BAJ1145" s="23"/>
      <c r="BAK1145" s="23"/>
      <c r="BAL1145" s="23"/>
      <c r="BAM1145" s="23"/>
      <c r="BAN1145" s="23"/>
      <c r="BAO1145" s="23"/>
      <c r="BAP1145" s="23"/>
      <c r="BAQ1145" s="23"/>
      <c r="BAR1145" s="23"/>
      <c r="BAS1145" s="23"/>
      <c r="BAT1145" s="23"/>
      <c r="BAU1145" s="23"/>
      <c r="BAV1145" s="23"/>
      <c r="BAW1145" s="23"/>
      <c r="BAX1145" s="23"/>
      <c r="BAY1145" s="23"/>
      <c r="BAZ1145" s="23"/>
      <c r="BBA1145" s="23"/>
      <c r="BBB1145" s="23"/>
      <c r="BBC1145" s="23"/>
      <c r="BBD1145" s="23"/>
      <c r="BBE1145" s="23"/>
      <c r="BBF1145" s="23"/>
      <c r="BBG1145" s="23"/>
      <c r="BBH1145" s="23"/>
      <c r="BBI1145" s="23"/>
      <c r="BBJ1145" s="23"/>
      <c r="BBK1145" s="23"/>
      <c r="BBL1145" s="23"/>
      <c r="BBM1145" s="23"/>
      <c r="BBN1145" s="23"/>
      <c r="BBO1145" s="23"/>
      <c r="BBP1145" s="23"/>
      <c r="BBQ1145" s="23"/>
      <c r="BBR1145" s="23"/>
      <c r="BBS1145" s="23"/>
      <c r="BBT1145" s="23"/>
      <c r="BBU1145" s="23"/>
      <c r="BBV1145" s="23"/>
      <c r="BBW1145" s="23"/>
      <c r="BBX1145" s="23"/>
      <c r="BBY1145" s="23"/>
      <c r="BBZ1145" s="23"/>
      <c r="BCA1145" s="23"/>
      <c r="BCB1145" s="23"/>
      <c r="BCC1145" s="23"/>
      <c r="BCD1145" s="23"/>
      <c r="BCE1145" s="23"/>
      <c r="BCF1145" s="23"/>
      <c r="BCG1145" s="23"/>
      <c r="BCH1145" s="23"/>
      <c r="BCI1145" s="23"/>
      <c r="BCJ1145" s="23"/>
      <c r="BCK1145" s="23"/>
      <c r="BCL1145" s="23"/>
      <c r="BCM1145" s="23"/>
      <c r="BCN1145" s="23"/>
      <c r="BCO1145" s="23"/>
      <c r="BCP1145" s="23"/>
      <c r="BCQ1145" s="23"/>
      <c r="BCR1145" s="23"/>
      <c r="BCS1145" s="23"/>
      <c r="BCT1145" s="23"/>
      <c r="BCU1145" s="23"/>
      <c r="BCV1145" s="23"/>
      <c r="BCW1145" s="23"/>
      <c r="BCX1145" s="23"/>
      <c r="BCY1145" s="23"/>
      <c r="BCZ1145" s="23"/>
      <c r="BDA1145" s="23"/>
      <c r="BDB1145" s="23"/>
      <c r="BDC1145" s="23"/>
      <c r="BDD1145" s="23"/>
      <c r="BDE1145" s="23"/>
      <c r="BDF1145" s="23"/>
      <c r="BDG1145" s="23"/>
      <c r="BDH1145" s="23"/>
      <c r="BDI1145" s="23"/>
      <c r="BDJ1145" s="23"/>
      <c r="BDK1145" s="23"/>
      <c r="BDL1145" s="23"/>
      <c r="BDM1145" s="23"/>
      <c r="BDN1145" s="23"/>
      <c r="BDO1145" s="23"/>
      <c r="BDP1145" s="23"/>
      <c r="BDQ1145" s="23"/>
      <c r="BDR1145" s="23"/>
      <c r="BDS1145" s="23"/>
      <c r="BDT1145" s="23"/>
      <c r="BDU1145" s="23"/>
      <c r="BDV1145" s="23"/>
      <c r="BDW1145" s="23"/>
      <c r="BDX1145" s="23"/>
      <c r="BDY1145" s="23"/>
      <c r="BDZ1145" s="23"/>
      <c r="BEA1145" s="23"/>
      <c r="BEB1145" s="23"/>
      <c r="BEC1145" s="23"/>
      <c r="BED1145" s="23"/>
      <c r="BEE1145" s="23"/>
      <c r="BEF1145" s="23"/>
      <c r="BEG1145" s="23"/>
      <c r="BEH1145" s="23"/>
      <c r="BEI1145" s="23"/>
      <c r="BEJ1145" s="23"/>
      <c r="BEK1145" s="23"/>
      <c r="BEL1145" s="23"/>
      <c r="BEM1145" s="23"/>
      <c r="BEN1145" s="23"/>
      <c r="BEO1145" s="23"/>
      <c r="BEP1145" s="23"/>
      <c r="BEQ1145" s="23"/>
      <c r="BER1145" s="23"/>
      <c r="BES1145" s="23"/>
      <c r="BET1145" s="23"/>
      <c r="BEU1145" s="23"/>
      <c r="BEV1145" s="23"/>
      <c r="BEW1145" s="23"/>
      <c r="BEX1145" s="23"/>
      <c r="BEY1145" s="23"/>
      <c r="BEZ1145" s="23"/>
      <c r="BFA1145" s="23"/>
      <c r="BFB1145" s="23"/>
      <c r="BFC1145" s="23"/>
      <c r="BFD1145" s="23"/>
      <c r="BFE1145" s="23"/>
      <c r="BFF1145" s="23"/>
      <c r="BFG1145" s="23"/>
      <c r="BFH1145" s="23"/>
      <c r="BFI1145" s="23"/>
      <c r="BFJ1145" s="23"/>
      <c r="BFK1145" s="23"/>
      <c r="BFL1145" s="23"/>
      <c r="BFM1145" s="23"/>
      <c r="BFN1145" s="23"/>
      <c r="BFO1145" s="23"/>
      <c r="BFP1145" s="23"/>
      <c r="BFQ1145" s="23"/>
      <c r="BFR1145" s="23"/>
      <c r="BFS1145" s="23"/>
      <c r="BFT1145" s="23"/>
      <c r="BFU1145" s="23"/>
      <c r="BFV1145" s="23"/>
      <c r="BFW1145" s="23"/>
      <c r="BFX1145" s="23"/>
      <c r="BFY1145" s="23"/>
      <c r="BFZ1145" s="23"/>
      <c r="BGA1145" s="23"/>
      <c r="BGB1145" s="23"/>
      <c r="BGC1145" s="23"/>
      <c r="BGD1145" s="23"/>
      <c r="BGE1145" s="23"/>
      <c r="BGF1145" s="23"/>
      <c r="BGG1145" s="23"/>
      <c r="BGH1145" s="23"/>
      <c r="BGI1145" s="23"/>
      <c r="BGJ1145" s="23"/>
      <c r="BGK1145" s="23"/>
      <c r="BGL1145" s="23"/>
      <c r="BGM1145" s="23"/>
      <c r="BGN1145" s="23"/>
      <c r="BGO1145" s="23"/>
      <c r="BGP1145" s="23"/>
      <c r="BGQ1145" s="23"/>
      <c r="BGR1145" s="23"/>
      <c r="BGS1145" s="23"/>
      <c r="BGT1145" s="23"/>
      <c r="BGU1145" s="23"/>
      <c r="BGV1145" s="23"/>
      <c r="BGW1145" s="23"/>
      <c r="BGX1145" s="23"/>
      <c r="BGY1145" s="23"/>
      <c r="BGZ1145" s="23"/>
      <c r="BHA1145" s="23"/>
      <c r="BHB1145" s="23"/>
      <c r="BHC1145" s="23"/>
      <c r="BHD1145" s="23"/>
      <c r="BHE1145" s="23"/>
      <c r="BHF1145" s="23"/>
      <c r="BHG1145" s="23"/>
      <c r="BHH1145" s="23"/>
      <c r="BHI1145" s="23"/>
      <c r="BHJ1145" s="23"/>
      <c r="BHK1145" s="23"/>
      <c r="BHL1145" s="23"/>
      <c r="BHM1145" s="23"/>
      <c r="BHN1145" s="23"/>
      <c r="BHO1145" s="23"/>
      <c r="BHP1145" s="23"/>
      <c r="BHQ1145" s="23"/>
      <c r="BHR1145" s="23"/>
      <c r="BHS1145" s="23"/>
      <c r="BHT1145" s="23"/>
      <c r="BHU1145" s="23"/>
      <c r="BHV1145" s="23"/>
      <c r="BHW1145" s="23"/>
      <c r="BHX1145" s="23"/>
      <c r="BHY1145" s="23"/>
      <c r="BHZ1145" s="23"/>
      <c r="BIA1145" s="23"/>
      <c r="BIB1145" s="23"/>
      <c r="BIC1145" s="23"/>
      <c r="BID1145" s="23"/>
      <c r="BIE1145" s="23"/>
      <c r="BIF1145" s="23"/>
      <c r="BIG1145" s="23"/>
      <c r="BIH1145" s="23"/>
      <c r="BII1145" s="23"/>
      <c r="BIJ1145" s="23"/>
      <c r="BIK1145" s="23"/>
      <c r="BIL1145" s="23"/>
      <c r="BIM1145" s="23"/>
      <c r="BIN1145" s="23"/>
      <c r="BIO1145" s="23"/>
      <c r="BIP1145" s="23"/>
      <c r="BIQ1145" s="23"/>
      <c r="BIR1145" s="23"/>
      <c r="BIS1145" s="23"/>
      <c r="BIT1145" s="23"/>
      <c r="BIU1145" s="23"/>
      <c r="BIV1145" s="23"/>
      <c r="BIW1145" s="23"/>
      <c r="BIX1145" s="23"/>
      <c r="BIY1145" s="23"/>
      <c r="BIZ1145" s="23"/>
      <c r="BJA1145" s="23"/>
      <c r="BJB1145" s="23"/>
      <c r="BJC1145" s="23"/>
      <c r="BJD1145" s="23"/>
      <c r="BJE1145" s="23"/>
      <c r="BJF1145" s="23"/>
      <c r="BJG1145" s="23"/>
      <c r="BJH1145" s="23"/>
      <c r="BJI1145" s="23"/>
      <c r="BJJ1145" s="23"/>
      <c r="BJK1145" s="23"/>
      <c r="BJL1145" s="23"/>
      <c r="BJM1145" s="23"/>
      <c r="BJN1145" s="23"/>
      <c r="BJO1145" s="23"/>
      <c r="BJP1145" s="23"/>
      <c r="BJQ1145" s="23"/>
      <c r="BJR1145" s="23"/>
      <c r="BJS1145" s="23"/>
      <c r="BJT1145" s="23"/>
      <c r="BJU1145" s="23"/>
      <c r="BJV1145" s="23"/>
      <c r="BJW1145" s="23"/>
      <c r="BJX1145" s="23"/>
      <c r="BJY1145" s="23"/>
      <c r="BJZ1145" s="23"/>
      <c r="BKA1145" s="23"/>
      <c r="BKB1145" s="23"/>
      <c r="BKC1145" s="23"/>
      <c r="BKD1145" s="23"/>
      <c r="BKE1145" s="23"/>
      <c r="BKF1145" s="23"/>
      <c r="BKG1145" s="23"/>
      <c r="BKH1145" s="23"/>
      <c r="BKI1145" s="23"/>
      <c r="BKJ1145" s="23"/>
      <c r="BKK1145" s="23"/>
      <c r="BKL1145" s="23"/>
      <c r="BKM1145" s="23"/>
      <c r="BKN1145" s="23"/>
      <c r="BKO1145" s="23"/>
      <c r="BKP1145" s="23"/>
      <c r="BKQ1145" s="23"/>
      <c r="BKR1145" s="23"/>
      <c r="BKS1145" s="23"/>
      <c r="BKT1145" s="23"/>
      <c r="BKU1145" s="23"/>
      <c r="BKV1145" s="23"/>
      <c r="BKW1145" s="23"/>
      <c r="BKX1145" s="23"/>
      <c r="BKY1145" s="23"/>
      <c r="BKZ1145" s="23"/>
      <c r="BLA1145" s="23"/>
      <c r="BLB1145" s="23"/>
      <c r="BLC1145" s="23"/>
      <c r="BLD1145" s="23"/>
      <c r="BLE1145" s="23"/>
      <c r="BLF1145" s="23"/>
      <c r="BLG1145" s="23"/>
      <c r="BLH1145" s="23"/>
      <c r="BLI1145" s="23"/>
      <c r="BLJ1145" s="23"/>
      <c r="BLK1145" s="23"/>
      <c r="BLL1145" s="23"/>
      <c r="BLM1145" s="23"/>
      <c r="BLN1145" s="23"/>
      <c r="BLO1145" s="23"/>
      <c r="BLP1145" s="23"/>
      <c r="BLQ1145" s="23"/>
      <c r="BLR1145" s="23"/>
      <c r="BLS1145" s="23"/>
      <c r="BLT1145" s="23"/>
      <c r="BLU1145" s="23"/>
      <c r="BLV1145" s="23"/>
      <c r="BLW1145" s="23"/>
      <c r="BLX1145" s="23"/>
      <c r="BLY1145" s="23"/>
      <c r="BLZ1145" s="23"/>
      <c r="BMA1145" s="23"/>
      <c r="BMB1145" s="23"/>
      <c r="BMC1145" s="23"/>
      <c r="BMD1145" s="23"/>
      <c r="BME1145" s="23"/>
      <c r="BMF1145" s="23"/>
      <c r="BMG1145" s="23"/>
      <c r="BMH1145" s="23"/>
      <c r="BMI1145" s="23"/>
      <c r="BMJ1145" s="23"/>
      <c r="BMK1145" s="23"/>
      <c r="BML1145" s="23"/>
      <c r="BMM1145" s="23"/>
      <c r="BMN1145" s="23"/>
      <c r="BMO1145" s="23"/>
      <c r="BMP1145" s="23"/>
      <c r="BMQ1145" s="23"/>
      <c r="BMR1145" s="23"/>
      <c r="BMS1145" s="23"/>
      <c r="BMT1145" s="23"/>
      <c r="BMU1145" s="23"/>
      <c r="BMV1145" s="23"/>
      <c r="BMW1145" s="23"/>
      <c r="BMX1145" s="23"/>
      <c r="BMY1145" s="23"/>
      <c r="BMZ1145" s="23"/>
      <c r="BNA1145" s="23"/>
      <c r="BNB1145" s="23"/>
      <c r="BNC1145" s="23"/>
      <c r="BND1145" s="23"/>
      <c r="BNE1145" s="23"/>
      <c r="BNF1145" s="23"/>
      <c r="BNG1145" s="23"/>
      <c r="BNH1145" s="23"/>
      <c r="BNI1145" s="23"/>
      <c r="BNJ1145" s="23"/>
      <c r="BNK1145" s="23"/>
      <c r="BNL1145" s="23"/>
      <c r="BNM1145" s="23"/>
      <c r="BNN1145" s="23"/>
      <c r="BNO1145" s="23"/>
      <c r="BNP1145" s="23"/>
      <c r="BNQ1145" s="23"/>
      <c r="BNR1145" s="23"/>
      <c r="BNS1145" s="23"/>
      <c r="BNT1145" s="23"/>
      <c r="BNU1145" s="23"/>
      <c r="BNV1145" s="23"/>
      <c r="BNW1145" s="23"/>
      <c r="BNX1145" s="23"/>
      <c r="BNY1145" s="23"/>
      <c r="BNZ1145" s="23"/>
      <c r="BOA1145" s="23"/>
      <c r="BOB1145" s="23"/>
      <c r="BOC1145" s="23"/>
      <c r="BOD1145" s="23"/>
      <c r="BOE1145" s="23"/>
      <c r="BOF1145" s="23"/>
      <c r="BOG1145" s="23"/>
      <c r="BOH1145" s="23"/>
      <c r="BOI1145" s="23"/>
      <c r="BOJ1145" s="23"/>
      <c r="BOK1145" s="23"/>
      <c r="BOL1145" s="23"/>
      <c r="BOM1145" s="23"/>
      <c r="BON1145" s="23"/>
      <c r="BOO1145" s="23"/>
      <c r="BOP1145" s="23"/>
      <c r="BOQ1145" s="23"/>
      <c r="BOR1145" s="23"/>
      <c r="BOS1145" s="23"/>
      <c r="BOT1145" s="23"/>
      <c r="BOU1145" s="23"/>
      <c r="BOV1145" s="23"/>
      <c r="BOW1145" s="23"/>
      <c r="BOX1145" s="23"/>
      <c r="BOY1145" s="23"/>
      <c r="BOZ1145" s="23"/>
      <c r="BPA1145" s="23"/>
      <c r="BPB1145" s="23"/>
      <c r="BPC1145" s="23"/>
      <c r="BPD1145" s="23"/>
      <c r="BPE1145" s="23"/>
      <c r="BPF1145" s="23"/>
      <c r="BPG1145" s="23"/>
      <c r="BPH1145" s="23"/>
      <c r="BPI1145" s="23"/>
      <c r="BPJ1145" s="23"/>
      <c r="BPK1145" s="23"/>
      <c r="BPL1145" s="23"/>
      <c r="BPM1145" s="23"/>
      <c r="BPN1145" s="23"/>
      <c r="BPO1145" s="23"/>
      <c r="BPP1145" s="23"/>
      <c r="BPQ1145" s="23"/>
      <c r="BPR1145" s="23"/>
      <c r="BPS1145" s="23"/>
      <c r="BPT1145" s="23"/>
      <c r="BPU1145" s="23"/>
      <c r="BPV1145" s="23"/>
      <c r="BPW1145" s="23"/>
      <c r="BPX1145" s="23"/>
      <c r="BPY1145" s="23"/>
      <c r="BPZ1145" s="23"/>
      <c r="BQA1145" s="23"/>
      <c r="BQB1145" s="23"/>
      <c r="BQC1145" s="23"/>
      <c r="BQD1145" s="23"/>
      <c r="BQE1145" s="23"/>
      <c r="BQF1145" s="23"/>
      <c r="BQG1145" s="23"/>
      <c r="BQH1145" s="23"/>
      <c r="BQI1145" s="23"/>
      <c r="BQJ1145" s="23"/>
      <c r="BQK1145" s="23"/>
      <c r="BQL1145" s="23"/>
      <c r="BQM1145" s="23"/>
      <c r="BQN1145" s="23"/>
      <c r="BQO1145" s="23"/>
      <c r="BQP1145" s="23"/>
      <c r="BQQ1145" s="23"/>
      <c r="BQR1145" s="23"/>
      <c r="BQS1145" s="23"/>
      <c r="BQT1145" s="23"/>
      <c r="BQU1145" s="23"/>
      <c r="BQV1145" s="23"/>
      <c r="BQW1145" s="23"/>
      <c r="BQX1145" s="23"/>
      <c r="BQY1145" s="23"/>
      <c r="BQZ1145" s="23"/>
      <c r="BRA1145" s="23"/>
      <c r="BRB1145" s="23"/>
      <c r="BRC1145" s="23"/>
      <c r="BRD1145" s="23"/>
      <c r="BRE1145" s="23"/>
      <c r="BRF1145" s="23"/>
      <c r="BRG1145" s="23"/>
      <c r="BRH1145" s="23"/>
      <c r="BRI1145" s="23"/>
      <c r="BRJ1145" s="23"/>
      <c r="BRK1145" s="23"/>
      <c r="BRL1145" s="23"/>
      <c r="BRM1145" s="23"/>
      <c r="BRN1145" s="23"/>
      <c r="BRO1145" s="23"/>
      <c r="BRP1145" s="23"/>
      <c r="BRQ1145" s="23"/>
      <c r="BRR1145" s="23"/>
      <c r="BRS1145" s="23"/>
      <c r="BRT1145" s="23"/>
      <c r="BRU1145" s="23"/>
      <c r="BRV1145" s="23"/>
      <c r="BRW1145" s="23"/>
      <c r="BRX1145" s="23"/>
      <c r="BRY1145" s="23"/>
      <c r="BRZ1145" s="23"/>
      <c r="BSA1145" s="23"/>
      <c r="BSB1145" s="23"/>
      <c r="BSC1145" s="23"/>
      <c r="BSD1145" s="23"/>
      <c r="BSE1145" s="23"/>
      <c r="BSF1145" s="23"/>
      <c r="BSG1145" s="23"/>
      <c r="BSH1145" s="23"/>
      <c r="BSI1145" s="23"/>
      <c r="BSJ1145" s="23"/>
      <c r="BSK1145" s="23"/>
      <c r="BSL1145" s="23"/>
      <c r="BSM1145" s="23"/>
      <c r="BSN1145" s="23"/>
      <c r="BSO1145" s="23"/>
      <c r="BSP1145" s="23"/>
      <c r="BSQ1145" s="23"/>
      <c r="BSR1145" s="23"/>
      <c r="BSS1145" s="23"/>
      <c r="BST1145" s="23"/>
      <c r="BSU1145" s="23"/>
      <c r="BSV1145" s="23"/>
      <c r="BSW1145" s="23"/>
      <c r="BSX1145" s="23"/>
      <c r="BSY1145" s="23"/>
      <c r="BSZ1145" s="23"/>
      <c r="BTA1145" s="23"/>
    </row>
    <row r="1146" spans="1:1873" s="23" customFormat="1" ht="15.75" x14ac:dyDescent="0.3">
      <c r="A1146" s="595" t="s">
        <v>872</v>
      </c>
      <c r="B1146" s="257" t="s">
        <v>873</v>
      </c>
      <c r="C1146" s="257" t="s">
        <v>126</v>
      </c>
      <c r="D1146" s="257" t="s">
        <v>1254</v>
      </c>
      <c r="E1146" s="257" t="s">
        <v>882</v>
      </c>
      <c r="F1146" s="257">
        <v>1</v>
      </c>
      <c r="G1146" s="257">
        <v>6</v>
      </c>
      <c r="H1146" s="263">
        <v>6</v>
      </c>
      <c r="I1146" s="257" t="s">
        <v>954</v>
      </c>
      <c r="J1146" s="257">
        <v>1997</v>
      </c>
      <c r="K1146" s="257" t="s">
        <v>1211</v>
      </c>
      <c r="L1146" s="257">
        <v>2002</v>
      </c>
      <c r="M1146" s="261">
        <v>-9999</v>
      </c>
      <c r="N1146" s="257">
        <v>-9999</v>
      </c>
      <c r="O1146" s="29"/>
      <c r="P1146" s="261">
        <f>49.07-4.32</f>
        <v>44.75</v>
      </c>
      <c r="Q1146" s="257">
        <v>-9999</v>
      </c>
      <c r="R1146" s="261"/>
      <c r="S1146" s="257"/>
      <c r="T1146" s="370">
        <f>+P1146/G1146</f>
        <v>7.458333333333333</v>
      </c>
      <c r="U1146" s="257">
        <v>-9999</v>
      </c>
      <c r="V1146" s="257"/>
      <c r="W1146" s="261">
        <v>-9999</v>
      </c>
      <c r="X1146" s="257">
        <v>-9999</v>
      </c>
      <c r="Y1146" s="257"/>
      <c r="Z1146" s="327" t="s">
        <v>875</v>
      </c>
      <c r="AA1146" s="257">
        <v>1794</v>
      </c>
      <c r="AB1146" s="261">
        <v>0.97</v>
      </c>
      <c r="AC1146" s="257">
        <v>11.7</v>
      </c>
      <c r="AD1146" s="257">
        <v>943</v>
      </c>
      <c r="AE1146" s="327" t="s">
        <v>1969</v>
      </c>
      <c r="AF1146" s="257">
        <v>3</v>
      </c>
      <c r="AG1146" s="257" t="s">
        <v>843</v>
      </c>
      <c r="AH1146" s="257" t="s">
        <v>876</v>
      </c>
      <c r="AI1146" s="257" t="s">
        <v>858</v>
      </c>
      <c r="AJ1146" s="257">
        <v>-9999</v>
      </c>
      <c r="AK1146" s="257" t="s">
        <v>877</v>
      </c>
      <c r="AL1146" s="257" t="s">
        <v>828</v>
      </c>
      <c r="AM1146" s="257">
        <v>-9999</v>
      </c>
      <c r="AN1146" s="257" t="s">
        <v>626</v>
      </c>
      <c r="AO1146" s="257" t="s">
        <v>826</v>
      </c>
      <c r="AP1146" s="257" t="s">
        <v>879</v>
      </c>
      <c r="AQ1146" s="257" t="s">
        <v>626</v>
      </c>
      <c r="AR1146" s="257">
        <f>114*6</f>
        <v>684</v>
      </c>
      <c r="AS1146" s="257" t="s">
        <v>761</v>
      </c>
      <c r="AT1146" s="257" t="s">
        <v>546</v>
      </c>
      <c r="AU1146" s="257">
        <f>16.6*6</f>
        <v>99.600000000000009</v>
      </c>
      <c r="AV1146" s="257" t="s">
        <v>549</v>
      </c>
      <c r="AW1146" s="257" t="s">
        <v>546</v>
      </c>
      <c r="AX1146" s="257">
        <f>63*6</f>
        <v>378</v>
      </c>
      <c r="AY1146" s="257" t="s">
        <v>551</v>
      </c>
      <c r="AZ1146" s="257" t="s">
        <v>546</v>
      </c>
      <c r="BA1146" s="257" t="s">
        <v>760</v>
      </c>
      <c r="BB1146" s="257" t="s">
        <v>626</v>
      </c>
      <c r="BC1146" s="257" t="s">
        <v>881</v>
      </c>
      <c r="BD1146" s="257" t="s">
        <v>121</v>
      </c>
      <c r="BE1146" s="257" t="s">
        <v>122</v>
      </c>
      <c r="BF1146" s="257" t="s">
        <v>880</v>
      </c>
      <c r="BG1146" s="257">
        <v>-9999</v>
      </c>
      <c r="BH1146" s="257">
        <v>-9999</v>
      </c>
      <c r="BI1146" s="257" t="s">
        <v>123</v>
      </c>
      <c r="BJ1146" s="257">
        <v>12.4</v>
      </c>
      <c r="BK1146" s="257">
        <v>0.54</v>
      </c>
      <c r="BL1146" s="257">
        <v>12.45</v>
      </c>
      <c r="BM1146" s="257">
        <v>0.21</v>
      </c>
      <c r="BN1146" s="257">
        <v>9.3000000000000007</v>
      </c>
      <c r="BO1146" s="257">
        <v>0.2</v>
      </c>
      <c r="BP1146" s="257">
        <v>-9999</v>
      </c>
      <c r="BQ1146" s="257">
        <v>-9999</v>
      </c>
      <c r="BR1146" s="257">
        <v>-9999</v>
      </c>
      <c r="BS1146" s="594">
        <f>+BT1146*14.286</f>
        <v>1168.4519400000001</v>
      </c>
      <c r="BT1146" s="257">
        <v>81.790000000000006</v>
      </c>
      <c r="BU1146" s="257">
        <v>-9999</v>
      </c>
      <c r="BV1146" s="257">
        <v>4.3600000000000003</v>
      </c>
      <c r="BW1146" s="257"/>
      <c r="BX1146" s="257">
        <v>-9999</v>
      </c>
      <c r="BY1146" s="257">
        <v>-9999</v>
      </c>
      <c r="BZ1146" s="257">
        <v>-9999</v>
      </c>
      <c r="CA1146" s="300" t="s">
        <v>867</v>
      </c>
      <c r="CB1146" s="264"/>
      <c r="CC1146" s="257">
        <v>1</v>
      </c>
      <c r="CD1146" s="257" t="s">
        <v>126</v>
      </c>
      <c r="CE1146" s="292">
        <v>7.458333333333333</v>
      </c>
      <c r="CF1146" s="292">
        <v>-9999</v>
      </c>
      <c r="CG1146" s="44">
        <v>6</v>
      </c>
      <c r="CL1146" s="301" t="s">
        <v>1616</v>
      </c>
      <c r="CS1146" s="301" t="s">
        <v>1616</v>
      </c>
    </row>
    <row r="1147" spans="1:1873" s="23" customFormat="1" x14ac:dyDescent="0.2">
      <c r="A1147" s="152"/>
      <c r="B1147" s="29"/>
      <c r="C1147" s="29"/>
      <c r="D1147" s="29"/>
      <c r="E1147" s="29"/>
      <c r="F1147" s="29"/>
      <c r="G1147" s="29"/>
      <c r="H1147" s="30"/>
      <c r="I1147" s="29"/>
      <c r="J1147" s="29"/>
      <c r="K1147" s="29"/>
      <c r="L1147" s="29"/>
      <c r="M1147" s="31"/>
      <c r="N1147" s="29"/>
      <c r="O1147" s="29"/>
      <c r="P1147" s="31"/>
      <c r="Q1147" s="29"/>
      <c r="R1147" s="31"/>
      <c r="S1147" s="29"/>
      <c r="T1147" s="70"/>
      <c r="U1147" s="29"/>
      <c r="V1147" s="29"/>
      <c r="W1147" s="31"/>
      <c r="X1147" s="29"/>
      <c r="Y1147" s="29"/>
      <c r="Z1147" s="29"/>
      <c r="AA1147" s="29"/>
      <c r="AB1147" s="31"/>
      <c r="AC1147" s="29"/>
      <c r="AD1147" s="29"/>
      <c r="AE1147" s="29"/>
      <c r="AF1147" s="29"/>
      <c r="AG1147" s="29"/>
      <c r="AH1147" s="29"/>
      <c r="AI1147" s="29"/>
      <c r="AJ1147" s="29"/>
      <c r="AK1147" s="29"/>
      <c r="AL1147" s="29"/>
      <c r="AM1147" s="29"/>
      <c r="AN1147" s="29"/>
      <c r="AO1147" s="29"/>
      <c r="AP1147" s="29"/>
      <c r="AQ1147" s="29"/>
      <c r="AR1147" s="29"/>
      <c r="AS1147" s="29"/>
      <c r="AT1147" s="29"/>
      <c r="AU1147" s="29"/>
      <c r="AV1147" s="29"/>
      <c r="AW1147" s="29"/>
      <c r="AX1147" s="29"/>
      <c r="AY1147" s="29"/>
      <c r="AZ1147" s="29"/>
      <c r="BA1147" s="29"/>
      <c r="BB1147" s="29"/>
      <c r="BC1147" s="29"/>
      <c r="BD1147" s="29"/>
      <c r="BE1147" s="29"/>
      <c r="BF1147" s="29"/>
      <c r="BG1147" s="29"/>
      <c r="BH1147" s="29"/>
      <c r="BI1147" s="29"/>
      <c r="BJ1147" s="29"/>
      <c r="BK1147" s="29"/>
      <c r="BL1147" s="29"/>
      <c r="BM1147" s="29"/>
      <c r="BN1147" s="29"/>
      <c r="BO1147" s="29"/>
      <c r="BP1147" s="29"/>
      <c r="BQ1147" s="29"/>
      <c r="BR1147" s="29"/>
      <c r="BS1147" s="30"/>
      <c r="BT1147" s="29"/>
      <c r="BU1147" s="29"/>
      <c r="BV1147" s="29"/>
      <c r="BW1147" s="29"/>
      <c r="BX1147" s="29"/>
      <c r="BY1147" s="29"/>
      <c r="BZ1147" s="29"/>
      <c r="CA1147" s="98"/>
      <c r="CC1147" s="29"/>
      <c r="CD1147" s="29"/>
      <c r="CE1147" s="342" t="s">
        <v>1576</v>
      </c>
      <c r="CF1147" s="342" t="s">
        <v>1575</v>
      </c>
      <c r="CG1147" s="30"/>
    </row>
    <row r="1148" spans="1:1873" s="23" customFormat="1" x14ac:dyDescent="0.2">
      <c r="A1148" s="257" t="s">
        <v>545</v>
      </c>
      <c r="B1148" s="257" t="s">
        <v>1196</v>
      </c>
      <c r="C1148" s="257" t="s">
        <v>923</v>
      </c>
      <c r="D1148" s="257" t="s">
        <v>1254</v>
      </c>
      <c r="E1148" s="257" t="s">
        <v>882</v>
      </c>
      <c r="F1148" s="257">
        <v>1</v>
      </c>
      <c r="G1148" s="257">
        <v>1</v>
      </c>
      <c r="H1148" s="263">
        <v>1</v>
      </c>
      <c r="I1148" s="596" t="s">
        <v>842</v>
      </c>
      <c r="J1148" s="257">
        <v>1997</v>
      </c>
      <c r="K1148" s="257" t="s">
        <v>1211</v>
      </c>
      <c r="L1148" s="257">
        <v>1997</v>
      </c>
      <c r="M1148" s="261">
        <v>-9999</v>
      </c>
      <c r="N1148" s="257">
        <v>-9999</v>
      </c>
      <c r="O1148" s="29"/>
      <c r="P1148" s="261">
        <v>-9999</v>
      </c>
      <c r="Q1148" s="257">
        <v>-9999</v>
      </c>
      <c r="R1148" s="261"/>
      <c r="S1148" s="257"/>
      <c r="T1148" s="261">
        <v>-9999</v>
      </c>
      <c r="U1148" s="257">
        <v>-9999</v>
      </c>
      <c r="V1148" s="257"/>
      <c r="W1148" s="261">
        <v>-9999</v>
      </c>
      <c r="X1148" s="257">
        <v>-9999</v>
      </c>
      <c r="Y1148" s="257"/>
      <c r="Z1148" s="597" t="s">
        <v>884</v>
      </c>
      <c r="AA1148" s="257">
        <v>1389</v>
      </c>
      <c r="AB1148" s="261">
        <v>0.84</v>
      </c>
      <c r="AC1148" s="257" t="s">
        <v>926</v>
      </c>
      <c r="AD1148" s="257">
        <v>144</v>
      </c>
      <c r="AE1148" s="257" t="s">
        <v>922</v>
      </c>
      <c r="AF1148" s="257">
        <v>36</v>
      </c>
      <c r="AG1148" s="257" t="s">
        <v>949</v>
      </c>
      <c r="AH1148" s="257" t="s">
        <v>885</v>
      </c>
      <c r="AI1148" s="257" t="s">
        <v>886</v>
      </c>
      <c r="AJ1148" s="257">
        <v>-9999</v>
      </c>
      <c r="AK1148" s="257" t="s">
        <v>947</v>
      </c>
      <c r="AL1148" s="257" t="s">
        <v>828</v>
      </c>
      <c r="AM1148" s="257" t="s">
        <v>948</v>
      </c>
      <c r="AN1148" s="257" t="s">
        <v>631</v>
      </c>
      <c r="AO1148" s="257">
        <v>-9999</v>
      </c>
      <c r="AP1148" s="257">
        <v>-9999</v>
      </c>
      <c r="AQ1148" s="597" t="s">
        <v>626</v>
      </c>
      <c r="AR1148" s="257">
        <v>40</v>
      </c>
      <c r="AS1148" s="257" t="s">
        <v>934</v>
      </c>
      <c r="AT1148" s="257" t="s">
        <v>275</v>
      </c>
      <c r="AU1148" s="257">
        <v>103</v>
      </c>
      <c r="AV1148" s="257" t="s">
        <v>936</v>
      </c>
      <c r="AW1148" s="257" t="s">
        <v>94</v>
      </c>
      <c r="AX1148" s="257">
        <v>0</v>
      </c>
      <c r="AY1148" s="257">
        <v>-9999</v>
      </c>
      <c r="AZ1148" s="257">
        <v>-9999</v>
      </c>
      <c r="BA1148" s="257">
        <v>-9999</v>
      </c>
      <c r="BB1148" s="257" t="s">
        <v>626</v>
      </c>
      <c r="BC1148" s="257" t="s">
        <v>919</v>
      </c>
      <c r="BD1148" s="257" t="s">
        <v>920</v>
      </c>
      <c r="BE1148" s="257" t="s">
        <v>95</v>
      </c>
      <c r="BF1148" s="257" t="s">
        <v>918</v>
      </c>
      <c r="BG1148" s="257" t="s">
        <v>921</v>
      </c>
      <c r="BH1148" s="257">
        <v>-9999</v>
      </c>
      <c r="BI1148" s="257" t="s">
        <v>944</v>
      </c>
      <c r="BJ1148" s="257">
        <v>-9999</v>
      </c>
      <c r="BK1148" s="257">
        <v>-9999</v>
      </c>
      <c r="BL1148" s="257">
        <v>1.8</v>
      </c>
      <c r="BM1148" s="257">
        <v>0</v>
      </c>
      <c r="BN1148" s="264" t="s">
        <v>59</v>
      </c>
      <c r="BO1148" s="264" t="s">
        <v>59</v>
      </c>
      <c r="BP1148" s="257">
        <v>-9999</v>
      </c>
      <c r="BQ1148" s="257">
        <v>-9999</v>
      </c>
      <c r="BR1148" s="257">
        <v>-9999</v>
      </c>
      <c r="BS1148" s="263">
        <v>-9999</v>
      </c>
      <c r="BT1148" s="257">
        <v>-9999</v>
      </c>
      <c r="BU1148" s="257">
        <v>-9999</v>
      </c>
      <c r="BV1148" s="257">
        <v>-9999</v>
      </c>
      <c r="BW1148" s="257"/>
      <c r="BX1148" s="257">
        <v>-9999</v>
      </c>
      <c r="BY1148" s="257">
        <v>-9999</v>
      </c>
      <c r="BZ1148" s="257">
        <v>-9999</v>
      </c>
      <c r="CA1148" s="300" t="s">
        <v>524</v>
      </c>
      <c r="CB1148" s="264"/>
      <c r="CC1148" s="257">
        <v>1</v>
      </c>
      <c r="CD1148" s="257">
        <v>1</v>
      </c>
      <c r="CE1148" s="292"/>
      <c r="CF1148" s="292"/>
      <c r="CG1148" s="44">
        <v>1</v>
      </c>
    </row>
    <row r="1149" spans="1:1873" s="23" customFormat="1" x14ac:dyDescent="0.2">
      <c r="A1149" s="257" t="s">
        <v>545</v>
      </c>
      <c r="B1149" s="257" t="s">
        <v>1196</v>
      </c>
      <c r="C1149" s="257" t="s">
        <v>923</v>
      </c>
      <c r="D1149" s="257" t="s">
        <v>1254</v>
      </c>
      <c r="E1149" s="257" t="s">
        <v>882</v>
      </c>
      <c r="F1149" s="257">
        <v>1</v>
      </c>
      <c r="G1149" s="257">
        <v>2</v>
      </c>
      <c r="H1149" s="263">
        <v>2</v>
      </c>
      <c r="I1149" s="596" t="s">
        <v>842</v>
      </c>
      <c r="J1149" s="257">
        <v>1997</v>
      </c>
      <c r="K1149" s="257" t="s">
        <v>1211</v>
      </c>
      <c r="L1149" s="257">
        <v>1998</v>
      </c>
      <c r="M1149" s="261">
        <v>-9999</v>
      </c>
      <c r="N1149" s="257">
        <v>-9999</v>
      </c>
      <c r="O1149" s="29"/>
      <c r="P1149" s="261">
        <v>4.4800000000000004</v>
      </c>
      <c r="Q1149" s="257">
        <v>-9999</v>
      </c>
      <c r="R1149" s="261"/>
      <c r="S1149" s="257"/>
      <c r="T1149" s="370">
        <f t="shared" ref="T1149:T1154" si="120">+P1149/G1149</f>
        <v>2.2400000000000002</v>
      </c>
      <c r="U1149" s="257">
        <v>-9999</v>
      </c>
      <c r="V1149" s="257"/>
      <c r="W1149" s="261">
        <v>-9999</v>
      </c>
      <c r="X1149" s="257">
        <v>-9999</v>
      </c>
      <c r="Y1149" s="257"/>
      <c r="Z1149" s="597" t="s">
        <v>884</v>
      </c>
      <c r="AA1149" s="257">
        <v>1389</v>
      </c>
      <c r="AB1149" s="261">
        <v>0.79</v>
      </c>
      <c r="AC1149" s="257" t="s">
        <v>926</v>
      </c>
      <c r="AD1149" s="257">
        <v>144</v>
      </c>
      <c r="AE1149" s="257" t="s">
        <v>922</v>
      </c>
      <c r="AF1149" s="257">
        <v>36</v>
      </c>
      <c r="AG1149" s="257" t="s">
        <v>949</v>
      </c>
      <c r="AH1149" s="257" t="s">
        <v>885</v>
      </c>
      <c r="AI1149" s="257" t="s">
        <v>886</v>
      </c>
      <c r="AJ1149" s="257">
        <v>-9999</v>
      </c>
      <c r="AK1149" s="257" t="s">
        <v>947</v>
      </c>
      <c r="AL1149" s="257" t="s">
        <v>828</v>
      </c>
      <c r="AM1149" s="257" t="s">
        <v>948</v>
      </c>
      <c r="AN1149" s="257" t="s">
        <v>631</v>
      </c>
      <c r="AO1149" s="257">
        <v>-9999</v>
      </c>
      <c r="AP1149" s="257">
        <v>-9999</v>
      </c>
      <c r="AQ1149" s="597" t="s">
        <v>626</v>
      </c>
      <c r="AR1149" s="257">
        <f>40+103</f>
        <v>143</v>
      </c>
      <c r="AS1149" s="257" t="s">
        <v>935</v>
      </c>
      <c r="AT1149" s="257" t="s">
        <v>275</v>
      </c>
      <c r="AU1149" s="257">
        <v>103</v>
      </c>
      <c r="AV1149" s="257" t="s">
        <v>936</v>
      </c>
      <c r="AW1149" s="257" t="s">
        <v>94</v>
      </c>
      <c r="AX1149" s="257">
        <v>0</v>
      </c>
      <c r="AY1149" s="257">
        <v>-9999</v>
      </c>
      <c r="AZ1149" s="257">
        <v>-9999</v>
      </c>
      <c r="BA1149" s="257">
        <v>-9999</v>
      </c>
      <c r="BB1149" s="257" t="s">
        <v>626</v>
      </c>
      <c r="BC1149" s="257" t="s">
        <v>919</v>
      </c>
      <c r="BD1149" s="257" t="s">
        <v>920</v>
      </c>
      <c r="BE1149" s="257" t="s">
        <v>95</v>
      </c>
      <c r="BF1149" s="257" t="s">
        <v>918</v>
      </c>
      <c r="BG1149" s="257" t="s">
        <v>921</v>
      </c>
      <c r="BH1149" s="257">
        <v>-9999</v>
      </c>
      <c r="BI1149" s="257" t="s">
        <v>944</v>
      </c>
      <c r="BJ1149" s="257">
        <v>-9999</v>
      </c>
      <c r="BK1149" s="257">
        <v>-9999</v>
      </c>
      <c r="BL1149" s="257">
        <v>3.8</v>
      </c>
      <c r="BM1149" s="257">
        <v>0.1</v>
      </c>
      <c r="BN1149" s="257">
        <v>3.4</v>
      </c>
      <c r="BO1149" s="257">
        <v>0.1</v>
      </c>
      <c r="BP1149" s="257">
        <v>-9999</v>
      </c>
      <c r="BQ1149" s="257">
        <v>-9999</v>
      </c>
      <c r="BR1149" s="257">
        <v>-9999</v>
      </c>
      <c r="BS1149" s="263">
        <v>-9999</v>
      </c>
      <c r="BT1149" s="257">
        <v>-9999</v>
      </c>
      <c r="BU1149" s="257">
        <v>-9999</v>
      </c>
      <c r="BV1149" s="257">
        <v>-9999</v>
      </c>
      <c r="BW1149" s="257"/>
      <c r="BX1149" s="257">
        <v>-9999</v>
      </c>
      <c r="BY1149" s="257">
        <v>-9999</v>
      </c>
      <c r="BZ1149" s="257">
        <v>-9999</v>
      </c>
      <c r="CA1149" s="300" t="s">
        <v>524</v>
      </c>
      <c r="CB1149" s="264"/>
      <c r="CC1149" s="257">
        <v>1</v>
      </c>
      <c r="CD1149" s="257">
        <v>2</v>
      </c>
      <c r="CE1149" s="292">
        <v>2.2400000000000002</v>
      </c>
      <c r="CF1149" s="292"/>
      <c r="CG1149" s="44">
        <v>2</v>
      </c>
    </row>
    <row r="1150" spans="1:1873" s="23" customFormat="1" x14ac:dyDescent="0.2">
      <c r="A1150" s="257" t="s">
        <v>545</v>
      </c>
      <c r="B1150" s="257" t="s">
        <v>1196</v>
      </c>
      <c r="C1150" s="257" t="s">
        <v>923</v>
      </c>
      <c r="D1150" s="257" t="s">
        <v>1254</v>
      </c>
      <c r="E1150" s="257" t="s">
        <v>882</v>
      </c>
      <c r="F1150" s="257">
        <v>1</v>
      </c>
      <c r="G1150" s="257">
        <v>3</v>
      </c>
      <c r="H1150" s="263">
        <v>3</v>
      </c>
      <c r="I1150" s="596" t="s">
        <v>842</v>
      </c>
      <c r="J1150" s="257">
        <v>1997</v>
      </c>
      <c r="K1150" s="257" t="s">
        <v>1211</v>
      </c>
      <c r="L1150" s="257">
        <v>1999</v>
      </c>
      <c r="M1150" s="261">
        <v>-9999</v>
      </c>
      <c r="N1150" s="257">
        <v>-9999</v>
      </c>
      <c r="O1150" s="29"/>
      <c r="P1150" s="261">
        <v>12.07</v>
      </c>
      <c r="Q1150" s="257">
        <v>-9999</v>
      </c>
      <c r="R1150" s="261"/>
      <c r="S1150" s="257"/>
      <c r="T1150" s="370">
        <f t="shared" si="120"/>
        <v>4.0233333333333334</v>
      </c>
      <c r="U1150" s="257">
        <v>-9999</v>
      </c>
      <c r="V1150" s="257"/>
      <c r="W1150" s="287">
        <f>+P1150-P1149</f>
        <v>7.59</v>
      </c>
      <c r="X1150" s="257">
        <v>-9999</v>
      </c>
      <c r="Y1150" s="257"/>
      <c r="Z1150" s="597" t="s">
        <v>884</v>
      </c>
      <c r="AA1150" s="257">
        <v>1389</v>
      </c>
      <c r="AB1150" s="261">
        <v>0.79</v>
      </c>
      <c r="AC1150" s="257" t="s">
        <v>926</v>
      </c>
      <c r="AD1150" s="257">
        <v>144</v>
      </c>
      <c r="AE1150" s="257" t="s">
        <v>922</v>
      </c>
      <c r="AF1150" s="257">
        <v>36</v>
      </c>
      <c r="AG1150" s="257" t="s">
        <v>949</v>
      </c>
      <c r="AH1150" s="257" t="s">
        <v>885</v>
      </c>
      <c r="AI1150" s="257" t="s">
        <v>886</v>
      </c>
      <c r="AJ1150" s="257">
        <v>-9999</v>
      </c>
      <c r="AK1150" s="257" t="s">
        <v>947</v>
      </c>
      <c r="AL1150" s="257" t="s">
        <v>828</v>
      </c>
      <c r="AM1150" s="257" t="s">
        <v>948</v>
      </c>
      <c r="AN1150" s="257" t="s">
        <v>631</v>
      </c>
      <c r="AO1150" s="257">
        <v>-9999</v>
      </c>
      <c r="AP1150" s="257">
        <v>-9999</v>
      </c>
      <c r="AQ1150" s="597" t="s">
        <v>626</v>
      </c>
      <c r="AR1150" s="257">
        <f>40+103+103</f>
        <v>246</v>
      </c>
      <c r="AS1150" s="257" t="s">
        <v>935</v>
      </c>
      <c r="AT1150" s="257" t="s">
        <v>275</v>
      </c>
      <c r="AU1150" s="257">
        <v>103</v>
      </c>
      <c r="AV1150" s="257" t="s">
        <v>936</v>
      </c>
      <c r="AW1150" s="257" t="s">
        <v>94</v>
      </c>
      <c r="AX1150" s="257">
        <v>0</v>
      </c>
      <c r="AY1150" s="257">
        <v>-9999</v>
      </c>
      <c r="AZ1150" s="257">
        <v>-9999</v>
      </c>
      <c r="BA1150" s="257">
        <v>-9999</v>
      </c>
      <c r="BB1150" s="257" t="s">
        <v>626</v>
      </c>
      <c r="BC1150" s="257" t="s">
        <v>919</v>
      </c>
      <c r="BD1150" s="257" t="s">
        <v>920</v>
      </c>
      <c r="BE1150" s="257" t="s">
        <v>95</v>
      </c>
      <c r="BF1150" s="257" t="s">
        <v>918</v>
      </c>
      <c r="BG1150" s="257" t="s">
        <v>921</v>
      </c>
      <c r="BH1150" s="257">
        <v>-9999</v>
      </c>
      <c r="BI1150" s="257" t="s">
        <v>944</v>
      </c>
      <c r="BJ1150" s="257">
        <v>-9999</v>
      </c>
      <c r="BK1150" s="257">
        <v>-9999</v>
      </c>
      <c r="BL1150" s="257">
        <v>5.4</v>
      </c>
      <c r="BM1150" s="257">
        <v>0</v>
      </c>
      <c r="BN1150" s="257">
        <v>5.9</v>
      </c>
      <c r="BO1150" s="257">
        <v>0.1</v>
      </c>
      <c r="BP1150" s="257">
        <v>-9999</v>
      </c>
      <c r="BQ1150" s="257">
        <v>-9999</v>
      </c>
      <c r="BR1150" s="257">
        <v>-9999</v>
      </c>
      <c r="BS1150" s="263">
        <v>-9999</v>
      </c>
      <c r="BT1150" s="257">
        <v>-9999</v>
      </c>
      <c r="BU1150" s="257">
        <v>-9999</v>
      </c>
      <c r="BV1150" s="257">
        <v>-9999</v>
      </c>
      <c r="BW1150" s="257"/>
      <c r="BX1150" s="257">
        <v>-9999</v>
      </c>
      <c r="BY1150" s="257">
        <v>-9999</v>
      </c>
      <c r="BZ1150" s="257">
        <v>-9999</v>
      </c>
      <c r="CA1150" s="300" t="s">
        <v>524</v>
      </c>
      <c r="CB1150" s="264"/>
      <c r="CC1150" s="257">
        <v>1</v>
      </c>
      <c r="CD1150" s="257">
        <v>3</v>
      </c>
      <c r="CE1150" s="292">
        <v>4.0233333333333334</v>
      </c>
      <c r="CF1150" s="292">
        <v>7.59</v>
      </c>
      <c r="CG1150" s="44">
        <v>3</v>
      </c>
    </row>
    <row r="1151" spans="1:1873" s="23" customFormat="1" x14ac:dyDescent="0.2">
      <c r="A1151" s="257" t="s">
        <v>545</v>
      </c>
      <c r="B1151" s="257" t="s">
        <v>1196</v>
      </c>
      <c r="C1151" s="257" t="s">
        <v>923</v>
      </c>
      <c r="D1151" s="257" t="s">
        <v>1254</v>
      </c>
      <c r="E1151" s="257" t="s">
        <v>882</v>
      </c>
      <c r="F1151" s="257">
        <v>1</v>
      </c>
      <c r="G1151" s="257">
        <v>4</v>
      </c>
      <c r="H1151" s="263">
        <v>4</v>
      </c>
      <c r="I1151" s="596" t="s">
        <v>842</v>
      </c>
      <c r="J1151" s="257">
        <v>1997</v>
      </c>
      <c r="K1151" s="257" t="s">
        <v>1211</v>
      </c>
      <c r="L1151" s="257">
        <v>2000</v>
      </c>
      <c r="M1151" s="261">
        <v>-9999</v>
      </c>
      <c r="N1151" s="257">
        <v>-9999</v>
      </c>
      <c r="O1151" s="29"/>
      <c r="P1151" s="261">
        <v>18.48</v>
      </c>
      <c r="Q1151" s="257">
        <v>-9999</v>
      </c>
      <c r="R1151" s="261"/>
      <c r="S1151" s="257"/>
      <c r="T1151" s="370">
        <f t="shared" si="120"/>
        <v>4.62</v>
      </c>
      <c r="U1151" s="257">
        <v>-9999</v>
      </c>
      <c r="V1151" s="257"/>
      <c r="W1151" s="287">
        <f>+P1151-P1150</f>
        <v>6.41</v>
      </c>
      <c r="X1151" s="257">
        <v>-9999</v>
      </c>
      <c r="Y1151" s="257"/>
      <c r="Z1151" s="597" t="s">
        <v>884</v>
      </c>
      <c r="AA1151" s="257">
        <v>1389</v>
      </c>
      <c r="AB1151" s="261">
        <v>0.79</v>
      </c>
      <c r="AC1151" s="257" t="s">
        <v>926</v>
      </c>
      <c r="AD1151" s="257">
        <v>144</v>
      </c>
      <c r="AE1151" s="257" t="s">
        <v>922</v>
      </c>
      <c r="AF1151" s="257">
        <v>36</v>
      </c>
      <c r="AG1151" s="257" t="s">
        <v>949</v>
      </c>
      <c r="AH1151" s="257" t="s">
        <v>885</v>
      </c>
      <c r="AI1151" s="257" t="s">
        <v>886</v>
      </c>
      <c r="AJ1151" s="257">
        <v>-9999</v>
      </c>
      <c r="AK1151" s="257" t="s">
        <v>947</v>
      </c>
      <c r="AL1151" s="257" t="s">
        <v>828</v>
      </c>
      <c r="AM1151" s="257" t="s">
        <v>948</v>
      </c>
      <c r="AN1151" s="257" t="s">
        <v>631</v>
      </c>
      <c r="AO1151" s="257">
        <v>-9999</v>
      </c>
      <c r="AP1151" s="257">
        <v>-9999</v>
      </c>
      <c r="AQ1151" s="597" t="s">
        <v>626</v>
      </c>
      <c r="AR1151" s="257">
        <f>+AR1150</f>
        <v>246</v>
      </c>
      <c r="AS1151" s="257" t="s">
        <v>869</v>
      </c>
      <c r="AT1151" s="257"/>
      <c r="AU1151" s="257">
        <v>103</v>
      </c>
      <c r="AV1151" s="257" t="s">
        <v>936</v>
      </c>
      <c r="AW1151" s="257" t="s">
        <v>94</v>
      </c>
      <c r="AX1151" s="257">
        <v>0</v>
      </c>
      <c r="AY1151" s="257">
        <v>-9999</v>
      </c>
      <c r="AZ1151" s="257">
        <v>-9999</v>
      </c>
      <c r="BA1151" s="257">
        <v>-9999</v>
      </c>
      <c r="BB1151" s="257" t="s">
        <v>626</v>
      </c>
      <c r="BC1151" s="257" t="s">
        <v>919</v>
      </c>
      <c r="BD1151" s="257" t="s">
        <v>920</v>
      </c>
      <c r="BE1151" s="257" t="s">
        <v>95</v>
      </c>
      <c r="BF1151" s="257" t="s">
        <v>918</v>
      </c>
      <c r="BG1151" s="257" t="s">
        <v>921</v>
      </c>
      <c r="BH1151" s="257">
        <v>-9999</v>
      </c>
      <c r="BI1151" s="257" t="s">
        <v>944</v>
      </c>
      <c r="BJ1151" s="257">
        <v>-9999</v>
      </c>
      <c r="BK1151" s="257">
        <v>-9999</v>
      </c>
      <c r="BL1151" s="257">
        <v>6.7</v>
      </c>
      <c r="BM1151" s="257">
        <v>0.1</v>
      </c>
      <c r="BN1151" s="257">
        <v>7.4</v>
      </c>
      <c r="BO1151" s="257">
        <v>0.1</v>
      </c>
      <c r="BP1151" s="257">
        <v>-9999</v>
      </c>
      <c r="BQ1151" s="257">
        <v>-9999</v>
      </c>
      <c r="BR1151" s="257">
        <v>-9999</v>
      </c>
      <c r="BS1151" s="263">
        <v>-9999</v>
      </c>
      <c r="BT1151" s="257">
        <v>-9999</v>
      </c>
      <c r="BU1151" s="257">
        <v>-9999</v>
      </c>
      <c r="BV1151" s="257">
        <v>-9999</v>
      </c>
      <c r="BW1151" s="257"/>
      <c r="BX1151" s="257">
        <v>-9999</v>
      </c>
      <c r="BY1151" s="257">
        <v>-9999</v>
      </c>
      <c r="BZ1151" s="257">
        <v>-9999</v>
      </c>
      <c r="CA1151" s="300" t="s">
        <v>524</v>
      </c>
      <c r="CB1151" s="264"/>
      <c r="CC1151" s="257">
        <v>1</v>
      </c>
      <c r="CD1151" s="257">
        <v>4</v>
      </c>
      <c r="CE1151" s="292">
        <v>4.62</v>
      </c>
      <c r="CF1151" s="292">
        <v>6.41</v>
      </c>
      <c r="CG1151" s="44">
        <v>4</v>
      </c>
    </row>
    <row r="1152" spans="1:1873" s="23" customFormat="1" x14ac:dyDescent="0.2">
      <c r="A1152" s="257" t="s">
        <v>545</v>
      </c>
      <c r="B1152" s="257" t="s">
        <v>1196</v>
      </c>
      <c r="C1152" s="257" t="s">
        <v>923</v>
      </c>
      <c r="D1152" s="257" t="s">
        <v>1254</v>
      </c>
      <c r="E1152" s="257" t="s">
        <v>882</v>
      </c>
      <c r="F1152" s="257">
        <v>1</v>
      </c>
      <c r="G1152" s="257">
        <v>5</v>
      </c>
      <c r="H1152" s="263">
        <v>5</v>
      </c>
      <c r="I1152" s="596" t="s">
        <v>842</v>
      </c>
      <c r="J1152" s="257">
        <v>1997</v>
      </c>
      <c r="K1152" s="257" t="s">
        <v>1211</v>
      </c>
      <c r="L1152" s="257">
        <v>2001</v>
      </c>
      <c r="M1152" s="261">
        <v>-9999</v>
      </c>
      <c r="N1152" s="257">
        <v>-9999</v>
      </c>
      <c r="O1152" s="29"/>
      <c r="P1152" s="261">
        <v>25.61</v>
      </c>
      <c r="Q1152" s="257">
        <v>-9999</v>
      </c>
      <c r="R1152" s="261"/>
      <c r="S1152" s="257"/>
      <c r="T1152" s="370">
        <f t="shared" si="120"/>
        <v>5.1219999999999999</v>
      </c>
      <c r="U1152" s="257">
        <v>-9999</v>
      </c>
      <c r="V1152" s="257"/>
      <c r="W1152" s="287">
        <f>+P1152-P1151</f>
        <v>7.129999999999999</v>
      </c>
      <c r="X1152" s="257">
        <v>-9999</v>
      </c>
      <c r="Y1152" s="257"/>
      <c r="Z1152" s="597" t="s">
        <v>884</v>
      </c>
      <c r="AA1152" s="257">
        <v>1389</v>
      </c>
      <c r="AB1152" s="261">
        <v>0.79</v>
      </c>
      <c r="AC1152" s="257" t="s">
        <v>926</v>
      </c>
      <c r="AD1152" s="257">
        <v>144</v>
      </c>
      <c r="AE1152" s="257" t="s">
        <v>922</v>
      </c>
      <c r="AF1152" s="257">
        <v>36</v>
      </c>
      <c r="AG1152" s="257" t="s">
        <v>949</v>
      </c>
      <c r="AH1152" s="257" t="s">
        <v>885</v>
      </c>
      <c r="AI1152" s="257" t="s">
        <v>886</v>
      </c>
      <c r="AJ1152" s="257">
        <v>-9999</v>
      </c>
      <c r="AK1152" s="257" t="s">
        <v>947</v>
      </c>
      <c r="AL1152" s="257" t="s">
        <v>828</v>
      </c>
      <c r="AM1152" s="257" t="s">
        <v>948</v>
      </c>
      <c r="AN1152" s="257" t="s">
        <v>631</v>
      </c>
      <c r="AO1152" s="257">
        <v>-9999</v>
      </c>
      <c r="AP1152" s="257">
        <v>-9999</v>
      </c>
      <c r="AQ1152" s="597" t="s">
        <v>626</v>
      </c>
      <c r="AR1152" s="257">
        <f>246+103</f>
        <v>349</v>
      </c>
      <c r="AS1152" s="257" t="s">
        <v>935</v>
      </c>
      <c r="AT1152" s="257" t="s">
        <v>275</v>
      </c>
      <c r="AU1152" s="257">
        <v>103</v>
      </c>
      <c r="AV1152" s="257" t="s">
        <v>936</v>
      </c>
      <c r="AW1152" s="257" t="s">
        <v>94</v>
      </c>
      <c r="AX1152" s="257">
        <v>0</v>
      </c>
      <c r="AY1152" s="257">
        <v>-9999</v>
      </c>
      <c r="AZ1152" s="257">
        <v>-9999</v>
      </c>
      <c r="BA1152" s="257">
        <v>-9999</v>
      </c>
      <c r="BB1152" s="257" t="s">
        <v>626</v>
      </c>
      <c r="BC1152" s="257" t="s">
        <v>919</v>
      </c>
      <c r="BD1152" s="257" t="s">
        <v>920</v>
      </c>
      <c r="BE1152" s="257" t="s">
        <v>95</v>
      </c>
      <c r="BF1152" s="257" t="s">
        <v>918</v>
      </c>
      <c r="BG1152" s="257" t="s">
        <v>921</v>
      </c>
      <c r="BH1152" s="257">
        <v>-9999</v>
      </c>
      <c r="BI1152" s="257" t="s">
        <v>944</v>
      </c>
      <c r="BJ1152" s="257">
        <v>-9999</v>
      </c>
      <c r="BK1152" s="257">
        <v>-9999</v>
      </c>
      <c r="BL1152" s="257">
        <v>7.9</v>
      </c>
      <c r="BM1152" s="257">
        <v>0</v>
      </c>
      <c r="BN1152" s="257">
        <v>8.8000000000000007</v>
      </c>
      <c r="BO1152" s="257">
        <v>0.1</v>
      </c>
      <c r="BP1152" s="257">
        <v>-9999</v>
      </c>
      <c r="BQ1152" s="257">
        <v>-9999</v>
      </c>
      <c r="BR1152" s="257">
        <v>-9999</v>
      </c>
      <c r="BS1152" s="263">
        <v>-9999</v>
      </c>
      <c r="BT1152" s="257">
        <v>-9999</v>
      </c>
      <c r="BU1152" s="257">
        <v>-9999</v>
      </c>
      <c r="BV1152" s="257">
        <v>-9999</v>
      </c>
      <c r="BW1152" s="257"/>
      <c r="BX1152" s="257">
        <v>-9999</v>
      </c>
      <c r="BY1152" s="257">
        <v>-9999</v>
      </c>
      <c r="BZ1152" s="257">
        <v>-9999</v>
      </c>
      <c r="CA1152" s="300" t="s">
        <v>524</v>
      </c>
      <c r="CB1152" s="264"/>
      <c r="CC1152" s="257">
        <v>1</v>
      </c>
      <c r="CD1152" s="257">
        <v>5</v>
      </c>
      <c r="CE1152" s="292">
        <v>5.1219999999999999</v>
      </c>
      <c r="CF1152" s="292">
        <v>7.129999999999999</v>
      </c>
      <c r="CG1152" s="44">
        <v>5</v>
      </c>
    </row>
    <row r="1153" spans="1:1873" s="23" customFormat="1" x14ac:dyDescent="0.2">
      <c r="A1153" s="257" t="s">
        <v>545</v>
      </c>
      <c r="B1153" s="257" t="s">
        <v>1196</v>
      </c>
      <c r="C1153" s="257" t="s">
        <v>923</v>
      </c>
      <c r="D1153" s="257" t="s">
        <v>1254</v>
      </c>
      <c r="E1153" s="257" t="s">
        <v>882</v>
      </c>
      <c r="F1153" s="257">
        <v>1</v>
      </c>
      <c r="G1153" s="257">
        <v>6</v>
      </c>
      <c r="H1153" s="263">
        <v>6</v>
      </c>
      <c r="I1153" s="596" t="s">
        <v>842</v>
      </c>
      <c r="J1153" s="257">
        <v>1997</v>
      </c>
      <c r="K1153" s="257" t="s">
        <v>1211</v>
      </c>
      <c r="L1153" s="257">
        <v>2002</v>
      </c>
      <c r="M1153" s="261">
        <v>-9999</v>
      </c>
      <c r="N1153" s="257">
        <v>-9999</v>
      </c>
      <c r="O1153" s="29"/>
      <c r="P1153" s="261">
        <v>32.61</v>
      </c>
      <c r="Q1153" s="257">
        <v>-9999</v>
      </c>
      <c r="R1153" s="261"/>
      <c r="S1153" s="257"/>
      <c r="T1153" s="370">
        <f t="shared" si="120"/>
        <v>5.4349999999999996</v>
      </c>
      <c r="U1153" s="257">
        <v>-9999</v>
      </c>
      <c r="V1153" s="257"/>
      <c r="W1153" s="287">
        <f>+P1153-P1152</f>
        <v>7</v>
      </c>
      <c r="X1153" s="257">
        <v>-9999</v>
      </c>
      <c r="Y1153" s="257"/>
      <c r="Z1153" s="597" t="s">
        <v>884</v>
      </c>
      <c r="AA1153" s="257">
        <v>1389</v>
      </c>
      <c r="AB1153" s="261">
        <v>0.79</v>
      </c>
      <c r="AC1153" s="257" t="s">
        <v>926</v>
      </c>
      <c r="AD1153" s="257">
        <v>144</v>
      </c>
      <c r="AE1153" s="257" t="s">
        <v>922</v>
      </c>
      <c r="AF1153" s="257">
        <v>36</v>
      </c>
      <c r="AG1153" s="257" t="s">
        <v>949</v>
      </c>
      <c r="AH1153" s="257" t="s">
        <v>885</v>
      </c>
      <c r="AI1153" s="257" t="s">
        <v>886</v>
      </c>
      <c r="AJ1153" s="257">
        <v>-9999</v>
      </c>
      <c r="AK1153" s="257" t="s">
        <v>947</v>
      </c>
      <c r="AL1153" s="257" t="s">
        <v>828</v>
      </c>
      <c r="AM1153" s="257" t="s">
        <v>948</v>
      </c>
      <c r="AN1153" s="257" t="s">
        <v>631</v>
      </c>
      <c r="AO1153" s="257">
        <v>-9999</v>
      </c>
      <c r="AP1153" s="257">
        <v>-9999</v>
      </c>
      <c r="AQ1153" s="597" t="s">
        <v>626</v>
      </c>
      <c r="AR1153" s="257">
        <f>+AR1152+0</f>
        <v>349</v>
      </c>
      <c r="AS1153" s="257" t="s">
        <v>869</v>
      </c>
      <c r="AT1153" s="257"/>
      <c r="AU1153" s="257">
        <v>103</v>
      </c>
      <c r="AV1153" s="257" t="s">
        <v>936</v>
      </c>
      <c r="AW1153" s="257" t="s">
        <v>94</v>
      </c>
      <c r="AX1153" s="257">
        <v>0</v>
      </c>
      <c r="AY1153" s="257">
        <v>-9999</v>
      </c>
      <c r="AZ1153" s="257">
        <v>-9999</v>
      </c>
      <c r="BA1153" s="257">
        <v>-9999</v>
      </c>
      <c r="BB1153" s="257" t="s">
        <v>626</v>
      </c>
      <c r="BC1153" s="257" t="s">
        <v>919</v>
      </c>
      <c r="BD1153" s="257" t="s">
        <v>920</v>
      </c>
      <c r="BE1153" s="257" t="s">
        <v>95</v>
      </c>
      <c r="BF1153" s="257" t="s">
        <v>918</v>
      </c>
      <c r="BG1153" s="257" t="s">
        <v>921</v>
      </c>
      <c r="BH1153" s="257">
        <v>-9999</v>
      </c>
      <c r="BI1153" s="257" t="s">
        <v>944</v>
      </c>
      <c r="BJ1153" s="257">
        <v>-9999</v>
      </c>
      <c r="BK1153" s="257">
        <v>-9999</v>
      </c>
      <c r="BL1153" s="257">
        <v>9.3000000000000007</v>
      </c>
      <c r="BM1153" s="257">
        <v>0.2</v>
      </c>
      <c r="BN1153" s="257">
        <v>10</v>
      </c>
      <c r="BO1153" s="257">
        <v>0.2</v>
      </c>
      <c r="BP1153" s="257">
        <v>-9999</v>
      </c>
      <c r="BQ1153" s="257">
        <v>-9999</v>
      </c>
      <c r="BR1153" s="257">
        <v>-9999</v>
      </c>
      <c r="BS1153" s="263">
        <v>-9999</v>
      </c>
      <c r="BT1153" s="257">
        <v>-9999</v>
      </c>
      <c r="BU1153" s="257">
        <v>-9999</v>
      </c>
      <c r="BV1153" s="257">
        <v>-9999</v>
      </c>
      <c r="BW1153" s="257"/>
      <c r="BX1153" s="257">
        <v>-9999</v>
      </c>
      <c r="BY1153" s="257">
        <v>-9999</v>
      </c>
      <c r="BZ1153" s="257">
        <v>-9999</v>
      </c>
      <c r="CA1153" s="300" t="s">
        <v>524</v>
      </c>
      <c r="CB1153" s="264"/>
      <c r="CC1153" s="257">
        <v>1</v>
      </c>
      <c r="CD1153" s="257">
        <v>6</v>
      </c>
      <c r="CE1153" s="292">
        <v>5.4349999999999996</v>
      </c>
      <c r="CF1153" s="292">
        <v>7</v>
      </c>
      <c r="CG1153" s="44">
        <v>6</v>
      </c>
    </row>
    <row r="1154" spans="1:1873" s="216" customFormat="1" x14ac:dyDescent="0.2">
      <c r="A1154" s="327" t="s">
        <v>545</v>
      </c>
      <c r="B1154" s="257" t="s">
        <v>1196</v>
      </c>
      <c r="C1154" s="257" t="s">
        <v>923</v>
      </c>
      <c r="D1154" s="257" t="s">
        <v>1254</v>
      </c>
      <c r="E1154" s="257" t="s">
        <v>882</v>
      </c>
      <c r="F1154" s="598">
        <v>1</v>
      </c>
      <c r="G1154" s="597">
        <v>7</v>
      </c>
      <c r="H1154" s="263">
        <v>7</v>
      </c>
      <c r="I1154" s="596" t="s">
        <v>842</v>
      </c>
      <c r="J1154" s="257">
        <v>1997</v>
      </c>
      <c r="K1154" s="257" t="s">
        <v>1211</v>
      </c>
      <c r="L1154" s="257">
        <v>2003</v>
      </c>
      <c r="M1154" s="261">
        <v>-9999</v>
      </c>
      <c r="N1154" s="257">
        <v>-9999</v>
      </c>
      <c r="O1154" s="29"/>
      <c r="P1154" s="261">
        <v>38.44</v>
      </c>
      <c r="Q1154" s="257">
        <v>-9999</v>
      </c>
      <c r="R1154" s="261"/>
      <c r="S1154" s="257"/>
      <c r="T1154" s="370">
        <f t="shared" si="120"/>
        <v>5.4914285714285711</v>
      </c>
      <c r="U1154" s="257">
        <v>-9999</v>
      </c>
      <c r="V1154" s="257"/>
      <c r="W1154" s="287">
        <f>+P1154-P1153</f>
        <v>5.8299999999999983</v>
      </c>
      <c r="X1154" s="257">
        <v>-9999</v>
      </c>
      <c r="Y1154" s="257"/>
      <c r="Z1154" s="597" t="s">
        <v>884</v>
      </c>
      <c r="AA1154" s="257">
        <v>1389</v>
      </c>
      <c r="AB1154" s="261">
        <v>0.78</v>
      </c>
      <c r="AC1154" s="257" t="s">
        <v>926</v>
      </c>
      <c r="AD1154" s="257">
        <v>144</v>
      </c>
      <c r="AE1154" s="257" t="s">
        <v>922</v>
      </c>
      <c r="AF1154" s="257">
        <v>36</v>
      </c>
      <c r="AG1154" s="257" t="s">
        <v>949</v>
      </c>
      <c r="AH1154" s="257" t="s">
        <v>885</v>
      </c>
      <c r="AI1154" s="257" t="s">
        <v>886</v>
      </c>
      <c r="AJ1154" s="257">
        <v>-9999</v>
      </c>
      <c r="AK1154" s="257" t="s">
        <v>947</v>
      </c>
      <c r="AL1154" s="257" t="s">
        <v>828</v>
      </c>
      <c r="AM1154" s="257" t="s">
        <v>948</v>
      </c>
      <c r="AN1154" s="257" t="s">
        <v>631</v>
      </c>
      <c r="AO1154" s="257">
        <v>-9999</v>
      </c>
      <c r="AP1154" s="257">
        <v>-9999</v>
      </c>
      <c r="AQ1154" s="597" t="s">
        <v>626</v>
      </c>
      <c r="AR1154" s="257">
        <f>349+103</f>
        <v>452</v>
      </c>
      <c r="AS1154" s="257" t="s">
        <v>935</v>
      </c>
      <c r="AT1154" s="257" t="s">
        <v>275</v>
      </c>
      <c r="AU1154" s="257">
        <v>103</v>
      </c>
      <c r="AV1154" s="257" t="s">
        <v>936</v>
      </c>
      <c r="AW1154" s="257" t="s">
        <v>94</v>
      </c>
      <c r="AX1154" s="257">
        <v>0</v>
      </c>
      <c r="AY1154" s="257">
        <v>-9999</v>
      </c>
      <c r="AZ1154" s="257">
        <v>-9999</v>
      </c>
      <c r="BA1154" s="257">
        <v>-9999</v>
      </c>
      <c r="BB1154" s="257" t="s">
        <v>626</v>
      </c>
      <c r="BC1154" s="257" t="s">
        <v>919</v>
      </c>
      <c r="BD1154" s="257" t="s">
        <v>920</v>
      </c>
      <c r="BE1154" s="257" t="s">
        <v>95</v>
      </c>
      <c r="BF1154" s="257" t="s">
        <v>918</v>
      </c>
      <c r="BG1154" s="257" t="s">
        <v>921</v>
      </c>
      <c r="BH1154" s="257">
        <v>-9999</v>
      </c>
      <c r="BI1154" s="257" t="s">
        <v>944</v>
      </c>
      <c r="BJ1154" s="257">
        <v>-9999</v>
      </c>
      <c r="BK1154" s="257">
        <v>-9999</v>
      </c>
      <c r="BL1154" s="257">
        <v>11.6</v>
      </c>
      <c r="BM1154" s="257">
        <v>0</v>
      </c>
      <c r="BN1154" s="257">
        <v>10.9</v>
      </c>
      <c r="BO1154" s="257">
        <v>-9999</v>
      </c>
      <c r="BP1154" s="257">
        <v>-9999</v>
      </c>
      <c r="BQ1154" s="257">
        <v>-9999</v>
      </c>
      <c r="BR1154" s="257">
        <v>-9999</v>
      </c>
      <c r="BS1154" s="263">
        <v>-9999</v>
      </c>
      <c r="BT1154" s="257">
        <v>-9999</v>
      </c>
      <c r="BU1154" s="257">
        <v>-9999</v>
      </c>
      <c r="BV1154" s="257">
        <v>-9999</v>
      </c>
      <c r="BW1154" s="257"/>
      <c r="BX1154" s="257">
        <v>-9999</v>
      </c>
      <c r="BY1154" s="257">
        <v>-9999</v>
      </c>
      <c r="BZ1154" s="257">
        <v>-9999</v>
      </c>
      <c r="CA1154" s="300" t="s">
        <v>524</v>
      </c>
      <c r="CB1154" s="264" t="s">
        <v>950</v>
      </c>
      <c r="CC1154" s="598">
        <v>1</v>
      </c>
      <c r="CD1154" s="597">
        <v>7</v>
      </c>
      <c r="CE1154" s="394">
        <v>5.4914285714285711</v>
      </c>
      <c r="CF1154" s="292">
        <v>5.8299999999999983</v>
      </c>
      <c r="CG1154" s="214">
        <v>7</v>
      </c>
      <c r="CH1154" s="438" t="s">
        <v>1757</v>
      </c>
      <c r="CI1154" s="23"/>
      <c r="CJ1154" s="23"/>
      <c r="CK1154" s="23"/>
      <c r="CL1154" s="23"/>
      <c r="CM1154" s="23"/>
      <c r="CN1154" s="23"/>
      <c r="CO1154" s="23"/>
      <c r="CP1154" s="23"/>
      <c r="CQ1154" s="23"/>
      <c r="CR1154" s="23"/>
      <c r="CS1154" s="23"/>
      <c r="CT1154" s="23"/>
      <c r="CU1154" s="23"/>
      <c r="CV1154" s="23"/>
      <c r="CW1154" s="23"/>
      <c r="CX1154" s="23"/>
      <c r="CY1154" s="23"/>
      <c r="CZ1154" s="23"/>
      <c r="DA1154" s="23"/>
      <c r="DB1154" s="23"/>
      <c r="DC1154" s="23"/>
      <c r="DD1154" s="23"/>
      <c r="DE1154" s="23"/>
      <c r="DF1154" s="23"/>
      <c r="DG1154" s="23"/>
      <c r="DH1154" s="23"/>
      <c r="DI1154" s="23"/>
      <c r="DJ1154" s="23"/>
      <c r="DK1154" s="23"/>
      <c r="DL1154" s="23"/>
      <c r="DM1154" s="23"/>
      <c r="DN1154" s="23"/>
      <c r="DO1154" s="23"/>
      <c r="DP1154" s="23"/>
      <c r="DQ1154" s="23"/>
      <c r="DR1154" s="23"/>
      <c r="DS1154" s="23"/>
      <c r="DT1154" s="23"/>
      <c r="DU1154" s="23"/>
      <c r="DV1154" s="23"/>
      <c r="DW1154" s="23"/>
      <c r="DX1154" s="23"/>
      <c r="DY1154" s="23"/>
      <c r="DZ1154" s="23"/>
      <c r="EA1154" s="23"/>
      <c r="EB1154" s="23"/>
      <c r="EC1154" s="23"/>
      <c r="ED1154" s="23"/>
      <c r="EE1154" s="23"/>
      <c r="EF1154" s="23"/>
      <c r="EG1154" s="23"/>
      <c r="EH1154" s="23"/>
      <c r="EI1154" s="23"/>
      <c r="EJ1154" s="23"/>
      <c r="EK1154" s="23"/>
      <c r="EL1154" s="23"/>
      <c r="EM1154" s="23"/>
      <c r="EN1154" s="23"/>
      <c r="EO1154" s="23"/>
      <c r="EP1154" s="23"/>
      <c r="EQ1154" s="23"/>
      <c r="ER1154" s="23"/>
      <c r="ES1154" s="23"/>
      <c r="ET1154" s="23"/>
      <c r="EU1154" s="23"/>
      <c r="EV1154" s="23"/>
      <c r="EW1154" s="23"/>
      <c r="EX1154" s="23"/>
      <c r="EY1154" s="23"/>
      <c r="EZ1154" s="23"/>
      <c r="FA1154" s="23"/>
      <c r="FB1154" s="23"/>
      <c r="FC1154" s="23"/>
      <c r="FD1154" s="23"/>
      <c r="FE1154" s="23"/>
      <c r="FF1154" s="23"/>
      <c r="FG1154" s="23"/>
      <c r="FH1154" s="23"/>
      <c r="FI1154" s="23"/>
      <c r="FJ1154" s="23"/>
      <c r="FK1154" s="23"/>
      <c r="FL1154" s="23"/>
      <c r="FM1154" s="23"/>
      <c r="FN1154" s="23"/>
      <c r="FO1154" s="23"/>
      <c r="FP1154" s="23"/>
      <c r="FQ1154" s="23"/>
      <c r="FR1154" s="23"/>
      <c r="FS1154" s="23"/>
      <c r="FT1154" s="23"/>
      <c r="FU1154" s="23"/>
      <c r="FV1154" s="23"/>
      <c r="FW1154" s="23"/>
      <c r="FX1154" s="23"/>
      <c r="FY1154" s="23"/>
      <c r="FZ1154" s="23"/>
      <c r="GA1154" s="23"/>
      <c r="GB1154" s="23"/>
      <c r="GC1154" s="23"/>
      <c r="GD1154" s="23"/>
      <c r="GE1154" s="23"/>
      <c r="GF1154" s="23"/>
      <c r="GG1154" s="23"/>
      <c r="GH1154" s="23"/>
      <c r="GI1154" s="23"/>
      <c r="GJ1154" s="23"/>
      <c r="GK1154" s="23"/>
      <c r="GL1154" s="23"/>
      <c r="GM1154" s="23"/>
      <c r="GN1154" s="23"/>
      <c r="GO1154" s="23"/>
      <c r="GP1154" s="23"/>
      <c r="GQ1154" s="23"/>
      <c r="GR1154" s="23"/>
      <c r="GS1154" s="23"/>
      <c r="GT1154" s="23"/>
      <c r="GU1154" s="23"/>
      <c r="GV1154" s="23"/>
      <c r="GW1154" s="23"/>
      <c r="GX1154" s="23"/>
      <c r="GY1154" s="23"/>
      <c r="GZ1154" s="23"/>
      <c r="HA1154" s="23"/>
      <c r="HB1154" s="23"/>
      <c r="HC1154" s="23"/>
      <c r="HD1154" s="23"/>
      <c r="HE1154" s="23"/>
      <c r="HF1154" s="23"/>
      <c r="HG1154" s="23"/>
      <c r="HH1154" s="23"/>
      <c r="HI1154" s="23"/>
      <c r="HJ1154" s="23"/>
      <c r="HK1154" s="23"/>
      <c r="HL1154" s="23"/>
      <c r="HM1154" s="23"/>
      <c r="HN1154" s="23"/>
      <c r="HO1154" s="23"/>
      <c r="HP1154" s="23"/>
      <c r="HQ1154" s="23"/>
      <c r="HR1154" s="23"/>
      <c r="HS1154" s="23"/>
      <c r="HT1154" s="23"/>
      <c r="HU1154" s="23"/>
      <c r="HV1154" s="23"/>
      <c r="HW1154" s="23"/>
      <c r="HX1154" s="23"/>
      <c r="HY1154" s="23"/>
      <c r="HZ1154" s="23"/>
      <c r="IA1154" s="23"/>
      <c r="IB1154" s="23"/>
      <c r="IC1154" s="23"/>
      <c r="ID1154" s="23"/>
      <c r="IE1154" s="23"/>
      <c r="IF1154" s="23"/>
      <c r="IG1154" s="23"/>
      <c r="IH1154" s="23"/>
      <c r="II1154" s="23"/>
      <c r="IJ1154" s="23"/>
      <c r="IK1154" s="23"/>
      <c r="IL1154" s="23"/>
      <c r="IM1154" s="23"/>
      <c r="IN1154" s="23"/>
      <c r="IO1154" s="23"/>
      <c r="IP1154" s="23"/>
      <c r="IQ1154" s="23"/>
      <c r="IR1154" s="23"/>
      <c r="IS1154" s="23"/>
      <c r="IT1154" s="23"/>
      <c r="IU1154" s="23"/>
      <c r="IV1154" s="23"/>
      <c r="IW1154" s="23"/>
      <c r="IX1154" s="23"/>
      <c r="IY1154" s="23"/>
      <c r="IZ1154" s="23"/>
      <c r="JA1154" s="23"/>
      <c r="JB1154" s="23"/>
      <c r="JC1154" s="23"/>
      <c r="JD1154" s="23"/>
      <c r="JE1154" s="23"/>
      <c r="JF1154" s="23"/>
      <c r="JG1154" s="23"/>
      <c r="JH1154" s="23"/>
      <c r="JI1154" s="23"/>
      <c r="JJ1154" s="23"/>
      <c r="JK1154" s="23"/>
      <c r="JL1154" s="23"/>
      <c r="JM1154" s="23"/>
      <c r="JN1154" s="23"/>
      <c r="JO1154" s="23"/>
      <c r="JP1154" s="23"/>
      <c r="JQ1154" s="23"/>
      <c r="JR1154" s="23"/>
      <c r="JS1154" s="23"/>
      <c r="JT1154" s="23"/>
      <c r="JU1154" s="23"/>
      <c r="JV1154" s="23"/>
      <c r="JW1154" s="23"/>
      <c r="JX1154" s="23"/>
      <c r="JY1154" s="23"/>
      <c r="JZ1154" s="23"/>
      <c r="KA1154" s="23"/>
      <c r="KB1154" s="23"/>
      <c r="KC1154" s="23"/>
      <c r="KD1154" s="23"/>
      <c r="KE1154" s="23"/>
      <c r="KF1154" s="23"/>
      <c r="KG1154" s="23"/>
      <c r="KH1154" s="23"/>
      <c r="KI1154" s="23"/>
      <c r="KJ1154" s="23"/>
      <c r="KK1154" s="23"/>
      <c r="KL1154" s="23"/>
      <c r="KM1154" s="23"/>
      <c r="KN1154" s="23"/>
      <c r="KO1154" s="23"/>
      <c r="KP1154" s="23"/>
      <c r="KQ1154" s="23"/>
      <c r="KR1154" s="23"/>
      <c r="KS1154" s="23"/>
      <c r="KT1154" s="23"/>
      <c r="KU1154" s="23"/>
      <c r="KV1154" s="23"/>
      <c r="KW1154" s="23"/>
      <c r="KX1154" s="23"/>
      <c r="KY1154" s="23"/>
      <c r="KZ1154" s="23"/>
      <c r="LA1154" s="23"/>
      <c r="LB1154" s="23"/>
      <c r="LC1154" s="23"/>
      <c r="LD1154" s="23"/>
      <c r="LE1154" s="23"/>
      <c r="LF1154" s="23"/>
      <c r="LG1154" s="23"/>
      <c r="LH1154" s="23"/>
      <c r="LI1154" s="23"/>
      <c r="LJ1154" s="23"/>
      <c r="LK1154" s="23"/>
      <c r="LL1154" s="23"/>
      <c r="LM1154" s="23"/>
      <c r="LN1154" s="23"/>
      <c r="LO1154" s="23"/>
      <c r="LP1154" s="23"/>
      <c r="LQ1154" s="23"/>
      <c r="LR1154" s="23"/>
      <c r="LS1154" s="23"/>
      <c r="LT1154" s="23"/>
      <c r="LU1154" s="23"/>
      <c r="LV1154" s="23"/>
      <c r="LW1154" s="23"/>
      <c r="LX1154" s="23"/>
      <c r="LY1154" s="23"/>
      <c r="LZ1154" s="23"/>
      <c r="MA1154" s="23"/>
      <c r="MB1154" s="23"/>
      <c r="MC1154" s="23"/>
      <c r="MD1154" s="23"/>
      <c r="ME1154" s="23"/>
      <c r="MF1154" s="23"/>
      <c r="MG1154" s="23"/>
      <c r="MH1154" s="23"/>
      <c r="MI1154" s="23"/>
      <c r="MJ1154" s="23"/>
      <c r="MK1154" s="23"/>
      <c r="ML1154" s="23"/>
      <c r="MM1154" s="23"/>
      <c r="MN1154" s="23"/>
      <c r="MO1154" s="23"/>
      <c r="MP1154" s="23"/>
      <c r="MQ1154" s="23"/>
      <c r="MR1154" s="23"/>
      <c r="MS1154" s="23"/>
      <c r="MT1154" s="23"/>
      <c r="MU1154" s="23"/>
      <c r="MV1154" s="23"/>
      <c r="MW1154" s="23"/>
      <c r="MX1154" s="23"/>
      <c r="MY1154" s="23"/>
      <c r="MZ1154" s="23"/>
      <c r="NA1154" s="23"/>
      <c r="NB1154" s="23"/>
      <c r="NC1154" s="23"/>
      <c r="ND1154" s="23"/>
      <c r="NE1154" s="23"/>
      <c r="NF1154" s="23"/>
      <c r="NG1154" s="23"/>
      <c r="NH1154" s="23"/>
      <c r="NI1154" s="23"/>
      <c r="NJ1154" s="23"/>
      <c r="NK1154" s="23"/>
      <c r="NL1154" s="23"/>
      <c r="NM1154" s="23"/>
      <c r="NN1154" s="23"/>
      <c r="NO1154" s="23"/>
      <c r="NP1154" s="23"/>
      <c r="NQ1154" s="23"/>
      <c r="NR1154" s="23"/>
      <c r="NS1154" s="23"/>
      <c r="NT1154" s="23"/>
      <c r="NU1154" s="23"/>
      <c r="NV1154" s="23"/>
      <c r="NW1154" s="23"/>
      <c r="NX1154" s="23"/>
      <c r="NY1154" s="23"/>
      <c r="NZ1154" s="23"/>
      <c r="OA1154" s="23"/>
      <c r="OB1154" s="23"/>
      <c r="OC1154" s="23"/>
      <c r="OD1154" s="23"/>
      <c r="OE1154" s="23"/>
      <c r="OF1154" s="23"/>
      <c r="OG1154" s="23"/>
      <c r="OH1154" s="23"/>
      <c r="OI1154" s="23"/>
      <c r="OJ1154" s="23"/>
      <c r="OK1154" s="23"/>
      <c r="OL1154" s="23"/>
      <c r="OM1154" s="23"/>
      <c r="ON1154" s="23"/>
      <c r="OO1154" s="23"/>
      <c r="OP1154" s="23"/>
      <c r="OQ1154" s="23"/>
      <c r="OR1154" s="23"/>
      <c r="OS1154" s="23"/>
      <c r="OT1154" s="23"/>
      <c r="OU1154" s="23"/>
      <c r="OV1154" s="23"/>
      <c r="OW1154" s="23"/>
      <c r="OX1154" s="23"/>
      <c r="OY1154" s="23"/>
      <c r="OZ1154" s="23"/>
      <c r="PA1154" s="23"/>
      <c r="PB1154" s="23"/>
      <c r="PC1154" s="23"/>
      <c r="PD1154" s="23"/>
      <c r="PE1154" s="23"/>
      <c r="PF1154" s="23"/>
      <c r="PG1154" s="23"/>
      <c r="PH1154" s="23"/>
      <c r="PI1154" s="23"/>
      <c r="PJ1154" s="23"/>
      <c r="PK1154" s="23"/>
      <c r="PL1154" s="23"/>
      <c r="PM1154" s="23"/>
      <c r="PN1154" s="23"/>
      <c r="PO1154" s="23"/>
      <c r="PP1154" s="23"/>
      <c r="PQ1154" s="23"/>
      <c r="PR1154" s="23"/>
      <c r="PS1154" s="23"/>
      <c r="PT1154" s="23"/>
      <c r="PU1154" s="23"/>
      <c r="PV1154" s="23"/>
      <c r="PW1154" s="23"/>
      <c r="PX1154" s="23"/>
      <c r="PY1154" s="23"/>
      <c r="PZ1154" s="23"/>
      <c r="QA1154" s="23"/>
      <c r="QB1154" s="23"/>
      <c r="QC1154" s="23"/>
      <c r="QD1154" s="23"/>
      <c r="QE1154" s="23"/>
      <c r="QF1154" s="23"/>
      <c r="QG1154" s="23"/>
      <c r="QH1154" s="23"/>
      <c r="QI1154" s="23"/>
      <c r="QJ1154" s="23"/>
      <c r="QK1154" s="23"/>
      <c r="QL1154" s="23"/>
      <c r="QM1154" s="23"/>
      <c r="QN1154" s="23"/>
      <c r="QO1154" s="23"/>
      <c r="QP1154" s="23"/>
      <c r="QQ1154" s="23"/>
      <c r="QR1154" s="23"/>
      <c r="QS1154" s="23"/>
      <c r="QT1154" s="23"/>
      <c r="QU1154" s="23"/>
      <c r="QV1154" s="23"/>
      <c r="QW1154" s="23"/>
      <c r="QX1154" s="23"/>
      <c r="QY1154" s="23"/>
      <c r="QZ1154" s="23"/>
      <c r="RA1154" s="23"/>
      <c r="RB1154" s="23"/>
      <c r="RC1154" s="23"/>
      <c r="RD1154" s="23"/>
      <c r="RE1154" s="23"/>
      <c r="RF1154" s="23"/>
      <c r="RG1154" s="23"/>
      <c r="RH1154" s="23"/>
      <c r="RI1154" s="23"/>
      <c r="RJ1154" s="23"/>
      <c r="RK1154" s="23"/>
      <c r="RL1154" s="23"/>
      <c r="RM1154" s="23"/>
      <c r="RN1154" s="23"/>
      <c r="RO1154" s="23"/>
      <c r="RP1154" s="23"/>
      <c r="RQ1154" s="23"/>
      <c r="RR1154" s="23"/>
      <c r="RS1154" s="23"/>
      <c r="RT1154" s="23"/>
      <c r="RU1154" s="23"/>
      <c r="RV1154" s="23"/>
      <c r="RW1154" s="23"/>
      <c r="RX1154" s="23"/>
      <c r="RY1154" s="23"/>
      <c r="RZ1154" s="23"/>
      <c r="SA1154" s="23"/>
      <c r="SB1154" s="23"/>
      <c r="SC1154" s="23"/>
      <c r="SD1154" s="23"/>
      <c r="SE1154" s="23"/>
      <c r="SF1154" s="23"/>
      <c r="SG1154" s="23"/>
      <c r="SH1154" s="23"/>
      <c r="SI1154" s="23"/>
      <c r="SJ1154" s="23"/>
      <c r="SK1154" s="23"/>
      <c r="SL1154" s="23"/>
      <c r="SM1154" s="23"/>
      <c r="SN1154" s="23"/>
      <c r="SO1154" s="23"/>
      <c r="SP1154" s="23"/>
      <c r="SQ1154" s="23"/>
      <c r="SR1154" s="23"/>
      <c r="SS1154" s="23"/>
      <c r="ST1154" s="23"/>
      <c r="SU1154" s="23"/>
      <c r="SV1154" s="23"/>
      <c r="SW1154" s="23"/>
      <c r="SX1154" s="23"/>
      <c r="SY1154" s="23"/>
      <c r="SZ1154" s="23"/>
      <c r="TA1154" s="23"/>
      <c r="TB1154" s="23"/>
      <c r="TC1154" s="23"/>
      <c r="TD1154" s="23"/>
      <c r="TE1154" s="23"/>
      <c r="TF1154" s="23"/>
      <c r="TG1154" s="23"/>
      <c r="TH1154" s="23"/>
      <c r="TI1154" s="23"/>
      <c r="TJ1154" s="23"/>
      <c r="TK1154" s="23"/>
      <c r="TL1154" s="23"/>
      <c r="TM1154" s="23"/>
      <c r="TN1154" s="23"/>
      <c r="TO1154" s="23"/>
      <c r="TP1154" s="23"/>
      <c r="TQ1154" s="23"/>
      <c r="TR1154" s="23"/>
      <c r="TS1154" s="23"/>
      <c r="TT1154" s="23"/>
      <c r="TU1154" s="23"/>
      <c r="TV1154" s="23"/>
      <c r="TW1154" s="23"/>
      <c r="TX1154" s="23"/>
      <c r="TY1154" s="23"/>
      <c r="TZ1154" s="23"/>
      <c r="UA1154" s="23"/>
      <c r="UB1154" s="23"/>
      <c r="UC1154" s="23"/>
      <c r="UD1154" s="23"/>
      <c r="UE1154" s="23"/>
      <c r="UF1154" s="23"/>
      <c r="UG1154" s="23"/>
      <c r="UH1154" s="23"/>
      <c r="UI1154" s="23"/>
      <c r="UJ1154" s="23"/>
      <c r="UK1154" s="23"/>
      <c r="UL1154" s="23"/>
      <c r="UM1154" s="23"/>
      <c r="UN1154" s="23"/>
      <c r="UO1154" s="23"/>
      <c r="UP1154" s="23"/>
      <c r="UQ1154" s="23"/>
      <c r="UR1154" s="23"/>
      <c r="US1154" s="23"/>
      <c r="UT1154" s="23"/>
      <c r="UU1154" s="23"/>
      <c r="UV1154" s="23"/>
      <c r="UW1154" s="23"/>
      <c r="UX1154" s="23"/>
      <c r="UY1154" s="23"/>
      <c r="UZ1154" s="23"/>
      <c r="VA1154" s="23"/>
      <c r="VB1154" s="23"/>
      <c r="VC1154" s="23"/>
      <c r="VD1154" s="23"/>
      <c r="VE1154" s="23"/>
      <c r="VF1154" s="23"/>
      <c r="VG1154" s="23"/>
      <c r="VH1154" s="23"/>
      <c r="VI1154" s="23"/>
      <c r="VJ1154" s="23"/>
      <c r="VK1154" s="23"/>
      <c r="VL1154" s="23"/>
      <c r="VM1154" s="23"/>
      <c r="VN1154" s="23"/>
      <c r="VO1154" s="23"/>
      <c r="VP1154" s="23"/>
      <c r="VQ1154" s="23"/>
      <c r="VR1154" s="23"/>
      <c r="VS1154" s="23"/>
      <c r="VT1154" s="23"/>
      <c r="VU1154" s="23"/>
      <c r="VV1154" s="23"/>
      <c r="VW1154" s="23"/>
      <c r="VX1154" s="23"/>
      <c r="VY1154" s="23"/>
      <c r="VZ1154" s="23"/>
      <c r="WA1154" s="23"/>
      <c r="WB1154" s="23"/>
      <c r="WC1154" s="23"/>
      <c r="WD1154" s="23"/>
      <c r="WE1154" s="23"/>
      <c r="WF1154" s="23"/>
      <c r="WG1154" s="23"/>
      <c r="WH1154" s="23"/>
      <c r="WI1154" s="23"/>
      <c r="WJ1154" s="23"/>
      <c r="WK1154" s="23"/>
      <c r="WL1154" s="23"/>
      <c r="WM1154" s="23"/>
      <c r="WN1154" s="23"/>
      <c r="WO1154" s="23"/>
      <c r="WP1154" s="23"/>
      <c r="WQ1154" s="23"/>
      <c r="WR1154" s="23"/>
      <c r="WS1154" s="23"/>
      <c r="WT1154" s="23"/>
      <c r="WU1154" s="23"/>
      <c r="WV1154" s="23"/>
      <c r="WW1154" s="23"/>
      <c r="WX1154" s="23"/>
      <c r="WY1154" s="23"/>
      <c r="WZ1154" s="23"/>
      <c r="XA1154" s="23"/>
      <c r="XB1154" s="23"/>
      <c r="XC1154" s="23"/>
      <c r="XD1154" s="23"/>
      <c r="XE1154" s="23"/>
      <c r="XF1154" s="23"/>
      <c r="XG1154" s="23"/>
      <c r="XH1154" s="23"/>
      <c r="XI1154" s="23"/>
      <c r="XJ1154" s="23"/>
      <c r="XK1154" s="23"/>
      <c r="XL1154" s="23"/>
      <c r="XM1154" s="23"/>
      <c r="XN1154" s="23"/>
      <c r="XO1154" s="23"/>
      <c r="XP1154" s="23"/>
      <c r="XQ1154" s="23"/>
      <c r="XR1154" s="23"/>
      <c r="XS1154" s="23"/>
      <c r="XT1154" s="23"/>
      <c r="XU1154" s="23"/>
      <c r="XV1154" s="23"/>
      <c r="XW1154" s="23"/>
      <c r="XX1154" s="23"/>
      <c r="XY1154" s="23"/>
      <c r="XZ1154" s="23"/>
      <c r="YA1154" s="23"/>
      <c r="YB1154" s="23"/>
      <c r="YC1154" s="23"/>
      <c r="YD1154" s="23"/>
      <c r="YE1154" s="23"/>
      <c r="YF1154" s="23"/>
      <c r="YG1154" s="23"/>
      <c r="YH1154" s="23"/>
      <c r="YI1154" s="23"/>
      <c r="YJ1154" s="23"/>
      <c r="YK1154" s="23"/>
      <c r="YL1154" s="23"/>
      <c r="YM1154" s="23"/>
      <c r="YN1154" s="23"/>
      <c r="YO1154" s="23"/>
      <c r="YP1154" s="23"/>
      <c r="YQ1154" s="23"/>
      <c r="YR1154" s="23"/>
      <c r="YS1154" s="23"/>
      <c r="YT1154" s="23"/>
      <c r="YU1154" s="23"/>
      <c r="YV1154" s="23"/>
      <c r="YW1154" s="23"/>
      <c r="YX1154" s="23"/>
      <c r="YY1154" s="23"/>
      <c r="YZ1154" s="23"/>
      <c r="ZA1154" s="23"/>
      <c r="ZB1154" s="23"/>
      <c r="ZC1154" s="23"/>
      <c r="ZD1154" s="23"/>
      <c r="ZE1154" s="23"/>
      <c r="ZF1154" s="23"/>
      <c r="ZG1154" s="23"/>
      <c r="ZH1154" s="23"/>
      <c r="ZI1154" s="23"/>
      <c r="ZJ1154" s="23"/>
      <c r="ZK1154" s="23"/>
      <c r="ZL1154" s="23"/>
      <c r="ZM1154" s="23"/>
      <c r="ZN1154" s="23"/>
      <c r="ZO1154" s="23"/>
      <c r="ZP1154" s="23"/>
      <c r="ZQ1154" s="23"/>
      <c r="ZR1154" s="23"/>
      <c r="ZS1154" s="23"/>
      <c r="ZT1154" s="23"/>
      <c r="ZU1154" s="23"/>
      <c r="ZV1154" s="23"/>
      <c r="ZW1154" s="23"/>
      <c r="ZX1154" s="23"/>
      <c r="ZY1154" s="23"/>
      <c r="ZZ1154" s="23"/>
      <c r="AAA1154" s="23"/>
      <c r="AAB1154" s="23"/>
      <c r="AAC1154" s="23"/>
      <c r="AAD1154" s="23"/>
      <c r="AAE1154" s="23"/>
      <c r="AAF1154" s="23"/>
      <c r="AAG1154" s="23"/>
      <c r="AAH1154" s="23"/>
      <c r="AAI1154" s="23"/>
      <c r="AAJ1154" s="23"/>
      <c r="AAK1154" s="23"/>
      <c r="AAL1154" s="23"/>
      <c r="AAM1154" s="23"/>
      <c r="AAN1154" s="23"/>
      <c r="AAO1154" s="23"/>
      <c r="AAP1154" s="23"/>
      <c r="AAQ1154" s="23"/>
      <c r="AAR1154" s="23"/>
      <c r="AAS1154" s="23"/>
      <c r="AAT1154" s="23"/>
      <c r="AAU1154" s="23"/>
      <c r="AAV1154" s="23"/>
      <c r="AAW1154" s="23"/>
      <c r="AAX1154" s="23"/>
      <c r="AAY1154" s="23"/>
      <c r="AAZ1154" s="23"/>
      <c r="ABA1154" s="23"/>
      <c r="ABB1154" s="23"/>
      <c r="ABC1154" s="23"/>
      <c r="ABD1154" s="23"/>
      <c r="ABE1154" s="23"/>
      <c r="ABF1154" s="23"/>
      <c r="ABG1154" s="23"/>
      <c r="ABH1154" s="23"/>
      <c r="ABI1154" s="23"/>
      <c r="ABJ1154" s="23"/>
      <c r="ABK1154" s="23"/>
      <c r="ABL1154" s="23"/>
      <c r="ABM1154" s="23"/>
      <c r="ABN1154" s="23"/>
      <c r="ABO1154" s="23"/>
      <c r="ABP1154" s="23"/>
      <c r="ABQ1154" s="23"/>
      <c r="ABR1154" s="23"/>
      <c r="ABS1154" s="23"/>
      <c r="ABT1154" s="23"/>
      <c r="ABU1154" s="23"/>
      <c r="ABV1154" s="23"/>
      <c r="ABW1154" s="23"/>
      <c r="ABX1154" s="23"/>
      <c r="ABY1154" s="23"/>
      <c r="ABZ1154" s="23"/>
      <c r="ACA1154" s="23"/>
      <c r="ACB1154" s="23"/>
      <c r="ACC1154" s="23"/>
      <c r="ACD1154" s="23"/>
      <c r="ACE1154" s="23"/>
      <c r="ACF1154" s="23"/>
      <c r="ACG1154" s="23"/>
      <c r="ACH1154" s="23"/>
      <c r="ACI1154" s="23"/>
      <c r="ACJ1154" s="23"/>
      <c r="ACK1154" s="23"/>
      <c r="ACL1154" s="23"/>
      <c r="ACM1154" s="23"/>
      <c r="ACN1154" s="23"/>
      <c r="ACO1154" s="23"/>
      <c r="ACP1154" s="23"/>
      <c r="ACQ1154" s="23"/>
      <c r="ACR1154" s="23"/>
      <c r="ACS1154" s="23"/>
      <c r="ACT1154" s="23"/>
      <c r="ACU1154" s="23"/>
      <c r="ACV1154" s="23"/>
      <c r="ACW1154" s="23"/>
      <c r="ACX1154" s="23"/>
      <c r="ACY1154" s="23"/>
      <c r="ACZ1154" s="23"/>
      <c r="ADA1154" s="23"/>
      <c r="ADB1154" s="23"/>
      <c r="ADC1154" s="23"/>
      <c r="ADD1154" s="23"/>
      <c r="ADE1154" s="23"/>
      <c r="ADF1154" s="23"/>
      <c r="ADG1154" s="23"/>
      <c r="ADH1154" s="23"/>
      <c r="ADI1154" s="23"/>
      <c r="ADJ1154" s="23"/>
      <c r="ADK1154" s="23"/>
      <c r="ADL1154" s="23"/>
      <c r="ADM1154" s="23"/>
      <c r="ADN1154" s="23"/>
      <c r="ADO1154" s="23"/>
      <c r="ADP1154" s="23"/>
      <c r="ADQ1154" s="23"/>
      <c r="ADR1154" s="23"/>
      <c r="ADS1154" s="23"/>
      <c r="ADT1154" s="23"/>
      <c r="ADU1154" s="23"/>
      <c r="ADV1154" s="23"/>
      <c r="ADW1154" s="23"/>
      <c r="ADX1154" s="23"/>
      <c r="ADY1154" s="23"/>
      <c r="ADZ1154" s="23"/>
      <c r="AEA1154" s="23"/>
      <c r="AEB1154" s="23"/>
      <c r="AEC1154" s="23"/>
      <c r="AED1154" s="23"/>
      <c r="AEE1154" s="23"/>
      <c r="AEF1154" s="23"/>
      <c r="AEG1154" s="23"/>
      <c r="AEH1154" s="23"/>
      <c r="AEI1154" s="23"/>
      <c r="AEJ1154" s="23"/>
      <c r="AEK1154" s="23"/>
      <c r="AEL1154" s="23"/>
      <c r="AEM1154" s="23"/>
      <c r="AEN1154" s="23"/>
      <c r="AEO1154" s="23"/>
      <c r="AEP1154" s="23"/>
      <c r="AEQ1154" s="23"/>
      <c r="AER1154" s="23"/>
      <c r="AES1154" s="23"/>
      <c r="AET1154" s="23"/>
      <c r="AEU1154" s="23"/>
      <c r="AEV1154" s="23"/>
      <c r="AEW1154" s="23"/>
      <c r="AEX1154" s="23"/>
      <c r="AEY1154" s="23"/>
      <c r="AEZ1154" s="23"/>
      <c r="AFA1154" s="23"/>
      <c r="AFB1154" s="23"/>
      <c r="AFC1154" s="23"/>
      <c r="AFD1154" s="23"/>
      <c r="AFE1154" s="23"/>
      <c r="AFF1154" s="23"/>
      <c r="AFG1154" s="23"/>
      <c r="AFH1154" s="23"/>
      <c r="AFI1154" s="23"/>
      <c r="AFJ1154" s="23"/>
      <c r="AFK1154" s="23"/>
      <c r="AFL1154" s="23"/>
      <c r="AFM1154" s="23"/>
      <c r="AFN1154" s="23"/>
      <c r="AFO1154" s="23"/>
      <c r="AFP1154" s="23"/>
      <c r="AFQ1154" s="23"/>
      <c r="AFR1154" s="23"/>
      <c r="AFS1154" s="23"/>
      <c r="AFT1154" s="23"/>
      <c r="AFU1154" s="23"/>
      <c r="AFV1154" s="23"/>
      <c r="AFW1154" s="23"/>
      <c r="AFX1154" s="23"/>
      <c r="AFY1154" s="23"/>
      <c r="AFZ1154" s="23"/>
      <c r="AGA1154" s="23"/>
      <c r="AGB1154" s="23"/>
      <c r="AGC1154" s="23"/>
      <c r="AGD1154" s="23"/>
      <c r="AGE1154" s="23"/>
      <c r="AGF1154" s="23"/>
      <c r="AGG1154" s="23"/>
      <c r="AGH1154" s="23"/>
      <c r="AGI1154" s="23"/>
      <c r="AGJ1154" s="23"/>
      <c r="AGK1154" s="23"/>
      <c r="AGL1154" s="23"/>
      <c r="AGM1154" s="23"/>
      <c r="AGN1154" s="23"/>
      <c r="AGO1154" s="23"/>
      <c r="AGP1154" s="23"/>
      <c r="AGQ1154" s="23"/>
      <c r="AGR1154" s="23"/>
      <c r="AGS1154" s="23"/>
      <c r="AGT1154" s="23"/>
      <c r="AGU1154" s="23"/>
      <c r="AGV1154" s="23"/>
      <c r="AGW1154" s="23"/>
      <c r="AGX1154" s="23"/>
      <c r="AGY1154" s="23"/>
      <c r="AGZ1154" s="23"/>
      <c r="AHA1154" s="23"/>
      <c r="AHB1154" s="23"/>
      <c r="AHC1154" s="23"/>
      <c r="AHD1154" s="23"/>
      <c r="AHE1154" s="23"/>
      <c r="AHF1154" s="23"/>
      <c r="AHG1154" s="23"/>
      <c r="AHH1154" s="23"/>
      <c r="AHI1154" s="23"/>
      <c r="AHJ1154" s="23"/>
      <c r="AHK1154" s="23"/>
      <c r="AHL1154" s="23"/>
      <c r="AHM1154" s="23"/>
      <c r="AHN1154" s="23"/>
      <c r="AHO1154" s="23"/>
      <c r="AHP1154" s="23"/>
      <c r="AHQ1154" s="23"/>
      <c r="AHR1154" s="23"/>
      <c r="AHS1154" s="23"/>
      <c r="AHT1154" s="23"/>
      <c r="AHU1154" s="23"/>
      <c r="AHV1154" s="23"/>
      <c r="AHW1154" s="23"/>
      <c r="AHX1154" s="23"/>
      <c r="AHY1154" s="23"/>
      <c r="AHZ1154" s="23"/>
      <c r="AIA1154" s="23"/>
      <c r="AIB1154" s="23"/>
      <c r="AIC1154" s="23"/>
      <c r="AID1154" s="23"/>
      <c r="AIE1154" s="23"/>
      <c r="AIF1154" s="23"/>
      <c r="AIG1154" s="23"/>
      <c r="AIH1154" s="23"/>
      <c r="AII1154" s="23"/>
      <c r="AIJ1154" s="23"/>
      <c r="AIK1154" s="23"/>
      <c r="AIL1154" s="23"/>
      <c r="AIM1154" s="23"/>
      <c r="AIN1154" s="23"/>
      <c r="AIO1154" s="23"/>
      <c r="AIP1154" s="23"/>
      <c r="AIQ1154" s="23"/>
      <c r="AIR1154" s="23"/>
      <c r="AIS1154" s="23"/>
      <c r="AIT1154" s="23"/>
      <c r="AIU1154" s="23"/>
      <c r="AIV1154" s="23"/>
      <c r="AIW1154" s="23"/>
      <c r="AIX1154" s="23"/>
      <c r="AIY1154" s="23"/>
      <c r="AIZ1154" s="23"/>
      <c r="AJA1154" s="23"/>
      <c r="AJB1154" s="23"/>
      <c r="AJC1154" s="23"/>
      <c r="AJD1154" s="23"/>
      <c r="AJE1154" s="23"/>
      <c r="AJF1154" s="23"/>
      <c r="AJG1154" s="23"/>
      <c r="AJH1154" s="23"/>
      <c r="AJI1154" s="23"/>
      <c r="AJJ1154" s="23"/>
      <c r="AJK1154" s="23"/>
      <c r="AJL1154" s="23"/>
      <c r="AJM1154" s="23"/>
      <c r="AJN1154" s="23"/>
      <c r="AJO1154" s="23"/>
      <c r="AJP1154" s="23"/>
      <c r="AJQ1154" s="23"/>
      <c r="AJR1154" s="23"/>
      <c r="AJS1154" s="23"/>
      <c r="AJT1154" s="23"/>
      <c r="AJU1154" s="23"/>
      <c r="AJV1154" s="23"/>
      <c r="AJW1154" s="23"/>
      <c r="AJX1154" s="23"/>
      <c r="AJY1154" s="23"/>
      <c r="AJZ1154" s="23"/>
      <c r="AKA1154" s="23"/>
      <c r="AKB1154" s="23"/>
      <c r="AKC1154" s="23"/>
      <c r="AKD1154" s="23"/>
      <c r="AKE1154" s="23"/>
      <c r="AKF1154" s="23"/>
      <c r="AKG1154" s="23"/>
      <c r="AKH1154" s="23"/>
      <c r="AKI1154" s="23"/>
      <c r="AKJ1154" s="23"/>
      <c r="AKK1154" s="23"/>
      <c r="AKL1154" s="23"/>
      <c r="AKM1154" s="23"/>
      <c r="AKN1154" s="23"/>
      <c r="AKO1154" s="23"/>
      <c r="AKP1154" s="23"/>
      <c r="AKQ1154" s="23"/>
      <c r="AKR1154" s="23"/>
      <c r="AKS1154" s="23"/>
      <c r="AKT1154" s="23"/>
      <c r="AKU1154" s="23"/>
      <c r="AKV1154" s="23"/>
      <c r="AKW1154" s="23"/>
      <c r="AKX1154" s="23"/>
      <c r="AKY1154" s="23"/>
      <c r="AKZ1154" s="23"/>
      <c r="ALA1154" s="23"/>
      <c r="ALB1154" s="23"/>
      <c r="ALC1154" s="23"/>
      <c r="ALD1154" s="23"/>
      <c r="ALE1154" s="23"/>
      <c r="ALF1154" s="23"/>
      <c r="ALG1154" s="23"/>
      <c r="ALH1154" s="23"/>
      <c r="ALI1154" s="23"/>
      <c r="ALJ1154" s="23"/>
      <c r="ALK1154" s="23"/>
      <c r="ALL1154" s="23"/>
      <c r="ALM1154" s="23"/>
      <c r="ALN1154" s="23"/>
      <c r="ALO1154" s="23"/>
      <c r="ALP1154" s="23"/>
      <c r="ALQ1154" s="23"/>
      <c r="ALR1154" s="23"/>
      <c r="ALS1154" s="23"/>
      <c r="ALT1154" s="23"/>
      <c r="ALU1154" s="23"/>
      <c r="ALV1154" s="23"/>
      <c r="ALW1154" s="23"/>
      <c r="ALX1154" s="23"/>
      <c r="ALY1154" s="23"/>
      <c r="ALZ1154" s="23"/>
      <c r="AMA1154" s="23"/>
      <c r="AMB1154" s="23"/>
      <c r="AMC1154" s="23"/>
      <c r="AMD1154" s="23"/>
      <c r="AME1154" s="23"/>
      <c r="AMF1154" s="23"/>
      <c r="AMG1154" s="23"/>
      <c r="AMH1154" s="23"/>
      <c r="AMI1154" s="23"/>
      <c r="AMJ1154" s="23"/>
      <c r="AMK1154" s="23"/>
      <c r="AML1154" s="23"/>
      <c r="AMM1154" s="23"/>
      <c r="AMN1154" s="23"/>
      <c r="AMO1154" s="23"/>
      <c r="AMP1154" s="23"/>
      <c r="AMQ1154" s="23"/>
      <c r="AMR1154" s="23"/>
      <c r="AMS1154" s="23"/>
      <c r="AMT1154" s="23"/>
      <c r="AMU1154" s="23"/>
      <c r="AMV1154" s="23"/>
      <c r="AMW1154" s="23"/>
      <c r="AMX1154" s="23"/>
      <c r="AMY1154" s="23"/>
      <c r="AMZ1154" s="23"/>
      <c r="ANA1154" s="23"/>
      <c r="ANB1154" s="23"/>
      <c r="ANC1154" s="23"/>
      <c r="AND1154" s="23"/>
      <c r="ANE1154" s="23"/>
      <c r="ANF1154" s="23"/>
      <c r="ANG1154" s="23"/>
      <c r="ANH1154" s="23"/>
      <c r="ANI1154" s="23"/>
      <c r="ANJ1154" s="23"/>
      <c r="ANK1154" s="23"/>
      <c r="ANL1154" s="23"/>
      <c r="ANM1154" s="23"/>
      <c r="ANN1154" s="23"/>
      <c r="ANO1154" s="23"/>
      <c r="ANP1154" s="23"/>
      <c r="ANQ1154" s="23"/>
      <c r="ANR1154" s="23"/>
      <c r="ANS1154" s="23"/>
      <c r="ANT1154" s="23"/>
      <c r="ANU1154" s="23"/>
      <c r="ANV1154" s="23"/>
      <c r="ANW1154" s="23"/>
      <c r="ANX1154" s="23"/>
      <c r="ANY1154" s="23"/>
      <c r="ANZ1154" s="23"/>
      <c r="AOA1154" s="23"/>
      <c r="AOB1154" s="23"/>
      <c r="AOC1154" s="23"/>
      <c r="AOD1154" s="23"/>
      <c r="AOE1154" s="23"/>
      <c r="AOF1154" s="23"/>
      <c r="AOG1154" s="23"/>
      <c r="AOH1154" s="23"/>
      <c r="AOI1154" s="23"/>
      <c r="AOJ1154" s="23"/>
      <c r="AOK1154" s="23"/>
      <c r="AOL1154" s="23"/>
      <c r="AOM1154" s="23"/>
      <c r="AON1154" s="23"/>
      <c r="AOO1154" s="23"/>
      <c r="AOP1154" s="23"/>
      <c r="AOQ1154" s="23"/>
      <c r="AOR1154" s="23"/>
      <c r="AOS1154" s="23"/>
      <c r="AOT1154" s="23"/>
      <c r="AOU1154" s="23"/>
      <c r="AOV1154" s="23"/>
      <c r="AOW1154" s="23"/>
      <c r="AOX1154" s="23"/>
      <c r="AOY1154" s="23"/>
      <c r="AOZ1154" s="23"/>
      <c r="APA1154" s="23"/>
      <c r="APB1154" s="23"/>
      <c r="APC1154" s="23"/>
      <c r="APD1154" s="23"/>
      <c r="APE1154" s="23"/>
      <c r="APF1154" s="23"/>
      <c r="APG1154" s="23"/>
      <c r="APH1154" s="23"/>
      <c r="API1154" s="23"/>
      <c r="APJ1154" s="23"/>
      <c r="APK1154" s="23"/>
      <c r="APL1154" s="23"/>
      <c r="APM1154" s="23"/>
      <c r="APN1154" s="23"/>
      <c r="APO1154" s="23"/>
      <c r="APP1154" s="23"/>
      <c r="APQ1154" s="23"/>
      <c r="APR1154" s="23"/>
      <c r="APS1154" s="23"/>
      <c r="APT1154" s="23"/>
      <c r="APU1154" s="23"/>
      <c r="APV1154" s="23"/>
      <c r="APW1154" s="23"/>
      <c r="APX1154" s="23"/>
      <c r="APY1154" s="23"/>
      <c r="APZ1154" s="23"/>
      <c r="AQA1154" s="23"/>
      <c r="AQB1154" s="23"/>
      <c r="AQC1154" s="23"/>
      <c r="AQD1154" s="23"/>
      <c r="AQE1154" s="23"/>
      <c r="AQF1154" s="23"/>
      <c r="AQG1154" s="23"/>
      <c r="AQH1154" s="23"/>
      <c r="AQI1154" s="23"/>
      <c r="AQJ1154" s="23"/>
      <c r="AQK1154" s="23"/>
      <c r="AQL1154" s="23"/>
      <c r="AQM1154" s="23"/>
      <c r="AQN1154" s="23"/>
      <c r="AQO1154" s="23"/>
      <c r="AQP1154" s="23"/>
      <c r="AQQ1154" s="23"/>
      <c r="AQR1154" s="23"/>
      <c r="AQS1154" s="23"/>
      <c r="AQT1154" s="23"/>
      <c r="AQU1154" s="23"/>
      <c r="AQV1154" s="23"/>
      <c r="AQW1154" s="23"/>
      <c r="AQX1154" s="23"/>
      <c r="AQY1154" s="23"/>
      <c r="AQZ1154" s="23"/>
      <c r="ARA1154" s="23"/>
      <c r="ARB1154" s="23"/>
      <c r="ARC1154" s="23"/>
      <c r="ARD1154" s="23"/>
      <c r="ARE1154" s="23"/>
      <c r="ARF1154" s="23"/>
      <c r="ARG1154" s="23"/>
      <c r="ARH1154" s="23"/>
      <c r="ARI1154" s="23"/>
      <c r="ARJ1154" s="23"/>
      <c r="ARK1154" s="23"/>
      <c r="ARL1154" s="23"/>
      <c r="ARM1154" s="23"/>
      <c r="ARN1154" s="23"/>
      <c r="ARO1154" s="23"/>
      <c r="ARP1154" s="23"/>
      <c r="ARQ1154" s="23"/>
      <c r="ARR1154" s="23"/>
      <c r="ARS1154" s="23"/>
      <c r="ART1154" s="23"/>
      <c r="ARU1154" s="23"/>
      <c r="ARV1154" s="23"/>
      <c r="ARW1154" s="23"/>
      <c r="ARX1154" s="23"/>
      <c r="ARY1154" s="23"/>
      <c r="ARZ1154" s="23"/>
      <c r="ASA1154" s="23"/>
      <c r="ASB1154" s="23"/>
      <c r="ASC1154" s="23"/>
      <c r="ASD1154" s="23"/>
      <c r="ASE1154" s="23"/>
      <c r="ASF1154" s="23"/>
      <c r="ASG1154" s="23"/>
      <c r="ASH1154" s="23"/>
      <c r="ASI1154" s="23"/>
      <c r="ASJ1154" s="23"/>
      <c r="ASK1154" s="23"/>
      <c r="ASL1154" s="23"/>
      <c r="ASM1154" s="23"/>
      <c r="ASN1154" s="23"/>
      <c r="ASO1154" s="23"/>
      <c r="ASP1154" s="23"/>
      <c r="ASQ1154" s="23"/>
      <c r="ASR1154" s="23"/>
      <c r="ASS1154" s="23"/>
      <c r="AST1154" s="23"/>
      <c r="ASU1154" s="23"/>
      <c r="ASV1154" s="23"/>
      <c r="ASW1154" s="23"/>
      <c r="ASX1154" s="23"/>
      <c r="ASY1154" s="23"/>
      <c r="ASZ1154" s="23"/>
      <c r="ATA1154" s="23"/>
      <c r="ATB1154" s="23"/>
      <c r="ATC1154" s="23"/>
      <c r="ATD1154" s="23"/>
      <c r="ATE1154" s="23"/>
      <c r="ATF1154" s="23"/>
      <c r="ATG1154" s="23"/>
      <c r="ATH1154" s="23"/>
      <c r="ATI1154" s="23"/>
      <c r="ATJ1154" s="23"/>
      <c r="ATK1154" s="23"/>
      <c r="ATL1154" s="23"/>
      <c r="ATM1154" s="23"/>
      <c r="ATN1154" s="23"/>
      <c r="ATO1154" s="23"/>
      <c r="ATP1154" s="23"/>
      <c r="ATQ1154" s="23"/>
      <c r="ATR1154" s="23"/>
      <c r="ATS1154" s="23"/>
      <c r="ATT1154" s="23"/>
      <c r="ATU1154" s="23"/>
      <c r="ATV1154" s="23"/>
      <c r="ATW1154" s="23"/>
      <c r="ATX1154" s="23"/>
      <c r="ATY1154" s="23"/>
      <c r="ATZ1154" s="23"/>
      <c r="AUA1154" s="23"/>
      <c r="AUB1154" s="23"/>
      <c r="AUC1154" s="23"/>
      <c r="AUD1154" s="23"/>
      <c r="AUE1154" s="23"/>
      <c r="AUF1154" s="23"/>
      <c r="AUG1154" s="23"/>
      <c r="AUH1154" s="23"/>
      <c r="AUI1154" s="23"/>
      <c r="AUJ1154" s="23"/>
      <c r="AUK1154" s="23"/>
      <c r="AUL1154" s="23"/>
      <c r="AUM1154" s="23"/>
      <c r="AUN1154" s="23"/>
      <c r="AUO1154" s="23"/>
      <c r="AUP1154" s="23"/>
      <c r="AUQ1154" s="23"/>
      <c r="AUR1154" s="23"/>
      <c r="AUS1154" s="23"/>
      <c r="AUT1154" s="23"/>
      <c r="AUU1154" s="23"/>
      <c r="AUV1154" s="23"/>
      <c r="AUW1154" s="23"/>
      <c r="AUX1154" s="23"/>
      <c r="AUY1154" s="23"/>
      <c r="AUZ1154" s="23"/>
      <c r="AVA1154" s="23"/>
      <c r="AVB1154" s="23"/>
      <c r="AVC1154" s="23"/>
      <c r="AVD1154" s="23"/>
      <c r="AVE1154" s="23"/>
      <c r="AVF1154" s="23"/>
      <c r="AVG1154" s="23"/>
      <c r="AVH1154" s="23"/>
      <c r="AVI1154" s="23"/>
      <c r="AVJ1154" s="23"/>
      <c r="AVK1154" s="23"/>
      <c r="AVL1154" s="23"/>
      <c r="AVM1154" s="23"/>
      <c r="AVN1154" s="23"/>
      <c r="AVO1154" s="23"/>
      <c r="AVP1154" s="23"/>
      <c r="AVQ1154" s="23"/>
      <c r="AVR1154" s="23"/>
      <c r="AVS1154" s="23"/>
      <c r="AVT1154" s="23"/>
      <c r="AVU1154" s="23"/>
      <c r="AVV1154" s="23"/>
      <c r="AVW1154" s="23"/>
      <c r="AVX1154" s="23"/>
      <c r="AVY1154" s="23"/>
      <c r="AVZ1154" s="23"/>
      <c r="AWA1154" s="23"/>
      <c r="AWB1154" s="23"/>
      <c r="AWC1154" s="23"/>
      <c r="AWD1154" s="23"/>
      <c r="AWE1154" s="23"/>
      <c r="AWF1154" s="23"/>
      <c r="AWG1154" s="23"/>
      <c r="AWH1154" s="23"/>
      <c r="AWI1154" s="23"/>
      <c r="AWJ1154" s="23"/>
      <c r="AWK1154" s="23"/>
      <c r="AWL1154" s="23"/>
      <c r="AWM1154" s="23"/>
      <c r="AWN1154" s="23"/>
      <c r="AWO1154" s="23"/>
      <c r="AWP1154" s="23"/>
      <c r="AWQ1154" s="23"/>
      <c r="AWR1154" s="23"/>
      <c r="AWS1154" s="23"/>
      <c r="AWT1154" s="23"/>
      <c r="AWU1154" s="23"/>
      <c r="AWV1154" s="23"/>
      <c r="AWW1154" s="23"/>
      <c r="AWX1154" s="23"/>
      <c r="AWY1154" s="23"/>
      <c r="AWZ1154" s="23"/>
      <c r="AXA1154" s="23"/>
      <c r="AXB1154" s="23"/>
      <c r="AXC1154" s="23"/>
      <c r="AXD1154" s="23"/>
      <c r="AXE1154" s="23"/>
      <c r="AXF1154" s="23"/>
      <c r="AXG1154" s="23"/>
      <c r="AXH1154" s="23"/>
      <c r="AXI1154" s="23"/>
      <c r="AXJ1154" s="23"/>
      <c r="AXK1154" s="23"/>
      <c r="AXL1154" s="23"/>
      <c r="AXM1154" s="23"/>
      <c r="AXN1154" s="23"/>
      <c r="AXO1154" s="23"/>
      <c r="AXP1154" s="23"/>
      <c r="AXQ1154" s="23"/>
      <c r="AXR1154" s="23"/>
      <c r="AXS1154" s="23"/>
      <c r="AXT1154" s="23"/>
      <c r="AXU1154" s="23"/>
      <c r="AXV1154" s="23"/>
      <c r="AXW1154" s="23"/>
      <c r="AXX1154" s="23"/>
      <c r="AXY1154" s="23"/>
      <c r="AXZ1154" s="23"/>
      <c r="AYA1154" s="23"/>
      <c r="AYB1154" s="23"/>
      <c r="AYC1154" s="23"/>
      <c r="AYD1154" s="23"/>
      <c r="AYE1154" s="23"/>
      <c r="AYF1154" s="23"/>
      <c r="AYG1154" s="23"/>
      <c r="AYH1154" s="23"/>
      <c r="AYI1154" s="23"/>
      <c r="AYJ1154" s="23"/>
      <c r="AYK1154" s="23"/>
      <c r="AYL1154" s="23"/>
      <c r="AYM1154" s="23"/>
      <c r="AYN1154" s="23"/>
      <c r="AYO1154" s="23"/>
      <c r="AYP1154" s="23"/>
      <c r="AYQ1154" s="23"/>
      <c r="AYR1154" s="23"/>
      <c r="AYS1154" s="23"/>
      <c r="AYT1154" s="23"/>
      <c r="AYU1154" s="23"/>
      <c r="AYV1154" s="23"/>
      <c r="AYW1154" s="23"/>
      <c r="AYX1154" s="23"/>
      <c r="AYY1154" s="23"/>
      <c r="AYZ1154" s="23"/>
      <c r="AZA1154" s="23"/>
      <c r="AZB1154" s="23"/>
      <c r="AZC1154" s="23"/>
      <c r="AZD1154" s="23"/>
      <c r="AZE1154" s="23"/>
      <c r="AZF1154" s="23"/>
      <c r="AZG1154" s="23"/>
      <c r="AZH1154" s="23"/>
      <c r="AZI1154" s="23"/>
      <c r="AZJ1154" s="23"/>
      <c r="AZK1154" s="23"/>
      <c r="AZL1154" s="23"/>
      <c r="AZM1154" s="23"/>
      <c r="AZN1154" s="23"/>
      <c r="AZO1154" s="23"/>
      <c r="AZP1154" s="23"/>
      <c r="AZQ1154" s="23"/>
      <c r="AZR1154" s="23"/>
      <c r="AZS1154" s="23"/>
      <c r="AZT1154" s="23"/>
      <c r="AZU1154" s="23"/>
      <c r="AZV1154" s="23"/>
      <c r="AZW1154" s="23"/>
      <c r="AZX1154" s="23"/>
      <c r="AZY1154" s="23"/>
      <c r="AZZ1154" s="23"/>
      <c r="BAA1154" s="23"/>
      <c r="BAB1154" s="23"/>
      <c r="BAC1154" s="23"/>
      <c r="BAD1154" s="23"/>
      <c r="BAE1154" s="23"/>
      <c r="BAF1154" s="23"/>
      <c r="BAG1154" s="23"/>
      <c r="BAH1154" s="23"/>
      <c r="BAI1154" s="23"/>
      <c r="BAJ1154" s="23"/>
      <c r="BAK1154" s="23"/>
      <c r="BAL1154" s="23"/>
      <c r="BAM1154" s="23"/>
      <c r="BAN1154" s="23"/>
      <c r="BAO1154" s="23"/>
      <c r="BAP1154" s="23"/>
      <c r="BAQ1154" s="23"/>
      <c r="BAR1154" s="23"/>
      <c r="BAS1154" s="23"/>
      <c r="BAT1154" s="23"/>
      <c r="BAU1154" s="23"/>
      <c r="BAV1154" s="23"/>
      <c r="BAW1154" s="23"/>
      <c r="BAX1154" s="23"/>
      <c r="BAY1154" s="23"/>
      <c r="BAZ1154" s="23"/>
      <c r="BBA1154" s="23"/>
      <c r="BBB1154" s="23"/>
      <c r="BBC1154" s="23"/>
      <c r="BBD1154" s="23"/>
      <c r="BBE1154" s="23"/>
      <c r="BBF1154" s="23"/>
      <c r="BBG1154" s="23"/>
      <c r="BBH1154" s="23"/>
      <c r="BBI1154" s="23"/>
      <c r="BBJ1154" s="23"/>
      <c r="BBK1154" s="23"/>
      <c r="BBL1154" s="23"/>
      <c r="BBM1154" s="23"/>
      <c r="BBN1154" s="23"/>
      <c r="BBO1154" s="23"/>
      <c r="BBP1154" s="23"/>
      <c r="BBQ1154" s="23"/>
      <c r="BBR1154" s="23"/>
      <c r="BBS1154" s="23"/>
      <c r="BBT1154" s="23"/>
      <c r="BBU1154" s="23"/>
      <c r="BBV1154" s="23"/>
      <c r="BBW1154" s="23"/>
      <c r="BBX1154" s="23"/>
      <c r="BBY1154" s="23"/>
      <c r="BBZ1154" s="23"/>
      <c r="BCA1154" s="23"/>
      <c r="BCB1154" s="23"/>
      <c r="BCC1154" s="23"/>
      <c r="BCD1154" s="23"/>
      <c r="BCE1154" s="23"/>
      <c r="BCF1154" s="23"/>
      <c r="BCG1154" s="23"/>
      <c r="BCH1154" s="23"/>
      <c r="BCI1154" s="23"/>
      <c r="BCJ1154" s="23"/>
      <c r="BCK1154" s="23"/>
      <c r="BCL1154" s="23"/>
      <c r="BCM1154" s="23"/>
      <c r="BCN1154" s="23"/>
      <c r="BCO1154" s="23"/>
      <c r="BCP1154" s="23"/>
      <c r="BCQ1154" s="23"/>
      <c r="BCR1154" s="23"/>
      <c r="BCS1154" s="23"/>
      <c r="BCT1154" s="23"/>
      <c r="BCU1154" s="23"/>
      <c r="BCV1154" s="23"/>
      <c r="BCW1154" s="23"/>
      <c r="BCX1154" s="23"/>
      <c r="BCY1154" s="23"/>
      <c r="BCZ1154" s="23"/>
      <c r="BDA1154" s="23"/>
      <c r="BDB1154" s="23"/>
      <c r="BDC1154" s="23"/>
      <c r="BDD1154" s="23"/>
      <c r="BDE1154" s="23"/>
      <c r="BDF1154" s="23"/>
      <c r="BDG1154" s="23"/>
      <c r="BDH1154" s="23"/>
      <c r="BDI1154" s="23"/>
      <c r="BDJ1154" s="23"/>
      <c r="BDK1154" s="23"/>
      <c r="BDL1154" s="23"/>
      <c r="BDM1154" s="23"/>
      <c r="BDN1154" s="23"/>
      <c r="BDO1154" s="23"/>
      <c r="BDP1154" s="23"/>
      <c r="BDQ1154" s="23"/>
      <c r="BDR1154" s="23"/>
      <c r="BDS1154" s="23"/>
      <c r="BDT1154" s="23"/>
      <c r="BDU1154" s="23"/>
      <c r="BDV1154" s="23"/>
      <c r="BDW1154" s="23"/>
      <c r="BDX1154" s="23"/>
      <c r="BDY1154" s="23"/>
      <c r="BDZ1154" s="23"/>
      <c r="BEA1154" s="23"/>
      <c r="BEB1154" s="23"/>
      <c r="BEC1154" s="23"/>
      <c r="BED1154" s="23"/>
      <c r="BEE1154" s="23"/>
      <c r="BEF1154" s="23"/>
      <c r="BEG1154" s="23"/>
      <c r="BEH1154" s="23"/>
      <c r="BEI1154" s="23"/>
      <c r="BEJ1154" s="23"/>
      <c r="BEK1154" s="23"/>
      <c r="BEL1154" s="23"/>
      <c r="BEM1154" s="23"/>
      <c r="BEN1154" s="23"/>
      <c r="BEO1154" s="23"/>
      <c r="BEP1154" s="23"/>
      <c r="BEQ1154" s="23"/>
      <c r="BER1154" s="23"/>
      <c r="BES1154" s="23"/>
      <c r="BET1154" s="23"/>
      <c r="BEU1154" s="23"/>
      <c r="BEV1154" s="23"/>
      <c r="BEW1154" s="23"/>
      <c r="BEX1154" s="23"/>
      <c r="BEY1154" s="23"/>
      <c r="BEZ1154" s="23"/>
      <c r="BFA1154" s="23"/>
      <c r="BFB1154" s="23"/>
      <c r="BFC1154" s="23"/>
      <c r="BFD1154" s="23"/>
      <c r="BFE1154" s="23"/>
      <c r="BFF1154" s="23"/>
      <c r="BFG1154" s="23"/>
      <c r="BFH1154" s="23"/>
      <c r="BFI1154" s="23"/>
      <c r="BFJ1154" s="23"/>
      <c r="BFK1154" s="23"/>
      <c r="BFL1154" s="23"/>
      <c r="BFM1154" s="23"/>
      <c r="BFN1154" s="23"/>
      <c r="BFO1154" s="23"/>
      <c r="BFP1154" s="23"/>
      <c r="BFQ1154" s="23"/>
      <c r="BFR1154" s="23"/>
      <c r="BFS1154" s="23"/>
      <c r="BFT1154" s="23"/>
      <c r="BFU1154" s="23"/>
      <c r="BFV1154" s="23"/>
      <c r="BFW1154" s="23"/>
      <c r="BFX1154" s="23"/>
      <c r="BFY1154" s="23"/>
      <c r="BFZ1154" s="23"/>
      <c r="BGA1154" s="23"/>
      <c r="BGB1154" s="23"/>
      <c r="BGC1154" s="23"/>
      <c r="BGD1154" s="23"/>
      <c r="BGE1154" s="23"/>
      <c r="BGF1154" s="23"/>
      <c r="BGG1154" s="23"/>
      <c r="BGH1154" s="23"/>
      <c r="BGI1154" s="23"/>
      <c r="BGJ1154" s="23"/>
      <c r="BGK1154" s="23"/>
      <c r="BGL1154" s="23"/>
      <c r="BGM1154" s="23"/>
      <c r="BGN1154" s="23"/>
      <c r="BGO1154" s="23"/>
      <c r="BGP1154" s="23"/>
      <c r="BGQ1154" s="23"/>
      <c r="BGR1154" s="23"/>
      <c r="BGS1154" s="23"/>
      <c r="BGT1154" s="23"/>
      <c r="BGU1154" s="23"/>
      <c r="BGV1154" s="23"/>
      <c r="BGW1154" s="23"/>
      <c r="BGX1154" s="23"/>
      <c r="BGY1154" s="23"/>
      <c r="BGZ1154" s="23"/>
      <c r="BHA1154" s="23"/>
      <c r="BHB1154" s="23"/>
      <c r="BHC1154" s="23"/>
      <c r="BHD1154" s="23"/>
      <c r="BHE1154" s="23"/>
      <c r="BHF1154" s="23"/>
      <c r="BHG1154" s="23"/>
      <c r="BHH1154" s="23"/>
      <c r="BHI1154" s="23"/>
      <c r="BHJ1154" s="23"/>
      <c r="BHK1154" s="23"/>
      <c r="BHL1154" s="23"/>
      <c r="BHM1154" s="23"/>
      <c r="BHN1154" s="23"/>
      <c r="BHO1154" s="23"/>
      <c r="BHP1154" s="23"/>
      <c r="BHQ1154" s="23"/>
      <c r="BHR1154" s="23"/>
      <c r="BHS1154" s="23"/>
      <c r="BHT1154" s="23"/>
      <c r="BHU1154" s="23"/>
      <c r="BHV1154" s="23"/>
      <c r="BHW1154" s="23"/>
      <c r="BHX1154" s="23"/>
      <c r="BHY1154" s="23"/>
      <c r="BHZ1154" s="23"/>
      <c r="BIA1154" s="23"/>
      <c r="BIB1154" s="23"/>
      <c r="BIC1154" s="23"/>
      <c r="BID1154" s="23"/>
      <c r="BIE1154" s="23"/>
      <c r="BIF1154" s="23"/>
      <c r="BIG1154" s="23"/>
      <c r="BIH1154" s="23"/>
      <c r="BII1154" s="23"/>
      <c r="BIJ1154" s="23"/>
      <c r="BIK1154" s="23"/>
      <c r="BIL1154" s="23"/>
      <c r="BIM1154" s="23"/>
      <c r="BIN1154" s="23"/>
      <c r="BIO1154" s="23"/>
      <c r="BIP1154" s="23"/>
      <c r="BIQ1154" s="23"/>
      <c r="BIR1154" s="23"/>
      <c r="BIS1154" s="23"/>
      <c r="BIT1154" s="23"/>
      <c r="BIU1154" s="23"/>
      <c r="BIV1154" s="23"/>
      <c r="BIW1154" s="23"/>
      <c r="BIX1154" s="23"/>
      <c r="BIY1154" s="23"/>
      <c r="BIZ1154" s="23"/>
      <c r="BJA1154" s="23"/>
      <c r="BJB1154" s="23"/>
      <c r="BJC1154" s="23"/>
      <c r="BJD1154" s="23"/>
      <c r="BJE1154" s="23"/>
      <c r="BJF1154" s="23"/>
      <c r="BJG1154" s="23"/>
      <c r="BJH1154" s="23"/>
      <c r="BJI1154" s="23"/>
      <c r="BJJ1154" s="23"/>
      <c r="BJK1154" s="23"/>
      <c r="BJL1154" s="23"/>
      <c r="BJM1154" s="23"/>
      <c r="BJN1154" s="23"/>
      <c r="BJO1154" s="23"/>
      <c r="BJP1154" s="23"/>
      <c r="BJQ1154" s="23"/>
      <c r="BJR1154" s="23"/>
      <c r="BJS1154" s="23"/>
      <c r="BJT1154" s="23"/>
      <c r="BJU1154" s="23"/>
      <c r="BJV1154" s="23"/>
      <c r="BJW1154" s="23"/>
      <c r="BJX1154" s="23"/>
      <c r="BJY1154" s="23"/>
      <c r="BJZ1154" s="23"/>
      <c r="BKA1154" s="23"/>
      <c r="BKB1154" s="23"/>
      <c r="BKC1154" s="23"/>
      <c r="BKD1154" s="23"/>
      <c r="BKE1154" s="23"/>
      <c r="BKF1154" s="23"/>
      <c r="BKG1154" s="23"/>
      <c r="BKH1154" s="23"/>
      <c r="BKI1154" s="23"/>
      <c r="BKJ1154" s="23"/>
      <c r="BKK1154" s="23"/>
      <c r="BKL1154" s="23"/>
      <c r="BKM1154" s="23"/>
      <c r="BKN1154" s="23"/>
      <c r="BKO1154" s="23"/>
      <c r="BKP1154" s="23"/>
      <c r="BKQ1154" s="23"/>
      <c r="BKR1154" s="23"/>
      <c r="BKS1154" s="23"/>
      <c r="BKT1154" s="23"/>
      <c r="BKU1154" s="23"/>
      <c r="BKV1154" s="23"/>
      <c r="BKW1154" s="23"/>
      <c r="BKX1154" s="23"/>
      <c r="BKY1154" s="23"/>
      <c r="BKZ1154" s="23"/>
      <c r="BLA1154" s="23"/>
      <c r="BLB1154" s="23"/>
      <c r="BLC1154" s="23"/>
      <c r="BLD1154" s="23"/>
      <c r="BLE1154" s="23"/>
      <c r="BLF1154" s="23"/>
      <c r="BLG1154" s="23"/>
      <c r="BLH1154" s="23"/>
      <c r="BLI1154" s="23"/>
      <c r="BLJ1154" s="23"/>
      <c r="BLK1154" s="23"/>
      <c r="BLL1154" s="23"/>
      <c r="BLM1154" s="23"/>
      <c r="BLN1154" s="23"/>
      <c r="BLO1154" s="23"/>
      <c r="BLP1154" s="23"/>
      <c r="BLQ1154" s="23"/>
      <c r="BLR1154" s="23"/>
      <c r="BLS1154" s="23"/>
      <c r="BLT1154" s="23"/>
      <c r="BLU1154" s="23"/>
      <c r="BLV1154" s="23"/>
      <c r="BLW1154" s="23"/>
      <c r="BLX1154" s="23"/>
      <c r="BLY1154" s="23"/>
      <c r="BLZ1154" s="23"/>
      <c r="BMA1154" s="23"/>
      <c r="BMB1154" s="23"/>
      <c r="BMC1154" s="23"/>
      <c r="BMD1154" s="23"/>
      <c r="BME1154" s="23"/>
      <c r="BMF1154" s="23"/>
      <c r="BMG1154" s="23"/>
      <c r="BMH1154" s="23"/>
      <c r="BMI1154" s="23"/>
      <c r="BMJ1154" s="23"/>
      <c r="BMK1154" s="23"/>
      <c r="BML1154" s="23"/>
      <c r="BMM1154" s="23"/>
      <c r="BMN1154" s="23"/>
      <c r="BMO1154" s="23"/>
      <c r="BMP1154" s="23"/>
      <c r="BMQ1154" s="23"/>
      <c r="BMR1154" s="23"/>
      <c r="BMS1154" s="23"/>
      <c r="BMT1154" s="23"/>
      <c r="BMU1154" s="23"/>
      <c r="BMV1154" s="23"/>
      <c r="BMW1154" s="23"/>
      <c r="BMX1154" s="23"/>
      <c r="BMY1154" s="23"/>
      <c r="BMZ1154" s="23"/>
      <c r="BNA1154" s="23"/>
      <c r="BNB1154" s="23"/>
      <c r="BNC1154" s="23"/>
      <c r="BND1154" s="23"/>
      <c r="BNE1154" s="23"/>
      <c r="BNF1154" s="23"/>
      <c r="BNG1154" s="23"/>
      <c r="BNH1154" s="23"/>
      <c r="BNI1154" s="23"/>
      <c r="BNJ1154" s="23"/>
      <c r="BNK1154" s="23"/>
      <c r="BNL1154" s="23"/>
      <c r="BNM1154" s="23"/>
      <c r="BNN1154" s="23"/>
      <c r="BNO1154" s="23"/>
      <c r="BNP1154" s="23"/>
      <c r="BNQ1154" s="23"/>
      <c r="BNR1154" s="23"/>
      <c r="BNS1154" s="23"/>
      <c r="BNT1154" s="23"/>
      <c r="BNU1154" s="23"/>
      <c r="BNV1154" s="23"/>
      <c r="BNW1154" s="23"/>
      <c r="BNX1154" s="23"/>
      <c r="BNY1154" s="23"/>
      <c r="BNZ1154" s="23"/>
      <c r="BOA1154" s="23"/>
      <c r="BOB1154" s="23"/>
      <c r="BOC1154" s="23"/>
      <c r="BOD1154" s="23"/>
      <c r="BOE1154" s="23"/>
      <c r="BOF1154" s="23"/>
      <c r="BOG1154" s="23"/>
      <c r="BOH1154" s="23"/>
      <c r="BOI1154" s="23"/>
      <c r="BOJ1154" s="23"/>
      <c r="BOK1154" s="23"/>
      <c r="BOL1154" s="23"/>
      <c r="BOM1154" s="23"/>
      <c r="BON1154" s="23"/>
      <c r="BOO1154" s="23"/>
      <c r="BOP1154" s="23"/>
      <c r="BOQ1154" s="23"/>
      <c r="BOR1154" s="23"/>
      <c r="BOS1154" s="23"/>
      <c r="BOT1154" s="23"/>
      <c r="BOU1154" s="23"/>
      <c r="BOV1154" s="23"/>
      <c r="BOW1154" s="23"/>
      <c r="BOX1154" s="23"/>
      <c r="BOY1154" s="23"/>
      <c r="BOZ1154" s="23"/>
      <c r="BPA1154" s="23"/>
      <c r="BPB1154" s="23"/>
      <c r="BPC1154" s="23"/>
      <c r="BPD1154" s="23"/>
      <c r="BPE1154" s="23"/>
      <c r="BPF1154" s="23"/>
      <c r="BPG1154" s="23"/>
      <c r="BPH1154" s="23"/>
      <c r="BPI1154" s="23"/>
      <c r="BPJ1154" s="23"/>
      <c r="BPK1154" s="23"/>
      <c r="BPL1154" s="23"/>
      <c r="BPM1154" s="23"/>
      <c r="BPN1154" s="23"/>
      <c r="BPO1154" s="23"/>
      <c r="BPP1154" s="23"/>
      <c r="BPQ1154" s="23"/>
      <c r="BPR1154" s="23"/>
      <c r="BPS1154" s="23"/>
      <c r="BPT1154" s="23"/>
      <c r="BPU1154" s="23"/>
      <c r="BPV1154" s="23"/>
      <c r="BPW1154" s="23"/>
      <c r="BPX1154" s="23"/>
      <c r="BPY1154" s="23"/>
      <c r="BPZ1154" s="23"/>
      <c r="BQA1154" s="23"/>
      <c r="BQB1154" s="23"/>
      <c r="BQC1154" s="23"/>
      <c r="BQD1154" s="23"/>
      <c r="BQE1154" s="23"/>
      <c r="BQF1154" s="23"/>
      <c r="BQG1154" s="23"/>
      <c r="BQH1154" s="23"/>
      <c r="BQI1154" s="23"/>
      <c r="BQJ1154" s="23"/>
      <c r="BQK1154" s="23"/>
      <c r="BQL1154" s="23"/>
      <c r="BQM1154" s="23"/>
      <c r="BQN1154" s="23"/>
      <c r="BQO1154" s="23"/>
      <c r="BQP1154" s="23"/>
      <c r="BQQ1154" s="23"/>
      <c r="BQR1154" s="23"/>
      <c r="BQS1154" s="23"/>
      <c r="BQT1154" s="23"/>
      <c r="BQU1154" s="23"/>
      <c r="BQV1154" s="23"/>
      <c r="BQW1154" s="23"/>
      <c r="BQX1154" s="23"/>
      <c r="BQY1154" s="23"/>
      <c r="BQZ1154" s="23"/>
      <c r="BRA1154" s="23"/>
      <c r="BRB1154" s="23"/>
      <c r="BRC1154" s="23"/>
      <c r="BRD1154" s="23"/>
      <c r="BRE1154" s="23"/>
      <c r="BRF1154" s="23"/>
      <c r="BRG1154" s="23"/>
      <c r="BRH1154" s="23"/>
      <c r="BRI1154" s="23"/>
      <c r="BRJ1154" s="23"/>
      <c r="BRK1154" s="23"/>
      <c r="BRL1154" s="23"/>
      <c r="BRM1154" s="23"/>
      <c r="BRN1154" s="23"/>
      <c r="BRO1154" s="23"/>
      <c r="BRP1154" s="23"/>
      <c r="BRQ1154" s="23"/>
      <c r="BRR1154" s="23"/>
      <c r="BRS1154" s="23"/>
      <c r="BRT1154" s="23"/>
      <c r="BRU1154" s="23"/>
      <c r="BRV1154" s="23"/>
      <c r="BRW1154" s="23"/>
      <c r="BRX1154" s="23"/>
      <c r="BRY1154" s="23"/>
      <c r="BRZ1154" s="23"/>
      <c r="BSA1154" s="23"/>
      <c r="BSB1154" s="23"/>
      <c r="BSC1154" s="23"/>
      <c r="BSD1154" s="23"/>
      <c r="BSE1154" s="23"/>
      <c r="BSF1154" s="23"/>
      <c r="BSG1154" s="23"/>
      <c r="BSH1154" s="23"/>
      <c r="BSI1154" s="23"/>
      <c r="BSJ1154" s="23"/>
      <c r="BSK1154" s="23"/>
      <c r="BSL1154" s="23"/>
      <c r="BSM1154" s="23"/>
      <c r="BSN1154" s="23"/>
      <c r="BSO1154" s="23"/>
      <c r="BSP1154" s="23"/>
      <c r="BSQ1154" s="23"/>
      <c r="BSR1154" s="23"/>
      <c r="BSS1154" s="23"/>
      <c r="BST1154" s="23"/>
      <c r="BSU1154" s="23"/>
      <c r="BSV1154" s="23"/>
      <c r="BSW1154" s="23"/>
      <c r="BSX1154" s="23"/>
      <c r="BSY1154" s="23"/>
      <c r="BSZ1154" s="23"/>
      <c r="BTA1154" s="23"/>
    </row>
    <row r="1155" spans="1:1873" s="149" customFormat="1" x14ac:dyDescent="0.2">
      <c r="A1155" s="327"/>
      <c r="B1155" s="257"/>
      <c r="C1155" s="257"/>
      <c r="D1155" s="257"/>
      <c r="E1155" s="599"/>
      <c r="F1155" s="598"/>
      <c r="G1155" s="597"/>
      <c r="H1155" s="600"/>
      <c r="I1155" s="601"/>
      <c r="J1155" s="599"/>
      <c r="K1155" s="599"/>
      <c r="L1155" s="599"/>
      <c r="M1155" s="261"/>
      <c r="N1155" s="257"/>
      <c r="O1155" s="29"/>
      <c r="P1155" s="602"/>
      <c r="Q1155" s="257"/>
      <c r="R1155" s="261"/>
      <c r="S1155" s="257"/>
      <c r="T1155" s="603"/>
      <c r="U1155" s="257"/>
      <c r="V1155" s="257"/>
      <c r="W1155" s="261"/>
      <c r="X1155" s="257"/>
      <c r="Y1155" s="257"/>
      <c r="Z1155" s="597"/>
      <c r="AA1155" s="257"/>
      <c r="AB1155" s="602"/>
      <c r="AC1155" s="605"/>
      <c r="AD1155" s="605"/>
      <c r="AE1155" s="605"/>
      <c r="AF1155" s="605"/>
      <c r="AG1155" s="605"/>
      <c r="AH1155" s="605"/>
      <c r="AI1155" s="605"/>
      <c r="AJ1155" s="605"/>
      <c r="AK1155" s="605"/>
      <c r="AL1155" s="605"/>
      <c r="AM1155" s="605"/>
      <c r="AN1155" s="605"/>
      <c r="AO1155" s="605"/>
      <c r="AP1155" s="605"/>
      <c r="AQ1155" s="597"/>
      <c r="AR1155" s="599"/>
      <c r="AS1155" s="599"/>
      <c r="AT1155" s="599"/>
      <c r="AU1155" s="599"/>
      <c r="AV1155" s="257"/>
      <c r="AW1155" s="257"/>
      <c r="AX1155" s="599"/>
      <c r="AY1155" s="599"/>
      <c r="AZ1155" s="599"/>
      <c r="BA1155" s="599"/>
      <c r="BB1155" s="599"/>
      <c r="BC1155" s="599"/>
      <c r="BD1155" s="599"/>
      <c r="BE1155" s="599"/>
      <c r="BF1155" s="599"/>
      <c r="BG1155" s="599"/>
      <c r="BH1155" s="599"/>
      <c r="BI1155" s="599"/>
      <c r="BJ1155" s="257"/>
      <c r="BK1155" s="257"/>
      <c r="BL1155" s="599"/>
      <c r="BM1155" s="257"/>
      <c r="BN1155" s="599"/>
      <c r="BO1155" s="257"/>
      <c r="BP1155" s="257"/>
      <c r="BQ1155" s="257"/>
      <c r="BR1155" s="257"/>
      <c r="BS1155" s="263"/>
      <c r="BT1155" s="257"/>
      <c r="BU1155" s="257"/>
      <c r="BV1155" s="257"/>
      <c r="BW1155" s="257"/>
      <c r="BX1155" s="257"/>
      <c r="BY1155" s="257"/>
      <c r="BZ1155" s="257"/>
      <c r="CA1155" s="606"/>
      <c r="CB1155" s="607"/>
      <c r="CC1155" s="598"/>
      <c r="CD1155" s="597"/>
      <c r="CE1155" s="342" t="s">
        <v>1576</v>
      </c>
      <c r="CF1155" s="342" t="s">
        <v>1575</v>
      </c>
      <c r="CG1155" s="161"/>
    </row>
    <row r="1156" spans="1:1873" s="149" customFormat="1" x14ac:dyDescent="0.2">
      <c r="A1156" s="257" t="s">
        <v>545</v>
      </c>
      <c r="B1156" s="257" t="s">
        <v>1196</v>
      </c>
      <c r="C1156" s="257" t="s">
        <v>924</v>
      </c>
      <c r="D1156" s="257" t="s">
        <v>1254</v>
      </c>
      <c r="E1156" s="257" t="s">
        <v>882</v>
      </c>
      <c r="F1156" s="257">
        <v>1</v>
      </c>
      <c r="G1156" s="257">
        <v>1</v>
      </c>
      <c r="H1156" s="263">
        <v>1</v>
      </c>
      <c r="I1156" s="601" t="s">
        <v>842</v>
      </c>
      <c r="J1156" s="599">
        <v>1997</v>
      </c>
      <c r="K1156" s="599" t="s">
        <v>1211</v>
      </c>
      <c r="L1156" s="257">
        <v>1997</v>
      </c>
      <c r="M1156" s="261">
        <v>-9999</v>
      </c>
      <c r="N1156" s="257">
        <v>-9999</v>
      </c>
      <c r="O1156" s="29"/>
      <c r="P1156" s="261">
        <v>-9999</v>
      </c>
      <c r="Q1156" s="257">
        <v>-9999</v>
      </c>
      <c r="R1156" s="261"/>
      <c r="S1156" s="257"/>
      <c r="T1156" s="261">
        <v>-9999</v>
      </c>
      <c r="U1156" s="257">
        <v>-9999</v>
      </c>
      <c r="V1156" s="257"/>
      <c r="W1156" s="261">
        <v>-9999</v>
      </c>
      <c r="X1156" s="257">
        <v>-9999</v>
      </c>
      <c r="Y1156" s="257"/>
      <c r="Z1156" s="597" t="s">
        <v>884</v>
      </c>
      <c r="AA1156" s="257">
        <v>1389</v>
      </c>
      <c r="AB1156" s="602">
        <v>0.92</v>
      </c>
      <c r="AC1156" s="605" t="s">
        <v>926</v>
      </c>
      <c r="AD1156" s="605">
        <v>144</v>
      </c>
      <c r="AE1156" s="605" t="s">
        <v>922</v>
      </c>
      <c r="AF1156" s="605">
        <v>36</v>
      </c>
      <c r="AG1156" s="605" t="s">
        <v>949</v>
      </c>
      <c r="AH1156" s="605" t="s">
        <v>885</v>
      </c>
      <c r="AI1156" s="605" t="s">
        <v>886</v>
      </c>
      <c r="AJ1156" s="605">
        <v>-9999</v>
      </c>
      <c r="AK1156" s="605" t="s">
        <v>947</v>
      </c>
      <c r="AL1156" s="605" t="s">
        <v>828</v>
      </c>
      <c r="AM1156" s="605" t="s">
        <v>948</v>
      </c>
      <c r="AN1156" s="605" t="s">
        <v>631</v>
      </c>
      <c r="AO1156" s="605">
        <v>-9999</v>
      </c>
      <c r="AP1156" s="605">
        <v>-9999</v>
      </c>
      <c r="AQ1156" s="597" t="s">
        <v>626</v>
      </c>
      <c r="AR1156" s="257">
        <v>40</v>
      </c>
      <c r="AS1156" s="257" t="s">
        <v>934</v>
      </c>
      <c r="AT1156" s="599" t="s">
        <v>275</v>
      </c>
      <c r="AU1156" s="599">
        <v>103</v>
      </c>
      <c r="AV1156" s="257" t="s">
        <v>936</v>
      </c>
      <c r="AW1156" s="257" t="s">
        <v>94</v>
      </c>
      <c r="AX1156" s="599">
        <v>0</v>
      </c>
      <c r="AY1156" s="599">
        <v>-9999</v>
      </c>
      <c r="AZ1156" s="599">
        <v>-9999</v>
      </c>
      <c r="BA1156" s="599">
        <v>-9999</v>
      </c>
      <c r="BB1156" s="257" t="s">
        <v>626</v>
      </c>
      <c r="BC1156" s="257" t="s">
        <v>919</v>
      </c>
      <c r="BD1156" s="257" t="s">
        <v>920</v>
      </c>
      <c r="BE1156" s="257" t="s">
        <v>95</v>
      </c>
      <c r="BF1156" s="257" t="s">
        <v>918</v>
      </c>
      <c r="BG1156" s="257" t="s">
        <v>921</v>
      </c>
      <c r="BH1156" s="599">
        <v>-9999</v>
      </c>
      <c r="BI1156" s="257" t="s">
        <v>945</v>
      </c>
      <c r="BJ1156" s="257">
        <v>-9999</v>
      </c>
      <c r="BK1156" s="257">
        <v>-9999</v>
      </c>
      <c r="BL1156" s="599">
        <v>1.7</v>
      </c>
      <c r="BM1156" s="257">
        <v>0</v>
      </c>
      <c r="BN1156" s="264" t="s">
        <v>59</v>
      </c>
      <c r="BO1156" s="264" t="s">
        <v>59</v>
      </c>
      <c r="BP1156" s="257">
        <v>-9999</v>
      </c>
      <c r="BQ1156" s="257">
        <v>-9999</v>
      </c>
      <c r="BR1156" s="257">
        <v>-9999</v>
      </c>
      <c r="BS1156" s="263">
        <v>-9999</v>
      </c>
      <c r="BT1156" s="257">
        <v>-9999</v>
      </c>
      <c r="BU1156" s="257">
        <v>-9999</v>
      </c>
      <c r="BV1156" s="257">
        <v>-9999</v>
      </c>
      <c r="BW1156" s="257"/>
      <c r="BX1156" s="257">
        <v>-9999</v>
      </c>
      <c r="BY1156" s="257">
        <v>-9999</v>
      </c>
      <c r="BZ1156" s="257">
        <v>-9999</v>
      </c>
      <c r="CA1156" s="606" t="s">
        <v>524</v>
      </c>
      <c r="CB1156" s="607"/>
      <c r="CC1156" s="257">
        <v>1</v>
      </c>
      <c r="CD1156" s="257">
        <v>1</v>
      </c>
      <c r="CE1156" s="168"/>
      <c r="CF1156" s="168"/>
      <c r="CG1156" s="44">
        <v>1</v>
      </c>
    </row>
    <row r="1157" spans="1:1873" s="149" customFormat="1" x14ac:dyDescent="0.2">
      <c r="A1157" s="257" t="s">
        <v>545</v>
      </c>
      <c r="B1157" s="257" t="s">
        <v>1196</v>
      </c>
      <c r="C1157" s="257" t="s">
        <v>924</v>
      </c>
      <c r="D1157" s="257" t="s">
        <v>1254</v>
      </c>
      <c r="E1157" s="257" t="s">
        <v>882</v>
      </c>
      <c r="F1157" s="257">
        <v>1</v>
      </c>
      <c r="G1157" s="257">
        <v>2</v>
      </c>
      <c r="H1157" s="263">
        <v>2</v>
      </c>
      <c r="I1157" s="601" t="s">
        <v>842</v>
      </c>
      <c r="J1157" s="599">
        <v>1997</v>
      </c>
      <c r="K1157" s="599" t="s">
        <v>1211</v>
      </c>
      <c r="L1157" s="257">
        <v>1998</v>
      </c>
      <c r="M1157" s="261">
        <v>-9999</v>
      </c>
      <c r="N1157" s="257">
        <v>-9999</v>
      </c>
      <c r="O1157" s="29"/>
      <c r="P1157" s="602">
        <v>5.09</v>
      </c>
      <c r="Q1157" s="257">
        <v>-9999</v>
      </c>
      <c r="R1157" s="261"/>
      <c r="S1157" s="257"/>
      <c r="T1157" s="370">
        <f t="shared" ref="T1157:T1162" si="121">+P1157/G1157</f>
        <v>2.5449999999999999</v>
      </c>
      <c r="U1157" s="257">
        <v>-9999</v>
      </c>
      <c r="V1157" s="257"/>
      <c r="W1157" s="261">
        <v>-9999</v>
      </c>
      <c r="X1157" s="257">
        <v>-9999</v>
      </c>
      <c r="Y1157" s="257"/>
      <c r="Z1157" s="597" t="s">
        <v>884</v>
      </c>
      <c r="AA1157" s="257">
        <v>1389</v>
      </c>
      <c r="AB1157" s="602">
        <v>0.9</v>
      </c>
      <c r="AC1157" s="605" t="s">
        <v>926</v>
      </c>
      <c r="AD1157" s="605">
        <v>144</v>
      </c>
      <c r="AE1157" s="605" t="s">
        <v>922</v>
      </c>
      <c r="AF1157" s="605">
        <v>36</v>
      </c>
      <c r="AG1157" s="605" t="s">
        <v>949</v>
      </c>
      <c r="AH1157" s="605" t="s">
        <v>885</v>
      </c>
      <c r="AI1157" s="605" t="s">
        <v>886</v>
      </c>
      <c r="AJ1157" s="605">
        <v>-9999</v>
      </c>
      <c r="AK1157" s="605" t="s">
        <v>947</v>
      </c>
      <c r="AL1157" s="605" t="s">
        <v>828</v>
      </c>
      <c r="AM1157" s="605" t="s">
        <v>948</v>
      </c>
      <c r="AN1157" s="605" t="s">
        <v>631</v>
      </c>
      <c r="AO1157" s="605">
        <v>-9999</v>
      </c>
      <c r="AP1157" s="605">
        <v>-9999</v>
      </c>
      <c r="AQ1157" s="597" t="s">
        <v>626</v>
      </c>
      <c r="AR1157" s="257">
        <f>40+103</f>
        <v>143</v>
      </c>
      <c r="AS1157" s="599" t="s">
        <v>935</v>
      </c>
      <c r="AT1157" s="599" t="s">
        <v>275</v>
      </c>
      <c r="AU1157" s="599">
        <v>103</v>
      </c>
      <c r="AV1157" s="257" t="s">
        <v>936</v>
      </c>
      <c r="AW1157" s="257" t="s">
        <v>94</v>
      </c>
      <c r="AX1157" s="599">
        <v>0</v>
      </c>
      <c r="AY1157" s="599">
        <v>-9999</v>
      </c>
      <c r="AZ1157" s="599">
        <v>-9999</v>
      </c>
      <c r="BA1157" s="599">
        <v>-9999</v>
      </c>
      <c r="BB1157" s="257" t="s">
        <v>626</v>
      </c>
      <c r="BC1157" s="257" t="s">
        <v>919</v>
      </c>
      <c r="BD1157" s="257" t="s">
        <v>920</v>
      </c>
      <c r="BE1157" s="257" t="s">
        <v>95</v>
      </c>
      <c r="BF1157" s="257" t="s">
        <v>918</v>
      </c>
      <c r="BG1157" s="257" t="s">
        <v>921</v>
      </c>
      <c r="BH1157" s="599">
        <v>-9999</v>
      </c>
      <c r="BI1157" s="257" t="s">
        <v>945</v>
      </c>
      <c r="BJ1157" s="257">
        <v>-9999</v>
      </c>
      <c r="BK1157" s="257">
        <v>-9999</v>
      </c>
      <c r="BL1157" s="599">
        <v>3.8</v>
      </c>
      <c r="BM1157" s="257">
        <v>0.1</v>
      </c>
      <c r="BN1157" s="599">
        <v>3.4</v>
      </c>
      <c r="BO1157" s="257">
        <v>0.1</v>
      </c>
      <c r="BP1157" s="257">
        <v>-9999</v>
      </c>
      <c r="BQ1157" s="257">
        <v>-9999</v>
      </c>
      <c r="BR1157" s="257">
        <v>-9999</v>
      </c>
      <c r="BS1157" s="263">
        <v>-9999</v>
      </c>
      <c r="BT1157" s="257">
        <v>-9999</v>
      </c>
      <c r="BU1157" s="257">
        <v>-9999</v>
      </c>
      <c r="BV1157" s="257">
        <v>-9999</v>
      </c>
      <c r="BW1157" s="257"/>
      <c r="BX1157" s="257">
        <v>-9999</v>
      </c>
      <c r="BY1157" s="257">
        <v>-9999</v>
      </c>
      <c r="BZ1157" s="257">
        <v>-9999</v>
      </c>
      <c r="CA1157" s="606" t="s">
        <v>524</v>
      </c>
      <c r="CB1157" s="607"/>
      <c r="CC1157" s="257">
        <v>1</v>
      </c>
      <c r="CD1157" s="257">
        <v>2</v>
      </c>
      <c r="CE1157" s="168">
        <v>2.5449999999999999</v>
      </c>
      <c r="CF1157" s="168"/>
      <c r="CG1157" s="44">
        <v>2</v>
      </c>
    </row>
    <row r="1158" spans="1:1873" s="149" customFormat="1" x14ac:dyDescent="0.2">
      <c r="A1158" s="257" t="s">
        <v>545</v>
      </c>
      <c r="B1158" s="257" t="s">
        <v>1196</v>
      </c>
      <c r="C1158" s="257" t="s">
        <v>924</v>
      </c>
      <c r="D1158" s="257" t="s">
        <v>1254</v>
      </c>
      <c r="E1158" s="257" t="s">
        <v>882</v>
      </c>
      <c r="F1158" s="257">
        <v>1</v>
      </c>
      <c r="G1158" s="257">
        <v>3</v>
      </c>
      <c r="H1158" s="263">
        <v>3</v>
      </c>
      <c r="I1158" s="601" t="s">
        <v>842</v>
      </c>
      <c r="J1158" s="599">
        <v>1997</v>
      </c>
      <c r="K1158" s="599" t="s">
        <v>1211</v>
      </c>
      <c r="L1158" s="257">
        <v>1999</v>
      </c>
      <c r="M1158" s="261">
        <v>-9999</v>
      </c>
      <c r="N1158" s="257">
        <v>-9999</v>
      </c>
      <c r="O1158" s="29"/>
      <c r="P1158" s="602">
        <v>13.79</v>
      </c>
      <c r="Q1158" s="257">
        <v>-9999</v>
      </c>
      <c r="R1158" s="261"/>
      <c r="S1158" s="257"/>
      <c r="T1158" s="370">
        <f t="shared" si="121"/>
        <v>4.5966666666666667</v>
      </c>
      <c r="U1158" s="257">
        <v>-9999</v>
      </c>
      <c r="V1158" s="257"/>
      <c r="W1158" s="287">
        <f>+P1158-P1157</f>
        <v>8.6999999999999993</v>
      </c>
      <c r="X1158" s="257">
        <v>-9999</v>
      </c>
      <c r="Y1158" s="257"/>
      <c r="Z1158" s="597" t="s">
        <v>884</v>
      </c>
      <c r="AA1158" s="257">
        <v>1389</v>
      </c>
      <c r="AB1158" s="602">
        <v>0.9</v>
      </c>
      <c r="AC1158" s="605" t="s">
        <v>926</v>
      </c>
      <c r="AD1158" s="605">
        <v>144</v>
      </c>
      <c r="AE1158" s="605" t="s">
        <v>922</v>
      </c>
      <c r="AF1158" s="605">
        <v>36</v>
      </c>
      <c r="AG1158" s="605" t="s">
        <v>949</v>
      </c>
      <c r="AH1158" s="605" t="s">
        <v>885</v>
      </c>
      <c r="AI1158" s="605" t="s">
        <v>886</v>
      </c>
      <c r="AJ1158" s="605">
        <v>-9999</v>
      </c>
      <c r="AK1158" s="605" t="s">
        <v>947</v>
      </c>
      <c r="AL1158" s="605" t="s">
        <v>828</v>
      </c>
      <c r="AM1158" s="605" t="s">
        <v>948</v>
      </c>
      <c r="AN1158" s="605" t="s">
        <v>631</v>
      </c>
      <c r="AO1158" s="605">
        <v>-9999</v>
      </c>
      <c r="AP1158" s="605">
        <v>-9999</v>
      </c>
      <c r="AQ1158" s="597" t="s">
        <v>626</v>
      </c>
      <c r="AR1158" s="257">
        <f>40+103+103</f>
        <v>246</v>
      </c>
      <c r="AS1158" s="599" t="s">
        <v>935</v>
      </c>
      <c r="AT1158" s="599" t="s">
        <v>275</v>
      </c>
      <c r="AU1158" s="599">
        <v>103</v>
      </c>
      <c r="AV1158" s="257" t="s">
        <v>936</v>
      </c>
      <c r="AW1158" s="257" t="s">
        <v>94</v>
      </c>
      <c r="AX1158" s="599">
        <v>0</v>
      </c>
      <c r="AY1158" s="599">
        <v>-9999</v>
      </c>
      <c r="AZ1158" s="599">
        <v>-9999</v>
      </c>
      <c r="BA1158" s="599">
        <v>-9999</v>
      </c>
      <c r="BB1158" s="257" t="s">
        <v>626</v>
      </c>
      <c r="BC1158" s="257" t="s">
        <v>919</v>
      </c>
      <c r="BD1158" s="257" t="s">
        <v>920</v>
      </c>
      <c r="BE1158" s="257" t="s">
        <v>95</v>
      </c>
      <c r="BF1158" s="257" t="s">
        <v>918</v>
      </c>
      <c r="BG1158" s="257" t="s">
        <v>921</v>
      </c>
      <c r="BH1158" s="599">
        <v>-9999</v>
      </c>
      <c r="BI1158" s="257" t="s">
        <v>945</v>
      </c>
      <c r="BJ1158" s="257">
        <v>-9999</v>
      </c>
      <c r="BK1158" s="257">
        <v>-9999</v>
      </c>
      <c r="BL1158" s="599">
        <v>5.5</v>
      </c>
      <c r="BM1158" s="257">
        <v>0.3</v>
      </c>
      <c r="BN1158" s="599">
        <v>5.9</v>
      </c>
      <c r="BO1158" s="257">
        <v>0.2</v>
      </c>
      <c r="BP1158" s="257">
        <v>-9999</v>
      </c>
      <c r="BQ1158" s="257">
        <v>-9999</v>
      </c>
      <c r="BR1158" s="257">
        <v>-9999</v>
      </c>
      <c r="BS1158" s="263">
        <v>-9999</v>
      </c>
      <c r="BT1158" s="257">
        <v>-9999</v>
      </c>
      <c r="BU1158" s="257">
        <v>-9999</v>
      </c>
      <c r="BV1158" s="257">
        <v>-9999</v>
      </c>
      <c r="BW1158" s="257"/>
      <c r="BX1158" s="257">
        <v>-9999</v>
      </c>
      <c r="BY1158" s="257">
        <v>-9999</v>
      </c>
      <c r="BZ1158" s="257">
        <v>-9999</v>
      </c>
      <c r="CA1158" s="606" t="s">
        <v>524</v>
      </c>
      <c r="CB1158" s="607"/>
      <c r="CC1158" s="257">
        <v>1</v>
      </c>
      <c r="CD1158" s="257">
        <v>3</v>
      </c>
      <c r="CE1158" s="168">
        <v>4.5966666666666667</v>
      </c>
      <c r="CF1158" s="301">
        <v>8.6999999999999993</v>
      </c>
      <c r="CG1158" s="44">
        <v>3</v>
      </c>
      <c r="CO1158" s="301" t="s">
        <v>1617</v>
      </c>
    </row>
    <row r="1159" spans="1:1873" s="149" customFormat="1" x14ac:dyDescent="0.2">
      <c r="A1159" s="257" t="s">
        <v>545</v>
      </c>
      <c r="B1159" s="257" t="s">
        <v>1196</v>
      </c>
      <c r="C1159" s="257" t="s">
        <v>924</v>
      </c>
      <c r="D1159" s="257" t="s">
        <v>1254</v>
      </c>
      <c r="E1159" s="257" t="s">
        <v>882</v>
      </c>
      <c r="F1159" s="257">
        <v>1</v>
      </c>
      <c r="G1159" s="257">
        <v>4</v>
      </c>
      <c r="H1159" s="263">
        <v>4</v>
      </c>
      <c r="I1159" s="601" t="s">
        <v>842</v>
      </c>
      <c r="J1159" s="599">
        <v>1997</v>
      </c>
      <c r="K1159" s="599" t="s">
        <v>1211</v>
      </c>
      <c r="L1159" s="257">
        <v>2000</v>
      </c>
      <c r="M1159" s="261">
        <v>-9999</v>
      </c>
      <c r="N1159" s="257">
        <v>-9999</v>
      </c>
      <c r="O1159" s="29"/>
      <c r="P1159" s="602">
        <v>20.71</v>
      </c>
      <c r="Q1159" s="257">
        <v>-9999</v>
      </c>
      <c r="R1159" s="261"/>
      <c r="S1159" s="257"/>
      <c r="T1159" s="370">
        <f t="shared" si="121"/>
        <v>5.1775000000000002</v>
      </c>
      <c r="U1159" s="257">
        <v>-9999</v>
      </c>
      <c r="V1159" s="257"/>
      <c r="W1159" s="287">
        <f>+P1159-P1158</f>
        <v>6.9200000000000017</v>
      </c>
      <c r="X1159" s="257">
        <v>-9999</v>
      </c>
      <c r="Y1159" s="257"/>
      <c r="Z1159" s="597" t="s">
        <v>884</v>
      </c>
      <c r="AA1159" s="257">
        <v>1389</v>
      </c>
      <c r="AB1159" s="602">
        <v>0.9</v>
      </c>
      <c r="AC1159" s="605" t="s">
        <v>926</v>
      </c>
      <c r="AD1159" s="605">
        <v>144</v>
      </c>
      <c r="AE1159" s="605" t="s">
        <v>922</v>
      </c>
      <c r="AF1159" s="605">
        <v>36</v>
      </c>
      <c r="AG1159" s="605" t="s">
        <v>949</v>
      </c>
      <c r="AH1159" s="605" t="s">
        <v>885</v>
      </c>
      <c r="AI1159" s="605" t="s">
        <v>886</v>
      </c>
      <c r="AJ1159" s="605">
        <v>-9999</v>
      </c>
      <c r="AK1159" s="605" t="s">
        <v>947</v>
      </c>
      <c r="AL1159" s="605" t="s">
        <v>828</v>
      </c>
      <c r="AM1159" s="605" t="s">
        <v>948</v>
      </c>
      <c r="AN1159" s="605" t="s">
        <v>631</v>
      </c>
      <c r="AO1159" s="605">
        <v>-9999</v>
      </c>
      <c r="AP1159" s="605">
        <v>-9999</v>
      </c>
      <c r="AQ1159" s="597" t="s">
        <v>626</v>
      </c>
      <c r="AR1159" s="257">
        <f>+AR1158</f>
        <v>246</v>
      </c>
      <c r="AS1159" s="257" t="s">
        <v>869</v>
      </c>
      <c r="AT1159" s="257"/>
      <c r="AU1159" s="599">
        <v>103</v>
      </c>
      <c r="AV1159" s="257" t="s">
        <v>936</v>
      </c>
      <c r="AW1159" s="257" t="s">
        <v>94</v>
      </c>
      <c r="AX1159" s="599">
        <v>0</v>
      </c>
      <c r="AY1159" s="599">
        <v>-9999</v>
      </c>
      <c r="AZ1159" s="599">
        <v>-9999</v>
      </c>
      <c r="BA1159" s="599">
        <v>-9999</v>
      </c>
      <c r="BB1159" s="257" t="s">
        <v>626</v>
      </c>
      <c r="BC1159" s="257" t="s">
        <v>919</v>
      </c>
      <c r="BD1159" s="257" t="s">
        <v>920</v>
      </c>
      <c r="BE1159" s="257" t="s">
        <v>95</v>
      </c>
      <c r="BF1159" s="257" t="s">
        <v>918</v>
      </c>
      <c r="BG1159" s="257" t="s">
        <v>921</v>
      </c>
      <c r="BH1159" s="599">
        <v>-9999</v>
      </c>
      <c r="BI1159" s="257" t="s">
        <v>945</v>
      </c>
      <c r="BJ1159" s="257">
        <v>-9999</v>
      </c>
      <c r="BK1159" s="257">
        <v>-9999</v>
      </c>
      <c r="BL1159" s="599">
        <v>6.8</v>
      </c>
      <c r="BM1159" s="257">
        <v>0.3</v>
      </c>
      <c r="BN1159" s="599">
        <v>7.3</v>
      </c>
      <c r="BO1159" s="257">
        <v>0.3</v>
      </c>
      <c r="BP1159" s="257">
        <v>-9999</v>
      </c>
      <c r="BQ1159" s="257">
        <v>-9999</v>
      </c>
      <c r="BR1159" s="257">
        <v>-9999</v>
      </c>
      <c r="BS1159" s="263">
        <v>-9999</v>
      </c>
      <c r="BT1159" s="257">
        <v>-9999</v>
      </c>
      <c r="BU1159" s="257">
        <v>-9999</v>
      </c>
      <c r="BV1159" s="257">
        <v>-9999</v>
      </c>
      <c r="BW1159" s="257"/>
      <c r="BX1159" s="257">
        <v>-9999</v>
      </c>
      <c r="BY1159" s="257">
        <v>-9999</v>
      </c>
      <c r="BZ1159" s="257">
        <v>-9999</v>
      </c>
      <c r="CA1159" s="606" t="s">
        <v>524</v>
      </c>
      <c r="CB1159" s="607"/>
      <c r="CC1159" s="257">
        <v>1</v>
      </c>
      <c r="CD1159" s="257">
        <v>4</v>
      </c>
      <c r="CE1159" s="168">
        <v>5.1775000000000002</v>
      </c>
      <c r="CF1159" s="301">
        <v>6.9200000000000017</v>
      </c>
      <c r="CG1159" s="44">
        <v>4</v>
      </c>
      <c r="CR1159" s="301" t="s">
        <v>1722</v>
      </c>
    </row>
    <row r="1160" spans="1:1873" s="149" customFormat="1" x14ac:dyDescent="0.2">
      <c r="A1160" s="257" t="s">
        <v>545</v>
      </c>
      <c r="B1160" s="257" t="s">
        <v>1196</v>
      </c>
      <c r="C1160" s="257" t="s">
        <v>924</v>
      </c>
      <c r="D1160" s="257" t="s">
        <v>1254</v>
      </c>
      <c r="E1160" s="257" t="s">
        <v>882</v>
      </c>
      <c r="F1160" s="257">
        <v>1</v>
      </c>
      <c r="G1160" s="257">
        <v>5</v>
      </c>
      <c r="H1160" s="263">
        <v>5</v>
      </c>
      <c r="I1160" s="601" t="s">
        <v>842</v>
      </c>
      <c r="J1160" s="599">
        <v>1997</v>
      </c>
      <c r="K1160" s="599" t="s">
        <v>1211</v>
      </c>
      <c r="L1160" s="257">
        <v>2001</v>
      </c>
      <c r="M1160" s="261">
        <v>-9999</v>
      </c>
      <c r="N1160" s="257">
        <v>-9999</v>
      </c>
      <c r="O1160" s="29"/>
      <c r="P1160" s="602">
        <v>28.73</v>
      </c>
      <c r="Q1160" s="257">
        <v>-9999</v>
      </c>
      <c r="R1160" s="261"/>
      <c r="S1160" s="257"/>
      <c r="T1160" s="370">
        <f t="shared" si="121"/>
        <v>5.7460000000000004</v>
      </c>
      <c r="U1160" s="257">
        <v>-9999</v>
      </c>
      <c r="V1160" s="257"/>
      <c r="W1160" s="287">
        <f>+P1160-P1159</f>
        <v>8.02</v>
      </c>
      <c r="X1160" s="257">
        <v>-9999</v>
      </c>
      <c r="Y1160" s="257"/>
      <c r="Z1160" s="597" t="s">
        <v>884</v>
      </c>
      <c r="AA1160" s="257">
        <v>1389</v>
      </c>
      <c r="AB1160" s="602">
        <v>0.9</v>
      </c>
      <c r="AC1160" s="605" t="s">
        <v>926</v>
      </c>
      <c r="AD1160" s="605">
        <v>144</v>
      </c>
      <c r="AE1160" s="605" t="s">
        <v>922</v>
      </c>
      <c r="AF1160" s="605">
        <v>36</v>
      </c>
      <c r="AG1160" s="605" t="s">
        <v>949</v>
      </c>
      <c r="AH1160" s="605" t="s">
        <v>885</v>
      </c>
      <c r="AI1160" s="605" t="s">
        <v>886</v>
      </c>
      <c r="AJ1160" s="605">
        <v>-9999</v>
      </c>
      <c r="AK1160" s="605" t="s">
        <v>947</v>
      </c>
      <c r="AL1160" s="605" t="s">
        <v>828</v>
      </c>
      <c r="AM1160" s="605" t="s">
        <v>948</v>
      </c>
      <c r="AN1160" s="605" t="s">
        <v>631</v>
      </c>
      <c r="AO1160" s="605">
        <v>-9999</v>
      </c>
      <c r="AP1160" s="605">
        <v>-9999</v>
      </c>
      <c r="AQ1160" s="597" t="s">
        <v>626</v>
      </c>
      <c r="AR1160" s="257">
        <f>246+103</f>
        <v>349</v>
      </c>
      <c r="AS1160" s="599" t="s">
        <v>935</v>
      </c>
      <c r="AT1160" s="599" t="s">
        <v>275</v>
      </c>
      <c r="AU1160" s="599">
        <v>103</v>
      </c>
      <c r="AV1160" s="257" t="s">
        <v>936</v>
      </c>
      <c r="AW1160" s="257" t="s">
        <v>94</v>
      </c>
      <c r="AX1160" s="599">
        <v>0</v>
      </c>
      <c r="AY1160" s="599">
        <v>-9999</v>
      </c>
      <c r="AZ1160" s="599">
        <v>-9999</v>
      </c>
      <c r="BA1160" s="599">
        <v>-9999</v>
      </c>
      <c r="BB1160" s="257" t="s">
        <v>626</v>
      </c>
      <c r="BC1160" s="257" t="s">
        <v>919</v>
      </c>
      <c r="BD1160" s="257" t="s">
        <v>920</v>
      </c>
      <c r="BE1160" s="257" t="s">
        <v>95</v>
      </c>
      <c r="BF1160" s="257" t="s">
        <v>918</v>
      </c>
      <c r="BG1160" s="257" t="s">
        <v>921</v>
      </c>
      <c r="BH1160" s="599">
        <v>-9999</v>
      </c>
      <c r="BI1160" s="257" t="s">
        <v>945</v>
      </c>
      <c r="BJ1160" s="257">
        <v>-9999</v>
      </c>
      <c r="BK1160" s="257">
        <v>-9999</v>
      </c>
      <c r="BL1160" s="599">
        <v>8</v>
      </c>
      <c r="BM1160" s="257">
        <v>0.2</v>
      </c>
      <c r="BN1160" s="599">
        <v>8.6999999999999993</v>
      </c>
      <c r="BO1160" s="257">
        <v>0.4</v>
      </c>
      <c r="BP1160" s="257">
        <v>-9999</v>
      </c>
      <c r="BQ1160" s="257">
        <v>-9999</v>
      </c>
      <c r="BR1160" s="257">
        <v>-9999</v>
      </c>
      <c r="BS1160" s="263">
        <v>-9999</v>
      </c>
      <c r="BT1160" s="257">
        <v>-9999</v>
      </c>
      <c r="BU1160" s="257">
        <v>-9999</v>
      </c>
      <c r="BV1160" s="257">
        <v>-9999</v>
      </c>
      <c r="BW1160" s="257"/>
      <c r="BX1160" s="257">
        <v>-9999</v>
      </c>
      <c r="BY1160" s="257">
        <v>-9999</v>
      </c>
      <c r="BZ1160" s="257">
        <v>-9999</v>
      </c>
      <c r="CA1160" s="606" t="s">
        <v>524</v>
      </c>
      <c r="CB1160" s="607"/>
      <c r="CC1160" s="257">
        <v>1</v>
      </c>
      <c r="CD1160" s="257">
        <v>5</v>
      </c>
      <c r="CE1160" s="168">
        <v>5.7460000000000004</v>
      </c>
      <c r="CF1160" s="301">
        <v>8.02</v>
      </c>
      <c r="CG1160" s="44">
        <v>5</v>
      </c>
      <c r="CR1160" s="301" t="s">
        <v>1723</v>
      </c>
    </row>
    <row r="1161" spans="1:1873" s="216" customFormat="1" x14ac:dyDescent="0.2">
      <c r="A1161" s="327" t="s">
        <v>545</v>
      </c>
      <c r="B1161" s="257" t="s">
        <v>1196</v>
      </c>
      <c r="C1161" s="257" t="s">
        <v>924</v>
      </c>
      <c r="D1161" s="257" t="s">
        <v>1254</v>
      </c>
      <c r="E1161" s="257" t="s">
        <v>882</v>
      </c>
      <c r="F1161" s="257">
        <v>1</v>
      </c>
      <c r="G1161" s="257">
        <v>6</v>
      </c>
      <c r="H1161" s="263">
        <v>6</v>
      </c>
      <c r="I1161" s="596" t="s">
        <v>842</v>
      </c>
      <c r="J1161" s="257">
        <v>1997</v>
      </c>
      <c r="K1161" s="599" t="s">
        <v>1211</v>
      </c>
      <c r="L1161" s="257">
        <v>2002</v>
      </c>
      <c r="M1161" s="261">
        <v>-9999</v>
      </c>
      <c r="N1161" s="257">
        <v>-9999</v>
      </c>
      <c r="O1161" s="29"/>
      <c r="P1161" s="261">
        <v>36.270000000000003</v>
      </c>
      <c r="Q1161" s="257">
        <v>-9999</v>
      </c>
      <c r="R1161" s="261"/>
      <c r="S1161" s="257"/>
      <c r="T1161" s="370">
        <f t="shared" si="121"/>
        <v>6.0450000000000008</v>
      </c>
      <c r="U1161" s="257">
        <v>-9999</v>
      </c>
      <c r="V1161" s="257"/>
      <c r="W1161" s="287">
        <f>+P1161-P1160</f>
        <v>7.5400000000000027</v>
      </c>
      <c r="X1161" s="257">
        <v>-9999</v>
      </c>
      <c r="Y1161" s="257"/>
      <c r="Z1161" s="597" t="s">
        <v>884</v>
      </c>
      <c r="AA1161" s="257">
        <v>1389</v>
      </c>
      <c r="AB1161" s="261">
        <v>0.88</v>
      </c>
      <c r="AC1161" s="257" t="s">
        <v>926</v>
      </c>
      <c r="AD1161" s="257">
        <v>144</v>
      </c>
      <c r="AE1161" s="257" t="s">
        <v>922</v>
      </c>
      <c r="AF1161" s="257">
        <v>36</v>
      </c>
      <c r="AG1161" s="257" t="s">
        <v>949</v>
      </c>
      <c r="AH1161" s="257" t="s">
        <v>885</v>
      </c>
      <c r="AI1161" s="257" t="s">
        <v>886</v>
      </c>
      <c r="AJ1161" s="257">
        <v>-9999</v>
      </c>
      <c r="AK1161" s="257" t="s">
        <v>947</v>
      </c>
      <c r="AL1161" s="257" t="s">
        <v>828</v>
      </c>
      <c r="AM1161" s="257" t="s">
        <v>948</v>
      </c>
      <c r="AN1161" s="257" t="s">
        <v>631</v>
      </c>
      <c r="AO1161" s="257">
        <v>-9999</v>
      </c>
      <c r="AP1161" s="257">
        <v>-9999</v>
      </c>
      <c r="AQ1161" s="597" t="s">
        <v>626</v>
      </c>
      <c r="AR1161" s="257">
        <f>+AR1160+0</f>
        <v>349</v>
      </c>
      <c r="AS1161" s="257" t="s">
        <v>869</v>
      </c>
      <c r="AT1161" s="257"/>
      <c r="AU1161" s="257">
        <v>103</v>
      </c>
      <c r="AV1161" s="257" t="s">
        <v>936</v>
      </c>
      <c r="AW1161" s="257" t="s">
        <v>94</v>
      </c>
      <c r="AX1161" s="257">
        <v>0</v>
      </c>
      <c r="AY1161" s="257">
        <v>-9999</v>
      </c>
      <c r="AZ1161" s="257">
        <v>-9999</v>
      </c>
      <c r="BA1161" s="257">
        <v>-9999</v>
      </c>
      <c r="BB1161" s="257" t="s">
        <v>626</v>
      </c>
      <c r="BC1161" s="257" t="s">
        <v>919</v>
      </c>
      <c r="BD1161" s="257" t="s">
        <v>920</v>
      </c>
      <c r="BE1161" s="257" t="s">
        <v>95</v>
      </c>
      <c r="BF1161" s="257" t="s">
        <v>918</v>
      </c>
      <c r="BG1161" s="257" t="s">
        <v>921</v>
      </c>
      <c r="BH1161" s="257">
        <v>-9999</v>
      </c>
      <c r="BI1161" s="257" t="s">
        <v>945</v>
      </c>
      <c r="BJ1161" s="257">
        <v>-9999</v>
      </c>
      <c r="BK1161" s="257">
        <v>-9999</v>
      </c>
      <c r="BL1161" s="257">
        <v>9.5</v>
      </c>
      <c r="BM1161" s="257">
        <v>0.1</v>
      </c>
      <c r="BN1161" s="257">
        <v>9.9</v>
      </c>
      <c r="BO1161" s="257">
        <v>0.3</v>
      </c>
      <c r="BP1161" s="257">
        <v>-9999</v>
      </c>
      <c r="BQ1161" s="257">
        <v>-9999</v>
      </c>
      <c r="BR1161" s="257">
        <v>-9999</v>
      </c>
      <c r="BS1161" s="263">
        <v>-9999</v>
      </c>
      <c r="BT1161" s="257">
        <v>-9999</v>
      </c>
      <c r="BU1161" s="257">
        <v>-9999</v>
      </c>
      <c r="BV1161" s="257">
        <v>-9999</v>
      </c>
      <c r="BW1161" s="257"/>
      <c r="BX1161" s="257">
        <v>-9999</v>
      </c>
      <c r="BY1161" s="257">
        <v>-9999</v>
      </c>
      <c r="BZ1161" s="257">
        <v>-9999</v>
      </c>
      <c r="CA1161" s="300" t="s">
        <v>524</v>
      </c>
      <c r="CB1161" s="264"/>
      <c r="CC1161" s="257">
        <v>1</v>
      </c>
      <c r="CD1161" s="257">
        <v>6</v>
      </c>
      <c r="CE1161" s="394">
        <v>6.0450000000000008</v>
      </c>
      <c r="CF1161" s="301">
        <v>7.5400000000000027</v>
      </c>
      <c r="CG1161" s="214">
        <v>6</v>
      </c>
      <c r="CH1161" s="438" t="s">
        <v>1757</v>
      </c>
      <c r="CI1161" s="23"/>
      <c r="CJ1161" s="23"/>
      <c r="CK1161" s="23"/>
      <c r="CL1161" s="23"/>
      <c r="CM1161" s="23"/>
      <c r="CN1161" s="23"/>
      <c r="CO1161" s="23"/>
      <c r="CP1161" s="23"/>
      <c r="CQ1161" s="23"/>
      <c r="CR1161" s="301" t="s">
        <v>1724</v>
      </c>
      <c r="CS1161" s="23"/>
      <c r="CT1161" s="23"/>
      <c r="CU1161" s="23"/>
      <c r="CV1161" s="23"/>
      <c r="CW1161" s="23"/>
      <c r="CX1161" s="23"/>
      <c r="CY1161" s="23"/>
      <c r="CZ1161" s="23"/>
      <c r="DA1161" s="23"/>
      <c r="DB1161" s="23"/>
      <c r="DC1161" s="23"/>
      <c r="DD1161" s="23"/>
      <c r="DE1161" s="23"/>
      <c r="DF1161" s="23"/>
      <c r="DG1161" s="23"/>
      <c r="DH1161" s="23"/>
      <c r="DI1161" s="23"/>
      <c r="DJ1161" s="23"/>
      <c r="DK1161" s="23"/>
      <c r="DL1161" s="23"/>
      <c r="DM1161" s="23"/>
      <c r="DN1161" s="23"/>
      <c r="DO1161" s="23"/>
      <c r="DP1161" s="23"/>
      <c r="DQ1161" s="23"/>
      <c r="DR1161" s="23"/>
      <c r="DS1161" s="23"/>
      <c r="DT1161" s="23"/>
      <c r="DU1161" s="23"/>
      <c r="DV1161" s="23"/>
      <c r="DW1161" s="23"/>
      <c r="DX1161" s="23"/>
      <c r="DY1161" s="23"/>
      <c r="DZ1161" s="23"/>
      <c r="EA1161" s="23"/>
      <c r="EB1161" s="23"/>
      <c r="EC1161" s="23"/>
      <c r="ED1161" s="23"/>
      <c r="EE1161" s="23"/>
      <c r="EF1161" s="23"/>
      <c r="EG1161" s="23"/>
      <c r="EH1161" s="23"/>
      <c r="EI1161" s="23"/>
      <c r="EJ1161" s="23"/>
      <c r="EK1161" s="23"/>
      <c r="EL1161" s="23"/>
      <c r="EM1161" s="23"/>
      <c r="EN1161" s="23"/>
      <c r="EO1161" s="23"/>
      <c r="EP1161" s="23"/>
      <c r="EQ1161" s="23"/>
      <c r="ER1161" s="23"/>
      <c r="ES1161" s="23"/>
      <c r="ET1161" s="23"/>
      <c r="EU1161" s="23"/>
      <c r="EV1161" s="23"/>
      <c r="EW1161" s="23"/>
      <c r="EX1161" s="23"/>
      <c r="EY1161" s="23"/>
      <c r="EZ1161" s="23"/>
      <c r="FA1161" s="23"/>
      <c r="FB1161" s="23"/>
      <c r="FC1161" s="23"/>
      <c r="FD1161" s="23"/>
      <c r="FE1161" s="23"/>
      <c r="FF1161" s="23"/>
      <c r="FG1161" s="23"/>
      <c r="FH1161" s="23"/>
      <c r="FI1161" s="23"/>
      <c r="FJ1161" s="23"/>
      <c r="FK1161" s="23"/>
      <c r="FL1161" s="23"/>
      <c r="FM1161" s="23"/>
      <c r="FN1161" s="23"/>
      <c r="FO1161" s="23"/>
      <c r="FP1161" s="23"/>
      <c r="FQ1161" s="23"/>
      <c r="FR1161" s="23"/>
      <c r="FS1161" s="23"/>
      <c r="FT1161" s="23"/>
      <c r="FU1161" s="23"/>
      <c r="FV1161" s="23"/>
      <c r="FW1161" s="23"/>
      <c r="FX1161" s="23"/>
      <c r="FY1161" s="23"/>
      <c r="FZ1161" s="23"/>
      <c r="GA1161" s="23"/>
      <c r="GB1161" s="23"/>
      <c r="GC1161" s="23"/>
      <c r="GD1161" s="23"/>
      <c r="GE1161" s="23"/>
      <c r="GF1161" s="23"/>
      <c r="GG1161" s="23"/>
      <c r="GH1161" s="23"/>
      <c r="GI1161" s="23"/>
      <c r="GJ1161" s="23"/>
      <c r="GK1161" s="23"/>
      <c r="GL1161" s="23"/>
      <c r="GM1161" s="23"/>
      <c r="GN1161" s="23"/>
      <c r="GO1161" s="23"/>
      <c r="GP1161" s="23"/>
      <c r="GQ1161" s="23"/>
      <c r="GR1161" s="23"/>
      <c r="GS1161" s="23"/>
      <c r="GT1161" s="23"/>
      <c r="GU1161" s="23"/>
      <c r="GV1161" s="23"/>
      <c r="GW1161" s="23"/>
      <c r="GX1161" s="23"/>
      <c r="GY1161" s="23"/>
      <c r="GZ1161" s="23"/>
      <c r="HA1161" s="23"/>
      <c r="HB1161" s="23"/>
      <c r="HC1161" s="23"/>
      <c r="HD1161" s="23"/>
      <c r="HE1161" s="23"/>
      <c r="HF1161" s="23"/>
      <c r="HG1161" s="23"/>
      <c r="HH1161" s="23"/>
      <c r="HI1161" s="23"/>
      <c r="HJ1161" s="23"/>
      <c r="HK1161" s="23"/>
      <c r="HL1161" s="23"/>
      <c r="HM1161" s="23"/>
      <c r="HN1161" s="23"/>
      <c r="HO1161" s="23"/>
      <c r="HP1161" s="23"/>
      <c r="HQ1161" s="23"/>
      <c r="HR1161" s="23"/>
      <c r="HS1161" s="23"/>
      <c r="HT1161" s="23"/>
      <c r="HU1161" s="23"/>
      <c r="HV1161" s="23"/>
      <c r="HW1161" s="23"/>
      <c r="HX1161" s="23"/>
      <c r="HY1161" s="23"/>
      <c r="HZ1161" s="23"/>
      <c r="IA1161" s="23"/>
      <c r="IB1161" s="23"/>
      <c r="IC1161" s="23"/>
      <c r="ID1161" s="23"/>
      <c r="IE1161" s="23"/>
      <c r="IF1161" s="23"/>
      <c r="IG1161" s="23"/>
      <c r="IH1161" s="23"/>
      <c r="II1161" s="23"/>
      <c r="IJ1161" s="23"/>
      <c r="IK1161" s="23"/>
      <c r="IL1161" s="23"/>
      <c r="IM1161" s="23"/>
      <c r="IN1161" s="23"/>
      <c r="IO1161" s="23"/>
      <c r="IP1161" s="23"/>
      <c r="IQ1161" s="23"/>
      <c r="IR1161" s="23"/>
      <c r="IS1161" s="23"/>
      <c r="IT1161" s="23"/>
      <c r="IU1161" s="23"/>
      <c r="IV1161" s="23"/>
      <c r="IW1161" s="23"/>
      <c r="IX1161" s="23"/>
      <c r="IY1161" s="23"/>
      <c r="IZ1161" s="23"/>
      <c r="JA1161" s="23"/>
      <c r="JB1161" s="23"/>
      <c r="JC1161" s="23"/>
      <c r="JD1161" s="23"/>
      <c r="JE1161" s="23"/>
      <c r="JF1161" s="23"/>
      <c r="JG1161" s="23"/>
      <c r="JH1161" s="23"/>
      <c r="JI1161" s="23"/>
      <c r="JJ1161" s="23"/>
      <c r="JK1161" s="23"/>
      <c r="JL1161" s="23"/>
      <c r="JM1161" s="23"/>
      <c r="JN1161" s="23"/>
      <c r="JO1161" s="23"/>
      <c r="JP1161" s="23"/>
      <c r="JQ1161" s="23"/>
      <c r="JR1161" s="23"/>
      <c r="JS1161" s="23"/>
      <c r="JT1161" s="23"/>
      <c r="JU1161" s="23"/>
      <c r="JV1161" s="23"/>
      <c r="JW1161" s="23"/>
      <c r="JX1161" s="23"/>
      <c r="JY1161" s="23"/>
      <c r="JZ1161" s="23"/>
      <c r="KA1161" s="23"/>
      <c r="KB1161" s="23"/>
      <c r="KC1161" s="23"/>
      <c r="KD1161" s="23"/>
      <c r="KE1161" s="23"/>
      <c r="KF1161" s="23"/>
      <c r="KG1161" s="23"/>
      <c r="KH1161" s="23"/>
      <c r="KI1161" s="23"/>
      <c r="KJ1161" s="23"/>
      <c r="KK1161" s="23"/>
      <c r="KL1161" s="23"/>
      <c r="KM1161" s="23"/>
      <c r="KN1161" s="23"/>
      <c r="KO1161" s="23"/>
      <c r="KP1161" s="23"/>
      <c r="KQ1161" s="23"/>
      <c r="KR1161" s="23"/>
      <c r="KS1161" s="23"/>
      <c r="KT1161" s="23"/>
      <c r="KU1161" s="23"/>
      <c r="KV1161" s="23"/>
      <c r="KW1161" s="23"/>
      <c r="KX1161" s="23"/>
      <c r="KY1161" s="23"/>
      <c r="KZ1161" s="23"/>
      <c r="LA1161" s="23"/>
      <c r="LB1161" s="23"/>
      <c r="LC1161" s="23"/>
      <c r="LD1161" s="23"/>
      <c r="LE1161" s="23"/>
      <c r="LF1161" s="23"/>
      <c r="LG1161" s="23"/>
      <c r="LH1161" s="23"/>
      <c r="LI1161" s="23"/>
      <c r="LJ1161" s="23"/>
      <c r="LK1161" s="23"/>
      <c r="LL1161" s="23"/>
      <c r="LM1161" s="23"/>
      <c r="LN1161" s="23"/>
      <c r="LO1161" s="23"/>
      <c r="LP1161" s="23"/>
      <c r="LQ1161" s="23"/>
      <c r="LR1161" s="23"/>
      <c r="LS1161" s="23"/>
      <c r="LT1161" s="23"/>
      <c r="LU1161" s="23"/>
      <c r="LV1161" s="23"/>
      <c r="LW1161" s="23"/>
      <c r="LX1161" s="23"/>
      <c r="LY1161" s="23"/>
      <c r="LZ1161" s="23"/>
      <c r="MA1161" s="23"/>
      <c r="MB1161" s="23"/>
      <c r="MC1161" s="23"/>
      <c r="MD1161" s="23"/>
      <c r="ME1161" s="23"/>
      <c r="MF1161" s="23"/>
      <c r="MG1161" s="23"/>
      <c r="MH1161" s="23"/>
      <c r="MI1161" s="23"/>
      <c r="MJ1161" s="23"/>
      <c r="MK1161" s="23"/>
      <c r="ML1161" s="23"/>
      <c r="MM1161" s="23"/>
      <c r="MN1161" s="23"/>
      <c r="MO1161" s="23"/>
      <c r="MP1161" s="23"/>
      <c r="MQ1161" s="23"/>
      <c r="MR1161" s="23"/>
      <c r="MS1161" s="23"/>
      <c r="MT1161" s="23"/>
      <c r="MU1161" s="23"/>
      <c r="MV1161" s="23"/>
      <c r="MW1161" s="23"/>
      <c r="MX1161" s="23"/>
      <c r="MY1161" s="23"/>
      <c r="MZ1161" s="23"/>
      <c r="NA1161" s="23"/>
      <c r="NB1161" s="23"/>
      <c r="NC1161" s="23"/>
      <c r="ND1161" s="23"/>
      <c r="NE1161" s="23"/>
      <c r="NF1161" s="23"/>
      <c r="NG1161" s="23"/>
      <c r="NH1161" s="23"/>
      <c r="NI1161" s="23"/>
      <c r="NJ1161" s="23"/>
      <c r="NK1161" s="23"/>
      <c r="NL1161" s="23"/>
      <c r="NM1161" s="23"/>
      <c r="NN1161" s="23"/>
      <c r="NO1161" s="23"/>
      <c r="NP1161" s="23"/>
      <c r="NQ1161" s="23"/>
      <c r="NR1161" s="23"/>
      <c r="NS1161" s="23"/>
      <c r="NT1161" s="23"/>
      <c r="NU1161" s="23"/>
      <c r="NV1161" s="23"/>
      <c r="NW1161" s="23"/>
      <c r="NX1161" s="23"/>
      <c r="NY1161" s="23"/>
      <c r="NZ1161" s="23"/>
      <c r="OA1161" s="23"/>
      <c r="OB1161" s="23"/>
      <c r="OC1161" s="23"/>
      <c r="OD1161" s="23"/>
      <c r="OE1161" s="23"/>
      <c r="OF1161" s="23"/>
      <c r="OG1161" s="23"/>
      <c r="OH1161" s="23"/>
      <c r="OI1161" s="23"/>
      <c r="OJ1161" s="23"/>
      <c r="OK1161" s="23"/>
      <c r="OL1161" s="23"/>
      <c r="OM1161" s="23"/>
      <c r="ON1161" s="23"/>
      <c r="OO1161" s="23"/>
      <c r="OP1161" s="23"/>
      <c r="OQ1161" s="23"/>
      <c r="OR1161" s="23"/>
      <c r="OS1161" s="23"/>
      <c r="OT1161" s="23"/>
      <c r="OU1161" s="23"/>
      <c r="OV1161" s="23"/>
      <c r="OW1161" s="23"/>
      <c r="OX1161" s="23"/>
      <c r="OY1161" s="23"/>
      <c r="OZ1161" s="23"/>
      <c r="PA1161" s="23"/>
      <c r="PB1161" s="23"/>
      <c r="PC1161" s="23"/>
      <c r="PD1161" s="23"/>
      <c r="PE1161" s="23"/>
      <c r="PF1161" s="23"/>
      <c r="PG1161" s="23"/>
      <c r="PH1161" s="23"/>
      <c r="PI1161" s="23"/>
      <c r="PJ1161" s="23"/>
      <c r="PK1161" s="23"/>
      <c r="PL1161" s="23"/>
      <c r="PM1161" s="23"/>
      <c r="PN1161" s="23"/>
      <c r="PO1161" s="23"/>
      <c r="PP1161" s="23"/>
      <c r="PQ1161" s="23"/>
      <c r="PR1161" s="23"/>
      <c r="PS1161" s="23"/>
      <c r="PT1161" s="23"/>
      <c r="PU1161" s="23"/>
      <c r="PV1161" s="23"/>
      <c r="PW1161" s="23"/>
      <c r="PX1161" s="23"/>
      <c r="PY1161" s="23"/>
      <c r="PZ1161" s="23"/>
      <c r="QA1161" s="23"/>
      <c r="QB1161" s="23"/>
      <c r="QC1161" s="23"/>
      <c r="QD1161" s="23"/>
      <c r="QE1161" s="23"/>
      <c r="QF1161" s="23"/>
      <c r="QG1161" s="23"/>
      <c r="QH1161" s="23"/>
      <c r="QI1161" s="23"/>
      <c r="QJ1161" s="23"/>
      <c r="QK1161" s="23"/>
      <c r="QL1161" s="23"/>
      <c r="QM1161" s="23"/>
      <c r="QN1161" s="23"/>
      <c r="QO1161" s="23"/>
      <c r="QP1161" s="23"/>
      <c r="QQ1161" s="23"/>
      <c r="QR1161" s="23"/>
      <c r="QS1161" s="23"/>
      <c r="QT1161" s="23"/>
      <c r="QU1161" s="23"/>
      <c r="QV1161" s="23"/>
      <c r="QW1161" s="23"/>
      <c r="QX1161" s="23"/>
      <c r="QY1161" s="23"/>
      <c r="QZ1161" s="23"/>
      <c r="RA1161" s="23"/>
      <c r="RB1161" s="23"/>
      <c r="RC1161" s="23"/>
      <c r="RD1161" s="23"/>
      <c r="RE1161" s="23"/>
      <c r="RF1161" s="23"/>
      <c r="RG1161" s="23"/>
      <c r="RH1161" s="23"/>
      <c r="RI1161" s="23"/>
      <c r="RJ1161" s="23"/>
      <c r="RK1161" s="23"/>
      <c r="RL1161" s="23"/>
      <c r="RM1161" s="23"/>
      <c r="RN1161" s="23"/>
      <c r="RO1161" s="23"/>
      <c r="RP1161" s="23"/>
      <c r="RQ1161" s="23"/>
      <c r="RR1161" s="23"/>
      <c r="RS1161" s="23"/>
      <c r="RT1161" s="23"/>
      <c r="RU1161" s="23"/>
      <c r="RV1161" s="23"/>
      <c r="RW1161" s="23"/>
      <c r="RX1161" s="23"/>
      <c r="RY1161" s="23"/>
      <c r="RZ1161" s="23"/>
      <c r="SA1161" s="23"/>
      <c r="SB1161" s="23"/>
      <c r="SC1161" s="23"/>
      <c r="SD1161" s="23"/>
      <c r="SE1161" s="23"/>
      <c r="SF1161" s="23"/>
      <c r="SG1161" s="23"/>
      <c r="SH1161" s="23"/>
      <c r="SI1161" s="23"/>
      <c r="SJ1161" s="23"/>
      <c r="SK1161" s="23"/>
      <c r="SL1161" s="23"/>
      <c r="SM1161" s="23"/>
      <c r="SN1161" s="23"/>
      <c r="SO1161" s="23"/>
      <c r="SP1161" s="23"/>
      <c r="SQ1161" s="23"/>
      <c r="SR1161" s="23"/>
      <c r="SS1161" s="23"/>
      <c r="ST1161" s="23"/>
      <c r="SU1161" s="23"/>
      <c r="SV1161" s="23"/>
      <c r="SW1161" s="23"/>
      <c r="SX1161" s="23"/>
      <c r="SY1161" s="23"/>
      <c r="SZ1161" s="23"/>
      <c r="TA1161" s="23"/>
      <c r="TB1161" s="23"/>
      <c r="TC1161" s="23"/>
      <c r="TD1161" s="23"/>
      <c r="TE1161" s="23"/>
      <c r="TF1161" s="23"/>
      <c r="TG1161" s="23"/>
      <c r="TH1161" s="23"/>
      <c r="TI1161" s="23"/>
      <c r="TJ1161" s="23"/>
      <c r="TK1161" s="23"/>
      <c r="TL1161" s="23"/>
      <c r="TM1161" s="23"/>
      <c r="TN1161" s="23"/>
      <c r="TO1161" s="23"/>
      <c r="TP1161" s="23"/>
      <c r="TQ1161" s="23"/>
      <c r="TR1161" s="23"/>
      <c r="TS1161" s="23"/>
      <c r="TT1161" s="23"/>
      <c r="TU1161" s="23"/>
      <c r="TV1161" s="23"/>
      <c r="TW1161" s="23"/>
      <c r="TX1161" s="23"/>
      <c r="TY1161" s="23"/>
      <c r="TZ1161" s="23"/>
      <c r="UA1161" s="23"/>
      <c r="UB1161" s="23"/>
      <c r="UC1161" s="23"/>
      <c r="UD1161" s="23"/>
      <c r="UE1161" s="23"/>
      <c r="UF1161" s="23"/>
      <c r="UG1161" s="23"/>
      <c r="UH1161" s="23"/>
      <c r="UI1161" s="23"/>
      <c r="UJ1161" s="23"/>
      <c r="UK1161" s="23"/>
      <c r="UL1161" s="23"/>
      <c r="UM1161" s="23"/>
      <c r="UN1161" s="23"/>
      <c r="UO1161" s="23"/>
      <c r="UP1161" s="23"/>
      <c r="UQ1161" s="23"/>
      <c r="UR1161" s="23"/>
      <c r="US1161" s="23"/>
      <c r="UT1161" s="23"/>
      <c r="UU1161" s="23"/>
      <c r="UV1161" s="23"/>
      <c r="UW1161" s="23"/>
      <c r="UX1161" s="23"/>
      <c r="UY1161" s="23"/>
      <c r="UZ1161" s="23"/>
      <c r="VA1161" s="23"/>
      <c r="VB1161" s="23"/>
      <c r="VC1161" s="23"/>
      <c r="VD1161" s="23"/>
      <c r="VE1161" s="23"/>
      <c r="VF1161" s="23"/>
      <c r="VG1161" s="23"/>
      <c r="VH1161" s="23"/>
      <c r="VI1161" s="23"/>
      <c r="VJ1161" s="23"/>
      <c r="VK1161" s="23"/>
      <c r="VL1161" s="23"/>
      <c r="VM1161" s="23"/>
      <c r="VN1161" s="23"/>
      <c r="VO1161" s="23"/>
      <c r="VP1161" s="23"/>
      <c r="VQ1161" s="23"/>
      <c r="VR1161" s="23"/>
      <c r="VS1161" s="23"/>
      <c r="VT1161" s="23"/>
      <c r="VU1161" s="23"/>
      <c r="VV1161" s="23"/>
      <c r="VW1161" s="23"/>
      <c r="VX1161" s="23"/>
      <c r="VY1161" s="23"/>
      <c r="VZ1161" s="23"/>
      <c r="WA1161" s="23"/>
      <c r="WB1161" s="23"/>
      <c r="WC1161" s="23"/>
      <c r="WD1161" s="23"/>
      <c r="WE1161" s="23"/>
      <c r="WF1161" s="23"/>
      <c r="WG1161" s="23"/>
      <c r="WH1161" s="23"/>
      <c r="WI1161" s="23"/>
      <c r="WJ1161" s="23"/>
      <c r="WK1161" s="23"/>
      <c r="WL1161" s="23"/>
      <c r="WM1161" s="23"/>
      <c r="WN1161" s="23"/>
      <c r="WO1161" s="23"/>
      <c r="WP1161" s="23"/>
      <c r="WQ1161" s="23"/>
      <c r="WR1161" s="23"/>
      <c r="WS1161" s="23"/>
      <c r="WT1161" s="23"/>
      <c r="WU1161" s="23"/>
      <c r="WV1161" s="23"/>
      <c r="WW1161" s="23"/>
      <c r="WX1161" s="23"/>
      <c r="WY1161" s="23"/>
      <c r="WZ1161" s="23"/>
      <c r="XA1161" s="23"/>
      <c r="XB1161" s="23"/>
      <c r="XC1161" s="23"/>
      <c r="XD1161" s="23"/>
      <c r="XE1161" s="23"/>
      <c r="XF1161" s="23"/>
      <c r="XG1161" s="23"/>
      <c r="XH1161" s="23"/>
      <c r="XI1161" s="23"/>
      <c r="XJ1161" s="23"/>
      <c r="XK1161" s="23"/>
      <c r="XL1161" s="23"/>
      <c r="XM1161" s="23"/>
      <c r="XN1161" s="23"/>
      <c r="XO1161" s="23"/>
      <c r="XP1161" s="23"/>
      <c r="XQ1161" s="23"/>
      <c r="XR1161" s="23"/>
      <c r="XS1161" s="23"/>
      <c r="XT1161" s="23"/>
      <c r="XU1161" s="23"/>
      <c r="XV1161" s="23"/>
      <c r="XW1161" s="23"/>
      <c r="XX1161" s="23"/>
      <c r="XY1161" s="23"/>
      <c r="XZ1161" s="23"/>
      <c r="YA1161" s="23"/>
      <c r="YB1161" s="23"/>
      <c r="YC1161" s="23"/>
      <c r="YD1161" s="23"/>
      <c r="YE1161" s="23"/>
      <c r="YF1161" s="23"/>
      <c r="YG1161" s="23"/>
      <c r="YH1161" s="23"/>
      <c r="YI1161" s="23"/>
      <c r="YJ1161" s="23"/>
      <c r="YK1161" s="23"/>
      <c r="YL1161" s="23"/>
      <c r="YM1161" s="23"/>
      <c r="YN1161" s="23"/>
      <c r="YO1161" s="23"/>
      <c r="YP1161" s="23"/>
      <c r="YQ1161" s="23"/>
      <c r="YR1161" s="23"/>
      <c r="YS1161" s="23"/>
      <c r="YT1161" s="23"/>
      <c r="YU1161" s="23"/>
      <c r="YV1161" s="23"/>
      <c r="YW1161" s="23"/>
      <c r="YX1161" s="23"/>
      <c r="YY1161" s="23"/>
      <c r="YZ1161" s="23"/>
      <c r="ZA1161" s="23"/>
      <c r="ZB1161" s="23"/>
      <c r="ZC1161" s="23"/>
      <c r="ZD1161" s="23"/>
      <c r="ZE1161" s="23"/>
      <c r="ZF1161" s="23"/>
      <c r="ZG1161" s="23"/>
      <c r="ZH1161" s="23"/>
      <c r="ZI1161" s="23"/>
      <c r="ZJ1161" s="23"/>
      <c r="ZK1161" s="23"/>
      <c r="ZL1161" s="23"/>
      <c r="ZM1161" s="23"/>
      <c r="ZN1161" s="23"/>
      <c r="ZO1161" s="23"/>
      <c r="ZP1161" s="23"/>
      <c r="ZQ1161" s="23"/>
      <c r="ZR1161" s="23"/>
      <c r="ZS1161" s="23"/>
      <c r="ZT1161" s="23"/>
      <c r="ZU1161" s="23"/>
      <c r="ZV1161" s="23"/>
      <c r="ZW1161" s="23"/>
      <c r="ZX1161" s="23"/>
      <c r="ZY1161" s="23"/>
      <c r="ZZ1161" s="23"/>
      <c r="AAA1161" s="23"/>
      <c r="AAB1161" s="23"/>
      <c r="AAC1161" s="23"/>
      <c r="AAD1161" s="23"/>
      <c r="AAE1161" s="23"/>
      <c r="AAF1161" s="23"/>
      <c r="AAG1161" s="23"/>
      <c r="AAH1161" s="23"/>
      <c r="AAI1161" s="23"/>
      <c r="AAJ1161" s="23"/>
      <c r="AAK1161" s="23"/>
      <c r="AAL1161" s="23"/>
      <c r="AAM1161" s="23"/>
      <c r="AAN1161" s="23"/>
      <c r="AAO1161" s="23"/>
      <c r="AAP1161" s="23"/>
      <c r="AAQ1161" s="23"/>
      <c r="AAR1161" s="23"/>
      <c r="AAS1161" s="23"/>
      <c r="AAT1161" s="23"/>
      <c r="AAU1161" s="23"/>
      <c r="AAV1161" s="23"/>
      <c r="AAW1161" s="23"/>
      <c r="AAX1161" s="23"/>
      <c r="AAY1161" s="23"/>
      <c r="AAZ1161" s="23"/>
      <c r="ABA1161" s="23"/>
      <c r="ABB1161" s="23"/>
      <c r="ABC1161" s="23"/>
      <c r="ABD1161" s="23"/>
      <c r="ABE1161" s="23"/>
      <c r="ABF1161" s="23"/>
      <c r="ABG1161" s="23"/>
      <c r="ABH1161" s="23"/>
      <c r="ABI1161" s="23"/>
      <c r="ABJ1161" s="23"/>
      <c r="ABK1161" s="23"/>
      <c r="ABL1161" s="23"/>
      <c r="ABM1161" s="23"/>
      <c r="ABN1161" s="23"/>
      <c r="ABO1161" s="23"/>
      <c r="ABP1161" s="23"/>
      <c r="ABQ1161" s="23"/>
      <c r="ABR1161" s="23"/>
      <c r="ABS1161" s="23"/>
      <c r="ABT1161" s="23"/>
      <c r="ABU1161" s="23"/>
      <c r="ABV1161" s="23"/>
      <c r="ABW1161" s="23"/>
      <c r="ABX1161" s="23"/>
      <c r="ABY1161" s="23"/>
      <c r="ABZ1161" s="23"/>
      <c r="ACA1161" s="23"/>
      <c r="ACB1161" s="23"/>
      <c r="ACC1161" s="23"/>
      <c r="ACD1161" s="23"/>
      <c r="ACE1161" s="23"/>
      <c r="ACF1161" s="23"/>
      <c r="ACG1161" s="23"/>
      <c r="ACH1161" s="23"/>
      <c r="ACI1161" s="23"/>
      <c r="ACJ1161" s="23"/>
      <c r="ACK1161" s="23"/>
      <c r="ACL1161" s="23"/>
      <c r="ACM1161" s="23"/>
      <c r="ACN1161" s="23"/>
      <c r="ACO1161" s="23"/>
      <c r="ACP1161" s="23"/>
      <c r="ACQ1161" s="23"/>
      <c r="ACR1161" s="23"/>
      <c r="ACS1161" s="23"/>
      <c r="ACT1161" s="23"/>
      <c r="ACU1161" s="23"/>
      <c r="ACV1161" s="23"/>
      <c r="ACW1161" s="23"/>
      <c r="ACX1161" s="23"/>
      <c r="ACY1161" s="23"/>
      <c r="ACZ1161" s="23"/>
      <c r="ADA1161" s="23"/>
      <c r="ADB1161" s="23"/>
      <c r="ADC1161" s="23"/>
      <c r="ADD1161" s="23"/>
      <c r="ADE1161" s="23"/>
      <c r="ADF1161" s="23"/>
      <c r="ADG1161" s="23"/>
      <c r="ADH1161" s="23"/>
      <c r="ADI1161" s="23"/>
      <c r="ADJ1161" s="23"/>
      <c r="ADK1161" s="23"/>
      <c r="ADL1161" s="23"/>
      <c r="ADM1161" s="23"/>
      <c r="ADN1161" s="23"/>
      <c r="ADO1161" s="23"/>
      <c r="ADP1161" s="23"/>
      <c r="ADQ1161" s="23"/>
      <c r="ADR1161" s="23"/>
      <c r="ADS1161" s="23"/>
      <c r="ADT1161" s="23"/>
      <c r="ADU1161" s="23"/>
      <c r="ADV1161" s="23"/>
      <c r="ADW1161" s="23"/>
      <c r="ADX1161" s="23"/>
      <c r="ADY1161" s="23"/>
      <c r="ADZ1161" s="23"/>
      <c r="AEA1161" s="23"/>
      <c r="AEB1161" s="23"/>
      <c r="AEC1161" s="23"/>
      <c r="AED1161" s="23"/>
      <c r="AEE1161" s="23"/>
      <c r="AEF1161" s="23"/>
      <c r="AEG1161" s="23"/>
      <c r="AEH1161" s="23"/>
      <c r="AEI1161" s="23"/>
      <c r="AEJ1161" s="23"/>
      <c r="AEK1161" s="23"/>
      <c r="AEL1161" s="23"/>
      <c r="AEM1161" s="23"/>
      <c r="AEN1161" s="23"/>
      <c r="AEO1161" s="23"/>
      <c r="AEP1161" s="23"/>
      <c r="AEQ1161" s="23"/>
      <c r="AER1161" s="23"/>
      <c r="AES1161" s="23"/>
      <c r="AET1161" s="23"/>
      <c r="AEU1161" s="23"/>
      <c r="AEV1161" s="23"/>
      <c r="AEW1161" s="23"/>
      <c r="AEX1161" s="23"/>
      <c r="AEY1161" s="23"/>
      <c r="AEZ1161" s="23"/>
      <c r="AFA1161" s="23"/>
      <c r="AFB1161" s="23"/>
      <c r="AFC1161" s="23"/>
      <c r="AFD1161" s="23"/>
      <c r="AFE1161" s="23"/>
      <c r="AFF1161" s="23"/>
      <c r="AFG1161" s="23"/>
      <c r="AFH1161" s="23"/>
      <c r="AFI1161" s="23"/>
      <c r="AFJ1161" s="23"/>
      <c r="AFK1161" s="23"/>
      <c r="AFL1161" s="23"/>
      <c r="AFM1161" s="23"/>
      <c r="AFN1161" s="23"/>
      <c r="AFO1161" s="23"/>
      <c r="AFP1161" s="23"/>
      <c r="AFQ1161" s="23"/>
      <c r="AFR1161" s="23"/>
      <c r="AFS1161" s="23"/>
      <c r="AFT1161" s="23"/>
      <c r="AFU1161" s="23"/>
      <c r="AFV1161" s="23"/>
      <c r="AFW1161" s="23"/>
      <c r="AFX1161" s="23"/>
      <c r="AFY1161" s="23"/>
      <c r="AFZ1161" s="23"/>
      <c r="AGA1161" s="23"/>
      <c r="AGB1161" s="23"/>
      <c r="AGC1161" s="23"/>
      <c r="AGD1161" s="23"/>
      <c r="AGE1161" s="23"/>
      <c r="AGF1161" s="23"/>
      <c r="AGG1161" s="23"/>
      <c r="AGH1161" s="23"/>
      <c r="AGI1161" s="23"/>
      <c r="AGJ1161" s="23"/>
      <c r="AGK1161" s="23"/>
      <c r="AGL1161" s="23"/>
      <c r="AGM1161" s="23"/>
      <c r="AGN1161" s="23"/>
      <c r="AGO1161" s="23"/>
      <c r="AGP1161" s="23"/>
      <c r="AGQ1161" s="23"/>
      <c r="AGR1161" s="23"/>
      <c r="AGS1161" s="23"/>
      <c r="AGT1161" s="23"/>
      <c r="AGU1161" s="23"/>
      <c r="AGV1161" s="23"/>
      <c r="AGW1161" s="23"/>
      <c r="AGX1161" s="23"/>
      <c r="AGY1161" s="23"/>
      <c r="AGZ1161" s="23"/>
      <c r="AHA1161" s="23"/>
      <c r="AHB1161" s="23"/>
      <c r="AHC1161" s="23"/>
      <c r="AHD1161" s="23"/>
      <c r="AHE1161" s="23"/>
      <c r="AHF1161" s="23"/>
      <c r="AHG1161" s="23"/>
      <c r="AHH1161" s="23"/>
      <c r="AHI1161" s="23"/>
      <c r="AHJ1161" s="23"/>
      <c r="AHK1161" s="23"/>
      <c r="AHL1161" s="23"/>
      <c r="AHM1161" s="23"/>
      <c r="AHN1161" s="23"/>
      <c r="AHO1161" s="23"/>
      <c r="AHP1161" s="23"/>
      <c r="AHQ1161" s="23"/>
      <c r="AHR1161" s="23"/>
      <c r="AHS1161" s="23"/>
      <c r="AHT1161" s="23"/>
      <c r="AHU1161" s="23"/>
      <c r="AHV1161" s="23"/>
      <c r="AHW1161" s="23"/>
      <c r="AHX1161" s="23"/>
      <c r="AHY1161" s="23"/>
      <c r="AHZ1161" s="23"/>
      <c r="AIA1161" s="23"/>
      <c r="AIB1161" s="23"/>
      <c r="AIC1161" s="23"/>
      <c r="AID1161" s="23"/>
      <c r="AIE1161" s="23"/>
      <c r="AIF1161" s="23"/>
      <c r="AIG1161" s="23"/>
      <c r="AIH1161" s="23"/>
      <c r="AII1161" s="23"/>
      <c r="AIJ1161" s="23"/>
      <c r="AIK1161" s="23"/>
      <c r="AIL1161" s="23"/>
      <c r="AIM1161" s="23"/>
      <c r="AIN1161" s="23"/>
      <c r="AIO1161" s="23"/>
      <c r="AIP1161" s="23"/>
      <c r="AIQ1161" s="23"/>
      <c r="AIR1161" s="23"/>
      <c r="AIS1161" s="23"/>
      <c r="AIT1161" s="23"/>
      <c r="AIU1161" s="23"/>
      <c r="AIV1161" s="23"/>
      <c r="AIW1161" s="23"/>
      <c r="AIX1161" s="23"/>
      <c r="AIY1161" s="23"/>
      <c r="AIZ1161" s="23"/>
      <c r="AJA1161" s="23"/>
      <c r="AJB1161" s="23"/>
      <c r="AJC1161" s="23"/>
      <c r="AJD1161" s="23"/>
      <c r="AJE1161" s="23"/>
      <c r="AJF1161" s="23"/>
      <c r="AJG1161" s="23"/>
      <c r="AJH1161" s="23"/>
      <c r="AJI1161" s="23"/>
      <c r="AJJ1161" s="23"/>
      <c r="AJK1161" s="23"/>
      <c r="AJL1161" s="23"/>
      <c r="AJM1161" s="23"/>
      <c r="AJN1161" s="23"/>
      <c r="AJO1161" s="23"/>
      <c r="AJP1161" s="23"/>
      <c r="AJQ1161" s="23"/>
      <c r="AJR1161" s="23"/>
      <c r="AJS1161" s="23"/>
      <c r="AJT1161" s="23"/>
      <c r="AJU1161" s="23"/>
      <c r="AJV1161" s="23"/>
      <c r="AJW1161" s="23"/>
      <c r="AJX1161" s="23"/>
      <c r="AJY1161" s="23"/>
      <c r="AJZ1161" s="23"/>
      <c r="AKA1161" s="23"/>
      <c r="AKB1161" s="23"/>
      <c r="AKC1161" s="23"/>
      <c r="AKD1161" s="23"/>
      <c r="AKE1161" s="23"/>
      <c r="AKF1161" s="23"/>
      <c r="AKG1161" s="23"/>
      <c r="AKH1161" s="23"/>
      <c r="AKI1161" s="23"/>
      <c r="AKJ1161" s="23"/>
      <c r="AKK1161" s="23"/>
      <c r="AKL1161" s="23"/>
      <c r="AKM1161" s="23"/>
      <c r="AKN1161" s="23"/>
      <c r="AKO1161" s="23"/>
      <c r="AKP1161" s="23"/>
      <c r="AKQ1161" s="23"/>
      <c r="AKR1161" s="23"/>
      <c r="AKS1161" s="23"/>
      <c r="AKT1161" s="23"/>
      <c r="AKU1161" s="23"/>
      <c r="AKV1161" s="23"/>
      <c r="AKW1161" s="23"/>
      <c r="AKX1161" s="23"/>
      <c r="AKY1161" s="23"/>
      <c r="AKZ1161" s="23"/>
      <c r="ALA1161" s="23"/>
      <c r="ALB1161" s="23"/>
      <c r="ALC1161" s="23"/>
      <c r="ALD1161" s="23"/>
      <c r="ALE1161" s="23"/>
      <c r="ALF1161" s="23"/>
      <c r="ALG1161" s="23"/>
      <c r="ALH1161" s="23"/>
      <c r="ALI1161" s="23"/>
      <c r="ALJ1161" s="23"/>
      <c r="ALK1161" s="23"/>
      <c r="ALL1161" s="23"/>
      <c r="ALM1161" s="23"/>
      <c r="ALN1161" s="23"/>
      <c r="ALO1161" s="23"/>
      <c r="ALP1161" s="23"/>
      <c r="ALQ1161" s="23"/>
      <c r="ALR1161" s="23"/>
      <c r="ALS1161" s="23"/>
      <c r="ALT1161" s="23"/>
      <c r="ALU1161" s="23"/>
      <c r="ALV1161" s="23"/>
      <c r="ALW1161" s="23"/>
      <c r="ALX1161" s="23"/>
      <c r="ALY1161" s="23"/>
      <c r="ALZ1161" s="23"/>
      <c r="AMA1161" s="23"/>
      <c r="AMB1161" s="23"/>
      <c r="AMC1161" s="23"/>
      <c r="AMD1161" s="23"/>
      <c r="AME1161" s="23"/>
      <c r="AMF1161" s="23"/>
      <c r="AMG1161" s="23"/>
      <c r="AMH1161" s="23"/>
      <c r="AMI1161" s="23"/>
      <c r="AMJ1161" s="23"/>
      <c r="AMK1161" s="23"/>
      <c r="AML1161" s="23"/>
      <c r="AMM1161" s="23"/>
      <c r="AMN1161" s="23"/>
      <c r="AMO1161" s="23"/>
      <c r="AMP1161" s="23"/>
      <c r="AMQ1161" s="23"/>
      <c r="AMR1161" s="23"/>
      <c r="AMS1161" s="23"/>
      <c r="AMT1161" s="23"/>
      <c r="AMU1161" s="23"/>
      <c r="AMV1161" s="23"/>
      <c r="AMW1161" s="23"/>
      <c r="AMX1161" s="23"/>
      <c r="AMY1161" s="23"/>
      <c r="AMZ1161" s="23"/>
      <c r="ANA1161" s="23"/>
      <c r="ANB1161" s="23"/>
      <c r="ANC1161" s="23"/>
      <c r="AND1161" s="23"/>
      <c r="ANE1161" s="23"/>
      <c r="ANF1161" s="23"/>
      <c r="ANG1161" s="23"/>
      <c r="ANH1161" s="23"/>
      <c r="ANI1161" s="23"/>
      <c r="ANJ1161" s="23"/>
      <c r="ANK1161" s="23"/>
      <c r="ANL1161" s="23"/>
      <c r="ANM1161" s="23"/>
      <c r="ANN1161" s="23"/>
      <c r="ANO1161" s="23"/>
      <c r="ANP1161" s="23"/>
      <c r="ANQ1161" s="23"/>
      <c r="ANR1161" s="23"/>
      <c r="ANS1161" s="23"/>
      <c r="ANT1161" s="23"/>
      <c r="ANU1161" s="23"/>
      <c r="ANV1161" s="23"/>
      <c r="ANW1161" s="23"/>
      <c r="ANX1161" s="23"/>
      <c r="ANY1161" s="23"/>
      <c r="ANZ1161" s="23"/>
      <c r="AOA1161" s="23"/>
      <c r="AOB1161" s="23"/>
      <c r="AOC1161" s="23"/>
      <c r="AOD1161" s="23"/>
      <c r="AOE1161" s="23"/>
      <c r="AOF1161" s="23"/>
      <c r="AOG1161" s="23"/>
      <c r="AOH1161" s="23"/>
      <c r="AOI1161" s="23"/>
      <c r="AOJ1161" s="23"/>
      <c r="AOK1161" s="23"/>
      <c r="AOL1161" s="23"/>
      <c r="AOM1161" s="23"/>
      <c r="AON1161" s="23"/>
      <c r="AOO1161" s="23"/>
      <c r="AOP1161" s="23"/>
      <c r="AOQ1161" s="23"/>
      <c r="AOR1161" s="23"/>
      <c r="AOS1161" s="23"/>
      <c r="AOT1161" s="23"/>
      <c r="AOU1161" s="23"/>
      <c r="AOV1161" s="23"/>
      <c r="AOW1161" s="23"/>
      <c r="AOX1161" s="23"/>
      <c r="AOY1161" s="23"/>
      <c r="AOZ1161" s="23"/>
      <c r="APA1161" s="23"/>
      <c r="APB1161" s="23"/>
      <c r="APC1161" s="23"/>
      <c r="APD1161" s="23"/>
      <c r="APE1161" s="23"/>
      <c r="APF1161" s="23"/>
      <c r="APG1161" s="23"/>
      <c r="APH1161" s="23"/>
      <c r="API1161" s="23"/>
      <c r="APJ1161" s="23"/>
      <c r="APK1161" s="23"/>
      <c r="APL1161" s="23"/>
      <c r="APM1161" s="23"/>
      <c r="APN1161" s="23"/>
      <c r="APO1161" s="23"/>
      <c r="APP1161" s="23"/>
      <c r="APQ1161" s="23"/>
      <c r="APR1161" s="23"/>
      <c r="APS1161" s="23"/>
      <c r="APT1161" s="23"/>
      <c r="APU1161" s="23"/>
      <c r="APV1161" s="23"/>
      <c r="APW1161" s="23"/>
      <c r="APX1161" s="23"/>
      <c r="APY1161" s="23"/>
      <c r="APZ1161" s="23"/>
      <c r="AQA1161" s="23"/>
      <c r="AQB1161" s="23"/>
      <c r="AQC1161" s="23"/>
      <c r="AQD1161" s="23"/>
      <c r="AQE1161" s="23"/>
      <c r="AQF1161" s="23"/>
      <c r="AQG1161" s="23"/>
      <c r="AQH1161" s="23"/>
      <c r="AQI1161" s="23"/>
      <c r="AQJ1161" s="23"/>
      <c r="AQK1161" s="23"/>
      <c r="AQL1161" s="23"/>
      <c r="AQM1161" s="23"/>
      <c r="AQN1161" s="23"/>
      <c r="AQO1161" s="23"/>
      <c r="AQP1161" s="23"/>
      <c r="AQQ1161" s="23"/>
      <c r="AQR1161" s="23"/>
      <c r="AQS1161" s="23"/>
      <c r="AQT1161" s="23"/>
      <c r="AQU1161" s="23"/>
      <c r="AQV1161" s="23"/>
      <c r="AQW1161" s="23"/>
      <c r="AQX1161" s="23"/>
      <c r="AQY1161" s="23"/>
      <c r="AQZ1161" s="23"/>
      <c r="ARA1161" s="23"/>
      <c r="ARB1161" s="23"/>
      <c r="ARC1161" s="23"/>
      <c r="ARD1161" s="23"/>
      <c r="ARE1161" s="23"/>
      <c r="ARF1161" s="23"/>
      <c r="ARG1161" s="23"/>
      <c r="ARH1161" s="23"/>
      <c r="ARI1161" s="23"/>
      <c r="ARJ1161" s="23"/>
      <c r="ARK1161" s="23"/>
      <c r="ARL1161" s="23"/>
      <c r="ARM1161" s="23"/>
      <c r="ARN1161" s="23"/>
      <c r="ARO1161" s="23"/>
      <c r="ARP1161" s="23"/>
      <c r="ARQ1161" s="23"/>
      <c r="ARR1161" s="23"/>
      <c r="ARS1161" s="23"/>
      <c r="ART1161" s="23"/>
      <c r="ARU1161" s="23"/>
      <c r="ARV1161" s="23"/>
      <c r="ARW1161" s="23"/>
      <c r="ARX1161" s="23"/>
      <c r="ARY1161" s="23"/>
      <c r="ARZ1161" s="23"/>
      <c r="ASA1161" s="23"/>
      <c r="ASB1161" s="23"/>
      <c r="ASC1161" s="23"/>
      <c r="ASD1161" s="23"/>
      <c r="ASE1161" s="23"/>
      <c r="ASF1161" s="23"/>
      <c r="ASG1161" s="23"/>
      <c r="ASH1161" s="23"/>
      <c r="ASI1161" s="23"/>
      <c r="ASJ1161" s="23"/>
      <c r="ASK1161" s="23"/>
      <c r="ASL1161" s="23"/>
      <c r="ASM1161" s="23"/>
      <c r="ASN1161" s="23"/>
      <c r="ASO1161" s="23"/>
      <c r="ASP1161" s="23"/>
      <c r="ASQ1161" s="23"/>
      <c r="ASR1161" s="23"/>
      <c r="ASS1161" s="23"/>
      <c r="AST1161" s="23"/>
      <c r="ASU1161" s="23"/>
      <c r="ASV1161" s="23"/>
      <c r="ASW1161" s="23"/>
      <c r="ASX1161" s="23"/>
      <c r="ASY1161" s="23"/>
      <c r="ASZ1161" s="23"/>
      <c r="ATA1161" s="23"/>
      <c r="ATB1161" s="23"/>
      <c r="ATC1161" s="23"/>
      <c r="ATD1161" s="23"/>
      <c r="ATE1161" s="23"/>
      <c r="ATF1161" s="23"/>
      <c r="ATG1161" s="23"/>
      <c r="ATH1161" s="23"/>
      <c r="ATI1161" s="23"/>
      <c r="ATJ1161" s="23"/>
      <c r="ATK1161" s="23"/>
      <c r="ATL1161" s="23"/>
      <c r="ATM1161" s="23"/>
      <c r="ATN1161" s="23"/>
      <c r="ATO1161" s="23"/>
      <c r="ATP1161" s="23"/>
      <c r="ATQ1161" s="23"/>
      <c r="ATR1161" s="23"/>
      <c r="ATS1161" s="23"/>
      <c r="ATT1161" s="23"/>
      <c r="ATU1161" s="23"/>
      <c r="ATV1161" s="23"/>
      <c r="ATW1161" s="23"/>
      <c r="ATX1161" s="23"/>
      <c r="ATY1161" s="23"/>
      <c r="ATZ1161" s="23"/>
      <c r="AUA1161" s="23"/>
      <c r="AUB1161" s="23"/>
      <c r="AUC1161" s="23"/>
      <c r="AUD1161" s="23"/>
      <c r="AUE1161" s="23"/>
      <c r="AUF1161" s="23"/>
      <c r="AUG1161" s="23"/>
      <c r="AUH1161" s="23"/>
      <c r="AUI1161" s="23"/>
      <c r="AUJ1161" s="23"/>
      <c r="AUK1161" s="23"/>
      <c r="AUL1161" s="23"/>
      <c r="AUM1161" s="23"/>
      <c r="AUN1161" s="23"/>
      <c r="AUO1161" s="23"/>
      <c r="AUP1161" s="23"/>
      <c r="AUQ1161" s="23"/>
      <c r="AUR1161" s="23"/>
      <c r="AUS1161" s="23"/>
      <c r="AUT1161" s="23"/>
      <c r="AUU1161" s="23"/>
      <c r="AUV1161" s="23"/>
      <c r="AUW1161" s="23"/>
      <c r="AUX1161" s="23"/>
      <c r="AUY1161" s="23"/>
      <c r="AUZ1161" s="23"/>
      <c r="AVA1161" s="23"/>
      <c r="AVB1161" s="23"/>
      <c r="AVC1161" s="23"/>
      <c r="AVD1161" s="23"/>
      <c r="AVE1161" s="23"/>
      <c r="AVF1161" s="23"/>
      <c r="AVG1161" s="23"/>
      <c r="AVH1161" s="23"/>
      <c r="AVI1161" s="23"/>
      <c r="AVJ1161" s="23"/>
      <c r="AVK1161" s="23"/>
      <c r="AVL1161" s="23"/>
      <c r="AVM1161" s="23"/>
      <c r="AVN1161" s="23"/>
      <c r="AVO1161" s="23"/>
      <c r="AVP1161" s="23"/>
      <c r="AVQ1161" s="23"/>
      <c r="AVR1161" s="23"/>
      <c r="AVS1161" s="23"/>
      <c r="AVT1161" s="23"/>
      <c r="AVU1161" s="23"/>
      <c r="AVV1161" s="23"/>
      <c r="AVW1161" s="23"/>
      <c r="AVX1161" s="23"/>
      <c r="AVY1161" s="23"/>
      <c r="AVZ1161" s="23"/>
      <c r="AWA1161" s="23"/>
      <c r="AWB1161" s="23"/>
      <c r="AWC1161" s="23"/>
      <c r="AWD1161" s="23"/>
      <c r="AWE1161" s="23"/>
      <c r="AWF1161" s="23"/>
      <c r="AWG1161" s="23"/>
      <c r="AWH1161" s="23"/>
      <c r="AWI1161" s="23"/>
      <c r="AWJ1161" s="23"/>
      <c r="AWK1161" s="23"/>
      <c r="AWL1161" s="23"/>
      <c r="AWM1161" s="23"/>
      <c r="AWN1161" s="23"/>
      <c r="AWO1161" s="23"/>
      <c r="AWP1161" s="23"/>
      <c r="AWQ1161" s="23"/>
      <c r="AWR1161" s="23"/>
      <c r="AWS1161" s="23"/>
      <c r="AWT1161" s="23"/>
      <c r="AWU1161" s="23"/>
      <c r="AWV1161" s="23"/>
      <c r="AWW1161" s="23"/>
      <c r="AWX1161" s="23"/>
      <c r="AWY1161" s="23"/>
      <c r="AWZ1161" s="23"/>
      <c r="AXA1161" s="23"/>
      <c r="AXB1161" s="23"/>
      <c r="AXC1161" s="23"/>
      <c r="AXD1161" s="23"/>
      <c r="AXE1161" s="23"/>
      <c r="AXF1161" s="23"/>
      <c r="AXG1161" s="23"/>
      <c r="AXH1161" s="23"/>
      <c r="AXI1161" s="23"/>
      <c r="AXJ1161" s="23"/>
      <c r="AXK1161" s="23"/>
      <c r="AXL1161" s="23"/>
      <c r="AXM1161" s="23"/>
      <c r="AXN1161" s="23"/>
      <c r="AXO1161" s="23"/>
      <c r="AXP1161" s="23"/>
      <c r="AXQ1161" s="23"/>
      <c r="AXR1161" s="23"/>
      <c r="AXS1161" s="23"/>
      <c r="AXT1161" s="23"/>
      <c r="AXU1161" s="23"/>
      <c r="AXV1161" s="23"/>
      <c r="AXW1161" s="23"/>
      <c r="AXX1161" s="23"/>
      <c r="AXY1161" s="23"/>
      <c r="AXZ1161" s="23"/>
      <c r="AYA1161" s="23"/>
      <c r="AYB1161" s="23"/>
      <c r="AYC1161" s="23"/>
      <c r="AYD1161" s="23"/>
      <c r="AYE1161" s="23"/>
      <c r="AYF1161" s="23"/>
      <c r="AYG1161" s="23"/>
      <c r="AYH1161" s="23"/>
      <c r="AYI1161" s="23"/>
      <c r="AYJ1161" s="23"/>
      <c r="AYK1161" s="23"/>
      <c r="AYL1161" s="23"/>
      <c r="AYM1161" s="23"/>
      <c r="AYN1161" s="23"/>
      <c r="AYO1161" s="23"/>
      <c r="AYP1161" s="23"/>
      <c r="AYQ1161" s="23"/>
      <c r="AYR1161" s="23"/>
      <c r="AYS1161" s="23"/>
      <c r="AYT1161" s="23"/>
      <c r="AYU1161" s="23"/>
      <c r="AYV1161" s="23"/>
      <c r="AYW1161" s="23"/>
      <c r="AYX1161" s="23"/>
      <c r="AYY1161" s="23"/>
      <c r="AYZ1161" s="23"/>
      <c r="AZA1161" s="23"/>
      <c r="AZB1161" s="23"/>
      <c r="AZC1161" s="23"/>
      <c r="AZD1161" s="23"/>
      <c r="AZE1161" s="23"/>
      <c r="AZF1161" s="23"/>
      <c r="AZG1161" s="23"/>
      <c r="AZH1161" s="23"/>
      <c r="AZI1161" s="23"/>
      <c r="AZJ1161" s="23"/>
      <c r="AZK1161" s="23"/>
      <c r="AZL1161" s="23"/>
      <c r="AZM1161" s="23"/>
      <c r="AZN1161" s="23"/>
      <c r="AZO1161" s="23"/>
      <c r="AZP1161" s="23"/>
      <c r="AZQ1161" s="23"/>
      <c r="AZR1161" s="23"/>
      <c r="AZS1161" s="23"/>
      <c r="AZT1161" s="23"/>
      <c r="AZU1161" s="23"/>
      <c r="AZV1161" s="23"/>
      <c r="AZW1161" s="23"/>
      <c r="AZX1161" s="23"/>
      <c r="AZY1161" s="23"/>
      <c r="AZZ1161" s="23"/>
      <c r="BAA1161" s="23"/>
      <c r="BAB1161" s="23"/>
      <c r="BAC1161" s="23"/>
      <c r="BAD1161" s="23"/>
      <c r="BAE1161" s="23"/>
      <c r="BAF1161" s="23"/>
      <c r="BAG1161" s="23"/>
      <c r="BAH1161" s="23"/>
      <c r="BAI1161" s="23"/>
      <c r="BAJ1161" s="23"/>
      <c r="BAK1161" s="23"/>
      <c r="BAL1161" s="23"/>
      <c r="BAM1161" s="23"/>
      <c r="BAN1161" s="23"/>
      <c r="BAO1161" s="23"/>
      <c r="BAP1161" s="23"/>
      <c r="BAQ1161" s="23"/>
      <c r="BAR1161" s="23"/>
      <c r="BAS1161" s="23"/>
      <c r="BAT1161" s="23"/>
      <c r="BAU1161" s="23"/>
      <c r="BAV1161" s="23"/>
      <c r="BAW1161" s="23"/>
      <c r="BAX1161" s="23"/>
      <c r="BAY1161" s="23"/>
      <c r="BAZ1161" s="23"/>
      <c r="BBA1161" s="23"/>
      <c r="BBB1161" s="23"/>
      <c r="BBC1161" s="23"/>
      <c r="BBD1161" s="23"/>
      <c r="BBE1161" s="23"/>
      <c r="BBF1161" s="23"/>
      <c r="BBG1161" s="23"/>
      <c r="BBH1161" s="23"/>
      <c r="BBI1161" s="23"/>
      <c r="BBJ1161" s="23"/>
      <c r="BBK1161" s="23"/>
      <c r="BBL1161" s="23"/>
      <c r="BBM1161" s="23"/>
      <c r="BBN1161" s="23"/>
      <c r="BBO1161" s="23"/>
      <c r="BBP1161" s="23"/>
      <c r="BBQ1161" s="23"/>
      <c r="BBR1161" s="23"/>
      <c r="BBS1161" s="23"/>
      <c r="BBT1161" s="23"/>
      <c r="BBU1161" s="23"/>
      <c r="BBV1161" s="23"/>
      <c r="BBW1161" s="23"/>
      <c r="BBX1161" s="23"/>
      <c r="BBY1161" s="23"/>
      <c r="BBZ1161" s="23"/>
      <c r="BCA1161" s="23"/>
      <c r="BCB1161" s="23"/>
      <c r="BCC1161" s="23"/>
      <c r="BCD1161" s="23"/>
      <c r="BCE1161" s="23"/>
      <c r="BCF1161" s="23"/>
      <c r="BCG1161" s="23"/>
      <c r="BCH1161" s="23"/>
      <c r="BCI1161" s="23"/>
      <c r="BCJ1161" s="23"/>
      <c r="BCK1161" s="23"/>
      <c r="BCL1161" s="23"/>
      <c r="BCM1161" s="23"/>
      <c r="BCN1161" s="23"/>
      <c r="BCO1161" s="23"/>
      <c r="BCP1161" s="23"/>
      <c r="BCQ1161" s="23"/>
      <c r="BCR1161" s="23"/>
      <c r="BCS1161" s="23"/>
      <c r="BCT1161" s="23"/>
      <c r="BCU1161" s="23"/>
      <c r="BCV1161" s="23"/>
      <c r="BCW1161" s="23"/>
      <c r="BCX1161" s="23"/>
      <c r="BCY1161" s="23"/>
      <c r="BCZ1161" s="23"/>
      <c r="BDA1161" s="23"/>
      <c r="BDB1161" s="23"/>
      <c r="BDC1161" s="23"/>
      <c r="BDD1161" s="23"/>
      <c r="BDE1161" s="23"/>
      <c r="BDF1161" s="23"/>
      <c r="BDG1161" s="23"/>
      <c r="BDH1161" s="23"/>
      <c r="BDI1161" s="23"/>
      <c r="BDJ1161" s="23"/>
      <c r="BDK1161" s="23"/>
      <c r="BDL1161" s="23"/>
      <c r="BDM1161" s="23"/>
      <c r="BDN1161" s="23"/>
      <c r="BDO1161" s="23"/>
      <c r="BDP1161" s="23"/>
      <c r="BDQ1161" s="23"/>
      <c r="BDR1161" s="23"/>
      <c r="BDS1161" s="23"/>
      <c r="BDT1161" s="23"/>
      <c r="BDU1161" s="23"/>
      <c r="BDV1161" s="23"/>
      <c r="BDW1161" s="23"/>
      <c r="BDX1161" s="23"/>
      <c r="BDY1161" s="23"/>
      <c r="BDZ1161" s="23"/>
      <c r="BEA1161" s="23"/>
      <c r="BEB1161" s="23"/>
      <c r="BEC1161" s="23"/>
      <c r="BED1161" s="23"/>
      <c r="BEE1161" s="23"/>
      <c r="BEF1161" s="23"/>
      <c r="BEG1161" s="23"/>
      <c r="BEH1161" s="23"/>
      <c r="BEI1161" s="23"/>
      <c r="BEJ1161" s="23"/>
      <c r="BEK1161" s="23"/>
      <c r="BEL1161" s="23"/>
      <c r="BEM1161" s="23"/>
      <c r="BEN1161" s="23"/>
      <c r="BEO1161" s="23"/>
      <c r="BEP1161" s="23"/>
      <c r="BEQ1161" s="23"/>
      <c r="BER1161" s="23"/>
      <c r="BES1161" s="23"/>
      <c r="BET1161" s="23"/>
      <c r="BEU1161" s="23"/>
      <c r="BEV1161" s="23"/>
      <c r="BEW1161" s="23"/>
      <c r="BEX1161" s="23"/>
      <c r="BEY1161" s="23"/>
      <c r="BEZ1161" s="23"/>
      <c r="BFA1161" s="23"/>
      <c r="BFB1161" s="23"/>
      <c r="BFC1161" s="23"/>
      <c r="BFD1161" s="23"/>
      <c r="BFE1161" s="23"/>
      <c r="BFF1161" s="23"/>
      <c r="BFG1161" s="23"/>
      <c r="BFH1161" s="23"/>
      <c r="BFI1161" s="23"/>
      <c r="BFJ1161" s="23"/>
      <c r="BFK1161" s="23"/>
      <c r="BFL1161" s="23"/>
      <c r="BFM1161" s="23"/>
      <c r="BFN1161" s="23"/>
      <c r="BFO1161" s="23"/>
      <c r="BFP1161" s="23"/>
      <c r="BFQ1161" s="23"/>
      <c r="BFR1161" s="23"/>
      <c r="BFS1161" s="23"/>
      <c r="BFT1161" s="23"/>
      <c r="BFU1161" s="23"/>
      <c r="BFV1161" s="23"/>
      <c r="BFW1161" s="23"/>
      <c r="BFX1161" s="23"/>
      <c r="BFY1161" s="23"/>
      <c r="BFZ1161" s="23"/>
      <c r="BGA1161" s="23"/>
      <c r="BGB1161" s="23"/>
      <c r="BGC1161" s="23"/>
      <c r="BGD1161" s="23"/>
      <c r="BGE1161" s="23"/>
      <c r="BGF1161" s="23"/>
      <c r="BGG1161" s="23"/>
      <c r="BGH1161" s="23"/>
      <c r="BGI1161" s="23"/>
      <c r="BGJ1161" s="23"/>
      <c r="BGK1161" s="23"/>
      <c r="BGL1161" s="23"/>
      <c r="BGM1161" s="23"/>
      <c r="BGN1161" s="23"/>
      <c r="BGO1161" s="23"/>
      <c r="BGP1161" s="23"/>
      <c r="BGQ1161" s="23"/>
      <c r="BGR1161" s="23"/>
      <c r="BGS1161" s="23"/>
      <c r="BGT1161" s="23"/>
      <c r="BGU1161" s="23"/>
      <c r="BGV1161" s="23"/>
      <c r="BGW1161" s="23"/>
      <c r="BGX1161" s="23"/>
      <c r="BGY1161" s="23"/>
      <c r="BGZ1161" s="23"/>
      <c r="BHA1161" s="23"/>
      <c r="BHB1161" s="23"/>
      <c r="BHC1161" s="23"/>
      <c r="BHD1161" s="23"/>
      <c r="BHE1161" s="23"/>
      <c r="BHF1161" s="23"/>
      <c r="BHG1161" s="23"/>
      <c r="BHH1161" s="23"/>
      <c r="BHI1161" s="23"/>
      <c r="BHJ1161" s="23"/>
      <c r="BHK1161" s="23"/>
      <c r="BHL1161" s="23"/>
      <c r="BHM1161" s="23"/>
      <c r="BHN1161" s="23"/>
      <c r="BHO1161" s="23"/>
      <c r="BHP1161" s="23"/>
      <c r="BHQ1161" s="23"/>
      <c r="BHR1161" s="23"/>
      <c r="BHS1161" s="23"/>
      <c r="BHT1161" s="23"/>
      <c r="BHU1161" s="23"/>
      <c r="BHV1161" s="23"/>
      <c r="BHW1161" s="23"/>
      <c r="BHX1161" s="23"/>
      <c r="BHY1161" s="23"/>
      <c r="BHZ1161" s="23"/>
      <c r="BIA1161" s="23"/>
      <c r="BIB1161" s="23"/>
      <c r="BIC1161" s="23"/>
      <c r="BID1161" s="23"/>
      <c r="BIE1161" s="23"/>
      <c r="BIF1161" s="23"/>
      <c r="BIG1161" s="23"/>
      <c r="BIH1161" s="23"/>
      <c r="BII1161" s="23"/>
      <c r="BIJ1161" s="23"/>
      <c r="BIK1161" s="23"/>
      <c r="BIL1161" s="23"/>
      <c r="BIM1161" s="23"/>
      <c r="BIN1161" s="23"/>
      <c r="BIO1161" s="23"/>
      <c r="BIP1161" s="23"/>
      <c r="BIQ1161" s="23"/>
      <c r="BIR1161" s="23"/>
      <c r="BIS1161" s="23"/>
      <c r="BIT1161" s="23"/>
      <c r="BIU1161" s="23"/>
      <c r="BIV1161" s="23"/>
      <c r="BIW1161" s="23"/>
      <c r="BIX1161" s="23"/>
      <c r="BIY1161" s="23"/>
      <c r="BIZ1161" s="23"/>
      <c r="BJA1161" s="23"/>
      <c r="BJB1161" s="23"/>
      <c r="BJC1161" s="23"/>
      <c r="BJD1161" s="23"/>
      <c r="BJE1161" s="23"/>
      <c r="BJF1161" s="23"/>
      <c r="BJG1161" s="23"/>
      <c r="BJH1161" s="23"/>
      <c r="BJI1161" s="23"/>
      <c r="BJJ1161" s="23"/>
      <c r="BJK1161" s="23"/>
      <c r="BJL1161" s="23"/>
      <c r="BJM1161" s="23"/>
      <c r="BJN1161" s="23"/>
      <c r="BJO1161" s="23"/>
      <c r="BJP1161" s="23"/>
      <c r="BJQ1161" s="23"/>
      <c r="BJR1161" s="23"/>
      <c r="BJS1161" s="23"/>
      <c r="BJT1161" s="23"/>
      <c r="BJU1161" s="23"/>
      <c r="BJV1161" s="23"/>
      <c r="BJW1161" s="23"/>
      <c r="BJX1161" s="23"/>
      <c r="BJY1161" s="23"/>
      <c r="BJZ1161" s="23"/>
      <c r="BKA1161" s="23"/>
      <c r="BKB1161" s="23"/>
      <c r="BKC1161" s="23"/>
      <c r="BKD1161" s="23"/>
      <c r="BKE1161" s="23"/>
      <c r="BKF1161" s="23"/>
      <c r="BKG1161" s="23"/>
      <c r="BKH1161" s="23"/>
      <c r="BKI1161" s="23"/>
      <c r="BKJ1161" s="23"/>
      <c r="BKK1161" s="23"/>
      <c r="BKL1161" s="23"/>
      <c r="BKM1161" s="23"/>
      <c r="BKN1161" s="23"/>
      <c r="BKO1161" s="23"/>
      <c r="BKP1161" s="23"/>
      <c r="BKQ1161" s="23"/>
      <c r="BKR1161" s="23"/>
      <c r="BKS1161" s="23"/>
      <c r="BKT1161" s="23"/>
      <c r="BKU1161" s="23"/>
      <c r="BKV1161" s="23"/>
      <c r="BKW1161" s="23"/>
      <c r="BKX1161" s="23"/>
      <c r="BKY1161" s="23"/>
      <c r="BKZ1161" s="23"/>
      <c r="BLA1161" s="23"/>
      <c r="BLB1161" s="23"/>
      <c r="BLC1161" s="23"/>
      <c r="BLD1161" s="23"/>
      <c r="BLE1161" s="23"/>
      <c r="BLF1161" s="23"/>
      <c r="BLG1161" s="23"/>
      <c r="BLH1161" s="23"/>
      <c r="BLI1161" s="23"/>
      <c r="BLJ1161" s="23"/>
      <c r="BLK1161" s="23"/>
      <c r="BLL1161" s="23"/>
      <c r="BLM1161" s="23"/>
      <c r="BLN1161" s="23"/>
      <c r="BLO1161" s="23"/>
      <c r="BLP1161" s="23"/>
      <c r="BLQ1161" s="23"/>
      <c r="BLR1161" s="23"/>
      <c r="BLS1161" s="23"/>
      <c r="BLT1161" s="23"/>
      <c r="BLU1161" s="23"/>
      <c r="BLV1161" s="23"/>
      <c r="BLW1161" s="23"/>
      <c r="BLX1161" s="23"/>
      <c r="BLY1161" s="23"/>
      <c r="BLZ1161" s="23"/>
      <c r="BMA1161" s="23"/>
      <c r="BMB1161" s="23"/>
      <c r="BMC1161" s="23"/>
      <c r="BMD1161" s="23"/>
      <c r="BME1161" s="23"/>
      <c r="BMF1161" s="23"/>
      <c r="BMG1161" s="23"/>
      <c r="BMH1161" s="23"/>
      <c r="BMI1161" s="23"/>
      <c r="BMJ1161" s="23"/>
      <c r="BMK1161" s="23"/>
      <c r="BML1161" s="23"/>
      <c r="BMM1161" s="23"/>
      <c r="BMN1161" s="23"/>
      <c r="BMO1161" s="23"/>
      <c r="BMP1161" s="23"/>
      <c r="BMQ1161" s="23"/>
      <c r="BMR1161" s="23"/>
      <c r="BMS1161" s="23"/>
      <c r="BMT1161" s="23"/>
      <c r="BMU1161" s="23"/>
      <c r="BMV1161" s="23"/>
      <c r="BMW1161" s="23"/>
      <c r="BMX1161" s="23"/>
      <c r="BMY1161" s="23"/>
      <c r="BMZ1161" s="23"/>
      <c r="BNA1161" s="23"/>
      <c r="BNB1161" s="23"/>
      <c r="BNC1161" s="23"/>
      <c r="BND1161" s="23"/>
      <c r="BNE1161" s="23"/>
      <c r="BNF1161" s="23"/>
      <c r="BNG1161" s="23"/>
      <c r="BNH1161" s="23"/>
      <c r="BNI1161" s="23"/>
      <c r="BNJ1161" s="23"/>
      <c r="BNK1161" s="23"/>
      <c r="BNL1161" s="23"/>
      <c r="BNM1161" s="23"/>
      <c r="BNN1161" s="23"/>
      <c r="BNO1161" s="23"/>
      <c r="BNP1161" s="23"/>
      <c r="BNQ1161" s="23"/>
      <c r="BNR1161" s="23"/>
      <c r="BNS1161" s="23"/>
      <c r="BNT1161" s="23"/>
      <c r="BNU1161" s="23"/>
      <c r="BNV1161" s="23"/>
      <c r="BNW1161" s="23"/>
      <c r="BNX1161" s="23"/>
      <c r="BNY1161" s="23"/>
      <c r="BNZ1161" s="23"/>
      <c r="BOA1161" s="23"/>
      <c r="BOB1161" s="23"/>
      <c r="BOC1161" s="23"/>
      <c r="BOD1161" s="23"/>
      <c r="BOE1161" s="23"/>
      <c r="BOF1161" s="23"/>
      <c r="BOG1161" s="23"/>
      <c r="BOH1161" s="23"/>
      <c r="BOI1161" s="23"/>
      <c r="BOJ1161" s="23"/>
      <c r="BOK1161" s="23"/>
      <c r="BOL1161" s="23"/>
      <c r="BOM1161" s="23"/>
      <c r="BON1161" s="23"/>
      <c r="BOO1161" s="23"/>
      <c r="BOP1161" s="23"/>
      <c r="BOQ1161" s="23"/>
      <c r="BOR1161" s="23"/>
      <c r="BOS1161" s="23"/>
      <c r="BOT1161" s="23"/>
      <c r="BOU1161" s="23"/>
      <c r="BOV1161" s="23"/>
      <c r="BOW1161" s="23"/>
      <c r="BOX1161" s="23"/>
      <c r="BOY1161" s="23"/>
      <c r="BOZ1161" s="23"/>
      <c r="BPA1161" s="23"/>
      <c r="BPB1161" s="23"/>
      <c r="BPC1161" s="23"/>
      <c r="BPD1161" s="23"/>
      <c r="BPE1161" s="23"/>
      <c r="BPF1161" s="23"/>
      <c r="BPG1161" s="23"/>
      <c r="BPH1161" s="23"/>
      <c r="BPI1161" s="23"/>
      <c r="BPJ1161" s="23"/>
      <c r="BPK1161" s="23"/>
      <c r="BPL1161" s="23"/>
      <c r="BPM1161" s="23"/>
      <c r="BPN1161" s="23"/>
      <c r="BPO1161" s="23"/>
      <c r="BPP1161" s="23"/>
      <c r="BPQ1161" s="23"/>
      <c r="BPR1161" s="23"/>
      <c r="BPS1161" s="23"/>
      <c r="BPT1161" s="23"/>
      <c r="BPU1161" s="23"/>
      <c r="BPV1161" s="23"/>
      <c r="BPW1161" s="23"/>
      <c r="BPX1161" s="23"/>
      <c r="BPY1161" s="23"/>
      <c r="BPZ1161" s="23"/>
      <c r="BQA1161" s="23"/>
      <c r="BQB1161" s="23"/>
      <c r="BQC1161" s="23"/>
      <c r="BQD1161" s="23"/>
      <c r="BQE1161" s="23"/>
      <c r="BQF1161" s="23"/>
      <c r="BQG1161" s="23"/>
      <c r="BQH1161" s="23"/>
      <c r="BQI1161" s="23"/>
      <c r="BQJ1161" s="23"/>
      <c r="BQK1161" s="23"/>
      <c r="BQL1161" s="23"/>
      <c r="BQM1161" s="23"/>
      <c r="BQN1161" s="23"/>
      <c r="BQO1161" s="23"/>
      <c r="BQP1161" s="23"/>
      <c r="BQQ1161" s="23"/>
      <c r="BQR1161" s="23"/>
      <c r="BQS1161" s="23"/>
      <c r="BQT1161" s="23"/>
      <c r="BQU1161" s="23"/>
      <c r="BQV1161" s="23"/>
      <c r="BQW1161" s="23"/>
      <c r="BQX1161" s="23"/>
      <c r="BQY1161" s="23"/>
      <c r="BQZ1161" s="23"/>
      <c r="BRA1161" s="23"/>
      <c r="BRB1161" s="23"/>
      <c r="BRC1161" s="23"/>
      <c r="BRD1161" s="23"/>
      <c r="BRE1161" s="23"/>
      <c r="BRF1161" s="23"/>
      <c r="BRG1161" s="23"/>
      <c r="BRH1161" s="23"/>
      <c r="BRI1161" s="23"/>
      <c r="BRJ1161" s="23"/>
      <c r="BRK1161" s="23"/>
      <c r="BRL1161" s="23"/>
      <c r="BRM1161" s="23"/>
      <c r="BRN1161" s="23"/>
      <c r="BRO1161" s="23"/>
      <c r="BRP1161" s="23"/>
      <c r="BRQ1161" s="23"/>
      <c r="BRR1161" s="23"/>
      <c r="BRS1161" s="23"/>
      <c r="BRT1161" s="23"/>
      <c r="BRU1161" s="23"/>
      <c r="BRV1161" s="23"/>
      <c r="BRW1161" s="23"/>
      <c r="BRX1161" s="23"/>
      <c r="BRY1161" s="23"/>
      <c r="BRZ1161" s="23"/>
      <c r="BSA1161" s="23"/>
      <c r="BSB1161" s="23"/>
      <c r="BSC1161" s="23"/>
      <c r="BSD1161" s="23"/>
      <c r="BSE1161" s="23"/>
      <c r="BSF1161" s="23"/>
      <c r="BSG1161" s="23"/>
      <c r="BSH1161" s="23"/>
      <c r="BSI1161" s="23"/>
      <c r="BSJ1161" s="23"/>
      <c r="BSK1161" s="23"/>
      <c r="BSL1161" s="23"/>
      <c r="BSM1161" s="23"/>
      <c r="BSN1161" s="23"/>
      <c r="BSO1161" s="23"/>
      <c r="BSP1161" s="23"/>
      <c r="BSQ1161" s="23"/>
      <c r="BSR1161" s="23"/>
      <c r="BSS1161" s="23"/>
      <c r="BST1161" s="23"/>
      <c r="BSU1161" s="23"/>
      <c r="BSV1161" s="23"/>
      <c r="BSW1161" s="23"/>
      <c r="BSX1161" s="23"/>
      <c r="BSY1161" s="23"/>
      <c r="BSZ1161" s="23"/>
      <c r="BTA1161" s="23"/>
    </row>
    <row r="1162" spans="1:1873" s="23" customFormat="1" x14ac:dyDescent="0.2">
      <c r="A1162" s="257" t="s">
        <v>545</v>
      </c>
      <c r="B1162" s="257" t="s">
        <v>1196</v>
      </c>
      <c r="C1162" s="257" t="s">
        <v>924</v>
      </c>
      <c r="D1162" s="257" t="s">
        <v>1254</v>
      </c>
      <c r="E1162" s="257" t="s">
        <v>882</v>
      </c>
      <c r="F1162" s="598">
        <v>1</v>
      </c>
      <c r="G1162" s="597">
        <v>7</v>
      </c>
      <c r="H1162" s="263">
        <v>7</v>
      </c>
      <c r="I1162" s="596" t="s">
        <v>842</v>
      </c>
      <c r="J1162" s="257">
        <v>1997</v>
      </c>
      <c r="K1162" s="599" t="s">
        <v>1211</v>
      </c>
      <c r="L1162" s="257">
        <v>2003</v>
      </c>
      <c r="M1162" s="261">
        <v>-9999</v>
      </c>
      <c r="N1162" s="257">
        <v>-9999</v>
      </c>
      <c r="O1162" s="29"/>
      <c r="P1162" s="261">
        <v>41.6</v>
      </c>
      <c r="Q1162" s="257">
        <v>-9999</v>
      </c>
      <c r="R1162" s="261"/>
      <c r="S1162" s="257"/>
      <c r="T1162" s="370">
        <f t="shared" si="121"/>
        <v>5.9428571428571431</v>
      </c>
      <c r="U1162" s="257">
        <v>-9999</v>
      </c>
      <c r="V1162" s="257"/>
      <c r="W1162" s="287">
        <f>+P1162-P1161</f>
        <v>5.3299999999999983</v>
      </c>
      <c r="X1162" s="257">
        <v>-9999</v>
      </c>
      <c r="Y1162" s="257"/>
      <c r="Z1162" s="597" t="s">
        <v>884</v>
      </c>
      <c r="AA1162" s="257">
        <v>1389</v>
      </c>
      <c r="AB1162" s="261">
        <v>0.87</v>
      </c>
      <c r="AC1162" s="257" t="s">
        <v>926</v>
      </c>
      <c r="AD1162" s="257">
        <v>144</v>
      </c>
      <c r="AE1162" s="257" t="s">
        <v>922</v>
      </c>
      <c r="AF1162" s="257">
        <v>36</v>
      </c>
      <c r="AG1162" s="257" t="s">
        <v>949</v>
      </c>
      <c r="AH1162" s="257" t="s">
        <v>885</v>
      </c>
      <c r="AI1162" s="257" t="s">
        <v>886</v>
      </c>
      <c r="AJ1162" s="257">
        <v>-9999</v>
      </c>
      <c r="AK1162" s="257" t="s">
        <v>947</v>
      </c>
      <c r="AL1162" s="257" t="s">
        <v>828</v>
      </c>
      <c r="AM1162" s="257" t="s">
        <v>948</v>
      </c>
      <c r="AN1162" s="257" t="s">
        <v>631</v>
      </c>
      <c r="AO1162" s="257">
        <v>-9999</v>
      </c>
      <c r="AP1162" s="257">
        <v>-9999</v>
      </c>
      <c r="AQ1162" s="597" t="s">
        <v>626</v>
      </c>
      <c r="AR1162" s="257">
        <f>349+103</f>
        <v>452</v>
      </c>
      <c r="AS1162" s="257" t="s">
        <v>935</v>
      </c>
      <c r="AT1162" s="257" t="s">
        <v>275</v>
      </c>
      <c r="AU1162" s="257">
        <v>103</v>
      </c>
      <c r="AV1162" s="257" t="s">
        <v>936</v>
      </c>
      <c r="AW1162" s="257" t="s">
        <v>94</v>
      </c>
      <c r="AX1162" s="257">
        <v>0</v>
      </c>
      <c r="AY1162" s="257">
        <v>-9999</v>
      </c>
      <c r="AZ1162" s="257">
        <v>-9999</v>
      </c>
      <c r="BA1162" s="257">
        <v>-9999</v>
      </c>
      <c r="BB1162" s="257" t="s">
        <v>626</v>
      </c>
      <c r="BC1162" s="257" t="s">
        <v>919</v>
      </c>
      <c r="BD1162" s="257" t="s">
        <v>920</v>
      </c>
      <c r="BE1162" s="257" t="s">
        <v>95</v>
      </c>
      <c r="BF1162" s="257" t="s">
        <v>918</v>
      </c>
      <c r="BG1162" s="257" t="s">
        <v>921</v>
      </c>
      <c r="BH1162" s="257">
        <v>-9999</v>
      </c>
      <c r="BI1162" s="257" t="s">
        <v>945</v>
      </c>
      <c r="BJ1162" s="257">
        <v>-9999</v>
      </c>
      <c r="BK1162" s="257">
        <v>-9999</v>
      </c>
      <c r="BL1162" s="257">
        <v>11.7</v>
      </c>
      <c r="BM1162" s="257">
        <v>0.2</v>
      </c>
      <c r="BN1162" s="257">
        <v>10.8</v>
      </c>
      <c r="BO1162" s="257">
        <v>-9999</v>
      </c>
      <c r="BP1162" s="257">
        <v>-9999</v>
      </c>
      <c r="BQ1162" s="257">
        <v>-9999</v>
      </c>
      <c r="BR1162" s="257">
        <v>-9999</v>
      </c>
      <c r="BS1162" s="263">
        <v>-9999</v>
      </c>
      <c r="BT1162" s="257">
        <v>-9999</v>
      </c>
      <c r="BU1162" s="257">
        <v>-9999</v>
      </c>
      <c r="BV1162" s="257">
        <v>-9999</v>
      </c>
      <c r="BW1162" s="257"/>
      <c r="BX1162" s="257">
        <v>-9999</v>
      </c>
      <c r="BY1162" s="257">
        <v>-9999</v>
      </c>
      <c r="BZ1162" s="257">
        <v>-9999</v>
      </c>
      <c r="CA1162" s="300" t="s">
        <v>524</v>
      </c>
      <c r="CB1162" s="264" t="s">
        <v>951</v>
      </c>
      <c r="CC1162" s="598">
        <v>1</v>
      </c>
      <c r="CD1162" s="597">
        <v>7</v>
      </c>
      <c r="CE1162" s="292">
        <v>5.9428571428571431</v>
      </c>
      <c r="CF1162" s="301">
        <v>5.3299999999999983</v>
      </c>
      <c r="CG1162" s="44">
        <v>7</v>
      </c>
    </row>
    <row r="1163" spans="1:1873" s="23" customFormat="1" x14ac:dyDescent="0.2">
      <c r="A1163" s="257"/>
      <c r="B1163" s="257"/>
      <c r="C1163" s="257"/>
      <c r="D1163" s="257"/>
      <c r="E1163" s="257"/>
      <c r="F1163" s="598"/>
      <c r="G1163" s="597"/>
      <c r="H1163" s="263"/>
      <c r="I1163" s="596"/>
      <c r="J1163" s="257"/>
      <c r="K1163" s="599"/>
      <c r="L1163" s="257"/>
      <c r="M1163" s="261"/>
      <c r="N1163" s="257"/>
      <c r="O1163" s="29"/>
      <c r="P1163" s="261"/>
      <c r="Q1163" s="257"/>
      <c r="R1163" s="261"/>
      <c r="S1163" s="257"/>
      <c r="T1163" s="370"/>
      <c r="U1163" s="257"/>
      <c r="V1163" s="257"/>
      <c r="W1163" s="261"/>
      <c r="X1163" s="257"/>
      <c r="Y1163" s="257"/>
      <c r="Z1163" s="597"/>
      <c r="AA1163" s="257"/>
      <c r="AB1163" s="261"/>
      <c r="AC1163" s="599"/>
      <c r="AD1163" s="257"/>
      <c r="AE1163" s="257"/>
      <c r="AF1163" s="257"/>
      <c r="AG1163" s="257"/>
      <c r="AH1163" s="257"/>
      <c r="AI1163" s="257"/>
      <c r="AJ1163" s="257"/>
      <c r="AK1163" s="257"/>
      <c r="AL1163" s="257"/>
      <c r="AM1163" s="257"/>
      <c r="AN1163" s="257"/>
      <c r="AO1163" s="257"/>
      <c r="AP1163" s="257"/>
      <c r="AQ1163" s="597"/>
      <c r="AR1163" s="257"/>
      <c r="AS1163" s="599"/>
      <c r="AT1163" s="599"/>
      <c r="AU1163" s="599"/>
      <c r="AV1163" s="257"/>
      <c r="AW1163" s="257"/>
      <c r="AX1163" s="257"/>
      <c r="AY1163" s="257"/>
      <c r="AZ1163" s="257"/>
      <c r="BA1163" s="257"/>
      <c r="BB1163" s="257"/>
      <c r="BC1163" s="257"/>
      <c r="BD1163" s="257"/>
      <c r="BE1163" s="257"/>
      <c r="BF1163" s="257"/>
      <c r="BG1163" s="257"/>
      <c r="BH1163" s="257"/>
      <c r="BI1163" s="257"/>
      <c r="BJ1163" s="257"/>
      <c r="BK1163" s="257"/>
      <c r="BL1163" s="257"/>
      <c r="BM1163" s="257"/>
      <c r="BN1163" s="257"/>
      <c r="BO1163" s="257"/>
      <c r="BP1163" s="257"/>
      <c r="BQ1163" s="257"/>
      <c r="BR1163" s="257"/>
      <c r="BS1163" s="263"/>
      <c r="BT1163" s="257"/>
      <c r="BU1163" s="257"/>
      <c r="BV1163" s="257"/>
      <c r="BW1163" s="257"/>
      <c r="BX1163" s="257"/>
      <c r="BY1163" s="257"/>
      <c r="BZ1163" s="257"/>
      <c r="CA1163" s="300"/>
      <c r="CB1163" s="264"/>
      <c r="CC1163" s="598"/>
      <c r="CD1163" s="597"/>
      <c r="CE1163" s="342" t="s">
        <v>1576</v>
      </c>
      <c r="CF1163" s="342" t="s">
        <v>1575</v>
      </c>
      <c r="CG1163" s="44"/>
    </row>
    <row r="1164" spans="1:1873" s="23" customFormat="1" x14ac:dyDescent="0.2">
      <c r="A1164" s="599" t="s">
        <v>545</v>
      </c>
      <c r="B1164" s="257" t="s">
        <v>1196</v>
      </c>
      <c r="C1164" s="257" t="s">
        <v>925</v>
      </c>
      <c r="D1164" s="257" t="s">
        <v>1400</v>
      </c>
      <c r="E1164" s="257" t="s">
        <v>855</v>
      </c>
      <c r="F1164" s="257">
        <v>1</v>
      </c>
      <c r="G1164" s="257">
        <v>1</v>
      </c>
      <c r="H1164" s="263">
        <v>1</v>
      </c>
      <c r="I1164" s="601" t="s">
        <v>842</v>
      </c>
      <c r="J1164" s="599">
        <v>1997</v>
      </c>
      <c r="K1164" s="599" t="s">
        <v>1211</v>
      </c>
      <c r="L1164" s="257">
        <v>1997</v>
      </c>
      <c r="M1164" s="261">
        <v>-9999</v>
      </c>
      <c r="N1164" s="257">
        <v>-9999</v>
      </c>
      <c r="O1164" s="29"/>
      <c r="P1164" s="261">
        <v>-9999</v>
      </c>
      <c r="Q1164" s="257">
        <v>-9999</v>
      </c>
      <c r="R1164" s="261"/>
      <c r="S1164" s="257"/>
      <c r="T1164" s="261">
        <v>-9999</v>
      </c>
      <c r="U1164" s="257">
        <v>-9999</v>
      </c>
      <c r="V1164" s="257"/>
      <c r="W1164" s="261">
        <v>-9999</v>
      </c>
      <c r="X1164" s="257">
        <v>-9999</v>
      </c>
      <c r="Y1164" s="257"/>
      <c r="Z1164" s="597" t="s">
        <v>1197</v>
      </c>
      <c r="AA1164" s="599">
        <v>1852</v>
      </c>
      <c r="AB1164" s="261">
        <v>0.79</v>
      </c>
      <c r="AC1164" s="599" t="s">
        <v>926</v>
      </c>
      <c r="AD1164" s="599">
        <v>144</v>
      </c>
      <c r="AE1164" s="599" t="s">
        <v>922</v>
      </c>
      <c r="AF1164" s="599">
        <v>36</v>
      </c>
      <c r="AG1164" s="599" t="s">
        <v>949</v>
      </c>
      <c r="AH1164" s="599" t="s">
        <v>885</v>
      </c>
      <c r="AI1164" s="599" t="s">
        <v>886</v>
      </c>
      <c r="AJ1164" s="599">
        <v>-9999</v>
      </c>
      <c r="AK1164" s="599" t="s">
        <v>947</v>
      </c>
      <c r="AL1164" s="599" t="s">
        <v>828</v>
      </c>
      <c r="AM1164" s="599" t="s">
        <v>948</v>
      </c>
      <c r="AN1164" s="599" t="s">
        <v>631</v>
      </c>
      <c r="AO1164" s="599">
        <v>-9999</v>
      </c>
      <c r="AP1164" s="599">
        <v>-9999</v>
      </c>
      <c r="AQ1164" s="597" t="s">
        <v>626</v>
      </c>
      <c r="AR1164" s="257">
        <v>40</v>
      </c>
      <c r="AS1164" s="257" t="s">
        <v>934</v>
      </c>
      <c r="AT1164" s="599" t="s">
        <v>275</v>
      </c>
      <c r="AU1164" s="599">
        <v>103</v>
      </c>
      <c r="AV1164" s="257" t="s">
        <v>936</v>
      </c>
      <c r="AW1164" s="257" t="s">
        <v>94</v>
      </c>
      <c r="AX1164" s="599">
        <v>0</v>
      </c>
      <c r="AY1164" s="599">
        <v>-9999</v>
      </c>
      <c r="AZ1164" s="599">
        <v>-9999</v>
      </c>
      <c r="BA1164" s="599">
        <v>-9999</v>
      </c>
      <c r="BB1164" s="599" t="s">
        <v>626</v>
      </c>
      <c r="BC1164" s="599" t="s">
        <v>919</v>
      </c>
      <c r="BD1164" s="599" t="s">
        <v>920</v>
      </c>
      <c r="BE1164" s="599" t="s">
        <v>95</v>
      </c>
      <c r="BF1164" s="599" t="s">
        <v>918</v>
      </c>
      <c r="BG1164" s="599" t="s">
        <v>921</v>
      </c>
      <c r="BH1164" s="599">
        <v>-9999</v>
      </c>
      <c r="BI1164" s="599" t="s">
        <v>946</v>
      </c>
      <c r="BJ1164" s="257">
        <v>-9999</v>
      </c>
      <c r="BK1164" s="257">
        <v>-9999</v>
      </c>
      <c r="BL1164" s="264">
        <v>0.8</v>
      </c>
      <c r="BM1164" s="257">
        <v>0</v>
      </c>
      <c r="BN1164" s="257" t="s">
        <v>59</v>
      </c>
      <c r="BO1164" s="257" t="s">
        <v>59</v>
      </c>
      <c r="BP1164" s="257">
        <v>-9999</v>
      </c>
      <c r="BQ1164" s="257">
        <v>-9999</v>
      </c>
      <c r="BR1164" s="257">
        <v>-9999</v>
      </c>
      <c r="BS1164" s="263">
        <v>-9999</v>
      </c>
      <c r="BT1164" s="257">
        <v>-9999</v>
      </c>
      <c r="BU1164" s="257">
        <v>-9999</v>
      </c>
      <c r="BV1164" s="257">
        <v>-9999</v>
      </c>
      <c r="BW1164" s="257"/>
      <c r="BX1164" s="257">
        <v>-9999</v>
      </c>
      <c r="BY1164" s="257">
        <v>-9999</v>
      </c>
      <c r="BZ1164" s="257">
        <v>-9999</v>
      </c>
      <c r="CA1164" s="606" t="s">
        <v>524</v>
      </c>
      <c r="CB1164" s="264"/>
      <c r="CC1164" s="257">
        <v>1</v>
      </c>
      <c r="CD1164" s="257">
        <v>1</v>
      </c>
      <c r="CE1164" s="292"/>
      <c r="CF1164" s="292"/>
      <c r="CG1164" s="44">
        <v>1</v>
      </c>
    </row>
    <row r="1165" spans="1:1873" s="23" customFormat="1" x14ac:dyDescent="0.2">
      <c r="A1165" s="599" t="s">
        <v>545</v>
      </c>
      <c r="B1165" s="257" t="s">
        <v>1196</v>
      </c>
      <c r="C1165" s="257" t="s">
        <v>925</v>
      </c>
      <c r="D1165" s="257" t="s">
        <v>1400</v>
      </c>
      <c r="E1165" s="257" t="s">
        <v>855</v>
      </c>
      <c r="F1165" s="257">
        <v>1</v>
      </c>
      <c r="G1165" s="257">
        <v>2</v>
      </c>
      <c r="H1165" s="263">
        <v>2</v>
      </c>
      <c r="I1165" s="601" t="s">
        <v>842</v>
      </c>
      <c r="J1165" s="599">
        <v>1997</v>
      </c>
      <c r="K1165" s="599" t="s">
        <v>1211</v>
      </c>
      <c r="L1165" s="257">
        <v>1998</v>
      </c>
      <c r="M1165" s="261">
        <v>-9999</v>
      </c>
      <c r="N1165" s="257">
        <v>-9999</v>
      </c>
      <c r="O1165" s="29"/>
      <c r="P1165" s="261">
        <v>0.5</v>
      </c>
      <c r="Q1165" s="257">
        <v>-9999</v>
      </c>
      <c r="R1165" s="261"/>
      <c r="S1165" s="257"/>
      <c r="T1165" s="603">
        <f t="shared" ref="T1165:T1170" si="122">+P1165/G1165</f>
        <v>0.25</v>
      </c>
      <c r="U1165" s="257">
        <v>-9999</v>
      </c>
      <c r="V1165" s="257"/>
      <c r="W1165" s="261">
        <v>-9999</v>
      </c>
      <c r="X1165" s="257">
        <v>-9999</v>
      </c>
      <c r="Y1165" s="257"/>
      <c r="Z1165" s="597" t="s">
        <v>1197</v>
      </c>
      <c r="AA1165" s="599">
        <v>1852</v>
      </c>
      <c r="AB1165" s="261">
        <v>0.73</v>
      </c>
      <c r="AC1165" s="599" t="s">
        <v>926</v>
      </c>
      <c r="AD1165" s="599">
        <v>144</v>
      </c>
      <c r="AE1165" s="599" t="s">
        <v>922</v>
      </c>
      <c r="AF1165" s="599">
        <v>36</v>
      </c>
      <c r="AG1165" s="599" t="s">
        <v>949</v>
      </c>
      <c r="AH1165" s="599" t="s">
        <v>885</v>
      </c>
      <c r="AI1165" s="599" t="s">
        <v>886</v>
      </c>
      <c r="AJ1165" s="599">
        <v>-9999</v>
      </c>
      <c r="AK1165" s="599" t="s">
        <v>947</v>
      </c>
      <c r="AL1165" s="599" t="s">
        <v>828</v>
      </c>
      <c r="AM1165" s="599" t="s">
        <v>948</v>
      </c>
      <c r="AN1165" s="599" t="s">
        <v>631</v>
      </c>
      <c r="AO1165" s="599">
        <v>-9999</v>
      </c>
      <c r="AP1165" s="599">
        <v>-9999</v>
      </c>
      <c r="AQ1165" s="597" t="s">
        <v>626</v>
      </c>
      <c r="AR1165" s="257">
        <f>40+103</f>
        <v>143</v>
      </c>
      <c r="AS1165" s="599" t="s">
        <v>935</v>
      </c>
      <c r="AT1165" s="599" t="s">
        <v>275</v>
      </c>
      <c r="AU1165" s="599">
        <v>103</v>
      </c>
      <c r="AV1165" s="257" t="s">
        <v>936</v>
      </c>
      <c r="AW1165" s="257" t="s">
        <v>94</v>
      </c>
      <c r="AX1165" s="599">
        <v>0</v>
      </c>
      <c r="AY1165" s="599">
        <v>-9999</v>
      </c>
      <c r="AZ1165" s="599">
        <v>-9999</v>
      </c>
      <c r="BA1165" s="599">
        <v>-9999</v>
      </c>
      <c r="BB1165" s="599" t="s">
        <v>626</v>
      </c>
      <c r="BC1165" s="599" t="s">
        <v>919</v>
      </c>
      <c r="BD1165" s="599" t="s">
        <v>920</v>
      </c>
      <c r="BE1165" s="599" t="s">
        <v>95</v>
      </c>
      <c r="BF1165" s="599" t="s">
        <v>918</v>
      </c>
      <c r="BG1165" s="599" t="s">
        <v>921</v>
      </c>
      <c r="BH1165" s="599">
        <v>-9999</v>
      </c>
      <c r="BI1165" s="599" t="s">
        <v>946</v>
      </c>
      <c r="BJ1165" s="257">
        <v>-9999</v>
      </c>
      <c r="BK1165" s="257">
        <v>-9999</v>
      </c>
      <c r="BL1165" s="257">
        <v>1.1000000000000001</v>
      </c>
      <c r="BM1165" s="257">
        <v>0.1</v>
      </c>
      <c r="BN1165" s="257">
        <v>2.1</v>
      </c>
      <c r="BO1165" s="257">
        <v>0.1</v>
      </c>
      <c r="BP1165" s="257">
        <v>-9999</v>
      </c>
      <c r="BQ1165" s="257">
        <v>-9999</v>
      </c>
      <c r="BR1165" s="257">
        <v>-9999</v>
      </c>
      <c r="BS1165" s="263">
        <v>-9999</v>
      </c>
      <c r="BT1165" s="257">
        <v>-9999</v>
      </c>
      <c r="BU1165" s="257">
        <v>-9999</v>
      </c>
      <c r="BV1165" s="257">
        <v>-9999</v>
      </c>
      <c r="BW1165" s="257"/>
      <c r="BX1165" s="257">
        <v>-9999</v>
      </c>
      <c r="BY1165" s="257">
        <v>-9999</v>
      </c>
      <c r="BZ1165" s="257">
        <v>-9999</v>
      </c>
      <c r="CA1165" s="606" t="s">
        <v>524</v>
      </c>
      <c r="CB1165" s="264"/>
      <c r="CC1165" s="257">
        <v>1</v>
      </c>
      <c r="CD1165" s="257">
        <v>2</v>
      </c>
      <c r="CE1165" s="292">
        <v>0.25</v>
      </c>
      <c r="CF1165" s="292"/>
      <c r="CG1165" s="44">
        <v>2</v>
      </c>
    </row>
    <row r="1166" spans="1:1873" s="23" customFormat="1" x14ac:dyDescent="0.2">
      <c r="A1166" s="599" t="s">
        <v>545</v>
      </c>
      <c r="B1166" s="257" t="s">
        <v>1196</v>
      </c>
      <c r="C1166" s="257" t="s">
        <v>925</v>
      </c>
      <c r="D1166" s="257" t="s">
        <v>1400</v>
      </c>
      <c r="E1166" s="257" t="s">
        <v>855</v>
      </c>
      <c r="F1166" s="257">
        <v>1</v>
      </c>
      <c r="G1166" s="257">
        <v>3</v>
      </c>
      <c r="H1166" s="263">
        <v>3</v>
      </c>
      <c r="I1166" s="601" t="s">
        <v>842</v>
      </c>
      <c r="J1166" s="599">
        <v>1997</v>
      </c>
      <c r="K1166" s="599" t="s">
        <v>1211</v>
      </c>
      <c r="L1166" s="257">
        <v>1999</v>
      </c>
      <c r="M1166" s="261">
        <v>-9999</v>
      </c>
      <c r="N1166" s="257">
        <v>-9999</v>
      </c>
      <c r="O1166" s="29"/>
      <c r="P1166" s="261">
        <v>1.46</v>
      </c>
      <c r="Q1166" s="257">
        <v>-9999</v>
      </c>
      <c r="R1166" s="261"/>
      <c r="S1166" s="257"/>
      <c r="T1166" s="603">
        <f t="shared" si="122"/>
        <v>0.48666666666666664</v>
      </c>
      <c r="U1166" s="257">
        <v>-9999</v>
      </c>
      <c r="V1166" s="257"/>
      <c r="W1166" s="287">
        <f>+P1166-P1165</f>
        <v>0.96</v>
      </c>
      <c r="X1166" s="257">
        <v>-9999</v>
      </c>
      <c r="Y1166" s="257"/>
      <c r="Z1166" s="597" t="s">
        <v>1197</v>
      </c>
      <c r="AA1166" s="599">
        <v>1852</v>
      </c>
      <c r="AB1166" s="261">
        <v>0.72</v>
      </c>
      <c r="AC1166" s="599" t="s">
        <v>926</v>
      </c>
      <c r="AD1166" s="599">
        <v>144</v>
      </c>
      <c r="AE1166" s="599" t="s">
        <v>922</v>
      </c>
      <c r="AF1166" s="599">
        <v>36</v>
      </c>
      <c r="AG1166" s="599" t="s">
        <v>949</v>
      </c>
      <c r="AH1166" s="599" t="s">
        <v>885</v>
      </c>
      <c r="AI1166" s="599" t="s">
        <v>886</v>
      </c>
      <c r="AJ1166" s="599">
        <v>-9999</v>
      </c>
      <c r="AK1166" s="599" t="s">
        <v>947</v>
      </c>
      <c r="AL1166" s="599" t="s">
        <v>828</v>
      </c>
      <c r="AM1166" s="599" t="s">
        <v>948</v>
      </c>
      <c r="AN1166" s="599" t="s">
        <v>631</v>
      </c>
      <c r="AO1166" s="599">
        <v>-9999</v>
      </c>
      <c r="AP1166" s="599">
        <v>-9999</v>
      </c>
      <c r="AQ1166" s="597" t="s">
        <v>626</v>
      </c>
      <c r="AR1166" s="257">
        <f>40+103+103</f>
        <v>246</v>
      </c>
      <c r="AS1166" s="599" t="s">
        <v>935</v>
      </c>
      <c r="AT1166" s="599" t="s">
        <v>275</v>
      </c>
      <c r="AU1166" s="599">
        <v>103</v>
      </c>
      <c r="AV1166" s="257" t="s">
        <v>936</v>
      </c>
      <c r="AW1166" s="257" t="s">
        <v>94</v>
      </c>
      <c r="AX1166" s="599">
        <v>0</v>
      </c>
      <c r="AY1166" s="599">
        <v>-9999</v>
      </c>
      <c r="AZ1166" s="599">
        <v>-9999</v>
      </c>
      <c r="BA1166" s="599">
        <v>-9999</v>
      </c>
      <c r="BB1166" s="599" t="s">
        <v>626</v>
      </c>
      <c r="BC1166" s="599" t="s">
        <v>919</v>
      </c>
      <c r="BD1166" s="599" t="s">
        <v>920</v>
      </c>
      <c r="BE1166" s="599" t="s">
        <v>95</v>
      </c>
      <c r="BF1166" s="599" t="s">
        <v>918</v>
      </c>
      <c r="BG1166" s="599" t="s">
        <v>921</v>
      </c>
      <c r="BH1166" s="599">
        <v>-9999</v>
      </c>
      <c r="BI1166" s="599" t="s">
        <v>946</v>
      </c>
      <c r="BJ1166" s="257">
        <v>-9999</v>
      </c>
      <c r="BK1166" s="257">
        <v>-9999</v>
      </c>
      <c r="BL1166" s="257">
        <v>1.7</v>
      </c>
      <c r="BM1166" s="257">
        <v>0.1</v>
      </c>
      <c r="BN1166" s="257">
        <v>3.3</v>
      </c>
      <c r="BO1166" s="257">
        <v>0.3</v>
      </c>
      <c r="BP1166" s="257">
        <v>-9999</v>
      </c>
      <c r="BQ1166" s="257">
        <v>-9999</v>
      </c>
      <c r="BR1166" s="257">
        <v>-9999</v>
      </c>
      <c r="BS1166" s="263">
        <v>-9999</v>
      </c>
      <c r="BT1166" s="257">
        <v>-9999</v>
      </c>
      <c r="BU1166" s="257">
        <v>-9999</v>
      </c>
      <c r="BV1166" s="257">
        <v>-9999</v>
      </c>
      <c r="BW1166" s="257"/>
      <c r="BX1166" s="257">
        <v>-9999</v>
      </c>
      <c r="BY1166" s="257">
        <v>-9999</v>
      </c>
      <c r="BZ1166" s="257">
        <v>-9999</v>
      </c>
      <c r="CA1166" s="606" t="s">
        <v>524</v>
      </c>
      <c r="CB1166" s="264"/>
      <c r="CC1166" s="257">
        <v>1</v>
      </c>
      <c r="CD1166" s="257">
        <v>3</v>
      </c>
      <c r="CE1166" s="292">
        <v>0.48666666666666664</v>
      </c>
      <c r="CF1166" s="292">
        <v>0.96</v>
      </c>
      <c r="CG1166" s="44">
        <v>3</v>
      </c>
    </row>
    <row r="1167" spans="1:1873" s="23" customFormat="1" x14ac:dyDescent="0.2">
      <c r="A1167" s="599" t="s">
        <v>545</v>
      </c>
      <c r="B1167" s="257" t="s">
        <v>1196</v>
      </c>
      <c r="C1167" s="257" t="s">
        <v>925</v>
      </c>
      <c r="D1167" s="257" t="s">
        <v>1400</v>
      </c>
      <c r="E1167" s="257" t="s">
        <v>855</v>
      </c>
      <c r="F1167" s="257">
        <v>1</v>
      </c>
      <c r="G1167" s="257">
        <v>4</v>
      </c>
      <c r="H1167" s="263">
        <v>4</v>
      </c>
      <c r="I1167" s="601" t="s">
        <v>842</v>
      </c>
      <c r="J1167" s="599">
        <v>1997</v>
      </c>
      <c r="K1167" s="599" t="s">
        <v>1211</v>
      </c>
      <c r="L1167" s="257">
        <v>2000</v>
      </c>
      <c r="M1167" s="261">
        <v>-9999</v>
      </c>
      <c r="N1167" s="257">
        <v>-9999</v>
      </c>
      <c r="O1167" s="29"/>
      <c r="P1167" s="261">
        <v>3.04</v>
      </c>
      <c r="Q1167" s="257">
        <v>-9999</v>
      </c>
      <c r="R1167" s="261"/>
      <c r="S1167" s="257"/>
      <c r="T1167" s="603">
        <f t="shared" si="122"/>
        <v>0.76</v>
      </c>
      <c r="U1167" s="257">
        <v>-9999</v>
      </c>
      <c r="V1167" s="257"/>
      <c r="W1167" s="287">
        <f>+P1167-P1166</f>
        <v>1.58</v>
      </c>
      <c r="X1167" s="257">
        <v>-9999</v>
      </c>
      <c r="Y1167" s="257"/>
      <c r="Z1167" s="597" t="s">
        <v>1197</v>
      </c>
      <c r="AA1167" s="599">
        <v>1852</v>
      </c>
      <c r="AB1167" s="261">
        <v>0.71</v>
      </c>
      <c r="AC1167" s="599" t="s">
        <v>926</v>
      </c>
      <c r="AD1167" s="599">
        <v>144</v>
      </c>
      <c r="AE1167" s="599" t="s">
        <v>922</v>
      </c>
      <c r="AF1167" s="599">
        <v>36</v>
      </c>
      <c r="AG1167" s="599" t="s">
        <v>949</v>
      </c>
      <c r="AH1167" s="599" t="s">
        <v>885</v>
      </c>
      <c r="AI1167" s="599" t="s">
        <v>886</v>
      </c>
      <c r="AJ1167" s="599">
        <v>-9999</v>
      </c>
      <c r="AK1167" s="599" t="s">
        <v>947</v>
      </c>
      <c r="AL1167" s="599" t="s">
        <v>828</v>
      </c>
      <c r="AM1167" s="599" t="s">
        <v>948</v>
      </c>
      <c r="AN1167" s="599" t="s">
        <v>631</v>
      </c>
      <c r="AO1167" s="599">
        <v>-9999</v>
      </c>
      <c r="AP1167" s="599">
        <v>-9999</v>
      </c>
      <c r="AQ1167" s="597" t="s">
        <v>626</v>
      </c>
      <c r="AR1167" s="257">
        <f>+AR1166</f>
        <v>246</v>
      </c>
      <c r="AS1167" s="257" t="s">
        <v>869</v>
      </c>
      <c r="AT1167" s="257"/>
      <c r="AU1167" s="599">
        <v>103</v>
      </c>
      <c r="AV1167" s="257" t="s">
        <v>936</v>
      </c>
      <c r="AW1167" s="257" t="s">
        <v>94</v>
      </c>
      <c r="AX1167" s="599">
        <v>0</v>
      </c>
      <c r="AY1167" s="599">
        <v>-9999</v>
      </c>
      <c r="AZ1167" s="599">
        <v>-9999</v>
      </c>
      <c r="BA1167" s="599">
        <v>-9999</v>
      </c>
      <c r="BB1167" s="599" t="s">
        <v>626</v>
      </c>
      <c r="BC1167" s="599" t="s">
        <v>919</v>
      </c>
      <c r="BD1167" s="599" t="s">
        <v>920</v>
      </c>
      <c r="BE1167" s="599" t="s">
        <v>95</v>
      </c>
      <c r="BF1167" s="599" t="s">
        <v>918</v>
      </c>
      <c r="BG1167" s="599" t="s">
        <v>921</v>
      </c>
      <c r="BH1167" s="599">
        <v>-9999</v>
      </c>
      <c r="BI1167" s="599" t="s">
        <v>946</v>
      </c>
      <c r="BJ1167" s="257">
        <v>-9999</v>
      </c>
      <c r="BK1167" s="257">
        <v>-9999</v>
      </c>
      <c r="BL1167" s="257">
        <v>2.2999999999999998</v>
      </c>
      <c r="BM1167" s="257">
        <v>0.1</v>
      </c>
      <c r="BN1167" s="257">
        <v>4.3</v>
      </c>
      <c r="BO1167" s="257">
        <v>0.2</v>
      </c>
      <c r="BP1167" s="257">
        <v>-9999</v>
      </c>
      <c r="BQ1167" s="257">
        <v>-9999</v>
      </c>
      <c r="BR1167" s="257">
        <v>-9999</v>
      </c>
      <c r="BS1167" s="263">
        <v>-9999</v>
      </c>
      <c r="BT1167" s="257">
        <v>-9999</v>
      </c>
      <c r="BU1167" s="257">
        <v>-9999</v>
      </c>
      <c r="BV1167" s="257">
        <v>-9999</v>
      </c>
      <c r="BW1167" s="257"/>
      <c r="BX1167" s="257">
        <v>-9999</v>
      </c>
      <c r="BY1167" s="257">
        <v>-9999</v>
      </c>
      <c r="BZ1167" s="257">
        <v>-9999</v>
      </c>
      <c r="CA1167" s="606" t="s">
        <v>524</v>
      </c>
      <c r="CB1167" s="264"/>
      <c r="CC1167" s="257">
        <v>1</v>
      </c>
      <c r="CD1167" s="257">
        <v>4</v>
      </c>
      <c r="CE1167" s="292">
        <v>0.76</v>
      </c>
      <c r="CF1167" s="292">
        <v>1.58</v>
      </c>
      <c r="CG1167" s="44">
        <v>4</v>
      </c>
    </row>
    <row r="1168" spans="1:1873" s="23" customFormat="1" x14ac:dyDescent="0.2">
      <c r="A1168" s="599" t="s">
        <v>545</v>
      </c>
      <c r="B1168" s="257" t="s">
        <v>1196</v>
      </c>
      <c r="C1168" s="257" t="s">
        <v>925</v>
      </c>
      <c r="D1168" s="257" t="s">
        <v>1400</v>
      </c>
      <c r="E1168" s="257" t="s">
        <v>855</v>
      </c>
      <c r="F1168" s="257">
        <v>1</v>
      </c>
      <c r="G1168" s="257">
        <v>5</v>
      </c>
      <c r="H1168" s="263">
        <v>5</v>
      </c>
      <c r="I1168" s="601" t="s">
        <v>842</v>
      </c>
      <c r="J1168" s="599">
        <v>1997</v>
      </c>
      <c r="K1168" s="599" t="s">
        <v>1211</v>
      </c>
      <c r="L1168" s="257">
        <v>2001</v>
      </c>
      <c r="M1168" s="261">
        <v>-9999</v>
      </c>
      <c r="N1168" s="257">
        <v>-9999</v>
      </c>
      <c r="O1168" s="29"/>
      <c r="P1168" s="261">
        <v>6.24</v>
      </c>
      <c r="Q1168" s="257">
        <v>-9999</v>
      </c>
      <c r="R1168" s="261"/>
      <c r="S1168" s="257"/>
      <c r="T1168" s="603">
        <f t="shared" si="122"/>
        <v>1.248</v>
      </c>
      <c r="U1168" s="257">
        <v>-9999</v>
      </c>
      <c r="V1168" s="257"/>
      <c r="W1168" s="287">
        <f>+P1168-P1167</f>
        <v>3.2</v>
      </c>
      <c r="X1168" s="257">
        <v>-9999</v>
      </c>
      <c r="Y1168" s="257"/>
      <c r="Z1168" s="597" t="s">
        <v>1197</v>
      </c>
      <c r="AA1168" s="599">
        <v>1852</v>
      </c>
      <c r="AB1168" s="261">
        <v>0.71</v>
      </c>
      <c r="AC1168" s="599" t="s">
        <v>926</v>
      </c>
      <c r="AD1168" s="599">
        <v>144</v>
      </c>
      <c r="AE1168" s="599" t="s">
        <v>922</v>
      </c>
      <c r="AF1168" s="599">
        <v>36</v>
      </c>
      <c r="AG1168" s="599" t="s">
        <v>949</v>
      </c>
      <c r="AH1168" s="599" t="s">
        <v>885</v>
      </c>
      <c r="AI1168" s="599" t="s">
        <v>886</v>
      </c>
      <c r="AJ1168" s="599">
        <v>-9999</v>
      </c>
      <c r="AK1168" s="599" t="s">
        <v>947</v>
      </c>
      <c r="AL1168" s="599" t="s">
        <v>828</v>
      </c>
      <c r="AM1168" s="599" t="s">
        <v>948</v>
      </c>
      <c r="AN1168" s="599" t="s">
        <v>631</v>
      </c>
      <c r="AO1168" s="599">
        <v>-9999</v>
      </c>
      <c r="AP1168" s="599">
        <v>-9999</v>
      </c>
      <c r="AQ1168" s="597" t="s">
        <v>626</v>
      </c>
      <c r="AR1168" s="257">
        <f>246+103</f>
        <v>349</v>
      </c>
      <c r="AS1168" s="599" t="s">
        <v>935</v>
      </c>
      <c r="AT1168" s="599" t="s">
        <v>275</v>
      </c>
      <c r="AU1168" s="599">
        <v>103</v>
      </c>
      <c r="AV1168" s="257" t="s">
        <v>936</v>
      </c>
      <c r="AW1168" s="257" t="s">
        <v>94</v>
      </c>
      <c r="AX1168" s="599">
        <v>0</v>
      </c>
      <c r="AY1168" s="599">
        <v>-9999</v>
      </c>
      <c r="AZ1168" s="599">
        <v>-9999</v>
      </c>
      <c r="BA1168" s="599">
        <v>-9999</v>
      </c>
      <c r="BB1168" s="599" t="s">
        <v>626</v>
      </c>
      <c r="BC1168" s="599" t="s">
        <v>919</v>
      </c>
      <c r="BD1168" s="599" t="s">
        <v>920</v>
      </c>
      <c r="BE1168" s="599" t="s">
        <v>95</v>
      </c>
      <c r="BF1168" s="599" t="s">
        <v>918</v>
      </c>
      <c r="BG1168" s="599" t="s">
        <v>921</v>
      </c>
      <c r="BH1168" s="599">
        <v>-9999</v>
      </c>
      <c r="BI1168" s="599" t="s">
        <v>946</v>
      </c>
      <c r="BJ1168" s="257">
        <v>-9999</v>
      </c>
      <c r="BK1168" s="257">
        <v>-9999</v>
      </c>
      <c r="BL1168" s="257">
        <v>2.9</v>
      </c>
      <c r="BM1168" s="257">
        <v>0.1</v>
      </c>
      <c r="BN1168" s="257">
        <v>3.6</v>
      </c>
      <c r="BO1168" s="257">
        <v>0.1</v>
      </c>
      <c r="BP1168" s="257">
        <v>-9999</v>
      </c>
      <c r="BQ1168" s="257">
        <v>-9999</v>
      </c>
      <c r="BR1168" s="257">
        <v>-9999</v>
      </c>
      <c r="BS1168" s="263">
        <v>-9999</v>
      </c>
      <c r="BT1168" s="257">
        <v>-9999</v>
      </c>
      <c r="BU1168" s="257">
        <v>-9999</v>
      </c>
      <c r="BV1168" s="257">
        <v>-9999</v>
      </c>
      <c r="BW1168" s="257"/>
      <c r="BX1168" s="257">
        <v>-9999</v>
      </c>
      <c r="BY1168" s="257">
        <v>-9999</v>
      </c>
      <c r="BZ1168" s="257">
        <v>-9999</v>
      </c>
      <c r="CA1168" s="606" t="s">
        <v>524</v>
      </c>
      <c r="CB1168" s="264"/>
      <c r="CC1168" s="257">
        <v>1</v>
      </c>
      <c r="CD1168" s="257">
        <v>5</v>
      </c>
      <c r="CE1168" s="292">
        <v>1.248</v>
      </c>
      <c r="CF1168" s="292">
        <v>3.2</v>
      </c>
      <c r="CG1168" s="44">
        <v>5</v>
      </c>
    </row>
    <row r="1169" spans="1:1873" s="23" customFormat="1" x14ac:dyDescent="0.2">
      <c r="A1169" s="599" t="s">
        <v>545</v>
      </c>
      <c r="B1169" s="257" t="s">
        <v>1196</v>
      </c>
      <c r="C1169" s="257" t="s">
        <v>925</v>
      </c>
      <c r="D1169" s="257" t="s">
        <v>1400</v>
      </c>
      <c r="E1169" s="257" t="s">
        <v>855</v>
      </c>
      <c r="F1169" s="257">
        <v>1</v>
      </c>
      <c r="G1169" s="257">
        <v>6</v>
      </c>
      <c r="H1169" s="263">
        <v>6</v>
      </c>
      <c r="I1169" s="601" t="s">
        <v>842</v>
      </c>
      <c r="J1169" s="599">
        <v>1997</v>
      </c>
      <c r="K1169" s="599" t="s">
        <v>1211</v>
      </c>
      <c r="L1169" s="257">
        <v>2002</v>
      </c>
      <c r="M1169" s="261">
        <v>-9999</v>
      </c>
      <c r="N1169" s="257">
        <v>-9999</v>
      </c>
      <c r="O1169" s="29"/>
      <c r="P1169" s="261">
        <v>10.86</v>
      </c>
      <c r="Q1169" s="257">
        <v>-9999</v>
      </c>
      <c r="R1169" s="261"/>
      <c r="S1169" s="257"/>
      <c r="T1169" s="603">
        <f t="shared" si="122"/>
        <v>1.8099999999999998</v>
      </c>
      <c r="U1169" s="257">
        <v>-9999</v>
      </c>
      <c r="V1169" s="257"/>
      <c r="W1169" s="287">
        <f>+P1169-P1168</f>
        <v>4.6199999999999992</v>
      </c>
      <c r="X1169" s="257">
        <v>-9999</v>
      </c>
      <c r="Y1169" s="257"/>
      <c r="Z1169" s="597" t="s">
        <v>1197</v>
      </c>
      <c r="AA1169" s="599">
        <v>1852</v>
      </c>
      <c r="AB1169" s="261">
        <v>0.71</v>
      </c>
      <c r="AC1169" s="599" t="s">
        <v>926</v>
      </c>
      <c r="AD1169" s="599">
        <v>144</v>
      </c>
      <c r="AE1169" s="599" t="s">
        <v>922</v>
      </c>
      <c r="AF1169" s="599">
        <v>36</v>
      </c>
      <c r="AG1169" s="599" t="s">
        <v>949</v>
      </c>
      <c r="AH1169" s="599" t="s">
        <v>885</v>
      </c>
      <c r="AI1169" s="599" t="s">
        <v>886</v>
      </c>
      <c r="AJ1169" s="599">
        <v>-9999</v>
      </c>
      <c r="AK1169" s="599" t="s">
        <v>947</v>
      </c>
      <c r="AL1169" s="599" t="s">
        <v>828</v>
      </c>
      <c r="AM1169" s="599" t="s">
        <v>948</v>
      </c>
      <c r="AN1169" s="599" t="s">
        <v>631</v>
      </c>
      <c r="AO1169" s="599">
        <v>-9999</v>
      </c>
      <c r="AP1169" s="599">
        <v>-9999</v>
      </c>
      <c r="AQ1169" s="597" t="s">
        <v>626</v>
      </c>
      <c r="AR1169" s="257">
        <f>+AR1168+0</f>
        <v>349</v>
      </c>
      <c r="AS1169" s="257" t="s">
        <v>869</v>
      </c>
      <c r="AT1169" s="257"/>
      <c r="AU1169" s="599">
        <v>103</v>
      </c>
      <c r="AV1169" s="257" t="s">
        <v>936</v>
      </c>
      <c r="AW1169" s="257" t="s">
        <v>94</v>
      </c>
      <c r="AX1169" s="599">
        <v>0</v>
      </c>
      <c r="AY1169" s="599">
        <v>-9999</v>
      </c>
      <c r="AZ1169" s="599">
        <v>-9999</v>
      </c>
      <c r="BA1169" s="599">
        <v>-9999</v>
      </c>
      <c r="BB1169" s="599" t="s">
        <v>626</v>
      </c>
      <c r="BC1169" s="599" t="s">
        <v>919</v>
      </c>
      <c r="BD1169" s="599" t="s">
        <v>920</v>
      </c>
      <c r="BE1169" s="599" t="s">
        <v>95</v>
      </c>
      <c r="BF1169" s="599" t="s">
        <v>918</v>
      </c>
      <c r="BG1169" s="599" t="s">
        <v>921</v>
      </c>
      <c r="BH1169" s="599">
        <v>-9999</v>
      </c>
      <c r="BI1169" s="599" t="s">
        <v>946</v>
      </c>
      <c r="BJ1169" s="257">
        <v>-9999</v>
      </c>
      <c r="BK1169" s="257">
        <v>-9999</v>
      </c>
      <c r="BL1169" s="257">
        <v>4.0999999999999996</v>
      </c>
      <c r="BM1169" s="257">
        <v>0.2</v>
      </c>
      <c r="BN1169" s="257">
        <v>5</v>
      </c>
      <c r="BO1169" s="257">
        <v>0.5</v>
      </c>
      <c r="BP1169" s="257">
        <v>-9999</v>
      </c>
      <c r="BQ1169" s="257">
        <v>-9999</v>
      </c>
      <c r="BR1169" s="257">
        <v>-9999</v>
      </c>
      <c r="BS1169" s="263">
        <v>-9999</v>
      </c>
      <c r="BT1169" s="257">
        <v>-9999</v>
      </c>
      <c r="BU1169" s="257">
        <v>-9999</v>
      </c>
      <c r="BV1169" s="257">
        <v>-9999</v>
      </c>
      <c r="BW1169" s="257"/>
      <c r="BX1169" s="257">
        <v>-9999</v>
      </c>
      <c r="BY1169" s="257">
        <v>-9999</v>
      </c>
      <c r="BZ1169" s="257">
        <v>-9999</v>
      </c>
      <c r="CA1169" s="606" t="s">
        <v>524</v>
      </c>
      <c r="CB1169" s="264"/>
      <c r="CC1169" s="257">
        <v>1</v>
      </c>
      <c r="CD1169" s="257">
        <v>6</v>
      </c>
      <c r="CE1169" s="292">
        <v>1.8099999999999998</v>
      </c>
      <c r="CF1169" s="292">
        <v>4.6199999999999992</v>
      </c>
      <c r="CG1169" s="44">
        <v>6</v>
      </c>
    </row>
    <row r="1170" spans="1:1873" s="149" customFormat="1" x14ac:dyDescent="0.2">
      <c r="A1170" s="599" t="s">
        <v>545</v>
      </c>
      <c r="B1170" s="257" t="s">
        <v>1196</v>
      </c>
      <c r="C1170" s="257" t="s">
        <v>925</v>
      </c>
      <c r="D1170" s="257" t="s">
        <v>1400</v>
      </c>
      <c r="E1170" s="257" t="s">
        <v>855</v>
      </c>
      <c r="F1170" s="598">
        <v>1</v>
      </c>
      <c r="G1170" s="597">
        <v>7</v>
      </c>
      <c r="H1170" s="600">
        <v>7</v>
      </c>
      <c r="I1170" s="601" t="s">
        <v>842</v>
      </c>
      <c r="J1170" s="599">
        <v>1997</v>
      </c>
      <c r="K1170" s="599" t="s">
        <v>1211</v>
      </c>
      <c r="L1170" s="599">
        <v>2003</v>
      </c>
      <c r="M1170" s="261">
        <v>-9999</v>
      </c>
      <c r="N1170" s="257">
        <v>-9999</v>
      </c>
      <c r="O1170" s="29"/>
      <c r="P1170" s="602">
        <v>17.52</v>
      </c>
      <c r="Q1170" s="257">
        <v>-9999</v>
      </c>
      <c r="R1170" s="261"/>
      <c r="S1170" s="257"/>
      <c r="T1170" s="603">
        <f t="shared" si="122"/>
        <v>2.5028571428571427</v>
      </c>
      <c r="U1170" s="257">
        <v>-9999</v>
      </c>
      <c r="V1170" s="257"/>
      <c r="W1170" s="287">
        <f>+P1170-P1169</f>
        <v>6.66</v>
      </c>
      <c r="X1170" s="257">
        <v>-9999</v>
      </c>
      <c r="Y1170" s="257"/>
      <c r="Z1170" s="597" t="s">
        <v>1197</v>
      </c>
      <c r="AA1170" s="599">
        <v>1852</v>
      </c>
      <c r="AB1170" s="261">
        <v>0.7</v>
      </c>
      <c r="AC1170" s="599" t="s">
        <v>926</v>
      </c>
      <c r="AD1170" s="599">
        <v>144</v>
      </c>
      <c r="AE1170" s="599" t="s">
        <v>922</v>
      </c>
      <c r="AF1170" s="599">
        <v>36</v>
      </c>
      <c r="AG1170" s="599" t="s">
        <v>949</v>
      </c>
      <c r="AH1170" s="599" t="s">
        <v>885</v>
      </c>
      <c r="AI1170" s="599" t="s">
        <v>886</v>
      </c>
      <c r="AJ1170" s="599">
        <v>-9999</v>
      </c>
      <c r="AK1170" s="599" t="s">
        <v>947</v>
      </c>
      <c r="AL1170" s="599" t="s">
        <v>828</v>
      </c>
      <c r="AM1170" s="599" t="s">
        <v>948</v>
      </c>
      <c r="AN1170" s="599" t="s">
        <v>631</v>
      </c>
      <c r="AO1170" s="599">
        <v>-9999</v>
      </c>
      <c r="AP1170" s="599">
        <v>-9999</v>
      </c>
      <c r="AQ1170" s="597" t="s">
        <v>626</v>
      </c>
      <c r="AR1170" s="599">
        <f>349+103</f>
        <v>452</v>
      </c>
      <c r="AS1170" s="599" t="s">
        <v>935</v>
      </c>
      <c r="AT1170" s="599" t="s">
        <v>275</v>
      </c>
      <c r="AU1170" s="599">
        <v>103</v>
      </c>
      <c r="AV1170" s="257" t="s">
        <v>936</v>
      </c>
      <c r="AW1170" s="257" t="s">
        <v>94</v>
      </c>
      <c r="AX1170" s="599">
        <v>0</v>
      </c>
      <c r="AY1170" s="599">
        <v>-9999</v>
      </c>
      <c r="AZ1170" s="599">
        <v>-9999</v>
      </c>
      <c r="BA1170" s="599">
        <v>-9999</v>
      </c>
      <c r="BB1170" s="599" t="s">
        <v>626</v>
      </c>
      <c r="BC1170" s="599" t="s">
        <v>919</v>
      </c>
      <c r="BD1170" s="599" t="s">
        <v>920</v>
      </c>
      <c r="BE1170" s="599" t="s">
        <v>95</v>
      </c>
      <c r="BF1170" s="599" t="s">
        <v>918</v>
      </c>
      <c r="BG1170" s="599" t="s">
        <v>921</v>
      </c>
      <c r="BH1170" s="599">
        <v>-9999</v>
      </c>
      <c r="BI1170" s="599" t="s">
        <v>946</v>
      </c>
      <c r="BJ1170" s="257">
        <v>-9999</v>
      </c>
      <c r="BK1170" s="257">
        <v>-9999</v>
      </c>
      <c r="BL1170" s="599">
        <v>5.5</v>
      </c>
      <c r="BM1170" s="257">
        <v>0.3</v>
      </c>
      <c r="BN1170" s="599">
        <v>7</v>
      </c>
      <c r="BO1170" s="257">
        <v>-9999</v>
      </c>
      <c r="BP1170" s="257">
        <v>-9999</v>
      </c>
      <c r="BQ1170" s="257">
        <v>-9999</v>
      </c>
      <c r="BR1170" s="257">
        <v>-9999</v>
      </c>
      <c r="BS1170" s="263">
        <v>-9999</v>
      </c>
      <c r="BT1170" s="257">
        <v>-9999</v>
      </c>
      <c r="BU1170" s="257">
        <v>-9999</v>
      </c>
      <c r="BV1170" s="257">
        <v>-9999</v>
      </c>
      <c r="BW1170" s="257"/>
      <c r="BX1170" s="257">
        <v>-9999</v>
      </c>
      <c r="BY1170" s="257">
        <v>-9999</v>
      </c>
      <c r="BZ1170" s="257">
        <v>-9999</v>
      </c>
      <c r="CA1170" s="606" t="s">
        <v>524</v>
      </c>
      <c r="CB1170" s="607" t="s">
        <v>951</v>
      </c>
      <c r="CC1170" s="598">
        <v>1</v>
      </c>
      <c r="CD1170" s="597">
        <v>7</v>
      </c>
      <c r="CE1170" s="168">
        <v>2.5028571428571427</v>
      </c>
      <c r="CF1170" s="168">
        <v>6.66</v>
      </c>
      <c r="CG1170" s="161">
        <v>7</v>
      </c>
    </row>
    <row r="1171" spans="1:1873" s="149" customFormat="1" x14ac:dyDescent="0.2">
      <c r="A1171" s="162"/>
      <c r="B1171" s="29"/>
      <c r="C1171" s="162"/>
      <c r="D1171" s="162"/>
      <c r="E1171" s="162"/>
      <c r="F1171" s="162"/>
      <c r="G1171" s="162"/>
      <c r="H1171" s="163"/>
      <c r="I1171" s="162"/>
      <c r="J1171" s="162"/>
      <c r="K1171" s="162"/>
      <c r="L1171" s="162"/>
      <c r="M1171" s="164"/>
      <c r="N1171" s="162"/>
      <c r="O1171" s="162"/>
      <c r="P1171" s="164"/>
      <c r="Q1171" s="162"/>
      <c r="R1171" s="164"/>
      <c r="S1171" s="162"/>
      <c r="T1171" s="164"/>
      <c r="U1171" s="162"/>
      <c r="V1171" s="162"/>
      <c r="W1171" s="164"/>
      <c r="X1171" s="162"/>
      <c r="Y1171" s="162"/>
      <c r="Z1171" s="165"/>
      <c r="AA1171" s="166"/>
      <c r="AB1171" s="171"/>
      <c r="AC1171" s="162"/>
      <c r="AD1171" s="162"/>
      <c r="AE1171" s="162"/>
      <c r="AF1171" s="162"/>
      <c r="AG1171" s="162"/>
      <c r="AH1171" s="162"/>
      <c r="AI1171" s="162"/>
      <c r="AJ1171" s="162"/>
      <c r="AK1171" s="162"/>
      <c r="AL1171" s="162"/>
      <c r="AM1171" s="162"/>
      <c r="AN1171" s="162"/>
      <c r="AO1171" s="162"/>
      <c r="AP1171" s="162"/>
      <c r="AQ1171" s="162"/>
      <c r="AR1171" s="162"/>
      <c r="AS1171" s="162"/>
      <c r="AT1171" s="162"/>
      <c r="AU1171" s="162"/>
      <c r="AV1171" s="162"/>
      <c r="AW1171" s="162"/>
      <c r="AX1171" s="162"/>
      <c r="AY1171" s="162"/>
      <c r="AZ1171" s="162"/>
      <c r="BA1171" s="162"/>
      <c r="BB1171" s="162"/>
      <c r="BC1171" s="162"/>
      <c r="BD1171" s="162"/>
      <c r="BE1171" s="162"/>
      <c r="BF1171" s="162"/>
      <c r="BG1171" s="162"/>
      <c r="BH1171" s="162"/>
      <c r="BI1171" s="162"/>
      <c r="BJ1171" s="29"/>
      <c r="BK1171" s="29"/>
      <c r="BL1171" s="162"/>
      <c r="BM1171" s="162"/>
      <c r="BN1171" s="162"/>
      <c r="BO1171" s="162"/>
      <c r="BP1171" s="162"/>
      <c r="BQ1171" s="162"/>
      <c r="BR1171" s="162"/>
      <c r="BS1171" s="30"/>
      <c r="BT1171" s="162"/>
      <c r="BU1171" s="162"/>
      <c r="BV1171" s="162"/>
      <c r="BW1171" s="162"/>
      <c r="BX1171" s="162"/>
      <c r="BY1171" s="162"/>
      <c r="BZ1171" s="162"/>
      <c r="CA1171" s="167"/>
      <c r="CC1171" s="162"/>
      <c r="CD1171" s="162"/>
      <c r="CE1171" s="342" t="s">
        <v>1576</v>
      </c>
      <c r="CF1171" s="342" t="s">
        <v>1575</v>
      </c>
      <c r="CG1171" s="163"/>
    </row>
    <row r="1172" spans="1:1873" s="23" customFormat="1" ht="12.75" customHeight="1" x14ac:dyDescent="0.25">
      <c r="A1172" s="263" t="s">
        <v>560</v>
      </c>
      <c r="B1172" s="263" t="s">
        <v>1268</v>
      </c>
      <c r="C1172" s="263" t="s">
        <v>96</v>
      </c>
      <c r="D1172" s="257" t="s">
        <v>1400</v>
      </c>
      <c r="E1172" s="257" t="s">
        <v>855</v>
      </c>
      <c r="F1172" s="600">
        <v>1</v>
      </c>
      <c r="G1172" s="600">
        <v>1</v>
      </c>
      <c r="H1172" s="600">
        <v>1</v>
      </c>
      <c r="I1172" s="257" t="s">
        <v>856</v>
      </c>
      <c r="J1172" s="257">
        <v>1982</v>
      </c>
      <c r="K1172" s="257" t="s">
        <v>1211</v>
      </c>
      <c r="L1172" s="608">
        <v>1982</v>
      </c>
      <c r="M1172" s="261">
        <v>-9999</v>
      </c>
      <c r="N1172" s="257">
        <v>-9999</v>
      </c>
      <c r="O1172" s="29"/>
      <c r="P1172" s="602">
        <v>0.56000000000000005</v>
      </c>
      <c r="Q1172" s="257">
        <v>-9999</v>
      </c>
      <c r="R1172" s="261"/>
      <c r="S1172" s="257"/>
      <c r="T1172" s="370">
        <f t="shared" ref="T1172:T1177" si="123">+P1172/G1172</f>
        <v>0.56000000000000005</v>
      </c>
      <c r="U1172" s="257">
        <v>-9999</v>
      </c>
      <c r="V1172" s="257"/>
      <c r="W1172" s="609">
        <f>+P1172</f>
        <v>0.56000000000000005</v>
      </c>
      <c r="X1172" s="257">
        <v>-9999</v>
      </c>
      <c r="Y1172" s="257"/>
      <c r="Z1172" s="327" t="s">
        <v>1706</v>
      </c>
      <c r="AA1172" s="599">
        <v>5382</v>
      </c>
      <c r="AB1172" s="602">
        <v>0.81</v>
      </c>
      <c r="AC1172" s="257">
        <v>10.3</v>
      </c>
      <c r="AD1172" s="602">
        <f>0.0966*10000</f>
        <v>966</v>
      </c>
      <c r="AE1172" s="263" t="s">
        <v>97</v>
      </c>
      <c r="AF1172" s="600">
        <v>6</v>
      </c>
      <c r="AG1172" s="257">
        <v>2</v>
      </c>
      <c r="AH1172" s="257" t="s">
        <v>98</v>
      </c>
      <c r="AI1172" s="257" t="s">
        <v>985</v>
      </c>
      <c r="AJ1172" s="257">
        <v>-9999</v>
      </c>
      <c r="AK1172" s="257" t="s">
        <v>99</v>
      </c>
      <c r="AL1172" s="257" t="s">
        <v>828</v>
      </c>
      <c r="AM1172" s="257">
        <v>-9999</v>
      </c>
      <c r="AN1172" s="257" t="s">
        <v>631</v>
      </c>
      <c r="AO1172" s="257">
        <v>-9999</v>
      </c>
      <c r="AP1172" s="257">
        <v>-9999</v>
      </c>
      <c r="AQ1172" s="257" t="s">
        <v>631</v>
      </c>
      <c r="AR1172" s="257">
        <v>0</v>
      </c>
      <c r="AS1172" s="257">
        <v>-9999</v>
      </c>
      <c r="AT1172" s="257">
        <v>-9999</v>
      </c>
      <c r="AU1172" s="257">
        <v>0</v>
      </c>
      <c r="AV1172" s="257">
        <v>-9999</v>
      </c>
      <c r="AW1172" s="257"/>
      <c r="AX1172" s="257">
        <v>0</v>
      </c>
      <c r="AY1172" s="257">
        <v>-9999</v>
      </c>
      <c r="AZ1172" s="257">
        <v>-9999</v>
      </c>
      <c r="BA1172" s="257" t="s">
        <v>100</v>
      </c>
      <c r="BB1172" s="257" t="s">
        <v>626</v>
      </c>
      <c r="BC1172" s="257" t="s">
        <v>101</v>
      </c>
      <c r="BD1172" s="257" t="s">
        <v>102</v>
      </c>
      <c r="BE1172" s="257" t="s">
        <v>103</v>
      </c>
      <c r="BF1172" s="257" t="s">
        <v>104</v>
      </c>
      <c r="BG1172" s="257" t="s">
        <v>105</v>
      </c>
      <c r="BH1172" s="257" t="s">
        <v>106</v>
      </c>
      <c r="BI1172" s="257">
        <v>-9999</v>
      </c>
      <c r="BJ1172" s="257">
        <v>-9999</v>
      </c>
      <c r="BK1172" s="257">
        <v>-9999</v>
      </c>
      <c r="BL1172" s="602">
        <v>1.1299999999999999</v>
      </c>
      <c r="BM1172" s="257">
        <v>-9999</v>
      </c>
      <c r="BN1172" s="602">
        <v>0</v>
      </c>
      <c r="BO1172" s="257">
        <v>-9999</v>
      </c>
      <c r="BP1172" s="257">
        <v>-9999</v>
      </c>
      <c r="BQ1172" s="257">
        <v>-9999</v>
      </c>
      <c r="BR1172" s="257">
        <v>-9999</v>
      </c>
      <c r="BS1172" s="263">
        <v>-9999</v>
      </c>
      <c r="BT1172" s="257">
        <v>-9999</v>
      </c>
      <c r="BU1172" s="257">
        <v>-9999</v>
      </c>
      <c r="BV1172" s="257">
        <v>-9999</v>
      </c>
      <c r="BW1172" s="257"/>
      <c r="BX1172" s="257">
        <v>-9999</v>
      </c>
      <c r="BY1172" s="257">
        <v>-9999</v>
      </c>
      <c r="BZ1172" s="257">
        <v>-9999</v>
      </c>
      <c r="CA1172" s="300" t="s">
        <v>107</v>
      </c>
      <c r="CB1172" s="264" t="s">
        <v>561</v>
      </c>
      <c r="CC1172" s="600">
        <v>1</v>
      </c>
      <c r="CD1172" s="600">
        <v>1</v>
      </c>
      <c r="CE1172" s="292">
        <v>0.56000000000000005</v>
      </c>
      <c r="CF1172" s="292">
        <v>0.56000000000000005</v>
      </c>
      <c r="CG1172" s="161">
        <v>1</v>
      </c>
    </row>
    <row r="1173" spans="1:1873" s="23" customFormat="1" ht="12.75" customHeight="1" x14ac:dyDescent="0.25">
      <c r="A1173" s="263" t="s">
        <v>560</v>
      </c>
      <c r="B1173" s="263" t="s">
        <v>1268</v>
      </c>
      <c r="C1173" s="263" t="s">
        <v>96</v>
      </c>
      <c r="D1173" s="257" t="s">
        <v>1400</v>
      </c>
      <c r="E1173" s="257" t="s">
        <v>855</v>
      </c>
      <c r="F1173" s="600">
        <v>1</v>
      </c>
      <c r="G1173" s="600">
        <v>2</v>
      </c>
      <c r="H1173" s="600">
        <v>2</v>
      </c>
      <c r="I1173" s="257" t="s">
        <v>856</v>
      </c>
      <c r="J1173" s="257">
        <v>1982</v>
      </c>
      <c r="K1173" s="257" t="s">
        <v>1211</v>
      </c>
      <c r="L1173" s="608">
        <v>1983</v>
      </c>
      <c r="M1173" s="261">
        <v>-9999</v>
      </c>
      <c r="N1173" s="257">
        <v>-9999</v>
      </c>
      <c r="O1173" s="29"/>
      <c r="P1173" s="602">
        <v>4.32</v>
      </c>
      <c r="Q1173" s="257">
        <v>-9999</v>
      </c>
      <c r="R1173" s="261"/>
      <c r="S1173" s="257"/>
      <c r="T1173" s="370">
        <f t="shared" si="123"/>
        <v>2.16</v>
      </c>
      <c r="U1173" s="257">
        <v>-9999</v>
      </c>
      <c r="V1173" s="257"/>
      <c r="W1173" s="609">
        <f>+P1173-P1172</f>
        <v>3.7600000000000002</v>
      </c>
      <c r="X1173" s="257">
        <v>-9999</v>
      </c>
      <c r="Y1173" s="257"/>
      <c r="Z1173" s="257" t="s">
        <v>1706</v>
      </c>
      <c r="AA1173" s="599">
        <v>5382</v>
      </c>
      <c r="AB1173" s="602">
        <v>0.83</v>
      </c>
      <c r="AC1173" s="257">
        <v>10.3</v>
      </c>
      <c r="AD1173" s="602">
        <f t="shared" ref="AD1173:AD1237" si="124">0.0966*10000</f>
        <v>966</v>
      </c>
      <c r="AE1173" s="263" t="s">
        <v>97</v>
      </c>
      <c r="AF1173" s="600">
        <v>6</v>
      </c>
      <c r="AG1173" s="257">
        <v>2</v>
      </c>
      <c r="AH1173" s="257" t="s">
        <v>98</v>
      </c>
      <c r="AI1173" s="257" t="s">
        <v>985</v>
      </c>
      <c r="AJ1173" s="257">
        <v>-9999</v>
      </c>
      <c r="AK1173" s="257" t="s">
        <v>99</v>
      </c>
      <c r="AL1173" s="257" t="s">
        <v>828</v>
      </c>
      <c r="AM1173" s="257">
        <v>-9999</v>
      </c>
      <c r="AN1173" s="257" t="s">
        <v>631</v>
      </c>
      <c r="AO1173" s="257">
        <v>-9999</v>
      </c>
      <c r="AP1173" s="257">
        <v>-9999</v>
      </c>
      <c r="AQ1173" s="257" t="s">
        <v>631</v>
      </c>
      <c r="AR1173" s="257">
        <v>0</v>
      </c>
      <c r="AS1173" s="257">
        <v>-9999</v>
      </c>
      <c r="AT1173" s="257">
        <v>-9999</v>
      </c>
      <c r="AU1173" s="257">
        <v>0</v>
      </c>
      <c r="AV1173" s="257">
        <v>-9999</v>
      </c>
      <c r="AW1173" s="257"/>
      <c r="AX1173" s="257">
        <v>0</v>
      </c>
      <c r="AY1173" s="257">
        <v>-9999</v>
      </c>
      <c r="AZ1173" s="257">
        <v>-9999</v>
      </c>
      <c r="BA1173" s="257" t="s">
        <v>100</v>
      </c>
      <c r="BB1173" s="257" t="s">
        <v>626</v>
      </c>
      <c r="BC1173" s="257" t="s">
        <v>101</v>
      </c>
      <c r="BD1173" s="257" t="s">
        <v>102</v>
      </c>
      <c r="BE1173" s="257" t="s">
        <v>103</v>
      </c>
      <c r="BF1173" s="257" t="s">
        <v>104</v>
      </c>
      <c r="BG1173" s="257" t="s">
        <v>105</v>
      </c>
      <c r="BH1173" s="257" t="s">
        <v>106</v>
      </c>
      <c r="BI1173" s="257">
        <v>-9999</v>
      </c>
      <c r="BJ1173" s="257">
        <v>-9999</v>
      </c>
      <c r="BK1173" s="257">
        <v>-9999</v>
      </c>
      <c r="BL1173" s="602">
        <v>2.65</v>
      </c>
      <c r="BM1173" s="257">
        <v>-9999</v>
      </c>
      <c r="BN1173" s="602">
        <v>0</v>
      </c>
      <c r="BO1173" s="257">
        <v>-9999</v>
      </c>
      <c r="BP1173" s="257">
        <v>-9999</v>
      </c>
      <c r="BQ1173" s="257">
        <v>-9999</v>
      </c>
      <c r="BR1173" s="257">
        <v>-9999</v>
      </c>
      <c r="BS1173" s="263">
        <v>-9999</v>
      </c>
      <c r="BT1173" s="257">
        <v>-9999</v>
      </c>
      <c r="BU1173" s="257">
        <v>-9999</v>
      </c>
      <c r="BV1173" s="257">
        <v>-9999</v>
      </c>
      <c r="BW1173" s="257"/>
      <c r="BX1173" s="257">
        <v>-9999</v>
      </c>
      <c r="BY1173" s="257">
        <v>-9999</v>
      </c>
      <c r="BZ1173" s="257">
        <v>-9999</v>
      </c>
      <c r="CA1173" s="300" t="s">
        <v>107</v>
      </c>
      <c r="CB1173" s="264" t="s">
        <v>561</v>
      </c>
      <c r="CC1173" s="600">
        <v>1</v>
      </c>
      <c r="CD1173" s="600">
        <v>2</v>
      </c>
      <c r="CE1173" s="292">
        <v>2.2400000000000002</v>
      </c>
      <c r="CF1173" s="292">
        <v>3.9200000000000004</v>
      </c>
      <c r="CG1173" s="161">
        <v>2</v>
      </c>
    </row>
    <row r="1174" spans="1:1873" s="23" customFormat="1" ht="12.75" customHeight="1" x14ac:dyDescent="0.25">
      <c r="A1174" s="263" t="s">
        <v>560</v>
      </c>
      <c r="B1174" s="263" t="s">
        <v>1268</v>
      </c>
      <c r="C1174" s="263" t="s">
        <v>96</v>
      </c>
      <c r="D1174" s="257" t="s">
        <v>1400</v>
      </c>
      <c r="E1174" s="257" t="s">
        <v>855</v>
      </c>
      <c r="F1174" s="600">
        <v>1</v>
      </c>
      <c r="G1174" s="600">
        <v>3</v>
      </c>
      <c r="H1174" s="600">
        <v>3</v>
      </c>
      <c r="I1174" s="257" t="s">
        <v>856</v>
      </c>
      <c r="J1174" s="257">
        <v>1982</v>
      </c>
      <c r="K1174" s="257" t="s">
        <v>1211</v>
      </c>
      <c r="L1174" s="608">
        <v>1984</v>
      </c>
      <c r="M1174" s="261">
        <v>-9999</v>
      </c>
      <c r="N1174" s="257">
        <v>-9999</v>
      </c>
      <c r="O1174" s="29"/>
      <c r="P1174" s="602">
        <v>13.71</v>
      </c>
      <c r="Q1174" s="257">
        <v>-9999</v>
      </c>
      <c r="R1174" s="261"/>
      <c r="S1174" s="257"/>
      <c r="T1174" s="370">
        <f t="shared" si="123"/>
        <v>4.57</v>
      </c>
      <c r="U1174" s="257">
        <v>-9999</v>
      </c>
      <c r="V1174" s="257"/>
      <c r="W1174" s="609">
        <f>+P1174-P1173</f>
        <v>9.39</v>
      </c>
      <c r="X1174" s="257">
        <v>-9999</v>
      </c>
      <c r="Y1174" s="257"/>
      <c r="Z1174" s="327" t="s">
        <v>1706</v>
      </c>
      <c r="AA1174" s="599">
        <v>5382</v>
      </c>
      <c r="AB1174" s="602">
        <v>0.85</v>
      </c>
      <c r="AC1174" s="257">
        <v>10.3</v>
      </c>
      <c r="AD1174" s="602">
        <f t="shared" si="124"/>
        <v>966</v>
      </c>
      <c r="AE1174" s="263" t="s">
        <v>97</v>
      </c>
      <c r="AF1174" s="600">
        <v>6</v>
      </c>
      <c r="AG1174" s="257">
        <v>2</v>
      </c>
      <c r="AH1174" s="257" t="s">
        <v>98</v>
      </c>
      <c r="AI1174" s="257" t="s">
        <v>985</v>
      </c>
      <c r="AJ1174" s="257">
        <v>-9999</v>
      </c>
      <c r="AK1174" s="257" t="s">
        <v>99</v>
      </c>
      <c r="AL1174" s="257" t="s">
        <v>828</v>
      </c>
      <c r="AM1174" s="257">
        <v>-9999</v>
      </c>
      <c r="AN1174" s="257" t="s">
        <v>631</v>
      </c>
      <c r="AO1174" s="257">
        <v>-9999</v>
      </c>
      <c r="AP1174" s="257">
        <v>-9999</v>
      </c>
      <c r="AQ1174" s="257" t="s">
        <v>631</v>
      </c>
      <c r="AR1174" s="257">
        <v>0</v>
      </c>
      <c r="AS1174" s="257">
        <v>-9999</v>
      </c>
      <c r="AT1174" s="257">
        <v>-9999</v>
      </c>
      <c r="AU1174" s="257">
        <v>0</v>
      </c>
      <c r="AV1174" s="257">
        <v>-9999</v>
      </c>
      <c r="AW1174" s="257"/>
      <c r="AX1174" s="257">
        <v>0</v>
      </c>
      <c r="AY1174" s="257">
        <v>-9999</v>
      </c>
      <c r="AZ1174" s="257">
        <v>-9999</v>
      </c>
      <c r="BA1174" s="257" t="s">
        <v>100</v>
      </c>
      <c r="BB1174" s="257" t="s">
        <v>626</v>
      </c>
      <c r="BC1174" s="257" t="s">
        <v>101</v>
      </c>
      <c r="BD1174" s="257" t="s">
        <v>102</v>
      </c>
      <c r="BE1174" s="257" t="s">
        <v>103</v>
      </c>
      <c r="BF1174" s="257" t="s">
        <v>104</v>
      </c>
      <c r="BG1174" s="257" t="s">
        <v>105</v>
      </c>
      <c r="BH1174" s="257" t="s">
        <v>106</v>
      </c>
      <c r="BI1174" s="257">
        <v>-9999</v>
      </c>
      <c r="BJ1174" s="257">
        <v>-9999</v>
      </c>
      <c r="BK1174" s="257">
        <v>-9999</v>
      </c>
      <c r="BL1174" s="602">
        <v>4.3</v>
      </c>
      <c r="BM1174" s="257">
        <v>-9999</v>
      </c>
      <c r="BN1174" s="602">
        <v>0</v>
      </c>
      <c r="BO1174" s="257">
        <v>-9999</v>
      </c>
      <c r="BP1174" s="257">
        <v>-9999</v>
      </c>
      <c r="BQ1174" s="257">
        <v>-9999</v>
      </c>
      <c r="BR1174" s="257">
        <v>-9999</v>
      </c>
      <c r="BS1174" s="263">
        <v>-9999</v>
      </c>
      <c r="BT1174" s="257">
        <v>-9999</v>
      </c>
      <c r="BU1174" s="257">
        <v>-9999</v>
      </c>
      <c r="BV1174" s="257">
        <v>-9999</v>
      </c>
      <c r="BW1174" s="257"/>
      <c r="BX1174" s="257">
        <v>-9999</v>
      </c>
      <c r="BY1174" s="257">
        <v>-9999</v>
      </c>
      <c r="BZ1174" s="257">
        <v>-9999</v>
      </c>
      <c r="CA1174" s="300" t="s">
        <v>107</v>
      </c>
      <c r="CB1174" s="264" t="s">
        <v>561</v>
      </c>
      <c r="CC1174" s="600">
        <v>1</v>
      </c>
      <c r="CD1174" s="600">
        <v>3</v>
      </c>
      <c r="CE1174" s="292">
        <v>4.8466666666666667</v>
      </c>
      <c r="CF1174" s="292">
        <v>10.059999999999999</v>
      </c>
      <c r="CG1174" s="161">
        <v>3</v>
      </c>
    </row>
    <row r="1175" spans="1:1873" s="23" customFormat="1" ht="12.75" customHeight="1" x14ac:dyDescent="0.25">
      <c r="A1175" s="263" t="s">
        <v>560</v>
      </c>
      <c r="B1175" s="263" t="s">
        <v>1268</v>
      </c>
      <c r="C1175" s="263" t="s">
        <v>96</v>
      </c>
      <c r="D1175" s="257" t="s">
        <v>1400</v>
      </c>
      <c r="E1175" s="257" t="s">
        <v>855</v>
      </c>
      <c r="F1175" s="263">
        <v>1</v>
      </c>
      <c r="G1175" s="263">
        <v>4</v>
      </c>
      <c r="H1175" s="263">
        <v>4</v>
      </c>
      <c r="I1175" s="257" t="s">
        <v>856</v>
      </c>
      <c r="J1175" s="257">
        <v>1982</v>
      </c>
      <c r="K1175" s="257" t="s">
        <v>1211</v>
      </c>
      <c r="L1175" s="595">
        <v>1985</v>
      </c>
      <c r="M1175" s="261">
        <v>-9999</v>
      </c>
      <c r="N1175" s="257">
        <v>-9999</v>
      </c>
      <c r="O1175" s="29"/>
      <c r="P1175" s="261">
        <v>25.81</v>
      </c>
      <c r="Q1175" s="257">
        <v>-9999</v>
      </c>
      <c r="R1175" s="261"/>
      <c r="S1175" s="257"/>
      <c r="T1175" s="370">
        <f t="shared" si="123"/>
        <v>6.4524999999999997</v>
      </c>
      <c r="U1175" s="257">
        <v>-9999</v>
      </c>
      <c r="V1175" s="257"/>
      <c r="W1175" s="609">
        <f>+P1175-P1174</f>
        <v>12.099999999999998</v>
      </c>
      <c r="X1175" s="257">
        <v>-9999</v>
      </c>
      <c r="Y1175" s="257"/>
      <c r="Z1175" s="327" t="s">
        <v>1706</v>
      </c>
      <c r="AA1175" s="599">
        <v>5382</v>
      </c>
      <c r="AB1175" s="261">
        <v>0.753</v>
      </c>
      <c r="AC1175" s="257">
        <v>10.3</v>
      </c>
      <c r="AD1175" s="602">
        <f t="shared" si="124"/>
        <v>966</v>
      </c>
      <c r="AE1175" s="263" t="s">
        <v>97</v>
      </c>
      <c r="AF1175" s="263">
        <v>6</v>
      </c>
      <c r="AG1175" s="257">
        <v>2</v>
      </c>
      <c r="AH1175" s="257" t="s">
        <v>98</v>
      </c>
      <c r="AI1175" s="257" t="s">
        <v>985</v>
      </c>
      <c r="AJ1175" s="257">
        <v>-9999</v>
      </c>
      <c r="AK1175" s="257" t="s">
        <v>99</v>
      </c>
      <c r="AL1175" s="257" t="s">
        <v>828</v>
      </c>
      <c r="AM1175" s="257">
        <v>-9999</v>
      </c>
      <c r="AN1175" s="257" t="s">
        <v>631</v>
      </c>
      <c r="AO1175" s="257">
        <v>-9999</v>
      </c>
      <c r="AP1175" s="257">
        <v>-9999</v>
      </c>
      <c r="AQ1175" s="257" t="s">
        <v>631</v>
      </c>
      <c r="AR1175" s="257">
        <v>0</v>
      </c>
      <c r="AS1175" s="257">
        <v>-9999</v>
      </c>
      <c r="AT1175" s="257">
        <v>-9999</v>
      </c>
      <c r="AU1175" s="257">
        <v>0</v>
      </c>
      <c r="AV1175" s="257">
        <v>-9999</v>
      </c>
      <c r="AW1175" s="257"/>
      <c r="AX1175" s="257">
        <v>0</v>
      </c>
      <c r="AY1175" s="257">
        <v>-9999</v>
      </c>
      <c r="AZ1175" s="257">
        <v>-9999</v>
      </c>
      <c r="BA1175" s="257" t="s">
        <v>100</v>
      </c>
      <c r="BB1175" s="257" t="s">
        <v>626</v>
      </c>
      <c r="BC1175" s="257" t="s">
        <v>101</v>
      </c>
      <c r="BD1175" s="257" t="s">
        <v>102</v>
      </c>
      <c r="BE1175" s="257" t="s">
        <v>103</v>
      </c>
      <c r="BF1175" s="257" t="s">
        <v>104</v>
      </c>
      <c r="BG1175" s="257" t="s">
        <v>105</v>
      </c>
      <c r="BH1175" s="257" t="s">
        <v>106</v>
      </c>
      <c r="BI1175" s="257">
        <v>-9999</v>
      </c>
      <c r="BJ1175" s="257">
        <v>-9999</v>
      </c>
      <c r="BK1175" s="257">
        <v>-9999</v>
      </c>
      <c r="BL1175" s="602">
        <v>6.07</v>
      </c>
      <c r="BM1175" s="257">
        <v>-9999</v>
      </c>
      <c r="BN1175" s="602">
        <v>5.7</v>
      </c>
      <c r="BO1175" s="257">
        <v>-9999</v>
      </c>
      <c r="BP1175" s="257">
        <v>-9999</v>
      </c>
      <c r="BQ1175" s="257">
        <v>-9999</v>
      </c>
      <c r="BR1175" s="257">
        <v>-9999</v>
      </c>
      <c r="BS1175" s="263">
        <v>-9999</v>
      </c>
      <c r="BT1175" s="257">
        <v>-9999</v>
      </c>
      <c r="BU1175" s="257">
        <v>-9999</v>
      </c>
      <c r="BV1175" s="257">
        <v>-9999</v>
      </c>
      <c r="BW1175" s="257"/>
      <c r="BX1175" s="257">
        <v>-9999</v>
      </c>
      <c r="BY1175" s="257">
        <v>-9999</v>
      </c>
      <c r="BZ1175" s="257">
        <v>-9999</v>
      </c>
      <c r="CA1175" s="300" t="s">
        <v>107</v>
      </c>
      <c r="CB1175" s="264" t="s">
        <v>561</v>
      </c>
      <c r="CC1175" s="263">
        <v>1</v>
      </c>
      <c r="CD1175" s="263">
        <v>4</v>
      </c>
      <c r="CE1175" s="292">
        <v>6.4524999999999997</v>
      </c>
      <c r="CF1175" s="292">
        <v>11.27</v>
      </c>
      <c r="CG1175" s="44">
        <v>4</v>
      </c>
    </row>
    <row r="1176" spans="1:1873" s="215" customFormat="1" ht="12.75" customHeight="1" x14ac:dyDescent="0.25">
      <c r="A1176" s="260" t="s">
        <v>560</v>
      </c>
      <c r="B1176" s="260" t="s">
        <v>1268</v>
      </c>
      <c r="C1176" s="260" t="s">
        <v>96</v>
      </c>
      <c r="D1176" s="259" t="s">
        <v>1400</v>
      </c>
      <c r="E1176" s="259" t="s">
        <v>855</v>
      </c>
      <c r="F1176" s="260">
        <v>1</v>
      </c>
      <c r="G1176" s="260">
        <v>5</v>
      </c>
      <c r="H1176" s="260">
        <v>5</v>
      </c>
      <c r="I1176" s="259" t="s">
        <v>856</v>
      </c>
      <c r="J1176" s="259">
        <v>1982</v>
      </c>
      <c r="K1176" s="259" t="s">
        <v>1211</v>
      </c>
      <c r="L1176" s="258">
        <v>1986</v>
      </c>
      <c r="M1176" s="288">
        <v>-9999</v>
      </c>
      <c r="N1176" s="259">
        <v>-9999</v>
      </c>
      <c r="O1176" s="18"/>
      <c r="P1176" s="288">
        <v>51.2</v>
      </c>
      <c r="Q1176" s="259">
        <v>-9999</v>
      </c>
      <c r="R1176" s="288"/>
      <c r="S1176" s="259"/>
      <c r="T1176" s="590">
        <f t="shared" si="123"/>
        <v>10.24</v>
      </c>
      <c r="U1176" s="259">
        <v>-9999</v>
      </c>
      <c r="V1176" s="259"/>
      <c r="W1176" s="610">
        <f>+P1176-P1175</f>
        <v>25.390000000000004</v>
      </c>
      <c r="X1176" s="259">
        <v>-9999</v>
      </c>
      <c r="Y1176" s="259"/>
      <c r="Z1176" s="259" t="s">
        <v>1706</v>
      </c>
      <c r="AA1176" s="259">
        <v>5382</v>
      </c>
      <c r="AB1176" s="288">
        <v>0.87</v>
      </c>
      <c r="AC1176" s="259">
        <v>10.3</v>
      </c>
      <c r="AD1176" s="288">
        <f t="shared" si="124"/>
        <v>966</v>
      </c>
      <c r="AE1176" s="260" t="s">
        <v>97</v>
      </c>
      <c r="AF1176" s="260">
        <v>6</v>
      </c>
      <c r="AG1176" s="259">
        <v>2</v>
      </c>
      <c r="AH1176" s="259" t="s">
        <v>98</v>
      </c>
      <c r="AI1176" s="259" t="s">
        <v>985</v>
      </c>
      <c r="AJ1176" s="259">
        <v>-9999</v>
      </c>
      <c r="AK1176" s="259" t="s">
        <v>99</v>
      </c>
      <c r="AL1176" s="259" t="s">
        <v>828</v>
      </c>
      <c r="AM1176" s="259">
        <v>-9999</v>
      </c>
      <c r="AN1176" s="259" t="s">
        <v>631</v>
      </c>
      <c r="AO1176" s="259">
        <v>-9999</v>
      </c>
      <c r="AP1176" s="259">
        <v>-9999</v>
      </c>
      <c r="AQ1176" s="259" t="s">
        <v>631</v>
      </c>
      <c r="AR1176" s="259">
        <v>0</v>
      </c>
      <c r="AS1176" s="259">
        <v>-9999</v>
      </c>
      <c r="AT1176" s="259">
        <v>-9999</v>
      </c>
      <c r="AU1176" s="259">
        <v>0</v>
      </c>
      <c r="AV1176" s="259">
        <v>-9999</v>
      </c>
      <c r="AW1176" s="259"/>
      <c r="AX1176" s="259">
        <v>0</v>
      </c>
      <c r="AY1176" s="259">
        <v>-9999</v>
      </c>
      <c r="AZ1176" s="259">
        <v>-9999</v>
      </c>
      <c r="BA1176" s="259" t="s">
        <v>100</v>
      </c>
      <c r="BB1176" s="259" t="s">
        <v>626</v>
      </c>
      <c r="BC1176" s="259" t="s">
        <v>101</v>
      </c>
      <c r="BD1176" s="259" t="s">
        <v>102</v>
      </c>
      <c r="BE1176" s="259" t="s">
        <v>103</v>
      </c>
      <c r="BF1176" s="259" t="s">
        <v>104</v>
      </c>
      <c r="BG1176" s="259" t="s">
        <v>105</v>
      </c>
      <c r="BH1176" s="259" t="s">
        <v>106</v>
      </c>
      <c r="BI1176" s="259">
        <v>-9999</v>
      </c>
      <c r="BJ1176" s="259">
        <v>-9999</v>
      </c>
      <c r="BK1176" s="259">
        <v>-9999</v>
      </c>
      <c r="BL1176" s="288">
        <v>6.9</v>
      </c>
      <c r="BM1176" s="259">
        <v>-9999</v>
      </c>
      <c r="BN1176" s="288">
        <v>6.1</v>
      </c>
      <c r="BO1176" s="259">
        <v>-9999</v>
      </c>
      <c r="BP1176" s="259">
        <v>-9999</v>
      </c>
      <c r="BQ1176" s="259">
        <v>-9999</v>
      </c>
      <c r="BR1176" s="259">
        <v>-9999</v>
      </c>
      <c r="BS1176" s="260">
        <v>-9999</v>
      </c>
      <c r="BT1176" s="259">
        <v>-9999</v>
      </c>
      <c r="BU1176" s="259">
        <v>-9999</v>
      </c>
      <c r="BV1176" s="259">
        <v>-9999</v>
      </c>
      <c r="BW1176" s="259"/>
      <c r="BX1176" s="259">
        <v>-9999</v>
      </c>
      <c r="BY1176" s="259">
        <v>-9999</v>
      </c>
      <c r="BZ1176" s="259">
        <v>-9999</v>
      </c>
      <c r="CA1176" s="337" t="s">
        <v>107</v>
      </c>
      <c r="CB1176" s="592" t="s">
        <v>108</v>
      </c>
      <c r="CC1176" s="260">
        <v>1</v>
      </c>
      <c r="CD1176" s="260">
        <v>5</v>
      </c>
      <c r="CE1176" s="395">
        <v>10.24</v>
      </c>
      <c r="CF1176" s="99">
        <v>25.390000000000004</v>
      </c>
      <c r="CG1176" s="212">
        <v>5</v>
      </c>
      <c r="CH1176" s="437" t="s">
        <v>1757</v>
      </c>
      <c r="CI1176" s="13"/>
      <c r="CJ1176" s="13"/>
      <c r="CK1176" s="13"/>
      <c r="CL1176" s="13"/>
      <c r="CM1176" s="13"/>
      <c r="CN1176" s="13"/>
      <c r="CO1176" s="13"/>
      <c r="CP1176" s="13"/>
      <c r="CQ1176" s="13"/>
      <c r="CR1176" s="13"/>
      <c r="CS1176" s="13"/>
      <c r="CT1176" s="13"/>
      <c r="CU1176" s="13"/>
      <c r="CV1176" s="13"/>
      <c r="CW1176" s="13"/>
      <c r="CX1176" s="13"/>
      <c r="CY1176" s="13"/>
      <c r="CZ1176" s="13"/>
      <c r="DA1176" s="13"/>
      <c r="DB1176" s="13"/>
      <c r="DC1176" s="13"/>
      <c r="DD1176" s="13"/>
      <c r="DE1176" s="13"/>
      <c r="DF1176" s="13"/>
      <c r="DG1176" s="13"/>
      <c r="DH1176" s="13"/>
      <c r="DI1176" s="13"/>
      <c r="DJ1176" s="13"/>
      <c r="DK1176" s="13"/>
      <c r="DL1176" s="13"/>
      <c r="DM1176" s="13"/>
      <c r="DN1176" s="13"/>
      <c r="DO1176" s="13"/>
      <c r="DP1176" s="13"/>
      <c r="DQ1176" s="13"/>
      <c r="DR1176" s="13"/>
      <c r="DS1176" s="13"/>
      <c r="DT1176" s="13"/>
      <c r="DU1176" s="13"/>
      <c r="DV1176" s="13"/>
      <c r="DW1176" s="13"/>
      <c r="DX1176" s="13"/>
      <c r="DY1176" s="13"/>
      <c r="DZ1176" s="13"/>
      <c r="EA1176" s="13"/>
      <c r="EB1176" s="13"/>
      <c r="EC1176" s="13"/>
      <c r="ED1176" s="13"/>
      <c r="EE1176" s="13"/>
      <c r="EF1176" s="13"/>
      <c r="EG1176" s="13"/>
      <c r="EH1176" s="13"/>
      <c r="EI1176" s="13"/>
      <c r="EJ1176" s="13"/>
      <c r="EK1176" s="13"/>
      <c r="EL1176" s="13"/>
      <c r="EM1176" s="13"/>
      <c r="EN1176" s="13"/>
      <c r="EO1176" s="13"/>
      <c r="EP1176" s="13"/>
      <c r="EQ1176" s="13"/>
      <c r="ER1176" s="13"/>
      <c r="ES1176" s="13"/>
      <c r="ET1176" s="13"/>
      <c r="EU1176" s="13"/>
      <c r="EV1176" s="13"/>
      <c r="EW1176" s="13"/>
      <c r="EX1176" s="13"/>
      <c r="EY1176" s="13"/>
      <c r="EZ1176" s="13"/>
      <c r="FA1176" s="13"/>
      <c r="FB1176" s="13"/>
      <c r="FC1176" s="13"/>
      <c r="FD1176" s="13"/>
      <c r="FE1176" s="13"/>
      <c r="FF1176" s="13"/>
      <c r="FG1176" s="13"/>
      <c r="FH1176" s="13"/>
      <c r="FI1176" s="13"/>
      <c r="FJ1176" s="13"/>
      <c r="FK1176" s="13"/>
      <c r="FL1176" s="13"/>
      <c r="FM1176" s="13"/>
      <c r="FN1176" s="13"/>
      <c r="FO1176" s="13"/>
      <c r="FP1176" s="13"/>
      <c r="FQ1176" s="13"/>
      <c r="FR1176" s="13"/>
      <c r="FS1176" s="13"/>
      <c r="FT1176" s="13"/>
      <c r="FU1176" s="13"/>
      <c r="FV1176" s="13"/>
      <c r="FW1176" s="13"/>
      <c r="FX1176" s="13"/>
      <c r="FY1176" s="13"/>
      <c r="FZ1176" s="13"/>
      <c r="GA1176" s="13"/>
      <c r="GB1176" s="13"/>
      <c r="GC1176" s="13"/>
      <c r="GD1176" s="13"/>
      <c r="GE1176" s="13"/>
      <c r="GF1176" s="13"/>
      <c r="GG1176" s="13"/>
      <c r="GH1176" s="13"/>
      <c r="GI1176" s="13"/>
      <c r="GJ1176" s="13"/>
      <c r="GK1176" s="13"/>
      <c r="GL1176" s="13"/>
      <c r="GM1176" s="13"/>
      <c r="GN1176" s="13"/>
      <c r="GO1176" s="13"/>
      <c r="GP1176" s="13"/>
      <c r="GQ1176" s="13"/>
      <c r="GR1176" s="13"/>
      <c r="GS1176" s="13"/>
      <c r="GT1176" s="13"/>
      <c r="GU1176" s="13"/>
      <c r="GV1176" s="13"/>
      <c r="GW1176" s="13"/>
      <c r="GX1176" s="13"/>
      <c r="GY1176" s="13"/>
      <c r="GZ1176" s="13"/>
      <c r="HA1176" s="13"/>
      <c r="HB1176" s="13"/>
      <c r="HC1176" s="13"/>
      <c r="HD1176" s="13"/>
      <c r="HE1176" s="13"/>
      <c r="HF1176" s="13"/>
      <c r="HG1176" s="13"/>
      <c r="HH1176" s="13"/>
      <c r="HI1176" s="13"/>
      <c r="HJ1176" s="13"/>
      <c r="HK1176" s="13"/>
      <c r="HL1176" s="13"/>
      <c r="HM1176" s="13"/>
      <c r="HN1176" s="13"/>
      <c r="HO1176" s="13"/>
      <c r="HP1176" s="13"/>
      <c r="HQ1176" s="13"/>
      <c r="HR1176" s="13"/>
      <c r="HS1176" s="13"/>
      <c r="HT1176" s="13"/>
      <c r="HU1176" s="13"/>
      <c r="HV1176" s="13"/>
      <c r="HW1176" s="13"/>
      <c r="HX1176" s="13"/>
      <c r="HY1176" s="13"/>
      <c r="HZ1176" s="13"/>
      <c r="IA1176" s="13"/>
      <c r="IB1176" s="13"/>
      <c r="IC1176" s="13"/>
      <c r="ID1176" s="13"/>
      <c r="IE1176" s="13"/>
      <c r="IF1176" s="13"/>
      <c r="IG1176" s="13"/>
      <c r="IH1176" s="13"/>
      <c r="II1176" s="13"/>
      <c r="IJ1176" s="13"/>
      <c r="IK1176" s="13"/>
      <c r="IL1176" s="13"/>
      <c r="IM1176" s="13"/>
      <c r="IN1176" s="13"/>
      <c r="IO1176" s="13"/>
      <c r="IP1176" s="13"/>
      <c r="IQ1176" s="13"/>
      <c r="IR1176" s="13"/>
      <c r="IS1176" s="13"/>
      <c r="IT1176" s="13"/>
      <c r="IU1176" s="13"/>
      <c r="IV1176" s="13"/>
      <c r="IW1176" s="13"/>
      <c r="IX1176" s="13"/>
      <c r="IY1176" s="13"/>
      <c r="IZ1176" s="13"/>
      <c r="JA1176" s="13"/>
      <c r="JB1176" s="13"/>
      <c r="JC1176" s="13"/>
      <c r="JD1176" s="13"/>
      <c r="JE1176" s="13"/>
      <c r="JF1176" s="13"/>
      <c r="JG1176" s="13"/>
      <c r="JH1176" s="13"/>
      <c r="JI1176" s="13"/>
      <c r="JJ1176" s="13"/>
      <c r="JK1176" s="13"/>
      <c r="JL1176" s="13"/>
      <c r="JM1176" s="13"/>
      <c r="JN1176" s="13"/>
      <c r="JO1176" s="13"/>
      <c r="JP1176" s="13"/>
      <c r="JQ1176" s="13"/>
      <c r="JR1176" s="13"/>
      <c r="JS1176" s="13"/>
      <c r="JT1176" s="13"/>
      <c r="JU1176" s="13"/>
      <c r="JV1176" s="13"/>
      <c r="JW1176" s="13"/>
      <c r="JX1176" s="13"/>
      <c r="JY1176" s="13"/>
      <c r="JZ1176" s="13"/>
      <c r="KA1176" s="13"/>
      <c r="KB1176" s="13"/>
      <c r="KC1176" s="13"/>
      <c r="KD1176" s="13"/>
      <c r="KE1176" s="13"/>
      <c r="KF1176" s="13"/>
      <c r="KG1176" s="13"/>
      <c r="KH1176" s="13"/>
      <c r="KI1176" s="13"/>
      <c r="KJ1176" s="13"/>
      <c r="KK1176" s="13"/>
      <c r="KL1176" s="13"/>
      <c r="KM1176" s="13"/>
      <c r="KN1176" s="13"/>
      <c r="KO1176" s="13"/>
      <c r="KP1176" s="13"/>
      <c r="KQ1176" s="13"/>
      <c r="KR1176" s="13"/>
      <c r="KS1176" s="13"/>
      <c r="KT1176" s="13"/>
      <c r="KU1176" s="13"/>
      <c r="KV1176" s="13"/>
      <c r="KW1176" s="13"/>
      <c r="KX1176" s="13"/>
      <c r="KY1176" s="13"/>
      <c r="KZ1176" s="13"/>
      <c r="LA1176" s="13"/>
      <c r="LB1176" s="13"/>
      <c r="LC1176" s="13"/>
      <c r="LD1176" s="13"/>
      <c r="LE1176" s="13"/>
      <c r="LF1176" s="13"/>
      <c r="LG1176" s="13"/>
      <c r="LH1176" s="13"/>
      <c r="LI1176" s="13"/>
      <c r="LJ1176" s="13"/>
      <c r="LK1176" s="13"/>
      <c r="LL1176" s="13"/>
      <c r="LM1176" s="13"/>
      <c r="LN1176" s="13"/>
      <c r="LO1176" s="13"/>
      <c r="LP1176" s="13"/>
      <c r="LQ1176" s="13"/>
      <c r="LR1176" s="13"/>
      <c r="LS1176" s="13"/>
      <c r="LT1176" s="13"/>
      <c r="LU1176" s="13"/>
      <c r="LV1176" s="13"/>
      <c r="LW1176" s="13"/>
      <c r="LX1176" s="13"/>
      <c r="LY1176" s="13"/>
      <c r="LZ1176" s="13"/>
      <c r="MA1176" s="13"/>
      <c r="MB1176" s="13"/>
      <c r="MC1176" s="13"/>
      <c r="MD1176" s="13"/>
      <c r="ME1176" s="13"/>
      <c r="MF1176" s="13"/>
      <c r="MG1176" s="13"/>
      <c r="MH1176" s="13"/>
      <c r="MI1176" s="13"/>
      <c r="MJ1176" s="13"/>
      <c r="MK1176" s="13"/>
      <c r="ML1176" s="13"/>
      <c r="MM1176" s="13"/>
      <c r="MN1176" s="13"/>
      <c r="MO1176" s="13"/>
      <c r="MP1176" s="13"/>
      <c r="MQ1176" s="13"/>
      <c r="MR1176" s="13"/>
      <c r="MS1176" s="13"/>
      <c r="MT1176" s="13"/>
      <c r="MU1176" s="13"/>
      <c r="MV1176" s="13"/>
      <c r="MW1176" s="13"/>
      <c r="MX1176" s="13"/>
      <c r="MY1176" s="13"/>
      <c r="MZ1176" s="13"/>
      <c r="NA1176" s="13"/>
      <c r="NB1176" s="13"/>
      <c r="NC1176" s="13"/>
      <c r="ND1176" s="13"/>
      <c r="NE1176" s="13"/>
      <c r="NF1176" s="13"/>
      <c r="NG1176" s="13"/>
      <c r="NH1176" s="13"/>
      <c r="NI1176" s="13"/>
      <c r="NJ1176" s="13"/>
      <c r="NK1176" s="13"/>
      <c r="NL1176" s="13"/>
      <c r="NM1176" s="13"/>
      <c r="NN1176" s="13"/>
      <c r="NO1176" s="13"/>
      <c r="NP1176" s="13"/>
      <c r="NQ1176" s="13"/>
      <c r="NR1176" s="13"/>
      <c r="NS1176" s="13"/>
      <c r="NT1176" s="13"/>
      <c r="NU1176" s="13"/>
      <c r="NV1176" s="13"/>
      <c r="NW1176" s="13"/>
      <c r="NX1176" s="13"/>
      <c r="NY1176" s="13"/>
      <c r="NZ1176" s="13"/>
      <c r="OA1176" s="13"/>
      <c r="OB1176" s="13"/>
      <c r="OC1176" s="13"/>
      <c r="OD1176" s="13"/>
      <c r="OE1176" s="13"/>
      <c r="OF1176" s="13"/>
      <c r="OG1176" s="13"/>
      <c r="OH1176" s="13"/>
      <c r="OI1176" s="13"/>
      <c r="OJ1176" s="13"/>
      <c r="OK1176" s="13"/>
      <c r="OL1176" s="13"/>
      <c r="OM1176" s="13"/>
      <c r="ON1176" s="13"/>
      <c r="OO1176" s="13"/>
      <c r="OP1176" s="13"/>
      <c r="OQ1176" s="13"/>
      <c r="OR1176" s="13"/>
      <c r="OS1176" s="13"/>
      <c r="OT1176" s="13"/>
      <c r="OU1176" s="13"/>
      <c r="OV1176" s="13"/>
      <c r="OW1176" s="13"/>
      <c r="OX1176" s="13"/>
      <c r="OY1176" s="13"/>
      <c r="OZ1176" s="13"/>
      <c r="PA1176" s="13"/>
      <c r="PB1176" s="13"/>
      <c r="PC1176" s="13"/>
      <c r="PD1176" s="13"/>
      <c r="PE1176" s="13"/>
      <c r="PF1176" s="13"/>
      <c r="PG1176" s="13"/>
      <c r="PH1176" s="13"/>
      <c r="PI1176" s="13"/>
      <c r="PJ1176" s="13"/>
      <c r="PK1176" s="13"/>
      <c r="PL1176" s="13"/>
      <c r="PM1176" s="13"/>
      <c r="PN1176" s="13"/>
      <c r="PO1176" s="13"/>
      <c r="PP1176" s="13"/>
      <c r="PQ1176" s="13"/>
      <c r="PR1176" s="13"/>
      <c r="PS1176" s="13"/>
      <c r="PT1176" s="13"/>
      <c r="PU1176" s="13"/>
      <c r="PV1176" s="13"/>
      <c r="PW1176" s="13"/>
      <c r="PX1176" s="13"/>
      <c r="PY1176" s="13"/>
      <c r="PZ1176" s="13"/>
      <c r="QA1176" s="13"/>
      <c r="QB1176" s="13"/>
      <c r="QC1176" s="13"/>
      <c r="QD1176" s="13"/>
      <c r="QE1176" s="13"/>
      <c r="QF1176" s="13"/>
      <c r="QG1176" s="13"/>
      <c r="QH1176" s="13"/>
      <c r="QI1176" s="13"/>
      <c r="QJ1176" s="13"/>
      <c r="QK1176" s="13"/>
      <c r="QL1176" s="13"/>
      <c r="QM1176" s="13"/>
      <c r="QN1176" s="13"/>
      <c r="QO1176" s="13"/>
      <c r="QP1176" s="13"/>
      <c r="QQ1176" s="13"/>
      <c r="QR1176" s="13"/>
      <c r="QS1176" s="13"/>
      <c r="QT1176" s="13"/>
      <c r="QU1176" s="13"/>
      <c r="QV1176" s="13"/>
      <c r="QW1176" s="13"/>
      <c r="QX1176" s="13"/>
      <c r="QY1176" s="13"/>
      <c r="QZ1176" s="13"/>
      <c r="RA1176" s="13"/>
      <c r="RB1176" s="13"/>
      <c r="RC1176" s="13"/>
      <c r="RD1176" s="13"/>
      <c r="RE1176" s="13"/>
      <c r="RF1176" s="13"/>
      <c r="RG1176" s="13"/>
      <c r="RH1176" s="13"/>
      <c r="RI1176" s="13"/>
      <c r="RJ1176" s="13"/>
      <c r="RK1176" s="13"/>
      <c r="RL1176" s="13"/>
      <c r="RM1176" s="13"/>
      <c r="RN1176" s="13"/>
      <c r="RO1176" s="13"/>
      <c r="RP1176" s="13"/>
      <c r="RQ1176" s="13"/>
      <c r="RR1176" s="13"/>
      <c r="RS1176" s="13"/>
      <c r="RT1176" s="13"/>
      <c r="RU1176" s="13"/>
      <c r="RV1176" s="13"/>
      <c r="RW1176" s="13"/>
      <c r="RX1176" s="13"/>
      <c r="RY1176" s="13"/>
      <c r="RZ1176" s="13"/>
      <c r="SA1176" s="13"/>
      <c r="SB1176" s="13"/>
      <c r="SC1176" s="13"/>
      <c r="SD1176" s="13"/>
      <c r="SE1176" s="13"/>
      <c r="SF1176" s="13"/>
      <c r="SG1176" s="13"/>
      <c r="SH1176" s="13"/>
      <c r="SI1176" s="13"/>
      <c r="SJ1176" s="13"/>
      <c r="SK1176" s="13"/>
      <c r="SL1176" s="13"/>
      <c r="SM1176" s="13"/>
      <c r="SN1176" s="13"/>
      <c r="SO1176" s="13"/>
      <c r="SP1176" s="13"/>
      <c r="SQ1176" s="13"/>
      <c r="SR1176" s="13"/>
      <c r="SS1176" s="13"/>
      <c r="ST1176" s="13"/>
      <c r="SU1176" s="13"/>
      <c r="SV1176" s="13"/>
      <c r="SW1176" s="13"/>
      <c r="SX1176" s="13"/>
      <c r="SY1176" s="13"/>
      <c r="SZ1176" s="13"/>
      <c r="TA1176" s="13"/>
      <c r="TB1176" s="13"/>
      <c r="TC1176" s="13"/>
      <c r="TD1176" s="13"/>
      <c r="TE1176" s="13"/>
      <c r="TF1176" s="13"/>
      <c r="TG1176" s="13"/>
      <c r="TH1176" s="13"/>
      <c r="TI1176" s="13"/>
      <c r="TJ1176" s="13"/>
      <c r="TK1176" s="13"/>
      <c r="TL1176" s="13"/>
      <c r="TM1176" s="13"/>
      <c r="TN1176" s="13"/>
      <c r="TO1176" s="13"/>
      <c r="TP1176" s="13"/>
      <c r="TQ1176" s="13"/>
      <c r="TR1176" s="13"/>
      <c r="TS1176" s="13"/>
      <c r="TT1176" s="13"/>
      <c r="TU1176" s="13"/>
      <c r="TV1176" s="13"/>
      <c r="TW1176" s="13"/>
      <c r="TX1176" s="13"/>
      <c r="TY1176" s="13"/>
      <c r="TZ1176" s="13"/>
      <c r="UA1176" s="13"/>
      <c r="UB1176" s="13"/>
      <c r="UC1176" s="13"/>
      <c r="UD1176" s="13"/>
      <c r="UE1176" s="13"/>
      <c r="UF1176" s="13"/>
      <c r="UG1176" s="13"/>
      <c r="UH1176" s="13"/>
      <c r="UI1176" s="13"/>
      <c r="UJ1176" s="13"/>
      <c r="UK1176" s="13"/>
      <c r="UL1176" s="13"/>
      <c r="UM1176" s="13"/>
      <c r="UN1176" s="13"/>
      <c r="UO1176" s="13"/>
      <c r="UP1176" s="13"/>
      <c r="UQ1176" s="13"/>
      <c r="UR1176" s="13"/>
      <c r="US1176" s="13"/>
      <c r="UT1176" s="13"/>
      <c r="UU1176" s="13"/>
      <c r="UV1176" s="13"/>
      <c r="UW1176" s="13"/>
      <c r="UX1176" s="13"/>
      <c r="UY1176" s="13"/>
      <c r="UZ1176" s="13"/>
      <c r="VA1176" s="13"/>
      <c r="VB1176" s="13"/>
      <c r="VC1176" s="13"/>
      <c r="VD1176" s="13"/>
      <c r="VE1176" s="13"/>
      <c r="VF1176" s="13"/>
      <c r="VG1176" s="13"/>
      <c r="VH1176" s="13"/>
      <c r="VI1176" s="13"/>
      <c r="VJ1176" s="13"/>
      <c r="VK1176" s="13"/>
      <c r="VL1176" s="13"/>
      <c r="VM1176" s="13"/>
      <c r="VN1176" s="13"/>
      <c r="VO1176" s="13"/>
      <c r="VP1176" s="13"/>
      <c r="VQ1176" s="13"/>
      <c r="VR1176" s="13"/>
      <c r="VS1176" s="13"/>
      <c r="VT1176" s="13"/>
      <c r="VU1176" s="13"/>
      <c r="VV1176" s="13"/>
      <c r="VW1176" s="13"/>
      <c r="VX1176" s="13"/>
      <c r="VY1176" s="13"/>
      <c r="VZ1176" s="13"/>
      <c r="WA1176" s="13"/>
      <c r="WB1176" s="13"/>
      <c r="WC1176" s="13"/>
      <c r="WD1176" s="13"/>
      <c r="WE1176" s="13"/>
      <c r="WF1176" s="13"/>
      <c r="WG1176" s="13"/>
      <c r="WH1176" s="13"/>
      <c r="WI1176" s="13"/>
      <c r="WJ1176" s="13"/>
      <c r="WK1176" s="13"/>
      <c r="WL1176" s="13"/>
      <c r="WM1176" s="13"/>
      <c r="WN1176" s="13"/>
      <c r="WO1176" s="13"/>
      <c r="WP1176" s="13"/>
      <c r="WQ1176" s="13"/>
      <c r="WR1176" s="13"/>
      <c r="WS1176" s="13"/>
      <c r="WT1176" s="13"/>
      <c r="WU1176" s="13"/>
      <c r="WV1176" s="13"/>
      <c r="WW1176" s="13"/>
      <c r="WX1176" s="13"/>
      <c r="WY1176" s="13"/>
      <c r="WZ1176" s="13"/>
      <c r="XA1176" s="13"/>
      <c r="XB1176" s="13"/>
      <c r="XC1176" s="13"/>
      <c r="XD1176" s="13"/>
      <c r="XE1176" s="13"/>
      <c r="XF1176" s="13"/>
      <c r="XG1176" s="13"/>
      <c r="XH1176" s="13"/>
      <c r="XI1176" s="13"/>
      <c r="XJ1176" s="13"/>
      <c r="XK1176" s="13"/>
      <c r="XL1176" s="13"/>
      <c r="XM1176" s="13"/>
      <c r="XN1176" s="13"/>
      <c r="XO1176" s="13"/>
      <c r="XP1176" s="13"/>
      <c r="XQ1176" s="13"/>
      <c r="XR1176" s="13"/>
      <c r="XS1176" s="13"/>
      <c r="XT1176" s="13"/>
      <c r="XU1176" s="13"/>
      <c r="XV1176" s="13"/>
      <c r="XW1176" s="13"/>
      <c r="XX1176" s="13"/>
      <c r="XY1176" s="13"/>
      <c r="XZ1176" s="13"/>
      <c r="YA1176" s="13"/>
      <c r="YB1176" s="13"/>
      <c r="YC1176" s="13"/>
      <c r="YD1176" s="13"/>
      <c r="YE1176" s="13"/>
      <c r="YF1176" s="13"/>
      <c r="YG1176" s="13"/>
      <c r="YH1176" s="13"/>
      <c r="YI1176" s="13"/>
      <c r="YJ1176" s="13"/>
      <c r="YK1176" s="13"/>
      <c r="YL1176" s="13"/>
      <c r="YM1176" s="13"/>
      <c r="YN1176" s="13"/>
      <c r="YO1176" s="13"/>
      <c r="YP1176" s="13"/>
      <c r="YQ1176" s="13"/>
      <c r="YR1176" s="13"/>
      <c r="YS1176" s="13"/>
      <c r="YT1176" s="13"/>
      <c r="YU1176" s="13"/>
      <c r="YV1176" s="13"/>
      <c r="YW1176" s="13"/>
      <c r="YX1176" s="13"/>
      <c r="YY1176" s="13"/>
      <c r="YZ1176" s="13"/>
      <c r="ZA1176" s="13"/>
      <c r="ZB1176" s="13"/>
      <c r="ZC1176" s="13"/>
      <c r="ZD1176" s="13"/>
      <c r="ZE1176" s="13"/>
      <c r="ZF1176" s="13"/>
      <c r="ZG1176" s="13"/>
      <c r="ZH1176" s="13"/>
      <c r="ZI1176" s="13"/>
      <c r="ZJ1176" s="13"/>
      <c r="ZK1176" s="13"/>
      <c r="ZL1176" s="13"/>
      <c r="ZM1176" s="13"/>
      <c r="ZN1176" s="13"/>
      <c r="ZO1176" s="13"/>
      <c r="ZP1176" s="13"/>
      <c r="ZQ1176" s="13"/>
      <c r="ZR1176" s="13"/>
      <c r="ZS1176" s="13"/>
      <c r="ZT1176" s="13"/>
      <c r="ZU1176" s="13"/>
      <c r="ZV1176" s="13"/>
      <c r="ZW1176" s="13"/>
      <c r="ZX1176" s="13"/>
      <c r="ZY1176" s="13"/>
      <c r="ZZ1176" s="13"/>
      <c r="AAA1176" s="13"/>
      <c r="AAB1176" s="13"/>
      <c r="AAC1176" s="13"/>
      <c r="AAD1176" s="13"/>
      <c r="AAE1176" s="13"/>
      <c r="AAF1176" s="13"/>
      <c r="AAG1176" s="13"/>
      <c r="AAH1176" s="13"/>
      <c r="AAI1176" s="13"/>
      <c r="AAJ1176" s="13"/>
      <c r="AAK1176" s="13"/>
      <c r="AAL1176" s="13"/>
      <c r="AAM1176" s="13"/>
      <c r="AAN1176" s="13"/>
      <c r="AAO1176" s="13"/>
      <c r="AAP1176" s="13"/>
      <c r="AAQ1176" s="13"/>
      <c r="AAR1176" s="13"/>
      <c r="AAS1176" s="13"/>
      <c r="AAT1176" s="13"/>
      <c r="AAU1176" s="13"/>
      <c r="AAV1176" s="13"/>
      <c r="AAW1176" s="13"/>
      <c r="AAX1176" s="13"/>
      <c r="AAY1176" s="13"/>
      <c r="AAZ1176" s="13"/>
      <c r="ABA1176" s="13"/>
      <c r="ABB1176" s="13"/>
      <c r="ABC1176" s="13"/>
      <c r="ABD1176" s="13"/>
      <c r="ABE1176" s="13"/>
      <c r="ABF1176" s="13"/>
      <c r="ABG1176" s="13"/>
      <c r="ABH1176" s="13"/>
      <c r="ABI1176" s="13"/>
      <c r="ABJ1176" s="13"/>
      <c r="ABK1176" s="13"/>
      <c r="ABL1176" s="13"/>
      <c r="ABM1176" s="13"/>
      <c r="ABN1176" s="13"/>
      <c r="ABO1176" s="13"/>
      <c r="ABP1176" s="13"/>
      <c r="ABQ1176" s="13"/>
      <c r="ABR1176" s="13"/>
      <c r="ABS1176" s="13"/>
      <c r="ABT1176" s="13"/>
      <c r="ABU1176" s="13"/>
      <c r="ABV1176" s="13"/>
      <c r="ABW1176" s="13"/>
      <c r="ABX1176" s="13"/>
      <c r="ABY1176" s="13"/>
      <c r="ABZ1176" s="13"/>
      <c r="ACA1176" s="13"/>
      <c r="ACB1176" s="13"/>
      <c r="ACC1176" s="13"/>
      <c r="ACD1176" s="13"/>
      <c r="ACE1176" s="13"/>
      <c r="ACF1176" s="13"/>
      <c r="ACG1176" s="13"/>
      <c r="ACH1176" s="13"/>
      <c r="ACI1176" s="13"/>
      <c r="ACJ1176" s="13"/>
      <c r="ACK1176" s="13"/>
      <c r="ACL1176" s="13"/>
      <c r="ACM1176" s="13"/>
      <c r="ACN1176" s="13"/>
      <c r="ACO1176" s="13"/>
      <c r="ACP1176" s="13"/>
      <c r="ACQ1176" s="13"/>
      <c r="ACR1176" s="13"/>
      <c r="ACS1176" s="13"/>
      <c r="ACT1176" s="13"/>
      <c r="ACU1176" s="13"/>
      <c r="ACV1176" s="13"/>
      <c r="ACW1176" s="13"/>
      <c r="ACX1176" s="13"/>
      <c r="ACY1176" s="13"/>
      <c r="ACZ1176" s="13"/>
      <c r="ADA1176" s="13"/>
      <c r="ADB1176" s="13"/>
      <c r="ADC1176" s="13"/>
      <c r="ADD1176" s="13"/>
      <c r="ADE1176" s="13"/>
      <c r="ADF1176" s="13"/>
      <c r="ADG1176" s="13"/>
      <c r="ADH1176" s="13"/>
      <c r="ADI1176" s="13"/>
      <c r="ADJ1176" s="13"/>
      <c r="ADK1176" s="13"/>
      <c r="ADL1176" s="13"/>
      <c r="ADM1176" s="13"/>
      <c r="ADN1176" s="13"/>
      <c r="ADO1176" s="13"/>
      <c r="ADP1176" s="13"/>
      <c r="ADQ1176" s="13"/>
      <c r="ADR1176" s="13"/>
      <c r="ADS1176" s="13"/>
      <c r="ADT1176" s="13"/>
      <c r="ADU1176" s="13"/>
      <c r="ADV1176" s="13"/>
      <c r="ADW1176" s="13"/>
      <c r="ADX1176" s="13"/>
      <c r="ADY1176" s="13"/>
      <c r="ADZ1176" s="13"/>
      <c r="AEA1176" s="13"/>
      <c r="AEB1176" s="13"/>
      <c r="AEC1176" s="13"/>
      <c r="AED1176" s="13"/>
      <c r="AEE1176" s="13"/>
      <c r="AEF1176" s="13"/>
      <c r="AEG1176" s="13"/>
      <c r="AEH1176" s="13"/>
      <c r="AEI1176" s="13"/>
      <c r="AEJ1176" s="13"/>
      <c r="AEK1176" s="13"/>
      <c r="AEL1176" s="13"/>
      <c r="AEM1176" s="13"/>
      <c r="AEN1176" s="13"/>
      <c r="AEO1176" s="13"/>
      <c r="AEP1176" s="13"/>
      <c r="AEQ1176" s="13"/>
      <c r="AER1176" s="13"/>
      <c r="AES1176" s="13"/>
      <c r="AET1176" s="13"/>
      <c r="AEU1176" s="13"/>
      <c r="AEV1176" s="13"/>
      <c r="AEW1176" s="13"/>
      <c r="AEX1176" s="13"/>
      <c r="AEY1176" s="13"/>
      <c r="AEZ1176" s="13"/>
      <c r="AFA1176" s="13"/>
      <c r="AFB1176" s="13"/>
      <c r="AFC1176" s="13"/>
      <c r="AFD1176" s="13"/>
      <c r="AFE1176" s="13"/>
      <c r="AFF1176" s="13"/>
      <c r="AFG1176" s="13"/>
      <c r="AFH1176" s="13"/>
      <c r="AFI1176" s="13"/>
      <c r="AFJ1176" s="13"/>
      <c r="AFK1176" s="13"/>
      <c r="AFL1176" s="13"/>
      <c r="AFM1176" s="13"/>
      <c r="AFN1176" s="13"/>
      <c r="AFO1176" s="13"/>
      <c r="AFP1176" s="13"/>
      <c r="AFQ1176" s="13"/>
      <c r="AFR1176" s="13"/>
      <c r="AFS1176" s="13"/>
      <c r="AFT1176" s="13"/>
      <c r="AFU1176" s="13"/>
      <c r="AFV1176" s="13"/>
      <c r="AFW1176" s="13"/>
      <c r="AFX1176" s="13"/>
      <c r="AFY1176" s="13"/>
      <c r="AFZ1176" s="13"/>
      <c r="AGA1176" s="13"/>
      <c r="AGB1176" s="13"/>
      <c r="AGC1176" s="13"/>
      <c r="AGD1176" s="13"/>
      <c r="AGE1176" s="13"/>
      <c r="AGF1176" s="13"/>
      <c r="AGG1176" s="13"/>
      <c r="AGH1176" s="13"/>
      <c r="AGI1176" s="13"/>
      <c r="AGJ1176" s="13"/>
      <c r="AGK1176" s="13"/>
      <c r="AGL1176" s="13"/>
      <c r="AGM1176" s="13"/>
      <c r="AGN1176" s="13"/>
      <c r="AGO1176" s="13"/>
      <c r="AGP1176" s="13"/>
      <c r="AGQ1176" s="13"/>
      <c r="AGR1176" s="13"/>
      <c r="AGS1176" s="13"/>
      <c r="AGT1176" s="13"/>
      <c r="AGU1176" s="13"/>
      <c r="AGV1176" s="13"/>
      <c r="AGW1176" s="13"/>
      <c r="AGX1176" s="13"/>
      <c r="AGY1176" s="13"/>
      <c r="AGZ1176" s="13"/>
      <c r="AHA1176" s="13"/>
      <c r="AHB1176" s="13"/>
      <c r="AHC1176" s="13"/>
      <c r="AHD1176" s="13"/>
      <c r="AHE1176" s="13"/>
      <c r="AHF1176" s="13"/>
      <c r="AHG1176" s="13"/>
      <c r="AHH1176" s="13"/>
      <c r="AHI1176" s="13"/>
      <c r="AHJ1176" s="13"/>
      <c r="AHK1176" s="13"/>
      <c r="AHL1176" s="13"/>
      <c r="AHM1176" s="13"/>
      <c r="AHN1176" s="13"/>
      <c r="AHO1176" s="13"/>
      <c r="AHP1176" s="13"/>
      <c r="AHQ1176" s="13"/>
      <c r="AHR1176" s="13"/>
      <c r="AHS1176" s="13"/>
      <c r="AHT1176" s="13"/>
      <c r="AHU1176" s="13"/>
      <c r="AHV1176" s="13"/>
      <c r="AHW1176" s="13"/>
      <c r="AHX1176" s="13"/>
      <c r="AHY1176" s="13"/>
      <c r="AHZ1176" s="13"/>
      <c r="AIA1176" s="13"/>
      <c r="AIB1176" s="13"/>
      <c r="AIC1176" s="13"/>
      <c r="AID1176" s="13"/>
      <c r="AIE1176" s="13"/>
      <c r="AIF1176" s="13"/>
      <c r="AIG1176" s="13"/>
      <c r="AIH1176" s="13"/>
      <c r="AII1176" s="13"/>
      <c r="AIJ1176" s="13"/>
      <c r="AIK1176" s="13"/>
      <c r="AIL1176" s="13"/>
      <c r="AIM1176" s="13"/>
      <c r="AIN1176" s="13"/>
      <c r="AIO1176" s="13"/>
      <c r="AIP1176" s="13"/>
      <c r="AIQ1176" s="13"/>
      <c r="AIR1176" s="13"/>
      <c r="AIS1176" s="13"/>
      <c r="AIT1176" s="13"/>
      <c r="AIU1176" s="13"/>
      <c r="AIV1176" s="13"/>
      <c r="AIW1176" s="13"/>
      <c r="AIX1176" s="13"/>
      <c r="AIY1176" s="13"/>
      <c r="AIZ1176" s="13"/>
      <c r="AJA1176" s="13"/>
      <c r="AJB1176" s="13"/>
      <c r="AJC1176" s="13"/>
      <c r="AJD1176" s="13"/>
      <c r="AJE1176" s="13"/>
      <c r="AJF1176" s="13"/>
      <c r="AJG1176" s="13"/>
      <c r="AJH1176" s="13"/>
      <c r="AJI1176" s="13"/>
      <c r="AJJ1176" s="13"/>
      <c r="AJK1176" s="13"/>
      <c r="AJL1176" s="13"/>
      <c r="AJM1176" s="13"/>
      <c r="AJN1176" s="13"/>
      <c r="AJO1176" s="13"/>
      <c r="AJP1176" s="13"/>
      <c r="AJQ1176" s="13"/>
      <c r="AJR1176" s="13"/>
      <c r="AJS1176" s="13"/>
      <c r="AJT1176" s="13"/>
      <c r="AJU1176" s="13"/>
      <c r="AJV1176" s="13"/>
      <c r="AJW1176" s="13"/>
      <c r="AJX1176" s="13"/>
      <c r="AJY1176" s="13"/>
      <c r="AJZ1176" s="13"/>
      <c r="AKA1176" s="13"/>
      <c r="AKB1176" s="13"/>
      <c r="AKC1176" s="13"/>
      <c r="AKD1176" s="13"/>
      <c r="AKE1176" s="13"/>
      <c r="AKF1176" s="13"/>
      <c r="AKG1176" s="13"/>
      <c r="AKH1176" s="13"/>
      <c r="AKI1176" s="13"/>
      <c r="AKJ1176" s="13"/>
      <c r="AKK1176" s="13"/>
      <c r="AKL1176" s="13"/>
      <c r="AKM1176" s="13"/>
      <c r="AKN1176" s="13"/>
      <c r="AKO1176" s="13"/>
      <c r="AKP1176" s="13"/>
      <c r="AKQ1176" s="13"/>
      <c r="AKR1176" s="13"/>
      <c r="AKS1176" s="13"/>
      <c r="AKT1176" s="13"/>
      <c r="AKU1176" s="13"/>
      <c r="AKV1176" s="13"/>
      <c r="AKW1176" s="13"/>
      <c r="AKX1176" s="13"/>
      <c r="AKY1176" s="13"/>
      <c r="AKZ1176" s="13"/>
      <c r="ALA1176" s="13"/>
      <c r="ALB1176" s="13"/>
      <c r="ALC1176" s="13"/>
      <c r="ALD1176" s="13"/>
      <c r="ALE1176" s="13"/>
      <c r="ALF1176" s="13"/>
      <c r="ALG1176" s="13"/>
      <c r="ALH1176" s="13"/>
      <c r="ALI1176" s="13"/>
      <c r="ALJ1176" s="13"/>
      <c r="ALK1176" s="13"/>
      <c r="ALL1176" s="13"/>
      <c r="ALM1176" s="13"/>
      <c r="ALN1176" s="13"/>
      <c r="ALO1176" s="13"/>
      <c r="ALP1176" s="13"/>
      <c r="ALQ1176" s="13"/>
      <c r="ALR1176" s="13"/>
      <c r="ALS1176" s="13"/>
      <c r="ALT1176" s="13"/>
      <c r="ALU1176" s="13"/>
      <c r="ALV1176" s="13"/>
      <c r="ALW1176" s="13"/>
      <c r="ALX1176" s="13"/>
      <c r="ALY1176" s="13"/>
      <c r="ALZ1176" s="13"/>
      <c r="AMA1176" s="13"/>
      <c r="AMB1176" s="13"/>
      <c r="AMC1176" s="13"/>
      <c r="AMD1176" s="13"/>
      <c r="AME1176" s="13"/>
      <c r="AMF1176" s="13"/>
      <c r="AMG1176" s="13"/>
      <c r="AMH1176" s="13"/>
      <c r="AMI1176" s="13"/>
      <c r="AMJ1176" s="13"/>
      <c r="AMK1176" s="13"/>
      <c r="AML1176" s="13"/>
      <c r="AMM1176" s="13"/>
      <c r="AMN1176" s="13"/>
      <c r="AMO1176" s="13"/>
      <c r="AMP1176" s="13"/>
      <c r="AMQ1176" s="13"/>
      <c r="AMR1176" s="13"/>
      <c r="AMS1176" s="13"/>
      <c r="AMT1176" s="13"/>
      <c r="AMU1176" s="13"/>
      <c r="AMV1176" s="13"/>
      <c r="AMW1176" s="13"/>
      <c r="AMX1176" s="13"/>
      <c r="AMY1176" s="13"/>
      <c r="AMZ1176" s="13"/>
      <c r="ANA1176" s="13"/>
      <c r="ANB1176" s="13"/>
      <c r="ANC1176" s="13"/>
      <c r="AND1176" s="13"/>
      <c r="ANE1176" s="13"/>
      <c r="ANF1176" s="13"/>
      <c r="ANG1176" s="13"/>
      <c r="ANH1176" s="13"/>
      <c r="ANI1176" s="13"/>
      <c r="ANJ1176" s="13"/>
      <c r="ANK1176" s="13"/>
      <c r="ANL1176" s="13"/>
      <c r="ANM1176" s="13"/>
      <c r="ANN1176" s="13"/>
      <c r="ANO1176" s="13"/>
      <c r="ANP1176" s="13"/>
      <c r="ANQ1176" s="13"/>
      <c r="ANR1176" s="13"/>
      <c r="ANS1176" s="13"/>
      <c r="ANT1176" s="13"/>
      <c r="ANU1176" s="13"/>
      <c r="ANV1176" s="13"/>
      <c r="ANW1176" s="13"/>
      <c r="ANX1176" s="13"/>
      <c r="ANY1176" s="13"/>
      <c r="ANZ1176" s="13"/>
      <c r="AOA1176" s="13"/>
      <c r="AOB1176" s="13"/>
      <c r="AOC1176" s="13"/>
      <c r="AOD1176" s="13"/>
      <c r="AOE1176" s="13"/>
      <c r="AOF1176" s="13"/>
      <c r="AOG1176" s="13"/>
      <c r="AOH1176" s="13"/>
      <c r="AOI1176" s="13"/>
      <c r="AOJ1176" s="13"/>
      <c r="AOK1176" s="13"/>
      <c r="AOL1176" s="13"/>
      <c r="AOM1176" s="13"/>
      <c r="AON1176" s="13"/>
      <c r="AOO1176" s="13"/>
      <c r="AOP1176" s="13"/>
      <c r="AOQ1176" s="13"/>
      <c r="AOR1176" s="13"/>
      <c r="AOS1176" s="13"/>
      <c r="AOT1176" s="13"/>
      <c r="AOU1176" s="13"/>
      <c r="AOV1176" s="13"/>
      <c r="AOW1176" s="13"/>
      <c r="AOX1176" s="13"/>
      <c r="AOY1176" s="13"/>
      <c r="AOZ1176" s="13"/>
      <c r="APA1176" s="13"/>
      <c r="APB1176" s="13"/>
      <c r="APC1176" s="13"/>
      <c r="APD1176" s="13"/>
      <c r="APE1176" s="13"/>
      <c r="APF1176" s="13"/>
      <c r="APG1176" s="13"/>
      <c r="APH1176" s="13"/>
      <c r="API1176" s="13"/>
      <c r="APJ1176" s="13"/>
      <c r="APK1176" s="13"/>
      <c r="APL1176" s="13"/>
      <c r="APM1176" s="13"/>
      <c r="APN1176" s="13"/>
      <c r="APO1176" s="13"/>
      <c r="APP1176" s="13"/>
      <c r="APQ1176" s="13"/>
      <c r="APR1176" s="13"/>
      <c r="APS1176" s="13"/>
      <c r="APT1176" s="13"/>
      <c r="APU1176" s="13"/>
      <c r="APV1176" s="13"/>
      <c r="APW1176" s="13"/>
      <c r="APX1176" s="13"/>
      <c r="APY1176" s="13"/>
      <c r="APZ1176" s="13"/>
      <c r="AQA1176" s="13"/>
      <c r="AQB1176" s="13"/>
      <c r="AQC1176" s="13"/>
      <c r="AQD1176" s="13"/>
      <c r="AQE1176" s="13"/>
      <c r="AQF1176" s="13"/>
      <c r="AQG1176" s="13"/>
      <c r="AQH1176" s="13"/>
      <c r="AQI1176" s="13"/>
      <c r="AQJ1176" s="13"/>
      <c r="AQK1176" s="13"/>
      <c r="AQL1176" s="13"/>
      <c r="AQM1176" s="13"/>
      <c r="AQN1176" s="13"/>
      <c r="AQO1176" s="13"/>
      <c r="AQP1176" s="13"/>
      <c r="AQQ1176" s="13"/>
      <c r="AQR1176" s="13"/>
      <c r="AQS1176" s="13"/>
      <c r="AQT1176" s="13"/>
      <c r="AQU1176" s="13"/>
      <c r="AQV1176" s="13"/>
      <c r="AQW1176" s="13"/>
      <c r="AQX1176" s="13"/>
      <c r="AQY1176" s="13"/>
      <c r="AQZ1176" s="13"/>
      <c r="ARA1176" s="13"/>
      <c r="ARB1176" s="13"/>
      <c r="ARC1176" s="13"/>
      <c r="ARD1176" s="13"/>
      <c r="ARE1176" s="13"/>
      <c r="ARF1176" s="13"/>
      <c r="ARG1176" s="13"/>
      <c r="ARH1176" s="13"/>
      <c r="ARI1176" s="13"/>
      <c r="ARJ1176" s="13"/>
      <c r="ARK1176" s="13"/>
      <c r="ARL1176" s="13"/>
      <c r="ARM1176" s="13"/>
      <c r="ARN1176" s="13"/>
      <c r="ARO1176" s="13"/>
      <c r="ARP1176" s="13"/>
      <c r="ARQ1176" s="13"/>
      <c r="ARR1176" s="13"/>
      <c r="ARS1176" s="13"/>
      <c r="ART1176" s="13"/>
      <c r="ARU1176" s="13"/>
      <c r="ARV1176" s="13"/>
      <c r="ARW1176" s="13"/>
      <c r="ARX1176" s="13"/>
      <c r="ARY1176" s="13"/>
      <c r="ARZ1176" s="13"/>
      <c r="ASA1176" s="13"/>
      <c r="ASB1176" s="13"/>
      <c r="ASC1176" s="13"/>
      <c r="ASD1176" s="13"/>
      <c r="ASE1176" s="13"/>
      <c r="ASF1176" s="13"/>
      <c r="ASG1176" s="13"/>
      <c r="ASH1176" s="13"/>
      <c r="ASI1176" s="13"/>
      <c r="ASJ1176" s="13"/>
      <c r="ASK1176" s="13"/>
      <c r="ASL1176" s="13"/>
      <c r="ASM1176" s="13"/>
      <c r="ASN1176" s="13"/>
      <c r="ASO1176" s="13"/>
      <c r="ASP1176" s="13"/>
      <c r="ASQ1176" s="13"/>
      <c r="ASR1176" s="13"/>
      <c r="ASS1176" s="13"/>
      <c r="AST1176" s="13"/>
      <c r="ASU1176" s="13"/>
      <c r="ASV1176" s="13"/>
      <c r="ASW1176" s="13"/>
      <c r="ASX1176" s="13"/>
      <c r="ASY1176" s="13"/>
      <c r="ASZ1176" s="13"/>
      <c r="ATA1176" s="13"/>
      <c r="ATB1176" s="13"/>
      <c r="ATC1176" s="13"/>
      <c r="ATD1176" s="13"/>
      <c r="ATE1176" s="13"/>
      <c r="ATF1176" s="13"/>
      <c r="ATG1176" s="13"/>
      <c r="ATH1176" s="13"/>
      <c r="ATI1176" s="13"/>
      <c r="ATJ1176" s="13"/>
      <c r="ATK1176" s="13"/>
      <c r="ATL1176" s="13"/>
      <c r="ATM1176" s="13"/>
      <c r="ATN1176" s="13"/>
      <c r="ATO1176" s="13"/>
      <c r="ATP1176" s="13"/>
      <c r="ATQ1176" s="13"/>
      <c r="ATR1176" s="13"/>
      <c r="ATS1176" s="13"/>
      <c r="ATT1176" s="13"/>
      <c r="ATU1176" s="13"/>
      <c r="ATV1176" s="13"/>
      <c r="ATW1176" s="13"/>
      <c r="ATX1176" s="13"/>
      <c r="ATY1176" s="13"/>
      <c r="ATZ1176" s="13"/>
      <c r="AUA1176" s="13"/>
      <c r="AUB1176" s="13"/>
      <c r="AUC1176" s="13"/>
      <c r="AUD1176" s="13"/>
      <c r="AUE1176" s="13"/>
      <c r="AUF1176" s="13"/>
      <c r="AUG1176" s="13"/>
      <c r="AUH1176" s="13"/>
      <c r="AUI1176" s="13"/>
      <c r="AUJ1176" s="13"/>
      <c r="AUK1176" s="13"/>
      <c r="AUL1176" s="13"/>
      <c r="AUM1176" s="13"/>
      <c r="AUN1176" s="13"/>
      <c r="AUO1176" s="13"/>
      <c r="AUP1176" s="13"/>
      <c r="AUQ1176" s="13"/>
      <c r="AUR1176" s="13"/>
      <c r="AUS1176" s="13"/>
      <c r="AUT1176" s="13"/>
      <c r="AUU1176" s="13"/>
      <c r="AUV1176" s="13"/>
      <c r="AUW1176" s="13"/>
      <c r="AUX1176" s="13"/>
      <c r="AUY1176" s="13"/>
      <c r="AUZ1176" s="13"/>
      <c r="AVA1176" s="13"/>
      <c r="AVB1176" s="13"/>
      <c r="AVC1176" s="13"/>
      <c r="AVD1176" s="13"/>
      <c r="AVE1176" s="13"/>
      <c r="AVF1176" s="13"/>
      <c r="AVG1176" s="13"/>
      <c r="AVH1176" s="13"/>
      <c r="AVI1176" s="13"/>
      <c r="AVJ1176" s="13"/>
      <c r="AVK1176" s="13"/>
      <c r="AVL1176" s="13"/>
      <c r="AVM1176" s="13"/>
      <c r="AVN1176" s="13"/>
      <c r="AVO1176" s="13"/>
      <c r="AVP1176" s="13"/>
      <c r="AVQ1176" s="13"/>
      <c r="AVR1176" s="13"/>
      <c r="AVS1176" s="13"/>
      <c r="AVT1176" s="13"/>
      <c r="AVU1176" s="13"/>
      <c r="AVV1176" s="13"/>
      <c r="AVW1176" s="13"/>
      <c r="AVX1176" s="13"/>
      <c r="AVY1176" s="13"/>
      <c r="AVZ1176" s="13"/>
      <c r="AWA1176" s="13"/>
      <c r="AWB1176" s="13"/>
      <c r="AWC1176" s="13"/>
      <c r="AWD1176" s="13"/>
      <c r="AWE1176" s="13"/>
      <c r="AWF1176" s="13"/>
      <c r="AWG1176" s="13"/>
      <c r="AWH1176" s="13"/>
      <c r="AWI1176" s="13"/>
      <c r="AWJ1176" s="13"/>
      <c r="AWK1176" s="13"/>
      <c r="AWL1176" s="13"/>
      <c r="AWM1176" s="13"/>
      <c r="AWN1176" s="13"/>
      <c r="AWO1176" s="13"/>
      <c r="AWP1176" s="13"/>
      <c r="AWQ1176" s="13"/>
      <c r="AWR1176" s="13"/>
      <c r="AWS1176" s="13"/>
      <c r="AWT1176" s="13"/>
      <c r="AWU1176" s="13"/>
      <c r="AWV1176" s="13"/>
      <c r="AWW1176" s="13"/>
      <c r="AWX1176" s="13"/>
      <c r="AWY1176" s="13"/>
      <c r="AWZ1176" s="13"/>
      <c r="AXA1176" s="13"/>
      <c r="AXB1176" s="13"/>
      <c r="AXC1176" s="13"/>
      <c r="AXD1176" s="13"/>
      <c r="AXE1176" s="13"/>
      <c r="AXF1176" s="13"/>
      <c r="AXG1176" s="13"/>
      <c r="AXH1176" s="13"/>
      <c r="AXI1176" s="13"/>
      <c r="AXJ1176" s="13"/>
      <c r="AXK1176" s="13"/>
      <c r="AXL1176" s="13"/>
      <c r="AXM1176" s="13"/>
      <c r="AXN1176" s="13"/>
      <c r="AXO1176" s="13"/>
      <c r="AXP1176" s="13"/>
      <c r="AXQ1176" s="13"/>
      <c r="AXR1176" s="13"/>
      <c r="AXS1176" s="13"/>
      <c r="AXT1176" s="13"/>
      <c r="AXU1176" s="13"/>
      <c r="AXV1176" s="13"/>
      <c r="AXW1176" s="13"/>
      <c r="AXX1176" s="13"/>
      <c r="AXY1176" s="13"/>
      <c r="AXZ1176" s="13"/>
      <c r="AYA1176" s="13"/>
      <c r="AYB1176" s="13"/>
      <c r="AYC1176" s="13"/>
      <c r="AYD1176" s="13"/>
      <c r="AYE1176" s="13"/>
      <c r="AYF1176" s="13"/>
      <c r="AYG1176" s="13"/>
      <c r="AYH1176" s="13"/>
      <c r="AYI1176" s="13"/>
      <c r="AYJ1176" s="13"/>
      <c r="AYK1176" s="13"/>
      <c r="AYL1176" s="13"/>
      <c r="AYM1176" s="13"/>
      <c r="AYN1176" s="13"/>
      <c r="AYO1176" s="13"/>
      <c r="AYP1176" s="13"/>
      <c r="AYQ1176" s="13"/>
      <c r="AYR1176" s="13"/>
      <c r="AYS1176" s="13"/>
      <c r="AYT1176" s="13"/>
      <c r="AYU1176" s="13"/>
      <c r="AYV1176" s="13"/>
      <c r="AYW1176" s="13"/>
      <c r="AYX1176" s="13"/>
      <c r="AYY1176" s="13"/>
      <c r="AYZ1176" s="13"/>
      <c r="AZA1176" s="13"/>
      <c r="AZB1176" s="13"/>
      <c r="AZC1176" s="13"/>
      <c r="AZD1176" s="13"/>
      <c r="AZE1176" s="13"/>
      <c r="AZF1176" s="13"/>
      <c r="AZG1176" s="13"/>
      <c r="AZH1176" s="13"/>
      <c r="AZI1176" s="13"/>
      <c r="AZJ1176" s="13"/>
      <c r="AZK1176" s="13"/>
      <c r="AZL1176" s="13"/>
      <c r="AZM1176" s="13"/>
      <c r="AZN1176" s="13"/>
      <c r="AZO1176" s="13"/>
      <c r="AZP1176" s="13"/>
      <c r="AZQ1176" s="13"/>
      <c r="AZR1176" s="13"/>
      <c r="AZS1176" s="13"/>
      <c r="AZT1176" s="13"/>
      <c r="AZU1176" s="13"/>
      <c r="AZV1176" s="13"/>
      <c r="AZW1176" s="13"/>
      <c r="AZX1176" s="13"/>
      <c r="AZY1176" s="13"/>
      <c r="AZZ1176" s="13"/>
      <c r="BAA1176" s="13"/>
      <c r="BAB1176" s="13"/>
      <c r="BAC1176" s="13"/>
      <c r="BAD1176" s="13"/>
      <c r="BAE1176" s="13"/>
      <c r="BAF1176" s="13"/>
      <c r="BAG1176" s="13"/>
      <c r="BAH1176" s="13"/>
      <c r="BAI1176" s="13"/>
      <c r="BAJ1176" s="13"/>
      <c r="BAK1176" s="13"/>
      <c r="BAL1176" s="13"/>
      <c r="BAM1176" s="13"/>
      <c r="BAN1176" s="13"/>
      <c r="BAO1176" s="13"/>
      <c r="BAP1176" s="13"/>
      <c r="BAQ1176" s="13"/>
      <c r="BAR1176" s="13"/>
      <c r="BAS1176" s="13"/>
      <c r="BAT1176" s="13"/>
      <c r="BAU1176" s="13"/>
      <c r="BAV1176" s="13"/>
      <c r="BAW1176" s="13"/>
      <c r="BAX1176" s="13"/>
      <c r="BAY1176" s="13"/>
      <c r="BAZ1176" s="13"/>
      <c r="BBA1176" s="13"/>
      <c r="BBB1176" s="13"/>
      <c r="BBC1176" s="13"/>
      <c r="BBD1176" s="13"/>
      <c r="BBE1176" s="13"/>
      <c r="BBF1176" s="13"/>
      <c r="BBG1176" s="13"/>
      <c r="BBH1176" s="13"/>
      <c r="BBI1176" s="13"/>
      <c r="BBJ1176" s="13"/>
      <c r="BBK1176" s="13"/>
      <c r="BBL1176" s="13"/>
      <c r="BBM1176" s="13"/>
      <c r="BBN1176" s="13"/>
      <c r="BBO1176" s="13"/>
      <c r="BBP1176" s="13"/>
      <c r="BBQ1176" s="13"/>
      <c r="BBR1176" s="13"/>
      <c r="BBS1176" s="13"/>
      <c r="BBT1176" s="13"/>
      <c r="BBU1176" s="13"/>
      <c r="BBV1176" s="13"/>
      <c r="BBW1176" s="13"/>
      <c r="BBX1176" s="13"/>
      <c r="BBY1176" s="13"/>
      <c r="BBZ1176" s="13"/>
      <c r="BCA1176" s="13"/>
      <c r="BCB1176" s="13"/>
      <c r="BCC1176" s="13"/>
      <c r="BCD1176" s="13"/>
      <c r="BCE1176" s="13"/>
      <c r="BCF1176" s="13"/>
      <c r="BCG1176" s="13"/>
      <c r="BCH1176" s="13"/>
      <c r="BCI1176" s="13"/>
      <c r="BCJ1176" s="13"/>
      <c r="BCK1176" s="13"/>
      <c r="BCL1176" s="13"/>
      <c r="BCM1176" s="13"/>
      <c r="BCN1176" s="13"/>
      <c r="BCO1176" s="13"/>
      <c r="BCP1176" s="13"/>
      <c r="BCQ1176" s="13"/>
      <c r="BCR1176" s="13"/>
      <c r="BCS1176" s="13"/>
      <c r="BCT1176" s="13"/>
      <c r="BCU1176" s="13"/>
      <c r="BCV1176" s="13"/>
      <c r="BCW1176" s="13"/>
      <c r="BCX1176" s="13"/>
      <c r="BCY1176" s="13"/>
      <c r="BCZ1176" s="13"/>
      <c r="BDA1176" s="13"/>
      <c r="BDB1176" s="13"/>
      <c r="BDC1176" s="13"/>
      <c r="BDD1176" s="13"/>
      <c r="BDE1176" s="13"/>
      <c r="BDF1176" s="13"/>
      <c r="BDG1176" s="13"/>
      <c r="BDH1176" s="13"/>
      <c r="BDI1176" s="13"/>
      <c r="BDJ1176" s="13"/>
      <c r="BDK1176" s="13"/>
      <c r="BDL1176" s="13"/>
      <c r="BDM1176" s="13"/>
      <c r="BDN1176" s="13"/>
      <c r="BDO1176" s="13"/>
      <c r="BDP1176" s="13"/>
      <c r="BDQ1176" s="13"/>
      <c r="BDR1176" s="13"/>
      <c r="BDS1176" s="13"/>
      <c r="BDT1176" s="13"/>
      <c r="BDU1176" s="13"/>
      <c r="BDV1176" s="13"/>
      <c r="BDW1176" s="13"/>
      <c r="BDX1176" s="13"/>
      <c r="BDY1176" s="13"/>
      <c r="BDZ1176" s="13"/>
      <c r="BEA1176" s="13"/>
      <c r="BEB1176" s="13"/>
      <c r="BEC1176" s="13"/>
      <c r="BED1176" s="13"/>
      <c r="BEE1176" s="13"/>
      <c r="BEF1176" s="13"/>
      <c r="BEG1176" s="13"/>
      <c r="BEH1176" s="13"/>
      <c r="BEI1176" s="13"/>
      <c r="BEJ1176" s="13"/>
      <c r="BEK1176" s="13"/>
      <c r="BEL1176" s="13"/>
      <c r="BEM1176" s="13"/>
      <c r="BEN1176" s="13"/>
      <c r="BEO1176" s="13"/>
      <c r="BEP1176" s="13"/>
      <c r="BEQ1176" s="13"/>
      <c r="BER1176" s="13"/>
      <c r="BES1176" s="13"/>
      <c r="BET1176" s="13"/>
      <c r="BEU1176" s="13"/>
      <c r="BEV1176" s="13"/>
      <c r="BEW1176" s="13"/>
      <c r="BEX1176" s="13"/>
      <c r="BEY1176" s="13"/>
      <c r="BEZ1176" s="13"/>
      <c r="BFA1176" s="13"/>
      <c r="BFB1176" s="13"/>
      <c r="BFC1176" s="13"/>
      <c r="BFD1176" s="13"/>
      <c r="BFE1176" s="13"/>
      <c r="BFF1176" s="13"/>
      <c r="BFG1176" s="13"/>
      <c r="BFH1176" s="13"/>
      <c r="BFI1176" s="13"/>
      <c r="BFJ1176" s="13"/>
      <c r="BFK1176" s="13"/>
      <c r="BFL1176" s="13"/>
      <c r="BFM1176" s="13"/>
      <c r="BFN1176" s="13"/>
      <c r="BFO1176" s="13"/>
      <c r="BFP1176" s="13"/>
      <c r="BFQ1176" s="13"/>
      <c r="BFR1176" s="13"/>
      <c r="BFS1176" s="13"/>
      <c r="BFT1176" s="13"/>
      <c r="BFU1176" s="13"/>
      <c r="BFV1176" s="13"/>
      <c r="BFW1176" s="13"/>
      <c r="BFX1176" s="13"/>
      <c r="BFY1176" s="13"/>
      <c r="BFZ1176" s="13"/>
      <c r="BGA1176" s="13"/>
      <c r="BGB1176" s="13"/>
      <c r="BGC1176" s="13"/>
      <c r="BGD1176" s="13"/>
      <c r="BGE1176" s="13"/>
      <c r="BGF1176" s="13"/>
      <c r="BGG1176" s="13"/>
      <c r="BGH1176" s="13"/>
      <c r="BGI1176" s="13"/>
      <c r="BGJ1176" s="13"/>
      <c r="BGK1176" s="13"/>
      <c r="BGL1176" s="13"/>
      <c r="BGM1176" s="13"/>
      <c r="BGN1176" s="13"/>
      <c r="BGO1176" s="13"/>
      <c r="BGP1176" s="13"/>
      <c r="BGQ1176" s="13"/>
      <c r="BGR1176" s="13"/>
      <c r="BGS1176" s="13"/>
      <c r="BGT1176" s="13"/>
      <c r="BGU1176" s="13"/>
      <c r="BGV1176" s="13"/>
      <c r="BGW1176" s="13"/>
      <c r="BGX1176" s="13"/>
      <c r="BGY1176" s="13"/>
      <c r="BGZ1176" s="13"/>
      <c r="BHA1176" s="13"/>
      <c r="BHB1176" s="13"/>
      <c r="BHC1176" s="13"/>
      <c r="BHD1176" s="13"/>
      <c r="BHE1176" s="13"/>
      <c r="BHF1176" s="13"/>
      <c r="BHG1176" s="13"/>
      <c r="BHH1176" s="13"/>
      <c r="BHI1176" s="13"/>
      <c r="BHJ1176" s="13"/>
      <c r="BHK1176" s="13"/>
      <c r="BHL1176" s="13"/>
      <c r="BHM1176" s="13"/>
      <c r="BHN1176" s="13"/>
      <c r="BHO1176" s="13"/>
      <c r="BHP1176" s="13"/>
      <c r="BHQ1176" s="13"/>
      <c r="BHR1176" s="13"/>
      <c r="BHS1176" s="13"/>
      <c r="BHT1176" s="13"/>
      <c r="BHU1176" s="13"/>
      <c r="BHV1176" s="13"/>
      <c r="BHW1176" s="13"/>
      <c r="BHX1176" s="13"/>
      <c r="BHY1176" s="13"/>
      <c r="BHZ1176" s="13"/>
      <c r="BIA1176" s="13"/>
      <c r="BIB1176" s="13"/>
      <c r="BIC1176" s="13"/>
      <c r="BID1176" s="13"/>
      <c r="BIE1176" s="13"/>
      <c r="BIF1176" s="13"/>
      <c r="BIG1176" s="13"/>
      <c r="BIH1176" s="13"/>
      <c r="BII1176" s="13"/>
      <c r="BIJ1176" s="13"/>
      <c r="BIK1176" s="13"/>
      <c r="BIL1176" s="13"/>
      <c r="BIM1176" s="13"/>
      <c r="BIN1176" s="13"/>
      <c r="BIO1176" s="13"/>
      <c r="BIP1176" s="13"/>
      <c r="BIQ1176" s="13"/>
      <c r="BIR1176" s="13"/>
      <c r="BIS1176" s="13"/>
      <c r="BIT1176" s="13"/>
      <c r="BIU1176" s="13"/>
      <c r="BIV1176" s="13"/>
      <c r="BIW1176" s="13"/>
      <c r="BIX1176" s="13"/>
      <c r="BIY1176" s="13"/>
      <c r="BIZ1176" s="13"/>
      <c r="BJA1176" s="13"/>
      <c r="BJB1176" s="13"/>
      <c r="BJC1176" s="13"/>
      <c r="BJD1176" s="13"/>
      <c r="BJE1176" s="13"/>
      <c r="BJF1176" s="13"/>
      <c r="BJG1176" s="13"/>
      <c r="BJH1176" s="13"/>
      <c r="BJI1176" s="13"/>
      <c r="BJJ1176" s="13"/>
      <c r="BJK1176" s="13"/>
      <c r="BJL1176" s="13"/>
      <c r="BJM1176" s="13"/>
      <c r="BJN1176" s="13"/>
      <c r="BJO1176" s="13"/>
      <c r="BJP1176" s="13"/>
      <c r="BJQ1176" s="13"/>
      <c r="BJR1176" s="13"/>
      <c r="BJS1176" s="13"/>
      <c r="BJT1176" s="13"/>
      <c r="BJU1176" s="13"/>
      <c r="BJV1176" s="13"/>
      <c r="BJW1176" s="13"/>
      <c r="BJX1176" s="13"/>
      <c r="BJY1176" s="13"/>
      <c r="BJZ1176" s="13"/>
      <c r="BKA1176" s="13"/>
      <c r="BKB1176" s="13"/>
      <c r="BKC1176" s="13"/>
      <c r="BKD1176" s="13"/>
      <c r="BKE1176" s="13"/>
      <c r="BKF1176" s="13"/>
      <c r="BKG1176" s="13"/>
      <c r="BKH1176" s="13"/>
      <c r="BKI1176" s="13"/>
      <c r="BKJ1176" s="13"/>
      <c r="BKK1176" s="13"/>
      <c r="BKL1176" s="13"/>
      <c r="BKM1176" s="13"/>
      <c r="BKN1176" s="13"/>
      <c r="BKO1176" s="13"/>
      <c r="BKP1176" s="13"/>
      <c r="BKQ1176" s="13"/>
      <c r="BKR1176" s="13"/>
      <c r="BKS1176" s="13"/>
      <c r="BKT1176" s="13"/>
      <c r="BKU1176" s="13"/>
      <c r="BKV1176" s="13"/>
      <c r="BKW1176" s="13"/>
      <c r="BKX1176" s="13"/>
      <c r="BKY1176" s="13"/>
      <c r="BKZ1176" s="13"/>
      <c r="BLA1176" s="13"/>
      <c r="BLB1176" s="13"/>
      <c r="BLC1176" s="13"/>
      <c r="BLD1176" s="13"/>
      <c r="BLE1176" s="13"/>
      <c r="BLF1176" s="13"/>
      <c r="BLG1176" s="13"/>
      <c r="BLH1176" s="13"/>
      <c r="BLI1176" s="13"/>
      <c r="BLJ1176" s="13"/>
      <c r="BLK1176" s="13"/>
      <c r="BLL1176" s="13"/>
      <c r="BLM1176" s="13"/>
      <c r="BLN1176" s="13"/>
      <c r="BLO1176" s="13"/>
      <c r="BLP1176" s="13"/>
      <c r="BLQ1176" s="13"/>
      <c r="BLR1176" s="13"/>
      <c r="BLS1176" s="13"/>
      <c r="BLT1176" s="13"/>
      <c r="BLU1176" s="13"/>
      <c r="BLV1176" s="13"/>
      <c r="BLW1176" s="13"/>
      <c r="BLX1176" s="13"/>
      <c r="BLY1176" s="13"/>
      <c r="BLZ1176" s="13"/>
      <c r="BMA1176" s="13"/>
      <c r="BMB1176" s="13"/>
      <c r="BMC1176" s="13"/>
      <c r="BMD1176" s="13"/>
      <c r="BME1176" s="13"/>
      <c r="BMF1176" s="13"/>
      <c r="BMG1176" s="13"/>
      <c r="BMH1176" s="13"/>
      <c r="BMI1176" s="13"/>
      <c r="BMJ1176" s="13"/>
      <c r="BMK1176" s="13"/>
      <c r="BML1176" s="13"/>
      <c r="BMM1176" s="13"/>
      <c r="BMN1176" s="13"/>
      <c r="BMO1176" s="13"/>
      <c r="BMP1176" s="13"/>
      <c r="BMQ1176" s="13"/>
      <c r="BMR1176" s="13"/>
      <c r="BMS1176" s="13"/>
      <c r="BMT1176" s="13"/>
      <c r="BMU1176" s="13"/>
      <c r="BMV1176" s="13"/>
      <c r="BMW1176" s="13"/>
      <c r="BMX1176" s="13"/>
      <c r="BMY1176" s="13"/>
      <c r="BMZ1176" s="13"/>
      <c r="BNA1176" s="13"/>
      <c r="BNB1176" s="13"/>
      <c r="BNC1176" s="13"/>
      <c r="BND1176" s="13"/>
      <c r="BNE1176" s="13"/>
      <c r="BNF1176" s="13"/>
      <c r="BNG1176" s="13"/>
      <c r="BNH1176" s="13"/>
      <c r="BNI1176" s="13"/>
      <c r="BNJ1176" s="13"/>
      <c r="BNK1176" s="13"/>
      <c r="BNL1176" s="13"/>
      <c r="BNM1176" s="13"/>
      <c r="BNN1176" s="13"/>
      <c r="BNO1176" s="13"/>
      <c r="BNP1176" s="13"/>
      <c r="BNQ1176" s="13"/>
      <c r="BNR1176" s="13"/>
      <c r="BNS1176" s="13"/>
      <c r="BNT1176" s="13"/>
      <c r="BNU1176" s="13"/>
      <c r="BNV1176" s="13"/>
      <c r="BNW1176" s="13"/>
      <c r="BNX1176" s="13"/>
      <c r="BNY1176" s="13"/>
      <c r="BNZ1176" s="13"/>
      <c r="BOA1176" s="13"/>
      <c r="BOB1176" s="13"/>
      <c r="BOC1176" s="13"/>
      <c r="BOD1176" s="13"/>
      <c r="BOE1176" s="13"/>
      <c r="BOF1176" s="13"/>
      <c r="BOG1176" s="13"/>
      <c r="BOH1176" s="13"/>
      <c r="BOI1176" s="13"/>
      <c r="BOJ1176" s="13"/>
      <c r="BOK1176" s="13"/>
      <c r="BOL1176" s="13"/>
      <c r="BOM1176" s="13"/>
      <c r="BON1176" s="13"/>
      <c r="BOO1176" s="13"/>
      <c r="BOP1176" s="13"/>
      <c r="BOQ1176" s="13"/>
      <c r="BOR1176" s="13"/>
      <c r="BOS1176" s="13"/>
      <c r="BOT1176" s="13"/>
      <c r="BOU1176" s="13"/>
      <c r="BOV1176" s="13"/>
      <c r="BOW1176" s="13"/>
      <c r="BOX1176" s="13"/>
      <c r="BOY1176" s="13"/>
      <c r="BOZ1176" s="13"/>
      <c r="BPA1176" s="13"/>
      <c r="BPB1176" s="13"/>
      <c r="BPC1176" s="13"/>
      <c r="BPD1176" s="13"/>
      <c r="BPE1176" s="13"/>
      <c r="BPF1176" s="13"/>
      <c r="BPG1176" s="13"/>
      <c r="BPH1176" s="13"/>
      <c r="BPI1176" s="13"/>
      <c r="BPJ1176" s="13"/>
      <c r="BPK1176" s="13"/>
      <c r="BPL1176" s="13"/>
      <c r="BPM1176" s="13"/>
      <c r="BPN1176" s="13"/>
      <c r="BPO1176" s="13"/>
      <c r="BPP1176" s="13"/>
      <c r="BPQ1176" s="13"/>
      <c r="BPR1176" s="13"/>
      <c r="BPS1176" s="13"/>
      <c r="BPT1176" s="13"/>
      <c r="BPU1176" s="13"/>
      <c r="BPV1176" s="13"/>
      <c r="BPW1176" s="13"/>
      <c r="BPX1176" s="13"/>
      <c r="BPY1176" s="13"/>
      <c r="BPZ1176" s="13"/>
      <c r="BQA1176" s="13"/>
      <c r="BQB1176" s="13"/>
      <c r="BQC1176" s="13"/>
      <c r="BQD1176" s="13"/>
      <c r="BQE1176" s="13"/>
      <c r="BQF1176" s="13"/>
      <c r="BQG1176" s="13"/>
      <c r="BQH1176" s="13"/>
      <c r="BQI1176" s="13"/>
      <c r="BQJ1176" s="13"/>
      <c r="BQK1176" s="13"/>
      <c r="BQL1176" s="13"/>
      <c r="BQM1176" s="13"/>
      <c r="BQN1176" s="13"/>
      <c r="BQO1176" s="13"/>
      <c r="BQP1176" s="13"/>
      <c r="BQQ1176" s="13"/>
      <c r="BQR1176" s="13"/>
      <c r="BQS1176" s="13"/>
      <c r="BQT1176" s="13"/>
      <c r="BQU1176" s="13"/>
      <c r="BQV1176" s="13"/>
      <c r="BQW1176" s="13"/>
      <c r="BQX1176" s="13"/>
      <c r="BQY1176" s="13"/>
      <c r="BQZ1176" s="13"/>
      <c r="BRA1176" s="13"/>
      <c r="BRB1176" s="13"/>
      <c r="BRC1176" s="13"/>
      <c r="BRD1176" s="13"/>
      <c r="BRE1176" s="13"/>
      <c r="BRF1176" s="13"/>
      <c r="BRG1176" s="13"/>
      <c r="BRH1176" s="13"/>
      <c r="BRI1176" s="13"/>
      <c r="BRJ1176" s="13"/>
      <c r="BRK1176" s="13"/>
      <c r="BRL1176" s="13"/>
      <c r="BRM1176" s="13"/>
      <c r="BRN1176" s="13"/>
      <c r="BRO1176" s="13"/>
      <c r="BRP1176" s="13"/>
      <c r="BRQ1176" s="13"/>
      <c r="BRR1176" s="13"/>
      <c r="BRS1176" s="13"/>
      <c r="BRT1176" s="13"/>
      <c r="BRU1176" s="13"/>
      <c r="BRV1176" s="13"/>
      <c r="BRW1176" s="13"/>
      <c r="BRX1176" s="13"/>
      <c r="BRY1176" s="13"/>
      <c r="BRZ1176" s="13"/>
      <c r="BSA1176" s="13"/>
      <c r="BSB1176" s="13"/>
      <c r="BSC1176" s="13"/>
      <c r="BSD1176" s="13"/>
      <c r="BSE1176" s="13"/>
      <c r="BSF1176" s="13"/>
      <c r="BSG1176" s="13"/>
      <c r="BSH1176" s="13"/>
      <c r="BSI1176" s="13"/>
      <c r="BSJ1176" s="13"/>
      <c r="BSK1176" s="13"/>
      <c r="BSL1176" s="13"/>
      <c r="BSM1176" s="13"/>
      <c r="BSN1176" s="13"/>
      <c r="BSO1176" s="13"/>
      <c r="BSP1176" s="13"/>
      <c r="BSQ1176" s="13"/>
      <c r="BSR1176" s="13"/>
      <c r="BSS1176" s="13"/>
      <c r="BST1176" s="13"/>
      <c r="BSU1176" s="13"/>
      <c r="BSV1176" s="13"/>
      <c r="BSW1176" s="13"/>
      <c r="BSX1176" s="13"/>
      <c r="BSY1176" s="13"/>
      <c r="BSZ1176" s="13"/>
      <c r="BTA1176" s="13"/>
    </row>
    <row r="1177" spans="1:1873" s="23" customFormat="1" ht="12.75" customHeight="1" x14ac:dyDescent="0.25">
      <c r="A1177" s="263" t="s">
        <v>560</v>
      </c>
      <c r="B1177" s="263" t="s">
        <v>1268</v>
      </c>
      <c r="C1177" s="263" t="s">
        <v>96</v>
      </c>
      <c r="D1177" s="257" t="s">
        <v>1400</v>
      </c>
      <c r="E1177" s="257" t="s">
        <v>855</v>
      </c>
      <c r="F1177" s="600">
        <v>1</v>
      </c>
      <c r="G1177" s="600">
        <v>6</v>
      </c>
      <c r="H1177" s="600">
        <v>6</v>
      </c>
      <c r="I1177" s="257" t="s">
        <v>856</v>
      </c>
      <c r="J1177" s="257">
        <v>1982</v>
      </c>
      <c r="K1177" s="257" t="s">
        <v>1211</v>
      </c>
      <c r="L1177" s="608">
        <v>1987</v>
      </c>
      <c r="M1177" s="261">
        <v>-9999</v>
      </c>
      <c r="N1177" s="257">
        <v>-9999</v>
      </c>
      <c r="O1177" s="29"/>
      <c r="P1177" s="602">
        <v>43.41</v>
      </c>
      <c r="Q1177" s="257">
        <v>-9999</v>
      </c>
      <c r="R1177" s="261"/>
      <c r="S1177" s="257"/>
      <c r="T1177" s="370">
        <f t="shared" si="123"/>
        <v>7.2349999999999994</v>
      </c>
      <c r="U1177" s="257">
        <v>-9999</v>
      </c>
      <c r="V1177" s="257"/>
      <c r="W1177" s="609">
        <f>+P1177-P1176</f>
        <v>-7.7900000000000063</v>
      </c>
      <c r="X1177" s="257">
        <v>-9999</v>
      </c>
      <c r="Y1177" s="257"/>
      <c r="Z1177" s="327" t="s">
        <v>1706</v>
      </c>
      <c r="AA1177" s="599">
        <v>5382</v>
      </c>
      <c r="AB1177" s="602">
        <v>0.82</v>
      </c>
      <c r="AC1177" s="257">
        <v>10.3</v>
      </c>
      <c r="AD1177" s="602">
        <f t="shared" si="124"/>
        <v>966</v>
      </c>
      <c r="AE1177" s="263" t="s">
        <v>97</v>
      </c>
      <c r="AF1177" s="600">
        <v>1</v>
      </c>
      <c r="AG1177" s="257">
        <v>2</v>
      </c>
      <c r="AH1177" s="257" t="s">
        <v>98</v>
      </c>
      <c r="AI1177" s="257" t="s">
        <v>985</v>
      </c>
      <c r="AJ1177" s="257">
        <v>-9999</v>
      </c>
      <c r="AK1177" s="257" t="s">
        <v>99</v>
      </c>
      <c r="AL1177" s="257" t="s">
        <v>828</v>
      </c>
      <c r="AM1177" s="257">
        <v>-9999</v>
      </c>
      <c r="AN1177" s="257" t="s">
        <v>631</v>
      </c>
      <c r="AO1177" s="257">
        <v>-9999</v>
      </c>
      <c r="AP1177" s="257">
        <v>-9999</v>
      </c>
      <c r="AQ1177" s="257" t="s">
        <v>631</v>
      </c>
      <c r="AR1177" s="257">
        <v>0</v>
      </c>
      <c r="AS1177" s="257">
        <v>-9999</v>
      </c>
      <c r="AT1177" s="257">
        <v>-9999</v>
      </c>
      <c r="AU1177" s="257">
        <v>0</v>
      </c>
      <c r="AV1177" s="257">
        <v>-9999</v>
      </c>
      <c r="AW1177" s="257"/>
      <c r="AX1177" s="257">
        <v>0</v>
      </c>
      <c r="AY1177" s="257">
        <v>-9999</v>
      </c>
      <c r="AZ1177" s="257">
        <v>-9999</v>
      </c>
      <c r="BA1177" s="257" t="s">
        <v>100</v>
      </c>
      <c r="BB1177" s="257" t="s">
        <v>626</v>
      </c>
      <c r="BC1177" s="257" t="s">
        <v>101</v>
      </c>
      <c r="BD1177" s="257" t="s">
        <v>102</v>
      </c>
      <c r="BE1177" s="257" t="s">
        <v>103</v>
      </c>
      <c r="BF1177" s="257" t="s">
        <v>104</v>
      </c>
      <c r="BG1177" s="257" t="s">
        <v>105</v>
      </c>
      <c r="BH1177" s="257" t="s">
        <v>106</v>
      </c>
      <c r="BI1177" s="257">
        <v>-9999</v>
      </c>
      <c r="BJ1177" s="257">
        <v>-9999</v>
      </c>
      <c r="BK1177" s="257">
        <v>-9999</v>
      </c>
      <c r="BL1177" s="602">
        <v>7.6</v>
      </c>
      <c r="BM1177" s="257">
        <v>-9999</v>
      </c>
      <c r="BN1177" s="602">
        <v>6.8</v>
      </c>
      <c r="BO1177" s="257">
        <v>-9999</v>
      </c>
      <c r="BP1177" s="257">
        <v>-9999</v>
      </c>
      <c r="BQ1177" s="257">
        <v>-9999</v>
      </c>
      <c r="BR1177" s="257">
        <v>-9999</v>
      </c>
      <c r="BS1177" s="263">
        <v>-9999</v>
      </c>
      <c r="BT1177" s="257">
        <v>-9999</v>
      </c>
      <c r="BU1177" s="257">
        <v>-9999</v>
      </c>
      <c r="BV1177" s="257">
        <v>-9999</v>
      </c>
      <c r="BW1177" s="257"/>
      <c r="BX1177" s="257">
        <v>-9999</v>
      </c>
      <c r="BY1177" s="257">
        <v>-9999</v>
      </c>
      <c r="BZ1177" s="257">
        <v>-9999</v>
      </c>
      <c r="CA1177" s="300" t="s">
        <v>107</v>
      </c>
      <c r="CB1177" s="264" t="s">
        <v>561</v>
      </c>
      <c r="CC1177" s="600">
        <v>1</v>
      </c>
      <c r="CD1177" s="600">
        <v>6</v>
      </c>
      <c r="CE1177" s="292">
        <v>7.2349999999999994</v>
      </c>
      <c r="CF1177" s="292">
        <v>-7.7900000000000063</v>
      </c>
      <c r="CG1177" s="161">
        <v>6</v>
      </c>
    </row>
    <row r="1178" spans="1:1873" s="23" customFormat="1" ht="12.75" customHeight="1" x14ac:dyDescent="0.25">
      <c r="A1178" s="263"/>
      <c r="B1178" s="263"/>
      <c r="C1178" s="600"/>
      <c r="D1178" s="263"/>
      <c r="E1178" s="257"/>
      <c r="F1178" s="600"/>
      <c r="G1178" s="600"/>
      <c r="H1178" s="600"/>
      <c r="I1178" s="257"/>
      <c r="J1178" s="257"/>
      <c r="K1178" s="257"/>
      <c r="L1178" s="600"/>
      <c r="M1178" s="261"/>
      <c r="N1178" s="257"/>
      <c r="O1178" s="29"/>
      <c r="P1178" s="602"/>
      <c r="Q1178" s="257"/>
      <c r="R1178" s="261"/>
      <c r="S1178" s="257"/>
      <c r="T1178" s="370"/>
      <c r="U1178" s="257"/>
      <c r="V1178" s="257"/>
      <c r="W1178" s="609"/>
      <c r="X1178" s="257"/>
      <c r="Y1178" s="257"/>
      <c r="Z1178" s="327"/>
      <c r="AA1178" s="599"/>
      <c r="AB1178" s="602"/>
      <c r="AC1178" s="257"/>
      <c r="AD1178" s="602"/>
      <c r="AE1178" s="263"/>
      <c r="AF1178" s="600"/>
      <c r="AG1178" s="257"/>
      <c r="AH1178" s="257"/>
      <c r="AI1178" s="257"/>
      <c r="AJ1178" s="257"/>
      <c r="AK1178" s="257"/>
      <c r="AL1178" s="257"/>
      <c r="AM1178" s="257"/>
      <c r="AN1178" s="257"/>
      <c r="AO1178" s="257"/>
      <c r="AP1178" s="257"/>
      <c r="AQ1178" s="257"/>
      <c r="AR1178" s="257"/>
      <c r="AS1178" s="257"/>
      <c r="AT1178" s="257"/>
      <c r="AU1178" s="257"/>
      <c r="AV1178" s="257"/>
      <c r="AW1178" s="257"/>
      <c r="AX1178" s="257"/>
      <c r="AY1178" s="257"/>
      <c r="AZ1178" s="257"/>
      <c r="BA1178" s="257"/>
      <c r="BB1178" s="257"/>
      <c r="BC1178" s="257"/>
      <c r="BD1178" s="257"/>
      <c r="BE1178" s="257"/>
      <c r="BF1178" s="257"/>
      <c r="BG1178" s="257"/>
      <c r="BH1178" s="257"/>
      <c r="BI1178" s="257"/>
      <c r="BJ1178" s="257"/>
      <c r="BK1178" s="257"/>
      <c r="BL1178" s="602"/>
      <c r="BM1178" s="257"/>
      <c r="BN1178" s="602"/>
      <c r="BO1178" s="257"/>
      <c r="BP1178" s="257"/>
      <c r="BQ1178" s="257"/>
      <c r="BR1178" s="257"/>
      <c r="BS1178" s="263"/>
      <c r="BT1178" s="257"/>
      <c r="BU1178" s="257"/>
      <c r="BV1178" s="257"/>
      <c r="BW1178" s="257"/>
      <c r="BX1178" s="257"/>
      <c r="BY1178" s="257"/>
      <c r="BZ1178" s="257"/>
      <c r="CA1178" s="300"/>
      <c r="CB1178" s="264"/>
      <c r="CC1178" s="600"/>
      <c r="CD1178" s="600"/>
      <c r="CE1178" s="292"/>
      <c r="CF1178" s="292"/>
      <c r="CG1178" s="161"/>
    </row>
    <row r="1179" spans="1:1873" s="23" customFormat="1" ht="12.75" customHeight="1" x14ac:dyDescent="0.25">
      <c r="A1179" s="263" t="s">
        <v>560</v>
      </c>
      <c r="B1179" s="263" t="s">
        <v>1268</v>
      </c>
      <c r="C1179" s="263" t="s">
        <v>96</v>
      </c>
      <c r="D1179" s="263" t="s">
        <v>1400</v>
      </c>
      <c r="E1179" s="257" t="s">
        <v>855</v>
      </c>
      <c r="F1179" s="600">
        <v>2</v>
      </c>
      <c r="G1179" s="600">
        <v>1</v>
      </c>
      <c r="H1179" s="600">
        <v>3</v>
      </c>
      <c r="I1179" s="257" t="s">
        <v>856</v>
      </c>
      <c r="J1179" s="257">
        <v>1982</v>
      </c>
      <c r="K1179" s="257" t="s">
        <v>1211</v>
      </c>
      <c r="L1179" s="608">
        <v>1984</v>
      </c>
      <c r="M1179" s="261">
        <v>-9999</v>
      </c>
      <c r="N1179" s="257">
        <v>-9999</v>
      </c>
      <c r="O1179" s="29"/>
      <c r="P1179" s="602">
        <v>2.5</v>
      </c>
      <c r="Q1179" s="257">
        <v>-9999</v>
      </c>
      <c r="R1179" s="261"/>
      <c r="S1179" s="257"/>
      <c r="T1179" s="370">
        <f>+P1179/G1179</f>
        <v>2.5</v>
      </c>
      <c r="U1179" s="257">
        <v>-9999</v>
      </c>
      <c r="V1179" s="257"/>
      <c r="W1179" s="609">
        <f>+P1179-P1178</f>
        <v>2.5</v>
      </c>
      <c r="X1179" s="257">
        <v>-9999</v>
      </c>
      <c r="Y1179" s="257"/>
      <c r="Z1179" s="327" t="s">
        <v>1706</v>
      </c>
      <c r="AA1179" s="599">
        <v>5382</v>
      </c>
      <c r="AB1179" s="602">
        <v>0.74</v>
      </c>
      <c r="AC1179" s="257">
        <v>10.3</v>
      </c>
      <c r="AD1179" s="602">
        <f t="shared" si="124"/>
        <v>966</v>
      </c>
      <c r="AE1179" s="263" t="s">
        <v>97</v>
      </c>
      <c r="AF1179" s="600">
        <v>0</v>
      </c>
      <c r="AG1179" s="257">
        <v>2</v>
      </c>
      <c r="AH1179" s="257" t="s">
        <v>98</v>
      </c>
      <c r="AI1179" s="257" t="s">
        <v>985</v>
      </c>
      <c r="AJ1179" s="257">
        <v>-9999</v>
      </c>
      <c r="AK1179" s="257" t="s">
        <v>99</v>
      </c>
      <c r="AL1179" s="257" t="s">
        <v>828</v>
      </c>
      <c r="AM1179" s="257">
        <v>-9999</v>
      </c>
      <c r="AN1179" s="257" t="s">
        <v>631</v>
      </c>
      <c r="AO1179" s="257">
        <v>-9999</v>
      </c>
      <c r="AP1179" s="257">
        <v>-9999</v>
      </c>
      <c r="AQ1179" s="257" t="s">
        <v>631</v>
      </c>
      <c r="AR1179" s="257">
        <v>0</v>
      </c>
      <c r="AS1179" s="257">
        <v>-9999</v>
      </c>
      <c r="AT1179" s="257">
        <v>-9999</v>
      </c>
      <c r="AU1179" s="257">
        <v>0</v>
      </c>
      <c r="AV1179" s="257">
        <v>-9999</v>
      </c>
      <c r="AW1179" s="257"/>
      <c r="AX1179" s="257">
        <v>0</v>
      </c>
      <c r="AY1179" s="257">
        <v>-9999</v>
      </c>
      <c r="AZ1179" s="257">
        <v>-9999</v>
      </c>
      <c r="BA1179" s="257" t="s">
        <v>100</v>
      </c>
      <c r="BB1179" s="257" t="s">
        <v>626</v>
      </c>
      <c r="BC1179" s="257" t="s">
        <v>101</v>
      </c>
      <c r="BD1179" s="257" t="s">
        <v>102</v>
      </c>
      <c r="BE1179" s="257" t="s">
        <v>103</v>
      </c>
      <c r="BF1179" s="257" t="s">
        <v>104</v>
      </c>
      <c r="BG1179" s="257" t="s">
        <v>105</v>
      </c>
      <c r="BH1179" s="257" t="s">
        <v>106</v>
      </c>
      <c r="BI1179" s="257">
        <v>-9999</v>
      </c>
      <c r="BJ1179" s="257">
        <v>-9999</v>
      </c>
      <c r="BK1179" s="257">
        <v>-9999</v>
      </c>
      <c r="BL1179" s="602">
        <v>1.55</v>
      </c>
      <c r="BM1179" s="257">
        <v>-9999</v>
      </c>
      <c r="BN1179" s="602">
        <v>0.56000000000000005</v>
      </c>
      <c r="BO1179" s="257">
        <v>-9999</v>
      </c>
      <c r="BP1179" s="257">
        <v>-9999</v>
      </c>
      <c r="BQ1179" s="257">
        <v>-9999</v>
      </c>
      <c r="BR1179" s="257">
        <v>-9999</v>
      </c>
      <c r="BS1179" s="263">
        <v>-9999</v>
      </c>
      <c r="BT1179" s="257">
        <v>-9999</v>
      </c>
      <c r="BU1179" s="257">
        <v>-9999</v>
      </c>
      <c r="BV1179" s="257">
        <v>-9999</v>
      </c>
      <c r="BW1179" s="257"/>
      <c r="BX1179" s="257">
        <v>-9999</v>
      </c>
      <c r="BY1179" s="257">
        <v>-9999</v>
      </c>
      <c r="BZ1179" s="257">
        <v>-9999</v>
      </c>
      <c r="CA1179" s="300" t="s">
        <v>107</v>
      </c>
      <c r="CB1179" s="264" t="s">
        <v>561</v>
      </c>
      <c r="CC1179" s="600">
        <v>2</v>
      </c>
      <c r="CD1179" s="600">
        <v>1</v>
      </c>
      <c r="CE1179" s="292">
        <v>2.5</v>
      </c>
      <c r="CF1179" s="292">
        <v>2.5</v>
      </c>
      <c r="CG1179" s="161">
        <v>3</v>
      </c>
    </row>
    <row r="1180" spans="1:1873" s="23" customFormat="1" ht="12.75" customHeight="1" x14ac:dyDescent="0.25">
      <c r="A1180" s="263" t="s">
        <v>560</v>
      </c>
      <c r="B1180" s="263" t="s">
        <v>1268</v>
      </c>
      <c r="C1180" s="263" t="s">
        <v>96</v>
      </c>
      <c r="D1180" s="263" t="s">
        <v>1400</v>
      </c>
      <c r="E1180" s="257" t="s">
        <v>855</v>
      </c>
      <c r="F1180" s="600">
        <v>2</v>
      </c>
      <c r="G1180" s="600">
        <v>2</v>
      </c>
      <c r="H1180" s="600">
        <v>4</v>
      </c>
      <c r="I1180" s="257" t="s">
        <v>856</v>
      </c>
      <c r="J1180" s="257">
        <v>1982</v>
      </c>
      <c r="K1180" s="257" t="s">
        <v>1211</v>
      </c>
      <c r="L1180" s="608">
        <v>1985</v>
      </c>
      <c r="M1180" s="261">
        <v>-9999</v>
      </c>
      <c r="N1180" s="257">
        <v>-9999</v>
      </c>
      <c r="O1180" s="29"/>
      <c r="P1180" s="602">
        <v>4.62</v>
      </c>
      <c r="Q1180" s="257">
        <v>-9999</v>
      </c>
      <c r="R1180" s="261"/>
      <c r="S1180" s="257"/>
      <c r="T1180" s="370">
        <f>+P1180/G1180</f>
        <v>2.31</v>
      </c>
      <c r="U1180" s="257">
        <v>-9999</v>
      </c>
      <c r="V1180" s="257"/>
      <c r="W1180" s="609">
        <f>+P1180-P1179</f>
        <v>2.12</v>
      </c>
      <c r="X1180" s="257">
        <v>-9999</v>
      </c>
      <c r="Y1180" s="257"/>
      <c r="Z1180" s="327" t="s">
        <v>1706</v>
      </c>
      <c r="AA1180" s="599">
        <v>5382</v>
      </c>
      <c r="AB1180" s="261">
        <v>0.83199999999999996</v>
      </c>
      <c r="AC1180" s="257">
        <v>10.3</v>
      </c>
      <c r="AD1180" s="602">
        <f t="shared" si="124"/>
        <v>966</v>
      </c>
      <c r="AE1180" s="263" t="s">
        <v>97</v>
      </c>
      <c r="AF1180" s="600">
        <v>0</v>
      </c>
      <c r="AG1180" s="257">
        <v>2</v>
      </c>
      <c r="AH1180" s="257" t="s">
        <v>98</v>
      </c>
      <c r="AI1180" s="257" t="s">
        <v>985</v>
      </c>
      <c r="AJ1180" s="257">
        <v>-9999</v>
      </c>
      <c r="AK1180" s="257" t="s">
        <v>99</v>
      </c>
      <c r="AL1180" s="257" t="s">
        <v>828</v>
      </c>
      <c r="AM1180" s="257">
        <v>-9999</v>
      </c>
      <c r="AN1180" s="257" t="s">
        <v>631</v>
      </c>
      <c r="AO1180" s="257">
        <v>-9999</v>
      </c>
      <c r="AP1180" s="257">
        <v>-9999</v>
      </c>
      <c r="AQ1180" s="257" t="s">
        <v>631</v>
      </c>
      <c r="AR1180" s="257">
        <v>0</v>
      </c>
      <c r="AS1180" s="257">
        <v>-9999</v>
      </c>
      <c r="AT1180" s="257">
        <v>-9999</v>
      </c>
      <c r="AU1180" s="257">
        <v>0</v>
      </c>
      <c r="AV1180" s="257">
        <v>-9999</v>
      </c>
      <c r="AW1180" s="257"/>
      <c r="AX1180" s="257">
        <v>0</v>
      </c>
      <c r="AY1180" s="257">
        <v>-9999</v>
      </c>
      <c r="AZ1180" s="257">
        <v>-9999</v>
      </c>
      <c r="BA1180" s="257" t="s">
        <v>100</v>
      </c>
      <c r="BB1180" s="257" t="s">
        <v>626</v>
      </c>
      <c r="BC1180" s="257" t="s">
        <v>101</v>
      </c>
      <c r="BD1180" s="257" t="s">
        <v>102</v>
      </c>
      <c r="BE1180" s="257" t="s">
        <v>103</v>
      </c>
      <c r="BF1180" s="257" t="s">
        <v>104</v>
      </c>
      <c r="BG1180" s="257" t="s">
        <v>105</v>
      </c>
      <c r="BH1180" s="257" t="s">
        <v>106</v>
      </c>
      <c r="BI1180" s="257">
        <v>-9999</v>
      </c>
      <c r="BJ1180" s="257">
        <v>-9999</v>
      </c>
      <c r="BK1180" s="257">
        <v>-9999</v>
      </c>
      <c r="BL1180" s="602">
        <v>2.89</v>
      </c>
      <c r="BM1180" s="257">
        <v>-9999</v>
      </c>
      <c r="BN1180" s="602">
        <v>2.2000000000000002</v>
      </c>
      <c r="BO1180" s="257">
        <v>-9999</v>
      </c>
      <c r="BP1180" s="257">
        <v>-9999</v>
      </c>
      <c r="BQ1180" s="257">
        <v>-9999</v>
      </c>
      <c r="BR1180" s="257">
        <v>-9999</v>
      </c>
      <c r="BS1180" s="263">
        <v>-9999</v>
      </c>
      <c r="BT1180" s="257">
        <v>-9999</v>
      </c>
      <c r="BU1180" s="257">
        <v>-9999</v>
      </c>
      <c r="BV1180" s="257">
        <v>-9999</v>
      </c>
      <c r="BW1180" s="257"/>
      <c r="BX1180" s="257">
        <v>-9999</v>
      </c>
      <c r="BY1180" s="257">
        <v>-9999</v>
      </c>
      <c r="BZ1180" s="257">
        <v>-9999</v>
      </c>
      <c r="CA1180" s="300" t="s">
        <v>107</v>
      </c>
      <c r="CB1180" s="264" t="s">
        <v>561</v>
      </c>
      <c r="CC1180" s="600">
        <v>2</v>
      </c>
      <c r="CD1180" s="600">
        <v>2</v>
      </c>
      <c r="CE1180" s="292">
        <v>2.31</v>
      </c>
      <c r="CF1180" s="292">
        <v>2.12</v>
      </c>
      <c r="CG1180" s="161">
        <v>4</v>
      </c>
    </row>
    <row r="1181" spans="1:1873" s="23" customFormat="1" ht="12.75" customHeight="1" x14ac:dyDescent="0.25">
      <c r="A1181" s="263"/>
      <c r="B1181" s="263"/>
      <c r="C1181" s="600"/>
      <c r="D1181" s="263"/>
      <c r="E1181" s="257"/>
      <c r="F1181" s="600"/>
      <c r="G1181" s="600"/>
      <c r="H1181" s="600"/>
      <c r="I1181" s="257"/>
      <c r="J1181" s="257"/>
      <c r="K1181" s="257"/>
      <c r="L1181" s="600"/>
      <c r="M1181" s="261"/>
      <c r="N1181" s="257"/>
      <c r="O1181" s="29"/>
      <c r="P1181" s="602"/>
      <c r="Q1181" s="257"/>
      <c r="R1181" s="261"/>
      <c r="S1181" s="257"/>
      <c r="T1181" s="370"/>
      <c r="U1181" s="257"/>
      <c r="V1181" s="257"/>
      <c r="W1181" s="609"/>
      <c r="X1181" s="257"/>
      <c r="Y1181" s="257"/>
      <c r="Z1181" s="327"/>
      <c r="AA1181" s="599"/>
      <c r="AB1181" s="602"/>
      <c r="AC1181" s="257"/>
      <c r="AD1181" s="602"/>
      <c r="AE1181" s="263"/>
      <c r="AF1181" s="600"/>
      <c r="AG1181" s="257"/>
      <c r="AH1181" s="257"/>
      <c r="AI1181" s="257"/>
      <c r="AJ1181" s="257"/>
      <c r="AK1181" s="257"/>
      <c r="AL1181" s="257"/>
      <c r="AM1181" s="257"/>
      <c r="AN1181" s="257"/>
      <c r="AO1181" s="257"/>
      <c r="AP1181" s="257"/>
      <c r="AQ1181" s="257"/>
      <c r="AR1181" s="257"/>
      <c r="AS1181" s="257"/>
      <c r="AT1181" s="257"/>
      <c r="AU1181" s="257"/>
      <c r="AV1181" s="257"/>
      <c r="AW1181" s="257"/>
      <c r="AX1181" s="257"/>
      <c r="AY1181" s="257"/>
      <c r="AZ1181" s="257"/>
      <c r="BA1181" s="257"/>
      <c r="BB1181" s="257"/>
      <c r="BC1181" s="257"/>
      <c r="BD1181" s="257"/>
      <c r="BE1181" s="257"/>
      <c r="BF1181" s="257"/>
      <c r="BG1181" s="257"/>
      <c r="BH1181" s="257"/>
      <c r="BI1181" s="257"/>
      <c r="BJ1181" s="257"/>
      <c r="BK1181" s="257"/>
      <c r="BL1181" s="602"/>
      <c r="BM1181" s="257"/>
      <c r="BN1181" s="602"/>
      <c r="BO1181" s="257"/>
      <c r="BP1181" s="257"/>
      <c r="BQ1181" s="257"/>
      <c r="BR1181" s="257"/>
      <c r="BS1181" s="263"/>
      <c r="BT1181" s="257"/>
      <c r="BU1181" s="257"/>
      <c r="BV1181" s="257"/>
      <c r="BW1181" s="257"/>
      <c r="BX1181" s="257"/>
      <c r="BY1181" s="257"/>
      <c r="BZ1181" s="257"/>
      <c r="CA1181" s="300"/>
      <c r="CB1181" s="264"/>
      <c r="CC1181" s="600"/>
      <c r="CD1181" s="600"/>
      <c r="CE1181" s="292"/>
      <c r="CF1181" s="292"/>
      <c r="CG1181" s="161"/>
    </row>
    <row r="1182" spans="1:1873" s="23" customFormat="1" ht="12.75" customHeight="1" x14ac:dyDescent="0.25">
      <c r="A1182" s="263" t="s">
        <v>560</v>
      </c>
      <c r="B1182" s="263" t="s">
        <v>1268</v>
      </c>
      <c r="C1182" s="263" t="s">
        <v>96</v>
      </c>
      <c r="D1182" s="263" t="s">
        <v>1400</v>
      </c>
      <c r="E1182" s="257" t="s">
        <v>855</v>
      </c>
      <c r="F1182" s="600">
        <v>2</v>
      </c>
      <c r="G1182" s="600">
        <v>2</v>
      </c>
      <c r="H1182" s="600">
        <v>5</v>
      </c>
      <c r="I1182" s="257" t="s">
        <v>856</v>
      </c>
      <c r="J1182" s="257">
        <v>1982</v>
      </c>
      <c r="K1182" s="257" t="s">
        <v>1211</v>
      </c>
      <c r="L1182" s="608">
        <v>1986</v>
      </c>
      <c r="M1182" s="261">
        <v>-9999</v>
      </c>
      <c r="N1182" s="257">
        <v>-9999</v>
      </c>
      <c r="O1182" s="29"/>
      <c r="P1182" s="602">
        <v>13.3</v>
      </c>
      <c r="Q1182" s="257">
        <v>-9999</v>
      </c>
      <c r="R1182" s="261"/>
      <c r="S1182" s="257"/>
      <c r="T1182" s="370">
        <f>+P1182/G1182</f>
        <v>6.65</v>
      </c>
      <c r="U1182" s="257">
        <v>-9999</v>
      </c>
      <c r="V1182" s="257"/>
      <c r="W1182" s="609">
        <f>+P1182-P1181</f>
        <v>13.3</v>
      </c>
      <c r="X1182" s="257">
        <v>-9999</v>
      </c>
      <c r="Y1182" s="257"/>
      <c r="Z1182" s="327" t="s">
        <v>1706</v>
      </c>
      <c r="AA1182" s="599">
        <v>5382</v>
      </c>
      <c r="AB1182" s="602">
        <v>0.9</v>
      </c>
      <c r="AC1182" s="257">
        <v>10.3</v>
      </c>
      <c r="AD1182" s="602">
        <f t="shared" si="124"/>
        <v>966</v>
      </c>
      <c r="AE1182" s="263" t="s">
        <v>97</v>
      </c>
      <c r="AF1182" s="600">
        <v>0</v>
      </c>
      <c r="AG1182" s="257">
        <v>2</v>
      </c>
      <c r="AH1182" s="257" t="s">
        <v>98</v>
      </c>
      <c r="AI1182" s="257" t="s">
        <v>985</v>
      </c>
      <c r="AJ1182" s="257">
        <v>-9999</v>
      </c>
      <c r="AK1182" s="257" t="s">
        <v>99</v>
      </c>
      <c r="AL1182" s="257" t="s">
        <v>828</v>
      </c>
      <c r="AM1182" s="257">
        <v>-9999</v>
      </c>
      <c r="AN1182" s="257" t="s">
        <v>631</v>
      </c>
      <c r="AO1182" s="257">
        <v>-9999</v>
      </c>
      <c r="AP1182" s="257">
        <v>-9999</v>
      </c>
      <c r="AQ1182" s="257" t="s">
        <v>631</v>
      </c>
      <c r="AR1182" s="257">
        <v>0</v>
      </c>
      <c r="AS1182" s="257">
        <v>-9999</v>
      </c>
      <c r="AT1182" s="257">
        <v>-9999</v>
      </c>
      <c r="AU1182" s="257">
        <v>0</v>
      </c>
      <c r="AV1182" s="257">
        <v>-9999</v>
      </c>
      <c r="AW1182" s="257"/>
      <c r="AX1182" s="257">
        <v>0</v>
      </c>
      <c r="AY1182" s="257">
        <v>-9999</v>
      </c>
      <c r="AZ1182" s="257">
        <v>-9999</v>
      </c>
      <c r="BA1182" s="257" t="s">
        <v>100</v>
      </c>
      <c r="BB1182" s="257" t="s">
        <v>626</v>
      </c>
      <c r="BC1182" s="257" t="s">
        <v>101</v>
      </c>
      <c r="BD1182" s="257" t="s">
        <v>102</v>
      </c>
      <c r="BE1182" s="257" t="s">
        <v>103</v>
      </c>
      <c r="BF1182" s="257" t="s">
        <v>104</v>
      </c>
      <c r="BG1182" s="257" t="s">
        <v>105</v>
      </c>
      <c r="BH1182" s="257" t="s">
        <v>106</v>
      </c>
      <c r="BI1182" s="257">
        <v>-9999</v>
      </c>
      <c r="BJ1182" s="257">
        <v>-9999</v>
      </c>
      <c r="BK1182" s="257">
        <v>-9999</v>
      </c>
      <c r="BL1182" s="602">
        <v>3.5</v>
      </c>
      <c r="BM1182" s="257">
        <v>-9999</v>
      </c>
      <c r="BN1182" s="602">
        <v>2.8</v>
      </c>
      <c r="BO1182" s="257">
        <v>-9999</v>
      </c>
      <c r="BP1182" s="257">
        <v>-9999</v>
      </c>
      <c r="BQ1182" s="257">
        <v>-9999</v>
      </c>
      <c r="BR1182" s="257">
        <v>-9999</v>
      </c>
      <c r="BS1182" s="263">
        <v>-9999</v>
      </c>
      <c r="BT1182" s="257">
        <v>-9999</v>
      </c>
      <c r="BU1182" s="257">
        <v>-9999</v>
      </c>
      <c r="BV1182" s="257">
        <v>-9999</v>
      </c>
      <c r="BW1182" s="257"/>
      <c r="BX1182" s="257">
        <v>-9999</v>
      </c>
      <c r="BY1182" s="257">
        <v>-9999</v>
      </c>
      <c r="BZ1182" s="257">
        <v>-9999</v>
      </c>
      <c r="CA1182" s="300" t="s">
        <v>107</v>
      </c>
      <c r="CB1182" s="264" t="s">
        <v>561</v>
      </c>
      <c r="CC1182" s="600">
        <v>2</v>
      </c>
      <c r="CD1182" s="600">
        <v>2</v>
      </c>
      <c r="CE1182" s="292">
        <v>6.65</v>
      </c>
      <c r="CF1182" s="292">
        <v>13.3</v>
      </c>
      <c r="CG1182" s="161">
        <v>5</v>
      </c>
    </row>
    <row r="1183" spans="1:1873" s="23" customFormat="1" ht="12.75" customHeight="1" x14ac:dyDescent="0.25">
      <c r="A1183" s="263" t="s">
        <v>560</v>
      </c>
      <c r="B1183" s="263" t="s">
        <v>1268</v>
      </c>
      <c r="C1183" s="263" t="s">
        <v>96</v>
      </c>
      <c r="D1183" s="263" t="s">
        <v>1400</v>
      </c>
      <c r="E1183" s="257" t="s">
        <v>855</v>
      </c>
      <c r="F1183" s="600">
        <v>2</v>
      </c>
      <c r="G1183" s="600">
        <v>3</v>
      </c>
      <c r="H1183" s="600">
        <v>6</v>
      </c>
      <c r="I1183" s="257" t="s">
        <v>856</v>
      </c>
      <c r="J1183" s="257">
        <v>1982</v>
      </c>
      <c r="K1183" s="257" t="s">
        <v>1211</v>
      </c>
      <c r="L1183" s="608">
        <v>1987</v>
      </c>
      <c r="M1183" s="261">
        <v>-9999</v>
      </c>
      <c r="N1183" s="257">
        <v>-9999</v>
      </c>
      <c r="O1183" s="29"/>
      <c r="P1183" s="602">
        <v>18.579999999999998</v>
      </c>
      <c r="Q1183" s="257">
        <v>-9999</v>
      </c>
      <c r="R1183" s="261"/>
      <c r="S1183" s="257"/>
      <c r="T1183" s="370">
        <f>+P1183/G1183</f>
        <v>6.1933333333333325</v>
      </c>
      <c r="U1183" s="257">
        <v>-9999</v>
      </c>
      <c r="V1183" s="257"/>
      <c r="W1183" s="609">
        <f>+P1183-P1182</f>
        <v>5.2799999999999976</v>
      </c>
      <c r="X1183" s="257">
        <v>-9999</v>
      </c>
      <c r="Y1183" s="257"/>
      <c r="Z1183" s="327" t="s">
        <v>1706</v>
      </c>
      <c r="AA1183" s="599">
        <v>5382</v>
      </c>
      <c r="AB1183" s="602">
        <v>0.91</v>
      </c>
      <c r="AC1183" s="257">
        <v>10.3</v>
      </c>
      <c r="AD1183" s="602">
        <f t="shared" si="124"/>
        <v>966</v>
      </c>
      <c r="AE1183" s="263" t="s">
        <v>97</v>
      </c>
      <c r="AF1183" s="600">
        <v>1</v>
      </c>
      <c r="AG1183" s="257">
        <v>2</v>
      </c>
      <c r="AH1183" s="257" t="s">
        <v>98</v>
      </c>
      <c r="AI1183" s="257" t="s">
        <v>985</v>
      </c>
      <c r="AJ1183" s="257">
        <v>-9999</v>
      </c>
      <c r="AK1183" s="257" t="s">
        <v>99</v>
      </c>
      <c r="AL1183" s="257" t="s">
        <v>828</v>
      </c>
      <c r="AM1183" s="257">
        <v>-9999</v>
      </c>
      <c r="AN1183" s="257" t="s">
        <v>631</v>
      </c>
      <c r="AO1183" s="257">
        <v>-9999</v>
      </c>
      <c r="AP1183" s="257">
        <v>-9999</v>
      </c>
      <c r="AQ1183" s="257" t="s">
        <v>631</v>
      </c>
      <c r="AR1183" s="257">
        <v>0</v>
      </c>
      <c r="AS1183" s="257">
        <v>-9999</v>
      </c>
      <c r="AT1183" s="257">
        <v>-9999</v>
      </c>
      <c r="AU1183" s="257">
        <v>0</v>
      </c>
      <c r="AV1183" s="257">
        <v>-9999</v>
      </c>
      <c r="AW1183" s="257"/>
      <c r="AX1183" s="257">
        <v>0</v>
      </c>
      <c r="AY1183" s="257">
        <v>-9999</v>
      </c>
      <c r="AZ1183" s="257">
        <v>-9999</v>
      </c>
      <c r="BA1183" s="257" t="s">
        <v>100</v>
      </c>
      <c r="BB1183" s="257" t="s">
        <v>626</v>
      </c>
      <c r="BC1183" s="257" t="s">
        <v>101</v>
      </c>
      <c r="BD1183" s="257" t="s">
        <v>102</v>
      </c>
      <c r="BE1183" s="257" t="s">
        <v>103</v>
      </c>
      <c r="BF1183" s="257" t="s">
        <v>104</v>
      </c>
      <c r="BG1183" s="257" t="s">
        <v>105</v>
      </c>
      <c r="BH1183" s="257" t="s">
        <v>106</v>
      </c>
      <c r="BI1183" s="257">
        <v>-9999</v>
      </c>
      <c r="BJ1183" s="257">
        <v>-9999</v>
      </c>
      <c r="BK1183" s="257">
        <v>-9999</v>
      </c>
      <c r="BL1183" s="602">
        <v>1.6</v>
      </c>
      <c r="BM1183" s="257">
        <v>-9999</v>
      </c>
      <c r="BN1183" s="602">
        <v>4.3</v>
      </c>
      <c r="BO1183" s="257">
        <v>-9999</v>
      </c>
      <c r="BP1183" s="257">
        <v>-9999</v>
      </c>
      <c r="BQ1183" s="257">
        <v>-9999</v>
      </c>
      <c r="BR1183" s="257">
        <v>-9999</v>
      </c>
      <c r="BS1183" s="263">
        <v>-9999</v>
      </c>
      <c r="BT1183" s="257">
        <v>-9999</v>
      </c>
      <c r="BU1183" s="257">
        <v>-9999</v>
      </c>
      <c r="BV1183" s="257">
        <v>-9999</v>
      </c>
      <c r="BW1183" s="257"/>
      <c r="BX1183" s="257">
        <v>-9999</v>
      </c>
      <c r="BY1183" s="257">
        <v>-9999</v>
      </c>
      <c r="BZ1183" s="257">
        <v>-9999</v>
      </c>
      <c r="CA1183" s="300" t="s">
        <v>107</v>
      </c>
      <c r="CB1183" s="264" t="s">
        <v>561</v>
      </c>
      <c r="CC1183" s="600">
        <v>2</v>
      </c>
      <c r="CD1183" s="600">
        <v>3</v>
      </c>
      <c r="CE1183" s="292">
        <v>6.1933333333333325</v>
      </c>
      <c r="CF1183" s="292">
        <v>5.2799999999999976</v>
      </c>
      <c r="CG1183" s="161">
        <v>6</v>
      </c>
    </row>
    <row r="1184" spans="1:1873" s="23" customFormat="1" ht="12.75" customHeight="1" x14ac:dyDescent="0.25">
      <c r="A1184" s="263"/>
      <c r="B1184" s="263"/>
      <c r="C1184" s="263"/>
      <c r="D1184" s="600"/>
      <c r="E1184" s="257"/>
      <c r="F1184" s="600"/>
      <c r="G1184" s="600"/>
      <c r="H1184" s="600"/>
      <c r="I1184" s="257"/>
      <c r="J1184" s="257"/>
      <c r="K1184" s="257"/>
      <c r="L1184" s="600"/>
      <c r="M1184" s="261"/>
      <c r="N1184" s="257"/>
      <c r="O1184" s="29"/>
      <c r="P1184" s="602"/>
      <c r="Q1184" s="257"/>
      <c r="R1184" s="261"/>
      <c r="S1184" s="257"/>
      <c r="T1184" s="370"/>
      <c r="U1184" s="257"/>
      <c r="V1184" s="257"/>
      <c r="W1184" s="609"/>
      <c r="X1184" s="257"/>
      <c r="Y1184" s="257"/>
      <c r="Z1184" s="257"/>
      <c r="AA1184" s="599"/>
      <c r="AB1184" s="602"/>
      <c r="AC1184" s="257"/>
      <c r="AD1184" s="602"/>
      <c r="AE1184" s="263"/>
      <c r="AF1184" s="600"/>
      <c r="AG1184" s="257"/>
      <c r="AH1184" s="257"/>
      <c r="AI1184" s="257"/>
      <c r="AJ1184" s="257"/>
      <c r="AK1184" s="257"/>
      <c r="AL1184" s="257"/>
      <c r="AM1184" s="257"/>
      <c r="AN1184" s="257"/>
      <c r="AO1184" s="257"/>
      <c r="AP1184" s="257"/>
      <c r="AQ1184" s="257"/>
      <c r="AR1184" s="257"/>
      <c r="AS1184" s="257"/>
      <c r="AT1184" s="257"/>
      <c r="AU1184" s="257"/>
      <c r="AV1184" s="257"/>
      <c r="AW1184" s="257"/>
      <c r="AX1184" s="257"/>
      <c r="AY1184" s="257"/>
      <c r="AZ1184" s="257"/>
      <c r="BA1184" s="257"/>
      <c r="BB1184" s="257"/>
      <c r="BC1184" s="257"/>
      <c r="BD1184" s="257"/>
      <c r="BE1184" s="257"/>
      <c r="BF1184" s="257"/>
      <c r="BG1184" s="257"/>
      <c r="BH1184" s="257"/>
      <c r="BI1184" s="257"/>
      <c r="BJ1184" s="257"/>
      <c r="BK1184" s="257"/>
      <c r="BL1184" s="602"/>
      <c r="BM1184" s="257"/>
      <c r="BN1184" s="602"/>
      <c r="BO1184" s="257"/>
      <c r="BP1184" s="257"/>
      <c r="BQ1184" s="257"/>
      <c r="BR1184" s="257"/>
      <c r="BS1184" s="263"/>
      <c r="BT1184" s="257"/>
      <c r="BU1184" s="257"/>
      <c r="BV1184" s="257"/>
      <c r="BW1184" s="257"/>
      <c r="BX1184" s="257"/>
      <c r="BY1184" s="257"/>
      <c r="BZ1184" s="257"/>
      <c r="CA1184" s="300"/>
      <c r="CB1184" s="264"/>
      <c r="CC1184" s="600"/>
      <c r="CD1184" s="600"/>
      <c r="CE1184" s="342" t="s">
        <v>1576</v>
      </c>
      <c r="CF1184" s="342" t="s">
        <v>1575</v>
      </c>
      <c r="CG1184" s="161"/>
    </row>
    <row r="1185" spans="1:1873" s="149" customFormat="1" ht="12.75" customHeight="1" x14ac:dyDescent="0.25">
      <c r="A1185" s="263" t="s">
        <v>560</v>
      </c>
      <c r="B1185" s="263" t="s">
        <v>1268</v>
      </c>
      <c r="C1185" s="600" t="s">
        <v>109</v>
      </c>
      <c r="D1185" s="263" t="s">
        <v>1400</v>
      </c>
      <c r="E1185" s="257" t="s">
        <v>855</v>
      </c>
      <c r="F1185" s="600">
        <v>1</v>
      </c>
      <c r="G1185" s="600">
        <v>1</v>
      </c>
      <c r="H1185" s="600">
        <v>1</v>
      </c>
      <c r="I1185" s="257" t="s">
        <v>856</v>
      </c>
      <c r="J1185" s="599">
        <v>1982</v>
      </c>
      <c r="K1185" s="257" t="s">
        <v>1211</v>
      </c>
      <c r="L1185" s="608">
        <v>1982</v>
      </c>
      <c r="M1185" s="261">
        <v>-9999</v>
      </c>
      <c r="N1185" s="257">
        <v>-9999</v>
      </c>
      <c r="O1185" s="29"/>
      <c r="P1185" s="602">
        <v>0.3</v>
      </c>
      <c r="Q1185" s="257">
        <v>-9999</v>
      </c>
      <c r="R1185" s="261"/>
      <c r="S1185" s="257"/>
      <c r="T1185" s="370">
        <v>0.3</v>
      </c>
      <c r="U1185" s="257">
        <v>-9999</v>
      </c>
      <c r="V1185" s="257"/>
      <c r="W1185" s="609">
        <f>+P1185</f>
        <v>0.3</v>
      </c>
      <c r="X1185" s="257">
        <v>-9999</v>
      </c>
      <c r="Y1185" s="257"/>
      <c r="Z1185" s="327" t="s">
        <v>1705</v>
      </c>
      <c r="AA1185" s="605">
        <v>2691</v>
      </c>
      <c r="AB1185" s="611">
        <v>0.81</v>
      </c>
      <c r="AC1185" s="257">
        <v>10.3</v>
      </c>
      <c r="AD1185" s="602">
        <f t="shared" si="124"/>
        <v>966</v>
      </c>
      <c r="AE1185" s="263" t="s">
        <v>97</v>
      </c>
      <c r="AF1185" s="600">
        <v>6</v>
      </c>
      <c r="AG1185" s="257">
        <v>2</v>
      </c>
      <c r="AH1185" s="257" t="s">
        <v>98</v>
      </c>
      <c r="AI1185" s="257" t="s">
        <v>985</v>
      </c>
      <c r="AJ1185" s="257">
        <v>-9999</v>
      </c>
      <c r="AK1185" s="257" t="s">
        <v>99</v>
      </c>
      <c r="AL1185" s="257" t="s">
        <v>828</v>
      </c>
      <c r="AM1185" s="257">
        <v>-9999</v>
      </c>
      <c r="AN1185" s="257" t="s">
        <v>631</v>
      </c>
      <c r="AO1185" s="257">
        <v>-9999</v>
      </c>
      <c r="AP1185" s="257">
        <v>-9999</v>
      </c>
      <c r="AQ1185" s="257" t="s">
        <v>631</v>
      </c>
      <c r="AR1185" s="257">
        <v>0</v>
      </c>
      <c r="AS1185" s="257">
        <v>-9999</v>
      </c>
      <c r="AT1185" s="257">
        <v>-9999</v>
      </c>
      <c r="AU1185" s="257">
        <v>0</v>
      </c>
      <c r="AV1185" s="257">
        <v>-9999</v>
      </c>
      <c r="AW1185" s="257"/>
      <c r="AX1185" s="257">
        <v>0</v>
      </c>
      <c r="AY1185" s="257">
        <v>-9999</v>
      </c>
      <c r="AZ1185" s="257">
        <v>-9999</v>
      </c>
      <c r="BA1185" s="257" t="s">
        <v>100</v>
      </c>
      <c r="BB1185" s="257" t="s">
        <v>626</v>
      </c>
      <c r="BC1185" s="257" t="s">
        <v>101</v>
      </c>
      <c r="BD1185" s="257" t="s">
        <v>102</v>
      </c>
      <c r="BE1185" s="257" t="s">
        <v>103</v>
      </c>
      <c r="BF1185" s="257" t="s">
        <v>104</v>
      </c>
      <c r="BG1185" s="257" t="s">
        <v>105</v>
      </c>
      <c r="BH1185" s="257" t="s">
        <v>106</v>
      </c>
      <c r="BI1185" s="257">
        <v>-9999</v>
      </c>
      <c r="BJ1185" s="257">
        <v>-9999</v>
      </c>
      <c r="BK1185" s="257">
        <v>-9999</v>
      </c>
      <c r="BL1185" s="602">
        <v>1.1000000000000001</v>
      </c>
      <c r="BM1185" s="257">
        <v>-9999</v>
      </c>
      <c r="BN1185" s="602">
        <v>0</v>
      </c>
      <c r="BO1185" s="257">
        <v>-9999</v>
      </c>
      <c r="BP1185" s="257">
        <v>-9999</v>
      </c>
      <c r="BQ1185" s="257">
        <v>-9999</v>
      </c>
      <c r="BR1185" s="257">
        <v>-9999</v>
      </c>
      <c r="BS1185" s="263">
        <v>-9999</v>
      </c>
      <c r="BT1185" s="257">
        <v>-9999</v>
      </c>
      <c r="BU1185" s="257">
        <v>-9999</v>
      </c>
      <c r="BV1185" s="257">
        <v>-9999</v>
      </c>
      <c r="BW1185" s="257"/>
      <c r="BX1185" s="257">
        <v>-9999</v>
      </c>
      <c r="BY1185" s="257">
        <v>-9999</v>
      </c>
      <c r="BZ1185" s="257">
        <v>-9999</v>
      </c>
      <c r="CA1185" s="300" t="s">
        <v>107</v>
      </c>
      <c r="CB1185" s="264" t="s">
        <v>561</v>
      </c>
      <c r="CC1185" s="600">
        <v>1</v>
      </c>
      <c r="CD1185" s="600">
        <v>1</v>
      </c>
      <c r="CE1185" s="168">
        <v>0.3</v>
      </c>
      <c r="CF1185" s="168">
        <v>0.3</v>
      </c>
      <c r="CG1185" s="161">
        <v>1</v>
      </c>
    </row>
    <row r="1186" spans="1:1873" s="149" customFormat="1" ht="12.75" customHeight="1" x14ac:dyDescent="0.25">
      <c r="A1186" s="263" t="s">
        <v>560</v>
      </c>
      <c r="B1186" s="263" t="s">
        <v>1268</v>
      </c>
      <c r="C1186" s="600" t="s">
        <v>109</v>
      </c>
      <c r="D1186" s="263" t="s">
        <v>1400</v>
      </c>
      <c r="E1186" s="257" t="s">
        <v>855</v>
      </c>
      <c r="F1186" s="600">
        <v>1</v>
      </c>
      <c r="G1186" s="600">
        <v>2</v>
      </c>
      <c r="H1186" s="600">
        <v>2</v>
      </c>
      <c r="I1186" s="257" t="s">
        <v>856</v>
      </c>
      <c r="J1186" s="599">
        <v>1982</v>
      </c>
      <c r="K1186" s="257" t="s">
        <v>1211</v>
      </c>
      <c r="L1186" s="608">
        <v>1983</v>
      </c>
      <c r="M1186" s="261">
        <v>-9999</v>
      </c>
      <c r="N1186" s="257">
        <v>-9999</v>
      </c>
      <c r="O1186" s="29"/>
      <c r="P1186" s="602">
        <v>3.5</v>
      </c>
      <c r="Q1186" s="257">
        <v>-9999</v>
      </c>
      <c r="R1186" s="261"/>
      <c r="S1186" s="257"/>
      <c r="T1186" s="370">
        <v>1.4550000000000001</v>
      </c>
      <c r="U1186" s="257">
        <v>-9999</v>
      </c>
      <c r="V1186" s="257"/>
      <c r="W1186" s="609">
        <f>+P1186-P1185</f>
        <v>3.2</v>
      </c>
      <c r="X1186" s="257">
        <v>-9999</v>
      </c>
      <c r="Y1186" s="257"/>
      <c r="Z1186" s="327" t="s">
        <v>1705</v>
      </c>
      <c r="AA1186" s="605">
        <v>2691</v>
      </c>
      <c r="AB1186" s="611">
        <v>0.86</v>
      </c>
      <c r="AC1186" s="257">
        <v>10.3</v>
      </c>
      <c r="AD1186" s="602">
        <f t="shared" si="124"/>
        <v>966</v>
      </c>
      <c r="AE1186" s="263" t="s">
        <v>97</v>
      </c>
      <c r="AF1186" s="600">
        <v>6</v>
      </c>
      <c r="AG1186" s="257">
        <v>2</v>
      </c>
      <c r="AH1186" s="257" t="s">
        <v>98</v>
      </c>
      <c r="AI1186" s="257" t="s">
        <v>985</v>
      </c>
      <c r="AJ1186" s="257">
        <v>-9999</v>
      </c>
      <c r="AK1186" s="257" t="s">
        <v>99</v>
      </c>
      <c r="AL1186" s="257" t="s">
        <v>828</v>
      </c>
      <c r="AM1186" s="257">
        <v>-9999</v>
      </c>
      <c r="AN1186" s="257" t="s">
        <v>631</v>
      </c>
      <c r="AO1186" s="257">
        <v>-9999</v>
      </c>
      <c r="AP1186" s="257">
        <v>-9999</v>
      </c>
      <c r="AQ1186" s="257" t="s">
        <v>631</v>
      </c>
      <c r="AR1186" s="257">
        <v>0</v>
      </c>
      <c r="AS1186" s="257">
        <v>-9999</v>
      </c>
      <c r="AT1186" s="257">
        <v>-9999</v>
      </c>
      <c r="AU1186" s="257">
        <v>0</v>
      </c>
      <c r="AV1186" s="257">
        <v>-9999</v>
      </c>
      <c r="AW1186" s="257"/>
      <c r="AX1186" s="257">
        <v>0</v>
      </c>
      <c r="AY1186" s="257">
        <v>-9999</v>
      </c>
      <c r="AZ1186" s="257">
        <v>-9999</v>
      </c>
      <c r="BA1186" s="257" t="s">
        <v>100</v>
      </c>
      <c r="BB1186" s="257" t="s">
        <v>626</v>
      </c>
      <c r="BC1186" s="257" t="s">
        <v>101</v>
      </c>
      <c r="BD1186" s="257" t="s">
        <v>102</v>
      </c>
      <c r="BE1186" s="257" t="s">
        <v>103</v>
      </c>
      <c r="BF1186" s="257" t="s">
        <v>104</v>
      </c>
      <c r="BG1186" s="257" t="s">
        <v>105</v>
      </c>
      <c r="BH1186" s="257" t="s">
        <v>106</v>
      </c>
      <c r="BI1186" s="257">
        <v>-9999</v>
      </c>
      <c r="BJ1186" s="257">
        <v>-9999</v>
      </c>
      <c r="BK1186" s="257">
        <v>-9999</v>
      </c>
      <c r="BL1186" s="602">
        <v>2.64</v>
      </c>
      <c r="BM1186" s="257">
        <v>-9999</v>
      </c>
      <c r="BN1186" s="602">
        <v>0</v>
      </c>
      <c r="BO1186" s="257">
        <v>-9999</v>
      </c>
      <c r="BP1186" s="257">
        <v>-9999</v>
      </c>
      <c r="BQ1186" s="257">
        <v>-9999</v>
      </c>
      <c r="BR1186" s="257">
        <v>-9999</v>
      </c>
      <c r="BS1186" s="263">
        <v>-9999</v>
      </c>
      <c r="BT1186" s="257">
        <v>-9999</v>
      </c>
      <c r="BU1186" s="257">
        <v>-9999</v>
      </c>
      <c r="BV1186" s="257">
        <v>-9999</v>
      </c>
      <c r="BW1186" s="257"/>
      <c r="BX1186" s="257">
        <v>-9999</v>
      </c>
      <c r="BY1186" s="257">
        <v>-9999</v>
      </c>
      <c r="BZ1186" s="257">
        <v>-9999</v>
      </c>
      <c r="CA1186" s="300" t="s">
        <v>107</v>
      </c>
      <c r="CB1186" s="264" t="s">
        <v>561</v>
      </c>
      <c r="CC1186" s="600">
        <v>1</v>
      </c>
      <c r="CD1186" s="600">
        <v>2</v>
      </c>
      <c r="CE1186" s="168">
        <v>1.4550000000000001</v>
      </c>
      <c r="CF1186" s="168">
        <v>2.6100000000000003</v>
      </c>
      <c r="CG1186" s="161">
        <v>2</v>
      </c>
    </row>
    <row r="1187" spans="1:1873" s="149" customFormat="1" ht="12.75" customHeight="1" x14ac:dyDescent="0.25">
      <c r="A1187" s="263" t="s">
        <v>560</v>
      </c>
      <c r="B1187" s="263" t="s">
        <v>1268</v>
      </c>
      <c r="C1187" s="600" t="s">
        <v>109</v>
      </c>
      <c r="D1187" s="263" t="s">
        <v>1400</v>
      </c>
      <c r="E1187" s="257" t="s">
        <v>855</v>
      </c>
      <c r="F1187" s="600">
        <v>1</v>
      </c>
      <c r="G1187" s="600">
        <v>3</v>
      </c>
      <c r="H1187" s="600">
        <v>3</v>
      </c>
      <c r="I1187" s="257" t="s">
        <v>856</v>
      </c>
      <c r="J1187" s="599">
        <v>1982</v>
      </c>
      <c r="K1187" s="257" t="s">
        <v>1211</v>
      </c>
      <c r="L1187" s="608">
        <v>1984</v>
      </c>
      <c r="M1187" s="261">
        <v>-9999</v>
      </c>
      <c r="N1187" s="257">
        <v>-9999</v>
      </c>
      <c r="O1187" s="29"/>
      <c r="P1187" s="602">
        <v>10.4</v>
      </c>
      <c r="Q1187" s="257">
        <v>-9999</v>
      </c>
      <c r="R1187" s="261"/>
      <c r="S1187" s="257"/>
      <c r="T1187" s="370">
        <v>3.653</v>
      </c>
      <c r="U1187" s="257">
        <v>-9999</v>
      </c>
      <c r="V1187" s="257"/>
      <c r="W1187" s="609">
        <f>+P1187-P1186</f>
        <v>6.9</v>
      </c>
      <c r="X1187" s="257">
        <v>-9999</v>
      </c>
      <c r="Y1187" s="257"/>
      <c r="Z1187" s="327" t="s">
        <v>1705</v>
      </c>
      <c r="AA1187" s="605">
        <v>2691</v>
      </c>
      <c r="AB1187" s="611">
        <v>0.86</v>
      </c>
      <c r="AC1187" s="257">
        <v>10.3</v>
      </c>
      <c r="AD1187" s="602">
        <f t="shared" si="124"/>
        <v>966</v>
      </c>
      <c r="AE1187" s="263" t="s">
        <v>97</v>
      </c>
      <c r="AF1187" s="600">
        <v>6</v>
      </c>
      <c r="AG1187" s="257">
        <v>2</v>
      </c>
      <c r="AH1187" s="257" t="s">
        <v>98</v>
      </c>
      <c r="AI1187" s="257" t="s">
        <v>985</v>
      </c>
      <c r="AJ1187" s="257">
        <v>-9999</v>
      </c>
      <c r="AK1187" s="257" t="s">
        <v>99</v>
      </c>
      <c r="AL1187" s="257" t="s">
        <v>828</v>
      </c>
      <c r="AM1187" s="257">
        <v>-9999</v>
      </c>
      <c r="AN1187" s="257" t="s">
        <v>631</v>
      </c>
      <c r="AO1187" s="257">
        <v>-9999</v>
      </c>
      <c r="AP1187" s="257">
        <v>-9999</v>
      </c>
      <c r="AQ1187" s="257" t="s">
        <v>631</v>
      </c>
      <c r="AR1187" s="257">
        <v>0</v>
      </c>
      <c r="AS1187" s="257">
        <v>-9999</v>
      </c>
      <c r="AT1187" s="257">
        <v>-9999</v>
      </c>
      <c r="AU1187" s="257">
        <v>0</v>
      </c>
      <c r="AV1187" s="257">
        <v>-9999</v>
      </c>
      <c r="AW1187" s="257"/>
      <c r="AX1187" s="257">
        <v>0</v>
      </c>
      <c r="AY1187" s="257">
        <v>-9999</v>
      </c>
      <c r="AZ1187" s="257">
        <v>-9999</v>
      </c>
      <c r="BA1187" s="257" t="s">
        <v>100</v>
      </c>
      <c r="BB1187" s="257" t="s">
        <v>626</v>
      </c>
      <c r="BC1187" s="257" t="s">
        <v>101</v>
      </c>
      <c r="BD1187" s="257" t="s">
        <v>102</v>
      </c>
      <c r="BE1187" s="257" t="s">
        <v>103</v>
      </c>
      <c r="BF1187" s="257" t="s">
        <v>104</v>
      </c>
      <c r="BG1187" s="257" t="s">
        <v>105</v>
      </c>
      <c r="BH1187" s="257" t="s">
        <v>106</v>
      </c>
      <c r="BI1187" s="257">
        <v>-9999</v>
      </c>
      <c r="BJ1187" s="257">
        <v>-9999</v>
      </c>
      <c r="BK1187" s="257">
        <v>-9999</v>
      </c>
      <c r="BL1187" s="602">
        <v>4.4800000000000004</v>
      </c>
      <c r="BM1187" s="257">
        <v>-9999</v>
      </c>
      <c r="BN1187" s="602">
        <v>0</v>
      </c>
      <c r="BO1187" s="257">
        <v>-9999</v>
      </c>
      <c r="BP1187" s="257">
        <v>-9999</v>
      </c>
      <c r="BQ1187" s="257">
        <v>-9999</v>
      </c>
      <c r="BR1187" s="257">
        <v>-9999</v>
      </c>
      <c r="BS1187" s="263">
        <v>-9999</v>
      </c>
      <c r="BT1187" s="257">
        <v>-9999</v>
      </c>
      <c r="BU1187" s="257">
        <v>-9999</v>
      </c>
      <c r="BV1187" s="257">
        <v>-9999</v>
      </c>
      <c r="BW1187" s="257"/>
      <c r="BX1187" s="257">
        <v>-9999</v>
      </c>
      <c r="BY1187" s="257">
        <v>-9999</v>
      </c>
      <c r="BZ1187" s="257">
        <v>-9999</v>
      </c>
      <c r="CA1187" s="300" t="s">
        <v>107</v>
      </c>
      <c r="CB1187" s="264" t="s">
        <v>561</v>
      </c>
      <c r="CC1187" s="600">
        <v>1</v>
      </c>
      <c r="CD1187" s="600">
        <v>3</v>
      </c>
      <c r="CE1187" s="168">
        <v>3.653</v>
      </c>
      <c r="CF1187" s="168">
        <v>8.0500000000000007</v>
      </c>
      <c r="CG1187" s="161">
        <v>3</v>
      </c>
    </row>
    <row r="1188" spans="1:1873" s="149" customFormat="1" ht="12.75" customHeight="1" x14ac:dyDescent="0.25">
      <c r="A1188" s="263" t="s">
        <v>560</v>
      </c>
      <c r="B1188" s="263" t="s">
        <v>1268</v>
      </c>
      <c r="C1188" s="600" t="s">
        <v>109</v>
      </c>
      <c r="D1188" s="263" t="s">
        <v>1400</v>
      </c>
      <c r="E1188" s="257" t="s">
        <v>855</v>
      </c>
      <c r="F1188" s="600">
        <v>1</v>
      </c>
      <c r="G1188" s="600">
        <v>4</v>
      </c>
      <c r="H1188" s="600">
        <v>4</v>
      </c>
      <c r="I1188" s="257" t="s">
        <v>856</v>
      </c>
      <c r="J1188" s="599">
        <v>1982</v>
      </c>
      <c r="K1188" s="257" t="s">
        <v>1211</v>
      </c>
      <c r="L1188" s="608">
        <v>1985</v>
      </c>
      <c r="M1188" s="261">
        <v>-9999</v>
      </c>
      <c r="N1188" s="257">
        <v>-9999</v>
      </c>
      <c r="O1188" s="29"/>
      <c r="P1188" s="261">
        <v>20.8</v>
      </c>
      <c r="Q1188" s="257">
        <v>-9999</v>
      </c>
      <c r="R1188" s="261"/>
      <c r="S1188" s="257"/>
      <c r="T1188" s="370">
        <v>5.2</v>
      </c>
      <c r="U1188" s="257">
        <v>-9999</v>
      </c>
      <c r="V1188" s="257"/>
      <c r="W1188" s="609">
        <f>+P1188-P1187</f>
        <v>10.4</v>
      </c>
      <c r="X1188" s="257">
        <v>-9999</v>
      </c>
      <c r="Y1188" s="257"/>
      <c r="Z1188" s="327" t="s">
        <v>1705</v>
      </c>
      <c r="AA1188" s="605">
        <v>2691</v>
      </c>
      <c r="AB1188" s="611">
        <v>0.79300000000000004</v>
      </c>
      <c r="AC1188" s="257">
        <v>10.3</v>
      </c>
      <c r="AD1188" s="602">
        <f t="shared" si="124"/>
        <v>966</v>
      </c>
      <c r="AE1188" s="263" t="s">
        <v>97</v>
      </c>
      <c r="AF1188" s="600">
        <v>6</v>
      </c>
      <c r="AG1188" s="257">
        <v>2</v>
      </c>
      <c r="AH1188" s="257" t="s">
        <v>98</v>
      </c>
      <c r="AI1188" s="257" t="s">
        <v>985</v>
      </c>
      <c r="AJ1188" s="257">
        <v>-9999</v>
      </c>
      <c r="AK1188" s="257" t="s">
        <v>99</v>
      </c>
      <c r="AL1188" s="257" t="s">
        <v>828</v>
      </c>
      <c r="AM1188" s="257">
        <v>-9999</v>
      </c>
      <c r="AN1188" s="257" t="s">
        <v>631</v>
      </c>
      <c r="AO1188" s="257">
        <v>-9999</v>
      </c>
      <c r="AP1188" s="257">
        <v>-9999</v>
      </c>
      <c r="AQ1188" s="257" t="s">
        <v>631</v>
      </c>
      <c r="AR1188" s="257">
        <v>0</v>
      </c>
      <c r="AS1188" s="257">
        <v>-9999</v>
      </c>
      <c r="AT1188" s="257">
        <v>-9999</v>
      </c>
      <c r="AU1188" s="257">
        <v>0</v>
      </c>
      <c r="AV1188" s="257">
        <v>-9999</v>
      </c>
      <c r="AW1188" s="257"/>
      <c r="AX1188" s="257">
        <v>0</v>
      </c>
      <c r="AY1188" s="257">
        <v>-9999</v>
      </c>
      <c r="AZ1188" s="257">
        <v>-9999</v>
      </c>
      <c r="BA1188" s="257" t="s">
        <v>100</v>
      </c>
      <c r="BB1188" s="257" t="s">
        <v>626</v>
      </c>
      <c r="BC1188" s="257" t="s">
        <v>101</v>
      </c>
      <c r="BD1188" s="257" t="s">
        <v>102</v>
      </c>
      <c r="BE1188" s="257" t="s">
        <v>103</v>
      </c>
      <c r="BF1188" s="257" t="s">
        <v>104</v>
      </c>
      <c r="BG1188" s="257" t="s">
        <v>105</v>
      </c>
      <c r="BH1188" s="257" t="s">
        <v>106</v>
      </c>
      <c r="BI1188" s="257">
        <v>-9999</v>
      </c>
      <c r="BJ1188" s="257">
        <v>-9999</v>
      </c>
      <c r="BK1188" s="257">
        <v>-9999</v>
      </c>
      <c r="BL1188" s="602">
        <v>5.79</v>
      </c>
      <c r="BM1188" s="257">
        <v>-9999</v>
      </c>
      <c r="BN1188" s="602">
        <v>6.3</v>
      </c>
      <c r="BO1188" s="257">
        <v>-9999</v>
      </c>
      <c r="BP1188" s="257">
        <v>-9999</v>
      </c>
      <c r="BQ1188" s="257">
        <v>-9999</v>
      </c>
      <c r="BR1188" s="257">
        <v>-9999</v>
      </c>
      <c r="BS1188" s="263">
        <v>-9999</v>
      </c>
      <c r="BT1188" s="257">
        <v>-9999</v>
      </c>
      <c r="BU1188" s="257">
        <v>-9999</v>
      </c>
      <c r="BV1188" s="257">
        <v>-9999</v>
      </c>
      <c r="BW1188" s="257"/>
      <c r="BX1188" s="257">
        <v>-9999</v>
      </c>
      <c r="BY1188" s="257">
        <v>-9999</v>
      </c>
      <c r="BZ1188" s="257">
        <v>-9999</v>
      </c>
      <c r="CA1188" s="300" t="s">
        <v>107</v>
      </c>
      <c r="CB1188" s="264" t="s">
        <v>561</v>
      </c>
      <c r="CC1188" s="600">
        <v>1</v>
      </c>
      <c r="CD1188" s="600">
        <v>4</v>
      </c>
      <c r="CE1188" s="168">
        <v>5.2</v>
      </c>
      <c r="CF1188" s="168">
        <v>9.84</v>
      </c>
      <c r="CG1188" s="161">
        <v>4</v>
      </c>
    </row>
    <row r="1189" spans="1:1873" s="216" customFormat="1" ht="12.75" customHeight="1" x14ac:dyDescent="0.25">
      <c r="A1189" s="328" t="s">
        <v>560</v>
      </c>
      <c r="B1189" s="263" t="s">
        <v>1268</v>
      </c>
      <c r="C1189" s="263" t="s">
        <v>109</v>
      </c>
      <c r="D1189" s="263" t="s">
        <v>1400</v>
      </c>
      <c r="E1189" s="257" t="s">
        <v>855</v>
      </c>
      <c r="F1189" s="263">
        <v>1</v>
      </c>
      <c r="G1189" s="263">
        <v>5</v>
      </c>
      <c r="H1189" s="263">
        <v>5</v>
      </c>
      <c r="I1189" s="257" t="s">
        <v>856</v>
      </c>
      <c r="J1189" s="257">
        <v>1982</v>
      </c>
      <c r="K1189" s="257" t="s">
        <v>1211</v>
      </c>
      <c r="L1189" s="595">
        <v>1986</v>
      </c>
      <c r="M1189" s="261">
        <v>-9999</v>
      </c>
      <c r="N1189" s="257">
        <v>-9999</v>
      </c>
      <c r="O1189" s="29"/>
      <c r="P1189" s="261">
        <v>37.299999999999997</v>
      </c>
      <c r="Q1189" s="257">
        <v>-9999</v>
      </c>
      <c r="R1189" s="261"/>
      <c r="S1189" s="257"/>
      <c r="T1189" s="370">
        <v>7.46</v>
      </c>
      <c r="U1189" s="257">
        <v>-9999</v>
      </c>
      <c r="V1189" s="257"/>
      <c r="W1189" s="609">
        <f>+P1189-P1188</f>
        <v>16.499999999999996</v>
      </c>
      <c r="X1189" s="257">
        <v>-9999</v>
      </c>
      <c r="Y1189" s="257"/>
      <c r="Z1189" s="327" t="s">
        <v>1705</v>
      </c>
      <c r="AA1189" s="605">
        <v>2691</v>
      </c>
      <c r="AB1189" s="261">
        <v>0.87</v>
      </c>
      <c r="AC1189" s="257">
        <v>10.3</v>
      </c>
      <c r="AD1189" s="602">
        <f t="shared" si="124"/>
        <v>966</v>
      </c>
      <c r="AE1189" s="263" t="s">
        <v>97</v>
      </c>
      <c r="AF1189" s="263">
        <v>6</v>
      </c>
      <c r="AG1189" s="257">
        <v>2</v>
      </c>
      <c r="AH1189" s="257" t="s">
        <v>98</v>
      </c>
      <c r="AI1189" s="257" t="s">
        <v>985</v>
      </c>
      <c r="AJ1189" s="257">
        <v>-9999</v>
      </c>
      <c r="AK1189" s="257" t="s">
        <v>99</v>
      </c>
      <c r="AL1189" s="257" t="s">
        <v>828</v>
      </c>
      <c r="AM1189" s="257">
        <v>-9999</v>
      </c>
      <c r="AN1189" s="257" t="s">
        <v>631</v>
      </c>
      <c r="AO1189" s="257">
        <v>-9999</v>
      </c>
      <c r="AP1189" s="257">
        <v>-9999</v>
      </c>
      <c r="AQ1189" s="257" t="s">
        <v>631</v>
      </c>
      <c r="AR1189" s="257">
        <v>0</v>
      </c>
      <c r="AS1189" s="257">
        <v>-9999</v>
      </c>
      <c r="AT1189" s="257">
        <v>-9999</v>
      </c>
      <c r="AU1189" s="257">
        <v>0</v>
      </c>
      <c r="AV1189" s="257">
        <v>-9999</v>
      </c>
      <c r="AW1189" s="257"/>
      <c r="AX1189" s="257">
        <v>0</v>
      </c>
      <c r="AY1189" s="257">
        <v>-9999</v>
      </c>
      <c r="AZ1189" s="257">
        <v>-9999</v>
      </c>
      <c r="BA1189" s="257" t="s">
        <v>100</v>
      </c>
      <c r="BB1189" s="257" t="s">
        <v>626</v>
      </c>
      <c r="BC1189" s="257" t="s">
        <v>101</v>
      </c>
      <c r="BD1189" s="257" t="s">
        <v>102</v>
      </c>
      <c r="BE1189" s="257" t="s">
        <v>103</v>
      </c>
      <c r="BF1189" s="257" t="s">
        <v>104</v>
      </c>
      <c r="BG1189" s="257" t="s">
        <v>105</v>
      </c>
      <c r="BH1189" s="257" t="s">
        <v>106</v>
      </c>
      <c r="BI1189" s="257">
        <v>-9999</v>
      </c>
      <c r="BJ1189" s="257">
        <v>-9999</v>
      </c>
      <c r="BK1189" s="257">
        <v>-9999</v>
      </c>
      <c r="BL1189" s="602">
        <v>6.8</v>
      </c>
      <c r="BM1189" s="257">
        <v>-9999</v>
      </c>
      <c r="BN1189" s="602">
        <v>7.9</v>
      </c>
      <c r="BO1189" s="257">
        <v>-9999</v>
      </c>
      <c r="BP1189" s="257">
        <v>-9999</v>
      </c>
      <c r="BQ1189" s="257">
        <v>-9999</v>
      </c>
      <c r="BR1189" s="257">
        <v>-9999</v>
      </c>
      <c r="BS1189" s="263">
        <v>-9999</v>
      </c>
      <c r="BT1189" s="257">
        <v>-9999</v>
      </c>
      <c r="BU1189" s="257">
        <v>-9999</v>
      </c>
      <c r="BV1189" s="257">
        <v>-9999</v>
      </c>
      <c r="BW1189" s="257"/>
      <c r="BX1189" s="257">
        <v>-9999</v>
      </c>
      <c r="BY1189" s="257">
        <v>-9999</v>
      </c>
      <c r="BZ1189" s="257">
        <v>-9999</v>
      </c>
      <c r="CA1189" s="300" t="s">
        <v>107</v>
      </c>
      <c r="CB1189" s="264" t="s">
        <v>561</v>
      </c>
      <c r="CC1189" s="263">
        <v>1</v>
      </c>
      <c r="CD1189" s="263">
        <v>5</v>
      </c>
      <c r="CE1189" s="394">
        <v>7.46</v>
      </c>
      <c r="CF1189" s="292">
        <v>16.499999999999996</v>
      </c>
      <c r="CG1189" s="214">
        <v>5</v>
      </c>
      <c r="CH1189" s="438" t="s">
        <v>1757</v>
      </c>
      <c r="CI1189" s="23"/>
      <c r="CJ1189" s="23"/>
      <c r="CK1189" s="23"/>
      <c r="CL1189" s="23"/>
      <c r="CM1189" s="23"/>
      <c r="CN1189" s="23"/>
      <c r="CO1189" s="23"/>
      <c r="CP1189" s="23"/>
      <c r="CQ1189" s="23"/>
      <c r="CR1189" s="23"/>
      <c r="CS1189" s="23"/>
      <c r="CT1189" s="23"/>
      <c r="CU1189" s="23"/>
      <c r="CV1189" s="23"/>
      <c r="CW1189" s="23"/>
      <c r="CX1189" s="23"/>
      <c r="CY1189" s="23"/>
      <c r="CZ1189" s="23"/>
      <c r="DA1189" s="23"/>
      <c r="DB1189" s="23"/>
      <c r="DC1189" s="23"/>
      <c r="DD1189" s="23"/>
      <c r="DE1189" s="23"/>
      <c r="DF1189" s="23"/>
      <c r="DG1189" s="23"/>
      <c r="DH1189" s="23"/>
      <c r="DI1189" s="23"/>
      <c r="DJ1189" s="23"/>
      <c r="DK1189" s="23"/>
      <c r="DL1189" s="23"/>
      <c r="DM1189" s="23"/>
      <c r="DN1189" s="23"/>
      <c r="DO1189" s="23"/>
      <c r="DP1189" s="23"/>
      <c r="DQ1189" s="23"/>
      <c r="DR1189" s="23"/>
      <c r="DS1189" s="23"/>
      <c r="DT1189" s="23"/>
      <c r="DU1189" s="23"/>
      <c r="DV1189" s="23"/>
      <c r="DW1189" s="23"/>
      <c r="DX1189" s="23"/>
      <c r="DY1189" s="23"/>
      <c r="DZ1189" s="23"/>
      <c r="EA1189" s="23"/>
      <c r="EB1189" s="23"/>
      <c r="EC1189" s="23"/>
      <c r="ED1189" s="23"/>
      <c r="EE1189" s="23"/>
      <c r="EF1189" s="23"/>
      <c r="EG1189" s="23"/>
      <c r="EH1189" s="23"/>
      <c r="EI1189" s="23"/>
      <c r="EJ1189" s="23"/>
      <c r="EK1189" s="23"/>
      <c r="EL1189" s="23"/>
      <c r="EM1189" s="23"/>
      <c r="EN1189" s="23"/>
      <c r="EO1189" s="23"/>
      <c r="EP1189" s="23"/>
      <c r="EQ1189" s="23"/>
      <c r="ER1189" s="23"/>
      <c r="ES1189" s="23"/>
      <c r="ET1189" s="23"/>
      <c r="EU1189" s="23"/>
      <c r="EV1189" s="23"/>
      <c r="EW1189" s="23"/>
      <c r="EX1189" s="23"/>
      <c r="EY1189" s="23"/>
      <c r="EZ1189" s="23"/>
      <c r="FA1189" s="23"/>
      <c r="FB1189" s="23"/>
      <c r="FC1189" s="23"/>
      <c r="FD1189" s="23"/>
      <c r="FE1189" s="23"/>
      <c r="FF1189" s="23"/>
      <c r="FG1189" s="23"/>
      <c r="FH1189" s="23"/>
      <c r="FI1189" s="23"/>
      <c r="FJ1189" s="23"/>
      <c r="FK1189" s="23"/>
      <c r="FL1189" s="23"/>
      <c r="FM1189" s="23"/>
      <c r="FN1189" s="23"/>
      <c r="FO1189" s="23"/>
      <c r="FP1189" s="23"/>
      <c r="FQ1189" s="23"/>
      <c r="FR1189" s="23"/>
      <c r="FS1189" s="23"/>
      <c r="FT1189" s="23"/>
      <c r="FU1189" s="23"/>
      <c r="FV1189" s="23"/>
      <c r="FW1189" s="23"/>
      <c r="FX1189" s="23"/>
      <c r="FY1189" s="23"/>
      <c r="FZ1189" s="23"/>
      <c r="GA1189" s="23"/>
      <c r="GB1189" s="23"/>
      <c r="GC1189" s="23"/>
      <c r="GD1189" s="23"/>
      <c r="GE1189" s="23"/>
      <c r="GF1189" s="23"/>
      <c r="GG1189" s="23"/>
      <c r="GH1189" s="23"/>
      <c r="GI1189" s="23"/>
      <c r="GJ1189" s="23"/>
      <c r="GK1189" s="23"/>
      <c r="GL1189" s="23"/>
      <c r="GM1189" s="23"/>
      <c r="GN1189" s="23"/>
      <c r="GO1189" s="23"/>
      <c r="GP1189" s="23"/>
      <c r="GQ1189" s="23"/>
      <c r="GR1189" s="23"/>
      <c r="GS1189" s="23"/>
      <c r="GT1189" s="23"/>
      <c r="GU1189" s="23"/>
      <c r="GV1189" s="23"/>
      <c r="GW1189" s="23"/>
      <c r="GX1189" s="23"/>
      <c r="GY1189" s="23"/>
      <c r="GZ1189" s="23"/>
      <c r="HA1189" s="23"/>
      <c r="HB1189" s="23"/>
      <c r="HC1189" s="23"/>
      <c r="HD1189" s="23"/>
      <c r="HE1189" s="23"/>
      <c r="HF1189" s="23"/>
      <c r="HG1189" s="23"/>
      <c r="HH1189" s="23"/>
      <c r="HI1189" s="23"/>
      <c r="HJ1189" s="23"/>
      <c r="HK1189" s="23"/>
      <c r="HL1189" s="23"/>
      <c r="HM1189" s="23"/>
      <c r="HN1189" s="23"/>
      <c r="HO1189" s="23"/>
      <c r="HP1189" s="23"/>
      <c r="HQ1189" s="23"/>
      <c r="HR1189" s="23"/>
      <c r="HS1189" s="23"/>
      <c r="HT1189" s="23"/>
      <c r="HU1189" s="23"/>
      <c r="HV1189" s="23"/>
      <c r="HW1189" s="23"/>
      <c r="HX1189" s="23"/>
      <c r="HY1189" s="23"/>
      <c r="HZ1189" s="23"/>
      <c r="IA1189" s="23"/>
      <c r="IB1189" s="23"/>
      <c r="IC1189" s="23"/>
      <c r="ID1189" s="23"/>
      <c r="IE1189" s="23"/>
      <c r="IF1189" s="23"/>
      <c r="IG1189" s="23"/>
      <c r="IH1189" s="23"/>
      <c r="II1189" s="23"/>
      <c r="IJ1189" s="23"/>
      <c r="IK1189" s="23"/>
      <c r="IL1189" s="23"/>
      <c r="IM1189" s="23"/>
      <c r="IN1189" s="23"/>
      <c r="IO1189" s="23"/>
      <c r="IP1189" s="23"/>
      <c r="IQ1189" s="23"/>
      <c r="IR1189" s="23"/>
      <c r="IS1189" s="23"/>
      <c r="IT1189" s="23"/>
      <c r="IU1189" s="23"/>
      <c r="IV1189" s="23"/>
      <c r="IW1189" s="23"/>
      <c r="IX1189" s="23"/>
      <c r="IY1189" s="23"/>
      <c r="IZ1189" s="23"/>
      <c r="JA1189" s="23"/>
      <c r="JB1189" s="23"/>
      <c r="JC1189" s="23"/>
      <c r="JD1189" s="23"/>
      <c r="JE1189" s="23"/>
      <c r="JF1189" s="23"/>
      <c r="JG1189" s="23"/>
      <c r="JH1189" s="23"/>
      <c r="JI1189" s="23"/>
      <c r="JJ1189" s="23"/>
      <c r="JK1189" s="23"/>
      <c r="JL1189" s="23"/>
      <c r="JM1189" s="23"/>
      <c r="JN1189" s="23"/>
      <c r="JO1189" s="23"/>
      <c r="JP1189" s="23"/>
      <c r="JQ1189" s="23"/>
      <c r="JR1189" s="23"/>
      <c r="JS1189" s="23"/>
      <c r="JT1189" s="23"/>
      <c r="JU1189" s="23"/>
      <c r="JV1189" s="23"/>
      <c r="JW1189" s="23"/>
      <c r="JX1189" s="23"/>
      <c r="JY1189" s="23"/>
      <c r="JZ1189" s="23"/>
      <c r="KA1189" s="23"/>
      <c r="KB1189" s="23"/>
      <c r="KC1189" s="23"/>
      <c r="KD1189" s="23"/>
      <c r="KE1189" s="23"/>
      <c r="KF1189" s="23"/>
      <c r="KG1189" s="23"/>
      <c r="KH1189" s="23"/>
      <c r="KI1189" s="23"/>
      <c r="KJ1189" s="23"/>
      <c r="KK1189" s="23"/>
      <c r="KL1189" s="23"/>
      <c r="KM1189" s="23"/>
      <c r="KN1189" s="23"/>
      <c r="KO1189" s="23"/>
      <c r="KP1189" s="23"/>
      <c r="KQ1189" s="23"/>
      <c r="KR1189" s="23"/>
      <c r="KS1189" s="23"/>
      <c r="KT1189" s="23"/>
      <c r="KU1189" s="23"/>
      <c r="KV1189" s="23"/>
      <c r="KW1189" s="23"/>
      <c r="KX1189" s="23"/>
      <c r="KY1189" s="23"/>
      <c r="KZ1189" s="23"/>
      <c r="LA1189" s="23"/>
      <c r="LB1189" s="23"/>
      <c r="LC1189" s="23"/>
      <c r="LD1189" s="23"/>
      <c r="LE1189" s="23"/>
      <c r="LF1189" s="23"/>
      <c r="LG1189" s="23"/>
      <c r="LH1189" s="23"/>
      <c r="LI1189" s="23"/>
      <c r="LJ1189" s="23"/>
      <c r="LK1189" s="23"/>
      <c r="LL1189" s="23"/>
      <c r="LM1189" s="23"/>
      <c r="LN1189" s="23"/>
      <c r="LO1189" s="23"/>
      <c r="LP1189" s="23"/>
      <c r="LQ1189" s="23"/>
      <c r="LR1189" s="23"/>
      <c r="LS1189" s="23"/>
      <c r="LT1189" s="23"/>
      <c r="LU1189" s="23"/>
      <c r="LV1189" s="23"/>
      <c r="LW1189" s="23"/>
      <c r="LX1189" s="23"/>
      <c r="LY1189" s="23"/>
      <c r="LZ1189" s="23"/>
      <c r="MA1189" s="23"/>
      <c r="MB1189" s="23"/>
      <c r="MC1189" s="23"/>
      <c r="MD1189" s="23"/>
      <c r="ME1189" s="23"/>
      <c r="MF1189" s="23"/>
      <c r="MG1189" s="23"/>
      <c r="MH1189" s="23"/>
      <c r="MI1189" s="23"/>
      <c r="MJ1189" s="23"/>
      <c r="MK1189" s="23"/>
      <c r="ML1189" s="23"/>
      <c r="MM1189" s="23"/>
      <c r="MN1189" s="23"/>
      <c r="MO1189" s="23"/>
      <c r="MP1189" s="23"/>
      <c r="MQ1189" s="23"/>
      <c r="MR1189" s="23"/>
      <c r="MS1189" s="23"/>
      <c r="MT1189" s="23"/>
      <c r="MU1189" s="23"/>
      <c r="MV1189" s="23"/>
      <c r="MW1189" s="23"/>
      <c r="MX1189" s="23"/>
      <c r="MY1189" s="23"/>
      <c r="MZ1189" s="23"/>
      <c r="NA1189" s="23"/>
      <c r="NB1189" s="23"/>
      <c r="NC1189" s="23"/>
      <c r="ND1189" s="23"/>
      <c r="NE1189" s="23"/>
      <c r="NF1189" s="23"/>
      <c r="NG1189" s="23"/>
      <c r="NH1189" s="23"/>
      <c r="NI1189" s="23"/>
      <c r="NJ1189" s="23"/>
      <c r="NK1189" s="23"/>
      <c r="NL1189" s="23"/>
      <c r="NM1189" s="23"/>
      <c r="NN1189" s="23"/>
      <c r="NO1189" s="23"/>
      <c r="NP1189" s="23"/>
      <c r="NQ1189" s="23"/>
      <c r="NR1189" s="23"/>
      <c r="NS1189" s="23"/>
      <c r="NT1189" s="23"/>
      <c r="NU1189" s="23"/>
      <c r="NV1189" s="23"/>
      <c r="NW1189" s="23"/>
      <c r="NX1189" s="23"/>
      <c r="NY1189" s="23"/>
      <c r="NZ1189" s="23"/>
      <c r="OA1189" s="23"/>
      <c r="OB1189" s="23"/>
      <c r="OC1189" s="23"/>
      <c r="OD1189" s="23"/>
      <c r="OE1189" s="23"/>
      <c r="OF1189" s="23"/>
      <c r="OG1189" s="23"/>
      <c r="OH1189" s="23"/>
      <c r="OI1189" s="23"/>
      <c r="OJ1189" s="23"/>
      <c r="OK1189" s="23"/>
      <c r="OL1189" s="23"/>
      <c r="OM1189" s="23"/>
      <c r="ON1189" s="23"/>
      <c r="OO1189" s="23"/>
      <c r="OP1189" s="23"/>
      <c r="OQ1189" s="23"/>
      <c r="OR1189" s="23"/>
      <c r="OS1189" s="23"/>
      <c r="OT1189" s="23"/>
      <c r="OU1189" s="23"/>
      <c r="OV1189" s="23"/>
      <c r="OW1189" s="23"/>
      <c r="OX1189" s="23"/>
      <c r="OY1189" s="23"/>
      <c r="OZ1189" s="23"/>
      <c r="PA1189" s="23"/>
      <c r="PB1189" s="23"/>
      <c r="PC1189" s="23"/>
      <c r="PD1189" s="23"/>
      <c r="PE1189" s="23"/>
      <c r="PF1189" s="23"/>
      <c r="PG1189" s="23"/>
      <c r="PH1189" s="23"/>
      <c r="PI1189" s="23"/>
      <c r="PJ1189" s="23"/>
      <c r="PK1189" s="23"/>
      <c r="PL1189" s="23"/>
      <c r="PM1189" s="23"/>
      <c r="PN1189" s="23"/>
      <c r="PO1189" s="23"/>
      <c r="PP1189" s="23"/>
      <c r="PQ1189" s="23"/>
      <c r="PR1189" s="23"/>
      <c r="PS1189" s="23"/>
      <c r="PT1189" s="23"/>
      <c r="PU1189" s="23"/>
      <c r="PV1189" s="23"/>
      <c r="PW1189" s="23"/>
      <c r="PX1189" s="23"/>
      <c r="PY1189" s="23"/>
      <c r="PZ1189" s="23"/>
      <c r="QA1189" s="23"/>
      <c r="QB1189" s="23"/>
      <c r="QC1189" s="23"/>
      <c r="QD1189" s="23"/>
      <c r="QE1189" s="23"/>
      <c r="QF1189" s="23"/>
      <c r="QG1189" s="23"/>
      <c r="QH1189" s="23"/>
      <c r="QI1189" s="23"/>
      <c r="QJ1189" s="23"/>
      <c r="QK1189" s="23"/>
      <c r="QL1189" s="23"/>
      <c r="QM1189" s="23"/>
      <c r="QN1189" s="23"/>
      <c r="QO1189" s="23"/>
      <c r="QP1189" s="23"/>
      <c r="QQ1189" s="23"/>
      <c r="QR1189" s="23"/>
      <c r="QS1189" s="23"/>
      <c r="QT1189" s="23"/>
      <c r="QU1189" s="23"/>
      <c r="QV1189" s="23"/>
      <c r="QW1189" s="23"/>
      <c r="QX1189" s="23"/>
      <c r="QY1189" s="23"/>
      <c r="QZ1189" s="23"/>
      <c r="RA1189" s="23"/>
      <c r="RB1189" s="23"/>
      <c r="RC1189" s="23"/>
      <c r="RD1189" s="23"/>
      <c r="RE1189" s="23"/>
      <c r="RF1189" s="23"/>
      <c r="RG1189" s="23"/>
      <c r="RH1189" s="23"/>
      <c r="RI1189" s="23"/>
      <c r="RJ1189" s="23"/>
      <c r="RK1189" s="23"/>
      <c r="RL1189" s="23"/>
      <c r="RM1189" s="23"/>
      <c r="RN1189" s="23"/>
      <c r="RO1189" s="23"/>
      <c r="RP1189" s="23"/>
      <c r="RQ1189" s="23"/>
      <c r="RR1189" s="23"/>
      <c r="RS1189" s="23"/>
      <c r="RT1189" s="23"/>
      <c r="RU1189" s="23"/>
      <c r="RV1189" s="23"/>
      <c r="RW1189" s="23"/>
      <c r="RX1189" s="23"/>
      <c r="RY1189" s="23"/>
      <c r="RZ1189" s="23"/>
      <c r="SA1189" s="23"/>
      <c r="SB1189" s="23"/>
      <c r="SC1189" s="23"/>
      <c r="SD1189" s="23"/>
      <c r="SE1189" s="23"/>
      <c r="SF1189" s="23"/>
      <c r="SG1189" s="23"/>
      <c r="SH1189" s="23"/>
      <c r="SI1189" s="23"/>
      <c r="SJ1189" s="23"/>
      <c r="SK1189" s="23"/>
      <c r="SL1189" s="23"/>
      <c r="SM1189" s="23"/>
      <c r="SN1189" s="23"/>
      <c r="SO1189" s="23"/>
      <c r="SP1189" s="23"/>
      <c r="SQ1189" s="23"/>
      <c r="SR1189" s="23"/>
      <c r="SS1189" s="23"/>
      <c r="ST1189" s="23"/>
      <c r="SU1189" s="23"/>
      <c r="SV1189" s="23"/>
      <c r="SW1189" s="23"/>
      <c r="SX1189" s="23"/>
      <c r="SY1189" s="23"/>
      <c r="SZ1189" s="23"/>
      <c r="TA1189" s="23"/>
      <c r="TB1189" s="23"/>
      <c r="TC1189" s="23"/>
      <c r="TD1189" s="23"/>
      <c r="TE1189" s="23"/>
      <c r="TF1189" s="23"/>
      <c r="TG1189" s="23"/>
      <c r="TH1189" s="23"/>
      <c r="TI1189" s="23"/>
      <c r="TJ1189" s="23"/>
      <c r="TK1189" s="23"/>
      <c r="TL1189" s="23"/>
      <c r="TM1189" s="23"/>
      <c r="TN1189" s="23"/>
      <c r="TO1189" s="23"/>
      <c r="TP1189" s="23"/>
      <c r="TQ1189" s="23"/>
      <c r="TR1189" s="23"/>
      <c r="TS1189" s="23"/>
      <c r="TT1189" s="23"/>
      <c r="TU1189" s="23"/>
      <c r="TV1189" s="23"/>
      <c r="TW1189" s="23"/>
      <c r="TX1189" s="23"/>
      <c r="TY1189" s="23"/>
      <c r="TZ1189" s="23"/>
      <c r="UA1189" s="23"/>
      <c r="UB1189" s="23"/>
      <c r="UC1189" s="23"/>
      <c r="UD1189" s="23"/>
      <c r="UE1189" s="23"/>
      <c r="UF1189" s="23"/>
      <c r="UG1189" s="23"/>
      <c r="UH1189" s="23"/>
      <c r="UI1189" s="23"/>
      <c r="UJ1189" s="23"/>
      <c r="UK1189" s="23"/>
      <c r="UL1189" s="23"/>
      <c r="UM1189" s="23"/>
      <c r="UN1189" s="23"/>
      <c r="UO1189" s="23"/>
      <c r="UP1189" s="23"/>
      <c r="UQ1189" s="23"/>
      <c r="UR1189" s="23"/>
      <c r="US1189" s="23"/>
      <c r="UT1189" s="23"/>
      <c r="UU1189" s="23"/>
      <c r="UV1189" s="23"/>
      <c r="UW1189" s="23"/>
      <c r="UX1189" s="23"/>
      <c r="UY1189" s="23"/>
      <c r="UZ1189" s="23"/>
      <c r="VA1189" s="23"/>
      <c r="VB1189" s="23"/>
      <c r="VC1189" s="23"/>
      <c r="VD1189" s="23"/>
      <c r="VE1189" s="23"/>
      <c r="VF1189" s="23"/>
      <c r="VG1189" s="23"/>
      <c r="VH1189" s="23"/>
      <c r="VI1189" s="23"/>
      <c r="VJ1189" s="23"/>
      <c r="VK1189" s="23"/>
      <c r="VL1189" s="23"/>
      <c r="VM1189" s="23"/>
      <c r="VN1189" s="23"/>
      <c r="VO1189" s="23"/>
      <c r="VP1189" s="23"/>
      <c r="VQ1189" s="23"/>
      <c r="VR1189" s="23"/>
      <c r="VS1189" s="23"/>
      <c r="VT1189" s="23"/>
      <c r="VU1189" s="23"/>
      <c r="VV1189" s="23"/>
      <c r="VW1189" s="23"/>
      <c r="VX1189" s="23"/>
      <c r="VY1189" s="23"/>
      <c r="VZ1189" s="23"/>
      <c r="WA1189" s="23"/>
      <c r="WB1189" s="23"/>
      <c r="WC1189" s="23"/>
      <c r="WD1189" s="23"/>
      <c r="WE1189" s="23"/>
      <c r="WF1189" s="23"/>
      <c r="WG1189" s="23"/>
      <c r="WH1189" s="23"/>
      <c r="WI1189" s="23"/>
      <c r="WJ1189" s="23"/>
      <c r="WK1189" s="23"/>
      <c r="WL1189" s="23"/>
      <c r="WM1189" s="23"/>
      <c r="WN1189" s="23"/>
      <c r="WO1189" s="23"/>
      <c r="WP1189" s="23"/>
      <c r="WQ1189" s="23"/>
      <c r="WR1189" s="23"/>
      <c r="WS1189" s="23"/>
      <c r="WT1189" s="23"/>
      <c r="WU1189" s="23"/>
      <c r="WV1189" s="23"/>
      <c r="WW1189" s="23"/>
      <c r="WX1189" s="23"/>
      <c r="WY1189" s="23"/>
      <c r="WZ1189" s="23"/>
      <c r="XA1189" s="23"/>
      <c r="XB1189" s="23"/>
      <c r="XC1189" s="23"/>
      <c r="XD1189" s="23"/>
      <c r="XE1189" s="23"/>
      <c r="XF1189" s="23"/>
      <c r="XG1189" s="23"/>
      <c r="XH1189" s="23"/>
      <c r="XI1189" s="23"/>
      <c r="XJ1189" s="23"/>
      <c r="XK1189" s="23"/>
      <c r="XL1189" s="23"/>
      <c r="XM1189" s="23"/>
      <c r="XN1189" s="23"/>
      <c r="XO1189" s="23"/>
      <c r="XP1189" s="23"/>
      <c r="XQ1189" s="23"/>
      <c r="XR1189" s="23"/>
      <c r="XS1189" s="23"/>
      <c r="XT1189" s="23"/>
      <c r="XU1189" s="23"/>
      <c r="XV1189" s="23"/>
      <c r="XW1189" s="23"/>
      <c r="XX1189" s="23"/>
      <c r="XY1189" s="23"/>
      <c r="XZ1189" s="23"/>
      <c r="YA1189" s="23"/>
      <c r="YB1189" s="23"/>
      <c r="YC1189" s="23"/>
      <c r="YD1189" s="23"/>
      <c r="YE1189" s="23"/>
      <c r="YF1189" s="23"/>
      <c r="YG1189" s="23"/>
      <c r="YH1189" s="23"/>
      <c r="YI1189" s="23"/>
      <c r="YJ1189" s="23"/>
      <c r="YK1189" s="23"/>
      <c r="YL1189" s="23"/>
      <c r="YM1189" s="23"/>
      <c r="YN1189" s="23"/>
      <c r="YO1189" s="23"/>
      <c r="YP1189" s="23"/>
      <c r="YQ1189" s="23"/>
      <c r="YR1189" s="23"/>
      <c r="YS1189" s="23"/>
      <c r="YT1189" s="23"/>
      <c r="YU1189" s="23"/>
      <c r="YV1189" s="23"/>
      <c r="YW1189" s="23"/>
      <c r="YX1189" s="23"/>
      <c r="YY1189" s="23"/>
      <c r="YZ1189" s="23"/>
      <c r="ZA1189" s="23"/>
      <c r="ZB1189" s="23"/>
      <c r="ZC1189" s="23"/>
      <c r="ZD1189" s="23"/>
      <c r="ZE1189" s="23"/>
      <c r="ZF1189" s="23"/>
      <c r="ZG1189" s="23"/>
      <c r="ZH1189" s="23"/>
      <c r="ZI1189" s="23"/>
      <c r="ZJ1189" s="23"/>
      <c r="ZK1189" s="23"/>
      <c r="ZL1189" s="23"/>
      <c r="ZM1189" s="23"/>
      <c r="ZN1189" s="23"/>
      <c r="ZO1189" s="23"/>
      <c r="ZP1189" s="23"/>
      <c r="ZQ1189" s="23"/>
      <c r="ZR1189" s="23"/>
      <c r="ZS1189" s="23"/>
      <c r="ZT1189" s="23"/>
      <c r="ZU1189" s="23"/>
      <c r="ZV1189" s="23"/>
      <c r="ZW1189" s="23"/>
      <c r="ZX1189" s="23"/>
      <c r="ZY1189" s="23"/>
      <c r="ZZ1189" s="23"/>
      <c r="AAA1189" s="23"/>
      <c r="AAB1189" s="23"/>
      <c r="AAC1189" s="23"/>
      <c r="AAD1189" s="23"/>
      <c r="AAE1189" s="23"/>
      <c r="AAF1189" s="23"/>
      <c r="AAG1189" s="23"/>
      <c r="AAH1189" s="23"/>
      <c r="AAI1189" s="23"/>
      <c r="AAJ1189" s="23"/>
      <c r="AAK1189" s="23"/>
      <c r="AAL1189" s="23"/>
      <c r="AAM1189" s="23"/>
      <c r="AAN1189" s="23"/>
      <c r="AAO1189" s="23"/>
      <c r="AAP1189" s="23"/>
      <c r="AAQ1189" s="23"/>
      <c r="AAR1189" s="23"/>
      <c r="AAS1189" s="23"/>
      <c r="AAT1189" s="23"/>
      <c r="AAU1189" s="23"/>
      <c r="AAV1189" s="23"/>
      <c r="AAW1189" s="23"/>
      <c r="AAX1189" s="23"/>
      <c r="AAY1189" s="23"/>
      <c r="AAZ1189" s="23"/>
      <c r="ABA1189" s="23"/>
      <c r="ABB1189" s="23"/>
      <c r="ABC1189" s="23"/>
      <c r="ABD1189" s="23"/>
      <c r="ABE1189" s="23"/>
      <c r="ABF1189" s="23"/>
      <c r="ABG1189" s="23"/>
      <c r="ABH1189" s="23"/>
      <c r="ABI1189" s="23"/>
      <c r="ABJ1189" s="23"/>
      <c r="ABK1189" s="23"/>
      <c r="ABL1189" s="23"/>
      <c r="ABM1189" s="23"/>
      <c r="ABN1189" s="23"/>
      <c r="ABO1189" s="23"/>
      <c r="ABP1189" s="23"/>
      <c r="ABQ1189" s="23"/>
      <c r="ABR1189" s="23"/>
      <c r="ABS1189" s="23"/>
      <c r="ABT1189" s="23"/>
      <c r="ABU1189" s="23"/>
      <c r="ABV1189" s="23"/>
      <c r="ABW1189" s="23"/>
      <c r="ABX1189" s="23"/>
      <c r="ABY1189" s="23"/>
      <c r="ABZ1189" s="23"/>
      <c r="ACA1189" s="23"/>
      <c r="ACB1189" s="23"/>
      <c r="ACC1189" s="23"/>
      <c r="ACD1189" s="23"/>
      <c r="ACE1189" s="23"/>
      <c r="ACF1189" s="23"/>
      <c r="ACG1189" s="23"/>
      <c r="ACH1189" s="23"/>
      <c r="ACI1189" s="23"/>
      <c r="ACJ1189" s="23"/>
      <c r="ACK1189" s="23"/>
      <c r="ACL1189" s="23"/>
      <c r="ACM1189" s="23"/>
      <c r="ACN1189" s="23"/>
      <c r="ACO1189" s="23"/>
      <c r="ACP1189" s="23"/>
      <c r="ACQ1189" s="23"/>
      <c r="ACR1189" s="23"/>
      <c r="ACS1189" s="23"/>
      <c r="ACT1189" s="23"/>
      <c r="ACU1189" s="23"/>
      <c r="ACV1189" s="23"/>
      <c r="ACW1189" s="23"/>
      <c r="ACX1189" s="23"/>
      <c r="ACY1189" s="23"/>
      <c r="ACZ1189" s="23"/>
      <c r="ADA1189" s="23"/>
      <c r="ADB1189" s="23"/>
      <c r="ADC1189" s="23"/>
      <c r="ADD1189" s="23"/>
      <c r="ADE1189" s="23"/>
      <c r="ADF1189" s="23"/>
      <c r="ADG1189" s="23"/>
      <c r="ADH1189" s="23"/>
      <c r="ADI1189" s="23"/>
      <c r="ADJ1189" s="23"/>
      <c r="ADK1189" s="23"/>
      <c r="ADL1189" s="23"/>
      <c r="ADM1189" s="23"/>
      <c r="ADN1189" s="23"/>
      <c r="ADO1189" s="23"/>
      <c r="ADP1189" s="23"/>
      <c r="ADQ1189" s="23"/>
      <c r="ADR1189" s="23"/>
      <c r="ADS1189" s="23"/>
      <c r="ADT1189" s="23"/>
      <c r="ADU1189" s="23"/>
      <c r="ADV1189" s="23"/>
      <c r="ADW1189" s="23"/>
      <c r="ADX1189" s="23"/>
      <c r="ADY1189" s="23"/>
      <c r="ADZ1189" s="23"/>
      <c r="AEA1189" s="23"/>
      <c r="AEB1189" s="23"/>
      <c r="AEC1189" s="23"/>
      <c r="AED1189" s="23"/>
      <c r="AEE1189" s="23"/>
      <c r="AEF1189" s="23"/>
      <c r="AEG1189" s="23"/>
      <c r="AEH1189" s="23"/>
      <c r="AEI1189" s="23"/>
      <c r="AEJ1189" s="23"/>
      <c r="AEK1189" s="23"/>
      <c r="AEL1189" s="23"/>
      <c r="AEM1189" s="23"/>
      <c r="AEN1189" s="23"/>
      <c r="AEO1189" s="23"/>
      <c r="AEP1189" s="23"/>
      <c r="AEQ1189" s="23"/>
      <c r="AER1189" s="23"/>
      <c r="AES1189" s="23"/>
      <c r="AET1189" s="23"/>
      <c r="AEU1189" s="23"/>
      <c r="AEV1189" s="23"/>
      <c r="AEW1189" s="23"/>
      <c r="AEX1189" s="23"/>
      <c r="AEY1189" s="23"/>
      <c r="AEZ1189" s="23"/>
      <c r="AFA1189" s="23"/>
      <c r="AFB1189" s="23"/>
      <c r="AFC1189" s="23"/>
      <c r="AFD1189" s="23"/>
      <c r="AFE1189" s="23"/>
      <c r="AFF1189" s="23"/>
      <c r="AFG1189" s="23"/>
      <c r="AFH1189" s="23"/>
      <c r="AFI1189" s="23"/>
      <c r="AFJ1189" s="23"/>
      <c r="AFK1189" s="23"/>
      <c r="AFL1189" s="23"/>
      <c r="AFM1189" s="23"/>
      <c r="AFN1189" s="23"/>
      <c r="AFO1189" s="23"/>
      <c r="AFP1189" s="23"/>
      <c r="AFQ1189" s="23"/>
      <c r="AFR1189" s="23"/>
      <c r="AFS1189" s="23"/>
      <c r="AFT1189" s="23"/>
      <c r="AFU1189" s="23"/>
      <c r="AFV1189" s="23"/>
      <c r="AFW1189" s="23"/>
      <c r="AFX1189" s="23"/>
      <c r="AFY1189" s="23"/>
      <c r="AFZ1189" s="23"/>
      <c r="AGA1189" s="23"/>
      <c r="AGB1189" s="23"/>
      <c r="AGC1189" s="23"/>
      <c r="AGD1189" s="23"/>
      <c r="AGE1189" s="23"/>
      <c r="AGF1189" s="23"/>
      <c r="AGG1189" s="23"/>
      <c r="AGH1189" s="23"/>
      <c r="AGI1189" s="23"/>
      <c r="AGJ1189" s="23"/>
      <c r="AGK1189" s="23"/>
      <c r="AGL1189" s="23"/>
      <c r="AGM1189" s="23"/>
      <c r="AGN1189" s="23"/>
      <c r="AGO1189" s="23"/>
      <c r="AGP1189" s="23"/>
      <c r="AGQ1189" s="23"/>
      <c r="AGR1189" s="23"/>
      <c r="AGS1189" s="23"/>
      <c r="AGT1189" s="23"/>
      <c r="AGU1189" s="23"/>
      <c r="AGV1189" s="23"/>
      <c r="AGW1189" s="23"/>
      <c r="AGX1189" s="23"/>
      <c r="AGY1189" s="23"/>
      <c r="AGZ1189" s="23"/>
      <c r="AHA1189" s="23"/>
      <c r="AHB1189" s="23"/>
      <c r="AHC1189" s="23"/>
      <c r="AHD1189" s="23"/>
      <c r="AHE1189" s="23"/>
      <c r="AHF1189" s="23"/>
      <c r="AHG1189" s="23"/>
      <c r="AHH1189" s="23"/>
      <c r="AHI1189" s="23"/>
      <c r="AHJ1189" s="23"/>
      <c r="AHK1189" s="23"/>
      <c r="AHL1189" s="23"/>
      <c r="AHM1189" s="23"/>
      <c r="AHN1189" s="23"/>
      <c r="AHO1189" s="23"/>
      <c r="AHP1189" s="23"/>
      <c r="AHQ1189" s="23"/>
      <c r="AHR1189" s="23"/>
      <c r="AHS1189" s="23"/>
      <c r="AHT1189" s="23"/>
      <c r="AHU1189" s="23"/>
      <c r="AHV1189" s="23"/>
      <c r="AHW1189" s="23"/>
      <c r="AHX1189" s="23"/>
      <c r="AHY1189" s="23"/>
      <c r="AHZ1189" s="23"/>
      <c r="AIA1189" s="23"/>
      <c r="AIB1189" s="23"/>
      <c r="AIC1189" s="23"/>
      <c r="AID1189" s="23"/>
      <c r="AIE1189" s="23"/>
      <c r="AIF1189" s="23"/>
      <c r="AIG1189" s="23"/>
      <c r="AIH1189" s="23"/>
      <c r="AII1189" s="23"/>
      <c r="AIJ1189" s="23"/>
      <c r="AIK1189" s="23"/>
      <c r="AIL1189" s="23"/>
      <c r="AIM1189" s="23"/>
      <c r="AIN1189" s="23"/>
      <c r="AIO1189" s="23"/>
      <c r="AIP1189" s="23"/>
      <c r="AIQ1189" s="23"/>
      <c r="AIR1189" s="23"/>
      <c r="AIS1189" s="23"/>
      <c r="AIT1189" s="23"/>
      <c r="AIU1189" s="23"/>
      <c r="AIV1189" s="23"/>
      <c r="AIW1189" s="23"/>
      <c r="AIX1189" s="23"/>
      <c r="AIY1189" s="23"/>
      <c r="AIZ1189" s="23"/>
      <c r="AJA1189" s="23"/>
      <c r="AJB1189" s="23"/>
      <c r="AJC1189" s="23"/>
      <c r="AJD1189" s="23"/>
      <c r="AJE1189" s="23"/>
      <c r="AJF1189" s="23"/>
      <c r="AJG1189" s="23"/>
      <c r="AJH1189" s="23"/>
      <c r="AJI1189" s="23"/>
      <c r="AJJ1189" s="23"/>
      <c r="AJK1189" s="23"/>
      <c r="AJL1189" s="23"/>
      <c r="AJM1189" s="23"/>
      <c r="AJN1189" s="23"/>
      <c r="AJO1189" s="23"/>
      <c r="AJP1189" s="23"/>
      <c r="AJQ1189" s="23"/>
      <c r="AJR1189" s="23"/>
      <c r="AJS1189" s="23"/>
      <c r="AJT1189" s="23"/>
      <c r="AJU1189" s="23"/>
      <c r="AJV1189" s="23"/>
      <c r="AJW1189" s="23"/>
      <c r="AJX1189" s="23"/>
      <c r="AJY1189" s="23"/>
      <c r="AJZ1189" s="23"/>
      <c r="AKA1189" s="23"/>
      <c r="AKB1189" s="23"/>
      <c r="AKC1189" s="23"/>
      <c r="AKD1189" s="23"/>
      <c r="AKE1189" s="23"/>
      <c r="AKF1189" s="23"/>
      <c r="AKG1189" s="23"/>
      <c r="AKH1189" s="23"/>
      <c r="AKI1189" s="23"/>
      <c r="AKJ1189" s="23"/>
      <c r="AKK1189" s="23"/>
      <c r="AKL1189" s="23"/>
      <c r="AKM1189" s="23"/>
      <c r="AKN1189" s="23"/>
      <c r="AKO1189" s="23"/>
      <c r="AKP1189" s="23"/>
      <c r="AKQ1189" s="23"/>
      <c r="AKR1189" s="23"/>
      <c r="AKS1189" s="23"/>
      <c r="AKT1189" s="23"/>
      <c r="AKU1189" s="23"/>
      <c r="AKV1189" s="23"/>
      <c r="AKW1189" s="23"/>
      <c r="AKX1189" s="23"/>
      <c r="AKY1189" s="23"/>
      <c r="AKZ1189" s="23"/>
      <c r="ALA1189" s="23"/>
      <c r="ALB1189" s="23"/>
      <c r="ALC1189" s="23"/>
      <c r="ALD1189" s="23"/>
      <c r="ALE1189" s="23"/>
      <c r="ALF1189" s="23"/>
      <c r="ALG1189" s="23"/>
      <c r="ALH1189" s="23"/>
      <c r="ALI1189" s="23"/>
      <c r="ALJ1189" s="23"/>
      <c r="ALK1189" s="23"/>
      <c r="ALL1189" s="23"/>
      <c r="ALM1189" s="23"/>
      <c r="ALN1189" s="23"/>
      <c r="ALO1189" s="23"/>
      <c r="ALP1189" s="23"/>
      <c r="ALQ1189" s="23"/>
      <c r="ALR1189" s="23"/>
      <c r="ALS1189" s="23"/>
      <c r="ALT1189" s="23"/>
      <c r="ALU1189" s="23"/>
      <c r="ALV1189" s="23"/>
      <c r="ALW1189" s="23"/>
      <c r="ALX1189" s="23"/>
      <c r="ALY1189" s="23"/>
      <c r="ALZ1189" s="23"/>
      <c r="AMA1189" s="23"/>
      <c r="AMB1189" s="23"/>
      <c r="AMC1189" s="23"/>
      <c r="AMD1189" s="23"/>
      <c r="AME1189" s="23"/>
      <c r="AMF1189" s="23"/>
      <c r="AMG1189" s="23"/>
      <c r="AMH1189" s="23"/>
      <c r="AMI1189" s="23"/>
      <c r="AMJ1189" s="23"/>
      <c r="AMK1189" s="23"/>
      <c r="AML1189" s="23"/>
      <c r="AMM1189" s="23"/>
      <c r="AMN1189" s="23"/>
      <c r="AMO1189" s="23"/>
      <c r="AMP1189" s="23"/>
      <c r="AMQ1189" s="23"/>
      <c r="AMR1189" s="23"/>
      <c r="AMS1189" s="23"/>
      <c r="AMT1189" s="23"/>
      <c r="AMU1189" s="23"/>
      <c r="AMV1189" s="23"/>
      <c r="AMW1189" s="23"/>
      <c r="AMX1189" s="23"/>
      <c r="AMY1189" s="23"/>
      <c r="AMZ1189" s="23"/>
      <c r="ANA1189" s="23"/>
      <c r="ANB1189" s="23"/>
      <c r="ANC1189" s="23"/>
      <c r="AND1189" s="23"/>
      <c r="ANE1189" s="23"/>
      <c r="ANF1189" s="23"/>
      <c r="ANG1189" s="23"/>
      <c r="ANH1189" s="23"/>
      <c r="ANI1189" s="23"/>
      <c r="ANJ1189" s="23"/>
      <c r="ANK1189" s="23"/>
      <c r="ANL1189" s="23"/>
      <c r="ANM1189" s="23"/>
      <c r="ANN1189" s="23"/>
      <c r="ANO1189" s="23"/>
      <c r="ANP1189" s="23"/>
      <c r="ANQ1189" s="23"/>
      <c r="ANR1189" s="23"/>
      <c r="ANS1189" s="23"/>
      <c r="ANT1189" s="23"/>
      <c r="ANU1189" s="23"/>
      <c r="ANV1189" s="23"/>
      <c r="ANW1189" s="23"/>
      <c r="ANX1189" s="23"/>
      <c r="ANY1189" s="23"/>
      <c r="ANZ1189" s="23"/>
      <c r="AOA1189" s="23"/>
      <c r="AOB1189" s="23"/>
      <c r="AOC1189" s="23"/>
      <c r="AOD1189" s="23"/>
      <c r="AOE1189" s="23"/>
      <c r="AOF1189" s="23"/>
      <c r="AOG1189" s="23"/>
      <c r="AOH1189" s="23"/>
      <c r="AOI1189" s="23"/>
      <c r="AOJ1189" s="23"/>
      <c r="AOK1189" s="23"/>
      <c r="AOL1189" s="23"/>
      <c r="AOM1189" s="23"/>
      <c r="AON1189" s="23"/>
      <c r="AOO1189" s="23"/>
      <c r="AOP1189" s="23"/>
      <c r="AOQ1189" s="23"/>
      <c r="AOR1189" s="23"/>
      <c r="AOS1189" s="23"/>
      <c r="AOT1189" s="23"/>
      <c r="AOU1189" s="23"/>
      <c r="AOV1189" s="23"/>
      <c r="AOW1189" s="23"/>
      <c r="AOX1189" s="23"/>
      <c r="AOY1189" s="23"/>
      <c r="AOZ1189" s="23"/>
      <c r="APA1189" s="23"/>
      <c r="APB1189" s="23"/>
      <c r="APC1189" s="23"/>
      <c r="APD1189" s="23"/>
      <c r="APE1189" s="23"/>
      <c r="APF1189" s="23"/>
      <c r="APG1189" s="23"/>
      <c r="APH1189" s="23"/>
      <c r="API1189" s="23"/>
      <c r="APJ1189" s="23"/>
      <c r="APK1189" s="23"/>
      <c r="APL1189" s="23"/>
      <c r="APM1189" s="23"/>
      <c r="APN1189" s="23"/>
      <c r="APO1189" s="23"/>
      <c r="APP1189" s="23"/>
      <c r="APQ1189" s="23"/>
      <c r="APR1189" s="23"/>
      <c r="APS1189" s="23"/>
      <c r="APT1189" s="23"/>
      <c r="APU1189" s="23"/>
      <c r="APV1189" s="23"/>
      <c r="APW1189" s="23"/>
      <c r="APX1189" s="23"/>
      <c r="APY1189" s="23"/>
      <c r="APZ1189" s="23"/>
      <c r="AQA1189" s="23"/>
      <c r="AQB1189" s="23"/>
      <c r="AQC1189" s="23"/>
      <c r="AQD1189" s="23"/>
      <c r="AQE1189" s="23"/>
      <c r="AQF1189" s="23"/>
      <c r="AQG1189" s="23"/>
      <c r="AQH1189" s="23"/>
      <c r="AQI1189" s="23"/>
      <c r="AQJ1189" s="23"/>
      <c r="AQK1189" s="23"/>
      <c r="AQL1189" s="23"/>
      <c r="AQM1189" s="23"/>
      <c r="AQN1189" s="23"/>
      <c r="AQO1189" s="23"/>
      <c r="AQP1189" s="23"/>
      <c r="AQQ1189" s="23"/>
      <c r="AQR1189" s="23"/>
      <c r="AQS1189" s="23"/>
      <c r="AQT1189" s="23"/>
      <c r="AQU1189" s="23"/>
      <c r="AQV1189" s="23"/>
      <c r="AQW1189" s="23"/>
      <c r="AQX1189" s="23"/>
      <c r="AQY1189" s="23"/>
      <c r="AQZ1189" s="23"/>
      <c r="ARA1189" s="23"/>
      <c r="ARB1189" s="23"/>
      <c r="ARC1189" s="23"/>
      <c r="ARD1189" s="23"/>
      <c r="ARE1189" s="23"/>
      <c r="ARF1189" s="23"/>
      <c r="ARG1189" s="23"/>
      <c r="ARH1189" s="23"/>
      <c r="ARI1189" s="23"/>
      <c r="ARJ1189" s="23"/>
      <c r="ARK1189" s="23"/>
      <c r="ARL1189" s="23"/>
      <c r="ARM1189" s="23"/>
      <c r="ARN1189" s="23"/>
      <c r="ARO1189" s="23"/>
      <c r="ARP1189" s="23"/>
      <c r="ARQ1189" s="23"/>
      <c r="ARR1189" s="23"/>
      <c r="ARS1189" s="23"/>
      <c r="ART1189" s="23"/>
      <c r="ARU1189" s="23"/>
      <c r="ARV1189" s="23"/>
      <c r="ARW1189" s="23"/>
      <c r="ARX1189" s="23"/>
      <c r="ARY1189" s="23"/>
      <c r="ARZ1189" s="23"/>
      <c r="ASA1189" s="23"/>
      <c r="ASB1189" s="23"/>
      <c r="ASC1189" s="23"/>
      <c r="ASD1189" s="23"/>
      <c r="ASE1189" s="23"/>
      <c r="ASF1189" s="23"/>
      <c r="ASG1189" s="23"/>
      <c r="ASH1189" s="23"/>
      <c r="ASI1189" s="23"/>
      <c r="ASJ1189" s="23"/>
      <c r="ASK1189" s="23"/>
      <c r="ASL1189" s="23"/>
      <c r="ASM1189" s="23"/>
      <c r="ASN1189" s="23"/>
      <c r="ASO1189" s="23"/>
      <c r="ASP1189" s="23"/>
      <c r="ASQ1189" s="23"/>
      <c r="ASR1189" s="23"/>
      <c r="ASS1189" s="23"/>
      <c r="AST1189" s="23"/>
      <c r="ASU1189" s="23"/>
      <c r="ASV1189" s="23"/>
      <c r="ASW1189" s="23"/>
      <c r="ASX1189" s="23"/>
      <c r="ASY1189" s="23"/>
      <c r="ASZ1189" s="23"/>
      <c r="ATA1189" s="23"/>
      <c r="ATB1189" s="23"/>
      <c r="ATC1189" s="23"/>
      <c r="ATD1189" s="23"/>
      <c r="ATE1189" s="23"/>
      <c r="ATF1189" s="23"/>
      <c r="ATG1189" s="23"/>
      <c r="ATH1189" s="23"/>
      <c r="ATI1189" s="23"/>
      <c r="ATJ1189" s="23"/>
      <c r="ATK1189" s="23"/>
      <c r="ATL1189" s="23"/>
      <c r="ATM1189" s="23"/>
      <c r="ATN1189" s="23"/>
      <c r="ATO1189" s="23"/>
      <c r="ATP1189" s="23"/>
      <c r="ATQ1189" s="23"/>
      <c r="ATR1189" s="23"/>
      <c r="ATS1189" s="23"/>
      <c r="ATT1189" s="23"/>
      <c r="ATU1189" s="23"/>
      <c r="ATV1189" s="23"/>
      <c r="ATW1189" s="23"/>
      <c r="ATX1189" s="23"/>
      <c r="ATY1189" s="23"/>
      <c r="ATZ1189" s="23"/>
      <c r="AUA1189" s="23"/>
      <c r="AUB1189" s="23"/>
      <c r="AUC1189" s="23"/>
      <c r="AUD1189" s="23"/>
      <c r="AUE1189" s="23"/>
      <c r="AUF1189" s="23"/>
      <c r="AUG1189" s="23"/>
      <c r="AUH1189" s="23"/>
      <c r="AUI1189" s="23"/>
      <c r="AUJ1189" s="23"/>
      <c r="AUK1189" s="23"/>
      <c r="AUL1189" s="23"/>
      <c r="AUM1189" s="23"/>
      <c r="AUN1189" s="23"/>
      <c r="AUO1189" s="23"/>
      <c r="AUP1189" s="23"/>
      <c r="AUQ1189" s="23"/>
      <c r="AUR1189" s="23"/>
      <c r="AUS1189" s="23"/>
      <c r="AUT1189" s="23"/>
      <c r="AUU1189" s="23"/>
      <c r="AUV1189" s="23"/>
      <c r="AUW1189" s="23"/>
      <c r="AUX1189" s="23"/>
      <c r="AUY1189" s="23"/>
      <c r="AUZ1189" s="23"/>
      <c r="AVA1189" s="23"/>
      <c r="AVB1189" s="23"/>
      <c r="AVC1189" s="23"/>
      <c r="AVD1189" s="23"/>
      <c r="AVE1189" s="23"/>
      <c r="AVF1189" s="23"/>
      <c r="AVG1189" s="23"/>
      <c r="AVH1189" s="23"/>
      <c r="AVI1189" s="23"/>
      <c r="AVJ1189" s="23"/>
      <c r="AVK1189" s="23"/>
      <c r="AVL1189" s="23"/>
      <c r="AVM1189" s="23"/>
      <c r="AVN1189" s="23"/>
      <c r="AVO1189" s="23"/>
      <c r="AVP1189" s="23"/>
      <c r="AVQ1189" s="23"/>
      <c r="AVR1189" s="23"/>
      <c r="AVS1189" s="23"/>
      <c r="AVT1189" s="23"/>
      <c r="AVU1189" s="23"/>
      <c r="AVV1189" s="23"/>
      <c r="AVW1189" s="23"/>
      <c r="AVX1189" s="23"/>
      <c r="AVY1189" s="23"/>
      <c r="AVZ1189" s="23"/>
      <c r="AWA1189" s="23"/>
      <c r="AWB1189" s="23"/>
      <c r="AWC1189" s="23"/>
      <c r="AWD1189" s="23"/>
      <c r="AWE1189" s="23"/>
      <c r="AWF1189" s="23"/>
      <c r="AWG1189" s="23"/>
      <c r="AWH1189" s="23"/>
      <c r="AWI1189" s="23"/>
      <c r="AWJ1189" s="23"/>
      <c r="AWK1189" s="23"/>
      <c r="AWL1189" s="23"/>
      <c r="AWM1189" s="23"/>
      <c r="AWN1189" s="23"/>
      <c r="AWO1189" s="23"/>
      <c r="AWP1189" s="23"/>
      <c r="AWQ1189" s="23"/>
      <c r="AWR1189" s="23"/>
      <c r="AWS1189" s="23"/>
      <c r="AWT1189" s="23"/>
      <c r="AWU1189" s="23"/>
      <c r="AWV1189" s="23"/>
      <c r="AWW1189" s="23"/>
      <c r="AWX1189" s="23"/>
      <c r="AWY1189" s="23"/>
      <c r="AWZ1189" s="23"/>
      <c r="AXA1189" s="23"/>
      <c r="AXB1189" s="23"/>
      <c r="AXC1189" s="23"/>
      <c r="AXD1189" s="23"/>
      <c r="AXE1189" s="23"/>
      <c r="AXF1189" s="23"/>
      <c r="AXG1189" s="23"/>
      <c r="AXH1189" s="23"/>
      <c r="AXI1189" s="23"/>
      <c r="AXJ1189" s="23"/>
      <c r="AXK1189" s="23"/>
      <c r="AXL1189" s="23"/>
      <c r="AXM1189" s="23"/>
      <c r="AXN1189" s="23"/>
      <c r="AXO1189" s="23"/>
      <c r="AXP1189" s="23"/>
      <c r="AXQ1189" s="23"/>
      <c r="AXR1189" s="23"/>
      <c r="AXS1189" s="23"/>
      <c r="AXT1189" s="23"/>
      <c r="AXU1189" s="23"/>
      <c r="AXV1189" s="23"/>
      <c r="AXW1189" s="23"/>
      <c r="AXX1189" s="23"/>
      <c r="AXY1189" s="23"/>
      <c r="AXZ1189" s="23"/>
      <c r="AYA1189" s="23"/>
      <c r="AYB1189" s="23"/>
      <c r="AYC1189" s="23"/>
      <c r="AYD1189" s="23"/>
      <c r="AYE1189" s="23"/>
      <c r="AYF1189" s="23"/>
      <c r="AYG1189" s="23"/>
      <c r="AYH1189" s="23"/>
      <c r="AYI1189" s="23"/>
      <c r="AYJ1189" s="23"/>
      <c r="AYK1189" s="23"/>
      <c r="AYL1189" s="23"/>
      <c r="AYM1189" s="23"/>
      <c r="AYN1189" s="23"/>
      <c r="AYO1189" s="23"/>
      <c r="AYP1189" s="23"/>
      <c r="AYQ1189" s="23"/>
      <c r="AYR1189" s="23"/>
      <c r="AYS1189" s="23"/>
      <c r="AYT1189" s="23"/>
      <c r="AYU1189" s="23"/>
      <c r="AYV1189" s="23"/>
      <c r="AYW1189" s="23"/>
      <c r="AYX1189" s="23"/>
      <c r="AYY1189" s="23"/>
      <c r="AYZ1189" s="23"/>
      <c r="AZA1189" s="23"/>
      <c r="AZB1189" s="23"/>
      <c r="AZC1189" s="23"/>
      <c r="AZD1189" s="23"/>
      <c r="AZE1189" s="23"/>
      <c r="AZF1189" s="23"/>
      <c r="AZG1189" s="23"/>
      <c r="AZH1189" s="23"/>
      <c r="AZI1189" s="23"/>
      <c r="AZJ1189" s="23"/>
      <c r="AZK1189" s="23"/>
      <c r="AZL1189" s="23"/>
      <c r="AZM1189" s="23"/>
      <c r="AZN1189" s="23"/>
      <c r="AZO1189" s="23"/>
      <c r="AZP1189" s="23"/>
      <c r="AZQ1189" s="23"/>
      <c r="AZR1189" s="23"/>
      <c r="AZS1189" s="23"/>
      <c r="AZT1189" s="23"/>
      <c r="AZU1189" s="23"/>
      <c r="AZV1189" s="23"/>
      <c r="AZW1189" s="23"/>
      <c r="AZX1189" s="23"/>
      <c r="AZY1189" s="23"/>
      <c r="AZZ1189" s="23"/>
      <c r="BAA1189" s="23"/>
      <c r="BAB1189" s="23"/>
      <c r="BAC1189" s="23"/>
      <c r="BAD1189" s="23"/>
      <c r="BAE1189" s="23"/>
      <c r="BAF1189" s="23"/>
      <c r="BAG1189" s="23"/>
      <c r="BAH1189" s="23"/>
      <c r="BAI1189" s="23"/>
      <c r="BAJ1189" s="23"/>
      <c r="BAK1189" s="23"/>
      <c r="BAL1189" s="23"/>
      <c r="BAM1189" s="23"/>
      <c r="BAN1189" s="23"/>
      <c r="BAO1189" s="23"/>
      <c r="BAP1189" s="23"/>
      <c r="BAQ1189" s="23"/>
      <c r="BAR1189" s="23"/>
      <c r="BAS1189" s="23"/>
      <c r="BAT1189" s="23"/>
      <c r="BAU1189" s="23"/>
      <c r="BAV1189" s="23"/>
      <c r="BAW1189" s="23"/>
      <c r="BAX1189" s="23"/>
      <c r="BAY1189" s="23"/>
      <c r="BAZ1189" s="23"/>
      <c r="BBA1189" s="23"/>
      <c r="BBB1189" s="23"/>
      <c r="BBC1189" s="23"/>
      <c r="BBD1189" s="23"/>
      <c r="BBE1189" s="23"/>
      <c r="BBF1189" s="23"/>
      <c r="BBG1189" s="23"/>
      <c r="BBH1189" s="23"/>
      <c r="BBI1189" s="23"/>
      <c r="BBJ1189" s="23"/>
      <c r="BBK1189" s="23"/>
      <c r="BBL1189" s="23"/>
      <c r="BBM1189" s="23"/>
      <c r="BBN1189" s="23"/>
      <c r="BBO1189" s="23"/>
      <c r="BBP1189" s="23"/>
      <c r="BBQ1189" s="23"/>
      <c r="BBR1189" s="23"/>
      <c r="BBS1189" s="23"/>
      <c r="BBT1189" s="23"/>
      <c r="BBU1189" s="23"/>
      <c r="BBV1189" s="23"/>
      <c r="BBW1189" s="23"/>
      <c r="BBX1189" s="23"/>
      <c r="BBY1189" s="23"/>
      <c r="BBZ1189" s="23"/>
      <c r="BCA1189" s="23"/>
      <c r="BCB1189" s="23"/>
      <c r="BCC1189" s="23"/>
      <c r="BCD1189" s="23"/>
      <c r="BCE1189" s="23"/>
      <c r="BCF1189" s="23"/>
      <c r="BCG1189" s="23"/>
      <c r="BCH1189" s="23"/>
      <c r="BCI1189" s="23"/>
      <c r="BCJ1189" s="23"/>
      <c r="BCK1189" s="23"/>
      <c r="BCL1189" s="23"/>
      <c r="BCM1189" s="23"/>
      <c r="BCN1189" s="23"/>
      <c r="BCO1189" s="23"/>
      <c r="BCP1189" s="23"/>
      <c r="BCQ1189" s="23"/>
      <c r="BCR1189" s="23"/>
      <c r="BCS1189" s="23"/>
      <c r="BCT1189" s="23"/>
      <c r="BCU1189" s="23"/>
      <c r="BCV1189" s="23"/>
      <c r="BCW1189" s="23"/>
      <c r="BCX1189" s="23"/>
      <c r="BCY1189" s="23"/>
      <c r="BCZ1189" s="23"/>
      <c r="BDA1189" s="23"/>
      <c r="BDB1189" s="23"/>
      <c r="BDC1189" s="23"/>
      <c r="BDD1189" s="23"/>
      <c r="BDE1189" s="23"/>
      <c r="BDF1189" s="23"/>
      <c r="BDG1189" s="23"/>
      <c r="BDH1189" s="23"/>
      <c r="BDI1189" s="23"/>
      <c r="BDJ1189" s="23"/>
      <c r="BDK1189" s="23"/>
      <c r="BDL1189" s="23"/>
      <c r="BDM1189" s="23"/>
      <c r="BDN1189" s="23"/>
      <c r="BDO1189" s="23"/>
      <c r="BDP1189" s="23"/>
      <c r="BDQ1189" s="23"/>
      <c r="BDR1189" s="23"/>
      <c r="BDS1189" s="23"/>
      <c r="BDT1189" s="23"/>
      <c r="BDU1189" s="23"/>
      <c r="BDV1189" s="23"/>
      <c r="BDW1189" s="23"/>
      <c r="BDX1189" s="23"/>
      <c r="BDY1189" s="23"/>
      <c r="BDZ1189" s="23"/>
      <c r="BEA1189" s="23"/>
      <c r="BEB1189" s="23"/>
      <c r="BEC1189" s="23"/>
      <c r="BED1189" s="23"/>
      <c r="BEE1189" s="23"/>
      <c r="BEF1189" s="23"/>
      <c r="BEG1189" s="23"/>
      <c r="BEH1189" s="23"/>
      <c r="BEI1189" s="23"/>
      <c r="BEJ1189" s="23"/>
      <c r="BEK1189" s="23"/>
      <c r="BEL1189" s="23"/>
      <c r="BEM1189" s="23"/>
      <c r="BEN1189" s="23"/>
      <c r="BEO1189" s="23"/>
      <c r="BEP1189" s="23"/>
      <c r="BEQ1189" s="23"/>
      <c r="BER1189" s="23"/>
      <c r="BES1189" s="23"/>
      <c r="BET1189" s="23"/>
      <c r="BEU1189" s="23"/>
      <c r="BEV1189" s="23"/>
      <c r="BEW1189" s="23"/>
      <c r="BEX1189" s="23"/>
      <c r="BEY1189" s="23"/>
      <c r="BEZ1189" s="23"/>
      <c r="BFA1189" s="23"/>
      <c r="BFB1189" s="23"/>
      <c r="BFC1189" s="23"/>
      <c r="BFD1189" s="23"/>
      <c r="BFE1189" s="23"/>
      <c r="BFF1189" s="23"/>
      <c r="BFG1189" s="23"/>
      <c r="BFH1189" s="23"/>
      <c r="BFI1189" s="23"/>
      <c r="BFJ1189" s="23"/>
      <c r="BFK1189" s="23"/>
      <c r="BFL1189" s="23"/>
      <c r="BFM1189" s="23"/>
      <c r="BFN1189" s="23"/>
      <c r="BFO1189" s="23"/>
      <c r="BFP1189" s="23"/>
      <c r="BFQ1189" s="23"/>
      <c r="BFR1189" s="23"/>
      <c r="BFS1189" s="23"/>
      <c r="BFT1189" s="23"/>
      <c r="BFU1189" s="23"/>
      <c r="BFV1189" s="23"/>
      <c r="BFW1189" s="23"/>
      <c r="BFX1189" s="23"/>
      <c r="BFY1189" s="23"/>
      <c r="BFZ1189" s="23"/>
      <c r="BGA1189" s="23"/>
      <c r="BGB1189" s="23"/>
      <c r="BGC1189" s="23"/>
      <c r="BGD1189" s="23"/>
      <c r="BGE1189" s="23"/>
      <c r="BGF1189" s="23"/>
      <c r="BGG1189" s="23"/>
      <c r="BGH1189" s="23"/>
      <c r="BGI1189" s="23"/>
      <c r="BGJ1189" s="23"/>
      <c r="BGK1189" s="23"/>
      <c r="BGL1189" s="23"/>
      <c r="BGM1189" s="23"/>
      <c r="BGN1189" s="23"/>
      <c r="BGO1189" s="23"/>
      <c r="BGP1189" s="23"/>
      <c r="BGQ1189" s="23"/>
      <c r="BGR1189" s="23"/>
      <c r="BGS1189" s="23"/>
      <c r="BGT1189" s="23"/>
      <c r="BGU1189" s="23"/>
      <c r="BGV1189" s="23"/>
      <c r="BGW1189" s="23"/>
      <c r="BGX1189" s="23"/>
      <c r="BGY1189" s="23"/>
      <c r="BGZ1189" s="23"/>
      <c r="BHA1189" s="23"/>
      <c r="BHB1189" s="23"/>
      <c r="BHC1189" s="23"/>
      <c r="BHD1189" s="23"/>
      <c r="BHE1189" s="23"/>
      <c r="BHF1189" s="23"/>
      <c r="BHG1189" s="23"/>
      <c r="BHH1189" s="23"/>
      <c r="BHI1189" s="23"/>
      <c r="BHJ1189" s="23"/>
      <c r="BHK1189" s="23"/>
      <c r="BHL1189" s="23"/>
      <c r="BHM1189" s="23"/>
      <c r="BHN1189" s="23"/>
      <c r="BHO1189" s="23"/>
      <c r="BHP1189" s="23"/>
      <c r="BHQ1189" s="23"/>
      <c r="BHR1189" s="23"/>
      <c r="BHS1189" s="23"/>
      <c r="BHT1189" s="23"/>
      <c r="BHU1189" s="23"/>
      <c r="BHV1189" s="23"/>
      <c r="BHW1189" s="23"/>
      <c r="BHX1189" s="23"/>
      <c r="BHY1189" s="23"/>
      <c r="BHZ1189" s="23"/>
      <c r="BIA1189" s="23"/>
      <c r="BIB1189" s="23"/>
      <c r="BIC1189" s="23"/>
      <c r="BID1189" s="23"/>
      <c r="BIE1189" s="23"/>
      <c r="BIF1189" s="23"/>
      <c r="BIG1189" s="23"/>
      <c r="BIH1189" s="23"/>
      <c r="BII1189" s="23"/>
      <c r="BIJ1189" s="23"/>
      <c r="BIK1189" s="23"/>
      <c r="BIL1189" s="23"/>
      <c r="BIM1189" s="23"/>
      <c r="BIN1189" s="23"/>
      <c r="BIO1189" s="23"/>
      <c r="BIP1189" s="23"/>
      <c r="BIQ1189" s="23"/>
      <c r="BIR1189" s="23"/>
      <c r="BIS1189" s="23"/>
      <c r="BIT1189" s="23"/>
      <c r="BIU1189" s="23"/>
      <c r="BIV1189" s="23"/>
      <c r="BIW1189" s="23"/>
      <c r="BIX1189" s="23"/>
      <c r="BIY1189" s="23"/>
      <c r="BIZ1189" s="23"/>
      <c r="BJA1189" s="23"/>
      <c r="BJB1189" s="23"/>
      <c r="BJC1189" s="23"/>
      <c r="BJD1189" s="23"/>
      <c r="BJE1189" s="23"/>
      <c r="BJF1189" s="23"/>
      <c r="BJG1189" s="23"/>
      <c r="BJH1189" s="23"/>
      <c r="BJI1189" s="23"/>
      <c r="BJJ1189" s="23"/>
      <c r="BJK1189" s="23"/>
      <c r="BJL1189" s="23"/>
      <c r="BJM1189" s="23"/>
      <c r="BJN1189" s="23"/>
      <c r="BJO1189" s="23"/>
      <c r="BJP1189" s="23"/>
      <c r="BJQ1189" s="23"/>
      <c r="BJR1189" s="23"/>
      <c r="BJS1189" s="23"/>
      <c r="BJT1189" s="23"/>
      <c r="BJU1189" s="23"/>
      <c r="BJV1189" s="23"/>
      <c r="BJW1189" s="23"/>
      <c r="BJX1189" s="23"/>
      <c r="BJY1189" s="23"/>
      <c r="BJZ1189" s="23"/>
      <c r="BKA1189" s="23"/>
      <c r="BKB1189" s="23"/>
      <c r="BKC1189" s="23"/>
      <c r="BKD1189" s="23"/>
      <c r="BKE1189" s="23"/>
      <c r="BKF1189" s="23"/>
      <c r="BKG1189" s="23"/>
      <c r="BKH1189" s="23"/>
      <c r="BKI1189" s="23"/>
      <c r="BKJ1189" s="23"/>
      <c r="BKK1189" s="23"/>
      <c r="BKL1189" s="23"/>
      <c r="BKM1189" s="23"/>
      <c r="BKN1189" s="23"/>
      <c r="BKO1189" s="23"/>
      <c r="BKP1189" s="23"/>
      <c r="BKQ1189" s="23"/>
      <c r="BKR1189" s="23"/>
      <c r="BKS1189" s="23"/>
      <c r="BKT1189" s="23"/>
      <c r="BKU1189" s="23"/>
      <c r="BKV1189" s="23"/>
      <c r="BKW1189" s="23"/>
      <c r="BKX1189" s="23"/>
      <c r="BKY1189" s="23"/>
      <c r="BKZ1189" s="23"/>
      <c r="BLA1189" s="23"/>
      <c r="BLB1189" s="23"/>
      <c r="BLC1189" s="23"/>
      <c r="BLD1189" s="23"/>
      <c r="BLE1189" s="23"/>
      <c r="BLF1189" s="23"/>
      <c r="BLG1189" s="23"/>
      <c r="BLH1189" s="23"/>
      <c r="BLI1189" s="23"/>
      <c r="BLJ1189" s="23"/>
      <c r="BLK1189" s="23"/>
      <c r="BLL1189" s="23"/>
      <c r="BLM1189" s="23"/>
      <c r="BLN1189" s="23"/>
      <c r="BLO1189" s="23"/>
      <c r="BLP1189" s="23"/>
      <c r="BLQ1189" s="23"/>
      <c r="BLR1189" s="23"/>
      <c r="BLS1189" s="23"/>
      <c r="BLT1189" s="23"/>
      <c r="BLU1189" s="23"/>
      <c r="BLV1189" s="23"/>
      <c r="BLW1189" s="23"/>
      <c r="BLX1189" s="23"/>
      <c r="BLY1189" s="23"/>
      <c r="BLZ1189" s="23"/>
      <c r="BMA1189" s="23"/>
      <c r="BMB1189" s="23"/>
      <c r="BMC1189" s="23"/>
      <c r="BMD1189" s="23"/>
      <c r="BME1189" s="23"/>
      <c r="BMF1189" s="23"/>
      <c r="BMG1189" s="23"/>
      <c r="BMH1189" s="23"/>
      <c r="BMI1189" s="23"/>
      <c r="BMJ1189" s="23"/>
      <c r="BMK1189" s="23"/>
      <c r="BML1189" s="23"/>
      <c r="BMM1189" s="23"/>
      <c r="BMN1189" s="23"/>
      <c r="BMO1189" s="23"/>
      <c r="BMP1189" s="23"/>
      <c r="BMQ1189" s="23"/>
      <c r="BMR1189" s="23"/>
      <c r="BMS1189" s="23"/>
      <c r="BMT1189" s="23"/>
      <c r="BMU1189" s="23"/>
      <c r="BMV1189" s="23"/>
      <c r="BMW1189" s="23"/>
      <c r="BMX1189" s="23"/>
      <c r="BMY1189" s="23"/>
      <c r="BMZ1189" s="23"/>
      <c r="BNA1189" s="23"/>
      <c r="BNB1189" s="23"/>
      <c r="BNC1189" s="23"/>
      <c r="BND1189" s="23"/>
      <c r="BNE1189" s="23"/>
      <c r="BNF1189" s="23"/>
      <c r="BNG1189" s="23"/>
      <c r="BNH1189" s="23"/>
      <c r="BNI1189" s="23"/>
      <c r="BNJ1189" s="23"/>
      <c r="BNK1189" s="23"/>
      <c r="BNL1189" s="23"/>
      <c r="BNM1189" s="23"/>
      <c r="BNN1189" s="23"/>
      <c r="BNO1189" s="23"/>
      <c r="BNP1189" s="23"/>
      <c r="BNQ1189" s="23"/>
      <c r="BNR1189" s="23"/>
      <c r="BNS1189" s="23"/>
      <c r="BNT1189" s="23"/>
      <c r="BNU1189" s="23"/>
      <c r="BNV1189" s="23"/>
      <c r="BNW1189" s="23"/>
      <c r="BNX1189" s="23"/>
      <c r="BNY1189" s="23"/>
      <c r="BNZ1189" s="23"/>
      <c r="BOA1189" s="23"/>
      <c r="BOB1189" s="23"/>
      <c r="BOC1189" s="23"/>
      <c r="BOD1189" s="23"/>
      <c r="BOE1189" s="23"/>
      <c r="BOF1189" s="23"/>
      <c r="BOG1189" s="23"/>
      <c r="BOH1189" s="23"/>
      <c r="BOI1189" s="23"/>
      <c r="BOJ1189" s="23"/>
      <c r="BOK1189" s="23"/>
      <c r="BOL1189" s="23"/>
      <c r="BOM1189" s="23"/>
      <c r="BON1189" s="23"/>
      <c r="BOO1189" s="23"/>
      <c r="BOP1189" s="23"/>
      <c r="BOQ1189" s="23"/>
      <c r="BOR1189" s="23"/>
      <c r="BOS1189" s="23"/>
      <c r="BOT1189" s="23"/>
      <c r="BOU1189" s="23"/>
      <c r="BOV1189" s="23"/>
      <c r="BOW1189" s="23"/>
      <c r="BOX1189" s="23"/>
      <c r="BOY1189" s="23"/>
      <c r="BOZ1189" s="23"/>
      <c r="BPA1189" s="23"/>
      <c r="BPB1189" s="23"/>
      <c r="BPC1189" s="23"/>
      <c r="BPD1189" s="23"/>
      <c r="BPE1189" s="23"/>
      <c r="BPF1189" s="23"/>
      <c r="BPG1189" s="23"/>
      <c r="BPH1189" s="23"/>
      <c r="BPI1189" s="23"/>
      <c r="BPJ1189" s="23"/>
      <c r="BPK1189" s="23"/>
      <c r="BPL1189" s="23"/>
      <c r="BPM1189" s="23"/>
      <c r="BPN1189" s="23"/>
      <c r="BPO1189" s="23"/>
      <c r="BPP1189" s="23"/>
      <c r="BPQ1189" s="23"/>
      <c r="BPR1189" s="23"/>
      <c r="BPS1189" s="23"/>
      <c r="BPT1189" s="23"/>
      <c r="BPU1189" s="23"/>
      <c r="BPV1189" s="23"/>
      <c r="BPW1189" s="23"/>
      <c r="BPX1189" s="23"/>
      <c r="BPY1189" s="23"/>
      <c r="BPZ1189" s="23"/>
      <c r="BQA1189" s="23"/>
      <c r="BQB1189" s="23"/>
      <c r="BQC1189" s="23"/>
      <c r="BQD1189" s="23"/>
      <c r="BQE1189" s="23"/>
      <c r="BQF1189" s="23"/>
      <c r="BQG1189" s="23"/>
      <c r="BQH1189" s="23"/>
      <c r="BQI1189" s="23"/>
      <c r="BQJ1189" s="23"/>
      <c r="BQK1189" s="23"/>
      <c r="BQL1189" s="23"/>
      <c r="BQM1189" s="23"/>
      <c r="BQN1189" s="23"/>
      <c r="BQO1189" s="23"/>
      <c r="BQP1189" s="23"/>
      <c r="BQQ1189" s="23"/>
      <c r="BQR1189" s="23"/>
      <c r="BQS1189" s="23"/>
      <c r="BQT1189" s="23"/>
      <c r="BQU1189" s="23"/>
      <c r="BQV1189" s="23"/>
      <c r="BQW1189" s="23"/>
      <c r="BQX1189" s="23"/>
      <c r="BQY1189" s="23"/>
      <c r="BQZ1189" s="23"/>
      <c r="BRA1189" s="23"/>
      <c r="BRB1189" s="23"/>
      <c r="BRC1189" s="23"/>
      <c r="BRD1189" s="23"/>
      <c r="BRE1189" s="23"/>
      <c r="BRF1189" s="23"/>
      <c r="BRG1189" s="23"/>
      <c r="BRH1189" s="23"/>
      <c r="BRI1189" s="23"/>
      <c r="BRJ1189" s="23"/>
      <c r="BRK1189" s="23"/>
      <c r="BRL1189" s="23"/>
      <c r="BRM1189" s="23"/>
      <c r="BRN1189" s="23"/>
      <c r="BRO1189" s="23"/>
      <c r="BRP1189" s="23"/>
      <c r="BRQ1189" s="23"/>
      <c r="BRR1189" s="23"/>
      <c r="BRS1189" s="23"/>
      <c r="BRT1189" s="23"/>
      <c r="BRU1189" s="23"/>
      <c r="BRV1189" s="23"/>
      <c r="BRW1189" s="23"/>
      <c r="BRX1189" s="23"/>
      <c r="BRY1189" s="23"/>
      <c r="BRZ1189" s="23"/>
      <c r="BSA1189" s="23"/>
      <c r="BSB1189" s="23"/>
      <c r="BSC1189" s="23"/>
      <c r="BSD1189" s="23"/>
      <c r="BSE1189" s="23"/>
      <c r="BSF1189" s="23"/>
      <c r="BSG1189" s="23"/>
      <c r="BSH1189" s="23"/>
      <c r="BSI1189" s="23"/>
      <c r="BSJ1189" s="23"/>
      <c r="BSK1189" s="23"/>
      <c r="BSL1189" s="23"/>
      <c r="BSM1189" s="23"/>
      <c r="BSN1189" s="23"/>
      <c r="BSO1189" s="23"/>
      <c r="BSP1189" s="23"/>
      <c r="BSQ1189" s="23"/>
      <c r="BSR1189" s="23"/>
      <c r="BSS1189" s="23"/>
      <c r="BST1189" s="23"/>
      <c r="BSU1189" s="23"/>
      <c r="BSV1189" s="23"/>
      <c r="BSW1189" s="23"/>
      <c r="BSX1189" s="23"/>
      <c r="BSY1189" s="23"/>
      <c r="BSZ1189" s="23"/>
      <c r="BTA1189" s="23"/>
    </row>
    <row r="1190" spans="1:1873" s="149" customFormat="1" ht="12.75" customHeight="1" x14ac:dyDescent="0.25">
      <c r="A1190" s="263" t="s">
        <v>560</v>
      </c>
      <c r="B1190" s="263" t="s">
        <v>1268</v>
      </c>
      <c r="C1190" s="600" t="s">
        <v>109</v>
      </c>
      <c r="D1190" s="263" t="s">
        <v>1400</v>
      </c>
      <c r="E1190" s="257" t="s">
        <v>855</v>
      </c>
      <c r="F1190" s="600">
        <v>1</v>
      </c>
      <c r="G1190" s="600">
        <v>6</v>
      </c>
      <c r="H1190" s="600">
        <v>6</v>
      </c>
      <c r="I1190" s="257" t="s">
        <v>856</v>
      </c>
      <c r="J1190" s="599">
        <v>1982</v>
      </c>
      <c r="K1190" s="257" t="s">
        <v>1211</v>
      </c>
      <c r="L1190" s="608">
        <v>1987</v>
      </c>
      <c r="M1190" s="261">
        <v>-9999</v>
      </c>
      <c r="N1190" s="257">
        <v>-9999</v>
      </c>
      <c r="O1190" s="29"/>
      <c r="P1190" s="602">
        <v>43.62</v>
      </c>
      <c r="Q1190" s="257">
        <v>-9999</v>
      </c>
      <c r="R1190" s="261"/>
      <c r="S1190" s="257"/>
      <c r="T1190" s="370">
        <v>7.27</v>
      </c>
      <c r="U1190" s="257">
        <v>-9999</v>
      </c>
      <c r="V1190" s="257"/>
      <c r="W1190" s="609">
        <f>+P1190-P1189</f>
        <v>6.32</v>
      </c>
      <c r="X1190" s="257">
        <v>-9999</v>
      </c>
      <c r="Y1190" s="257"/>
      <c r="Z1190" s="327" t="s">
        <v>1705</v>
      </c>
      <c r="AA1190" s="605">
        <v>2691</v>
      </c>
      <c r="AB1190" s="611">
        <v>0.9</v>
      </c>
      <c r="AC1190" s="257">
        <v>10.3</v>
      </c>
      <c r="AD1190" s="602">
        <f t="shared" si="124"/>
        <v>966</v>
      </c>
      <c r="AE1190" s="263" t="s">
        <v>97</v>
      </c>
      <c r="AF1190" s="600">
        <v>1</v>
      </c>
      <c r="AG1190" s="257">
        <v>2</v>
      </c>
      <c r="AH1190" s="257" t="s">
        <v>98</v>
      </c>
      <c r="AI1190" s="257" t="s">
        <v>985</v>
      </c>
      <c r="AJ1190" s="257">
        <v>-9999</v>
      </c>
      <c r="AK1190" s="257" t="s">
        <v>99</v>
      </c>
      <c r="AL1190" s="257" t="s">
        <v>828</v>
      </c>
      <c r="AM1190" s="257">
        <v>-9999</v>
      </c>
      <c r="AN1190" s="257" t="s">
        <v>631</v>
      </c>
      <c r="AO1190" s="257">
        <v>-9999</v>
      </c>
      <c r="AP1190" s="257">
        <v>-9999</v>
      </c>
      <c r="AQ1190" s="257" t="s">
        <v>631</v>
      </c>
      <c r="AR1190" s="257">
        <v>0</v>
      </c>
      <c r="AS1190" s="257">
        <v>-9999</v>
      </c>
      <c r="AT1190" s="257">
        <v>-9999</v>
      </c>
      <c r="AU1190" s="257">
        <v>0</v>
      </c>
      <c r="AV1190" s="257">
        <v>-9999</v>
      </c>
      <c r="AW1190" s="257"/>
      <c r="AX1190" s="257">
        <v>0</v>
      </c>
      <c r="AY1190" s="257">
        <v>-9999</v>
      </c>
      <c r="AZ1190" s="257">
        <v>-9999</v>
      </c>
      <c r="BA1190" s="257" t="s">
        <v>100</v>
      </c>
      <c r="BB1190" s="257" t="s">
        <v>626</v>
      </c>
      <c r="BC1190" s="257" t="s">
        <v>101</v>
      </c>
      <c r="BD1190" s="257" t="s">
        <v>102</v>
      </c>
      <c r="BE1190" s="257" t="s">
        <v>103</v>
      </c>
      <c r="BF1190" s="257" t="s">
        <v>104</v>
      </c>
      <c r="BG1190" s="257" t="s">
        <v>105</v>
      </c>
      <c r="BH1190" s="257" t="s">
        <v>106</v>
      </c>
      <c r="BI1190" s="257">
        <v>-9999</v>
      </c>
      <c r="BJ1190" s="257">
        <v>-9999</v>
      </c>
      <c r="BK1190" s="257">
        <v>-9999</v>
      </c>
      <c r="BL1190" s="602">
        <v>8.5</v>
      </c>
      <c r="BM1190" s="257">
        <v>-9999</v>
      </c>
      <c r="BN1190" s="602">
        <v>9.4</v>
      </c>
      <c r="BO1190" s="257">
        <v>-9999</v>
      </c>
      <c r="BP1190" s="257">
        <v>-9999</v>
      </c>
      <c r="BQ1190" s="257">
        <v>-9999</v>
      </c>
      <c r="BR1190" s="257">
        <v>-9999</v>
      </c>
      <c r="BS1190" s="263">
        <v>-9999</v>
      </c>
      <c r="BT1190" s="257">
        <v>-9999</v>
      </c>
      <c r="BU1190" s="257">
        <v>-9999</v>
      </c>
      <c r="BV1190" s="257">
        <v>-9999</v>
      </c>
      <c r="BW1190" s="257"/>
      <c r="BX1190" s="257">
        <v>-9999</v>
      </c>
      <c r="BY1190" s="257">
        <v>-9999</v>
      </c>
      <c r="BZ1190" s="257">
        <v>-9999</v>
      </c>
      <c r="CA1190" s="300" t="s">
        <v>107</v>
      </c>
      <c r="CB1190" s="264" t="s">
        <v>561</v>
      </c>
      <c r="CC1190" s="600">
        <v>1</v>
      </c>
      <c r="CD1190" s="600">
        <v>6</v>
      </c>
      <c r="CE1190" s="168">
        <v>7.27</v>
      </c>
      <c r="CF1190" s="168">
        <v>6.32</v>
      </c>
      <c r="CG1190" s="161">
        <v>6</v>
      </c>
    </row>
    <row r="1191" spans="1:1873" s="149" customFormat="1" ht="12.75" customHeight="1" x14ac:dyDescent="0.25">
      <c r="A1191" s="263"/>
      <c r="B1191" s="263"/>
      <c r="C1191" s="600"/>
      <c r="D1191" s="600"/>
      <c r="E1191" s="257"/>
      <c r="F1191" s="600"/>
      <c r="G1191" s="600"/>
      <c r="H1191" s="600"/>
      <c r="I1191" s="257"/>
      <c r="J1191" s="599"/>
      <c r="K1191" s="257"/>
      <c r="L1191" s="600"/>
      <c r="M1191" s="261"/>
      <c r="N1191" s="257"/>
      <c r="O1191" s="29"/>
      <c r="P1191" s="602"/>
      <c r="Q1191" s="257"/>
      <c r="R1191" s="261"/>
      <c r="S1191" s="257"/>
      <c r="T1191" s="370"/>
      <c r="U1191" s="257"/>
      <c r="V1191" s="257"/>
      <c r="W1191" s="609"/>
      <c r="X1191" s="257"/>
      <c r="Y1191" s="257"/>
      <c r="Z1191" s="327" t="s">
        <v>1705</v>
      </c>
      <c r="AA1191" s="605"/>
      <c r="AB1191" s="611"/>
      <c r="AC1191" s="257"/>
      <c r="AD1191" s="602"/>
      <c r="AE1191" s="263"/>
      <c r="AF1191" s="600"/>
      <c r="AG1191" s="599"/>
      <c r="AH1191" s="257"/>
      <c r="AI1191" s="257"/>
      <c r="AJ1191" s="257"/>
      <c r="AK1191" s="257"/>
      <c r="AL1191" s="257"/>
      <c r="AM1191" s="257"/>
      <c r="AN1191" s="257"/>
      <c r="AO1191" s="257"/>
      <c r="AP1191" s="257"/>
      <c r="AQ1191" s="257"/>
      <c r="AR1191" s="257"/>
      <c r="AS1191" s="257"/>
      <c r="AT1191" s="257"/>
      <c r="AU1191" s="257"/>
      <c r="AV1191" s="257"/>
      <c r="AW1191" s="257"/>
      <c r="AX1191" s="257"/>
      <c r="AY1191" s="257"/>
      <c r="AZ1191" s="257"/>
      <c r="BA1191" s="257"/>
      <c r="BB1191" s="257"/>
      <c r="BC1191" s="257"/>
      <c r="BD1191" s="257"/>
      <c r="BE1191" s="257"/>
      <c r="BF1191" s="257"/>
      <c r="BG1191" s="257"/>
      <c r="BH1191" s="257"/>
      <c r="BI1191" s="257"/>
      <c r="BJ1191" s="257"/>
      <c r="BK1191" s="257"/>
      <c r="BL1191" s="602"/>
      <c r="BM1191" s="257"/>
      <c r="BN1191" s="602"/>
      <c r="BO1191" s="257"/>
      <c r="BP1191" s="257"/>
      <c r="BQ1191" s="257"/>
      <c r="BR1191" s="257"/>
      <c r="BS1191" s="263"/>
      <c r="BT1191" s="257"/>
      <c r="BU1191" s="257"/>
      <c r="BV1191" s="257"/>
      <c r="BW1191" s="257"/>
      <c r="BX1191" s="257"/>
      <c r="BY1191" s="257"/>
      <c r="BZ1191" s="257"/>
      <c r="CA1191" s="300"/>
      <c r="CB1191" s="264"/>
      <c r="CC1191" s="600"/>
      <c r="CD1191" s="600"/>
      <c r="CE1191" s="168"/>
      <c r="CF1191" s="168"/>
      <c r="CG1191" s="161"/>
    </row>
    <row r="1192" spans="1:1873" s="149" customFormat="1" ht="12.75" customHeight="1" x14ac:dyDescent="0.25">
      <c r="A1192" s="263" t="s">
        <v>560</v>
      </c>
      <c r="B1192" s="263" t="s">
        <v>1268</v>
      </c>
      <c r="C1192" s="600" t="s">
        <v>109</v>
      </c>
      <c r="D1192" s="263" t="s">
        <v>1400</v>
      </c>
      <c r="E1192" s="257" t="s">
        <v>855</v>
      </c>
      <c r="F1192" s="600">
        <v>2</v>
      </c>
      <c r="G1192" s="600">
        <v>1</v>
      </c>
      <c r="H1192" s="600">
        <v>3</v>
      </c>
      <c r="I1192" s="257" t="s">
        <v>856</v>
      </c>
      <c r="J1192" s="599">
        <v>1982</v>
      </c>
      <c r="K1192" s="257" t="s">
        <v>1211</v>
      </c>
      <c r="L1192" s="608">
        <v>1984</v>
      </c>
      <c r="M1192" s="261">
        <v>-9999</v>
      </c>
      <c r="N1192" s="257">
        <v>-9999</v>
      </c>
      <c r="O1192" s="29"/>
      <c r="P1192" s="602">
        <v>1.4</v>
      </c>
      <c r="Q1192" s="257">
        <v>-9999</v>
      </c>
      <c r="R1192" s="261"/>
      <c r="S1192" s="257"/>
      <c r="T1192" s="370">
        <v>1.4</v>
      </c>
      <c r="U1192" s="257">
        <v>-9999</v>
      </c>
      <c r="V1192" s="257"/>
      <c r="W1192" s="609">
        <f>+P1192-P1191</f>
        <v>1.4</v>
      </c>
      <c r="X1192" s="257">
        <v>-9999</v>
      </c>
      <c r="Y1192" s="257"/>
      <c r="Z1192" s="327" t="s">
        <v>1705</v>
      </c>
      <c r="AA1192" s="605">
        <v>2691</v>
      </c>
      <c r="AB1192" s="611">
        <v>0.84</v>
      </c>
      <c r="AC1192" s="257">
        <v>10.3</v>
      </c>
      <c r="AD1192" s="602">
        <f t="shared" si="124"/>
        <v>966</v>
      </c>
      <c r="AE1192" s="263" t="s">
        <v>97</v>
      </c>
      <c r="AF1192" s="600">
        <v>0</v>
      </c>
      <c r="AG1192" s="257">
        <v>2</v>
      </c>
      <c r="AH1192" s="257" t="s">
        <v>98</v>
      </c>
      <c r="AI1192" s="257" t="s">
        <v>985</v>
      </c>
      <c r="AJ1192" s="257">
        <v>-9999</v>
      </c>
      <c r="AK1192" s="257" t="s">
        <v>99</v>
      </c>
      <c r="AL1192" s="257" t="s">
        <v>828</v>
      </c>
      <c r="AM1192" s="257">
        <v>-9999</v>
      </c>
      <c r="AN1192" s="257" t="s">
        <v>631</v>
      </c>
      <c r="AO1192" s="257">
        <v>-9999</v>
      </c>
      <c r="AP1192" s="257">
        <v>-9999</v>
      </c>
      <c r="AQ1192" s="257" t="s">
        <v>631</v>
      </c>
      <c r="AR1192" s="257">
        <v>0</v>
      </c>
      <c r="AS1192" s="257">
        <v>-9999</v>
      </c>
      <c r="AT1192" s="257">
        <v>-9999</v>
      </c>
      <c r="AU1192" s="257">
        <v>0</v>
      </c>
      <c r="AV1192" s="257">
        <v>-9999</v>
      </c>
      <c r="AW1192" s="257"/>
      <c r="AX1192" s="257">
        <v>0</v>
      </c>
      <c r="AY1192" s="257">
        <v>-9999</v>
      </c>
      <c r="AZ1192" s="257">
        <v>-9999</v>
      </c>
      <c r="BA1192" s="257" t="s">
        <v>100</v>
      </c>
      <c r="BB1192" s="257" t="s">
        <v>626</v>
      </c>
      <c r="BC1192" s="257" t="s">
        <v>101</v>
      </c>
      <c r="BD1192" s="257" t="s">
        <v>102</v>
      </c>
      <c r="BE1192" s="257" t="s">
        <v>103</v>
      </c>
      <c r="BF1192" s="257" t="s">
        <v>104</v>
      </c>
      <c r="BG1192" s="257" t="s">
        <v>105</v>
      </c>
      <c r="BH1192" s="257" t="s">
        <v>106</v>
      </c>
      <c r="BI1192" s="257">
        <v>-9999</v>
      </c>
      <c r="BJ1192" s="257">
        <v>-9999</v>
      </c>
      <c r="BK1192" s="257">
        <v>-9999</v>
      </c>
      <c r="BL1192" s="602">
        <v>1.95</v>
      </c>
      <c r="BM1192" s="257">
        <v>-9999</v>
      </c>
      <c r="BN1192" s="602">
        <v>0.94</v>
      </c>
      <c r="BO1192" s="257">
        <v>-9999</v>
      </c>
      <c r="BP1192" s="257">
        <v>-9999</v>
      </c>
      <c r="BQ1192" s="257">
        <v>-9999</v>
      </c>
      <c r="BR1192" s="257">
        <v>-9999</v>
      </c>
      <c r="BS1192" s="263">
        <v>-9999</v>
      </c>
      <c r="BT1192" s="257">
        <v>-9999</v>
      </c>
      <c r="BU1192" s="257">
        <v>-9999</v>
      </c>
      <c r="BV1192" s="257">
        <v>-9999</v>
      </c>
      <c r="BW1192" s="257"/>
      <c r="BX1192" s="257">
        <v>-9999</v>
      </c>
      <c r="BY1192" s="257">
        <v>-9999</v>
      </c>
      <c r="BZ1192" s="257">
        <v>-9999</v>
      </c>
      <c r="CA1192" s="300" t="s">
        <v>107</v>
      </c>
      <c r="CB1192" s="264" t="s">
        <v>561</v>
      </c>
      <c r="CC1192" s="600">
        <v>2</v>
      </c>
      <c r="CD1192" s="600">
        <v>1</v>
      </c>
      <c r="CE1192" s="168">
        <v>1.4</v>
      </c>
      <c r="CF1192" s="168">
        <v>1.4</v>
      </c>
      <c r="CG1192" s="161">
        <v>3</v>
      </c>
    </row>
    <row r="1193" spans="1:1873" s="149" customFormat="1" ht="12.75" customHeight="1" x14ac:dyDescent="0.25">
      <c r="A1193" s="263" t="s">
        <v>560</v>
      </c>
      <c r="B1193" s="263" t="s">
        <v>1268</v>
      </c>
      <c r="C1193" s="600" t="s">
        <v>109</v>
      </c>
      <c r="D1193" s="263" t="s">
        <v>1400</v>
      </c>
      <c r="E1193" s="257" t="s">
        <v>855</v>
      </c>
      <c r="F1193" s="600">
        <v>2</v>
      </c>
      <c r="G1193" s="600">
        <v>2</v>
      </c>
      <c r="H1193" s="600">
        <v>4</v>
      </c>
      <c r="I1193" s="257" t="s">
        <v>856</v>
      </c>
      <c r="J1193" s="599">
        <v>1982</v>
      </c>
      <c r="K1193" s="257" t="s">
        <v>1211</v>
      </c>
      <c r="L1193" s="608">
        <v>1985</v>
      </c>
      <c r="M1193" s="261">
        <v>-9999</v>
      </c>
      <c r="N1193" s="257">
        <v>-9999</v>
      </c>
      <c r="O1193" s="29"/>
      <c r="P1193" s="602">
        <v>6.48</v>
      </c>
      <c r="Q1193" s="257">
        <v>-9999</v>
      </c>
      <c r="R1193" s="261"/>
      <c r="S1193" s="257"/>
      <c r="T1193" s="370">
        <v>3.24</v>
      </c>
      <c r="U1193" s="257">
        <v>-9999</v>
      </c>
      <c r="V1193" s="257"/>
      <c r="W1193" s="609">
        <f>+P1193-P1192</f>
        <v>5.08</v>
      </c>
      <c r="X1193" s="257">
        <v>-9999</v>
      </c>
      <c r="Y1193" s="257"/>
      <c r="Z1193" s="327" t="s">
        <v>1705</v>
      </c>
      <c r="AA1193" s="605">
        <v>2691</v>
      </c>
      <c r="AB1193" s="611">
        <v>0.83299999999999996</v>
      </c>
      <c r="AC1193" s="257">
        <v>10.3</v>
      </c>
      <c r="AD1193" s="602">
        <f t="shared" si="124"/>
        <v>966</v>
      </c>
      <c r="AE1193" s="263" t="s">
        <v>97</v>
      </c>
      <c r="AF1193" s="600">
        <v>0</v>
      </c>
      <c r="AG1193" s="257">
        <v>2</v>
      </c>
      <c r="AH1193" s="257" t="s">
        <v>98</v>
      </c>
      <c r="AI1193" s="257" t="s">
        <v>985</v>
      </c>
      <c r="AJ1193" s="257">
        <v>-9999</v>
      </c>
      <c r="AK1193" s="257" t="s">
        <v>99</v>
      </c>
      <c r="AL1193" s="257" t="s">
        <v>828</v>
      </c>
      <c r="AM1193" s="257">
        <v>-9999</v>
      </c>
      <c r="AN1193" s="257" t="s">
        <v>631</v>
      </c>
      <c r="AO1193" s="257">
        <v>-9999</v>
      </c>
      <c r="AP1193" s="257">
        <v>-9999</v>
      </c>
      <c r="AQ1193" s="257" t="s">
        <v>631</v>
      </c>
      <c r="AR1193" s="257">
        <v>0</v>
      </c>
      <c r="AS1193" s="257">
        <v>-9999</v>
      </c>
      <c r="AT1193" s="257">
        <v>-9999</v>
      </c>
      <c r="AU1193" s="257">
        <v>0</v>
      </c>
      <c r="AV1193" s="257">
        <v>-9999</v>
      </c>
      <c r="AW1193" s="257"/>
      <c r="AX1193" s="257">
        <v>0</v>
      </c>
      <c r="AY1193" s="257">
        <v>-9999</v>
      </c>
      <c r="AZ1193" s="257">
        <v>-9999</v>
      </c>
      <c r="BA1193" s="257" t="s">
        <v>100</v>
      </c>
      <c r="BB1193" s="257" t="s">
        <v>626</v>
      </c>
      <c r="BC1193" s="257" t="s">
        <v>101</v>
      </c>
      <c r="BD1193" s="257" t="s">
        <v>102</v>
      </c>
      <c r="BE1193" s="257" t="s">
        <v>103</v>
      </c>
      <c r="BF1193" s="257" t="s">
        <v>104</v>
      </c>
      <c r="BG1193" s="257" t="s">
        <v>105</v>
      </c>
      <c r="BH1193" s="257" t="s">
        <v>106</v>
      </c>
      <c r="BI1193" s="257">
        <v>-9999</v>
      </c>
      <c r="BJ1193" s="257">
        <v>-9999</v>
      </c>
      <c r="BK1193" s="257">
        <v>-9999</v>
      </c>
      <c r="BL1193" s="602">
        <v>3.31</v>
      </c>
      <c r="BM1193" s="257">
        <v>-9999</v>
      </c>
      <c r="BN1193" s="602">
        <v>2.8</v>
      </c>
      <c r="BO1193" s="257">
        <v>-9999</v>
      </c>
      <c r="BP1193" s="257">
        <v>-9999</v>
      </c>
      <c r="BQ1193" s="257">
        <v>-9999</v>
      </c>
      <c r="BR1193" s="257">
        <v>-9999</v>
      </c>
      <c r="BS1193" s="263">
        <v>-9999</v>
      </c>
      <c r="BT1193" s="257">
        <v>-9999</v>
      </c>
      <c r="BU1193" s="257">
        <v>-9999</v>
      </c>
      <c r="BV1193" s="257">
        <v>-9999</v>
      </c>
      <c r="BW1193" s="257"/>
      <c r="BX1193" s="257">
        <v>-9999</v>
      </c>
      <c r="BY1193" s="257">
        <v>-9999</v>
      </c>
      <c r="BZ1193" s="257">
        <v>-9999</v>
      </c>
      <c r="CA1193" s="300" t="s">
        <v>107</v>
      </c>
      <c r="CB1193" s="264" t="s">
        <v>561</v>
      </c>
      <c r="CC1193" s="600">
        <v>2</v>
      </c>
      <c r="CD1193" s="600">
        <v>2</v>
      </c>
      <c r="CE1193" s="168">
        <v>3.24</v>
      </c>
      <c r="CF1193" s="168">
        <v>5.08</v>
      </c>
      <c r="CG1193" s="161">
        <v>4</v>
      </c>
    </row>
    <row r="1194" spans="1:1873" s="149" customFormat="1" ht="12.75" customHeight="1" x14ac:dyDescent="0.25">
      <c r="A1194" s="263"/>
      <c r="B1194" s="263"/>
      <c r="C1194" s="600"/>
      <c r="D1194" s="600"/>
      <c r="E1194" s="257"/>
      <c r="F1194" s="600"/>
      <c r="G1194" s="600"/>
      <c r="H1194" s="600"/>
      <c r="I1194" s="257"/>
      <c r="J1194" s="599"/>
      <c r="K1194" s="257"/>
      <c r="L1194" s="600"/>
      <c r="M1194" s="261"/>
      <c r="N1194" s="257"/>
      <c r="O1194" s="29"/>
      <c r="P1194" s="602"/>
      <c r="Q1194" s="257"/>
      <c r="R1194" s="261"/>
      <c r="S1194" s="257"/>
      <c r="T1194" s="370"/>
      <c r="U1194" s="257"/>
      <c r="V1194" s="257"/>
      <c r="W1194" s="609"/>
      <c r="X1194" s="257"/>
      <c r="Y1194" s="257"/>
      <c r="Z1194" s="327" t="s">
        <v>1705</v>
      </c>
      <c r="AA1194" s="605"/>
      <c r="AB1194" s="611"/>
      <c r="AC1194" s="257"/>
      <c r="AD1194" s="602"/>
      <c r="AE1194" s="263"/>
      <c r="AF1194" s="600"/>
      <c r="AG1194" s="599"/>
      <c r="AH1194" s="257"/>
      <c r="AI1194" s="257"/>
      <c r="AJ1194" s="257"/>
      <c r="AK1194" s="257"/>
      <c r="AL1194" s="257"/>
      <c r="AM1194" s="257"/>
      <c r="AN1194" s="257"/>
      <c r="AO1194" s="257"/>
      <c r="AP1194" s="257"/>
      <c r="AQ1194" s="257"/>
      <c r="AR1194" s="257"/>
      <c r="AS1194" s="257"/>
      <c r="AT1194" s="257"/>
      <c r="AU1194" s="257"/>
      <c r="AV1194" s="257"/>
      <c r="AW1194" s="257"/>
      <c r="AX1194" s="257"/>
      <c r="AY1194" s="257"/>
      <c r="AZ1194" s="257"/>
      <c r="BA1194" s="257"/>
      <c r="BB1194" s="257"/>
      <c r="BC1194" s="257"/>
      <c r="BD1194" s="257"/>
      <c r="BE1194" s="257"/>
      <c r="BF1194" s="257"/>
      <c r="BG1194" s="257"/>
      <c r="BH1194" s="257"/>
      <c r="BI1194" s="257"/>
      <c r="BJ1194" s="257"/>
      <c r="BK1194" s="257"/>
      <c r="BL1194" s="602"/>
      <c r="BM1194" s="257"/>
      <c r="BN1194" s="602"/>
      <c r="BO1194" s="257"/>
      <c r="BP1194" s="257"/>
      <c r="BQ1194" s="257"/>
      <c r="BR1194" s="257"/>
      <c r="BS1194" s="263"/>
      <c r="BT1194" s="257"/>
      <c r="BU1194" s="257"/>
      <c r="BV1194" s="257"/>
      <c r="BW1194" s="257"/>
      <c r="BX1194" s="257"/>
      <c r="BY1194" s="257"/>
      <c r="BZ1194" s="257"/>
      <c r="CA1194" s="300"/>
      <c r="CB1194" s="264"/>
      <c r="CC1194" s="600"/>
      <c r="CD1194" s="600"/>
      <c r="CE1194" s="168"/>
      <c r="CF1194" s="168"/>
      <c r="CG1194" s="161"/>
    </row>
    <row r="1195" spans="1:1873" s="149" customFormat="1" ht="12.75" customHeight="1" x14ac:dyDescent="0.25">
      <c r="A1195" s="263" t="s">
        <v>560</v>
      </c>
      <c r="B1195" s="263" t="s">
        <v>1268</v>
      </c>
      <c r="C1195" s="600" t="s">
        <v>109</v>
      </c>
      <c r="D1195" s="263" t="s">
        <v>1400</v>
      </c>
      <c r="E1195" s="257" t="s">
        <v>855</v>
      </c>
      <c r="F1195" s="600">
        <v>2</v>
      </c>
      <c r="G1195" s="600">
        <v>2</v>
      </c>
      <c r="H1195" s="600">
        <v>5</v>
      </c>
      <c r="I1195" s="257" t="s">
        <v>856</v>
      </c>
      <c r="J1195" s="599">
        <v>1982</v>
      </c>
      <c r="K1195" s="257" t="s">
        <v>1211</v>
      </c>
      <c r="L1195" s="608">
        <v>1986</v>
      </c>
      <c r="M1195" s="261">
        <v>-9999</v>
      </c>
      <c r="N1195" s="257">
        <v>-9999</v>
      </c>
      <c r="O1195" s="29"/>
      <c r="P1195" s="602">
        <v>6.3</v>
      </c>
      <c r="Q1195" s="257">
        <v>-9999</v>
      </c>
      <c r="R1195" s="261"/>
      <c r="S1195" s="257"/>
      <c r="T1195" s="370">
        <v>3.15</v>
      </c>
      <c r="U1195" s="257">
        <v>-9999</v>
      </c>
      <c r="V1195" s="257"/>
      <c r="W1195" s="609">
        <f>+P1195-P1194</f>
        <v>6.3</v>
      </c>
      <c r="X1195" s="257">
        <v>-9999</v>
      </c>
      <c r="Y1195" s="257"/>
      <c r="Z1195" s="327" t="s">
        <v>1705</v>
      </c>
      <c r="AA1195" s="605">
        <v>2691</v>
      </c>
      <c r="AB1195" s="611">
        <v>0.9</v>
      </c>
      <c r="AC1195" s="257">
        <v>10.3</v>
      </c>
      <c r="AD1195" s="602">
        <f t="shared" si="124"/>
        <v>966</v>
      </c>
      <c r="AE1195" s="263" t="s">
        <v>97</v>
      </c>
      <c r="AF1195" s="600">
        <v>0</v>
      </c>
      <c r="AG1195" s="257">
        <v>2</v>
      </c>
      <c r="AH1195" s="257" t="s">
        <v>98</v>
      </c>
      <c r="AI1195" s="257" t="s">
        <v>985</v>
      </c>
      <c r="AJ1195" s="257">
        <v>-9999</v>
      </c>
      <c r="AK1195" s="257" t="s">
        <v>99</v>
      </c>
      <c r="AL1195" s="257" t="s">
        <v>828</v>
      </c>
      <c r="AM1195" s="257">
        <v>-9999</v>
      </c>
      <c r="AN1195" s="257" t="s">
        <v>631</v>
      </c>
      <c r="AO1195" s="257">
        <v>-9999</v>
      </c>
      <c r="AP1195" s="257">
        <v>-9999</v>
      </c>
      <c r="AQ1195" s="257" t="s">
        <v>631</v>
      </c>
      <c r="AR1195" s="257">
        <v>0</v>
      </c>
      <c r="AS1195" s="257">
        <v>-9999</v>
      </c>
      <c r="AT1195" s="257">
        <v>-9999</v>
      </c>
      <c r="AU1195" s="257">
        <v>0</v>
      </c>
      <c r="AV1195" s="257">
        <v>-9999</v>
      </c>
      <c r="AW1195" s="257"/>
      <c r="AX1195" s="257">
        <v>0</v>
      </c>
      <c r="AY1195" s="257">
        <v>-9999</v>
      </c>
      <c r="AZ1195" s="257">
        <v>-9999</v>
      </c>
      <c r="BA1195" s="257" t="s">
        <v>100</v>
      </c>
      <c r="BB1195" s="257" t="s">
        <v>626</v>
      </c>
      <c r="BC1195" s="257" t="s">
        <v>101</v>
      </c>
      <c r="BD1195" s="257" t="s">
        <v>102</v>
      </c>
      <c r="BE1195" s="257" t="s">
        <v>103</v>
      </c>
      <c r="BF1195" s="257" t="s">
        <v>104</v>
      </c>
      <c r="BG1195" s="257" t="s">
        <v>105</v>
      </c>
      <c r="BH1195" s="257" t="s">
        <v>106</v>
      </c>
      <c r="BI1195" s="257">
        <v>-9999</v>
      </c>
      <c r="BJ1195" s="257">
        <v>-9999</v>
      </c>
      <c r="BK1195" s="257">
        <v>-9999</v>
      </c>
      <c r="BL1195" s="602">
        <v>3.6</v>
      </c>
      <c r="BM1195" s="257">
        <v>-9999</v>
      </c>
      <c r="BN1195" s="602">
        <v>3</v>
      </c>
      <c r="BO1195" s="257">
        <v>-9999</v>
      </c>
      <c r="BP1195" s="257">
        <v>-9999</v>
      </c>
      <c r="BQ1195" s="257">
        <v>-9999</v>
      </c>
      <c r="BR1195" s="257">
        <v>-9999</v>
      </c>
      <c r="BS1195" s="263">
        <v>-9999</v>
      </c>
      <c r="BT1195" s="257">
        <v>-9999</v>
      </c>
      <c r="BU1195" s="257">
        <v>-9999</v>
      </c>
      <c r="BV1195" s="257">
        <v>-9999</v>
      </c>
      <c r="BW1195" s="257"/>
      <c r="BX1195" s="257">
        <v>-9999</v>
      </c>
      <c r="BY1195" s="257">
        <v>-9999</v>
      </c>
      <c r="BZ1195" s="257">
        <v>-9999</v>
      </c>
      <c r="CA1195" s="300" t="s">
        <v>107</v>
      </c>
      <c r="CB1195" s="264" t="s">
        <v>561</v>
      </c>
      <c r="CC1195" s="600">
        <v>2</v>
      </c>
      <c r="CD1195" s="600">
        <v>2</v>
      </c>
      <c r="CE1195" s="168">
        <v>3.15</v>
      </c>
      <c r="CF1195" s="168">
        <v>6.3</v>
      </c>
      <c r="CG1195" s="161">
        <v>5</v>
      </c>
    </row>
    <row r="1196" spans="1:1873" s="149" customFormat="1" ht="12.75" customHeight="1" x14ac:dyDescent="0.25">
      <c r="A1196" s="263" t="s">
        <v>560</v>
      </c>
      <c r="B1196" s="263" t="s">
        <v>1268</v>
      </c>
      <c r="C1196" s="600" t="s">
        <v>109</v>
      </c>
      <c r="D1196" s="263" t="s">
        <v>1400</v>
      </c>
      <c r="E1196" s="257" t="s">
        <v>855</v>
      </c>
      <c r="F1196" s="600">
        <v>2</v>
      </c>
      <c r="G1196" s="600">
        <v>3</v>
      </c>
      <c r="H1196" s="600">
        <v>6</v>
      </c>
      <c r="I1196" s="257" t="s">
        <v>856</v>
      </c>
      <c r="J1196" s="599">
        <v>1982</v>
      </c>
      <c r="K1196" s="257" t="s">
        <v>1211</v>
      </c>
      <c r="L1196" s="608">
        <v>1987</v>
      </c>
      <c r="M1196" s="261">
        <v>-9999</v>
      </c>
      <c r="N1196" s="257">
        <v>-9999</v>
      </c>
      <c r="O1196" s="29"/>
      <c r="P1196" s="602">
        <v>14.98</v>
      </c>
      <c r="Q1196" s="257">
        <v>-9999</v>
      </c>
      <c r="R1196" s="261"/>
      <c r="S1196" s="257"/>
      <c r="T1196" s="370">
        <v>4.9930000000000003</v>
      </c>
      <c r="U1196" s="257">
        <v>-9999</v>
      </c>
      <c r="V1196" s="257"/>
      <c r="W1196" s="609">
        <f>+P1196-P1195</f>
        <v>8.68</v>
      </c>
      <c r="X1196" s="257">
        <v>-9999</v>
      </c>
      <c r="Y1196" s="257"/>
      <c r="Z1196" s="327" t="s">
        <v>1705</v>
      </c>
      <c r="AA1196" s="605">
        <v>2691</v>
      </c>
      <c r="AB1196" s="611">
        <v>0.99</v>
      </c>
      <c r="AC1196" s="257">
        <v>10.3</v>
      </c>
      <c r="AD1196" s="602">
        <f t="shared" si="124"/>
        <v>966</v>
      </c>
      <c r="AE1196" s="263" t="s">
        <v>97</v>
      </c>
      <c r="AF1196" s="600">
        <v>1</v>
      </c>
      <c r="AG1196" s="257">
        <v>2</v>
      </c>
      <c r="AH1196" s="257" t="s">
        <v>98</v>
      </c>
      <c r="AI1196" s="257" t="s">
        <v>985</v>
      </c>
      <c r="AJ1196" s="257">
        <v>-9999</v>
      </c>
      <c r="AK1196" s="257" t="s">
        <v>99</v>
      </c>
      <c r="AL1196" s="257" t="s">
        <v>828</v>
      </c>
      <c r="AM1196" s="257">
        <v>-9999</v>
      </c>
      <c r="AN1196" s="257" t="s">
        <v>631</v>
      </c>
      <c r="AO1196" s="257">
        <v>-9999</v>
      </c>
      <c r="AP1196" s="257">
        <v>-9999</v>
      </c>
      <c r="AQ1196" s="257" t="s">
        <v>631</v>
      </c>
      <c r="AR1196" s="257">
        <v>0</v>
      </c>
      <c r="AS1196" s="257">
        <v>-9999</v>
      </c>
      <c r="AT1196" s="257">
        <v>-9999</v>
      </c>
      <c r="AU1196" s="257">
        <v>0</v>
      </c>
      <c r="AV1196" s="257">
        <v>-9999</v>
      </c>
      <c r="AW1196" s="257"/>
      <c r="AX1196" s="257">
        <v>0</v>
      </c>
      <c r="AY1196" s="257">
        <v>-9999</v>
      </c>
      <c r="AZ1196" s="257">
        <v>-9999</v>
      </c>
      <c r="BA1196" s="257" t="s">
        <v>100</v>
      </c>
      <c r="BB1196" s="257" t="s">
        <v>626</v>
      </c>
      <c r="BC1196" s="257" t="s">
        <v>101</v>
      </c>
      <c r="BD1196" s="257" t="s">
        <v>102</v>
      </c>
      <c r="BE1196" s="257" t="s">
        <v>103</v>
      </c>
      <c r="BF1196" s="257" t="s">
        <v>104</v>
      </c>
      <c r="BG1196" s="257" t="s">
        <v>105</v>
      </c>
      <c r="BH1196" s="257" t="s">
        <v>106</v>
      </c>
      <c r="BI1196" s="257">
        <v>-9999</v>
      </c>
      <c r="BJ1196" s="257">
        <v>-9999</v>
      </c>
      <c r="BK1196" s="257">
        <v>-9999</v>
      </c>
      <c r="BL1196" s="602">
        <v>2.2999999999999998</v>
      </c>
      <c r="BM1196" s="257">
        <v>-9999</v>
      </c>
      <c r="BN1196" s="602">
        <v>4.3</v>
      </c>
      <c r="BO1196" s="257">
        <v>-9999</v>
      </c>
      <c r="BP1196" s="257">
        <v>-9999</v>
      </c>
      <c r="BQ1196" s="257">
        <v>-9999</v>
      </c>
      <c r="BR1196" s="257">
        <v>-9999</v>
      </c>
      <c r="BS1196" s="263">
        <v>-9999</v>
      </c>
      <c r="BT1196" s="257">
        <v>-9999</v>
      </c>
      <c r="BU1196" s="257">
        <v>-9999</v>
      </c>
      <c r="BV1196" s="257">
        <v>-9999</v>
      </c>
      <c r="BW1196" s="257"/>
      <c r="BX1196" s="257">
        <v>-9999</v>
      </c>
      <c r="BY1196" s="257">
        <v>-9999</v>
      </c>
      <c r="BZ1196" s="257">
        <v>-9999</v>
      </c>
      <c r="CA1196" s="300" t="s">
        <v>107</v>
      </c>
      <c r="CB1196" s="264" t="s">
        <v>561</v>
      </c>
      <c r="CC1196" s="600">
        <v>2</v>
      </c>
      <c r="CD1196" s="600">
        <v>3</v>
      </c>
      <c r="CE1196" s="168">
        <v>4.9930000000000003</v>
      </c>
      <c r="CF1196" s="168">
        <v>8.68</v>
      </c>
      <c r="CG1196" s="161">
        <v>6</v>
      </c>
    </row>
    <row r="1197" spans="1:1873" s="149" customFormat="1" ht="12.75" customHeight="1" x14ac:dyDescent="0.25">
      <c r="A1197" s="263"/>
      <c r="B1197" s="263"/>
      <c r="C1197" s="600"/>
      <c r="D1197" s="600"/>
      <c r="E1197" s="599"/>
      <c r="F1197" s="599"/>
      <c r="G1197" s="600"/>
      <c r="H1197" s="600"/>
      <c r="I1197" s="257"/>
      <c r="J1197" s="599"/>
      <c r="K1197" s="257"/>
      <c r="L1197" s="600"/>
      <c r="M1197" s="261"/>
      <c r="N1197" s="257"/>
      <c r="O1197" s="29"/>
      <c r="P1197" s="602"/>
      <c r="Q1197" s="257"/>
      <c r="R1197" s="261"/>
      <c r="S1197" s="257"/>
      <c r="T1197" s="370"/>
      <c r="U1197" s="257"/>
      <c r="V1197" s="257"/>
      <c r="W1197" s="609"/>
      <c r="X1197" s="257"/>
      <c r="Y1197" s="257"/>
      <c r="Z1197" s="599"/>
      <c r="AA1197" s="605"/>
      <c r="AB1197" s="611"/>
      <c r="AC1197" s="257"/>
      <c r="AD1197" s="602"/>
      <c r="AE1197" s="263"/>
      <c r="AF1197" s="600"/>
      <c r="AG1197" s="599"/>
      <c r="AH1197" s="257"/>
      <c r="AI1197" s="257"/>
      <c r="AJ1197" s="257"/>
      <c r="AK1197" s="257"/>
      <c r="AL1197" s="257"/>
      <c r="AM1197" s="257"/>
      <c r="AN1197" s="257"/>
      <c r="AO1197" s="257"/>
      <c r="AP1197" s="257"/>
      <c r="AQ1197" s="257"/>
      <c r="AR1197" s="257"/>
      <c r="AS1197" s="257"/>
      <c r="AT1197" s="257"/>
      <c r="AU1197" s="257"/>
      <c r="AV1197" s="257"/>
      <c r="AW1197" s="257"/>
      <c r="AX1197" s="257"/>
      <c r="AY1197" s="257"/>
      <c r="AZ1197" s="257"/>
      <c r="BA1197" s="257"/>
      <c r="BB1197" s="257"/>
      <c r="BC1197" s="257"/>
      <c r="BD1197" s="257"/>
      <c r="BE1197" s="257"/>
      <c r="BF1197" s="257"/>
      <c r="BG1197" s="257"/>
      <c r="BH1197" s="257"/>
      <c r="BI1197" s="257"/>
      <c r="BJ1197" s="257"/>
      <c r="BK1197" s="257"/>
      <c r="BL1197" s="602"/>
      <c r="BM1197" s="257"/>
      <c r="BN1197" s="602"/>
      <c r="BO1197" s="257"/>
      <c r="BP1197" s="257"/>
      <c r="BQ1197" s="257"/>
      <c r="BR1197" s="257"/>
      <c r="BS1197" s="263"/>
      <c r="BT1197" s="257"/>
      <c r="BU1197" s="257"/>
      <c r="BV1197" s="257"/>
      <c r="BW1197" s="257"/>
      <c r="BX1197" s="257"/>
      <c r="BY1197" s="257"/>
      <c r="BZ1197" s="257"/>
      <c r="CA1197" s="300"/>
      <c r="CB1197" s="264"/>
      <c r="CC1197" s="599"/>
      <c r="CD1197" s="600"/>
      <c r="CE1197" s="342" t="s">
        <v>1576</v>
      </c>
      <c r="CF1197" s="342" t="s">
        <v>1575</v>
      </c>
      <c r="CG1197" s="161"/>
    </row>
    <row r="1198" spans="1:1873" s="149" customFormat="1" ht="12.75" customHeight="1" x14ac:dyDescent="0.25">
      <c r="A1198" s="263" t="s">
        <v>560</v>
      </c>
      <c r="B1198" s="263" t="s">
        <v>1268</v>
      </c>
      <c r="C1198" s="600" t="s">
        <v>110</v>
      </c>
      <c r="D1198" s="263" t="s">
        <v>1400</v>
      </c>
      <c r="E1198" s="257" t="s">
        <v>855</v>
      </c>
      <c r="F1198" s="600">
        <v>1</v>
      </c>
      <c r="G1198" s="600">
        <v>1</v>
      </c>
      <c r="H1198" s="600">
        <v>1</v>
      </c>
      <c r="I1198" s="257" t="s">
        <v>856</v>
      </c>
      <c r="J1198" s="599">
        <v>1982</v>
      </c>
      <c r="K1198" s="257" t="s">
        <v>1211</v>
      </c>
      <c r="L1198" s="608">
        <v>1982</v>
      </c>
      <c r="M1198" s="261">
        <v>-9999</v>
      </c>
      <c r="N1198" s="257">
        <v>-9999</v>
      </c>
      <c r="O1198" s="29"/>
      <c r="P1198" s="602">
        <v>0.22</v>
      </c>
      <c r="Q1198" s="257">
        <v>-9999</v>
      </c>
      <c r="R1198" s="261"/>
      <c r="S1198" s="257"/>
      <c r="T1198" s="370">
        <v>0.22</v>
      </c>
      <c r="U1198" s="257">
        <v>-9999</v>
      </c>
      <c r="V1198" s="257"/>
      <c r="W1198" s="609">
        <f t="shared" ref="W1198:W1203" si="125">+P1198-P1197</f>
        <v>0.22</v>
      </c>
      <c r="X1198" s="257">
        <v>-9999</v>
      </c>
      <c r="Y1198" s="257"/>
      <c r="Z1198" s="599" t="s">
        <v>111</v>
      </c>
      <c r="AA1198" s="605">
        <v>1794</v>
      </c>
      <c r="AB1198" s="611">
        <v>0.84</v>
      </c>
      <c r="AC1198" s="257">
        <v>10.3</v>
      </c>
      <c r="AD1198" s="602">
        <f t="shared" si="124"/>
        <v>966</v>
      </c>
      <c r="AE1198" s="263" t="s">
        <v>97</v>
      </c>
      <c r="AF1198" s="600">
        <v>6</v>
      </c>
      <c r="AG1198" s="257">
        <v>2</v>
      </c>
      <c r="AH1198" s="257" t="s">
        <v>98</v>
      </c>
      <c r="AI1198" s="257" t="s">
        <v>985</v>
      </c>
      <c r="AJ1198" s="257">
        <v>-9999</v>
      </c>
      <c r="AK1198" s="257" t="s">
        <v>99</v>
      </c>
      <c r="AL1198" s="257" t="s">
        <v>828</v>
      </c>
      <c r="AM1198" s="257">
        <v>-9999</v>
      </c>
      <c r="AN1198" s="257" t="s">
        <v>631</v>
      </c>
      <c r="AO1198" s="257">
        <v>-9999</v>
      </c>
      <c r="AP1198" s="257">
        <v>-9999</v>
      </c>
      <c r="AQ1198" s="257" t="s">
        <v>631</v>
      </c>
      <c r="AR1198" s="257">
        <v>0</v>
      </c>
      <c r="AS1198" s="257">
        <v>-9999</v>
      </c>
      <c r="AT1198" s="257">
        <v>-9999</v>
      </c>
      <c r="AU1198" s="257">
        <v>0</v>
      </c>
      <c r="AV1198" s="257">
        <v>-9999</v>
      </c>
      <c r="AW1198" s="257"/>
      <c r="AX1198" s="257">
        <v>0</v>
      </c>
      <c r="AY1198" s="257">
        <v>-9999</v>
      </c>
      <c r="AZ1198" s="257">
        <v>-9999</v>
      </c>
      <c r="BA1198" s="257" t="s">
        <v>100</v>
      </c>
      <c r="BB1198" s="257" t="s">
        <v>626</v>
      </c>
      <c r="BC1198" s="257" t="s">
        <v>101</v>
      </c>
      <c r="BD1198" s="257" t="s">
        <v>102</v>
      </c>
      <c r="BE1198" s="257" t="s">
        <v>103</v>
      </c>
      <c r="BF1198" s="257" t="s">
        <v>104</v>
      </c>
      <c r="BG1198" s="257" t="s">
        <v>105</v>
      </c>
      <c r="BH1198" s="257" t="s">
        <v>106</v>
      </c>
      <c r="BI1198" s="257">
        <v>-9999</v>
      </c>
      <c r="BJ1198" s="257">
        <v>-9999</v>
      </c>
      <c r="BK1198" s="257">
        <v>-9999</v>
      </c>
      <c r="BL1198" s="602">
        <v>1.19</v>
      </c>
      <c r="BM1198" s="257">
        <v>-9999</v>
      </c>
      <c r="BN1198" s="602">
        <v>0</v>
      </c>
      <c r="BO1198" s="257">
        <v>-9999</v>
      </c>
      <c r="BP1198" s="257">
        <v>-9999</v>
      </c>
      <c r="BQ1198" s="257">
        <v>-9999</v>
      </c>
      <c r="BR1198" s="257">
        <v>-9999</v>
      </c>
      <c r="BS1198" s="263">
        <v>-9999</v>
      </c>
      <c r="BT1198" s="257">
        <v>-9999</v>
      </c>
      <c r="BU1198" s="257">
        <v>-9999</v>
      </c>
      <c r="BV1198" s="257">
        <v>-9999</v>
      </c>
      <c r="BW1198" s="257"/>
      <c r="BX1198" s="257">
        <v>-9999</v>
      </c>
      <c r="BY1198" s="257">
        <v>-9999</v>
      </c>
      <c r="BZ1198" s="257">
        <v>-9999</v>
      </c>
      <c r="CA1198" s="300" t="s">
        <v>107</v>
      </c>
      <c r="CB1198" s="264" t="s">
        <v>561</v>
      </c>
      <c r="CC1198" s="600">
        <v>1</v>
      </c>
      <c r="CD1198" s="600">
        <v>1</v>
      </c>
      <c r="CE1198" s="168">
        <v>0.22</v>
      </c>
      <c r="CF1198" s="168">
        <v>0.22</v>
      </c>
      <c r="CG1198" s="161">
        <v>1</v>
      </c>
    </row>
    <row r="1199" spans="1:1873" s="149" customFormat="1" ht="12.75" customHeight="1" x14ac:dyDescent="0.25">
      <c r="A1199" s="263" t="s">
        <v>560</v>
      </c>
      <c r="B1199" s="263" t="s">
        <v>1268</v>
      </c>
      <c r="C1199" s="600" t="s">
        <v>110</v>
      </c>
      <c r="D1199" s="263" t="s">
        <v>1400</v>
      </c>
      <c r="E1199" s="257" t="s">
        <v>855</v>
      </c>
      <c r="F1199" s="600">
        <v>1</v>
      </c>
      <c r="G1199" s="600">
        <v>2</v>
      </c>
      <c r="H1199" s="600">
        <v>2</v>
      </c>
      <c r="I1199" s="257" t="s">
        <v>856</v>
      </c>
      <c r="J1199" s="599">
        <v>1982</v>
      </c>
      <c r="K1199" s="257" t="s">
        <v>1211</v>
      </c>
      <c r="L1199" s="608">
        <v>1983</v>
      </c>
      <c r="M1199" s="261">
        <v>-9999</v>
      </c>
      <c r="N1199" s="257">
        <v>-9999</v>
      </c>
      <c r="O1199" s="29"/>
      <c r="P1199" s="602">
        <v>2.56</v>
      </c>
      <c r="Q1199" s="257">
        <v>-9999</v>
      </c>
      <c r="R1199" s="261"/>
      <c r="S1199" s="257"/>
      <c r="T1199" s="370">
        <v>1.1200000000000001</v>
      </c>
      <c r="U1199" s="257">
        <v>-9999</v>
      </c>
      <c r="V1199" s="257"/>
      <c r="W1199" s="609">
        <f t="shared" si="125"/>
        <v>2.34</v>
      </c>
      <c r="X1199" s="257">
        <v>-9999</v>
      </c>
      <c r="Y1199" s="257"/>
      <c r="Z1199" s="599" t="s">
        <v>111</v>
      </c>
      <c r="AA1199" s="605">
        <v>1794</v>
      </c>
      <c r="AB1199" s="611">
        <v>0.89</v>
      </c>
      <c r="AC1199" s="257">
        <v>10.3</v>
      </c>
      <c r="AD1199" s="602">
        <f t="shared" si="124"/>
        <v>966</v>
      </c>
      <c r="AE1199" s="263" t="s">
        <v>97</v>
      </c>
      <c r="AF1199" s="600">
        <v>6</v>
      </c>
      <c r="AG1199" s="257">
        <v>2</v>
      </c>
      <c r="AH1199" s="257" t="s">
        <v>98</v>
      </c>
      <c r="AI1199" s="257" t="s">
        <v>985</v>
      </c>
      <c r="AJ1199" s="257">
        <v>-9999</v>
      </c>
      <c r="AK1199" s="257" t="s">
        <v>99</v>
      </c>
      <c r="AL1199" s="257" t="s">
        <v>828</v>
      </c>
      <c r="AM1199" s="257">
        <v>-9999</v>
      </c>
      <c r="AN1199" s="257" t="s">
        <v>631</v>
      </c>
      <c r="AO1199" s="257">
        <v>-9999</v>
      </c>
      <c r="AP1199" s="257">
        <v>-9999</v>
      </c>
      <c r="AQ1199" s="257" t="s">
        <v>631</v>
      </c>
      <c r="AR1199" s="257">
        <v>0</v>
      </c>
      <c r="AS1199" s="257">
        <v>-9999</v>
      </c>
      <c r="AT1199" s="257">
        <v>-9999</v>
      </c>
      <c r="AU1199" s="257">
        <v>0</v>
      </c>
      <c r="AV1199" s="257">
        <v>-9999</v>
      </c>
      <c r="AW1199" s="257"/>
      <c r="AX1199" s="257">
        <v>0</v>
      </c>
      <c r="AY1199" s="257">
        <v>-9999</v>
      </c>
      <c r="AZ1199" s="257">
        <v>-9999</v>
      </c>
      <c r="BA1199" s="257" t="s">
        <v>100</v>
      </c>
      <c r="BB1199" s="257" t="s">
        <v>626</v>
      </c>
      <c r="BC1199" s="257" t="s">
        <v>101</v>
      </c>
      <c r="BD1199" s="257" t="s">
        <v>102</v>
      </c>
      <c r="BE1199" s="257" t="s">
        <v>103</v>
      </c>
      <c r="BF1199" s="257" t="s">
        <v>104</v>
      </c>
      <c r="BG1199" s="257" t="s">
        <v>105</v>
      </c>
      <c r="BH1199" s="257" t="s">
        <v>106</v>
      </c>
      <c r="BI1199" s="257">
        <v>-9999</v>
      </c>
      <c r="BJ1199" s="257">
        <v>-9999</v>
      </c>
      <c r="BK1199" s="257">
        <v>-9999</v>
      </c>
      <c r="BL1199" s="602">
        <v>2.62</v>
      </c>
      <c r="BM1199" s="257">
        <v>-9999</v>
      </c>
      <c r="BN1199" s="602">
        <v>0</v>
      </c>
      <c r="BO1199" s="257">
        <v>-9999</v>
      </c>
      <c r="BP1199" s="257">
        <v>-9999</v>
      </c>
      <c r="BQ1199" s="257">
        <v>-9999</v>
      </c>
      <c r="BR1199" s="257">
        <v>-9999</v>
      </c>
      <c r="BS1199" s="263">
        <v>-9999</v>
      </c>
      <c r="BT1199" s="257">
        <v>-9999</v>
      </c>
      <c r="BU1199" s="257">
        <v>-9999</v>
      </c>
      <c r="BV1199" s="257">
        <v>-9999</v>
      </c>
      <c r="BW1199" s="257"/>
      <c r="BX1199" s="257">
        <v>-9999</v>
      </c>
      <c r="BY1199" s="257">
        <v>-9999</v>
      </c>
      <c r="BZ1199" s="257">
        <v>-9999</v>
      </c>
      <c r="CA1199" s="300" t="s">
        <v>107</v>
      </c>
      <c r="CB1199" s="264" t="s">
        <v>561</v>
      </c>
      <c r="CC1199" s="600">
        <v>1</v>
      </c>
      <c r="CD1199" s="600">
        <v>2</v>
      </c>
      <c r="CE1199" s="168">
        <v>1.1200000000000001</v>
      </c>
      <c r="CF1199" s="168">
        <v>2.02</v>
      </c>
      <c r="CG1199" s="161">
        <v>2</v>
      </c>
    </row>
    <row r="1200" spans="1:1873" s="149" customFormat="1" ht="12.75" customHeight="1" x14ac:dyDescent="0.25">
      <c r="A1200" s="263" t="s">
        <v>560</v>
      </c>
      <c r="B1200" s="263" t="s">
        <v>1268</v>
      </c>
      <c r="C1200" s="600" t="s">
        <v>110</v>
      </c>
      <c r="D1200" s="263" t="s">
        <v>1400</v>
      </c>
      <c r="E1200" s="257" t="s">
        <v>855</v>
      </c>
      <c r="F1200" s="600">
        <v>1</v>
      </c>
      <c r="G1200" s="600">
        <v>3</v>
      </c>
      <c r="H1200" s="600">
        <v>3</v>
      </c>
      <c r="I1200" s="257" t="s">
        <v>856</v>
      </c>
      <c r="J1200" s="599">
        <v>1982</v>
      </c>
      <c r="K1200" s="257" t="s">
        <v>1211</v>
      </c>
      <c r="L1200" s="608">
        <v>1984</v>
      </c>
      <c r="M1200" s="261">
        <v>-9999</v>
      </c>
      <c r="N1200" s="257">
        <v>-9999</v>
      </c>
      <c r="O1200" s="29"/>
      <c r="P1200" s="602">
        <v>5.56</v>
      </c>
      <c r="Q1200" s="257">
        <v>-9999</v>
      </c>
      <c r="R1200" s="261"/>
      <c r="S1200" s="257"/>
      <c r="T1200" s="370">
        <v>1.5669999999999999</v>
      </c>
      <c r="U1200" s="257">
        <v>-9999</v>
      </c>
      <c r="V1200" s="257"/>
      <c r="W1200" s="609">
        <f t="shared" si="125"/>
        <v>2.9999999999999996</v>
      </c>
      <c r="X1200" s="257">
        <v>-9999</v>
      </c>
      <c r="Y1200" s="257"/>
      <c r="Z1200" s="599" t="s">
        <v>111</v>
      </c>
      <c r="AA1200" s="605">
        <v>1794</v>
      </c>
      <c r="AB1200" s="611">
        <v>0.79</v>
      </c>
      <c r="AC1200" s="257">
        <v>10.3</v>
      </c>
      <c r="AD1200" s="602">
        <f t="shared" si="124"/>
        <v>966</v>
      </c>
      <c r="AE1200" s="263" t="s">
        <v>97</v>
      </c>
      <c r="AF1200" s="600">
        <v>6</v>
      </c>
      <c r="AG1200" s="257">
        <v>2</v>
      </c>
      <c r="AH1200" s="257" t="s">
        <v>98</v>
      </c>
      <c r="AI1200" s="257" t="s">
        <v>985</v>
      </c>
      <c r="AJ1200" s="257">
        <v>-9999</v>
      </c>
      <c r="AK1200" s="257" t="s">
        <v>99</v>
      </c>
      <c r="AL1200" s="257" t="s">
        <v>828</v>
      </c>
      <c r="AM1200" s="257">
        <v>-9999</v>
      </c>
      <c r="AN1200" s="257" t="s">
        <v>631</v>
      </c>
      <c r="AO1200" s="257">
        <v>-9999</v>
      </c>
      <c r="AP1200" s="257">
        <v>-9999</v>
      </c>
      <c r="AQ1200" s="257" t="s">
        <v>631</v>
      </c>
      <c r="AR1200" s="257">
        <v>0</v>
      </c>
      <c r="AS1200" s="257">
        <v>-9999</v>
      </c>
      <c r="AT1200" s="257">
        <v>-9999</v>
      </c>
      <c r="AU1200" s="257">
        <v>0</v>
      </c>
      <c r="AV1200" s="257">
        <v>-9999</v>
      </c>
      <c r="AW1200" s="257"/>
      <c r="AX1200" s="257">
        <v>0</v>
      </c>
      <c r="AY1200" s="257">
        <v>-9999</v>
      </c>
      <c r="AZ1200" s="257">
        <v>-9999</v>
      </c>
      <c r="BA1200" s="257" t="s">
        <v>100</v>
      </c>
      <c r="BB1200" s="257" t="s">
        <v>626</v>
      </c>
      <c r="BC1200" s="257" t="s">
        <v>101</v>
      </c>
      <c r="BD1200" s="257" t="s">
        <v>102</v>
      </c>
      <c r="BE1200" s="257" t="s">
        <v>103</v>
      </c>
      <c r="BF1200" s="257" t="s">
        <v>104</v>
      </c>
      <c r="BG1200" s="257" t="s">
        <v>105</v>
      </c>
      <c r="BH1200" s="257" t="s">
        <v>106</v>
      </c>
      <c r="BI1200" s="257">
        <v>-9999</v>
      </c>
      <c r="BJ1200" s="257">
        <v>-9999</v>
      </c>
      <c r="BK1200" s="257">
        <v>-9999</v>
      </c>
      <c r="BL1200" s="602">
        <v>3.99</v>
      </c>
      <c r="BM1200" s="257">
        <v>-9999</v>
      </c>
      <c r="BN1200" s="602">
        <v>0</v>
      </c>
      <c r="BO1200" s="257">
        <v>-9999</v>
      </c>
      <c r="BP1200" s="257">
        <v>-9999</v>
      </c>
      <c r="BQ1200" s="257">
        <v>-9999</v>
      </c>
      <c r="BR1200" s="257">
        <v>-9999</v>
      </c>
      <c r="BS1200" s="263">
        <v>-9999</v>
      </c>
      <c r="BT1200" s="257">
        <v>-9999</v>
      </c>
      <c r="BU1200" s="257">
        <v>-9999</v>
      </c>
      <c r="BV1200" s="257">
        <v>-9999</v>
      </c>
      <c r="BW1200" s="257"/>
      <c r="BX1200" s="257">
        <v>-9999</v>
      </c>
      <c r="BY1200" s="257">
        <v>-9999</v>
      </c>
      <c r="BZ1200" s="257">
        <v>-9999</v>
      </c>
      <c r="CA1200" s="300" t="s">
        <v>107</v>
      </c>
      <c r="CB1200" s="264" t="s">
        <v>561</v>
      </c>
      <c r="CC1200" s="600">
        <v>1</v>
      </c>
      <c r="CD1200" s="600">
        <v>3</v>
      </c>
      <c r="CE1200" s="168">
        <v>1.5669999999999999</v>
      </c>
      <c r="CF1200" s="168">
        <v>2.46</v>
      </c>
      <c r="CG1200" s="161">
        <v>3</v>
      </c>
    </row>
    <row r="1201" spans="1:1873" s="149" customFormat="1" ht="12.75" customHeight="1" x14ac:dyDescent="0.25">
      <c r="A1201" s="263" t="s">
        <v>560</v>
      </c>
      <c r="B1201" s="263" t="s">
        <v>1268</v>
      </c>
      <c r="C1201" s="600" t="s">
        <v>110</v>
      </c>
      <c r="D1201" s="263" t="s">
        <v>1400</v>
      </c>
      <c r="E1201" s="257" t="s">
        <v>855</v>
      </c>
      <c r="F1201" s="600">
        <v>1</v>
      </c>
      <c r="G1201" s="600">
        <v>4</v>
      </c>
      <c r="H1201" s="600">
        <v>4</v>
      </c>
      <c r="I1201" s="257" t="s">
        <v>856</v>
      </c>
      <c r="J1201" s="599">
        <v>1982</v>
      </c>
      <c r="K1201" s="257" t="s">
        <v>1211</v>
      </c>
      <c r="L1201" s="608">
        <v>1985</v>
      </c>
      <c r="M1201" s="261">
        <v>-9999</v>
      </c>
      <c r="N1201" s="257">
        <v>-9999</v>
      </c>
      <c r="O1201" s="29"/>
      <c r="P1201" s="261">
        <v>17.559999999999999</v>
      </c>
      <c r="Q1201" s="257">
        <v>-9999</v>
      </c>
      <c r="R1201" s="261"/>
      <c r="S1201" s="257"/>
      <c r="T1201" s="370">
        <v>4.3899999999999997</v>
      </c>
      <c r="U1201" s="257">
        <v>-9999</v>
      </c>
      <c r="V1201" s="257"/>
      <c r="W1201" s="609">
        <f t="shared" si="125"/>
        <v>12</v>
      </c>
      <c r="X1201" s="257">
        <v>-9999</v>
      </c>
      <c r="Y1201" s="257"/>
      <c r="Z1201" s="599" t="s">
        <v>111</v>
      </c>
      <c r="AA1201" s="605">
        <v>1794</v>
      </c>
      <c r="AB1201" s="261">
        <v>0.81299999999999994</v>
      </c>
      <c r="AC1201" s="257">
        <v>10.3</v>
      </c>
      <c r="AD1201" s="602">
        <f t="shared" si="124"/>
        <v>966</v>
      </c>
      <c r="AE1201" s="263" t="s">
        <v>97</v>
      </c>
      <c r="AF1201" s="600">
        <v>6</v>
      </c>
      <c r="AG1201" s="257">
        <v>2</v>
      </c>
      <c r="AH1201" s="257" t="s">
        <v>98</v>
      </c>
      <c r="AI1201" s="257" t="s">
        <v>985</v>
      </c>
      <c r="AJ1201" s="257">
        <v>-9999</v>
      </c>
      <c r="AK1201" s="257" t="s">
        <v>99</v>
      </c>
      <c r="AL1201" s="257" t="s">
        <v>828</v>
      </c>
      <c r="AM1201" s="257">
        <v>-9999</v>
      </c>
      <c r="AN1201" s="257" t="s">
        <v>631</v>
      </c>
      <c r="AO1201" s="257">
        <v>-9999</v>
      </c>
      <c r="AP1201" s="257">
        <v>-9999</v>
      </c>
      <c r="AQ1201" s="257" t="s">
        <v>631</v>
      </c>
      <c r="AR1201" s="257">
        <v>0</v>
      </c>
      <c r="AS1201" s="257">
        <v>-9999</v>
      </c>
      <c r="AT1201" s="257">
        <v>-9999</v>
      </c>
      <c r="AU1201" s="257">
        <v>0</v>
      </c>
      <c r="AV1201" s="257">
        <v>-9999</v>
      </c>
      <c r="AW1201" s="257"/>
      <c r="AX1201" s="257">
        <v>0</v>
      </c>
      <c r="AY1201" s="257">
        <v>-9999</v>
      </c>
      <c r="AZ1201" s="257">
        <v>-9999</v>
      </c>
      <c r="BA1201" s="257" t="s">
        <v>100</v>
      </c>
      <c r="BB1201" s="257" t="s">
        <v>626</v>
      </c>
      <c r="BC1201" s="257" t="s">
        <v>101</v>
      </c>
      <c r="BD1201" s="257" t="s">
        <v>102</v>
      </c>
      <c r="BE1201" s="257" t="s">
        <v>103</v>
      </c>
      <c r="BF1201" s="257" t="s">
        <v>104</v>
      </c>
      <c r="BG1201" s="257" t="s">
        <v>105</v>
      </c>
      <c r="BH1201" s="257" t="s">
        <v>106</v>
      </c>
      <c r="BI1201" s="257">
        <v>-9999</v>
      </c>
      <c r="BJ1201" s="257">
        <v>-9999</v>
      </c>
      <c r="BK1201" s="257">
        <v>-9999</v>
      </c>
      <c r="BL1201" s="602">
        <v>5.98</v>
      </c>
      <c r="BM1201" s="257">
        <v>-9999</v>
      </c>
      <c r="BN1201" s="602">
        <v>7</v>
      </c>
      <c r="BO1201" s="257">
        <v>-9999</v>
      </c>
      <c r="BP1201" s="257">
        <v>-9999</v>
      </c>
      <c r="BQ1201" s="257">
        <v>-9999</v>
      </c>
      <c r="BR1201" s="257">
        <v>-9999</v>
      </c>
      <c r="BS1201" s="263">
        <v>-9999</v>
      </c>
      <c r="BT1201" s="257">
        <v>-9999</v>
      </c>
      <c r="BU1201" s="257">
        <v>-9999</v>
      </c>
      <c r="BV1201" s="257">
        <v>-9999</v>
      </c>
      <c r="BW1201" s="257"/>
      <c r="BX1201" s="257">
        <v>-9999</v>
      </c>
      <c r="BY1201" s="257">
        <v>-9999</v>
      </c>
      <c r="BZ1201" s="257">
        <v>-9999</v>
      </c>
      <c r="CA1201" s="300" t="s">
        <v>107</v>
      </c>
      <c r="CB1201" s="264" t="s">
        <v>561</v>
      </c>
      <c r="CC1201" s="600">
        <v>1</v>
      </c>
      <c r="CD1201" s="600">
        <v>4</v>
      </c>
      <c r="CE1201" s="168">
        <v>4.3899999999999997</v>
      </c>
      <c r="CF1201" s="168">
        <v>12.86</v>
      </c>
      <c r="CG1201" s="161">
        <v>4</v>
      </c>
    </row>
    <row r="1202" spans="1:1873" s="23" customFormat="1" ht="12.75" customHeight="1" x14ac:dyDescent="0.25">
      <c r="A1202" s="263" t="s">
        <v>560</v>
      </c>
      <c r="B1202" s="263" t="s">
        <v>1268</v>
      </c>
      <c r="C1202" s="263" t="s">
        <v>110</v>
      </c>
      <c r="D1202" s="263" t="s">
        <v>1400</v>
      </c>
      <c r="E1202" s="257" t="s">
        <v>855</v>
      </c>
      <c r="F1202" s="263">
        <v>1</v>
      </c>
      <c r="G1202" s="263">
        <v>5</v>
      </c>
      <c r="H1202" s="263">
        <v>5</v>
      </c>
      <c r="I1202" s="257" t="s">
        <v>856</v>
      </c>
      <c r="J1202" s="257">
        <v>1982</v>
      </c>
      <c r="K1202" s="257" t="s">
        <v>1211</v>
      </c>
      <c r="L1202" s="595">
        <v>1986</v>
      </c>
      <c r="M1202" s="261">
        <v>-9999</v>
      </c>
      <c r="N1202" s="257">
        <v>-9999</v>
      </c>
      <c r="O1202" s="29"/>
      <c r="P1202" s="261">
        <v>22.2</v>
      </c>
      <c r="Q1202" s="257">
        <v>-9999</v>
      </c>
      <c r="R1202" s="261"/>
      <c r="S1202" s="257"/>
      <c r="T1202" s="370">
        <v>4.4400000000000004</v>
      </c>
      <c r="U1202" s="257">
        <v>-9999</v>
      </c>
      <c r="V1202" s="257"/>
      <c r="W1202" s="609">
        <f t="shared" si="125"/>
        <v>4.6400000000000006</v>
      </c>
      <c r="X1202" s="257">
        <v>-9999</v>
      </c>
      <c r="Y1202" s="257"/>
      <c r="Z1202" s="257" t="s">
        <v>111</v>
      </c>
      <c r="AA1202" s="605">
        <v>1794</v>
      </c>
      <c r="AB1202" s="261">
        <v>0.77</v>
      </c>
      <c r="AC1202" s="257">
        <v>10.3</v>
      </c>
      <c r="AD1202" s="602">
        <f t="shared" si="124"/>
        <v>966</v>
      </c>
      <c r="AE1202" s="263" t="s">
        <v>97</v>
      </c>
      <c r="AF1202" s="263">
        <v>6</v>
      </c>
      <c r="AG1202" s="257">
        <v>2</v>
      </c>
      <c r="AH1202" s="257" t="s">
        <v>98</v>
      </c>
      <c r="AI1202" s="257" t="s">
        <v>985</v>
      </c>
      <c r="AJ1202" s="257">
        <v>-9999</v>
      </c>
      <c r="AK1202" s="257" t="s">
        <v>99</v>
      </c>
      <c r="AL1202" s="257" t="s">
        <v>828</v>
      </c>
      <c r="AM1202" s="257">
        <v>-9999</v>
      </c>
      <c r="AN1202" s="257" t="s">
        <v>631</v>
      </c>
      <c r="AO1202" s="257">
        <v>-9999</v>
      </c>
      <c r="AP1202" s="257">
        <v>-9999</v>
      </c>
      <c r="AQ1202" s="257" t="s">
        <v>631</v>
      </c>
      <c r="AR1202" s="257">
        <v>0</v>
      </c>
      <c r="AS1202" s="257">
        <v>-9999</v>
      </c>
      <c r="AT1202" s="257">
        <v>-9999</v>
      </c>
      <c r="AU1202" s="257">
        <v>0</v>
      </c>
      <c r="AV1202" s="257">
        <v>-9999</v>
      </c>
      <c r="AW1202" s="257"/>
      <c r="AX1202" s="257">
        <v>0</v>
      </c>
      <c r="AY1202" s="257">
        <v>-9999</v>
      </c>
      <c r="AZ1202" s="257">
        <v>-9999</v>
      </c>
      <c r="BA1202" s="257" t="s">
        <v>100</v>
      </c>
      <c r="BB1202" s="257" t="s">
        <v>626</v>
      </c>
      <c r="BC1202" s="257" t="s">
        <v>101</v>
      </c>
      <c r="BD1202" s="257" t="s">
        <v>102</v>
      </c>
      <c r="BE1202" s="257" t="s">
        <v>103</v>
      </c>
      <c r="BF1202" s="257" t="s">
        <v>104</v>
      </c>
      <c r="BG1202" s="257" t="s">
        <v>105</v>
      </c>
      <c r="BH1202" s="257" t="s">
        <v>106</v>
      </c>
      <c r="BI1202" s="257">
        <v>-9999</v>
      </c>
      <c r="BJ1202" s="257">
        <v>-9999</v>
      </c>
      <c r="BK1202" s="257">
        <v>-9999</v>
      </c>
      <c r="BL1202" s="602">
        <v>7.1</v>
      </c>
      <c r="BM1202" s="257">
        <v>-9999</v>
      </c>
      <c r="BN1202" s="602">
        <v>6.6</v>
      </c>
      <c r="BO1202" s="257">
        <v>-9999</v>
      </c>
      <c r="BP1202" s="257">
        <v>-9999</v>
      </c>
      <c r="BQ1202" s="257">
        <v>-9999</v>
      </c>
      <c r="BR1202" s="257">
        <v>-9999</v>
      </c>
      <c r="BS1202" s="263">
        <v>-9999</v>
      </c>
      <c r="BT1202" s="257">
        <v>-9999</v>
      </c>
      <c r="BU1202" s="257">
        <v>-9999</v>
      </c>
      <c r="BV1202" s="257">
        <v>-9999</v>
      </c>
      <c r="BW1202" s="257"/>
      <c r="BX1202" s="257">
        <v>-9999</v>
      </c>
      <c r="BY1202" s="257">
        <v>-9999</v>
      </c>
      <c r="BZ1202" s="257">
        <v>-9999</v>
      </c>
      <c r="CA1202" s="300" t="s">
        <v>107</v>
      </c>
      <c r="CB1202" s="264" t="s">
        <v>561</v>
      </c>
      <c r="CC1202" s="263">
        <v>1</v>
      </c>
      <c r="CD1202" s="263">
        <v>5</v>
      </c>
      <c r="CE1202" s="292">
        <v>4.4400000000000004</v>
      </c>
      <c r="CF1202" s="292">
        <v>4.6400000000000006</v>
      </c>
      <c r="CG1202" s="44">
        <v>5</v>
      </c>
    </row>
    <row r="1203" spans="1:1873" s="218" customFormat="1" ht="12.75" customHeight="1" x14ac:dyDescent="0.25">
      <c r="A1203" s="328" t="s">
        <v>560</v>
      </c>
      <c r="B1203" s="263" t="s">
        <v>1268</v>
      </c>
      <c r="C1203" s="600" t="s">
        <v>110</v>
      </c>
      <c r="D1203" s="263" t="s">
        <v>1400</v>
      </c>
      <c r="E1203" s="257" t="s">
        <v>855</v>
      </c>
      <c r="F1203" s="600">
        <v>1</v>
      </c>
      <c r="G1203" s="600">
        <v>6</v>
      </c>
      <c r="H1203" s="600">
        <v>6</v>
      </c>
      <c r="I1203" s="257" t="s">
        <v>856</v>
      </c>
      <c r="J1203" s="599">
        <v>1982</v>
      </c>
      <c r="K1203" s="257" t="s">
        <v>1211</v>
      </c>
      <c r="L1203" s="608">
        <v>1987</v>
      </c>
      <c r="M1203" s="261">
        <v>-9999</v>
      </c>
      <c r="N1203" s="257">
        <v>-9999</v>
      </c>
      <c r="O1203" s="29"/>
      <c r="P1203" s="602">
        <v>30.06</v>
      </c>
      <c r="Q1203" s="257">
        <v>-9999</v>
      </c>
      <c r="R1203" s="261"/>
      <c r="S1203" s="257"/>
      <c r="T1203" s="370">
        <v>5.01</v>
      </c>
      <c r="U1203" s="257">
        <v>-9999</v>
      </c>
      <c r="V1203" s="257"/>
      <c r="W1203" s="609">
        <f t="shared" si="125"/>
        <v>7.8599999999999994</v>
      </c>
      <c r="X1203" s="257">
        <v>-9999</v>
      </c>
      <c r="Y1203" s="257"/>
      <c r="Z1203" s="599" t="s">
        <v>111</v>
      </c>
      <c r="AA1203" s="605">
        <v>1794</v>
      </c>
      <c r="AB1203" s="611">
        <v>0.76</v>
      </c>
      <c r="AC1203" s="257">
        <v>10.3</v>
      </c>
      <c r="AD1203" s="602">
        <f t="shared" si="124"/>
        <v>966</v>
      </c>
      <c r="AE1203" s="263" t="s">
        <v>97</v>
      </c>
      <c r="AF1203" s="600">
        <v>1</v>
      </c>
      <c r="AG1203" s="257">
        <v>2</v>
      </c>
      <c r="AH1203" s="257" t="s">
        <v>98</v>
      </c>
      <c r="AI1203" s="257" t="s">
        <v>985</v>
      </c>
      <c r="AJ1203" s="257">
        <v>-9999</v>
      </c>
      <c r="AK1203" s="257" t="s">
        <v>99</v>
      </c>
      <c r="AL1203" s="257" t="s">
        <v>828</v>
      </c>
      <c r="AM1203" s="257">
        <v>-9999</v>
      </c>
      <c r="AN1203" s="257" t="s">
        <v>631</v>
      </c>
      <c r="AO1203" s="257">
        <v>-9999</v>
      </c>
      <c r="AP1203" s="257">
        <v>-9999</v>
      </c>
      <c r="AQ1203" s="257" t="s">
        <v>631</v>
      </c>
      <c r="AR1203" s="257">
        <v>0</v>
      </c>
      <c r="AS1203" s="257">
        <v>-9999</v>
      </c>
      <c r="AT1203" s="257">
        <v>-9999</v>
      </c>
      <c r="AU1203" s="257">
        <v>0</v>
      </c>
      <c r="AV1203" s="257">
        <v>-9999</v>
      </c>
      <c r="AW1203" s="257"/>
      <c r="AX1203" s="257">
        <v>0</v>
      </c>
      <c r="AY1203" s="257">
        <v>-9999</v>
      </c>
      <c r="AZ1203" s="257">
        <v>-9999</v>
      </c>
      <c r="BA1203" s="257" t="s">
        <v>100</v>
      </c>
      <c r="BB1203" s="257" t="s">
        <v>626</v>
      </c>
      <c r="BC1203" s="257" t="s">
        <v>101</v>
      </c>
      <c r="BD1203" s="257" t="s">
        <v>102</v>
      </c>
      <c r="BE1203" s="257" t="s">
        <v>103</v>
      </c>
      <c r="BF1203" s="257" t="s">
        <v>104</v>
      </c>
      <c r="BG1203" s="257" t="s">
        <v>105</v>
      </c>
      <c r="BH1203" s="257" t="s">
        <v>106</v>
      </c>
      <c r="BI1203" s="257">
        <v>-9999</v>
      </c>
      <c r="BJ1203" s="257">
        <v>-9999</v>
      </c>
      <c r="BK1203" s="257">
        <v>-9999</v>
      </c>
      <c r="BL1203" s="602">
        <v>8.5</v>
      </c>
      <c r="BM1203" s="257">
        <v>-9999</v>
      </c>
      <c r="BN1203" s="602">
        <v>10.199999999999999</v>
      </c>
      <c r="BO1203" s="257">
        <v>-9999</v>
      </c>
      <c r="BP1203" s="257">
        <v>-9999</v>
      </c>
      <c r="BQ1203" s="257">
        <v>-9999</v>
      </c>
      <c r="BR1203" s="257">
        <v>-9999</v>
      </c>
      <c r="BS1203" s="263">
        <v>-9999</v>
      </c>
      <c r="BT1203" s="257">
        <v>-9999</v>
      </c>
      <c r="BU1203" s="257">
        <v>-9999</v>
      </c>
      <c r="BV1203" s="257">
        <v>-9999</v>
      </c>
      <c r="BW1203" s="257"/>
      <c r="BX1203" s="257">
        <v>-9999</v>
      </c>
      <c r="BY1203" s="257">
        <v>-9999</v>
      </c>
      <c r="BZ1203" s="257">
        <v>-9999</v>
      </c>
      <c r="CA1203" s="300" t="s">
        <v>107</v>
      </c>
      <c r="CB1203" s="264" t="s">
        <v>561</v>
      </c>
      <c r="CC1203" s="600">
        <v>1</v>
      </c>
      <c r="CD1203" s="600">
        <v>6</v>
      </c>
      <c r="CE1203" s="168">
        <v>5.01</v>
      </c>
      <c r="CF1203" s="168">
        <v>7.8599999999999994</v>
      </c>
      <c r="CG1203" s="217">
        <v>6</v>
      </c>
      <c r="CH1203" s="301" t="s">
        <v>1757</v>
      </c>
      <c r="CI1203" s="149"/>
      <c r="CJ1203" s="149"/>
      <c r="CK1203" s="149"/>
      <c r="CL1203" s="149"/>
      <c r="CM1203" s="149"/>
      <c r="CN1203" s="149"/>
      <c r="CO1203" s="149"/>
      <c r="CP1203" s="149"/>
      <c r="CQ1203" s="149"/>
      <c r="CR1203" s="149"/>
      <c r="CS1203" s="149"/>
      <c r="CT1203" s="149"/>
      <c r="CU1203" s="149"/>
      <c r="CV1203" s="149"/>
      <c r="CW1203" s="149"/>
      <c r="CX1203" s="149"/>
      <c r="CY1203" s="149"/>
      <c r="CZ1203" s="149"/>
      <c r="DA1203" s="149"/>
      <c r="DB1203" s="149"/>
      <c r="DC1203" s="149"/>
      <c r="DD1203" s="149"/>
      <c r="DE1203" s="149"/>
      <c r="DF1203" s="149"/>
      <c r="DG1203" s="149"/>
      <c r="DH1203" s="149"/>
      <c r="DI1203" s="149"/>
      <c r="DJ1203" s="149"/>
      <c r="DK1203" s="149"/>
      <c r="DL1203" s="149"/>
      <c r="DM1203" s="149"/>
      <c r="DN1203" s="149"/>
      <c r="DO1203" s="149"/>
      <c r="DP1203" s="149"/>
      <c r="DQ1203" s="149"/>
      <c r="DR1203" s="149"/>
      <c r="DS1203" s="149"/>
      <c r="DT1203" s="149"/>
      <c r="DU1203" s="149"/>
      <c r="DV1203" s="149"/>
      <c r="DW1203" s="149"/>
      <c r="DX1203" s="149"/>
      <c r="DY1203" s="149"/>
      <c r="DZ1203" s="149"/>
      <c r="EA1203" s="149"/>
      <c r="EB1203" s="149"/>
      <c r="EC1203" s="149"/>
      <c r="ED1203" s="149"/>
      <c r="EE1203" s="149"/>
      <c r="EF1203" s="149"/>
      <c r="EG1203" s="149"/>
      <c r="EH1203" s="149"/>
      <c r="EI1203" s="149"/>
      <c r="EJ1203" s="149"/>
      <c r="EK1203" s="149"/>
      <c r="EL1203" s="149"/>
      <c r="EM1203" s="149"/>
      <c r="EN1203" s="149"/>
      <c r="EO1203" s="149"/>
      <c r="EP1203" s="149"/>
      <c r="EQ1203" s="149"/>
      <c r="ER1203" s="149"/>
      <c r="ES1203" s="149"/>
      <c r="ET1203" s="149"/>
      <c r="EU1203" s="149"/>
      <c r="EV1203" s="149"/>
      <c r="EW1203" s="149"/>
      <c r="EX1203" s="149"/>
      <c r="EY1203" s="149"/>
      <c r="EZ1203" s="149"/>
      <c r="FA1203" s="149"/>
      <c r="FB1203" s="149"/>
      <c r="FC1203" s="149"/>
      <c r="FD1203" s="149"/>
      <c r="FE1203" s="149"/>
      <c r="FF1203" s="149"/>
      <c r="FG1203" s="149"/>
      <c r="FH1203" s="149"/>
      <c r="FI1203" s="149"/>
      <c r="FJ1203" s="149"/>
      <c r="FK1203" s="149"/>
      <c r="FL1203" s="149"/>
      <c r="FM1203" s="149"/>
      <c r="FN1203" s="149"/>
      <c r="FO1203" s="149"/>
      <c r="FP1203" s="149"/>
      <c r="FQ1203" s="149"/>
      <c r="FR1203" s="149"/>
      <c r="FS1203" s="149"/>
      <c r="FT1203" s="149"/>
      <c r="FU1203" s="149"/>
      <c r="FV1203" s="149"/>
      <c r="FW1203" s="149"/>
      <c r="FX1203" s="149"/>
      <c r="FY1203" s="149"/>
      <c r="FZ1203" s="149"/>
      <c r="GA1203" s="149"/>
      <c r="GB1203" s="149"/>
      <c r="GC1203" s="149"/>
      <c r="GD1203" s="149"/>
      <c r="GE1203" s="149"/>
      <c r="GF1203" s="149"/>
      <c r="GG1203" s="149"/>
      <c r="GH1203" s="149"/>
      <c r="GI1203" s="149"/>
      <c r="GJ1203" s="149"/>
      <c r="GK1203" s="149"/>
      <c r="GL1203" s="149"/>
      <c r="GM1203" s="149"/>
      <c r="GN1203" s="149"/>
      <c r="GO1203" s="149"/>
      <c r="GP1203" s="149"/>
      <c r="GQ1203" s="149"/>
      <c r="GR1203" s="149"/>
      <c r="GS1203" s="149"/>
      <c r="GT1203" s="149"/>
      <c r="GU1203" s="149"/>
      <c r="GV1203" s="149"/>
      <c r="GW1203" s="149"/>
      <c r="GX1203" s="149"/>
      <c r="GY1203" s="149"/>
      <c r="GZ1203" s="149"/>
      <c r="HA1203" s="149"/>
      <c r="HB1203" s="149"/>
      <c r="HC1203" s="149"/>
      <c r="HD1203" s="149"/>
      <c r="HE1203" s="149"/>
      <c r="HF1203" s="149"/>
      <c r="HG1203" s="149"/>
      <c r="HH1203" s="149"/>
      <c r="HI1203" s="149"/>
      <c r="HJ1203" s="149"/>
      <c r="HK1203" s="149"/>
      <c r="HL1203" s="149"/>
      <c r="HM1203" s="149"/>
      <c r="HN1203" s="149"/>
      <c r="HO1203" s="149"/>
      <c r="HP1203" s="149"/>
      <c r="HQ1203" s="149"/>
      <c r="HR1203" s="149"/>
      <c r="HS1203" s="149"/>
      <c r="HT1203" s="149"/>
      <c r="HU1203" s="149"/>
      <c r="HV1203" s="149"/>
      <c r="HW1203" s="149"/>
      <c r="HX1203" s="149"/>
      <c r="HY1203" s="149"/>
      <c r="HZ1203" s="149"/>
      <c r="IA1203" s="149"/>
      <c r="IB1203" s="149"/>
      <c r="IC1203" s="149"/>
      <c r="ID1203" s="149"/>
      <c r="IE1203" s="149"/>
      <c r="IF1203" s="149"/>
      <c r="IG1203" s="149"/>
      <c r="IH1203" s="149"/>
      <c r="II1203" s="149"/>
      <c r="IJ1203" s="149"/>
      <c r="IK1203" s="149"/>
      <c r="IL1203" s="149"/>
      <c r="IM1203" s="149"/>
      <c r="IN1203" s="149"/>
      <c r="IO1203" s="149"/>
      <c r="IP1203" s="149"/>
      <c r="IQ1203" s="149"/>
      <c r="IR1203" s="149"/>
      <c r="IS1203" s="149"/>
      <c r="IT1203" s="149"/>
      <c r="IU1203" s="149"/>
      <c r="IV1203" s="149"/>
      <c r="IW1203" s="149"/>
      <c r="IX1203" s="149"/>
      <c r="IY1203" s="149"/>
      <c r="IZ1203" s="149"/>
      <c r="JA1203" s="149"/>
      <c r="JB1203" s="149"/>
      <c r="JC1203" s="149"/>
      <c r="JD1203" s="149"/>
      <c r="JE1203" s="149"/>
      <c r="JF1203" s="149"/>
      <c r="JG1203" s="149"/>
      <c r="JH1203" s="149"/>
      <c r="JI1203" s="149"/>
      <c r="JJ1203" s="149"/>
      <c r="JK1203" s="149"/>
      <c r="JL1203" s="149"/>
      <c r="JM1203" s="149"/>
      <c r="JN1203" s="149"/>
      <c r="JO1203" s="149"/>
      <c r="JP1203" s="149"/>
      <c r="JQ1203" s="149"/>
      <c r="JR1203" s="149"/>
      <c r="JS1203" s="149"/>
      <c r="JT1203" s="149"/>
      <c r="JU1203" s="149"/>
      <c r="JV1203" s="149"/>
      <c r="JW1203" s="149"/>
      <c r="JX1203" s="149"/>
      <c r="JY1203" s="149"/>
      <c r="JZ1203" s="149"/>
      <c r="KA1203" s="149"/>
      <c r="KB1203" s="149"/>
      <c r="KC1203" s="149"/>
      <c r="KD1203" s="149"/>
      <c r="KE1203" s="149"/>
      <c r="KF1203" s="149"/>
      <c r="KG1203" s="149"/>
      <c r="KH1203" s="149"/>
      <c r="KI1203" s="149"/>
      <c r="KJ1203" s="149"/>
      <c r="KK1203" s="149"/>
      <c r="KL1203" s="149"/>
      <c r="KM1203" s="149"/>
      <c r="KN1203" s="149"/>
      <c r="KO1203" s="149"/>
      <c r="KP1203" s="149"/>
      <c r="KQ1203" s="149"/>
      <c r="KR1203" s="149"/>
      <c r="KS1203" s="149"/>
      <c r="KT1203" s="149"/>
      <c r="KU1203" s="149"/>
      <c r="KV1203" s="149"/>
      <c r="KW1203" s="149"/>
      <c r="KX1203" s="149"/>
      <c r="KY1203" s="149"/>
      <c r="KZ1203" s="149"/>
      <c r="LA1203" s="149"/>
      <c r="LB1203" s="149"/>
      <c r="LC1203" s="149"/>
      <c r="LD1203" s="149"/>
      <c r="LE1203" s="149"/>
      <c r="LF1203" s="149"/>
      <c r="LG1203" s="149"/>
      <c r="LH1203" s="149"/>
      <c r="LI1203" s="149"/>
      <c r="LJ1203" s="149"/>
      <c r="LK1203" s="149"/>
      <c r="LL1203" s="149"/>
      <c r="LM1203" s="149"/>
      <c r="LN1203" s="149"/>
      <c r="LO1203" s="149"/>
      <c r="LP1203" s="149"/>
      <c r="LQ1203" s="149"/>
      <c r="LR1203" s="149"/>
      <c r="LS1203" s="149"/>
      <c r="LT1203" s="149"/>
      <c r="LU1203" s="149"/>
      <c r="LV1203" s="149"/>
      <c r="LW1203" s="149"/>
      <c r="LX1203" s="149"/>
      <c r="LY1203" s="149"/>
      <c r="LZ1203" s="149"/>
      <c r="MA1203" s="149"/>
      <c r="MB1203" s="149"/>
      <c r="MC1203" s="149"/>
      <c r="MD1203" s="149"/>
      <c r="ME1203" s="149"/>
      <c r="MF1203" s="149"/>
      <c r="MG1203" s="149"/>
      <c r="MH1203" s="149"/>
      <c r="MI1203" s="149"/>
      <c r="MJ1203" s="149"/>
      <c r="MK1203" s="149"/>
      <c r="ML1203" s="149"/>
      <c r="MM1203" s="149"/>
      <c r="MN1203" s="149"/>
      <c r="MO1203" s="149"/>
      <c r="MP1203" s="149"/>
      <c r="MQ1203" s="149"/>
      <c r="MR1203" s="149"/>
      <c r="MS1203" s="149"/>
      <c r="MT1203" s="149"/>
      <c r="MU1203" s="149"/>
      <c r="MV1203" s="149"/>
      <c r="MW1203" s="149"/>
      <c r="MX1203" s="149"/>
      <c r="MY1203" s="149"/>
      <c r="MZ1203" s="149"/>
      <c r="NA1203" s="149"/>
      <c r="NB1203" s="149"/>
      <c r="NC1203" s="149"/>
      <c r="ND1203" s="149"/>
      <c r="NE1203" s="149"/>
      <c r="NF1203" s="149"/>
      <c r="NG1203" s="149"/>
      <c r="NH1203" s="149"/>
      <c r="NI1203" s="149"/>
      <c r="NJ1203" s="149"/>
      <c r="NK1203" s="149"/>
      <c r="NL1203" s="149"/>
      <c r="NM1203" s="149"/>
      <c r="NN1203" s="149"/>
      <c r="NO1203" s="149"/>
      <c r="NP1203" s="149"/>
      <c r="NQ1203" s="149"/>
      <c r="NR1203" s="149"/>
      <c r="NS1203" s="149"/>
      <c r="NT1203" s="149"/>
      <c r="NU1203" s="149"/>
      <c r="NV1203" s="149"/>
      <c r="NW1203" s="149"/>
      <c r="NX1203" s="149"/>
      <c r="NY1203" s="149"/>
      <c r="NZ1203" s="149"/>
      <c r="OA1203" s="149"/>
      <c r="OB1203" s="149"/>
      <c r="OC1203" s="149"/>
      <c r="OD1203" s="149"/>
      <c r="OE1203" s="149"/>
      <c r="OF1203" s="149"/>
      <c r="OG1203" s="149"/>
      <c r="OH1203" s="149"/>
      <c r="OI1203" s="149"/>
      <c r="OJ1203" s="149"/>
      <c r="OK1203" s="149"/>
      <c r="OL1203" s="149"/>
      <c r="OM1203" s="149"/>
      <c r="ON1203" s="149"/>
      <c r="OO1203" s="149"/>
      <c r="OP1203" s="149"/>
      <c r="OQ1203" s="149"/>
      <c r="OR1203" s="149"/>
      <c r="OS1203" s="149"/>
      <c r="OT1203" s="149"/>
      <c r="OU1203" s="149"/>
      <c r="OV1203" s="149"/>
      <c r="OW1203" s="149"/>
      <c r="OX1203" s="149"/>
      <c r="OY1203" s="149"/>
      <c r="OZ1203" s="149"/>
      <c r="PA1203" s="149"/>
      <c r="PB1203" s="149"/>
      <c r="PC1203" s="149"/>
      <c r="PD1203" s="149"/>
      <c r="PE1203" s="149"/>
      <c r="PF1203" s="149"/>
      <c r="PG1203" s="149"/>
      <c r="PH1203" s="149"/>
      <c r="PI1203" s="149"/>
      <c r="PJ1203" s="149"/>
      <c r="PK1203" s="149"/>
      <c r="PL1203" s="149"/>
      <c r="PM1203" s="149"/>
      <c r="PN1203" s="149"/>
      <c r="PO1203" s="149"/>
      <c r="PP1203" s="149"/>
      <c r="PQ1203" s="149"/>
      <c r="PR1203" s="149"/>
      <c r="PS1203" s="149"/>
      <c r="PT1203" s="149"/>
      <c r="PU1203" s="149"/>
      <c r="PV1203" s="149"/>
      <c r="PW1203" s="149"/>
      <c r="PX1203" s="149"/>
      <c r="PY1203" s="149"/>
      <c r="PZ1203" s="149"/>
      <c r="QA1203" s="149"/>
      <c r="QB1203" s="149"/>
      <c r="QC1203" s="149"/>
      <c r="QD1203" s="149"/>
      <c r="QE1203" s="149"/>
      <c r="QF1203" s="149"/>
      <c r="QG1203" s="149"/>
      <c r="QH1203" s="149"/>
      <c r="QI1203" s="149"/>
      <c r="QJ1203" s="149"/>
      <c r="QK1203" s="149"/>
      <c r="QL1203" s="149"/>
      <c r="QM1203" s="149"/>
      <c r="QN1203" s="149"/>
      <c r="QO1203" s="149"/>
      <c r="QP1203" s="149"/>
      <c r="QQ1203" s="149"/>
      <c r="QR1203" s="149"/>
      <c r="QS1203" s="149"/>
      <c r="QT1203" s="149"/>
      <c r="QU1203" s="149"/>
      <c r="QV1203" s="149"/>
      <c r="QW1203" s="149"/>
      <c r="QX1203" s="149"/>
      <c r="QY1203" s="149"/>
      <c r="QZ1203" s="149"/>
      <c r="RA1203" s="149"/>
      <c r="RB1203" s="149"/>
      <c r="RC1203" s="149"/>
      <c r="RD1203" s="149"/>
      <c r="RE1203" s="149"/>
      <c r="RF1203" s="149"/>
      <c r="RG1203" s="149"/>
      <c r="RH1203" s="149"/>
      <c r="RI1203" s="149"/>
      <c r="RJ1203" s="149"/>
      <c r="RK1203" s="149"/>
      <c r="RL1203" s="149"/>
      <c r="RM1203" s="149"/>
      <c r="RN1203" s="149"/>
      <c r="RO1203" s="149"/>
      <c r="RP1203" s="149"/>
      <c r="RQ1203" s="149"/>
      <c r="RR1203" s="149"/>
      <c r="RS1203" s="149"/>
      <c r="RT1203" s="149"/>
      <c r="RU1203" s="149"/>
      <c r="RV1203" s="149"/>
      <c r="RW1203" s="149"/>
      <c r="RX1203" s="149"/>
      <c r="RY1203" s="149"/>
      <c r="RZ1203" s="149"/>
      <c r="SA1203" s="149"/>
      <c r="SB1203" s="149"/>
      <c r="SC1203" s="149"/>
      <c r="SD1203" s="149"/>
      <c r="SE1203" s="149"/>
      <c r="SF1203" s="149"/>
      <c r="SG1203" s="149"/>
      <c r="SH1203" s="149"/>
      <c r="SI1203" s="149"/>
      <c r="SJ1203" s="149"/>
      <c r="SK1203" s="149"/>
      <c r="SL1203" s="149"/>
      <c r="SM1203" s="149"/>
      <c r="SN1203" s="149"/>
      <c r="SO1203" s="149"/>
      <c r="SP1203" s="149"/>
      <c r="SQ1203" s="149"/>
      <c r="SR1203" s="149"/>
      <c r="SS1203" s="149"/>
      <c r="ST1203" s="149"/>
      <c r="SU1203" s="149"/>
      <c r="SV1203" s="149"/>
      <c r="SW1203" s="149"/>
      <c r="SX1203" s="149"/>
      <c r="SY1203" s="149"/>
      <c r="SZ1203" s="149"/>
      <c r="TA1203" s="149"/>
      <c r="TB1203" s="149"/>
      <c r="TC1203" s="149"/>
      <c r="TD1203" s="149"/>
      <c r="TE1203" s="149"/>
      <c r="TF1203" s="149"/>
      <c r="TG1203" s="149"/>
      <c r="TH1203" s="149"/>
      <c r="TI1203" s="149"/>
      <c r="TJ1203" s="149"/>
      <c r="TK1203" s="149"/>
      <c r="TL1203" s="149"/>
      <c r="TM1203" s="149"/>
      <c r="TN1203" s="149"/>
      <c r="TO1203" s="149"/>
      <c r="TP1203" s="149"/>
      <c r="TQ1203" s="149"/>
      <c r="TR1203" s="149"/>
      <c r="TS1203" s="149"/>
      <c r="TT1203" s="149"/>
      <c r="TU1203" s="149"/>
      <c r="TV1203" s="149"/>
      <c r="TW1203" s="149"/>
      <c r="TX1203" s="149"/>
      <c r="TY1203" s="149"/>
      <c r="TZ1203" s="149"/>
      <c r="UA1203" s="149"/>
      <c r="UB1203" s="149"/>
      <c r="UC1203" s="149"/>
      <c r="UD1203" s="149"/>
      <c r="UE1203" s="149"/>
      <c r="UF1203" s="149"/>
      <c r="UG1203" s="149"/>
      <c r="UH1203" s="149"/>
      <c r="UI1203" s="149"/>
      <c r="UJ1203" s="149"/>
      <c r="UK1203" s="149"/>
      <c r="UL1203" s="149"/>
      <c r="UM1203" s="149"/>
      <c r="UN1203" s="149"/>
      <c r="UO1203" s="149"/>
      <c r="UP1203" s="149"/>
      <c r="UQ1203" s="149"/>
      <c r="UR1203" s="149"/>
      <c r="US1203" s="149"/>
      <c r="UT1203" s="149"/>
      <c r="UU1203" s="149"/>
      <c r="UV1203" s="149"/>
      <c r="UW1203" s="149"/>
      <c r="UX1203" s="149"/>
      <c r="UY1203" s="149"/>
      <c r="UZ1203" s="149"/>
      <c r="VA1203" s="149"/>
      <c r="VB1203" s="149"/>
      <c r="VC1203" s="149"/>
      <c r="VD1203" s="149"/>
      <c r="VE1203" s="149"/>
      <c r="VF1203" s="149"/>
      <c r="VG1203" s="149"/>
      <c r="VH1203" s="149"/>
      <c r="VI1203" s="149"/>
      <c r="VJ1203" s="149"/>
      <c r="VK1203" s="149"/>
      <c r="VL1203" s="149"/>
      <c r="VM1203" s="149"/>
      <c r="VN1203" s="149"/>
      <c r="VO1203" s="149"/>
      <c r="VP1203" s="149"/>
      <c r="VQ1203" s="149"/>
      <c r="VR1203" s="149"/>
      <c r="VS1203" s="149"/>
      <c r="VT1203" s="149"/>
      <c r="VU1203" s="149"/>
      <c r="VV1203" s="149"/>
      <c r="VW1203" s="149"/>
      <c r="VX1203" s="149"/>
      <c r="VY1203" s="149"/>
      <c r="VZ1203" s="149"/>
      <c r="WA1203" s="149"/>
      <c r="WB1203" s="149"/>
      <c r="WC1203" s="149"/>
      <c r="WD1203" s="149"/>
      <c r="WE1203" s="149"/>
      <c r="WF1203" s="149"/>
      <c r="WG1203" s="149"/>
      <c r="WH1203" s="149"/>
      <c r="WI1203" s="149"/>
      <c r="WJ1203" s="149"/>
      <c r="WK1203" s="149"/>
      <c r="WL1203" s="149"/>
      <c r="WM1203" s="149"/>
      <c r="WN1203" s="149"/>
      <c r="WO1203" s="149"/>
      <c r="WP1203" s="149"/>
      <c r="WQ1203" s="149"/>
      <c r="WR1203" s="149"/>
      <c r="WS1203" s="149"/>
      <c r="WT1203" s="149"/>
      <c r="WU1203" s="149"/>
      <c r="WV1203" s="149"/>
      <c r="WW1203" s="149"/>
      <c r="WX1203" s="149"/>
      <c r="WY1203" s="149"/>
      <c r="WZ1203" s="149"/>
      <c r="XA1203" s="149"/>
      <c r="XB1203" s="149"/>
      <c r="XC1203" s="149"/>
      <c r="XD1203" s="149"/>
      <c r="XE1203" s="149"/>
      <c r="XF1203" s="149"/>
      <c r="XG1203" s="149"/>
      <c r="XH1203" s="149"/>
      <c r="XI1203" s="149"/>
      <c r="XJ1203" s="149"/>
      <c r="XK1203" s="149"/>
      <c r="XL1203" s="149"/>
      <c r="XM1203" s="149"/>
      <c r="XN1203" s="149"/>
      <c r="XO1203" s="149"/>
      <c r="XP1203" s="149"/>
      <c r="XQ1203" s="149"/>
      <c r="XR1203" s="149"/>
      <c r="XS1203" s="149"/>
      <c r="XT1203" s="149"/>
      <c r="XU1203" s="149"/>
      <c r="XV1203" s="149"/>
      <c r="XW1203" s="149"/>
      <c r="XX1203" s="149"/>
      <c r="XY1203" s="149"/>
      <c r="XZ1203" s="149"/>
      <c r="YA1203" s="149"/>
      <c r="YB1203" s="149"/>
      <c r="YC1203" s="149"/>
      <c r="YD1203" s="149"/>
      <c r="YE1203" s="149"/>
      <c r="YF1203" s="149"/>
      <c r="YG1203" s="149"/>
      <c r="YH1203" s="149"/>
      <c r="YI1203" s="149"/>
      <c r="YJ1203" s="149"/>
      <c r="YK1203" s="149"/>
      <c r="YL1203" s="149"/>
      <c r="YM1203" s="149"/>
      <c r="YN1203" s="149"/>
      <c r="YO1203" s="149"/>
      <c r="YP1203" s="149"/>
      <c r="YQ1203" s="149"/>
      <c r="YR1203" s="149"/>
      <c r="YS1203" s="149"/>
      <c r="YT1203" s="149"/>
      <c r="YU1203" s="149"/>
      <c r="YV1203" s="149"/>
      <c r="YW1203" s="149"/>
      <c r="YX1203" s="149"/>
      <c r="YY1203" s="149"/>
      <c r="YZ1203" s="149"/>
      <c r="ZA1203" s="149"/>
      <c r="ZB1203" s="149"/>
      <c r="ZC1203" s="149"/>
      <c r="ZD1203" s="149"/>
      <c r="ZE1203" s="149"/>
      <c r="ZF1203" s="149"/>
      <c r="ZG1203" s="149"/>
      <c r="ZH1203" s="149"/>
      <c r="ZI1203" s="149"/>
      <c r="ZJ1203" s="149"/>
      <c r="ZK1203" s="149"/>
      <c r="ZL1203" s="149"/>
      <c r="ZM1203" s="149"/>
      <c r="ZN1203" s="149"/>
      <c r="ZO1203" s="149"/>
      <c r="ZP1203" s="149"/>
      <c r="ZQ1203" s="149"/>
      <c r="ZR1203" s="149"/>
      <c r="ZS1203" s="149"/>
      <c r="ZT1203" s="149"/>
      <c r="ZU1203" s="149"/>
      <c r="ZV1203" s="149"/>
      <c r="ZW1203" s="149"/>
      <c r="ZX1203" s="149"/>
      <c r="ZY1203" s="149"/>
      <c r="ZZ1203" s="149"/>
      <c r="AAA1203" s="149"/>
      <c r="AAB1203" s="149"/>
      <c r="AAC1203" s="149"/>
      <c r="AAD1203" s="149"/>
      <c r="AAE1203" s="149"/>
      <c r="AAF1203" s="149"/>
      <c r="AAG1203" s="149"/>
      <c r="AAH1203" s="149"/>
      <c r="AAI1203" s="149"/>
      <c r="AAJ1203" s="149"/>
      <c r="AAK1203" s="149"/>
      <c r="AAL1203" s="149"/>
      <c r="AAM1203" s="149"/>
      <c r="AAN1203" s="149"/>
      <c r="AAO1203" s="149"/>
      <c r="AAP1203" s="149"/>
      <c r="AAQ1203" s="149"/>
      <c r="AAR1203" s="149"/>
      <c r="AAS1203" s="149"/>
      <c r="AAT1203" s="149"/>
      <c r="AAU1203" s="149"/>
      <c r="AAV1203" s="149"/>
      <c r="AAW1203" s="149"/>
      <c r="AAX1203" s="149"/>
      <c r="AAY1203" s="149"/>
      <c r="AAZ1203" s="149"/>
      <c r="ABA1203" s="149"/>
      <c r="ABB1203" s="149"/>
      <c r="ABC1203" s="149"/>
      <c r="ABD1203" s="149"/>
      <c r="ABE1203" s="149"/>
      <c r="ABF1203" s="149"/>
      <c r="ABG1203" s="149"/>
      <c r="ABH1203" s="149"/>
      <c r="ABI1203" s="149"/>
      <c r="ABJ1203" s="149"/>
      <c r="ABK1203" s="149"/>
      <c r="ABL1203" s="149"/>
      <c r="ABM1203" s="149"/>
      <c r="ABN1203" s="149"/>
      <c r="ABO1203" s="149"/>
      <c r="ABP1203" s="149"/>
      <c r="ABQ1203" s="149"/>
      <c r="ABR1203" s="149"/>
      <c r="ABS1203" s="149"/>
      <c r="ABT1203" s="149"/>
      <c r="ABU1203" s="149"/>
      <c r="ABV1203" s="149"/>
      <c r="ABW1203" s="149"/>
      <c r="ABX1203" s="149"/>
      <c r="ABY1203" s="149"/>
      <c r="ABZ1203" s="149"/>
      <c r="ACA1203" s="149"/>
      <c r="ACB1203" s="149"/>
      <c r="ACC1203" s="149"/>
      <c r="ACD1203" s="149"/>
      <c r="ACE1203" s="149"/>
      <c r="ACF1203" s="149"/>
      <c r="ACG1203" s="149"/>
      <c r="ACH1203" s="149"/>
      <c r="ACI1203" s="149"/>
      <c r="ACJ1203" s="149"/>
      <c r="ACK1203" s="149"/>
      <c r="ACL1203" s="149"/>
      <c r="ACM1203" s="149"/>
      <c r="ACN1203" s="149"/>
      <c r="ACO1203" s="149"/>
      <c r="ACP1203" s="149"/>
      <c r="ACQ1203" s="149"/>
      <c r="ACR1203" s="149"/>
      <c r="ACS1203" s="149"/>
      <c r="ACT1203" s="149"/>
      <c r="ACU1203" s="149"/>
      <c r="ACV1203" s="149"/>
      <c r="ACW1203" s="149"/>
      <c r="ACX1203" s="149"/>
      <c r="ACY1203" s="149"/>
      <c r="ACZ1203" s="149"/>
      <c r="ADA1203" s="149"/>
      <c r="ADB1203" s="149"/>
      <c r="ADC1203" s="149"/>
      <c r="ADD1203" s="149"/>
      <c r="ADE1203" s="149"/>
      <c r="ADF1203" s="149"/>
      <c r="ADG1203" s="149"/>
      <c r="ADH1203" s="149"/>
      <c r="ADI1203" s="149"/>
      <c r="ADJ1203" s="149"/>
      <c r="ADK1203" s="149"/>
      <c r="ADL1203" s="149"/>
      <c r="ADM1203" s="149"/>
      <c r="ADN1203" s="149"/>
      <c r="ADO1203" s="149"/>
      <c r="ADP1203" s="149"/>
      <c r="ADQ1203" s="149"/>
      <c r="ADR1203" s="149"/>
      <c r="ADS1203" s="149"/>
      <c r="ADT1203" s="149"/>
      <c r="ADU1203" s="149"/>
      <c r="ADV1203" s="149"/>
      <c r="ADW1203" s="149"/>
      <c r="ADX1203" s="149"/>
      <c r="ADY1203" s="149"/>
      <c r="ADZ1203" s="149"/>
      <c r="AEA1203" s="149"/>
      <c r="AEB1203" s="149"/>
      <c r="AEC1203" s="149"/>
      <c r="AED1203" s="149"/>
      <c r="AEE1203" s="149"/>
      <c r="AEF1203" s="149"/>
      <c r="AEG1203" s="149"/>
      <c r="AEH1203" s="149"/>
      <c r="AEI1203" s="149"/>
      <c r="AEJ1203" s="149"/>
      <c r="AEK1203" s="149"/>
      <c r="AEL1203" s="149"/>
      <c r="AEM1203" s="149"/>
      <c r="AEN1203" s="149"/>
      <c r="AEO1203" s="149"/>
      <c r="AEP1203" s="149"/>
      <c r="AEQ1203" s="149"/>
      <c r="AER1203" s="149"/>
      <c r="AES1203" s="149"/>
      <c r="AET1203" s="149"/>
      <c r="AEU1203" s="149"/>
      <c r="AEV1203" s="149"/>
      <c r="AEW1203" s="149"/>
      <c r="AEX1203" s="149"/>
      <c r="AEY1203" s="149"/>
      <c r="AEZ1203" s="149"/>
      <c r="AFA1203" s="149"/>
      <c r="AFB1203" s="149"/>
      <c r="AFC1203" s="149"/>
      <c r="AFD1203" s="149"/>
      <c r="AFE1203" s="149"/>
      <c r="AFF1203" s="149"/>
      <c r="AFG1203" s="149"/>
      <c r="AFH1203" s="149"/>
      <c r="AFI1203" s="149"/>
      <c r="AFJ1203" s="149"/>
      <c r="AFK1203" s="149"/>
      <c r="AFL1203" s="149"/>
      <c r="AFM1203" s="149"/>
      <c r="AFN1203" s="149"/>
      <c r="AFO1203" s="149"/>
      <c r="AFP1203" s="149"/>
      <c r="AFQ1203" s="149"/>
      <c r="AFR1203" s="149"/>
      <c r="AFS1203" s="149"/>
      <c r="AFT1203" s="149"/>
      <c r="AFU1203" s="149"/>
      <c r="AFV1203" s="149"/>
      <c r="AFW1203" s="149"/>
      <c r="AFX1203" s="149"/>
      <c r="AFY1203" s="149"/>
      <c r="AFZ1203" s="149"/>
      <c r="AGA1203" s="149"/>
      <c r="AGB1203" s="149"/>
      <c r="AGC1203" s="149"/>
      <c r="AGD1203" s="149"/>
      <c r="AGE1203" s="149"/>
      <c r="AGF1203" s="149"/>
      <c r="AGG1203" s="149"/>
      <c r="AGH1203" s="149"/>
      <c r="AGI1203" s="149"/>
      <c r="AGJ1203" s="149"/>
      <c r="AGK1203" s="149"/>
      <c r="AGL1203" s="149"/>
      <c r="AGM1203" s="149"/>
      <c r="AGN1203" s="149"/>
      <c r="AGO1203" s="149"/>
      <c r="AGP1203" s="149"/>
      <c r="AGQ1203" s="149"/>
      <c r="AGR1203" s="149"/>
      <c r="AGS1203" s="149"/>
      <c r="AGT1203" s="149"/>
      <c r="AGU1203" s="149"/>
      <c r="AGV1203" s="149"/>
      <c r="AGW1203" s="149"/>
      <c r="AGX1203" s="149"/>
      <c r="AGY1203" s="149"/>
      <c r="AGZ1203" s="149"/>
      <c r="AHA1203" s="149"/>
      <c r="AHB1203" s="149"/>
      <c r="AHC1203" s="149"/>
      <c r="AHD1203" s="149"/>
      <c r="AHE1203" s="149"/>
      <c r="AHF1203" s="149"/>
      <c r="AHG1203" s="149"/>
      <c r="AHH1203" s="149"/>
      <c r="AHI1203" s="149"/>
      <c r="AHJ1203" s="149"/>
      <c r="AHK1203" s="149"/>
      <c r="AHL1203" s="149"/>
      <c r="AHM1203" s="149"/>
      <c r="AHN1203" s="149"/>
      <c r="AHO1203" s="149"/>
      <c r="AHP1203" s="149"/>
      <c r="AHQ1203" s="149"/>
      <c r="AHR1203" s="149"/>
      <c r="AHS1203" s="149"/>
      <c r="AHT1203" s="149"/>
      <c r="AHU1203" s="149"/>
      <c r="AHV1203" s="149"/>
      <c r="AHW1203" s="149"/>
      <c r="AHX1203" s="149"/>
      <c r="AHY1203" s="149"/>
      <c r="AHZ1203" s="149"/>
      <c r="AIA1203" s="149"/>
      <c r="AIB1203" s="149"/>
      <c r="AIC1203" s="149"/>
      <c r="AID1203" s="149"/>
      <c r="AIE1203" s="149"/>
      <c r="AIF1203" s="149"/>
      <c r="AIG1203" s="149"/>
      <c r="AIH1203" s="149"/>
      <c r="AII1203" s="149"/>
      <c r="AIJ1203" s="149"/>
      <c r="AIK1203" s="149"/>
      <c r="AIL1203" s="149"/>
      <c r="AIM1203" s="149"/>
      <c r="AIN1203" s="149"/>
      <c r="AIO1203" s="149"/>
      <c r="AIP1203" s="149"/>
      <c r="AIQ1203" s="149"/>
      <c r="AIR1203" s="149"/>
      <c r="AIS1203" s="149"/>
      <c r="AIT1203" s="149"/>
      <c r="AIU1203" s="149"/>
      <c r="AIV1203" s="149"/>
      <c r="AIW1203" s="149"/>
      <c r="AIX1203" s="149"/>
      <c r="AIY1203" s="149"/>
      <c r="AIZ1203" s="149"/>
      <c r="AJA1203" s="149"/>
      <c r="AJB1203" s="149"/>
      <c r="AJC1203" s="149"/>
      <c r="AJD1203" s="149"/>
      <c r="AJE1203" s="149"/>
      <c r="AJF1203" s="149"/>
      <c r="AJG1203" s="149"/>
      <c r="AJH1203" s="149"/>
      <c r="AJI1203" s="149"/>
      <c r="AJJ1203" s="149"/>
      <c r="AJK1203" s="149"/>
      <c r="AJL1203" s="149"/>
      <c r="AJM1203" s="149"/>
      <c r="AJN1203" s="149"/>
      <c r="AJO1203" s="149"/>
      <c r="AJP1203" s="149"/>
      <c r="AJQ1203" s="149"/>
      <c r="AJR1203" s="149"/>
      <c r="AJS1203" s="149"/>
      <c r="AJT1203" s="149"/>
      <c r="AJU1203" s="149"/>
      <c r="AJV1203" s="149"/>
      <c r="AJW1203" s="149"/>
      <c r="AJX1203" s="149"/>
      <c r="AJY1203" s="149"/>
      <c r="AJZ1203" s="149"/>
      <c r="AKA1203" s="149"/>
      <c r="AKB1203" s="149"/>
      <c r="AKC1203" s="149"/>
      <c r="AKD1203" s="149"/>
      <c r="AKE1203" s="149"/>
      <c r="AKF1203" s="149"/>
      <c r="AKG1203" s="149"/>
      <c r="AKH1203" s="149"/>
      <c r="AKI1203" s="149"/>
      <c r="AKJ1203" s="149"/>
      <c r="AKK1203" s="149"/>
      <c r="AKL1203" s="149"/>
      <c r="AKM1203" s="149"/>
      <c r="AKN1203" s="149"/>
      <c r="AKO1203" s="149"/>
      <c r="AKP1203" s="149"/>
      <c r="AKQ1203" s="149"/>
      <c r="AKR1203" s="149"/>
      <c r="AKS1203" s="149"/>
      <c r="AKT1203" s="149"/>
      <c r="AKU1203" s="149"/>
      <c r="AKV1203" s="149"/>
      <c r="AKW1203" s="149"/>
      <c r="AKX1203" s="149"/>
      <c r="AKY1203" s="149"/>
      <c r="AKZ1203" s="149"/>
      <c r="ALA1203" s="149"/>
      <c r="ALB1203" s="149"/>
      <c r="ALC1203" s="149"/>
      <c r="ALD1203" s="149"/>
      <c r="ALE1203" s="149"/>
      <c r="ALF1203" s="149"/>
      <c r="ALG1203" s="149"/>
      <c r="ALH1203" s="149"/>
      <c r="ALI1203" s="149"/>
      <c r="ALJ1203" s="149"/>
      <c r="ALK1203" s="149"/>
      <c r="ALL1203" s="149"/>
      <c r="ALM1203" s="149"/>
      <c r="ALN1203" s="149"/>
      <c r="ALO1203" s="149"/>
      <c r="ALP1203" s="149"/>
      <c r="ALQ1203" s="149"/>
      <c r="ALR1203" s="149"/>
      <c r="ALS1203" s="149"/>
      <c r="ALT1203" s="149"/>
      <c r="ALU1203" s="149"/>
      <c r="ALV1203" s="149"/>
      <c r="ALW1203" s="149"/>
      <c r="ALX1203" s="149"/>
      <c r="ALY1203" s="149"/>
      <c r="ALZ1203" s="149"/>
      <c r="AMA1203" s="149"/>
      <c r="AMB1203" s="149"/>
      <c r="AMC1203" s="149"/>
      <c r="AMD1203" s="149"/>
      <c r="AME1203" s="149"/>
      <c r="AMF1203" s="149"/>
      <c r="AMG1203" s="149"/>
      <c r="AMH1203" s="149"/>
      <c r="AMI1203" s="149"/>
      <c r="AMJ1203" s="149"/>
      <c r="AMK1203" s="149"/>
      <c r="AML1203" s="149"/>
      <c r="AMM1203" s="149"/>
      <c r="AMN1203" s="149"/>
      <c r="AMO1203" s="149"/>
      <c r="AMP1203" s="149"/>
      <c r="AMQ1203" s="149"/>
      <c r="AMR1203" s="149"/>
      <c r="AMS1203" s="149"/>
      <c r="AMT1203" s="149"/>
      <c r="AMU1203" s="149"/>
      <c r="AMV1203" s="149"/>
      <c r="AMW1203" s="149"/>
      <c r="AMX1203" s="149"/>
      <c r="AMY1203" s="149"/>
      <c r="AMZ1203" s="149"/>
      <c r="ANA1203" s="149"/>
      <c r="ANB1203" s="149"/>
      <c r="ANC1203" s="149"/>
      <c r="AND1203" s="149"/>
      <c r="ANE1203" s="149"/>
      <c r="ANF1203" s="149"/>
      <c r="ANG1203" s="149"/>
      <c r="ANH1203" s="149"/>
      <c r="ANI1203" s="149"/>
      <c r="ANJ1203" s="149"/>
      <c r="ANK1203" s="149"/>
      <c r="ANL1203" s="149"/>
      <c r="ANM1203" s="149"/>
      <c r="ANN1203" s="149"/>
      <c r="ANO1203" s="149"/>
      <c r="ANP1203" s="149"/>
      <c r="ANQ1203" s="149"/>
      <c r="ANR1203" s="149"/>
      <c r="ANS1203" s="149"/>
      <c r="ANT1203" s="149"/>
      <c r="ANU1203" s="149"/>
      <c r="ANV1203" s="149"/>
      <c r="ANW1203" s="149"/>
      <c r="ANX1203" s="149"/>
      <c r="ANY1203" s="149"/>
      <c r="ANZ1203" s="149"/>
      <c r="AOA1203" s="149"/>
      <c r="AOB1203" s="149"/>
      <c r="AOC1203" s="149"/>
      <c r="AOD1203" s="149"/>
      <c r="AOE1203" s="149"/>
      <c r="AOF1203" s="149"/>
      <c r="AOG1203" s="149"/>
      <c r="AOH1203" s="149"/>
      <c r="AOI1203" s="149"/>
      <c r="AOJ1203" s="149"/>
      <c r="AOK1203" s="149"/>
      <c r="AOL1203" s="149"/>
      <c r="AOM1203" s="149"/>
      <c r="AON1203" s="149"/>
      <c r="AOO1203" s="149"/>
      <c r="AOP1203" s="149"/>
      <c r="AOQ1203" s="149"/>
      <c r="AOR1203" s="149"/>
      <c r="AOS1203" s="149"/>
      <c r="AOT1203" s="149"/>
      <c r="AOU1203" s="149"/>
      <c r="AOV1203" s="149"/>
      <c r="AOW1203" s="149"/>
      <c r="AOX1203" s="149"/>
      <c r="AOY1203" s="149"/>
      <c r="AOZ1203" s="149"/>
      <c r="APA1203" s="149"/>
      <c r="APB1203" s="149"/>
      <c r="APC1203" s="149"/>
      <c r="APD1203" s="149"/>
      <c r="APE1203" s="149"/>
      <c r="APF1203" s="149"/>
      <c r="APG1203" s="149"/>
      <c r="APH1203" s="149"/>
      <c r="API1203" s="149"/>
      <c r="APJ1203" s="149"/>
      <c r="APK1203" s="149"/>
      <c r="APL1203" s="149"/>
      <c r="APM1203" s="149"/>
      <c r="APN1203" s="149"/>
      <c r="APO1203" s="149"/>
      <c r="APP1203" s="149"/>
      <c r="APQ1203" s="149"/>
      <c r="APR1203" s="149"/>
      <c r="APS1203" s="149"/>
      <c r="APT1203" s="149"/>
      <c r="APU1203" s="149"/>
      <c r="APV1203" s="149"/>
      <c r="APW1203" s="149"/>
      <c r="APX1203" s="149"/>
      <c r="APY1203" s="149"/>
      <c r="APZ1203" s="149"/>
      <c r="AQA1203" s="149"/>
      <c r="AQB1203" s="149"/>
      <c r="AQC1203" s="149"/>
      <c r="AQD1203" s="149"/>
      <c r="AQE1203" s="149"/>
      <c r="AQF1203" s="149"/>
      <c r="AQG1203" s="149"/>
      <c r="AQH1203" s="149"/>
      <c r="AQI1203" s="149"/>
      <c r="AQJ1203" s="149"/>
      <c r="AQK1203" s="149"/>
      <c r="AQL1203" s="149"/>
      <c r="AQM1203" s="149"/>
      <c r="AQN1203" s="149"/>
      <c r="AQO1203" s="149"/>
      <c r="AQP1203" s="149"/>
      <c r="AQQ1203" s="149"/>
      <c r="AQR1203" s="149"/>
      <c r="AQS1203" s="149"/>
      <c r="AQT1203" s="149"/>
      <c r="AQU1203" s="149"/>
      <c r="AQV1203" s="149"/>
      <c r="AQW1203" s="149"/>
      <c r="AQX1203" s="149"/>
      <c r="AQY1203" s="149"/>
      <c r="AQZ1203" s="149"/>
      <c r="ARA1203" s="149"/>
      <c r="ARB1203" s="149"/>
      <c r="ARC1203" s="149"/>
      <c r="ARD1203" s="149"/>
      <c r="ARE1203" s="149"/>
      <c r="ARF1203" s="149"/>
      <c r="ARG1203" s="149"/>
      <c r="ARH1203" s="149"/>
      <c r="ARI1203" s="149"/>
      <c r="ARJ1203" s="149"/>
      <c r="ARK1203" s="149"/>
      <c r="ARL1203" s="149"/>
      <c r="ARM1203" s="149"/>
      <c r="ARN1203" s="149"/>
      <c r="ARO1203" s="149"/>
      <c r="ARP1203" s="149"/>
      <c r="ARQ1203" s="149"/>
      <c r="ARR1203" s="149"/>
      <c r="ARS1203" s="149"/>
      <c r="ART1203" s="149"/>
      <c r="ARU1203" s="149"/>
      <c r="ARV1203" s="149"/>
      <c r="ARW1203" s="149"/>
      <c r="ARX1203" s="149"/>
      <c r="ARY1203" s="149"/>
      <c r="ARZ1203" s="149"/>
      <c r="ASA1203" s="149"/>
      <c r="ASB1203" s="149"/>
      <c r="ASC1203" s="149"/>
      <c r="ASD1203" s="149"/>
      <c r="ASE1203" s="149"/>
      <c r="ASF1203" s="149"/>
      <c r="ASG1203" s="149"/>
      <c r="ASH1203" s="149"/>
      <c r="ASI1203" s="149"/>
      <c r="ASJ1203" s="149"/>
      <c r="ASK1203" s="149"/>
      <c r="ASL1203" s="149"/>
      <c r="ASM1203" s="149"/>
      <c r="ASN1203" s="149"/>
      <c r="ASO1203" s="149"/>
      <c r="ASP1203" s="149"/>
      <c r="ASQ1203" s="149"/>
      <c r="ASR1203" s="149"/>
      <c r="ASS1203" s="149"/>
      <c r="AST1203" s="149"/>
      <c r="ASU1203" s="149"/>
      <c r="ASV1203" s="149"/>
      <c r="ASW1203" s="149"/>
      <c r="ASX1203" s="149"/>
      <c r="ASY1203" s="149"/>
      <c r="ASZ1203" s="149"/>
      <c r="ATA1203" s="149"/>
      <c r="ATB1203" s="149"/>
      <c r="ATC1203" s="149"/>
      <c r="ATD1203" s="149"/>
      <c r="ATE1203" s="149"/>
      <c r="ATF1203" s="149"/>
      <c r="ATG1203" s="149"/>
      <c r="ATH1203" s="149"/>
      <c r="ATI1203" s="149"/>
      <c r="ATJ1203" s="149"/>
      <c r="ATK1203" s="149"/>
      <c r="ATL1203" s="149"/>
      <c r="ATM1203" s="149"/>
      <c r="ATN1203" s="149"/>
      <c r="ATO1203" s="149"/>
      <c r="ATP1203" s="149"/>
      <c r="ATQ1203" s="149"/>
      <c r="ATR1203" s="149"/>
      <c r="ATS1203" s="149"/>
      <c r="ATT1203" s="149"/>
      <c r="ATU1203" s="149"/>
      <c r="ATV1203" s="149"/>
      <c r="ATW1203" s="149"/>
      <c r="ATX1203" s="149"/>
      <c r="ATY1203" s="149"/>
      <c r="ATZ1203" s="149"/>
      <c r="AUA1203" s="149"/>
      <c r="AUB1203" s="149"/>
      <c r="AUC1203" s="149"/>
      <c r="AUD1203" s="149"/>
      <c r="AUE1203" s="149"/>
      <c r="AUF1203" s="149"/>
      <c r="AUG1203" s="149"/>
      <c r="AUH1203" s="149"/>
      <c r="AUI1203" s="149"/>
      <c r="AUJ1203" s="149"/>
      <c r="AUK1203" s="149"/>
      <c r="AUL1203" s="149"/>
      <c r="AUM1203" s="149"/>
      <c r="AUN1203" s="149"/>
      <c r="AUO1203" s="149"/>
      <c r="AUP1203" s="149"/>
      <c r="AUQ1203" s="149"/>
      <c r="AUR1203" s="149"/>
      <c r="AUS1203" s="149"/>
      <c r="AUT1203" s="149"/>
      <c r="AUU1203" s="149"/>
      <c r="AUV1203" s="149"/>
      <c r="AUW1203" s="149"/>
      <c r="AUX1203" s="149"/>
      <c r="AUY1203" s="149"/>
      <c r="AUZ1203" s="149"/>
      <c r="AVA1203" s="149"/>
      <c r="AVB1203" s="149"/>
      <c r="AVC1203" s="149"/>
      <c r="AVD1203" s="149"/>
      <c r="AVE1203" s="149"/>
      <c r="AVF1203" s="149"/>
      <c r="AVG1203" s="149"/>
      <c r="AVH1203" s="149"/>
      <c r="AVI1203" s="149"/>
      <c r="AVJ1203" s="149"/>
      <c r="AVK1203" s="149"/>
      <c r="AVL1203" s="149"/>
      <c r="AVM1203" s="149"/>
      <c r="AVN1203" s="149"/>
      <c r="AVO1203" s="149"/>
      <c r="AVP1203" s="149"/>
      <c r="AVQ1203" s="149"/>
      <c r="AVR1203" s="149"/>
      <c r="AVS1203" s="149"/>
      <c r="AVT1203" s="149"/>
      <c r="AVU1203" s="149"/>
      <c r="AVV1203" s="149"/>
      <c r="AVW1203" s="149"/>
      <c r="AVX1203" s="149"/>
      <c r="AVY1203" s="149"/>
      <c r="AVZ1203" s="149"/>
      <c r="AWA1203" s="149"/>
      <c r="AWB1203" s="149"/>
      <c r="AWC1203" s="149"/>
      <c r="AWD1203" s="149"/>
      <c r="AWE1203" s="149"/>
      <c r="AWF1203" s="149"/>
      <c r="AWG1203" s="149"/>
      <c r="AWH1203" s="149"/>
      <c r="AWI1203" s="149"/>
      <c r="AWJ1203" s="149"/>
      <c r="AWK1203" s="149"/>
      <c r="AWL1203" s="149"/>
      <c r="AWM1203" s="149"/>
      <c r="AWN1203" s="149"/>
      <c r="AWO1203" s="149"/>
      <c r="AWP1203" s="149"/>
      <c r="AWQ1203" s="149"/>
      <c r="AWR1203" s="149"/>
      <c r="AWS1203" s="149"/>
      <c r="AWT1203" s="149"/>
      <c r="AWU1203" s="149"/>
      <c r="AWV1203" s="149"/>
      <c r="AWW1203" s="149"/>
      <c r="AWX1203" s="149"/>
      <c r="AWY1203" s="149"/>
      <c r="AWZ1203" s="149"/>
      <c r="AXA1203" s="149"/>
      <c r="AXB1203" s="149"/>
      <c r="AXC1203" s="149"/>
      <c r="AXD1203" s="149"/>
      <c r="AXE1203" s="149"/>
      <c r="AXF1203" s="149"/>
      <c r="AXG1203" s="149"/>
      <c r="AXH1203" s="149"/>
      <c r="AXI1203" s="149"/>
      <c r="AXJ1203" s="149"/>
      <c r="AXK1203" s="149"/>
      <c r="AXL1203" s="149"/>
      <c r="AXM1203" s="149"/>
      <c r="AXN1203" s="149"/>
      <c r="AXO1203" s="149"/>
      <c r="AXP1203" s="149"/>
      <c r="AXQ1203" s="149"/>
      <c r="AXR1203" s="149"/>
      <c r="AXS1203" s="149"/>
      <c r="AXT1203" s="149"/>
      <c r="AXU1203" s="149"/>
      <c r="AXV1203" s="149"/>
      <c r="AXW1203" s="149"/>
      <c r="AXX1203" s="149"/>
      <c r="AXY1203" s="149"/>
      <c r="AXZ1203" s="149"/>
      <c r="AYA1203" s="149"/>
      <c r="AYB1203" s="149"/>
      <c r="AYC1203" s="149"/>
      <c r="AYD1203" s="149"/>
      <c r="AYE1203" s="149"/>
      <c r="AYF1203" s="149"/>
      <c r="AYG1203" s="149"/>
      <c r="AYH1203" s="149"/>
      <c r="AYI1203" s="149"/>
      <c r="AYJ1203" s="149"/>
      <c r="AYK1203" s="149"/>
      <c r="AYL1203" s="149"/>
      <c r="AYM1203" s="149"/>
      <c r="AYN1203" s="149"/>
      <c r="AYO1203" s="149"/>
      <c r="AYP1203" s="149"/>
      <c r="AYQ1203" s="149"/>
      <c r="AYR1203" s="149"/>
      <c r="AYS1203" s="149"/>
      <c r="AYT1203" s="149"/>
      <c r="AYU1203" s="149"/>
      <c r="AYV1203" s="149"/>
      <c r="AYW1203" s="149"/>
      <c r="AYX1203" s="149"/>
      <c r="AYY1203" s="149"/>
      <c r="AYZ1203" s="149"/>
      <c r="AZA1203" s="149"/>
      <c r="AZB1203" s="149"/>
      <c r="AZC1203" s="149"/>
      <c r="AZD1203" s="149"/>
      <c r="AZE1203" s="149"/>
      <c r="AZF1203" s="149"/>
      <c r="AZG1203" s="149"/>
      <c r="AZH1203" s="149"/>
      <c r="AZI1203" s="149"/>
      <c r="AZJ1203" s="149"/>
      <c r="AZK1203" s="149"/>
      <c r="AZL1203" s="149"/>
      <c r="AZM1203" s="149"/>
      <c r="AZN1203" s="149"/>
      <c r="AZO1203" s="149"/>
      <c r="AZP1203" s="149"/>
      <c r="AZQ1203" s="149"/>
      <c r="AZR1203" s="149"/>
      <c r="AZS1203" s="149"/>
      <c r="AZT1203" s="149"/>
      <c r="AZU1203" s="149"/>
      <c r="AZV1203" s="149"/>
      <c r="AZW1203" s="149"/>
      <c r="AZX1203" s="149"/>
      <c r="AZY1203" s="149"/>
      <c r="AZZ1203" s="149"/>
      <c r="BAA1203" s="149"/>
      <c r="BAB1203" s="149"/>
      <c r="BAC1203" s="149"/>
      <c r="BAD1203" s="149"/>
      <c r="BAE1203" s="149"/>
      <c r="BAF1203" s="149"/>
      <c r="BAG1203" s="149"/>
      <c r="BAH1203" s="149"/>
      <c r="BAI1203" s="149"/>
      <c r="BAJ1203" s="149"/>
      <c r="BAK1203" s="149"/>
      <c r="BAL1203" s="149"/>
      <c r="BAM1203" s="149"/>
      <c r="BAN1203" s="149"/>
      <c r="BAO1203" s="149"/>
      <c r="BAP1203" s="149"/>
      <c r="BAQ1203" s="149"/>
      <c r="BAR1203" s="149"/>
      <c r="BAS1203" s="149"/>
      <c r="BAT1203" s="149"/>
      <c r="BAU1203" s="149"/>
      <c r="BAV1203" s="149"/>
      <c r="BAW1203" s="149"/>
      <c r="BAX1203" s="149"/>
      <c r="BAY1203" s="149"/>
      <c r="BAZ1203" s="149"/>
      <c r="BBA1203" s="149"/>
      <c r="BBB1203" s="149"/>
      <c r="BBC1203" s="149"/>
      <c r="BBD1203" s="149"/>
      <c r="BBE1203" s="149"/>
      <c r="BBF1203" s="149"/>
      <c r="BBG1203" s="149"/>
      <c r="BBH1203" s="149"/>
      <c r="BBI1203" s="149"/>
      <c r="BBJ1203" s="149"/>
      <c r="BBK1203" s="149"/>
      <c r="BBL1203" s="149"/>
      <c r="BBM1203" s="149"/>
      <c r="BBN1203" s="149"/>
      <c r="BBO1203" s="149"/>
      <c r="BBP1203" s="149"/>
      <c r="BBQ1203" s="149"/>
      <c r="BBR1203" s="149"/>
      <c r="BBS1203" s="149"/>
      <c r="BBT1203" s="149"/>
      <c r="BBU1203" s="149"/>
      <c r="BBV1203" s="149"/>
      <c r="BBW1203" s="149"/>
      <c r="BBX1203" s="149"/>
      <c r="BBY1203" s="149"/>
      <c r="BBZ1203" s="149"/>
      <c r="BCA1203" s="149"/>
      <c r="BCB1203" s="149"/>
      <c r="BCC1203" s="149"/>
      <c r="BCD1203" s="149"/>
      <c r="BCE1203" s="149"/>
      <c r="BCF1203" s="149"/>
      <c r="BCG1203" s="149"/>
      <c r="BCH1203" s="149"/>
      <c r="BCI1203" s="149"/>
      <c r="BCJ1203" s="149"/>
      <c r="BCK1203" s="149"/>
      <c r="BCL1203" s="149"/>
      <c r="BCM1203" s="149"/>
      <c r="BCN1203" s="149"/>
      <c r="BCO1203" s="149"/>
      <c r="BCP1203" s="149"/>
      <c r="BCQ1203" s="149"/>
      <c r="BCR1203" s="149"/>
      <c r="BCS1203" s="149"/>
      <c r="BCT1203" s="149"/>
      <c r="BCU1203" s="149"/>
      <c r="BCV1203" s="149"/>
      <c r="BCW1203" s="149"/>
      <c r="BCX1203" s="149"/>
      <c r="BCY1203" s="149"/>
      <c r="BCZ1203" s="149"/>
      <c r="BDA1203" s="149"/>
      <c r="BDB1203" s="149"/>
      <c r="BDC1203" s="149"/>
      <c r="BDD1203" s="149"/>
      <c r="BDE1203" s="149"/>
      <c r="BDF1203" s="149"/>
      <c r="BDG1203" s="149"/>
      <c r="BDH1203" s="149"/>
      <c r="BDI1203" s="149"/>
      <c r="BDJ1203" s="149"/>
      <c r="BDK1203" s="149"/>
      <c r="BDL1203" s="149"/>
      <c r="BDM1203" s="149"/>
      <c r="BDN1203" s="149"/>
      <c r="BDO1203" s="149"/>
      <c r="BDP1203" s="149"/>
      <c r="BDQ1203" s="149"/>
      <c r="BDR1203" s="149"/>
      <c r="BDS1203" s="149"/>
      <c r="BDT1203" s="149"/>
      <c r="BDU1203" s="149"/>
      <c r="BDV1203" s="149"/>
      <c r="BDW1203" s="149"/>
      <c r="BDX1203" s="149"/>
      <c r="BDY1203" s="149"/>
      <c r="BDZ1203" s="149"/>
      <c r="BEA1203" s="149"/>
      <c r="BEB1203" s="149"/>
      <c r="BEC1203" s="149"/>
      <c r="BED1203" s="149"/>
      <c r="BEE1203" s="149"/>
      <c r="BEF1203" s="149"/>
      <c r="BEG1203" s="149"/>
      <c r="BEH1203" s="149"/>
      <c r="BEI1203" s="149"/>
      <c r="BEJ1203" s="149"/>
      <c r="BEK1203" s="149"/>
      <c r="BEL1203" s="149"/>
      <c r="BEM1203" s="149"/>
      <c r="BEN1203" s="149"/>
      <c r="BEO1203" s="149"/>
      <c r="BEP1203" s="149"/>
      <c r="BEQ1203" s="149"/>
      <c r="BER1203" s="149"/>
      <c r="BES1203" s="149"/>
      <c r="BET1203" s="149"/>
      <c r="BEU1203" s="149"/>
      <c r="BEV1203" s="149"/>
      <c r="BEW1203" s="149"/>
      <c r="BEX1203" s="149"/>
      <c r="BEY1203" s="149"/>
      <c r="BEZ1203" s="149"/>
      <c r="BFA1203" s="149"/>
      <c r="BFB1203" s="149"/>
      <c r="BFC1203" s="149"/>
      <c r="BFD1203" s="149"/>
      <c r="BFE1203" s="149"/>
      <c r="BFF1203" s="149"/>
      <c r="BFG1203" s="149"/>
      <c r="BFH1203" s="149"/>
      <c r="BFI1203" s="149"/>
      <c r="BFJ1203" s="149"/>
      <c r="BFK1203" s="149"/>
      <c r="BFL1203" s="149"/>
      <c r="BFM1203" s="149"/>
      <c r="BFN1203" s="149"/>
      <c r="BFO1203" s="149"/>
      <c r="BFP1203" s="149"/>
      <c r="BFQ1203" s="149"/>
      <c r="BFR1203" s="149"/>
      <c r="BFS1203" s="149"/>
      <c r="BFT1203" s="149"/>
      <c r="BFU1203" s="149"/>
      <c r="BFV1203" s="149"/>
      <c r="BFW1203" s="149"/>
      <c r="BFX1203" s="149"/>
      <c r="BFY1203" s="149"/>
      <c r="BFZ1203" s="149"/>
      <c r="BGA1203" s="149"/>
      <c r="BGB1203" s="149"/>
      <c r="BGC1203" s="149"/>
      <c r="BGD1203" s="149"/>
      <c r="BGE1203" s="149"/>
      <c r="BGF1203" s="149"/>
      <c r="BGG1203" s="149"/>
      <c r="BGH1203" s="149"/>
      <c r="BGI1203" s="149"/>
      <c r="BGJ1203" s="149"/>
      <c r="BGK1203" s="149"/>
      <c r="BGL1203" s="149"/>
      <c r="BGM1203" s="149"/>
      <c r="BGN1203" s="149"/>
      <c r="BGO1203" s="149"/>
      <c r="BGP1203" s="149"/>
      <c r="BGQ1203" s="149"/>
      <c r="BGR1203" s="149"/>
      <c r="BGS1203" s="149"/>
      <c r="BGT1203" s="149"/>
      <c r="BGU1203" s="149"/>
      <c r="BGV1203" s="149"/>
      <c r="BGW1203" s="149"/>
      <c r="BGX1203" s="149"/>
      <c r="BGY1203" s="149"/>
      <c r="BGZ1203" s="149"/>
      <c r="BHA1203" s="149"/>
      <c r="BHB1203" s="149"/>
      <c r="BHC1203" s="149"/>
      <c r="BHD1203" s="149"/>
      <c r="BHE1203" s="149"/>
      <c r="BHF1203" s="149"/>
      <c r="BHG1203" s="149"/>
      <c r="BHH1203" s="149"/>
      <c r="BHI1203" s="149"/>
      <c r="BHJ1203" s="149"/>
      <c r="BHK1203" s="149"/>
      <c r="BHL1203" s="149"/>
      <c r="BHM1203" s="149"/>
      <c r="BHN1203" s="149"/>
      <c r="BHO1203" s="149"/>
      <c r="BHP1203" s="149"/>
      <c r="BHQ1203" s="149"/>
      <c r="BHR1203" s="149"/>
      <c r="BHS1203" s="149"/>
      <c r="BHT1203" s="149"/>
      <c r="BHU1203" s="149"/>
      <c r="BHV1203" s="149"/>
      <c r="BHW1203" s="149"/>
      <c r="BHX1203" s="149"/>
      <c r="BHY1203" s="149"/>
      <c r="BHZ1203" s="149"/>
      <c r="BIA1203" s="149"/>
      <c r="BIB1203" s="149"/>
      <c r="BIC1203" s="149"/>
      <c r="BID1203" s="149"/>
      <c r="BIE1203" s="149"/>
      <c r="BIF1203" s="149"/>
      <c r="BIG1203" s="149"/>
      <c r="BIH1203" s="149"/>
      <c r="BII1203" s="149"/>
      <c r="BIJ1203" s="149"/>
      <c r="BIK1203" s="149"/>
      <c r="BIL1203" s="149"/>
      <c r="BIM1203" s="149"/>
      <c r="BIN1203" s="149"/>
      <c r="BIO1203" s="149"/>
      <c r="BIP1203" s="149"/>
      <c r="BIQ1203" s="149"/>
      <c r="BIR1203" s="149"/>
      <c r="BIS1203" s="149"/>
      <c r="BIT1203" s="149"/>
      <c r="BIU1203" s="149"/>
      <c r="BIV1203" s="149"/>
      <c r="BIW1203" s="149"/>
      <c r="BIX1203" s="149"/>
      <c r="BIY1203" s="149"/>
      <c r="BIZ1203" s="149"/>
      <c r="BJA1203" s="149"/>
      <c r="BJB1203" s="149"/>
      <c r="BJC1203" s="149"/>
      <c r="BJD1203" s="149"/>
      <c r="BJE1203" s="149"/>
      <c r="BJF1203" s="149"/>
      <c r="BJG1203" s="149"/>
      <c r="BJH1203" s="149"/>
      <c r="BJI1203" s="149"/>
      <c r="BJJ1203" s="149"/>
      <c r="BJK1203" s="149"/>
      <c r="BJL1203" s="149"/>
      <c r="BJM1203" s="149"/>
      <c r="BJN1203" s="149"/>
      <c r="BJO1203" s="149"/>
      <c r="BJP1203" s="149"/>
      <c r="BJQ1203" s="149"/>
      <c r="BJR1203" s="149"/>
      <c r="BJS1203" s="149"/>
      <c r="BJT1203" s="149"/>
      <c r="BJU1203" s="149"/>
      <c r="BJV1203" s="149"/>
      <c r="BJW1203" s="149"/>
      <c r="BJX1203" s="149"/>
      <c r="BJY1203" s="149"/>
      <c r="BJZ1203" s="149"/>
      <c r="BKA1203" s="149"/>
      <c r="BKB1203" s="149"/>
      <c r="BKC1203" s="149"/>
      <c r="BKD1203" s="149"/>
      <c r="BKE1203" s="149"/>
      <c r="BKF1203" s="149"/>
      <c r="BKG1203" s="149"/>
      <c r="BKH1203" s="149"/>
      <c r="BKI1203" s="149"/>
      <c r="BKJ1203" s="149"/>
      <c r="BKK1203" s="149"/>
      <c r="BKL1203" s="149"/>
      <c r="BKM1203" s="149"/>
      <c r="BKN1203" s="149"/>
      <c r="BKO1203" s="149"/>
      <c r="BKP1203" s="149"/>
      <c r="BKQ1203" s="149"/>
      <c r="BKR1203" s="149"/>
      <c r="BKS1203" s="149"/>
      <c r="BKT1203" s="149"/>
      <c r="BKU1203" s="149"/>
      <c r="BKV1203" s="149"/>
      <c r="BKW1203" s="149"/>
      <c r="BKX1203" s="149"/>
      <c r="BKY1203" s="149"/>
      <c r="BKZ1203" s="149"/>
      <c r="BLA1203" s="149"/>
      <c r="BLB1203" s="149"/>
      <c r="BLC1203" s="149"/>
      <c r="BLD1203" s="149"/>
      <c r="BLE1203" s="149"/>
      <c r="BLF1203" s="149"/>
      <c r="BLG1203" s="149"/>
      <c r="BLH1203" s="149"/>
      <c r="BLI1203" s="149"/>
      <c r="BLJ1203" s="149"/>
      <c r="BLK1203" s="149"/>
      <c r="BLL1203" s="149"/>
      <c r="BLM1203" s="149"/>
      <c r="BLN1203" s="149"/>
      <c r="BLO1203" s="149"/>
      <c r="BLP1203" s="149"/>
      <c r="BLQ1203" s="149"/>
      <c r="BLR1203" s="149"/>
      <c r="BLS1203" s="149"/>
      <c r="BLT1203" s="149"/>
      <c r="BLU1203" s="149"/>
      <c r="BLV1203" s="149"/>
      <c r="BLW1203" s="149"/>
      <c r="BLX1203" s="149"/>
      <c r="BLY1203" s="149"/>
      <c r="BLZ1203" s="149"/>
      <c r="BMA1203" s="149"/>
      <c r="BMB1203" s="149"/>
      <c r="BMC1203" s="149"/>
      <c r="BMD1203" s="149"/>
      <c r="BME1203" s="149"/>
      <c r="BMF1203" s="149"/>
      <c r="BMG1203" s="149"/>
      <c r="BMH1203" s="149"/>
      <c r="BMI1203" s="149"/>
      <c r="BMJ1203" s="149"/>
      <c r="BMK1203" s="149"/>
      <c r="BML1203" s="149"/>
      <c r="BMM1203" s="149"/>
      <c r="BMN1203" s="149"/>
      <c r="BMO1203" s="149"/>
      <c r="BMP1203" s="149"/>
      <c r="BMQ1203" s="149"/>
      <c r="BMR1203" s="149"/>
      <c r="BMS1203" s="149"/>
      <c r="BMT1203" s="149"/>
      <c r="BMU1203" s="149"/>
      <c r="BMV1203" s="149"/>
      <c r="BMW1203" s="149"/>
      <c r="BMX1203" s="149"/>
      <c r="BMY1203" s="149"/>
      <c r="BMZ1203" s="149"/>
      <c r="BNA1203" s="149"/>
      <c r="BNB1203" s="149"/>
      <c r="BNC1203" s="149"/>
      <c r="BND1203" s="149"/>
      <c r="BNE1203" s="149"/>
      <c r="BNF1203" s="149"/>
      <c r="BNG1203" s="149"/>
      <c r="BNH1203" s="149"/>
      <c r="BNI1203" s="149"/>
      <c r="BNJ1203" s="149"/>
      <c r="BNK1203" s="149"/>
      <c r="BNL1203" s="149"/>
      <c r="BNM1203" s="149"/>
      <c r="BNN1203" s="149"/>
      <c r="BNO1203" s="149"/>
      <c r="BNP1203" s="149"/>
      <c r="BNQ1203" s="149"/>
      <c r="BNR1203" s="149"/>
      <c r="BNS1203" s="149"/>
      <c r="BNT1203" s="149"/>
      <c r="BNU1203" s="149"/>
      <c r="BNV1203" s="149"/>
      <c r="BNW1203" s="149"/>
      <c r="BNX1203" s="149"/>
      <c r="BNY1203" s="149"/>
      <c r="BNZ1203" s="149"/>
      <c r="BOA1203" s="149"/>
      <c r="BOB1203" s="149"/>
      <c r="BOC1203" s="149"/>
      <c r="BOD1203" s="149"/>
      <c r="BOE1203" s="149"/>
      <c r="BOF1203" s="149"/>
      <c r="BOG1203" s="149"/>
      <c r="BOH1203" s="149"/>
      <c r="BOI1203" s="149"/>
      <c r="BOJ1203" s="149"/>
      <c r="BOK1203" s="149"/>
      <c r="BOL1203" s="149"/>
      <c r="BOM1203" s="149"/>
      <c r="BON1203" s="149"/>
      <c r="BOO1203" s="149"/>
      <c r="BOP1203" s="149"/>
      <c r="BOQ1203" s="149"/>
      <c r="BOR1203" s="149"/>
      <c r="BOS1203" s="149"/>
      <c r="BOT1203" s="149"/>
      <c r="BOU1203" s="149"/>
      <c r="BOV1203" s="149"/>
      <c r="BOW1203" s="149"/>
      <c r="BOX1203" s="149"/>
      <c r="BOY1203" s="149"/>
      <c r="BOZ1203" s="149"/>
      <c r="BPA1203" s="149"/>
      <c r="BPB1203" s="149"/>
      <c r="BPC1203" s="149"/>
      <c r="BPD1203" s="149"/>
      <c r="BPE1203" s="149"/>
      <c r="BPF1203" s="149"/>
      <c r="BPG1203" s="149"/>
      <c r="BPH1203" s="149"/>
      <c r="BPI1203" s="149"/>
      <c r="BPJ1203" s="149"/>
      <c r="BPK1203" s="149"/>
      <c r="BPL1203" s="149"/>
      <c r="BPM1203" s="149"/>
      <c r="BPN1203" s="149"/>
      <c r="BPO1203" s="149"/>
      <c r="BPP1203" s="149"/>
      <c r="BPQ1203" s="149"/>
      <c r="BPR1203" s="149"/>
      <c r="BPS1203" s="149"/>
      <c r="BPT1203" s="149"/>
      <c r="BPU1203" s="149"/>
      <c r="BPV1203" s="149"/>
      <c r="BPW1203" s="149"/>
      <c r="BPX1203" s="149"/>
      <c r="BPY1203" s="149"/>
      <c r="BPZ1203" s="149"/>
      <c r="BQA1203" s="149"/>
      <c r="BQB1203" s="149"/>
      <c r="BQC1203" s="149"/>
      <c r="BQD1203" s="149"/>
      <c r="BQE1203" s="149"/>
      <c r="BQF1203" s="149"/>
      <c r="BQG1203" s="149"/>
      <c r="BQH1203" s="149"/>
      <c r="BQI1203" s="149"/>
      <c r="BQJ1203" s="149"/>
      <c r="BQK1203" s="149"/>
      <c r="BQL1203" s="149"/>
      <c r="BQM1203" s="149"/>
      <c r="BQN1203" s="149"/>
      <c r="BQO1203" s="149"/>
      <c r="BQP1203" s="149"/>
      <c r="BQQ1203" s="149"/>
      <c r="BQR1203" s="149"/>
      <c r="BQS1203" s="149"/>
      <c r="BQT1203" s="149"/>
      <c r="BQU1203" s="149"/>
      <c r="BQV1203" s="149"/>
      <c r="BQW1203" s="149"/>
      <c r="BQX1203" s="149"/>
      <c r="BQY1203" s="149"/>
      <c r="BQZ1203" s="149"/>
      <c r="BRA1203" s="149"/>
      <c r="BRB1203" s="149"/>
      <c r="BRC1203" s="149"/>
      <c r="BRD1203" s="149"/>
      <c r="BRE1203" s="149"/>
      <c r="BRF1203" s="149"/>
      <c r="BRG1203" s="149"/>
      <c r="BRH1203" s="149"/>
      <c r="BRI1203" s="149"/>
      <c r="BRJ1203" s="149"/>
      <c r="BRK1203" s="149"/>
      <c r="BRL1203" s="149"/>
      <c r="BRM1203" s="149"/>
      <c r="BRN1203" s="149"/>
      <c r="BRO1203" s="149"/>
      <c r="BRP1203" s="149"/>
      <c r="BRQ1203" s="149"/>
      <c r="BRR1203" s="149"/>
      <c r="BRS1203" s="149"/>
      <c r="BRT1203" s="149"/>
      <c r="BRU1203" s="149"/>
      <c r="BRV1203" s="149"/>
      <c r="BRW1203" s="149"/>
      <c r="BRX1203" s="149"/>
      <c r="BRY1203" s="149"/>
      <c r="BRZ1203" s="149"/>
      <c r="BSA1203" s="149"/>
      <c r="BSB1203" s="149"/>
      <c r="BSC1203" s="149"/>
      <c r="BSD1203" s="149"/>
      <c r="BSE1203" s="149"/>
      <c r="BSF1203" s="149"/>
      <c r="BSG1203" s="149"/>
      <c r="BSH1203" s="149"/>
      <c r="BSI1203" s="149"/>
      <c r="BSJ1203" s="149"/>
      <c r="BSK1203" s="149"/>
      <c r="BSL1203" s="149"/>
      <c r="BSM1203" s="149"/>
      <c r="BSN1203" s="149"/>
      <c r="BSO1203" s="149"/>
      <c r="BSP1203" s="149"/>
      <c r="BSQ1203" s="149"/>
      <c r="BSR1203" s="149"/>
      <c r="BSS1203" s="149"/>
      <c r="BST1203" s="149"/>
      <c r="BSU1203" s="149"/>
      <c r="BSV1203" s="149"/>
      <c r="BSW1203" s="149"/>
      <c r="BSX1203" s="149"/>
      <c r="BSY1203" s="149"/>
      <c r="BSZ1203" s="149"/>
      <c r="BTA1203" s="149"/>
    </row>
    <row r="1204" spans="1:1873" s="149" customFormat="1" ht="12.75" customHeight="1" x14ac:dyDescent="0.25">
      <c r="A1204" s="263"/>
      <c r="B1204" s="263"/>
      <c r="C1204" s="600"/>
      <c r="D1204" s="600"/>
      <c r="E1204" s="257"/>
      <c r="F1204" s="600"/>
      <c r="G1204" s="600"/>
      <c r="H1204" s="600"/>
      <c r="I1204" s="257"/>
      <c r="J1204" s="599"/>
      <c r="K1204" s="257"/>
      <c r="L1204" s="600"/>
      <c r="M1204" s="261"/>
      <c r="N1204" s="257"/>
      <c r="O1204" s="29"/>
      <c r="P1204" s="602"/>
      <c r="Q1204" s="257"/>
      <c r="R1204" s="261"/>
      <c r="S1204" s="257"/>
      <c r="T1204" s="370"/>
      <c r="U1204" s="257"/>
      <c r="V1204" s="257"/>
      <c r="W1204" s="609"/>
      <c r="X1204" s="257"/>
      <c r="Y1204" s="257"/>
      <c r="Z1204" s="599"/>
      <c r="AA1204" s="605"/>
      <c r="AB1204" s="611"/>
      <c r="AC1204" s="257"/>
      <c r="AD1204" s="602"/>
      <c r="AE1204" s="263"/>
      <c r="AF1204" s="600"/>
      <c r="AG1204" s="599"/>
      <c r="AH1204" s="257"/>
      <c r="AI1204" s="257"/>
      <c r="AJ1204" s="257"/>
      <c r="AK1204" s="257"/>
      <c r="AL1204" s="257"/>
      <c r="AM1204" s="257"/>
      <c r="AN1204" s="257"/>
      <c r="AO1204" s="257"/>
      <c r="AP1204" s="257"/>
      <c r="AQ1204" s="257"/>
      <c r="AR1204" s="257"/>
      <c r="AS1204" s="257"/>
      <c r="AT1204" s="257"/>
      <c r="AU1204" s="257"/>
      <c r="AV1204" s="257"/>
      <c r="AW1204" s="257"/>
      <c r="AX1204" s="257"/>
      <c r="AY1204" s="257"/>
      <c r="AZ1204" s="257"/>
      <c r="BA1204" s="257"/>
      <c r="BB1204" s="257"/>
      <c r="BC1204" s="257"/>
      <c r="BD1204" s="257"/>
      <c r="BE1204" s="257"/>
      <c r="BF1204" s="257"/>
      <c r="BG1204" s="257"/>
      <c r="BH1204" s="257"/>
      <c r="BI1204" s="257"/>
      <c r="BJ1204" s="257"/>
      <c r="BK1204" s="257"/>
      <c r="BL1204" s="602"/>
      <c r="BM1204" s="257"/>
      <c r="BN1204" s="602"/>
      <c r="BO1204" s="257"/>
      <c r="BP1204" s="257"/>
      <c r="BQ1204" s="257"/>
      <c r="BR1204" s="257"/>
      <c r="BS1204" s="263"/>
      <c r="BT1204" s="257"/>
      <c r="BU1204" s="257"/>
      <c r="BV1204" s="257"/>
      <c r="BW1204" s="257"/>
      <c r="BX1204" s="257"/>
      <c r="BY1204" s="257"/>
      <c r="BZ1204" s="257"/>
      <c r="CA1204" s="300"/>
      <c r="CB1204" s="264"/>
      <c r="CC1204" s="600"/>
      <c r="CD1204" s="600"/>
      <c r="CE1204" s="168"/>
      <c r="CF1204" s="168"/>
      <c r="CG1204" s="161"/>
    </row>
    <row r="1205" spans="1:1873" s="149" customFormat="1" ht="12.75" customHeight="1" x14ac:dyDescent="0.25">
      <c r="A1205" s="263" t="s">
        <v>560</v>
      </c>
      <c r="B1205" s="263" t="s">
        <v>1268</v>
      </c>
      <c r="C1205" s="600" t="s">
        <v>110</v>
      </c>
      <c r="D1205" s="263" t="s">
        <v>1400</v>
      </c>
      <c r="E1205" s="257" t="s">
        <v>855</v>
      </c>
      <c r="F1205" s="600">
        <v>2</v>
      </c>
      <c r="G1205" s="600">
        <v>1</v>
      </c>
      <c r="H1205" s="600">
        <v>3</v>
      </c>
      <c r="I1205" s="257" t="s">
        <v>856</v>
      </c>
      <c r="J1205" s="599">
        <v>1982</v>
      </c>
      <c r="K1205" s="257" t="s">
        <v>1211</v>
      </c>
      <c r="L1205" s="608">
        <v>1984</v>
      </c>
      <c r="M1205" s="261">
        <v>-9999</v>
      </c>
      <c r="N1205" s="257">
        <v>-9999</v>
      </c>
      <c r="O1205" s="29"/>
      <c r="P1205" s="602">
        <v>0.9</v>
      </c>
      <c r="Q1205" s="257">
        <v>-9999</v>
      </c>
      <c r="R1205" s="261"/>
      <c r="S1205" s="257"/>
      <c r="T1205" s="370">
        <v>0.9</v>
      </c>
      <c r="U1205" s="257">
        <v>-9999</v>
      </c>
      <c r="V1205" s="257"/>
      <c r="W1205" s="609">
        <f>+P1205-P1204</f>
        <v>0.9</v>
      </c>
      <c r="X1205" s="257">
        <v>-9999</v>
      </c>
      <c r="Y1205" s="257"/>
      <c r="Z1205" s="599" t="s">
        <v>111</v>
      </c>
      <c r="AA1205" s="605">
        <v>1794</v>
      </c>
      <c r="AB1205" s="611">
        <v>0.8</v>
      </c>
      <c r="AC1205" s="257">
        <v>10.3</v>
      </c>
      <c r="AD1205" s="602">
        <f t="shared" si="124"/>
        <v>966</v>
      </c>
      <c r="AE1205" s="263" t="s">
        <v>97</v>
      </c>
      <c r="AF1205" s="600">
        <v>0</v>
      </c>
      <c r="AG1205" s="257">
        <v>2</v>
      </c>
      <c r="AH1205" s="257" t="s">
        <v>98</v>
      </c>
      <c r="AI1205" s="257" t="s">
        <v>985</v>
      </c>
      <c r="AJ1205" s="257">
        <v>-9999</v>
      </c>
      <c r="AK1205" s="257" t="s">
        <v>99</v>
      </c>
      <c r="AL1205" s="257" t="s">
        <v>828</v>
      </c>
      <c r="AM1205" s="257">
        <v>-9999</v>
      </c>
      <c r="AN1205" s="257" t="s">
        <v>631</v>
      </c>
      <c r="AO1205" s="257">
        <v>-9999</v>
      </c>
      <c r="AP1205" s="257">
        <v>-9999</v>
      </c>
      <c r="AQ1205" s="257" t="s">
        <v>631</v>
      </c>
      <c r="AR1205" s="257">
        <v>0</v>
      </c>
      <c r="AS1205" s="257">
        <v>-9999</v>
      </c>
      <c r="AT1205" s="257">
        <v>-9999</v>
      </c>
      <c r="AU1205" s="257">
        <v>0</v>
      </c>
      <c r="AV1205" s="257">
        <v>-9999</v>
      </c>
      <c r="AW1205" s="257"/>
      <c r="AX1205" s="257">
        <v>0</v>
      </c>
      <c r="AY1205" s="257">
        <v>-9999</v>
      </c>
      <c r="AZ1205" s="257">
        <v>-9999</v>
      </c>
      <c r="BA1205" s="257" t="s">
        <v>100</v>
      </c>
      <c r="BB1205" s="257" t="s">
        <v>626</v>
      </c>
      <c r="BC1205" s="257" t="s">
        <v>101</v>
      </c>
      <c r="BD1205" s="257" t="s">
        <v>102</v>
      </c>
      <c r="BE1205" s="257" t="s">
        <v>103</v>
      </c>
      <c r="BF1205" s="257" t="s">
        <v>104</v>
      </c>
      <c r="BG1205" s="257" t="s">
        <v>105</v>
      </c>
      <c r="BH1205" s="257" t="s">
        <v>106</v>
      </c>
      <c r="BI1205" s="257">
        <v>-9999</v>
      </c>
      <c r="BJ1205" s="257">
        <v>-9999</v>
      </c>
      <c r="BK1205" s="257">
        <v>-9999</v>
      </c>
      <c r="BL1205" s="602">
        <v>1.35</v>
      </c>
      <c r="BM1205" s="257">
        <v>-9999</v>
      </c>
      <c r="BN1205" s="602">
        <v>0.41</v>
      </c>
      <c r="BO1205" s="257">
        <v>-9999</v>
      </c>
      <c r="BP1205" s="257">
        <v>-9999</v>
      </c>
      <c r="BQ1205" s="257">
        <v>-9999</v>
      </c>
      <c r="BR1205" s="257">
        <v>-9999</v>
      </c>
      <c r="BS1205" s="263">
        <v>-9999</v>
      </c>
      <c r="BT1205" s="257">
        <v>-9999</v>
      </c>
      <c r="BU1205" s="257">
        <v>-9999</v>
      </c>
      <c r="BV1205" s="257">
        <v>-9999</v>
      </c>
      <c r="BW1205" s="257"/>
      <c r="BX1205" s="257">
        <v>-9999</v>
      </c>
      <c r="BY1205" s="257">
        <v>-9999</v>
      </c>
      <c r="BZ1205" s="257">
        <v>-9999</v>
      </c>
      <c r="CA1205" s="300" t="s">
        <v>107</v>
      </c>
      <c r="CB1205" s="264" t="s">
        <v>561</v>
      </c>
      <c r="CC1205" s="600">
        <v>2</v>
      </c>
      <c r="CD1205" s="600">
        <v>1</v>
      </c>
      <c r="CE1205" s="168">
        <v>0.9</v>
      </c>
      <c r="CF1205" s="168">
        <v>0.9</v>
      </c>
      <c r="CG1205" s="161">
        <v>3</v>
      </c>
    </row>
    <row r="1206" spans="1:1873" s="149" customFormat="1" ht="12.75" customHeight="1" x14ac:dyDescent="0.25">
      <c r="A1206" s="263" t="s">
        <v>560</v>
      </c>
      <c r="B1206" s="263" t="s">
        <v>1268</v>
      </c>
      <c r="C1206" s="600" t="s">
        <v>110</v>
      </c>
      <c r="D1206" s="263" t="s">
        <v>1400</v>
      </c>
      <c r="E1206" s="257" t="s">
        <v>855</v>
      </c>
      <c r="F1206" s="600">
        <v>2</v>
      </c>
      <c r="G1206" s="600">
        <v>2</v>
      </c>
      <c r="H1206" s="600">
        <v>4</v>
      </c>
      <c r="I1206" s="257" t="s">
        <v>856</v>
      </c>
      <c r="J1206" s="599">
        <v>1982</v>
      </c>
      <c r="K1206" s="257" t="s">
        <v>1211</v>
      </c>
      <c r="L1206" s="608">
        <v>1985</v>
      </c>
      <c r="M1206" s="261">
        <v>-9999</v>
      </c>
      <c r="N1206" s="257">
        <v>-9999</v>
      </c>
      <c r="O1206" s="29"/>
      <c r="P1206" s="602">
        <v>4.0999999999999996</v>
      </c>
      <c r="Q1206" s="257">
        <v>-9999</v>
      </c>
      <c r="R1206" s="261"/>
      <c r="S1206" s="257"/>
      <c r="T1206" s="370">
        <v>2.0499999999999998</v>
      </c>
      <c r="U1206" s="257">
        <v>-9999</v>
      </c>
      <c r="V1206" s="257"/>
      <c r="W1206" s="609">
        <f>+P1206-P1205</f>
        <v>3.1999999999999997</v>
      </c>
      <c r="X1206" s="257">
        <v>-9999</v>
      </c>
      <c r="Y1206" s="257"/>
      <c r="Z1206" s="599" t="s">
        <v>111</v>
      </c>
      <c r="AA1206" s="605">
        <v>1794</v>
      </c>
      <c r="AB1206" s="611">
        <v>0.86699999999999999</v>
      </c>
      <c r="AC1206" s="257">
        <v>10.3</v>
      </c>
      <c r="AD1206" s="602">
        <f t="shared" si="124"/>
        <v>966</v>
      </c>
      <c r="AE1206" s="263" t="s">
        <v>97</v>
      </c>
      <c r="AF1206" s="600">
        <v>0</v>
      </c>
      <c r="AG1206" s="257">
        <v>2</v>
      </c>
      <c r="AH1206" s="257" t="s">
        <v>98</v>
      </c>
      <c r="AI1206" s="257" t="s">
        <v>985</v>
      </c>
      <c r="AJ1206" s="257">
        <v>-9999</v>
      </c>
      <c r="AK1206" s="257" t="s">
        <v>99</v>
      </c>
      <c r="AL1206" s="257" t="s">
        <v>828</v>
      </c>
      <c r="AM1206" s="257">
        <v>-9999</v>
      </c>
      <c r="AN1206" s="257" t="s">
        <v>631</v>
      </c>
      <c r="AO1206" s="257">
        <v>-9999</v>
      </c>
      <c r="AP1206" s="257">
        <v>-9999</v>
      </c>
      <c r="AQ1206" s="257" t="s">
        <v>631</v>
      </c>
      <c r="AR1206" s="257">
        <v>0</v>
      </c>
      <c r="AS1206" s="257">
        <v>-9999</v>
      </c>
      <c r="AT1206" s="257">
        <v>-9999</v>
      </c>
      <c r="AU1206" s="257">
        <v>0</v>
      </c>
      <c r="AV1206" s="257">
        <v>-9999</v>
      </c>
      <c r="AW1206" s="257"/>
      <c r="AX1206" s="257">
        <v>0</v>
      </c>
      <c r="AY1206" s="257">
        <v>-9999</v>
      </c>
      <c r="AZ1206" s="257">
        <v>-9999</v>
      </c>
      <c r="BA1206" s="257" t="s">
        <v>100</v>
      </c>
      <c r="BB1206" s="257" t="s">
        <v>626</v>
      </c>
      <c r="BC1206" s="257" t="s">
        <v>101</v>
      </c>
      <c r="BD1206" s="257" t="s">
        <v>102</v>
      </c>
      <c r="BE1206" s="257" t="s">
        <v>103</v>
      </c>
      <c r="BF1206" s="257" t="s">
        <v>104</v>
      </c>
      <c r="BG1206" s="257" t="s">
        <v>105</v>
      </c>
      <c r="BH1206" s="257" t="s">
        <v>106</v>
      </c>
      <c r="BI1206" s="257">
        <v>-9999</v>
      </c>
      <c r="BJ1206" s="257">
        <v>-9999</v>
      </c>
      <c r="BK1206" s="257">
        <v>-9999</v>
      </c>
      <c r="BL1206" s="602">
        <v>2.85</v>
      </c>
      <c r="BM1206" s="257">
        <v>-9999</v>
      </c>
      <c r="BN1206" s="602">
        <v>2.4</v>
      </c>
      <c r="BO1206" s="257">
        <v>-9999</v>
      </c>
      <c r="BP1206" s="257">
        <v>-9999</v>
      </c>
      <c r="BQ1206" s="257">
        <v>-9999</v>
      </c>
      <c r="BR1206" s="257">
        <v>-9999</v>
      </c>
      <c r="BS1206" s="263">
        <v>-9999</v>
      </c>
      <c r="BT1206" s="257">
        <v>-9999</v>
      </c>
      <c r="BU1206" s="257">
        <v>-9999</v>
      </c>
      <c r="BV1206" s="257">
        <v>-9999</v>
      </c>
      <c r="BW1206" s="257"/>
      <c r="BX1206" s="257">
        <v>-9999</v>
      </c>
      <c r="BY1206" s="257">
        <v>-9999</v>
      </c>
      <c r="BZ1206" s="257">
        <v>-9999</v>
      </c>
      <c r="CA1206" s="300" t="s">
        <v>107</v>
      </c>
      <c r="CB1206" s="264" t="s">
        <v>561</v>
      </c>
      <c r="CC1206" s="600">
        <v>2</v>
      </c>
      <c r="CD1206" s="600">
        <v>2</v>
      </c>
      <c r="CE1206" s="168">
        <v>2.0499999999999998</v>
      </c>
      <c r="CF1206" s="168">
        <v>3.1999999999999997</v>
      </c>
      <c r="CG1206" s="161">
        <v>4</v>
      </c>
    </row>
    <row r="1207" spans="1:1873" s="149" customFormat="1" ht="12.75" customHeight="1" x14ac:dyDescent="0.25">
      <c r="A1207" s="263"/>
      <c r="B1207" s="263"/>
      <c r="C1207" s="600"/>
      <c r="D1207" s="600"/>
      <c r="E1207" s="257"/>
      <c r="F1207" s="600"/>
      <c r="G1207" s="600"/>
      <c r="H1207" s="600"/>
      <c r="I1207" s="257"/>
      <c r="J1207" s="599"/>
      <c r="K1207" s="257"/>
      <c r="L1207" s="600"/>
      <c r="M1207" s="261"/>
      <c r="N1207" s="257"/>
      <c r="O1207" s="29"/>
      <c r="P1207" s="602"/>
      <c r="Q1207" s="257"/>
      <c r="R1207" s="261"/>
      <c r="S1207" s="257"/>
      <c r="T1207" s="370"/>
      <c r="U1207" s="257"/>
      <c r="V1207" s="257"/>
      <c r="W1207" s="609"/>
      <c r="X1207" s="257"/>
      <c r="Y1207" s="257"/>
      <c r="Z1207" s="599"/>
      <c r="AA1207" s="605"/>
      <c r="AB1207" s="611"/>
      <c r="AC1207" s="257"/>
      <c r="AD1207" s="602"/>
      <c r="AE1207" s="263"/>
      <c r="AF1207" s="600"/>
      <c r="AG1207" s="599"/>
      <c r="AH1207" s="257"/>
      <c r="AI1207" s="257"/>
      <c r="AJ1207" s="257"/>
      <c r="AK1207" s="257"/>
      <c r="AL1207" s="257"/>
      <c r="AM1207" s="257"/>
      <c r="AN1207" s="257"/>
      <c r="AO1207" s="257"/>
      <c r="AP1207" s="257"/>
      <c r="AQ1207" s="257"/>
      <c r="AR1207" s="257"/>
      <c r="AS1207" s="257"/>
      <c r="AT1207" s="257"/>
      <c r="AU1207" s="257"/>
      <c r="AV1207" s="257"/>
      <c r="AW1207" s="257"/>
      <c r="AX1207" s="257"/>
      <c r="AY1207" s="257"/>
      <c r="AZ1207" s="257"/>
      <c r="BA1207" s="257"/>
      <c r="BB1207" s="257"/>
      <c r="BC1207" s="257"/>
      <c r="BD1207" s="257"/>
      <c r="BE1207" s="257"/>
      <c r="BF1207" s="257"/>
      <c r="BG1207" s="257"/>
      <c r="BH1207" s="257"/>
      <c r="BI1207" s="257"/>
      <c r="BJ1207" s="257"/>
      <c r="BK1207" s="257"/>
      <c r="BL1207" s="602"/>
      <c r="BM1207" s="257"/>
      <c r="BN1207" s="602"/>
      <c r="BO1207" s="257"/>
      <c r="BP1207" s="257"/>
      <c r="BQ1207" s="257"/>
      <c r="BR1207" s="257"/>
      <c r="BS1207" s="263"/>
      <c r="BT1207" s="257"/>
      <c r="BU1207" s="257"/>
      <c r="BV1207" s="257"/>
      <c r="BW1207" s="257"/>
      <c r="BX1207" s="257"/>
      <c r="BY1207" s="257"/>
      <c r="BZ1207" s="257"/>
      <c r="CA1207" s="300"/>
      <c r="CB1207" s="264"/>
      <c r="CC1207" s="600"/>
      <c r="CD1207" s="600"/>
      <c r="CE1207" s="168"/>
      <c r="CF1207" s="168"/>
      <c r="CG1207" s="161"/>
    </row>
    <row r="1208" spans="1:1873" s="149" customFormat="1" ht="12.75" customHeight="1" x14ac:dyDescent="0.25">
      <c r="A1208" s="263" t="s">
        <v>560</v>
      </c>
      <c r="B1208" s="263" t="s">
        <v>1268</v>
      </c>
      <c r="C1208" s="600" t="s">
        <v>110</v>
      </c>
      <c r="D1208" s="263" t="s">
        <v>1400</v>
      </c>
      <c r="E1208" s="257" t="s">
        <v>855</v>
      </c>
      <c r="F1208" s="600">
        <v>2</v>
      </c>
      <c r="G1208" s="600">
        <v>2</v>
      </c>
      <c r="H1208" s="600">
        <v>5</v>
      </c>
      <c r="I1208" s="257" t="s">
        <v>856</v>
      </c>
      <c r="J1208" s="599">
        <v>1982</v>
      </c>
      <c r="K1208" s="257" t="s">
        <v>1211</v>
      </c>
      <c r="L1208" s="608">
        <v>1986</v>
      </c>
      <c r="M1208" s="261">
        <v>-9999</v>
      </c>
      <c r="N1208" s="257">
        <v>-9999</v>
      </c>
      <c r="O1208" s="29"/>
      <c r="P1208" s="602">
        <v>4</v>
      </c>
      <c r="Q1208" s="257">
        <v>-9999</v>
      </c>
      <c r="R1208" s="261"/>
      <c r="S1208" s="257"/>
      <c r="T1208" s="370">
        <v>2</v>
      </c>
      <c r="U1208" s="257">
        <v>-9999</v>
      </c>
      <c r="V1208" s="257"/>
      <c r="W1208" s="609">
        <f>+P1208-P1207</f>
        <v>4</v>
      </c>
      <c r="X1208" s="257">
        <v>-9999</v>
      </c>
      <c r="Y1208" s="257"/>
      <c r="Z1208" s="599" t="s">
        <v>111</v>
      </c>
      <c r="AA1208" s="605">
        <v>1794</v>
      </c>
      <c r="AB1208" s="611">
        <v>0.83</v>
      </c>
      <c r="AC1208" s="257">
        <v>10.3</v>
      </c>
      <c r="AD1208" s="602">
        <f t="shared" si="124"/>
        <v>966</v>
      </c>
      <c r="AE1208" s="263" t="s">
        <v>97</v>
      </c>
      <c r="AF1208" s="600">
        <v>0</v>
      </c>
      <c r="AG1208" s="257">
        <v>2</v>
      </c>
      <c r="AH1208" s="257" t="s">
        <v>98</v>
      </c>
      <c r="AI1208" s="257" t="s">
        <v>985</v>
      </c>
      <c r="AJ1208" s="257">
        <v>-9999</v>
      </c>
      <c r="AK1208" s="257" t="s">
        <v>99</v>
      </c>
      <c r="AL1208" s="257" t="s">
        <v>828</v>
      </c>
      <c r="AM1208" s="257">
        <v>-9999</v>
      </c>
      <c r="AN1208" s="257" t="s">
        <v>631</v>
      </c>
      <c r="AO1208" s="257">
        <v>-9999</v>
      </c>
      <c r="AP1208" s="257">
        <v>-9999</v>
      </c>
      <c r="AQ1208" s="257" t="s">
        <v>631</v>
      </c>
      <c r="AR1208" s="257">
        <v>0</v>
      </c>
      <c r="AS1208" s="257">
        <v>-9999</v>
      </c>
      <c r="AT1208" s="257">
        <v>-9999</v>
      </c>
      <c r="AU1208" s="257">
        <v>0</v>
      </c>
      <c r="AV1208" s="257">
        <v>-9999</v>
      </c>
      <c r="AW1208" s="257"/>
      <c r="AX1208" s="257">
        <v>0</v>
      </c>
      <c r="AY1208" s="257">
        <v>-9999</v>
      </c>
      <c r="AZ1208" s="257">
        <v>-9999</v>
      </c>
      <c r="BA1208" s="257" t="s">
        <v>100</v>
      </c>
      <c r="BB1208" s="257" t="s">
        <v>626</v>
      </c>
      <c r="BC1208" s="257" t="s">
        <v>101</v>
      </c>
      <c r="BD1208" s="257" t="s">
        <v>102</v>
      </c>
      <c r="BE1208" s="257" t="s">
        <v>103</v>
      </c>
      <c r="BF1208" s="257" t="s">
        <v>104</v>
      </c>
      <c r="BG1208" s="257" t="s">
        <v>105</v>
      </c>
      <c r="BH1208" s="257" t="s">
        <v>106</v>
      </c>
      <c r="BI1208" s="257">
        <v>-9999</v>
      </c>
      <c r="BJ1208" s="257">
        <v>-9999</v>
      </c>
      <c r="BK1208" s="257">
        <v>-9999</v>
      </c>
      <c r="BL1208" s="602">
        <v>3.2</v>
      </c>
      <c r="BM1208" s="257">
        <v>-9999</v>
      </c>
      <c r="BN1208" s="602">
        <v>3</v>
      </c>
      <c r="BO1208" s="257">
        <v>-9999</v>
      </c>
      <c r="BP1208" s="257">
        <v>-9999</v>
      </c>
      <c r="BQ1208" s="257">
        <v>-9999</v>
      </c>
      <c r="BR1208" s="257">
        <v>-9999</v>
      </c>
      <c r="BS1208" s="263">
        <v>-9999</v>
      </c>
      <c r="BT1208" s="257">
        <v>-9999</v>
      </c>
      <c r="BU1208" s="257">
        <v>-9999</v>
      </c>
      <c r="BV1208" s="257">
        <v>-9999</v>
      </c>
      <c r="BW1208" s="257"/>
      <c r="BX1208" s="257">
        <v>-9999</v>
      </c>
      <c r="BY1208" s="257">
        <v>-9999</v>
      </c>
      <c r="BZ1208" s="257">
        <v>-9999</v>
      </c>
      <c r="CA1208" s="300" t="s">
        <v>107</v>
      </c>
      <c r="CB1208" s="264" t="s">
        <v>561</v>
      </c>
      <c r="CC1208" s="600">
        <v>2</v>
      </c>
      <c r="CD1208" s="600">
        <v>2</v>
      </c>
      <c r="CE1208" s="168">
        <v>2</v>
      </c>
      <c r="CF1208" s="168">
        <v>4</v>
      </c>
      <c r="CG1208" s="161">
        <v>5</v>
      </c>
    </row>
    <row r="1209" spans="1:1873" s="23" customFormat="1" ht="12.75" customHeight="1" x14ac:dyDescent="0.25">
      <c r="A1209" s="263" t="s">
        <v>560</v>
      </c>
      <c r="B1209" s="263" t="s">
        <v>1268</v>
      </c>
      <c r="C1209" s="263" t="s">
        <v>110</v>
      </c>
      <c r="D1209" s="263" t="s">
        <v>1400</v>
      </c>
      <c r="E1209" s="257" t="s">
        <v>855</v>
      </c>
      <c r="F1209" s="263">
        <v>2</v>
      </c>
      <c r="G1209" s="263">
        <v>3</v>
      </c>
      <c r="H1209" s="263">
        <v>6</v>
      </c>
      <c r="I1209" s="257" t="s">
        <v>856</v>
      </c>
      <c r="J1209" s="257">
        <v>1982</v>
      </c>
      <c r="K1209" s="257" t="s">
        <v>1211</v>
      </c>
      <c r="L1209" s="595">
        <v>1987</v>
      </c>
      <c r="M1209" s="261">
        <v>-9999</v>
      </c>
      <c r="N1209" s="257">
        <v>-9999</v>
      </c>
      <c r="O1209" s="29"/>
      <c r="P1209" s="261">
        <v>12.81</v>
      </c>
      <c r="Q1209" s="257">
        <v>-9999</v>
      </c>
      <c r="R1209" s="261"/>
      <c r="S1209" s="257"/>
      <c r="T1209" s="370">
        <v>4.2699999999999996</v>
      </c>
      <c r="U1209" s="257">
        <v>-9999</v>
      </c>
      <c r="V1209" s="257"/>
      <c r="W1209" s="609">
        <f>+P1209-P1208</f>
        <v>8.81</v>
      </c>
      <c r="X1209" s="257">
        <v>-9999</v>
      </c>
      <c r="Y1209" s="257"/>
      <c r="Z1209" s="257" t="s">
        <v>111</v>
      </c>
      <c r="AA1209" s="605">
        <v>1794</v>
      </c>
      <c r="AB1209" s="261">
        <v>0.83</v>
      </c>
      <c r="AC1209" s="257">
        <v>10.3</v>
      </c>
      <c r="AD1209" s="602">
        <f t="shared" si="124"/>
        <v>966</v>
      </c>
      <c r="AE1209" s="263" t="s">
        <v>97</v>
      </c>
      <c r="AF1209" s="263">
        <v>1</v>
      </c>
      <c r="AG1209" s="257">
        <v>2</v>
      </c>
      <c r="AH1209" s="257" t="s">
        <v>98</v>
      </c>
      <c r="AI1209" s="257" t="s">
        <v>985</v>
      </c>
      <c r="AJ1209" s="257">
        <v>-9999</v>
      </c>
      <c r="AK1209" s="257" t="s">
        <v>99</v>
      </c>
      <c r="AL1209" s="257" t="s">
        <v>828</v>
      </c>
      <c r="AM1209" s="257">
        <v>-9999</v>
      </c>
      <c r="AN1209" s="257" t="s">
        <v>631</v>
      </c>
      <c r="AO1209" s="257">
        <v>-9999</v>
      </c>
      <c r="AP1209" s="257">
        <v>-9999</v>
      </c>
      <c r="AQ1209" s="257" t="s">
        <v>631</v>
      </c>
      <c r="AR1209" s="257">
        <v>0</v>
      </c>
      <c r="AS1209" s="257">
        <v>-9999</v>
      </c>
      <c r="AT1209" s="257">
        <v>-9999</v>
      </c>
      <c r="AU1209" s="257">
        <v>0</v>
      </c>
      <c r="AV1209" s="257">
        <v>-9999</v>
      </c>
      <c r="AW1209" s="257"/>
      <c r="AX1209" s="257">
        <v>0</v>
      </c>
      <c r="AY1209" s="257">
        <v>-9999</v>
      </c>
      <c r="AZ1209" s="257">
        <v>-9999</v>
      </c>
      <c r="BA1209" s="257" t="s">
        <v>100</v>
      </c>
      <c r="BB1209" s="257" t="s">
        <v>626</v>
      </c>
      <c r="BC1209" s="257" t="s">
        <v>101</v>
      </c>
      <c r="BD1209" s="257" t="s">
        <v>102</v>
      </c>
      <c r="BE1209" s="257" t="s">
        <v>103</v>
      </c>
      <c r="BF1209" s="257" t="s">
        <v>104</v>
      </c>
      <c r="BG1209" s="257" t="s">
        <v>105</v>
      </c>
      <c r="BH1209" s="257" t="s">
        <v>106</v>
      </c>
      <c r="BI1209" s="257">
        <v>-9999</v>
      </c>
      <c r="BJ1209" s="257">
        <v>-9999</v>
      </c>
      <c r="BK1209" s="257">
        <v>-9999</v>
      </c>
      <c r="BL1209" s="602">
        <v>2.1</v>
      </c>
      <c r="BM1209" s="257">
        <v>-9999</v>
      </c>
      <c r="BN1209" s="602">
        <v>4.8</v>
      </c>
      <c r="BO1209" s="257">
        <v>-9999</v>
      </c>
      <c r="BP1209" s="257">
        <v>-9999</v>
      </c>
      <c r="BQ1209" s="257">
        <v>-9999</v>
      </c>
      <c r="BR1209" s="257">
        <v>-9999</v>
      </c>
      <c r="BS1209" s="263">
        <v>-9999</v>
      </c>
      <c r="BT1209" s="257">
        <v>-9999</v>
      </c>
      <c r="BU1209" s="257">
        <v>-9999</v>
      </c>
      <c r="BV1209" s="257">
        <v>-9999</v>
      </c>
      <c r="BW1209" s="257"/>
      <c r="BX1209" s="257">
        <v>-9999</v>
      </c>
      <c r="BY1209" s="257">
        <v>-9999</v>
      </c>
      <c r="BZ1209" s="257">
        <v>-9999</v>
      </c>
      <c r="CA1209" s="300" t="s">
        <v>107</v>
      </c>
      <c r="CB1209" s="264" t="s">
        <v>561</v>
      </c>
      <c r="CC1209" s="263">
        <v>2</v>
      </c>
      <c r="CD1209" s="263">
        <v>3</v>
      </c>
      <c r="CE1209" s="292">
        <v>4.2699999999999996</v>
      </c>
      <c r="CF1209" s="292">
        <v>8.81</v>
      </c>
      <c r="CG1209" s="44">
        <v>6</v>
      </c>
    </row>
    <row r="1210" spans="1:1873" s="149" customFormat="1" ht="12.75" customHeight="1" x14ac:dyDescent="0.25">
      <c r="A1210" s="263"/>
      <c r="B1210" s="263"/>
      <c r="C1210" s="600"/>
      <c r="D1210" s="600"/>
      <c r="E1210" s="599"/>
      <c r="F1210" s="599"/>
      <c r="G1210" s="600"/>
      <c r="H1210" s="600"/>
      <c r="I1210" s="257"/>
      <c r="J1210" s="599"/>
      <c r="K1210" s="257"/>
      <c r="L1210" s="600"/>
      <c r="M1210" s="261"/>
      <c r="N1210" s="257"/>
      <c r="O1210" s="29"/>
      <c r="P1210" s="602"/>
      <c r="Q1210" s="257"/>
      <c r="R1210" s="261"/>
      <c r="S1210" s="257"/>
      <c r="T1210" s="370"/>
      <c r="U1210" s="257"/>
      <c r="V1210" s="257"/>
      <c r="W1210" s="609"/>
      <c r="X1210" s="257"/>
      <c r="Y1210" s="257"/>
      <c r="Z1210" s="599"/>
      <c r="AA1210" s="605"/>
      <c r="AB1210" s="611"/>
      <c r="AC1210" s="257"/>
      <c r="AD1210" s="602"/>
      <c r="AE1210" s="263"/>
      <c r="AF1210" s="600"/>
      <c r="AG1210" s="599"/>
      <c r="AH1210" s="257"/>
      <c r="AI1210" s="257"/>
      <c r="AJ1210" s="257"/>
      <c r="AK1210" s="257"/>
      <c r="AL1210" s="257"/>
      <c r="AM1210" s="257"/>
      <c r="AN1210" s="257"/>
      <c r="AO1210" s="257"/>
      <c r="AP1210" s="257"/>
      <c r="AQ1210" s="257"/>
      <c r="AR1210" s="257"/>
      <c r="AS1210" s="257"/>
      <c r="AT1210" s="257"/>
      <c r="AU1210" s="257"/>
      <c r="AV1210" s="257"/>
      <c r="AW1210" s="257"/>
      <c r="AX1210" s="257"/>
      <c r="AY1210" s="257"/>
      <c r="AZ1210" s="257"/>
      <c r="BA1210" s="257"/>
      <c r="BB1210" s="257"/>
      <c r="BC1210" s="257"/>
      <c r="BD1210" s="257"/>
      <c r="BE1210" s="257"/>
      <c r="BF1210" s="257"/>
      <c r="BG1210" s="257"/>
      <c r="BH1210" s="257"/>
      <c r="BI1210" s="257"/>
      <c r="BJ1210" s="257"/>
      <c r="BK1210" s="257"/>
      <c r="BL1210" s="602"/>
      <c r="BM1210" s="257"/>
      <c r="BN1210" s="602"/>
      <c r="BO1210" s="257"/>
      <c r="BP1210" s="257"/>
      <c r="BQ1210" s="257"/>
      <c r="BR1210" s="257"/>
      <c r="BS1210" s="263"/>
      <c r="BT1210" s="257"/>
      <c r="BU1210" s="257"/>
      <c r="BV1210" s="257"/>
      <c r="BW1210" s="257"/>
      <c r="BX1210" s="257"/>
      <c r="BY1210" s="257"/>
      <c r="BZ1210" s="257"/>
      <c r="CA1210" s="300"/>
      <c r="CB1210" s="264"/>
      <c r="CC1210" s="599"/>
      <c r="CD1210" s="600"/>
      <c r="CE1210" s="342" t="s">
        <v>1576</v>
      </c>
      <c r="CF1210" s="342" t="s">
        <v>1575</v>
      </c>
      <c r="CG1210" s="161"/>
    </row>
    <row r="1211" spans="1:1873" s="149" customFormat="1" ht="12.75" customHeight="1" x14ac:dyDescent="0.25">
      <c r="A1211" s="263" t="s">
        <v>560</v>
      </c>
      <c r="B1211" s="263" t="s">
        <v>1268</v>
      </c>
      <c r="C1211" s="600" t="s">
        <v>112</v>
      </c>
      <c r="D1211" s="263" t="s">
        <v>1254</v>
      </c>
      <c r="E1211" s="327" t="s">
        <v>882</v>
      </c>
      <c r="F1211" s="600">
        <v>1</v>
      </c>
      <c r="G1211" s="600">
        <v>1</v>
      </c>
      <c r="H1211" s="600">
        <v>1</v>
      </c>
      <c r="I1211" s="257" t="s">
        <v>856</v>
      </c>
      <c r="J1211" s="599">
        <v>1982</v>
      </c>
      <c r="K1211" s="257" t="s">
        <v>1211</v>
      </c>
      <c r="L1211" s="608">
        <v>1982</v>
      </c>
      <c r="M1211" s="261">
        <v>-9999</v>
      </c>
      <c r="N1211" s="257">
        <v>-9999</v>
      </c>
      <c r="O1211" s="29"/>
      <c r="P1211" s="602">
        <v>2.93</v>
      </c>
      <c r="Q1211" s="257">
        <v>-9999</v>
      </c>
      <c r="R1211" s="261"/>
      <c r="S1211" s="257"/>
      <c r="T1211" s="370">
        <v>2.93</v>
      </c>
      <c r="U1211" s="257">
        <v>-9999</v>
      </c>
      <c r="V1211" s="257"/>
      <c r="W1211" s="609">
        <f t="shared" ref="W1211:W1216" si="126">+P1211-P1210</f>
        <v>2.93</v>
      </c>
      <c r="X1211" s="257">
        <v>-9999</v>
      </c>
      <c r="Y1211" s="257"/>
      <c r="Z1211" s="327" t="s">
        <v>1706</v>
      </c>
      <c r="AA1211" s="599">
        <v>5382</v>
      </c>
      <c r="AB1211" s="602">
        <v>1</v>
      </c>
      <c r="AC1211" s="257">
        <v>10.3</v>
      </c>
      <c r="AD1211" s="602">
        <f t="shared" si="124"/>
        <v>966</v>
      </c>
      <c r="AE1211" s="263" t="s">
        <v>97</v>
      </c>
      <c r="AF1211" s="600">
        <v>6</v>
      </c>
      <c r="AG1211" s="257">
        <v>2</v>
      </c>
      <c r="AH1211" s="257" t="s">
        <v>98</v>
      </c>
      <c r="AI1211" s="257" t="s">
        <v>985</v>
      </c>
      <c r="AJ1211" s="257">
        <v>-9999</v>
      </c>
      <c r="AK1211" s="257" t="s">
        <v>99</v>
      </c>
      <c r="AL1211" s="257" t="s">
        <v>828</v>
      </c>
      <c r="AM1211" s="257">
        <v>-9999</v>
      </c>
      <c r="AN1211" s="257" t="s">
        <v>631</v>
      </c>
      <c r="AO1211" s="257">
        <v>-9999</v>
      </c>
      <c r="AP1211" s="257">
        <v>-9999</v>
      </c>
      <c r="AQ1211" s="257" t="s">
        <v>631</v>
      </c>
      <c r="AR1211" s="257">
        <v>0</v>
      </c>
      <c r="AS1211" s="257">
        <v>-9999</v>
      </c>
      <c r="AT1211" s="257">
        <v>-9999</v>
      </c>
      <c r="AU1211" s="257">
        <v>0</v>
      </c>
      <c r="AV1211" s="257">
        <v>-9999</v>
      </c>
      <c r="AW1211" s="257"/>
      <c r="AX1211" s="257">
        <v>0</v>
      </c>
      <c r="AY1211" s="257">
        <v>-9999</v>
      </c>
      <c r="AZ1211" s="257">
        <v>-9999</v>
      </c>
      <c r="BA1211" s="257" t="s">
        <v>100</v>
      </c>
      <c r="BB1211" s="257" t="s">
        <v>626</v>
      </c>
      <c r="BC1211" s="257" t="s">
        <v>101</v>
      </c>
      <c r="BD1211" s="257" t="s">
        <v>102</v>
      </c>
      <c r="BE1211" s="257" t="s">
        <v>103</v>
      </c>
      <c r="BF1211" s="257" t="s">
        <v>104</v>
      </c>
      <c r="BG1211" s="257" t="s">
        <v>105</v>
      </c>
      <c r="BH1211" s="257" t="s">
        <v>106</v>
      </c>
      <c r="BI1211" s="257">
        <v>-9999</v>
      </c>
      <c r="BJ1211" s="257">
        <v>-9999</v>
      </c>
      <c r="BK1211" s="257">
        <v>-9999</v>
      </c>
      <c r="BL1211" s="602">
        <v>3.11</v>
      </c>
      <c r="BM1211" s="257">
        <v>-9999</v>
      </c>
      <c r="BN1211" s="602">
        <v>0</v>
      </c>
      <c r="BO1211" s="257">
        <v>-9999</v>
      </c>
      <c r="BP1211" s="257">
        <v>-9999</v>
      </c>
      <c r="BQ1211" s="257">
        <v>-9999</v>
      </c>
      <c r="BR1211" s="257">
        <v>-9999</v>
      </c>
      <c r="BS1211" s="263">
        <v>-9999</v>
      </c>
      <c r="BT1211" s="257">
        <v>-9999</v>
      </c>
      <c r="BU1211" s="257">
        <v>-9999</v>
      </c>
      <c r="BV1211" s="257">
        <v>-9999</v>
      </c>
      <c r="BW1211" s="257"/>
      <c r="BX1211" s="257">
        <v>-9999</v>
      </c>
      <c r="BY1211" s="257">
        <v>-9999</v>
      </c>
      <c r="BZ1211" s="257">
        <v>-9999</v>
      </c>
      <c r="CA1211" s="300" t="s">
        <v>107</v>
      </c>
      <c r="CB1211" s="264" t="s">
        <v>561</v>
      </c>
      <c r="CC1211" s="600">
        <v>1</v>
      </c>
      <c r="CD1211" s="600">
        <v>1</v>
      </c>
      <c r="CE1211" s="168">
        <v>2.93</v>
      </c>
      <c r="CF1211" s="168">
        <v>2.93</v>
      </c>
      <c r="CG1211" s="161">
        <v>1</v>
      </c>
    </row>
    <row r="1212" spans="1:1873" s="149" customFormat="1" ht="12.75" customHeight="1" x14ac:dyDescent="0.25">
      <c r="A1212" s="263" t="s">
        <v>560</v>
      </c>
      <c r="B1212" s="263" t="s">
        <v>1268</v>
      </c>
      <c r="C1212" s="600" t="s">
        <v>112</v>
      </c>
      <c r="D1212" s="263" t="s">
        <v>1254</v>
      </c>
      <c r="E1212" s="327" t="s">
        <v>882</v>
      </c>
      <c r="F1212" s="600">
        <v>1</v>
      </c>
      <c r="G1212" s="600">
        <v>2</v>
      </c>
      <c r="H1212" s="600">
        <v>2</v>
      </c>
      <c r="I1212" s="257" t="s">
        <v>856</v>
      </c>
      <c r="J1212" s="599">
        <v>1982</v>
      </c>
      <c r="K1212" s="257" t="s">
        <v>1211</v>
      </c>
      <c r="L1212" s="608">
        <v>1983</v>
      </c>
      <c r="M1212" s="261">
        <v>-9999</v>
      </c>
      <c r="N1212" s="257">
        <v>-9999</v>
      </c>
      <c r="O1212" s="29"/>
      <c r="P1212" s="602">
        <v>11.67</v>
      </c>
      <c r="Q1212" s="257">
        <v>-9999</v>
      </c>
      <c r="R1212" s="261"/>
      <c r="S1212" s="257"/>
      <c r="T1212" s="370">
        <v>6.27</v>
      </c>
      <c r="U1212" s="257">
        <v>-9999</v>
      </c>
      <c r="V1212" s="257"/>
      <c r="W1212" s="609">
        <f t="shared" si="126"/>
        <v>8.74</v>
      </c>
      <c r="X1212" s="257">
        <v>-9999</v>
      </c>
      <c r="Y1212" s="257"/>
      <c r="Z1212" s="327" t="s">
        <v>1706</v>
      </c>
      <c r="AA1212" s="599">
        <v>5382</v>
      </c>
      <c r="AB1212" s="602">
        <v>1</v>
      </c>
      <c r="AC1212" s="257">
        <v>10.3</v>
      </c>
      <c r="AD1212" s="602">
        <f t="shared" si="124"/>
        <v>966</v>
      </c>
      <c r="AE1212" s="263" t="s">
        <v>97</v>
      </c>
      <c r="AF1212" s="600">
        <v>6</v>
      </c>
      <c r="AG1212" s="257">
        <v>2</v>
      </c>
      <c r="AH1212" s="257" t="s">
        <v>98</v>
      </c>
      <c r="AI1212" s="257" t="s">
        <v>985</v>
      </c>
      <c r="AJ1212" s="257">
        <v>-9999</v>
      </c>
      <c r="AK1212" s="257" t="s">
        <v>99</v>
      </c>
      <c r="AL1212" s="257" t="s">
        <v>828</v>
      </c>
      <c r="AM1212" s="257">
        <v>-9999</v>
      </c>
      <c r="AN1212" s="257" t="s">
        <v>631</v>
      </c>
      <c r="AO1212" s="257">
        <v>-9999</v>
      </c>
      <c r="AP1212" s="257">
        <v>-9999</v>
      </c>
      <c r="AQ1212" s="257" t="s">
        <v>631</v>
      </c>
      <c r="AR1212" s="257">
        <v>0</v>
      </c>
      <c r="AS1212" s="257">
        <v>-9999</v>
      </c>
      <c r="AT1212" s="257">
        <v>-9999</v>
      </c>
      <c r="AU1212" s="257">
        <v>0</v>
      </c>
      <c r="AV1212" s="257">
        <v>-9999</v>
      </c>
      <c r="AW1212" s="257"/>
      <c r="AX1212" s="257">
        <v>0</v>
      </c>
      <c r="AY1212" s="257">
        <v>-9999</v>
      </c>
      <c r="AZ1212" s="257">
        <v>-9999</v>
      </c>
      <c r="BA1212" s="257" t="s">
        <v>100</v>
      </c>
      <c r="BB1212" s="257" t="s">
        <v>626</v>
      </c>
      <c r="BC1212" s="257" t="s">
        <v>101</v>
      </c>
      <c r="BD1212" s="257" t="s">
        <v>102</v>
      </c>
      <c r="BE1212" s="257" t="s">
        <v>103</v>
      </c>
      <c r="BF1212" s="257" t="s">
        <v>104</v>
      </c>
      <c r="BG1212" s="257" t="s">
        <v>105</v>
      </c>
      <c r="BH1212" s="257" t="s">
        <v>106</v>
      </c>
      <c r="BI1212" s="257">
        <v>-9999</v>
      </c>
      <c r="BJ1212" s="257">
        <v>-9999</v>
      </c>
      <c r="BK1212" s="257">
        <v>-9999</v>
      </c>
      <c r="BL1212" s="602">
        <v>5.0999999999999996</v>
      </c>
      <c r="BM1212" s="257">
        <v>-9999</v>
      </c>
      <c r="BN1212" s="602">
        <v>0</v>
      </c>
      <c r="BO1212" s="257">
        <v>-9999</v>
      </c>
      <c r="BP1212" s="257">
        <v>-9999</v>
      </c>
      <c r="BQ1212" s="257">
        <v>-9999</v>
      </c>
      <c r="BR1212" s="257">
        <v>-9999</v>
      </c>
      <c r="BS1212" s="263">
        <v>-9999</v>
      </c>
      <c r="BT1212" s="257">
        <v>-9999</v>
      </c>
      <c r="BU1212" s="257">
        <v>-9999</v>
      </c>
      <c r="BV1212" s="257">
        <v>-9999</v>
      </c>
      <c r="BW1212" s="257"/>
      <c r="BX1212" s="257">
        <v>-9999</v>
      </c>
      <c r="BY1212" s="257">
        <v>-9999</v>
      </c>
      <c r="BZ1212" s="257">
        <v>-9999</v>
      </c>
      <c r="CA1212" s="300" t="s">
        <v>107</v>
      </c>
      <c r="CB1212" s="264" t="s">
        <v>561</v>
      </c>
      <c r="CC1212" s="600">
        <v>1</v>
      </c>
      <c r="CD1212" s="600">
        <v>2</v>
      </c>
      <c r="CE1212" s="168">
        <v>6.27</v>
      </c>
      <c r="CF1212" s="168">
        <v>9.61</v>
      </c>
      <c r="CG1212" s="161">
        <v>2</v>
      </c>
    </row>
    <row r="1213" spans="1:1873" s="149" customFormat="1" ht="12.75" customHeight="1" x14ac:dyDescent="0.25">
      <c r="A1213" s="263" t="s">
        <v>560</v>
      </c>
      <c r="B1213" s="263" t="s">
        <v>1268</v>
      </c>
      <c r="C1213" s="600" t="s">
        <v>112</v>
      </c>
      <c r="D1213" s="263" t="s">
        <v>1254</v>
      </c>
      <c r="E1213" s="327" t="s">
        <v>882</v>
      </c>
      <c r="F1213" s="600">
        <v>1</v>
      </c>
      <c r="G1213" s="600">
        <v>3</v>
      </c>
      <c r="H1213" s="600">
        <v>3</v>
      </c>
      <c r="I1213" s="257" t="s">
        <v>856</v>
      </c>
      <c r="J1213" s="599">
        <v>1982</v>
      </c>
      <c r="K1213" s="257" t="s">
        <v>1211</v>
      </c>
      <c r="L1213" s="608">
        <v>1984</v>
      </c>
      <c r="M1213" s="261">
        <v>-9999</v>
      </c>
      <c r="N1213" s="257">
        <v>-9999</v>
      </c>
      <c r="O1213" s="29"/>
      <c r="P1213" s="602">
        <v>21.67</v>
      </c>
      <c r="Q1213" s="257">
        <v>-9999</v>
      </c>
      <c r="R1213" s="261"/>
      <c r="S1213" s="257"/>
      <c r="T1213" s="370">
        <v>7.39</v>
      </c>
      <c r="U1213" s="257">
        <v>-9999</v>
      </c>
      <c r="V1213" s="257"/>
      <c r="W1213" s="609">
        <f t="shared" si="126"/>
        <v>10.000000000000002</v>
      </c>
      <c r="X1213" s="257">
        <v>-9999</v>
      </c>
      <c r="Y1213" s="257"/>
      <c r="Z1213" s="327" t="s">
        <v>1706</v>
      </c>
      <c r="AA1213" s="599">
        <v>5382</v>
      </c>
      <c r="AB1213" s="602">
        <v>1</v>
      </c>
      <c r="AC1213" s="257">
        <v>10.3</v>
      </c>
      <c r="AD1213" s="602">
        <f t="shared" si="124"/>
        <v>966</v>
      </c>
      <c r="AE1213" s="263" t="s">
        <v>97</v>
      </c>
      <c r="AF1213" s="600">
        <v>6</v>
      </c>
      <c r="AG1213" s="257">
        <v>2</v>
      </c>
      <c r="AH1213" s="257" t="s">
        <v>98</v>
      </c>
      <c r="AI1213" s="257" t="s">
        <v>985</v>
      </c>
      <c r="AJ1213" s="257">
        <v>-9999</v>
      </c>
      <c r="AK1213" s="257" t="s">
        <v>99</v>
      </c>
      <c r="AL1213" s="257" t="s">
        <v>828</v>
      </c>
      <c r="AM1213" s="257">
        <v>-9999</v>
      </c>
      <c r="AN1213" s="257" t="s">
        <v>631</v>
      </c>
      <c r="AO1213" s="257">
        <v>-9999</v>
      </c>
      <c r="AP1213" s="257">
        <v>-9999</v>
      </c>
      <c r="AQ1213" s="257" t="s">
        <v>631</v>
      </c>
      <c r="AR1213" s="257">
        <v>0</v>
      </c>
      <c r="AS1213" s="257">
        <v>-9999</v>
      </c>
      <c r="AT1213" s="257">
        <v>-9999</v>
      </c>
      <c r="AU1213" s="257">
        <v>0</v>
      </c>
      <c r="AV1213" s="257">
        <v>-9999</v>
      </c>
      <c r="AW1213" s="257"/>
      <c r="AX1213" s="257">
        <v>0</v>
      </c>
      <c r="AY1213" s="257">
        <v>-9999</v>
      </c>
      <c r="AZ1213" s="257">
        <v>-9999</v>
      </c>
      <c r="BA1213" s="257" t="s">
        <v>100</v>
      </c>
      <c r="BB1213" s="257" t="s">
        <v>626</v>
      </c>
      <c r="BC1213" s="257" t="s">
        <v>101</v>
      </c>
      <c r="BD1213" s="257" t="s">
        <v>102</v>
      </c>
      <c r="BE1213" s="257" t="s">
        <v>103</v>
      </c>
      <c r="BF1213" s="257" t="s">
        <v>104</v>
      </c>
      <c r="BG1213" s="257" t="s">
        <v>105</v>
      </c>
      <c r="BH1213" s="257" t="s">
        <v>106</v>
      </c>
      <c r="BI1213" s="257">
        <v>-9999</v>
      </c>
      <c r="BJ1213" s="257">
        <v>-9999</v>
      </c>
      <c r="BK1213" s="257">
        <v>-9999</v>
      </c>
      <c r="BL1213" s="602">
        <v>6.77</v>
      </c>
      <c r="BM1213" s="257">
        <v>-9999</v>
      </c>
      <c r="BN1213" s="602">
        <v>0</v>
      </c>
      <c r="BO1213" s="257">
        <v>-9999</v>
      </c>
      <c r="BP1213" s="257">
        <v>-9999</v>
      </c>
      <c r="BQ1213" s="257">
        <v>-9999</v>
      </c>
      <c r="BR1213" s="257">
        <v>-9999</v>
      </c>
      <c r="BS1213" s="263">
        <v>-9999</v>
      </c>
      <c r="BT1213" s="257">
        <v>-9999</v>
      </c>
      <c r="BU1213" s="257">
        <v>-9999</v>
      </c>
      <c r="BV1213" s="257">
        <v>-9999</v>
      </c>
      <c r="BW1213" s="257"/>
      <c r="BX1213" s="257">
        <v>-9999</v>
      </c>
      <c r="BY1213" s="257">
        <v>-9999</v>
      </c>
      <c r="BZ1213" s="257">
        <v>-9999</v>
      </c>
      <c r="CA1213" s="300" t="s">
        <v>107</v>
      </c>
      <c r="CB1213" s="264" t="s">
        <v>561</v>
      </c>
      <c r="CC1213" s="600">
        <v>1</v>
      </c>
      <c r="CD1213" s="600">
        <v>3</v>
      </c>
      <c r="CE1213" s="168">
        <v>7.39</v>
      </c>
      <c r="CF1213" s="168">
        <v>9.6300000000000026</v>
      </c>
      <c r="CG1213" s="161">
        <v>3</v>
      </c>
    </row>
    <row r="1214" spans="1:1873" s="149" customFormat="1" ht="12.75" customHeight="1" x14ac:dyDescent="0.25">
      <c r="A1214" s="263" t="s">
        <v>560</v>
      </c>
      <c r="B1214" s="263" t="s">
        <v>1268</v>
      </c>
      <c r="C1214" s="600" t="s">
        <v>112</v>
      </c>
      <c r="D1214" s="263" t="s">
        <v>1254</v>
      </c>
      <c r="E1214" s="327" t="s">
        <v>882</v>
      </c>
      <c r="F1214" s="600">
        <v>1</v>
      </c>
      <c r="G1214" s="600">
        <v>4</v>
      </c>
      <c r="H1214" s="600">
        <v>4</v>
      </c>
      <c r="I1214" s="257" t="s">
        <v>856</v>
      </c>
      <c r="J1214" s="599">
        <v>1982</v>
      </c>
      <c r="K1214" s="257" t="s">
        <v>1211</v>
      </c>
      <c r="L1214" s="608">
        <v>1985</v>
      </c>
      <c r="M1214" s="261">
        <v>-9999</v>
      </c>
      <c r="N1214" s="257">
        <v>-9999</v>
      </c>
      <c r="O1214" s="29"/>
      <c r="P1214" s="261">
        <v>28.27</v>
      </c>
      <c r="Q1214" s="257">
        <v>-9999</v>
      </c>
      <c r="R1214" s="261"/>
      <c r="S1214" s="257"/>
      <c r="T1214" s="370">
        <v>7.0679999999999996</v>
      </c>
      <c r="U1214" s="257">
        <v>-9999</v>
      </c>
      <c r="V1214" s="257"/>
      <c r="W1214" s="609">
        <f t="shared" si="126"/>
        <v>6.5999999999999979</v>
      </c>
      <c r="X1214" s="257">
        <v>-9999</v>
      </c>
      <c r="Y1214" s="257"/>
      <c r="Z1214" s="327" t="s">
        <v>1706</v>
      </c>
      <c r="AA1214" s="599">
        <v>5382</v>
      </c>
      <c r="AB1214" s="602">
        <v>1</v>
      </c>
      <c r="AC1214" s="257">
        <v>10.3</v>
      </c>
      <c r="AD1214" s="602">
        <f t="shared" si="124"/>
        <v>966</v>
      </c>
      <c r="AE1214" s="263" t="s">
        <v>97</v>
      </c>
      <c r="AF1214" s="600">
        <v>6</v>
      </c>
      <c r="AG1214" s="257">
        <v>2</v>
      </c>
      <c r="AH1214" s="257" t="s">
        <v>98</v>
      </c>
      <c r="AI1214" s="257" t="s">
        <v>985</v>
      </c>
      <c r="AJ1214" s="257">
        <v>-9999</v>
      </c>
      <c r="AK1214" s="257" t="s">
        <v>99</v>
      </c>
      <c r="AL1214" s="257" t="s">
        <v>828</v>
      </c>
      <c r="AM1214" s="257">
        <v>-9999</v>
      </c>
      <c r="AN1214" s="257" t="s">
        <v>631</v>
      </c>
      <c r="AO1214" s="257">
        <v>-9999</v>
      </c>
      <c r="AP1214" s="257">
        <v>-9999</v>
      </c>
      <c r="AQ1214" s="257" t="s">
        <v>631</v>
      </c>
      <c r="AR1214" s="257">
        <v>0</v>
      </c>
      <c r="AS1214" s="257">
        <v>-9999</v>
      </c>
      <c r="AT1214" s="257">
        <v>-9999</v>
      </c>
      <c r="AU1214" s="257">
        <v>0</v>
      </c>
      <c r="AV1214" s="257">
        <v>-9999</v>
      </c>
      <c r="AW1214" s="257"/>
      <c r="AX1214" s="257">
        <v>0</v>
      </c>
      <c r="AY1214" s="257">
        <v>-9999</v>
      </c>
      <c r="AZ1214" s="257">
        <v>-9999</v>
      </c>
      <c r="BA1214" s="257" t="s">
        <v>100</v>
      </c>
      <c r="BB1214" s="257" t="s">
        <v>626</v>
      </c>
      <c r="BC1214" s="257" t="s">
        <v>101</v>
      </c>
      <c r="BD1214" s="257" t="s">
        <v>102</v>
      </c>
      <c r="BE1214" s="257" t="s">
        <v>103</v>
      </c>
      <c r="BF1214" s="257" t="s">
        <v>104</v>
      </c>
      <c r="BG1214" s="257" t="s">
        <v>105</v>
      </c>
      <c r="BH1214" s="257" t="s">
        <v>106</v>
      </c>
      <c r="BI1214" s="257">
        <v>-9999</v>
      </c>
      <c r="BJ1214" s="257">
        <v>-9999</v>
      </c>
      <c r="BK1214" s="257">
        <v>-9999</v>
      </c>
      <c r="BL1214" s="602">
        <v>7.95</v>
      </c>
      <c r="BM1214" s="257">
        <v>-9999</v>
      </c>
      <c r="BN1214" s="602">
        <v>5</v>
      </c>
      <c r="BO1214" s="257">
        <v>-9999</v>
      </c>
      <c r="BP1214" s="257">
        <v>-9999</v>
      </c>
      <c r="BQ1214" s="257">
        <v>-9999</v>
      </c>
      <c r="BR1214" s="257">
        <v>-9999</v>
      </c>
      <c r="BS1214" s="263">
        <v>-9999</v>
      </c>
      <c r="BT1214" s="257">
        <v>-9999</v>
      </c>
      <c r="BU1214" s="257">
        <v>-9999</v>
      </c>
      <c r="BV1214" s="257">
        <v>-9999</v>
      </c>
      <c r="BW1214" s="257"/>
      <c r="BX1214" s="257">
        <v>-9999</v>
      </c>
      <c r="BY1214" s="257">
        <v>-9999</v>
      </c>
      <c r="BZ1214" s="257">
        <v>-9999</v>
      </c>
      <c r="CA1214" s="300" t="s">
        <v>107</v>
      </c>
      <c r="CB1214" s="264" t="s">
        <v>561</v>
      </c>
      <c r="CC1214" s="600">
        <v>1</v>
      </c>
      <c r="CD1214" s="600">
        <v>4</v>
      </c>
      <c r="CE1214" s="168">
        <v>7.0679999999999996</v>
      </c>
      <c r="CF1214" s="168">
        <v>6.0999999999999979</v>
      </c>
      <c r="CG1214" s="161">
        <v>4</v>
      </c>
    </row>
    <row r="1215" spans="1:1873" s="216" customFormat="1" ht="12.75" customHeight="1" x14ac:dyDescent="0.25">
      <c r="A1215" s="328" t="s">
        <v>560</v>
      </c>
      <c r="B1215" s="263" t="s">
        <v>1268</v>
      </c>
      <c r="C1215" s="263" t="s">
        <v>112</v>
      </c>
      <c r="D1215" s="263" t="s">
        <v>1254</v>
      </c>
      <c r="E1215" s="327" t="s">
        <v>882</v>
      </c>
      <c r="F1215" s="263">
        <v>1</v>
      </c>
      <c r="G1215" s="263">
        <v>5</v>
      </c>
      <c r="H1215" s="263">
        <v>5</v>
      </c>
      <c r="I1215" s="257" t="s">
        <v>856</v>
      </c>
      <c r="J1215" s="257">
        <v>1982</v>
      </c>
      <c r="K1215" s="257" t="s">
        <v>1211</v>
      </c>
      <c r="L1215" s="595">
        <v>1986</v>
      </c>
      <c r="M1215" s="261">
        <v>-9999</v>
      </c>
      <c r="N1215" s="257">
        <v>-9999</v>
      </c>
      <c r="O1215" s="29"/>
      <c r="P1215" s="261">
        <v>42.7</v>
      </c>
      <c r="Q1215" s="257">
        <v>-9999</v>
      </c>
      <c r="R1215" s="261"/>
      <c r="S1215" s="257"/>
      <c r="T1215" s="370">
        <v>8.5399999999999991</v>
      </c>
      <c r="U1215" s="257">
        <v>-9999</v>
      </c>
      <c r="V1215" s="257"/>
      <c r="W1215" s="609">
        <f t="shared" si="126"/>
        <v>14.430000000000003</v>
      </c>
      <c r="X1215" s="257">
        <v>-9999</v>
      </c>
      <c r="Y1215" s="257"/>
      <c r="Z1215" s="327" t="s">
        <v>1706</v>
      </c>
      <c r="AA1215" s="599">
        <v>5382</v>
      </c>
      <c r="AB1215" s="261">
        <v>1</v>
      </c>
      <c r="AC1215" s="257">
        <v>10.3</v>
      </c>
      <c r="AD1215" s="602">
        <f t="shared" si="124"/>
        <v>966</v>
      </c>
      <c r="AE1215" s="263" t="s">
        <v>97</v>
      </c>
      <c r="AF1215" s="263">
        <v>6</v>
      </c>
      <c r="AG1215" s="257">
        <v>2</v>
      </c>
      <c r="AH1215" s="257" t="s">
        <v>98</v>
      </c>
      <c r="AI1215" s="257" t="s">
        <v>985</v>
      </c>
      <c r="AJ1215" s="257">
        <v>-9999</v>
      </c>
      <c r="AK1215" s="257" t="s">
        <v>99</v>
      </c>
      <c r="AL1215" s="257" t="s">
        <v>828</v>
      </c>
      <c r="AM1215" s="257">
        <v>-9999</v>
      </c>
      <c r="AN1215" s="257" t="s">
        <v>631</v>
      </c>
      <c r="AO1215" s="257">
        <v>-9999</v>
      </c>
      <c r="AP1215" s="257">
        <v>-9999</v>
      </c>
      <c r="AQ1215" s="257" t="s">
        <v>631</v>
      </c>
      <c r="AR1215" s="257">
        <v>0</v>
      </c>
      <c r="AS1215" s="257">
        <v>-9999</v>
      </c>
      <c r="AT1215" s="257">
        <v>-9999</v>
      </c>
      <c r="AU1215" s="257">
        <v>0</v>
      </c>
      <c r="AV1215" s="257">
        <v>-9999</v>
      </c>
      <c r="AW1215" s="257"/>
      <c r="AX1215" s="257">
        <v>0</v>
      </c>
      <c r="AY1215" s="257">
        <v>-9999</v>
      </c>
      <c r="AZ1215" s="257">
        <v>-9999</v>
      </c>
      <c r="BA1215" s="257" t="s">
        <v>100</v>
      </c>
      <c r="BB1215" s="257" t="s">
        <v>626</v>
      </c>
      <c r="BC1215" s="257" t="s">
        <v>101</v>
      </c>
      <c r="BD1215" s="257" t="s">
        <v>102</v>
      </c>
      <c r="BE1215" s="257" t="s">
        <v>103</v>
      </c>
      <c r="BF1215" s="257" t="s">
        <v>104</v>
      </c>
      <c r="BG1215" s="257" t="s">
        <v>105</v>
      </c>
      <c r="BH1215" s="257" t="s">
        <v>106</v>
      </c>
      <c r="BI1215" s="257">
        <v>-9999</v>
      </c>
      <c r="BJ1215" s="257">
        <v>-9999</v>
      </c>
      <c r="BK1215" s="257">
        <v>-9999</v>
      </c>
      <c r="BL1215" s="602">
        <v>7.7</v>
      </c>
      <c r="BM1215" s="257">
        <v>-9999</v>
      </c>
      <c r="BN1215" s="602">
        <v>6.4</v>
      </c>
      <c r="BO1215" s="257">
        <v>-9999</v>
      </c>
      <c r="BP1215" s="257">
        <v>-9999</v>
      </c>
      <c r="BQ1215" s="257">
        <v>-9999</v>
      </c>
      <c r="BR1215" s="257">
        <v>-9999</v>
      </c>
      <c r="BS1215" s="263">
        <v>-9999</v>
      </c>
      <c r="BT1215" s="257">
        <v>-9999</v>
      </c>
      <c r="BU1215" s="257">
        <v>-9999</v>
      </c>
      <c r="BV1215" s="257">
        <v>-9999</v>
      </c>
      <c r="BW1215" s="257"/>
      <c r="BX1215" s="257">
        <v>-9999</v>
      </c>
      <c r="BY1215" s="257">
        <v>-9999</v>
      </c>
      <c r="BZ1215" s="257">
        <v>-9999</v>
      </c>
      <c r="CA1215" s="300" t="s">
        <v>107</v>
      </c>
      <c r="CB1215" s="264" t="s">
        <v>561</v>
      </c>
      <c r="CC1215" s="263">
        <v>1</v>
      </c>
      <c r="CD1215" s="263">
        <v>5</v>
      </c>
      <c r="CE1215" s="394">
        <v>8.5399999999999991</v>
      </c>
      <c r="CF1215" s="292">
        <v>14.430000000000003</v>
      </c>
      <c r="CG1215" s="214">
        <v>5</v>
      </c>
      <c r="CH1215" s="438" t="s">
        <v>1757</v>
      </c>
      <c r="CI1215" s="23"/>
      <c r="CJ1215" s="23"/>
      <c r="CK1215" s="23"/>
      <c r="CL1215" s="23"/>
      <c r="CM1215" s="23"/>
      <c r="CN1215" s="23"/>
      <c r="CO1215" s="23"/>
      <c r="CP1215" s="23"/>
      <c r="CQ1215" s="23"/>
      <c r="CR1215" s="23"/>
      <c r="CS1215" s="23"/>
      <c r="CT1215" s="23"/>
      <c r="CU1215" s="23"/>
      <c r="CV1215" s="23"/>
      <c r="CW1215" s="23"/>
      <c r="CX1215" s="23"/>
      <c r="CY1215" s="23"/>
      <c r="CZ1215" s="23"/>
      <c r="DA1215" s="23"/>
      <c r="DB1215" s="23"/>
      <c r="DC1215" s="23"/>
      <c r="DD1215" s="23"/>
      <c r="DE1215" s="23"/>
      <c r="DF1215" s="23"/>
      <c r="DG1215" s="23"/>
      <c r="DH1215" s="23"/>
      <c r="DI1215" s="23"/>
      <c r="DJ1215" s="23"/>
      <c r="DK1215" s="23"/>
      <c r="DL1215" s="23"/>
      <c r="DM1215" s="23"/>
      <c r="DN1215" s="23"/>
      <c r="DO1215" s="23"/>
      <c r="DP1215" s="23"/>
      <c r="DQ1215" s="23"/>
      <c r="DR1215" s="23"/>
      <c r="DS1215" s="23"/>
      <c r="DT1215" s="23"/>
      <c r="DU1215" s="23"/>
      <c r="DV1215" s="23"/>
      <c r="DW1215" s="23"/>
      <c r="DX1215" s="23"/>
      <c r="DY1215" s="23"/>
      <c r="DZ1215" s="23"/>
      <c r="EA1215" s="23"/>
      <c r="EB1215" s="23"/>
      <c r="EC1215" s="23"/>
      <c r="ED1215" s="23"/>
      <c r="EE1215" s="23"/>
      <c r="EF1215" s="23"/>
      <c r="EG1215" s="23"/>
      <c r="EH1215" s="23"/>
      <c r="EI1215" s="23"/>
      <c r="EJ1215" s="23"/>
      <c r="EK1215" s="23"/>
      <c r="EL1215" s="23"/>
      <c r="EM1215" s="23"/>
      <c r="EN1215" s="23"/>
      <c r="EO1215" s="23"/>
      <c r="EP1215" s="23"/>
      <c r="EQ1215" s="23"/>
      <c r="ER1215" s="23"/>
      <c r="ES1215" s="23"/>
      <c r="ET1215" s="23"/>
      <c r="EU1215" s="23"/>
      <c r="EV1215" s="23"/>
      <c r="EW1215" s="23"/>
      <c r="EX1215" s="23"/>
      <c r="EY1215" s="23"/>
      <c r="EZ1215" s="23"/>
      <c r="FA1215" s="23"/>
      <c r="FB1215" s="23"/>
      <c r="FC1215" s="23"/>
      <c r="FD1215" s="23"/>
      <c r="FE1215" s="23"/>
      <c r="FF1215" s="23"/>
      <c r="FG1215" s="23"/>
      <c r="FH1215" s="23"/>
      <c r="FI1215" s="23"/>
      <c r="FJ1215" s="23"/>
      <c r="FK1215" s="23"/>
      <c r="FL1215" s="23"/>
      <c r="FM1215" s="23"/>
      <c r="FN1215" s="23"/>
      <c r="FO1215" s="23"/>
      <c r="FP1215" s="23"/>
      <c r="FQ1215" s="23"/>
      <c r="FR1215" s="23"/>
      <c r="FS1215" s="23"/>
      <c r="FT1215" s="23"/>
      <c r="FU1215" s="23"/>
      <c r="FV1215" s="23"/>
      <c r="FW1215" s="23"/>
      <c r="FX1215" s="23"/>
      <c r="FY1215" s="23"/>
      <c r="FZ1215" s="23"/>
      <c r="GA1215" s="23"/>
      <c r="GB1215" s="23"/>
      <c r="GC1215" s="23"/>
      <c r="GD1215" s="23"/>
      <c r="GE1215" s="23"/>
      <c r="GF1215" s="23"/>
      <c r="GG1215" s="23"/>
      <c r="GH1215" s="23"/>
      <c r="GI1215" s="23"/>
      <c r="GJ1215" s="23"/>
      <c r="GK1215" s="23"/>
      <c r="GL1215" s="23"/>
      <c r="GM1215" s="23"/>
      <c r="GN1215" s="23"/>
      <c r="GO1215" s="23"/>
      <c r="GP1215" s="23"/>
      <c r="GQ1215" s="23"/>
      <c r="GR1215" s="23"/>
      <c r="GS1215" s="23"/>
      <c r="GT1215" s="23"/>
      <c r="GU1215" s="23"/>
      <c r="GV1215" s="23"/>
      <c r="GW1215" s="23"/>
      <c r="GX1215" s="23"/>
      <c r="GY1215" s="23"/>
      <c r="GZ1215" s="23"/>
      <c r="HA1215" s="23"/>
      <c r="HB1215" s="23"/>
      <c r="HC1215" s="23"/>
      <c r="HD1215" s="23"/>
      <c r="HE1215" s="23"/>
      <c r="HF1215" s="23"/>
      <c r="HG1215" s="23"/>
      <c r="HH1215" s="23"/>
      <c r="HI1215" s="23"/>
      <c r="HJ1215" s="23"/>
      <c r="HK1215" s="23"/>
      <c r="HL1215" s="23"/>
      <c r="HM1215" s="23"/>
      <c r="HN1215" s="23"/>
      <c r="HO1215" s="23"/>
      <c r="HP1215" s="23"/>
      <c r="HQ1215" s="23"/>
      <c r="HR1215" s="23"/>
      <c r="HS1215" s="23"/>
      <c r="HT1215" s="23"/>
      <c r="HU1215" s="23"/>
      <c r="HV1215" s="23"/>
      <c r="HW1215" s="23"/>
      <c r="HX1215" s="23"/>
      <c r="HY1215" s="23"/>
      <c r="HZ1215" s="23"/>
      <c r="IA1215" s="23"/>
      <c r="IB1215" s="23"/>
      <c r="IC1215" s="23"/>
      <c r="ID1215" s="23"/>
      <c r="IE1215" s="23"/>
      <c r="IF1215" s="23"/>
      <c r="IG1215" s="23"/>
      <c r="IH1215" s="23"/>
      <c r="II1215" s="23"/>
      <c r="IJ1215" s="23"/>
      <c r="IK1215" s="23"/>
      <c r="IL1215" s="23"/>
      <c r="IM1215" s="23"/>
      <c r="IN1215" s="23"/>
      <c r="IO1215" s="23"/>
      <c r="IP1215" s="23"/>
      <c r="IQ1215" s="23"/>
      <c r="IR1215" s="23"/>
      <c r="IS1215" s="23"/>
      <c r="IT1215" s="23"/>
      <c r="IU1215" s="23"/>
      <c r="IV1215" s="23"/>
      <c r="IW1215" s="23"/>
      <c r="IX1215" s="23"/>
      <c r="IY1215" s="23"/>
      <c r="IZ1215" s="23"/>
      <c r="JA1215" s="23"/>
      <c r="JB1215" s="23"/>
      <c r="JC1215" s="23"/>
      <c r="JD1215" s="23"/>
      <c r="JE1215" s="23"/>
      <c r="JF1215" s="23"/>
      <c r="JG1215" s="23"/>
      <c r="JH1215" s="23"/>
      <c r="JI1215" s="23"/>
      <c r="JJ1215" s="23"/>
      <c r="JK1215" s="23"/>
      <c r="JL1215" s="23"/>
      <c r="JM1215" s="23"/>
      <c r="JN1215" s="23"/>
      <c r="JO1215" s="23"/>
      <c r="JP1215" s="23"/>
      <c r="JQ1215" s="23"/>
      <c r="JR1215" s="23"/>
      <c r="JS1215" s="23"/>
      <c r="JT1215" s="23"/>
      <c r="JU1215" s="23"/>
      <c r="JV1215" s="23"/>
      <c r="JW1215" s="23"/>
      <c r="JX1215" s="23"/>
      <c r="JY1215" s="23"/>
      <c r="JZ1215" s="23"/>
      <c r="KA1215" s="23"/>
      <c r="KB1215" s="23"/>
      <c r="KC1215" s="23"/>
      <c r="KD1215" s="23"/>
      <c r="KE1215" s="23"/>
      <c r="KF1215" s="23"/>
      <c r="KG1215" s="23"/>
      <c r="KH1215" s="23"/>
      <c r="KI1215" s="23"/>
      <c r="KJ1215" s="23"/>
      <c r="KK1215" s="23"/>
      <c r="KL1215" s="23"/>
      <c r="KM1215" s="23"/>
      <c r="KN1215" s="23"/>
      <c r="KO1215" s="23"/>
      <c r="KP1215" s="23"/>
      <c r="KQ1215" s="23"/>
      <c r="KR1215" s="23"/>
      <c r="KS1215" s="23"/>
      <c r="KT1215" s="23"/>
      <c r="KU1215" s="23"/>
      <c r="KV1215" s="23"/>
      <c r="KW1215" s="23"/>
      <c r="KX1215" s="23"/>
      <c r="KY1215" s="23"/>
      <c r="KZ1215" s="23"/>
      <c r="LA1215" s="23"/>
      <c r="LB1215" s="23"/>
      <c r="LC1215" s="23"/>
      <c r="LD1215" s="23"/>
      <c r="LE1215" s="23"/>
      <c r="LF1215" s="23"/>
      <c r="LG1215" s="23"/>
      <c r="LH1215" s="23"/>
      <c r="LI1215" s="23"/>
      <c r="LJ1215" s="23"/>
      <c r="LK1215" s="23"/>
      <c r="LL1215" s="23"/>
      <c r="LM1215" s="23"/>
      <c r="LN1215" s="23"/>
      <c r="LO1215" s="23"/>
      <c r="LP1215" s="23"/>
      <c r="LQ1215" s="23"/>
      <c r="LR1215" s="23"/>
      <c r="LS1215" s="23"/>
      <c r="LT1215" s="23"/>
      <c r="LU1215" s="23"/>
      <c r="LV1215" s="23"/>
      <c r="LW1215" s="23"/>
      <c r="LX1215" s="23"/>
      <c r="LY1215" s="23"/>
      <c r="LZ1215" s="23"/>
      <c r="MA1215" s="23"/>
      <c r="MB1215" s="23"/>
      <c r="MC1215" s="23"/>
      <c r="MD1215" s="23"/>
      <c r="ME1215" s="23"/>
      <c r="MF1215" s="23"/>
      <c r="MG1215" s="23"/>
      <c r="MH1215" s="23"/>
      <c r="MI1215" s="23"/>
      <c r="MJ1215" s="23"/>
      <c r="MK1215" s="23"/>
      <c r="ML1215" s="23"/>
      <c r="MM1215" s="23"/>
      <c r="MN1215" s="23"/>
      <c r="MO1215" s="23"/>
      <c r="MP1215" s="23"/>
      <c r="MQ1215" s="23"/>
      <c r="MR1215" s="23"/>
      <c r="MS1215" s="23"/>
      <c r="MT1215" s="23"/>
      <c r="MU1215" s="23"/>
      <c r="MV1215" s="23"/>
      <c r="MW1215" s="23"/>
      <c r="MX1215" s="23"/>
      <c r="MY1215" s="23"/>
      <c r="MZ1215" s="23"/>
      <c r="NA1215" s="23"/>
      <c r="NB1215" s="23"/>
      <c r="NC1215" s="23"/>
      <c r="ND1215" s="23"/>
      <c r="NE1215" s="23"/>
      <c r="NF1215" s="23"/>
      <c r="NG1215" s="23"/>
      <c r="NH1215" s="23"/>
      <c r="NI1215" s="23"/>
      <c r="NJ1215" s="23"/>
      <c r="NK1215" s="23"/>
      <c r="NL1215" s="23"/>
      <c r="NM1215" s="23"/>
      <c r="NN1215" s="23"/>
      <c r="NO1215" s="23"/>
      <c r="NP1215" s="23"/>
      <c r="NQ1215" s="23"/>
      <c r="NR1215" s="23"/>
      <c r="NS1215" s="23"/>
      <c r="NT1215" s="23"/>
      <c r="NU1215" s="23"/>
      <c r="NV1215" s="23"/>
      <c r="NW1215" s="23"/>
      <c r="NX1215" s="23"/>
      <c r="NY1215" s="23"/>
      <c r="NZ1215" s="23"/>
      <c r="OA1215" s="23"/>
      <c r="OB1215" s="23"/>
      <c r="OC1215" s="23"/>
      <c r="OD1215" s="23"/>
      <c r="OE1215" s="23"/>
      <c r="OF1215" s="23"/>
      <c r="OG1215" s="23"/>
      <c r="OH1215" s="23"/>
      <c r="OI1215" s="23"/>
      <c r="OJ1215" s="23"/>
      <c r="OK1215" s="23"/>
      <c r="OL1215" s="23"/>
      <c r="OM1215" s="23"/>
      <c r="ON1215" s="23"/>
      <c r="OO1215" s="23"/>
      <c r="OP1215" s="23"/>
      <c r="OQ1215" s="23"/>
      <c r="OR1215" s="23"/>
      <c r="OS1215" s="23"/>
      <c r="OT1215" s="23"/>
      <c r="OU1215" s="23"/>
      <c r="OV1215" s="23"/>
      <c r="OW1215" s="23"/>
      <c r="OX1215" s="23"/>
      <c r="OY1215" s="23"/>
      <c r="OZ1215" s="23"/>
      <c r="PA1215" s="23"/>
      <c r="PB1215" s="23"/>
      <c r="PC1215" s="23"/>
      <c r="PD1215" s="23"/>
      <c r="PE1215" s="23"/>
      <c r="PF1215" s="23"/>
      <c r="PG1215" s="23"/>
      <c r="PH1215" s="23"/>
      <c r="PI1215" s="23"/>
      <c r="PJ1215" s="23"/>
      <c r="PK1215" s="23"/>
      <c r="PL1215" s="23"/>
      <c r="PM1215" s="23"/>
      <c r="PN1215" s="23"/>
      <c r="PO1215" s="23"/>
      <c r="PP1215" s="23"/>
      <c r="PQ1215" s="23"/>
      <c r="PR1215" s="23"/>
      <c r="PS1215" s="23"/>
      <c r="PT1215" s="23"/>
      <c r="PU1215" s="23"/>
      <c r="PV1215" s="23"/>
      <c r="PW1215" s="23"/>
      <c r="PX1215" s="23"/>
      <c r="PY1215" s="23"/>
      <c r="PZ1215" s="23"/>
      <c r="QA1215" s="23"/>
      <c r="QB1215" s="23"/>
      <c r="QC1215" s="23"/>
      <c r="QD1215" s="23"/>
      <c r="QE1215" s="23"/>
      <c r="QF1215" s="23"/>
      <c r="QG1215" s="23"/>
      <c r="QH1215" s="23"/>
      <c r="QI1215" s="23"/>
      <c r="QJ1215" s="23"/>
      <c r="QK1215" s="23"/>
      <c r="QL1215" s="23"/>
      <c r="QM1215" s="23"/>
      <c r="QN1215" s="23"/>
      <c r="QO1215" s="23"/>
      <c r="QP1215" s="23"/>
      <c r="QQ1215" s="23"/>
      <c r="QR1215" s="23"/>
      <c r="QS1215" s="23"/>
      <c r="QT1215" s="23"/>
      <c r="QU1215" s="23"/>
      <c r="QV1215" s="23"/>
      <c r="QW1215" s="23"/>
      <c r="QX1215" s="23"/>
      <c r="QY1215" s="23"/>
      <c r="QZ1215" s="23"/>
      <c r="RA1215" s="23"/>
      <c r="RB1215" s="23"/>
      <c r="RC1215" s="23"/>
      <c r="RD1215" s="23"/>
      <c r="RE1215" s="23"/>
      <c r="RF1215" s="23"/>
      <c r="RG1215" s="23"/>
      <c r="RH1215" s="23"/>
      <c r="RI1215" s="23"/>
      <c r="RJ1215" s="23"/>
      <c r="RK1215" s="23"/>
      <c r="RL1215" s="23"/>
      <c r="RM1215" s="23"/>
      <c r="RN1215" s="23"/>
      <c r="RO1215" s="23"/>
      <c r="RP1215" s="23"/>
      <c r="RQ1215" s="23"/>
      <c r="RR1215" s="23"/>
      <c r="RS1215" s="23"/>
      <c r="RT1215" s="23"/>
      <c r="RU1215" s="23"/>
      <c r="RV1215" s="23"/>
      <c r="RW1215" s="23"/>
      <c r="RX1215" s="23"/>
      <c r="RY1215" s="23"/>
      <c r="RZ1215" s="23"/>
      <c r="SA1215" s="23"/>
      <c r="SB1215" s="23"/>
      <c r="SC1215" s="23"/>
      <c r="SD1215" s="23"/>
      <c r="SE1215" s="23"/>
      <c r="SF1215" s="23"/>
      <c r="SG1215" s="23"/>
      <c r="SH1215" s="23"/>
      <c r="SI1215" s="23"/>
      <c r="SJ1215" s="23"/>
      <c r="SK1215" s="23"/>
      <c r="SL1215" s="23"/>
      <c r="SM1215" s="23"/>
      <c r="SN1215" s="23"/>
      <c r="SO1215" s="23"/>
      <c r="SP1215" s="23"/>
      <c r="SQ1215" s="23"/>
      <c r="SR1215" s="23"/>
      <c r="SS1215" s="23"/>
      <c r="ST1215" s="23"/>
      <c r="SU1215" s="23"/>
      <c r="SV1215" s="23"/>
      <c r="SW1215" s="23"/>
      <c r="SX1215" s="23"/>
      <c r="SY1215" s="23"/>
      <c r="SZ1215" s="23"/>
      <c r="TA1215" s="23"/>
      <c r="TB1215" s="23"/>
      <c r="TC1215" s="23"/>
      <c r="TD1215" s="23"/>
      <c r="TE1215" s="23"/>
      <c r="TF1215" s="23"/>
      <c r="TG1215" s="23"/>
      <c r="TH1215" s="23"/>
      <c r="TI1215" s="23"/>
      <c r="TJ1215" s="23"/>
      <c r="TK1215" s="23"/>
      <c r="TL1215" s="23"/>
      <c r="TM1215" s="23"/>
      <c r="TN1215" s="23"/>
      <c r="TO1215" s="23"/>
      <c r="TP1215" s="23"/>
      <c r="TQ1215" s="23"/>
      <c r="TR1215" s="23"/>
      <c r="TS1215" s="23"/>
      <c r="TT1215" s="23"/>
      <c r="TU1215" s="23"/>
      <c r="TV1215" s="23"/>
      <c r="TW1215" s="23"/>
      <c r="TX1215" s="23"/>
      <c r="TY1215" s="23"/>
      <c r="TZ1215" s="23"/>
      <c r="UA1215" s="23"/>
      <c r="UB1215" s="23"/>
      <c r="UC1215" s="23"/>
      <c r="UD1215" s="23"/>
      <c r="UE1215" s="23"/>
      <c r="UF1215" s="23"/>
      <c r="UG1215" s="23"/>
      <c r="UH1215" s="23"/>
      <c r="UI1215" s="23"/>
      <c r="UJ1215" s="23"/>
      <c r="UK1215" s="23"/>
      <c r="UL1215" s="23"/>
      <c r="UM1215" s="23"/>
      <c r="UN1215" s="23"/>
      <c r="UO1215" s="23"/>
      <c r="UP1215" s="23"/>
      <c r="UQ1215" s="23"/>
      <c r="UR1215" s="23"/>
      <c r="US1215" s="23"/>
      <c r="UT1215" s="23"/>
      <c r="UU1215" s="23"/>
      <c r="UV1215" s="23"/>
      <c r="UW1215" s="23"/>
      <c r="UX1215" s="23"/>
      <c r="UY1215" s="23"/>
      <c r="UZ1215" s="23"/>
      <c r="VA1215" s="23"/>
      <c r="VB1215" s="23"/>
      <c r="VC1215" s="23"/>
      <c r="VD1215" s="23"/>
      <c r="VE1215" s="23"/>
      <c r="VF1215" s="23"/>
      <c r="VG1215" s="23"/>
      <c r="VH1215" s="23"/>
      <c r="VI1215" s="23"/>
      <c r="VJ1215" s="23"/>
      <c r="VK1215" s="23"/>
      <c r="VL1215" s="23"/>
      <c r="VM1215" s="23"/>
      <c r="VN1215" s="23"/>
      <c r="VO1215" s="23"/>
      <c r="VP1215" s="23"/>
      <c r="VQ1215" s="23"/>
      <c r="VR1215" s="23"/>
      <c r="VS1215" s="23"/>
      <c r="VT1215" s="23"/>
      <c r="VU1215" s="23"/>
      <c r="VV1215" s="23"/>
      <c r="VW1215" s="23"/>
      <c r="VX1215" s="23"/>
      <c r="VY1215" s="23"/>
      <c r="VZ1215" s="23"/>
      <c r="WA1215" s="23"/>
      <c r="WB1215" s="23"/>
      <c r="WC1215" s="23"/>
      <c r="WD1215" s="23"/>
      <c r="WE1215" s="23"/>
      <c r="WF1215" s="23"/>
      <c r="WG1215" s="23"/>
      <c r="WH1215" s="23"/>
      <c r="WI1215" s="23"/>
      <c r="WJ1215" s="23"/>
      <c r="WK1215" s="23"/>
      <c r="WL1215" s="23"/>
      <c r="WM1215" s="23"/>
      <c r="WN1215" s="23"/>
      <c r="WO1215" s="23"/>
      <c r="WP1215" s="23"/>
      <c r="WQ1215" s="23"/>
      <c r="WR1215" s="23"/>
      <c r="WS1215" s="23"/>
      <c r="WT1215" s="23"/>
      <c r="WU1215" s="23"/>
      <c r="WV1215" s="23"/>
      <c r="WW1215" s="23"/>
      <c r="WX1215" s="23"/>
      <c r="WY1215" s="23"/>
      <c r="WZ1215" s="23"/>
      <c r="XA1215" s="23"/>
      <c r="XB1215" s="23"/>
      <c r="XC1215" s="23"/>
      <c r="XD1215" s="23"/>
      <c r="XE1215" s="23"/>
      <c r="XF1215" s="23"/>
      <c r="XG1215" s="23"/>
      <c r="XH1215" s="23"/>
      <c r="XI1215" s="23"/>
      <c r="XJ1215" s="23"/>
      <c r="XK1215" s="23"/>
      <c r="XL1215" s="23"/>
      <c r="XM1215" s="23"/>
      <c r="XN1215" s="23"/>
      <c r="XO1215" s="23"/>
      <c r="XP1215" s="23"/>
      <c r="XQ1215" s="23"/>
      <c r="XR1215" s="23"/>
      <c r="XS1215" s="23"/>
      <c r="XT1215" s="23"/>
      <c r="XU1215" s="23"/>
      <c r="XV1215" s="23"/>
      <c r="XW1215" s="23"/>
      <c r="XX1215" s="23"/>
      <c r="XY1215" s="23"/>
      <c r="XZ1215" s="23"/>
      <c r="YA1215" s="23"/>
      <c r="YB1215" s="23"/>
      <c r="YC1215" s="23"/>
      <c r="YD1215" s="23"/>
      <c r="YE1215" s="23"/>
      <c r="YF1215" s="23"/>
      <c r="YG1215" s="23"/>
      <c r="YH1215" s="23"/>
      <c r="YI1215" s="23"/>
      <c r="YJ1215" s="23"/>
      <c r="YK1215" s="23"/>
      <c r="YL1215" s="23"/>
      <c r="YM1215" s="23"/>
      <c r="YN1215" s="23"/>
      <c r="YO1215" s="23"/>
      <c r="YP1215" s="23"/>
      <c r="YQ1215" s="23"/>
      <c r="YR1215" s="23"/>
      <c r="YS1215" s="23"/>
      <c r="YT1215" s="23"/>
      <c r="YU1215" s="23"/>
      <c r="YV1215" s="23"/>
      <c r="YW1215" s="23"/>
      <c r="YX1215" s="23"/>
      <c r="YY1215" s="23"/>
      <c r="YZ1215" s="23"/>
      <c r="ZA1215" s="23"/>
      <c r="ZB1215" s="23"/>
      <c r="ZC1215" s="23"/>
      <c r="ZD1215" s="23"/>
      <c r="ZE1215" s="23"/>
      <c r="ZF1215" s="23"/>
      <c r="ZG1215" s="23"/>
      <c r="ZH1215" s="23"/>
      <c r="ZI1215" s="23"/>
      <c r="ZJ1215" s="23"/>
      <c r="ZK1215" s="23"/>
      <c r="ZL1215" s="23"/>
      <c r="ZM1215" s="23"/>
      <c r="ZN1215" s="23"/>
      <c r="ZO1215" s="23"/>
      <c r="ZP1215" s="23"/>
      <c r="ZQ1215" s="23"/>
      <c r="ZR1215" s="23"/>
      <c r="ZS1215" s="23"/>
      <c r="ZT1215" s="23"/>
      <c r="ZU1215" s="23"/>
      <c r="ZV1215" s="23"/>
      <c r="ZW1215" s="23"/>
      <c r="ZX1215" s="23"/>
      <c r="ZY1215" s="23"/>
      <c r="ZZ1215" s="23"/>
      <c r="AAA1215" s="23"/>
      <c r="AAB1215" s="23"/>
      <c r="AAC1215" s="23"/>
      <c r="AAD1215" s="23"/>
      <c r="AAE1215" s="23"/>
      <c r="AAF1215" s="23"/>
      <c r="AAG1215" s="23"/>
      <c r="AAH1215" s="23"/>
      <c r="AAI1215" s="23"/>
      <c r="AAJ1215" s="23"/>
      <c r="AAK1215" s="23"/>
      <c r="AAL1215" s="23"/>
      <c r="AAM1215" s="23"/>
      <c r="AAN1215" s="23"/>
      <c r="AAO1215" s="23"/>
      <c r="AAP1215" s="23"/>
      <c r="AAQ1215" s="23"/>
      <c r="AAR1215" s="23"/>
      <c r="AAS1215" s="23"/>
      <c r="AAT1215" s="23"/>
      <c r="AAU1215" s="23"/>
      <c r="AAV1215" s="23"/>
      <c r="AAW1215" s="23"/>
      <c r="AAX1215" s="23"/>
      <c r="AAY1215" s="23"/>
      <c r="AAZ1215" s="23"/>
      <c r="ABA1215" s="23"/>
      <c r="ABB1215" s="23"/>
      <c r="ABC1215" s="23"/>
      <c r="ABD1215" s="23"/>
      <c r="ABE1215" s="23"/>
      <c r="ABF1215" s="23"/>
      <c r="ABG1215" s="23"/>
      <c r="ABH1215" s="23"/>
      <c r="ABI1215" s="23"/>
      <c r="ABJ1215" s="23"/>
      <c r="ABK1215" s="23"/>
      <c r="ABL1215" s="23"/>
      <c r="ABM1215" s="23"/>
      <c r="ABN1215" s="23"/>
      <c r="ABO1215" s="23"/>
      <c r="ABP1215" s="23"/>
      <c r="ABQ1215" s="23"/>
      <c r="ABR1215" s="23"/>
      <c r="ABS1215" s="23"/>
      <c r="ABT1215" s="23"/>
      <c r="ABU1215" s="23"/>
      <c r="ABV1215" s="23"/>
      <c r="ABW1215" s="23"/>
      <c r="ABX1215" s="23"/>
      <c r="ABY1215" s="23"/>
      <c r="ABZ1215" s="23"/>
      <c r="ACA1215" s="23"/>
      <c r="ACB1215" s="23"/>
      <c r="ACC1215" s="23"/>
      <c r="ACD1215" s="23"/>
      <c r="ACE1215" s="23"/>
      <c r="ACF1215" s="23"/>
      <c r="ACG1215" s="23"/>
      <c r="ACH1215" s="23"/>
      <c r="ACI1215" s="23"/>
      <c r="ACJ1215" s="23"/>
      <c r="ACK1215" s="23"/>
      <c r="ACL1215" s="23"/>
      <c r="ACM1215" s="23"/>
      <c r="ACN1215" s="23"/>
      <c r="ACO1215" s="23"/>
      <c r="ACP1215" s="23"/>
      <c r="ACQ1215" s="23"/>
      <c r="ACR1215" s="23"/>
      <c r="ACS1215" s="23"/>
      <c r="ACT1215" s="23"/>
      <c r="ACU1215" s="23"/>
      <c r="ACV1215" s="23"/>
      <c r="ACW1215" s="23"/>
      <c r="ACX1215" s="23"/>
      <c r="ACY1215" s="23"/>
      <c r="ACZ1215" s="23"/>
      <c r="ADA1215" s="23"/>
      <c r="ADB1215" s="23"/>
      <c r="ADC1215" s="23"/>
      <c r="ADD1215" s="23"/>
      <c r="ADE1215" s="23"/>
      <c r="ADF1215" s="23"/>
      <c r="ADG1215" s="23"/>
      <c r="ADH1215" s="23"/>
      <c r="ADI1215" s="23"/>
      <c r="ADJ1215" s="23"/>
      <c r="ADK1215" s="23"/>
      <c r="ADL1215" s="23"/>
      <c r="ADM1215" s="23"/>
      <c r="ADN1215" s="23"/>
      <c r="ADO1215" s="23"/>
      <c r="ADP1215" s="23"/>
      <c r="ADQ1215" s="23"/>
      <c r="ADR1215" s="23"/>
      <c r="ADS1215" s="23"/>
      <c r="ADT1215" s="23"/>
      <c r="ADU1215" s="23"/>
      <c r="ADV1215" s="23"/>
      <c r="ADW1215" s="23"/>
      <c r="ADX1215" s="23"/>
      <c r="ADY1215" s="23"/>
      <c r="ADZ1215" s="23"/>
      <c r="AEA1215" s="23"/>
      <c r="AEB1215" s="23"/>
      <c r="AEC1215" s="23"/>
      <c r="AED1215" s="23"/>
      <c r="AEE1215" s="23"/>
      <c r="AEF1215" s="23"/>
      <c r="AEG1215" s="23"/>
      <c r="AEH1215" s="23"/>
      <c r="AEI1215" s="23"/>
      <c r="AEJ1215" s="23"/>
      <c r="AEK1215" s="23"/>
      <c r="AEL1215" s="23"/>
      <c r="AEM1215" s="23"/>
      <c r="AEN1215" s="23"/>
      <c r="AEO1215" s="23"/>
      <c r="AEP1215" s="23"/>
      <c r="AEQ1215" s="23"/>
      <c r="AER1215" s="23"/>
      <c r="AES1215" s="23"/>
      <c r="AET1215" s="23"/>
      <c r="AEU1215" s="23"/>
      <c r="AEV1215" s="23"/>
      <c r="AEW1215" s="23"/>
      <c r="AEX1215" s="23"/>
      <c r="AEY1215" s="23"/>
      <c r="AEZ1215" s="23"/>
      <c r="AFA1215" s="23"/>
      <c r="AFB1215" s="23"/>
      <c r="AFC1215" s="23"/>
      <c r="AFD1215" s="23"/>
      <c r="AFE1215" s="23"/>
      <c r="AFF1215" s="23"/>
      <c r="AFG1215" s="23"/>
      <c r="AFH1215" s="23"/>
      <c r="AFI1215" s="23"/>
      <c r="AFJ1215" s="23"/>
      <c r="AFK1215" s="23"/>
      <c r="AFL1215" s="23"/>
      <c r="AFM1215" s="23"/>
      <c r="AFN1215" s="23"/>
      <c r="AFO1215" s="23"/>
      <c r="AFP1215" s="23"/>
      <c r="AFQ1215" s="23"/>
      <c r="AFR1215" s="23"/>
      <c r="AFS1215" s="23"/>
      <c r="AFT1215" s="23"/>
      <c r="AFU1215" s="23"/>
      <c r="AFV1215" s="23"/>
      <c r="AFW1215" s="23"/>
      <c r="AFX1215" s="23"/>
      <c r="AFY1215" s="23"/>
      <c r="AFZ1215" s="23"/>
      <c r="AGA1215" s="23"/>
      <c r="AGB1215" s="23"/>
      <c r="AGC1215" s="23"/>
      <c r="AGD1215" s="23"/>
      <c r="AGE1215" s="23"/>
      <c r="AGF1215" s="23"/>
      <c r="AGG1215" s="23"/>
      <c r="AGH1215" s="23"/>
      <c r="AGI1215" s="23"/>
      <c r="AGJ1215" s="23"/>
      <c r="AGK1215" s="23"/>
      <c r="AGL1215" s="23"/>
      <c r="AGM1215" s="23"/>
      <c r="AGN1215" s="23"/>
      <c r="AGO1215" s="23"/>
      <c r="AGP1215" s="23"/>
      <c r="AGQ1215" s="23"/>
      <c r="AGR1215" s="23"/>
      <c r="AGS1215" s="23"/>
      <c r="AGT1215" s="23"/>
      <c r="AGU1215" s="23"/>
      <c r="AGV1215" s="23"/>
      <c r="AGW1215" s="23"/>
      <c r="AGX1215" s="23"/>
      <c r="AGY1215" s="23"/>
      <c r="AGZ1215" s="23"/>
      <c r="AHA1215" s="23"/>
      <c r="AHB1215" s="23"/>
      <c r="AHC1215" s="23"/>
      <c r="AHD1215" s="23"/>
      <c r="AHE1215" s="23"/>
      <c r="AHF1215" s="23"/>
      <c r="AHG1215" s="23"/>
      <c r="AHH1215" s="23"/>
      <c r="AHI1215" s="23"/>
      <c r="AHJ1215" s="23"/>
      <c r="AHK1215" s="23"/>
      <c r="AHL1215" s="23"/>
      <c r="AHM1215" s="23"/>
      <c r="AHN1215" s="23"/>
      <c r="AHO1215" s="23"/>
      <c r="AHP1215" s="23"/>
      <c r="AHQ1215" s="23"/>
      <c r="AHR1215" s="23"/>
      <c r="AHS1215" s="23"/>
      <c r="AHT1215" s="23"/>
      <c r="AHU1215" s="23"/>
      <c r="AHV1215" s="23"/>
      <c r="AHW1215" s="23"/>
      <c r="AHX1215" s="23"/>
      <c r="AHY1215" s="23"/>
      <c r="AHZ1215" s="23"/>
      <c r="AIA1215" s="23"/>
      <c r="AIB1215" s="23"/>
      <c r="AIC1215" s="23"/>
      <c r="AID1215" s="23"/>
      <c r="AIE1215" s="23"/>
      <c r="AIF1215" s="23"/>
      <c r="AIG1215" s="23"/>
      <c r="AIH1215" s="23"/>
      <c r="AII1215" s="23"/>
      <c r="AIJ1215" s="23"/>
      <c r="AIK1215" s="23"/>
      <c r="AIL1215" s="23"/>
      <c r="AIM1215" s="23"/>
      <c r="AIN1215" s="23"/>
      <c r="AIO1215" s="23"/>
      <c r="AIP1215" s="23"/>
      <c r="AIQ1215" s="23"/>
      <c r="AIR1215" s="23"/>
      <c r="AIS1215" s="23"/>
      <c r="AIT1215" s="23"/>
      <c r="AIU1215" s="23"/>
      <c r="AIV1215" s="23"/>
      <c r="AIW1215" s="23"/>
      <c r="AIX1215" s="23"/>
      <c r="AIY1215" s="23"/>
      <c r="AIZ1215" s="23"/>
      <c r="AJA1215" s="23"/>
      <c r="AJB1215" s="23"/>
      <c r="AJC1215" s="23"/>
      <c r="AJD1215" s="23"/>
      <c r="AJE1215" s="23"/>
      <c r="AJF1215" s="23"/>
      <c r="AJG1215" s="23"/>
      <c r="AJH1215" s="23"/>
      <c r="AJI1215" s="23"/>
      <c r="AJJ1215" s="23"/>
      <c r="AJK1215" s="23"/>
      <c r="AJL1215" s="23"/>
      <c r="AJM1215" s="23"/>
      <c r="AJN1215" s="23"/>
      <c r="AJO1215" s="23"/>
      <c r="AJP1215" s="23"/>
      <c r="AJQ1215" s="23"/>
      <c r="AJR1215" s="23"/>
      <c r="AJS1215" s="23"/>
      <c r="AJT1215" s="23"/>
      <c r="AJU1215" s="23"/>
      <c r="AJV1215" s="23"/>
      <c r="AJW1215" s="23"/>
      <c r="AJX1215" s="23"/>
      <c r="AJY1215" s="23"/>
      <c r="AJZ1215" s="23"/>
      <c r="AKA1215" s="23"/>
      <c r="AKB1215" s="23"/>
      <c r="AKC1215" s="23"/>
      <c r="AKD1215" s="23"/>
      <c r="AKE1215" s="23"/>
      <c r="AKF1215" s="23"/>
      <c r="AKG1215" s="23"/>
      <c r="AKH1215" s="23"/>
      <c r="AKI1215" s="23"/>
      <c r="AKJ1215" s="23"/>
      <c r="AKK1215" s="23"/>
      <c r="AKL1215" s="23"/>
      <c r="AKM1215" s="23"/>
      <c r="AKN1215" s="23"/>
      <c r="AKO1215" s="23"/>
      <c r="AKP1215" s="23"/>
      <c r="AKQ1215" s="23"/>
      <c r="AKR1215" s="23"/>
      <c r="AKS1215" s="23"/>
      <c r="AKT1215" s="23"/>
      <c r="AKU1215" s="23"/>
      <c r="AKV1215" s="23"/>
      <c r="AKW1215" s="23"/>
      <c r="AKX1215" s="23"/>
      <c r="AKY1215" s="23"/>
      <c r="AKZ1215" s="23"/>
      <c r="ALA1215" s="23"/>
      <c r="ALB1215" s="23"/>
      <c r="ALC1215" s="23"/>
      <c r="ALD1215" s="23"/>
      <c r="ALE1215" s="23"/>
      <c r="ALF1215" s="23"/>
      <c r="ALG1215" s="23"/>
      <c r="ALH1215" s="23"/>
      <c r="ALI1215" s="23"/>
      <c r="ALJ1215" s="23"/>
      <c r="ALK1215" s="23"/>
      <c r="ALL1215" s="23"/>
      <c r="ALM1215" s="23"/>
      <c r="ALN1215" s="23"/>
      <c r="ALO1215" s="23"/>
      <c r="ALP1215" s="23"/>
      <c r="ALQ1215" s="23"/>
      <c r="ALR1215" s="23"/>
      <c r="ALS1215" s="23"/>
      <c r="ALT1215" s="23"/>
      <c r="ALU1215" s="23"/>
      <c r="ALV1215" s="23"/>
      <c r="ALW1215" s="23"/>
      <c r="ALX1215" s="23"/>
      <c r="ALY1215" s="23"/>
      <c r="ALZ1215" s="23"/>
      <c r="AMA1215" s="23"/>
      <c r="AMB1215" s="23"/>
      <c r="AMC1215" s="23"/>
      <c r="AMD1215" s="23"/>
      <c r="AME1215" s="23"/>
      <c r="AMF1215" s="23"/>
      <c r="AMG1215" s="23"/>
      <c r="AMH1215" s="23"/>
      <c r="AMI1215" s="23"/>
      <c r="AMJ1215" s="23"/>
      <c r="AMK1215" s="23"/>
      <c r="AML1215" s="23"/>
      <c r="AMM1215" s="23"/>
      <c r="AMN1215" s="23"/>
      <c r="AMO1215" s="23"/>
      <c r="AMP1215" s="23"/>
      <c r="AMQ1215" s="23"/>
      <c r="AMR1215" s="23"/>
      <c r="AMS1215" s="23"/>
      <c r="AMT1215" s="23"/>
      <c r="AMU1215" s="23"/>
      <c r="AMV1215" s="23"/>
      <c r="AMW1215" s="23"/>
      <c r="AMX1215" s="23"/>
      <c r="AMY1215" s="23"/>
      <c r="AMZ1215" s="23"/>
      <c r="ANA1215" s="23"/>
      <c r="ANB1215" s="23"/>
      <c r="ANC1215" s="23"/>
      <c r="AND1215" s="23"/>
      <c r="ANE1215" s="23"/>
      <c r="ANF1215" s="23"/>
      <c r="ANG1215" s="23"/>
      <c r="ANH1215" s="23"/>
      <c r="ANI1215" s="23"/>
      <c r="ANJ1215" s="23"/>
      <c r="ANK1215" s="23"/>
      <c r="ANL1215" s="23"/>
      <c r="ANM1215" s="23"/>
      <c r="ANN1215" s="23"/>
      <c r="ANO1215" s="23"/>
      <c r="ANP1215" s="23"/>
      <c r="ANQ1215" s="23"/>
      <c r="ANR1215" s="23"/>
      <c r="ANS1215" s="23"/>
      <c r="ANT1215" s="23"/>
      <c r="ANU1215" s="23"/>
      <c r="ANV1215" s="23"/>
      <c r="ANW1215" s="23"/>
      <c r="ANX1215" s="23"/>
      <c r="ANY1215" s="23"/>
      <c r="ANZ1215" s="23"/>
      <c r="AOA1215" s="23"/>
      <c r="AOB1215" s="23"/>
      <c r="AOC1215" s="23"/>
      <c r="AOD1215" s="23"/>
      <c r="AOE1215" s="23"/>
      <c r="AOF1215" s="23"/>
      <c r="AOG1215" s="23"/>
      <c r="AOH1215" s="23"/>
      <c r="AOI1215" s="23"/>
      <c r="AOJ1215" s="23"/>
      <c r="AOK1215" s="23"/>
      <c r="AOL1215" s="23"/>
      <c r="AOM1215" s="23"/>
      <c r="AON1215" s="23"/>
      <c r="AOO1215" s="23"/>
      <c r="AOP1215" s="23"/>
      <c r="AOQ1215" s="23"/>
      <c r="AOR1215" s="23"/>
      <c r="AOS1215" s="23"/>
      <c r="AOT1215" s="23"/>
      <c r="AOU1215" s="23"/>
      <c r="AOV1215" s="23"/>
      <c r="AOW1215" s="23"/>
      <c r="AOX1215" s="23"/>
      <c r="AOY1215" s="23"/>
      <c r="AOZ1215" s="23"/>
      <c r="APA1215" s="23"/>
      <c r="APB1215" s="23"/>
      <c r="APC1215" s="23"/>
      <c r="APD1215" s="23"/>
      <c r="APE1215" s="23"/>
      <c r="APF1215" s="23"/>
      <c r="APG1215" s="23"/>
      <c r="APH1215" s="23"/>
      <c r="API1215" s="23"/>
      <c r="APJ1215" s="23"/>
      <c r="APK1215" s="23"/>
      <c r="APL1215" s="23"/>
      <c r="APM1215" s="23"/>
      <c r="APN1215" s="23"/>
      <c r="APO1215" s="23"/>
      <c r="APP1215" s="23"/>
      <c r="APQ1215" s="23"/>
      <c r="APR1215" s="23"/>
      <c r="APS1215" s="23"/>
      <c r="APT1215" s="23"/>
      <c r="APU1215" s="23"/>
      <c r="APV1215" s="23"/>
      <c r="APW1215" s="23"/>
      <c r="APX1215" s="23"/>
      <c r="APY1215" s="23"/>
      <c r="APZ1215" s="23"/>
      <c r="AQA1215" s="23"/>
      <c r="AQB1215" s="23"/>
      <c r="AQC1215" s="23"/>
      <c r="AQD1215" s="23"/>
      <c r="AQE1215" s="23"/>
      <c r="AQF1215" s="23"/>
      <c r="AQG1215" s="23"/>
      <c r="AQH1215" s="23"/>
      <c r="AQI1215" s="23"/>
      <c r="AQJ1215" s="23"/>
      <c r="AQK1215" s="23"/>
      <c r="AQL1215" s="23"/>
      <c r="AQM1215" s="23"/>
      <c r="AQN1215" s="23"/>
      <c r="AQO1215" s="23"/>
      <c r="AQP1215" s="23"/>
      <c r="AQQ1215" s="23"/>
      <c r="AQR1215" s="23"/>
      <c r="AQS1215" s="23"/>
      <c r="AQT1215" s="23"/>
      <c r="AQU1215" s="23"/>
      <c r="AQV1215" s="23"/>
      <c r="AQW1215" s="23"/>
      <c r="AQX1215" s="23"/>
      <c r="AQY1215" s="23"/>
      <c r="AQZ1215" s="23"/>
      <c r="ARA1215" s="23"/>
      <c r="ARB1215" s="23"/>
      <c r="ARC1215" s="23"/>
      <c r="ARD1215" s="23"/>
      <c r="ARE1215" s="23"/>
      <c r="ARF1215" s="23"/>
      <c r="ARG1215" s="23"/>
      <c r="ARH1215" s="23"/>
      <c r="ARI1215" s="23"/>
      <c r="ARJ1215" s="23"/>
      <c r="ARK1215" s="23"/>
      <c r="ARL1215" s="23"/>
      <c r="ARM1215" s="23"/>
      <c r="ARN1215" s="23"/>
      <c r="ARO1215" s="23"/>
      <c r="ARP1215" s="23"/>
      <c r="ARQ1215" s="23"/>
      <c r="ARR1215" s="23"/>
      <c r="ARS1215" s="23"/>
      <c r="ART1215" s="23"/>
      <c r="ARU1215" s="23"/>
      <c r="ARV1215" s="23"/>
      <c r="ARW1215" s="23"/>
      <c r="ARX1215" s="23"/>
      <c r="ARY1215" s="23"/>
      <c r="ARZ1215" s="23"/>
      <c r="ASA1215" s="23"/>
      <c r="ASB1215" s="23"/>
      <c r="ASC1215" s="23"/>
      <c r="ASD1215" s="23"/>
      <c r="ASE1215" s="23"/>
      <c r="ASF1215" s="23"/>
      <c r="ASG1215" s="23"/>
      <c r="ASH1215" s="23"/>
      <c r="ASI1215" s="23"/>
      <c r="ASJ1215" s="23"/>
      <c r="ASK1215" s="23"/>
      <c r="ASL1215" s="23"/>
      <c r="ASM1215" s="23"/>
      <c r="ASN1215" s="23"/>
      <c r="ASO1215" s="23"/>
      <c r="ASP1215" s="23"/>
      <c r="ASQ1215" s="23"/>
      <c r="ASR1215" s="23"/>
      <c r="ASS1215" s="23"/>
      <c r="AST1215" s="23"/>
      <c r="ASU1215" s="23"/>
      <c r="ASV1215" s="23"/>
      <c r="ASW1215" s="23"/>
      <c r="ASX1215" s="23"/>
      <c r="ASY1215" s="23"/>
      <c r="ASZ1215" s="23"/>
      <c r="ATA1215" s="23"/>
      <c r="ATB1215" s="23"/>
      <c r="ATC1215" s="23"/>
      <c r="ATD1215" s="23"/>
      <c r="ATE1215" s="23"/>
      <c r="ATF1215" s="23"/>
      <c r="ATG1215" s="23"/>
      <c r="ATH1215" s="23"/>
      <c r="ATI1215" s="23"/>
      <c r="ATJ1215" s="23"/>
      <c r="ATK1215" s="23"/>
      <c r="ATL1215" s="23"/>
      <c r="ATM1215" s="23"/>
      <c r="ATN1215" s="23"/>
      <c r="ATO1215" s="23"/>
      <c r="ATP1215" s="23"/>
      <c r="ATQ1215" s="23"/>
      <c r="ATR1215" s="23"/>
      <c r="ATS1215" s="23"/>
      <c r="ATT1215" s="23"/>
      <c r="ATU1215" s="23"/>
      <c r="ATV1215" s="23"/>
      <c r="ATW1215" s="23"/>
      <c r="ATX1215" s="23"/>
      <c r="ATY1215" s="23"/>
      <c r="ATZ1215" s="23"/>
      <c r="AUA1215" s="23"/>
      <c r="AUB1215" s="23"/>
      <c r="AUC1215" s="23"/>
      <c r="AUD1215" s="23"/>
      <c r="AUE1215" s="23"/>
      <c r="AUF1215" s="23"/>
      <c r="AUG1215" s="23"/>
      <c r="AUH1215" s="23"/>
      <c r="AUI1215" s="23"/>
      <c r="AUJ1215" s="23"/>
      <c r="AUK1215" s="23"/>
      <c r="AUL1215" s="23"/>
      <c r="AUM1215" s="23"/>
      <c r="AUN1215" s="23"/>
      <c r="AUO1215" s="23"/>
      <c r="AUP1215" s="23"/>
      <c r="AUQ1215" s="23"/>
      <c r="AUR1215" s="23"/>
      <c r="AUS1215" s="23"/>
      <c r="AUT1215" s="23"/>
      <c r="AUU1215" s="23"/>
      <c r="AUV1215" s="23"/>
      <c r="AUW1215" s="23"/>
      <c r="AUX1215" s="23"/>
      <c r="AUY1215" s="23"/>
      <c r="AUZ1215" s="23"/>
      <c r="AVA1215" s="23"/>
      <c r="AVB1215" s="23"/>
      <c r="AVC1215" s="23"/>
      <c r="AVD1215" s="23"/>
      <c r="AVE1215" s="23"/>
      <c r="AVF1215" s="23"/>
      <c r="AVG1215" s="23"/>
      <c r="AVH1215" s="23"/>
      <c r="AVI1215" s="23"/>
      <c r="AVJ1215" s="23"/>
      <c r="AVK1215" s="23"/>
      <c r="AVL1215" s="23"/>
      <c r="AVM1215" s="23"/>
      <c r="AVN1215" s="23"/>
      <c r="AVO1215" s="23"/>
      <c r="AVP1215" s="23"/>
      <c r="AVQ1215" s="23"/>
      <c r="AVR1215" s="23"/>
      <c r="AVS1215" s="23"/>
      <c r="AVT1215" s="23"/>
      <c r="AVU1215" s="23"/>
      <c r="AVV1215" s="23"/>
      <c r="AVW1215" s="23"/>
      <c r="AVX1215" s="23"/>
      <c r="AVY1215" s="23"/>
      <c r="AVZ1215" s="23"/>
      <c r="AWA1215" s="23"/>
      <c r="AWB1215" s="23"/>
      <c r="AWC1215" s="23"/>
      <c r="AWD1215" s="23"/>
      <c r="AWE1215" s="23"/>
      <c r="AWF1215" s="23"/>
      <c r="AWG1215" s="23"/>
      <c r="AWH1215" s="23"/>
      <c r="AWI1215" s="23"/>
      <c r="AWJ1215" s="23"/>
      <c r="AWK1215" s="23"/>
      <c r="AWL1215" s="23"/>
      <c r="AWM1215" s="23"/>
      <c r="AWN1215" s="23"/>
      <c r="AWO1215" s="23"/>
      <c r="AWP1215" s="23"/>
      <c r="AWQ1215" s="23"/>
      <c r="AWR1215" s="23"/>
      <c r="AWS1215" s="23"/>
      <c r="AWT1215" s="23"/>
      <c r="AWU1215" s="23"/>
      <c r="AWV1215" s="23"/>
      <c r="AWW1215" s="23"/>
      <c r="AWX1215" s="23"/>
      <c r="AWY1215" s="23"/>
      <c r="AWZ1215" s="23"/>
      <c r="AXA1215" s="23"/>
      <c r="AXB1215" s="23"/>
      <c r="AXC1215" s="23"/>
      <c r="AXD1215" s="23"/>
      <c r="AXE1215" s="23"/>
      <c r="AXF1215" s="23"/>
      <c r="AXG1215" s="23"/>
      <c r="AXH1215" s="23"/>
      <c r="AXI1215" s="23"/>
      <c r="AXJ1215" s="23"/>
      <c r="AXK1215" s="23"/>
      <c r="AXL1215" s="23"/>
      <c r="AXM1215" s="23"/>
      <c r="AXN1215" s="23"/>
      <c r="AXO1215" s="23"/>
      <c r="AXP1215" s="23"/>
      <c r="AXQ1215" s="23"/>
      <c r="AXR1215" s="23"/>
      <c r="AXS1215" s="23"/>
      <c r="AXT1215" s="23"/>
      <c r="AXU1215" s="23"/>
      <c r="AXV1215" s="23"/>
      <c r="AXW1215" s="23"/>
      <c r="AXX1215" s="23"/>
      <c r="AXY1215" s="23"/>
      <c r="AXZ1215" s="23"/>
      <c r="AYA1215" s="23"/>
      <c r="AYB1215" s="23"/>
      <c r="AYC1215" s="23"/>
      <c r="AYD1215" s="23"/>
      <c r="AYE1215" s="23"/>
      <c r="AYF1215" s="23"/>
      <c r="AYG1215" s="23"/>
      <c r="AYH1215" s="23"/>
      <c r="AYI1215" s="23"/>
      <c r="AYJ1215" s="23"/>
      <c r="AYK1215" s="23"/>
      <c r="AYL1215" s="23"/>
      <c r="AYM1215" s="23"/>
      <c r="AYN1215" s="23"/>
      <c r="AYO1215" s="23"/>
      <c r="AYP1215" s="23"/>
      <c r="AYQ1215" s="23"/>
      <c r="AYR1215" s="23"/>
      <c r="AYS1215" s="23"/>
      <c r="AYT1215" s="23"/>
      <c r="AYU1215" s="23"/>
      <c r="AYV1215" s="23"/>
      <c r="AYW1215" s="23"/>
      <c r="AYX1215" s="23"/>
      <c r="AYY1215" s="23"/>
      <c r="AYZ1215" s="23"/>
      <c r="AZA1215" s="23"/>
      <c r="AZB1215" s="23"/>
      <c r="AZC1215" s="23"/>
      <c r="AZD1215" s="23"/>
      <c r="AZE1215" s="23"/>
      <c r="AZF1215" s="23"/>
      <c r="AZG1215" s="23"/>
      <c r="AZH1215" s="23"/>
      <c r="AZI1215" s="23"/>
      <c r="AZJ1215" s="23"/>
      <c r="AZK1215" s="23"/>
      <c r="AZL1215" s="23"/>
      <c r="AZM1215" s="23"/>
      <c r="AZN1215" s="23"/>
      <c r="AZO1215" s="23"/>
      <c r="AZP1215" s="23"/>
      <c r="AZQ1215" s="23"/>
      <c r="AZR1215" s="23"/>
      <c r="AZS1215" s="23"/>
      <c r="AZT1215" s="23"/>
      <c r="AZU1215" s="23"/>
      <c r="AZV1215" s="23"/>
      <c r="AZW1215" s="23"/>
      <c r="AZX1215" s="23"/>
      <c r="AZY1215" s="23"/>
      <c r="AZZ1215" s="23"/>
      <c r="BAA1215" s="23"/>
      <c r="BAB1215" s="23"/>
      <c r="BAC1215" s="23"/>
      <c r="BAD1215" s="23"/>
      <c r="BAE1215" s="23"/>
      <c r="BAF1215" s="23"/>
      <c r="BAG1215" s="23"/>
      <c r="BAH1215" s="23"/>
      <c r="BAI1215" s="23"/>
      <c r="BAJ1215" s="23"/>
      <c r="BAK1215" s="23"/>
      <c r="BAL1215" s="23"/>
      <c r="BAM1215" s="23"/>
      <c r="BAN1215" s="23"/>
      <c r="BAO1215" s="23"/>
      <c r="BAP1215" s="23"/>
      <c r="BAQ1215" s="23"/>
      <c r="BAR1215" s="23"/>
      <c r="BAS1215" s="23"/>
      <c r="BAT1215" s="23"/>
      <c r="BAU1215" s="23"/>
      <c r="BAV1215" s="23"/>
      <c r="BAW1215" s="23"/>
      <c r="BAX1215" s="23"/>
      <c r="BAY1215" s="23"/>
      <c r="BAZ1215" s="23"/>
      <c r="BBA1215" s="23"/>
      <c r="BBB1215" s="23"/>
      <c r="BBC1215" s="23"/>
      <c r="BBD1215" s="23"/>
      <c r="BBE1215" s="23"/>
      <c r="BBF1215" s="23"/>
      <c r="BBG1215" s="23"/>
      <c r="BBH1215" s="23"/>
      <c r="BBI1215" s="23"/>
      <c r="BBJ1215" s="23"/>
      <c r="BBK1215" s="23"/>
      <c r="BBL1215" s="23"/>
      <c r="BBM1215" s="23"/>
      <c r="BBN1215" s="23"/>
      <c r="BBO1215" s="23"/>
      <c r="BBP1215" s="23"/>
      <c r="BBQ1215" s="23"/>
      <c r="BBR1215" s="23"/>
      <c r="BBS1215" s="23"/>
      <c r="BBT1215" s="23"/>
      <c r="BBU1215" s="23"/>
      <c r="BBV1215" s="23"/>
      <c r="BBW1215" s="23"/>
      <c r="BBX1215" s="23"/>
      <c r="BBY1215" s="23"/>
      <c r="BBZ1215" s="23"/>
      <c r="BCA1215" s="23"/>
      <c r="BCB1215" s="23"/>
      <c r="BCC1215" s="23"/>
      <c r="BCD1215" s="23"/>
      <c r="BCE1215" s="23"/>
      <c r="BCF1215" s="23"/>
      <c r="BCG1215" s="23"/>
      <c r="BCH1215" s="23"/>
      <c r="BCI1215" s="23"/>
      <c r="BCJ1215" s="23"/>
      <c r="BCK1215" s="23"/>
      <c r="BCL1215" s="23"/>
      <c r="BCM1215" s="23"/>
      <c r="BCN1215" s="23"/>
      <c r="BCO1215" s="23"/>
      <c r="BCP1215" s="23"/>
      <c r="BCQ1215" s="23"/>
      <c r="BCR1215" s="23"/>
      <c r="BCS1215" s="23"/>
      <c r="BCT1215" s="23"/>
      <c r="BCU1215" s="23"/>
      <c r="BCV1215" s="23"/>
      <c r="BCW1215" s="23"/>
      <c r="BCX1215" s="23"/>
      <c r="BCY1215" s="23"/>
      <c r="BCZ1215" s="23"/>
      <c r="BDA1215" s="23"/>
      <c r="BDB1215" s="23"/>
      <c r="BDC1215" s="23"/>
      <c r="BDD1215" s="23"/>
      <c r="BDE1215" s="23"/>
      <c r="BDF1215" s="23"/>
      <c r="BDG1215" s="23"/>
      <c r="BDH1215" s="23"/>
      <c r="BDI1215" s="23"/>
      <c r="BDJ1215" s="23"/>
      <c r="BDK1215" s="23"/>
      <c r="BDL1215" s="23"/>
      <c r="BDM1215" s="23"/>
      <c r="BDN1215" s="23"/>
      <c r="BDO1215" s="23"/>
      <c r="BDP1215" s="23"/>
      <c r="BDQ1215" s="23"/>
      <c r="BDR1215" s="23"/>
      <c r="BDS1215" s="23"/>
      <c r="BDT1215" s="23"/>
      <c r="BDU1215" s="23"/>
      <c r="BDV1215" s="23"/>
      <c r="BDW1215" s="23"/>
      <c r="BDX1215" s="23"/>
      <c r="BDY1215" s="23"/>
      <c r="BDZ1215" s="23"/>
      <c r="BEA1215" s="23"/>
      <c r="BEB1215" s="23"/>
      <c r="BEC1215" s="23"/>
      <c r="BED1215" s="23"/>
      <c r="BEE1215" s="23"/>
      <c r="BEF1215" s="23"/>
      <c r="BEG1215" s="23"/>
      <c r="BEH1215" s="23"/>
      <c r="BEI1215" s="23"/>
      <c r="BEJ1215" s="23"/>
      <c r="BEK1215" s="23"/>
      <c r="BEL1215" s="23"/>
      <c r="BEM1215" s="23"/>
      <c r="BEN1215" s="23"/>
      <c r="BEO1215" s="23"/>
      <c r="BEP1215" s="23"/>
      <c r="BEQ1215" s="23"/>
      <c r="BER1215" s="23"/>
      <c r="BES1215" s="23"/>
      <c r="BET1215" s="23"/>
      <c r="BEU1215" s="23"/>
      <c r="BEV1215" s="23"/>
      <c r="BEW1215" s="23"/>
      <c r="BEX1215" s="23"/>
      <c r="BEY1215" s="23"/>
      <c r="BEZ1215" s="23"/>
      <c r="BFA1215" s="23"/>
      <c r="BFB1215" s="23"/>
      <c r="BFC1215" s="23"/>
      <c r="BFD1215" s="23"/>
      <c r="BFE1215" s="23"/>
      <c r="BFF1215" s="23"/>
      <c r="BFG1215" s="23"/>
      <c r="BFH1215" s="23"/>
      <c r="BFI1215" s="23"/>
      <c r="BFJ1215" s="23"/>
      <c r="BFK1215" s="23"/>
      <c r="BFL1215" s="23"/>
      <c r="BFM1215" s="23"/>
      <c r="BFN1215" s="23"/>
      <c r="BFO1215" s="23"/>
      <c r="BFP1215" s="23"/>
      <c r="BFQ1215" s="23"/>
      <c r="BFR1215" s="23"/>
      <c r="BFS1215" s="23"/>
      <c r="BFT1215" s="23"/>
      <c r="BFU1215" s="23"/>
      <c r="BFV1215" s="23"/>
      <c r="BFW1215" s="23"/>
      <c r="BFX1215" s="23"/>
      <c r="BFY1215" s="23"/>
      <c r="BFZ1215" s="23"/>
      <c r="BGA1215" s="23"/>
      <c r="BGB1215" s="23"/>
      <c r="BGC1215" s="23"/>
      <c r="BGD1215" s="23"/>
      <c r="BGE1215" s="23"/>
      <c r="BGF1215" s="23"/>
      <c r="BGG1215" s="23"/>
      <c r="BGH1215" s="23"/>
      <c r="BGI1215" s="23"/>
      <c r="BGJ1215" s="23"/>
      <c r="BGK1215" s="23"/>
      <c r="BGL1215" s="23"/>
      <c r="BGM1215" s="23"/>
      <c r="BGN1215" s="23"/>
      <c r="BGO1215" s="23"/>
      <c r="BGP1215" s="23"/>
      <c r="BGQ1215" s="23"/>
      <c r="BGR1215" s="23"/>
      <c r="BGS1215" s="23"/>
      <c r="BGT1215" s="23"/>
      <c r="BGU1215" s="23"/>
      <c r="BGV1215" s="23"/>
      <c r="BGW1215" s="23"/>
      <c r="BGX1215" s="23"/>
      <c r="BGY1215" s="23"/>
      <c r="BGZ1215" s="23"/>
      <c r="BHA1215" s="23"/>
      <c r="BHB1215" s="23"/>
      <c r="BHC1215" s="23"/>
      <c r="BHD1215" s="23"/>
      <c r="BHE1215" s="23"/>
      <c r="BHF1215" s="23"/>
      <c r="BHG1215" s="23"/>
      <c r="BHH1215" s="23"/>
      <c r="BHI1215" s="23"/>
      <c r="BHJ1215" s="23"/>
      <c r="BHK1215" s="23"/>
      <c r="BHL1215" s="23"/>
      <c r="BHM1215" s="23"/>
      <c r="BHN1215" s="23"/>
      <c r="BHO1215" s="23"/>
      <c r="BHP1215" s="23"/>
      <c r="BHQ1215" s="23"/>
      <c r="BHR1215" s="23"/>
      <c r="BHS1215" s="23"/>
      <c r="BHT1215" s="23"/>
      <c r="BHU1215" s="23"/>
      <c r="BHV1215" s="23"/>
      <c r="BHW1215" s="23"/>
      <c r="BHX1215" s="23"/>
      <c r="BHY1215" s="23"/>
      <c r="BHZ1215" s="23"/>
      <c r="BIA1215" s="23"/>
      <c r="BIB1215" s="23"/>
      <c r="BIC1215" s="23"/>
      <c r="BID1215" s="23"/>
      <c r="BIE1215" s="23"/>
      <c r="BIF1215" s="23"/>
      <c r="BIG1215" s="23"/>
      <c r="BIH1215" s="23"/>
      <c r="BII1215" s="23"/>
      <c r="BIJ1215" s="23"/>
      <c r="BIK1215" s="23"/>
      <c r="BIL1215" s="23"/>
      <c r="BIM1215" s="23"/>
      <c r="BIN1215" s="23"/>
      <c r="BIO1215" s="23"/>
      <c r="BIP1215" s="23"/>
      <c r="BIQ1215" s="23"/>
      <c r="BIR1215" s="23"/>
      <c r="BIS1215" s="23"/>
      <c r="BIT1215" s="23"/>
      <c r="BIU1215" s="23"/>
      <c r="BIV1215" s="23"/>
      <c r="BIW1215" s="23"/>
      <c r="BIX1215" s="23"/>
      <c r="BIY1215" s="23"/>
      <c r="BIZ1215" s="23"/>
      <c r="BJA1215" s="23"/>
      <c r="BJB1215" s="23"/>
      <c r="BJC1215" s="23"/>
      <c r="BJD1215" s="23"/>
      <c r="BJE1215" s="23"/>
      <c r="BJF1215" s="23"/>
      <c r="BJG1215" s="23"/>
      <c r="BJH1215" s="23"/>
      <c r="BJI1215" s="23"/>
      <c r="BJJ1215" s="23"/>
      <c r="BJK1215" s="23"/>
      <c r="BJL1215" s="23"/>
      <c r="BJM1215" s="23"/>
      <c r="BJN1215" s="23"/>
      <c r="BJO1215" s="23"/>
      <c r="BJP1215" s="23"/>
      <c r="BJQ1215" s="23"/>
      <c r="BJR1215" s="23"/>
      <c r="BJS1215" s="23"/>
      <c r="BJT1215" s="23"/>
      <c r="BJU1215" s="23"/>
      <c r="BJV1215" s="23"/>
      <c r="BJW1215" s="23"/>
      <c r="BJX1215" s="23"/>
      <c r="BJY1215" s="23"/>
      <c r="BJZ1215" s="23"/>
      <c r="BKA1215" s="23"/>
      <c r="BKB1215" s="23"/>
      <c r="BKC1215" s="23"/>
      <c r="BKD1215" s="23"/>
      <c r="BKE1215" s="23"/>
      <c r="BKF1215" s="23"/>
      <c r="BKG1215" s="23"/>
      <c r="BKH1215" s="23"/>
      <c r="BKI1215" s="23"/>
      <c r="BKJ1215" s="23"/>
      <c r="BKK1215" s="23"/>
      <c r="BKL1215" s="23"/>
      <c r="BKM1215" s="23"/>
      <c r="BKN1215" s="23"/>
      <c r="BKO1215" s="23"/>
      <c r="BKP1215" s="23"/>
      <c r="BKQ1215" s="23"/>
      <c r="BKR1215" s="23"/>
      <c r="BKS1215" s="23"/>
      <c r="BKT1215" s="23"/>
      <c r="BKU1215" s="23"/>
      <c r="BKV1215" s="23"/>
      <c r="BKW1215" s="23"/>
      <c r="BKX1215" s="23"/>
      <c r="BKY1215" s="23"/>
      <c r="BKZ1215" s="23"/>
      <c r="BLA1215" s="23"/>
      <c r="BLB1215" s="23"/>
      <c r="BLC1215" s="23"/>
      <c r="BLD1215" s="23"/>
      <c r="BLE1215" s="23"/>
      <c r="BLF1215" s="23"/>
      <c r="BLG1215" s="23"/>
      <c r="BLH1215" s="23"/>
      <c r="BLI1215" s="23"/>
      <c r="BLJ1215" s="23"/>
      <c r="BLK1215" s="23"/>
      <c r="BLL1215" s="23"/>
      <c r="BLM1215" s="23"/>
      <c r="BLN1215" s="23"/>
      <c r="BLO1215" s="23"/>
      <c r="BLP1215" s="23"/>
      <c r="BLQ1215" s="23"/>
      <c r="BLR1215" s="23"/>
      <c r="BLS1215" s="23"/>
      <c r="BLT1215" s="23"/>
      <c r="BLU1215" s="23"/>
      <c r="BLV1215" s="23"/>
      <c r="BLW1215" s="23"/>
      <c r="BLX1215" s="23"/>
      <c r="BLY1215" s="23"/>
      <c r="BLZ1215" s="23"/>
      <c r="BMA1215" s="23"/>
      <c r="BMB1215" s="23"/>
      <c r="BMC1215" s="23"/>
      <c r="BMD1215" s="23"/>
      <c r="BME1215" s="23"/>
      <c r="BMF1215" s="23"/>
      <c r="BMG1215" s="23"/>
      <c r="BMH1215" s="23"/>
      <c r="BMI1215" s="23"/>
      <c r="BMJ1215" s="23"/>
      <c r="BMK1215" s="23"/>
      <c r="BML1215" s="23"/>
      <c r="BMM1215" s="23"/>
      <c r="BMN1215" s="23"/>
      <c r="BMO1215" s="23"/>
      <c r="BMP1215" s="23"/>
      <c r="BMQ1215" s="23"/>
      <c r="BMR1215" s="23"/>
      <c r="BMS1215" s="23"/>
      <c r="BMT1215" s="23"/>
      <c r="BMU1215" s="23"/>
      <c r="BMV1215" s="23"/>
      <c r="BMW1215" s="23"/>
      <c r="BMX1215" s="23"/>
      <c r="BMY1215" s="23"/>
      <c r="BMZ1215" s="23"/>
      <c r="BNA1215" s="23"/>
      <c r="BNB1215" s="23"/>
      <c r="BNC1215" s="23"/>
      <c r="BND1215" s="23"/>
      <c r="BNE1215" s="23"/>
      <c r="BNF1215" s="23"/>
      <c r="BNG1215" s="23"/>
      <c r="BNH1215" s="23"/>
      <c r="BNI1215" s="23"/>
      <c r="BNJ1215" s="23"/>
      <c r="BNK1215" s="23"/>
      <c r="BNL1215" s="23"/>
      <c r="BNM1215" s="23"/>
      <c r="BNN1215" s="23"/>
      <c r="BNO1215" s="23"/>
      <c r="BNP1215" s="23"/>
      <c r="BNQ1215" s="23"/>
      <c r="BNR1215" s="23"/>
      <c r="BNS1215" s="23"/>
      <c r="BNT1215" s="23"/>
      <c r="BNU1215" s="23"/>
      <c r="BNV1215" s="23"/>
      <c r="BNW1215" s="23"/>
      <c r="BNX1215" s="23"/>
      <c r="BNY1215" s="23"/>
      <c r="BNZ1215" s="23"/>
      <c r="BOA1215" s="23"/>
      <c r="BOB1215" s="23"/>
      <c r="BOC1215" s="23"/>
      <c r="BOD1215" s="23"/>
      <c r="BOE1215" s="23"/>
      <c r="BOF1215" s="23"/>
      <c r="BOG1215" s="23"/>
      <c r="BOH1215" s="23"/>
      <c r="BOI1215" s="23"/>
      <c r="BOJ1215" s="23"/>
      <c r="BOK1215" s="23"/>
      <c r="BOL1215" s="23"/>
      <c r="BOM1215" s="23"/>
      <c r="BON1215" s="23"/>
      <c r="BOO1215" s="23"/>
      <c r="BOP1215" s="23"/>
      <c r="BOQ1215" s="23"/>
      <c r="BOR1215" s="23"/>
      <c r="BOS1215" s="23"/>
      <c r="BOT1215" s="23"/>
      <c r="BOU1215" s="23"/>
      <c r="BOV1215" s="23"/>
      <c r="BOW1215" s="23"/>
      <c r="BOX1215" s="23"/>
      <c r="BOY1215" s="23"/>
      <c r="BOZ1215" s="23"/>
      <c r="BPA1215" s="23"/>
      <c r="BPB1215" s="23"/>
      <c r="BPC1215" s="23"/>
      <c r="BPD1215" s="23"/>
      <c r="BPE1215" s="23"/>
      <c r="BPF1215" s="23"/>
      <c r="BPG1215" s="23"/>
      <c r="BPH1215" s="23"/>
      <c r="BPI1215" s="23"/>
      <c r="BPJ1215" s="23"/>
      <c r="BPK1215" s="23"/>
      <c r="BPL1215" s="23"/>
      <c r="BPM1215" s="23"/>
      <c r="BPN1215" s="23"/>
      <c r="BPO1215" s="23"/>
      <c r="BPP1215" s="23"/>
      <c r="BPQ1215" s="23"/>
      <c r="BPR1215" s="23"/>
      <c r="BPS1215" s="23"/>
      <c r="BPT1215" s="23"/>
      <c r="BPU1215" s="23"/>
      <c r="BPV1215" s="23"/>
      <c r="BPW1215" s="23"/>
      <c r="BPX1215" s="23"/>
      <c r="BPY1215" s="23"/>
      <c r="BPZ1215" s="23"/>
      <c r="BQA1215" s="23"/>
      <c r="BQB1215" s="23"/>
      <c r="BQC1215" s="23"/>
      <c r="BQD1215" s="23"/>
      <c r="BQE1215" s="23"/>
      <c r="BQF1215" s="23"/>
      <c r="BQG1215" s="23"/>
      <c r="BQH1215" s="23"/>
      <c r="BQI1215" s="23"/>
      <c r="BQJ1215" s="23"/>
      <c r="BQK1215" s="23"/>
      <c r="BQL1215" s="23"/>
      <c r="BQM1215" s="23"/>
      <c r="BQN1215" s="23"/>
      <c r="BQO1215" s="23"/>
      <c r="BQP1215" s="23"/>
      <c r="BQQ1215" s="23"/>
      <c r="BQR1215" s="23"/>
      <c r="BQS1215" s="23"/>
      <c r="BQT1215" s="23"/>
      <c r="BQU1215" s="23"/>
      <c r="BQV1215" s="23"/>
      <c r="BQW1215" s="23"/>
      <c r="BQX1215" s="23"/>
      <c r="BQY1215" s="23"/>
      <c r="BQZ1215" s="23"/>
      <c r="BRA1215" s="23"/>
      <c r="BRB1215" s="23"/>
      <c r="BRC1215" s="23"/>
      <c r="BRD1215" s="23"/>
      <c r="BRE1215" s="23"/>
      <c r="BRF1215" s="23"/>
      <c r="BRG1215" s="23"/>
      <c r="BRH1215" s="23"/>
      <c r="BRI1215" s="23"/>
      <c r="BRJ1215" s="23"/>
      <c r="BRK1215" s="23"/>
      <c r="BRL1215" s="23"/>
      <c r="BRM1215" s="23"/>
      <c r="BRN1215" s="23"/>
      <c r="BRO1215" s="23"/>
      <c r="BRP1215" s="23"/>
      <c r="BRQ1215" s="23"/>
      <c r="BRR1215" s="23"/>
      <c r="BRS1215" s="23"/>
      <c r="BRT1215" s="23"/>
      <c r="BRU1215" s="23"/>
      <c r="BRV1215" s="23"/>
      <c r="BRW1215" s="23"/>
      <c r="BRX1215" s="23"/>
      <c r="BRY1215" s="23"/>
      <c r="BRZ1215" s="23"/>
      <c r="BSA1215" s="23"/>
      <c r="BSB1215" s="23"/>
      <c r="BSC1215" s="23"/>
      <c r="BSD1215" s="23"/>
      <c r="BSE1215" s="23"/>
      <c r="BSF1215" s="23"/>
      <c r="BSG1215" s="23"/>
      <c r="BSH1215" s="23"/>
      <c r="BSI1215" s="23"/>
      <c r="BSJ1215" s="23"/>
      <c r="BSK1215" s="23"/>
      <c r="BSL1215" s="23"/>
      <c r="BSM1215" s="23"/>
      <c r="BSN1215" s="23"/>
      <c r="BSO1215" s="23"/>
      <c r="BSP1215" s="23"/>
      <c r="BSQ1215" s="23"/>
      <c r="BSR1215" s="23"/>
      <c r="BSS1215" s="23"/>
      <c r="BST1215" s="23"/>
      <c r="BSU1215" s="23"/>
      <c r="BSV1215" s="23"/>
      <c r="BSW1215" s="23"/>
      <c r="BSX1215" s="23"/>
      <c r="BSY1215" s="23"/>
      <c r="BSZ1215" s="23"/>
      <c r="BTA1215" s="23"/>
    </row>
    <row r="1216" spans="1:1873" s="149" customFormat="1" ht="12.75" customHeight="1" x14ac:dyDescent="0.25">
      <c r="A1216" s="263" t="s">
        <v>560</v>
      </c>
      <c r="B1216" s="263" t="s">
        <v>1268</v>
      </c>
      <c r="C1216" s="600" t="s">
        <v>112</v>
      </c>
      <c r="D1216" s="263" t="s">
        <v>1254</v>
      </c>
      <c r="E1216" s="327" t="s">
        <v>882</v>
      </c>
      <c r="F1216" s="600">
        <v>1</v>
      </c>
      <c r="G1216" s="600">
        <v>6</v>
      </c>
      <c r="H1216" s="600">
        <v>6</v>
      </c>
      <c r="I1216" s="257" t="s">
        <v>856</v>
      </c>
      <c r="J1216" s="599">
        <v>1982</v>
      </c>
      <c r="K1216" s="257" t="s">
        <v>1211</v>
      </c>
      <c r="L1216" s="608">
        <v>1987</v>
      </c>
      <c r="M1216" s="261">
        <v>-9999</v>
      </c>
      <c r="N1216" s="257">
        <v>-9999</v>
      </c>
      <c r="O1216" s="29"/>
      <c r="P1216" s="602">
        <v>42</v>
      </c>
      <c r="Q1216" s="257">
        <v>-9999</v>
      </c>
      <c r="R1216" s="261"/>
      <c r="S1216" s="257"/>
      <c r="T1216" s="370">
        <v>7</v>
      </c>
      <c r="U1216" s="257">
        <v>-9999</v>
      </c>
      <c r="V1216" s="257"/>
      <c r="W1216" s="609">
        <f t="shared" si="126"/>
        <v>-0.70000000000000284</v>
      </c>
      <c r="X1216" s="257">
        <v>-9999</v>
      </c>
      <c r="Y1216" s="257"/>
      <c r="Z1216" s="327" t="s">
        <v>1706</v>
      </c>
      <c r="AA1216" s="599">
        <v>5382</v>
      </c>
      <c r="AB1216" s="602">
        <v>1</v>
      </c>
      <c r="AC1216" s="257">
        <v>10.3</v>
      </c>
      <c r="AD1216" s="602">
        <f t="shared" si="124"/>
        <v>966</v>
      </c>
      <c r="AE1216" s="263" t="s">
        <v>97</v>
      </c>
      <c r="AF1216" s="600">
        <v>1</v>
      </c>
      <c r="AG1216" s="257">
        <v>2</v>
      </c>
      <c r="AH1216" s="257" t="s">
        <v>98</v>
      </c>
      <c r="AI1216" s="257" t="s">
        <v>985</v>
      </c>
      <c r="AJ1216" s="257">
        <v>-9999</v>
      </c>
      <c r="AK1216" s="257" t="s">
        <v>99</v>
      </c>
      <c r="AL1216" s="257" t="s">
        <v>828</v>
      </c>
      <c r="AM1216" s="257">
        <v>-9999</v>
      </c>
      <c r="AN1216" s="257" t="s">
        <v>631</v>
      </c>
      <c r="AO1216" s="257">
        <v>-9999</v>
      </c>
      <c r="AP1216" s="257">
        <v>-9999</v>
      </c>
      <c r="AQ1216" s="257" t="s">
        <v>631</v>
      </c>
      <c r="AR1216" s="257">
        <v>0</v>
      </c>
      <c r="AS1216" s="257">
        <v>-9999</v>
      </c>
      <c r="AT1216" s="257">
        <v>-9999</v>
      </c>
      <c r="AU1216" s="257">
        <v>0</v>
      </c>
      <c r="AV1216" s="257">
        <v>-9999</v>
      </c>
      <c r="AW1216" s="257"/>
      <c r="AX1216" s="257">
        <v>0</v>
      </c>
      <c r="AY1216" s="257">
        <v>-9999</v>
      </c>
      <c r="AZ1216" s="257">
        <v>-9999</v>
      </c>
      <c r="BA1216" s="257" t="s">
        <v>100</v>
      </c>
      <c r="BB1216" s="257" t="s">
        <v>626</v>
      </c>
      <c r="BC1216" s="257" t="s">
        <v>101</v>
      </c>
      <c r="BD1216" s="257" t="s">
        <v>102</v>
      </c>
      <c r="BE1216" s="257" t="s">
        <v>103</v>
      </c>
      <c r="BF1216" s="257" t="s">
        <v>104</v>
      </c>
      <c r="BG1216" s="257" t="s">
        <v>105</v>
      </c>
      <c r="BH1216" s="257" t="s">
        <v>106</v>
      </c>
      <c r="BI1216" s="257">
        <v>-9999</v>
      </c>
      <c r="BJ1216" s="257">
        <v>-9999</v>
      </c>
      <c r="BK1216" s="257">
        <v>-9999</v>
      </c>
      <c r="BL1216" s="602">
        <v>9.1</v>
      </c>
      <c r="BM1216" s="257">
        <v>-9999</v>
      </c>
      <c r="BN1216" s="602">
        <v>6.4</v>
      </c>
      <c r="BO1216" s="257">
        <v>-9999</v>
      </c>
      <c r="BP1216" s="257">
        <v>-9999</v>
      </c>
      <c r="BQ1216" s="257">
        <v>-9999</v>
      </c>
      <c r="BR1216" s="257">
        <v>-9999</v>
      </c>
      <c r="BS1216" s="263">
        <v>-9999</v>
      </c>
      <c r="BT1216" s="257">
        <v>-9999</v>
      </c>
      <c r="BU1216" s="257">
        <v>-9999</v>
      </c>
      <c r="BV1216" s="257">
        <v>-9999</v>
      </c>
      <c r="BW1216" s="257"/>
      <c r="BX1216" s="257">
        <v>-9999</v>
      </c>
      <c r="BY1216" s="257">
        <v>-9999</v>
      </c>
      <c r="BZ1216" s="257">
        <v>-9999</v>
      </c>
      <c r="CA1216" s="300" t="s">
        <v>107</v>
      </c>
      <c r="CB1216" s="264" t="s">
        <v>561</v>
      </c>
      <c r="CC1216" s="600">
        <v>1</v>
      </c>
      <c r="CD1216" s="600">
        <v>6</v>
      </c>
      <c r="CE1216" s="168">
        <v>7</v>
      </c>
      <c r="CF1216" s="168">
        <v>-0.70000000000000284</v>
      </c>
      <c r="CG1216" s="161">
        <v>6</v>
      </c>
    </row>
    <row r="1217" spans="1:1873" s="149" customFormat="1" ht="12.75" customHeight="1" x14ac:dyDescent="0.25">
      <c r="A1217" s="263"/>
      <c r="B1217" s="263"/>
      <c r="C1217" s="600"/>
      <c r="D1217" s="600"/>
      <c r="E1217" s="599"/>
      <c r="F1217" s="600"/>
      <c r="G1217" s="600"/>
      <c r="H1217" s="600"/>
      <c r="I1217" s="257"/>
      <c r="J1217" s="599"/>
      <c r="K1217" s="257"/>
      <c r="L1217" s="600"/>
      <c r="M1217" s="261"/>
      <c r="N1217" s="257"/>
      <c r="O1217" s="29"/>
      <c r="P1217" s="602"/>
      <c r="Q1217" s="257"/>
      <c r="R1217" s="261"/>
      <c r="S1217" s="257"/>
      <c r="T1217" s="370"/>
      <c r="U1217" s="257"/>
      <c r="V1217" s="257"/>
      <c r="W1217" s="609"/>
      <c r="X1217" s="257"/>
      <c r="Y1217" s="257"/>
      <c r="Z1217" s="327"/>
      <c r="AA1217" s="599"/>
      <c r="AB1217" s="602"/>
      <c r="AC1217" s="257"/>
      <c r="AD1217" s="602"/>
      <c r="AE1217" s="263"/>
      <c r="AF1217" s="600"/>
      <c r="AG1217" s="257"/>
      <c r="AH1217" s="257"/>
      <c r="AI1217" s="257"/>
      <c r="AJ1217" s="257"/>
      <c r="AK1217" s="257"/>
      <c r="AL1217" s="257"/>
      <c r="AM1217" s="257"/>
      <c r="AN1217" s="257"/>
      <c r="AO1217" s="257"/>
      <c r="AP1217" s="257"/>
      <c r="AQ1217" s="257"/>
      <c r="AR1217" s="257"/>
      <c r="AS1217" s="257"/>
      <c r="AT1217" s="257"/>
      <c r="AU1217" s="257"/>
      <c r="AV1217" s="257"/>
      <c r="AW1217" s="257"/>
      <c r="AX1217" s="257"/>
      <c r="AY1217" s="257"/>
      <c r="AZ1217" s="257"/>
      <c r="BA1217" s="257"/>
      <c r="BB1217" s="257"/>
      <c r="BC1217" s="257"/>
      <c r="BD1217" s="257"/>
      <c r="BE1217" s="257"/>
      <c r="BF1217" s="257"/>
      <c r="BG1217" s="257"/>
      <c r="BH1217" s="257"/>
      <c r="BI1217" s="257"/>
      <c r="BJ1217" s="257"/>
      <c r="BK1217" s="257"/>
      <c r="BL1217" s="602"/>
      <c r="BM1217" s="257"/>
      <c r="BN1217" s="602"/>
      <c r="BO1217" s="257"/>
      <c r="BP1217" s="257"/>
      <c r="BQ1217" s="257"/>
      <c r="BR1217" s="257"/>
      <c r="BS1217" s="263"/>
      <c r="BT1217" s="257"/>
      <c r="BU1217" s="257"/>
      <c r="BV1217" s="257"/>
      <c r="BW1217" s="257"/>
      <c r="BX1217" s="257"/>
      <c r="BY1217" s="257"/>
      <c r="BZ1217" s="257"/>
      <c r="CA1217" s="300"/>
      <c r="CB1217" s="264"/>
      <c r="CC1217" s="600"/>
      <c r="CD1217" s="600"/>
      <c r="CE1217" s="168"/>
      <c r="CF1217" s="168"/>
      <c r="CG1217" s="161"/>
    </row>
    <row r="1218" spans="1:1873" s="149" customFormat="1" ht="12.75" customHeight="1" x14ac:dyDescent="0.25">
      <c r="A1218" s="263" t="s">
        <v>560</v>
      </c>
      <c r="B1218" s="263" t="s">
        <v>1268</v>
      </c>
      <c r="C1218" s="600" t="s">
        <v>112</v>
      </c>
      <c r="D1218" s="263" t="s">
        <v>1254</v>
      </c>
      <c r="E1218" s="327" t="s">
        <v>882</v>
      </c>
      <c r="F1218" s="600">
        <v>2</v>
      </c>
      <c r="G1218" s="600">
        <v>1</v>
      </c>
      <c r="H1218" s="600">
        <v>3</v>
      </c>
      <c r="I1218" s="257" t="s">
        <v>856</v>
      </c>
      <c r="J1218" s="599">
        <v>1982</v>
      </c>
      <c r="K1218" s="257" t="s">
        <v>1211</v>
      </c>
      <c r="L1218" s="608">
        <v>1984</v>
      </c>
      <c r="M1218" s="261">
        <v>-9999</v>
      </c>
      <c r="N1218" s="257">
        <v>-9999</v>
      </c>
      <c r="O1218" s="29"/>
      <c r="P1218" s="602">
        <v>5.5</v>
      </c>
      <c r="Q1218" s="257">
        <v>-9999</v>
      </c>
      <c r="R1218" s="261"/>
      <c r="S1218" s="257"/>
      <c r="T1218" s="370">
        <v>5.5</v>
      </c>
      <c r="U1218" s="257">
        <v>-9999</v>
      </c>
      <c r="V1218" s="257"/>
      <c r="W1218" s="609">
        <f>+P1218-P1217</f>
        <v>5.5</v>
      </c>
      <c r="X1218" s="257">
        <v>-9999</v>
      </c>
      <c r="Y1218" s="257"/>
      <c r="Z1218" s="327" t="s">
        <v>1706</v>
      </c>
      <c r="AA1218" s="599">
        <v>5382</v>
      </c>
      <c r="AB1218" s="602">
        <v>1</v>
      </c>
      <c r="AC1218" s="257">
        <v>10.3</v>
      </c>
      <c r="AD1218" s="602">
        <f t="shared" si="124"/>
        <v>966</v>
      </c>
      <c r="AE1218" s="263" t="s">
        <v>97</v>
      </c>
      <c r="AF1218" s="600">
        <v>0</v>
      </c>
      <c r="AG1218" s="257">
        <v>2</v>
      </c>
      <c r="AH1218" s="257" t="s">
        <v>98</v>
      </c>
      <c r="AI1218" s="257" t="s">
        <v>985</v>
      </c>
      <c r="AJ1218" s="257">
        <v>-9999</v>
      </c>
      <c r="AK1218" s="257" t="s">
        <v>99</v>
      </c>
      <c r="AL1218" s="257" t="s">
        <v>828</v>
      </c>
      <c r="AM1218" s="257">
        <v>-9999</v>
      </c>
      <c r="AN1218" s="257" t="s">
        <v>631</v>
      </c>
      <c r="AO1218" s="257">
        <v>-9999</v>
      </c>
      <c r="AP1218" s="257">
        <v>-9999</v>
      </c>
      <c r="AQ1218" s="257" t="s">
        <v>631</v>
      </c>
      <c r="AR1218" s="257">
        <v>0</v>
      </c>
      <c r="AS1218" s="257">
        <v>-9999</v>
      </c>
      <c r="AT1218" s="257">
        <v>-9999</v>
      </c>
      <c r="AU1218" s="257">
        <v>0</v>
      </c>
      <c r="AV1218" s="257">
        <v>-9999</v>
      </c>
      <c r="AW1218" s="257"/>
      <c r="AX1218" s="257">
        <v>0</v>
      </c>
      <c r="AY1218" s="257">
        <v>-9999</v>
      </c>
      <c r="AZ1218" s="257">
        <v>-9999</v>
      </c>
      <c r="BA1218" s="257" t="s">
        <v>100</v>
      </c>
      <c r="BB1218" s="257" t="s">
        <v>626</v>
      </c>
      <c r="BC1218" s="257" t="s">
        <v>101</v>
      </c>
      <c r="BD1218" s="257" t="s">
        <v>102</v>
      </c>
      <c r="BE1218" s="257" t="s">
        <v>103</v>
      </c>
      <c r="BF1218" s="257" t="s">
        <v>104</v>
      </c>
      <c r="BG1218" s="257" t="s">
        <v>105</v>
      </c>
      <c r="BH1218" s="257" t="s">
        <v>106</v>
      </c>
      <c r="BI1218" s="257">
        <v>-9999</v>
      </c>
      <c r="BJ1218" s="257">
        <v>-9999</v>
      </c>
      <c r="BK1218" s="257">
        <v>-9999</v>
      </c>
      <c r="BL1218" s="602">
        <v>3.58</v>
      </c>
      <c r="BM1218" s="257">
        <v>-9999</v>
      </c>
      <c r="BN1218" s="602">
        <v>1.73</v>
      </c>
      <c r="BO1218" s="257">
        <v>-9999</v>
      </c>
      <c r="BP1218" s="257">
        <v>-9999</v>
      </c>
      <c r="BQ1218" s="257">
        <v>-9999</v>
      </c>
      <c r="BR1218" s="257">
        <v>-9999</v>
      </c>
      <c r="BS1218" s="263">
        <v>-9999</v>
      </c>
      <c r="BT1218" s="257">
        <v>-9999</v>
      </c>
      <c r="BU1218" s="257">
        <v>-9999</v>
      </c>
      <c r="BV1218" s="257">
        <v>-9999</v>
      </c>
      <c r="BW1218" s="257"/>
      <c r="BX1218" s="257">
        <v>-9999</v>
      </c>
      <c r="BY1218" s="257">
        <v>-9999</v>
      </c>
      <c r="BZ1218" s="257">
        <v>-9999</v>
      </c>
      <c r="CA1218" s="300" t="s">
        <v>107</v>
      </c>
      <c r="CB1218" s="264" t="s">
        <v>561</v>
      </c>
      <c r="CC1218" s="600">
        <v>2</v>
      </c>
      <c r="CD1218" s="600">
        <v>1</v>
      </c>
      <c r="CE1218" s="168">
        <v>5.5</v>
      </c>
      <c r="CF1218" s="168">
        <v>5.5</v>
      </c>
      <c r="CG1218" s="161">
        <v>3</v>
      </c>
    </row>
    <row r="1219" spans="1:1873" s="149" customFormat="1" ht="12.75" customHeight="1" x14ac:dyDescent="0.25">
      <c r="A1219" s="263" t="s">
        <v>560</v>
      </c>
      <c r="B1219" s="263" t="s">
        <v>1268</v>
      </c>
      <c r="C1219" s="600" t="s">
        <v>112</v>
      </c>
      <c r="D1219" s="263" t="s">
        <v>1254</v>
      </c>
      <c r="E1219" s="327" t="s">
        <v>882</v>
      </c>
      <c r="F1219" s="600">
        <v>2</v>
      </c>
      <c r="G1219" s="600">
        <v>2</v>
      </c>
      <c r="H1219" s="600">
        <v>4</v>
      </c>
      <c r="I1219" s="257" t="s">
        <v>856</v>
      </c>
      <c r="J1219" s="599">
        <v>1982</v>
      </c>
      <c r="K1219" s="257" t="s">
        <v>1211</v>
      </c>
      <c r="L1219" s="608">
        <v>1985</v>
      </c>
      <c r="M1219" s="261">
        <v>-9999</v>
      </c>
      <c r="N1219" s="257">
        <v>-9999</v>
      </c>
      <c r="O1219" s="29"/>
      <c r="P1219" s="602">
        <v>12.41</v>
      </c>
      <c r="Q1219" s="257">
        <v>-9999</v>
      </c>
      <c r="R1219" s="261"/>
      <c r="S1219" s="257"/>
      <c r="T1219" s="370">
        <v>6.2050000000000001</v>
      </c>
      <c r="U1219" s="257">
        <v>-9999</v>
      </c>
      <c r="V1219" s="257"/>
      <c r="W1219" s="609">
        <f>+P1219-P1218</f>
        <v>6.91</v>
      </c>
      <c r="X1219" s="257">
        <v>-9999</v>
      </c>
      <c r="Y1219" s="257"/>
      <c r="Z1219" s="327" t="s">
        <v>1706</v>
      </c>
      <c r="AA1219" s="599">
        <v>5382</v>
      </c>
      <c r="AB1219" s="602">
        <v>1</v>
      </c>
      <c r="AC1219" s="257">
        <v>10.3</v>
      </c>
      <c r="AD1219" s="602">
        <f t="shared" si="124"/>
        <v>966</v>
      </c>
      <c r="AE1219" s="263" t="s">
        <v>97</v>
      </c>
      <c r="AF1219" s="600">
        <v>0</v>
      </c>
      <c r="AG1219" s="257">
        <v>2</v>
      </c>
      <c r="AH1219" s="257" t="s">
        <v>98</v>
      </c>
      <c r="AI1219" s="257" t="s">
        <v>985</v>
      </c>
      <c r="AJ1219" s="257">
        <v>-9999</v>
      </c>
      <c r="AK1219" s="257" t="s">
        <v>99</v>
      </c>
      <c r="AL1219" s="257" t="s">
        <v>828</v>
      </c>
      <c r="AM1219" s="257">
        <v>-9999</v>
      </c>
      <c r="AN1219" s="257" t="s">
        <v>631</v>
      </c>
      <c r="AO1219" s="257">
        <v>-9999</v>
      </c>
      <c r="AP1219" s="257">
        <v>-9999</v>
      </c>
      <c r="AQ1219" s="257" t="s">
        <v>631</v>
      </c>
      <c r="AR1219" s="257">
        <v>0</v>
      </c>
      <c r="AS1219" s="257">
        <v>-9999</v>
      </c>
      <c r="AT1219" s="257">
        <v>-9999</v>
      </c>
      <c r="AU1219" s="257">
        <v>0</v>
      </c>
      <c r="AV1219" s="257">
        <v>-9999</v>
      </c>
      <c r="AW1219" s="257"/>
      <c r="AX1219" s="257">
        <v>0</v>
      </c>
      <c r="AY1219" s="257">
        <v>-9999</v>
      </c>
      <c r="AZ1219" s="257">
        <v>-9999</v>
      </c>
      <c r="BA1219" s="257" t="s">
        <v>100</v>
      </c>
      <c r="BB1219" s="257" t="s">
        <v>626</v>
      </c>
      <c r="BC1219" s="257" t="s">
        <v>101</v>
      </c>
      <c r="BD1219" s="257" t="s">
        <v>102</v>
      </c>
      <c r="BE1219" s="257" t="s">
        <v>103</v>
      </c>
      <c r="BF1219" s="257" t="s">
        <v>104</v>
      </c>
      <c r="BG1219" s="257" t="s">
        <v>105</v>
      </c>
      <c r="BH1219" s="257" t="s">
        <v>106</v>
      </c>
      <c r="BI1219" s="257">
        <v>-9999</v>
      </c>
      <c r="BJ1219" s="257">
        <v>-9999</v>
      </c>
      <c r="BK1219" s="257">
        <v>-9999</v>
      </c>
      <c r="BL1219" s="602">
        <v>5.25</v>
      </c>
      <c r="BM1219" s="257">
        <v>-9999</v>
      </c>
      <c r="BN1219" s="602">
        <v>3.2</v>
      </c>
      <c r="BO1219" s="257">
        <v>-9999</v>
      </c>
      <c r="BP1219" s="257">
        <v>-9999</v>
      </c>
      <c r="BQ1219" s="257">
        <v>-9999</v>
      </c>
      <c r="BR1219" s="257">
        <v>-9999</v>
      </c>
      <c r="BS1219" s="263">
        <v>-9999</v>
      </c>
      <c r="BT1219" s="257">
        <v>-9999</v>
      </c>
      <c r="BU1219" s="257">
        <v>-9999</v>
      </c>
      <c r="BV1219" s="257">
        <v>-9999</v>
      </c>
      <c r="BW1219" s="257"/>
      <c r="BX1219" s="257">
        <v>-9999</v>
      </c>
      <c r="BY1219" s="257">
        <v>-9999</v>
      </c>
      <c r="BZ1219" s="257">
        <v>-9999</v>
      </c>
      <c r="CA1219" s="300" t="s">
        <v>107</v>
      </c>
      <c r="CB1219" s="264" t="s">
        <v>561</v>
      </c>
      <c r="CC1219" s="600">
        <v>2</v>
      </c>
      <c r="CD1219" s="600">
        <v>2</v>
      </c>
      <c r="CE1219" s="168">
        <v>6.2050000000000001</v>
      </c>
      <c r="CF1219" s="168">
        <v>6.91</v>
      </c>
      <c r="CG1219" s="161">
        <v>4</v>
      </c>
    </row>
    <row r="1220" spans="1:1873" s="149" customFormat="1" ht="12.75" customHeight="1" x14ac:dyDescent="0.25">
      <c r="A1220" s="263"/>
      <c r="B1220" s="263"/>
      <c r="C1220" s="600"/>
      <c r="D1220" s="263"/>
      <c r="E1220" s="327"/>
      <c r="F1220" s="600"/>
      <c r="G1220" s="600"/>
      <c r="H1220" s="600"/>
      <c r="I1220" s="257"/>
      <c r="J1220" s="599"/>
      <c r="K1220" s="257"/>
      <c r="L1220" s="600"/>
      <c r="M1220" s="261"/>
      <c r="N1220" s="257"/>
      <c r="O1220" s="29"/>
      <c r="P1220" s="602"/>
      <c r="Q1220" s="257"/>
      <c r="R1220" s="261"/>
      <c r="S1220" s="257"/>
      <c r="T1220" s="370"/>
      <c r="U1220" s="257"/>
      <c r="V1220" s="257"/>
      <c r="W1220" s="609"/>
      <c r="X1220" s="257"/>
      <c r="Y1220" s="257"/>
      <c r="Z1220" s="327"/>
      <c r="AA1220" s="599"/>
      <c r="AB1220" s="602"/>
      <c r="AC1220" s="257"/>
      <c r="AD1220" s="602"/>
      <c r="AE1220" s="263"/>
      <c r="AF1220" s="600"/>
      <c r="AG1220" s="257"/>
      <c r="AH1220" s="257"/>
      <c r="AI1220" s="257"/>
      <c r="AJ1220" s="257"/>
      <c r="AK1220" s="257"/>
      <c r="AL1220" s="257"/>
      <c r="AM1220" s="257"/>
      <c r="AN1220" s="257"/>
      <c r="AO1220" s="257"/>
      <c r="AP1220" s="257"/>
      <c r="AQ1220" s="257"/>
      <c r="AR1220" s="257"/>
      <c r="AS1220" s="257"/>
      <c r="AT1220" s="257"/>
      <c r="AU1220" s="257"/>
      <c r="AV1220" s="257"/>
      <c r="AW1220" s="257"/>
      <c r="AX1220" s="257"/>
      <c r="AY1220" s="257"/>
      <c r="AZ1220" s="257"/>
      <c r="BA1220" s="257"/>
      <c r="BB1220" s="257"/>
      <c r="BC1220" s="257"/>
      <c r="BD1220" s="257"/>
      <c r="BE1220" s="257"/>
      <c r="BF1220" s="257"/>
      <c r="BG1220" s="257"/>
      <c r="BH1220" s="257"/>
      <c r="BI1220" s="257"/>
      <c r="BJ1220" s="257"/>
      <c r="BK1220" s="257"/>
      <c r="BL1220" s="602"/>
      <c r="BM1220" s="257"/>
      <c r="BN1220" s="602"/>
      <c r="BO1220" s="257"/>
      <c r="BP1220" s="257"/>
      <c r="BQ1220" s="257"/>
      <c r="BR1220" s="257"/>
      <c r="BS1220" s="263"/>
      <c r="BT1220" s="257"/>
      <c r="BU1220" s="257"/>
      <c r="BV1220" s="257"/>
      <c r="BW1220" s="257"/>
      <c r="BX1220" s="257"/>
      <c r="BY1220" s="257"/>
      <c r="BZ1220" s="257"/>
      <c r="CA1220" s="300"/>
      <c r="CB1220" s="264"/>
      <c r="CC1220" s="600"/>
      <c r="CD1220" s="600"/>
      <c r="CE1220" s="168"/>
      <c r="CF1220" s="168"/>
      <c r="CG1220" s="161"/>
    </row>
    <row r="1221" spans="1:1873" s="215" customFormat="1" ht="12.75" customHeight="1" x14ac:dyDescent="0.25">
      <c r="A1221" s="260" t="s">
        <v>560</v>
      </c>
      <c r="B1221" s="260" t="s">
        <v>1268</v>
      </c>
      <c r="C1221" s="260" t="s">
        <v>112</v>
      </c>
      <c r="D1221" s="260" t="s">
        <v>1254</v>
      </c>
      <c r="E1221" s="259" t="s">
        <v>882</v>
      </c>
      <c r="F1221" s="260">
        <v>2</v>
      </c>
      <c r="G1221" s="260">
        <v>2</v>
      </c>
      <c r="H1221" s="260">
        <v>5</v>
      </c>
      <c r="I1221" s="259" t="s">
        <v>856</v>
      </c>
      <c r="J1221" s="259">
        <v>1982</v>
      </c>
      <c r="K1221" s="259" t="s">
        <v>1211</v>
      </c>
      <c r="L1221" s="258">
        <v>1986</v>
      </c>
      <c r="M1221" s="288">
        <v>-9999</v>
      </c>
      <c r="N1221" s="259">
        <v>-9999</v>
      </c>
      <c r="O1221" s="18"/>
      <c r="P1221" s="288">
        <v>18.8</v>
      </c>
      <c r="Q1221" s="259">
        <v>-9999</v>
      </c>
      <c r="R1221" s="288"/>
      <c r="S1221" s="259"/>
      <c r="T1221" s="590">
        <v>9.4</v>
      </c>
      <c r="U1221" s="259">
        <v>-9999</v>
      </c>
      <c r="V1221" s="259"/>
      <c r="W1221" s="610">
        <f>+P1221-P1220</f>
        <v>18.8</v>
      </c>
      <c r="X1221" s="259">
        <v>-9999</v>
      </c>
      <c r="Y1221" s="259"/>
      <c r="Z1221" s="259" t="s">
        <v>1706</v>
      </c>
      <c r="AA1221" s="259">
        <v>5382</v>
      </c>
      <c r="AB1221" s="288">
        <v>1</v>
      </c>
      <c r="AC1221" s="259">
        <v>10.3</v>
      </c>
      <c r="AD1221" s="288">
        <f t="shared" si="124"/>
        <v>966</v>
      </c>
      <c r="AE1221" s="260" t="s">
        <v>97</v>
      </c>
      <c r="AF1221" s="260">
        <v>0</v>
      </c>
      <c r="AG1221" s="259">
        <v>2</v>
      </c>
      <c r="AH1221" s="259" t="s">
        <v>98</v>
      </c>
      <c r="AI1221" s="259" t="s">
        <v>985</v>
      </c>
      <c r="AJ1221" s="259">
        <v>-9999</v>
      </c>
      <c r="AK1221" s="259" t="s">
        <v>99</v>
      </c>
      <c r="AL1221" s="259" t="s">
        <v>828</v>
      </c>
      <c r="AM1221" s="259">
        <v>-9999</v>
      </c>
      <c r="AN1221" s="259" t="s">
        <v>631</v>
      </c>
      <c r="AO1221" s="259">
        <v>-9999</v>
      </c>
      <c r="AP1221" s="259">
        <v>-9999</v>
      </c>
      <c r="AQ1221" s="259" t="s">
        <v>631</v>
      </c>
      <c r="AR1221" s="259">
        <v>0</v>
      </c>
      <c r="AS1221" s="259">
        <v>-9999</v>
      </c>
      <c r="AT1221" s="259">
        <v>-9999</v>
      </c>
      <c r="AU1221" s="259">
        <v>0</v>
      </c>
      <c r="AV1221" s="259">
        <v>-9999</v>
      </c>
      <c r="AW1221" s="259"/>
      <c r="AX1221" s="259">
        <v>0</v>
      </c>
      <c r="AY1221" s="259">
        <v>-9999</v>
      </c>
      <c r="AZ1221" s="259">
        <v>-9999</v>
      </c>
      <c r="BA1221" s="259" t="s">
        <v>100</v>
      </c>
      <c r="BB1221" s="259" t="s">
        <v>626</v>
      </c>
      <c r="BC1221" s="259" t="s">
        <v>101</v>
      </c>
      <c r="BD1221" s="259" t="s">
        <v>102</v>
      </c>
      <c r="BE1221" s="259" t="s">
        <v>103</v>
      </c>
      <c r="BF1221" s="259" t="s">
        <v>104</v>
      </c>
      <c r="BG1221" s="259" t="s">
        <v>105</v>
      </c>
      <c r="BH1221" s="259" t="s">
        <v>106</v>
      </c>
      <c r="BI1221" s="259">
        <v>-9999</v>
      </c>
      <c r="BJ1221" s="259">
        <v>-9999</v>
      </c>
      <c r="BK1221" s="259">
        <v>-9999</v>
      </c>
      <c r="BL1221" s="288">
        <v>4.9000000000000004</v>
      </c>
      <c r="BM1221" s="259">
        <v>-9999</v>
      </c>
      <c r="BN1221" s="288">
        <v>2.8</v>
      </c>
      <c r="BO1221" s="259">
        <v>-9999</v>
      </c>
      <c r="BP1221" s="259">
        <v>-9999</v>
      </c>
      <c r="BQ1221" s="259">
        <v>-9999</v>
      </c>
      <c r="BR1221" s="259">
        <v>-9999</v>
      </c>
      <c r="BS1221" s="260">
        <v>-9999</v>
      </c>
      <c r="BT1221" s="259">
        <v>-9999</v>
      </c>
      <c r="BU1221" s="259">
        <v>-9999</v>
      </c>
      <c r="BV1221" s="259">
        <v>-9999</v>
      </c>
      <c r="BW1221" s="259"/>
      <c r="BX1221" s="259">
        <v>-9999</v>
      </c>
      <c r="BY1221" s="259">
        <v>-9999</v>
      </c>
      <c r="BZ1221" s="259">
        <v>-9999</v>
      </c>
      <c r="CA1221" s="337" t="s">
        <v>107</v>
      </c>
      <c r="CB1221" s="592" t="s">
        <v>108</v>
      </c>
      <c r="CC1221" s="260">
        <v>2</v>
      </c>
      <c r="CD1221" s="260">
        <v>2</v>
      </c>
      <c r="CE1221" s="99">
        <v>9.4</v>
      </c>
      <c r="CF1221" s="99">
        <v>18.8</v>
      </c>
      <c r="CG1221" s="212">
        <v>5</v>
      </c>
      <c r="CH1221" s="13" t="s">
        <v>1757</v>
      </c>
      <c r="CI1221" s="13"/>
      <c r="CJ1221" s="13"/>
      <c r="CK1221" s="13"/>
      <c r="CL1221" s="13"/>
      <c r="CM1221" s="13"/>
      <c r="CN1221" s="13"/>
      <c r="CO1221" s="13"/>
      <c r="CP1221" s="13"/>
      <c r="CQ1221" s="13"/>
      <c r="CR1221" s="13"/>
      <c r="CS1221" s="13"/>
      <c r="CT1221" s="13"/>
      <c r="CU1221" s="13"/>
      <c r="CV1221" s="13"/>
      <c r="CW1221" s="13"/>
      <c r="CX1221" s="13"/>
      <c r="CY1221" s="13"/>
      <c r="CZ1221" s="13"/>
      <c r="DA1221" s="13"/>
      <c r="DB1221" s="13"/>
      <c r="DC1221" s="13"/>
      <c r="DD1221" s="13"/>
      <c r="DE1221" s="13"/>
      <c r="DF1221" s="13"/>
      <c r="DG1221" s="13"/>
      <c r="DH1221" s="13"/>
      <c r="DI1221" s="13"/>
      <c r="DJ1221" s="13"/>
      <c r="DK1221" s="13"/>
      <c r="DL1221" s="13"/>
      <c r="DM1221" s="13"/>
      <c r="DN1221" s="13"/>
      <c r="DO1221" s="13"/>
      <c r="DP1221" s="13"/>
      <c r="DQ1221" s="13"/>
      <c r="DR1221" s="13"/>
      <c r="DS1221" s="13"/>
      <c r="DT1221" s="13"/>
      <c r="DU1221" s="13"/>
      <c r="DV1221" s="13"/>
      <c r="DW1221" s="13"/>
      <c r="DX1221" s="13"/>
      <c r="DY1221" s="13"/>
      <c r="DZ1221" s="13"/>
      <c r="EA1221" s="13"/>
      <c r="EB1221" s="13"/>
      <c r="EC1221" s="13"/>
      <c r="ED1221" s="13"/>
      <c r="EE1221" s="13"/>
      <c r="EF1221" s="13"/>
      <c r="EG1221" s="13"/>
      <c r="EH1221" s="13"/>
      <c r="EI1221" s="13"/>
      <c r="EJ1221" s="13"/>
      <c r="EK1221" s="13"/>
      <c r="EL1221" s="13"/>
      <c r="EM1221" s="13"/>
      <c r="EN1221" s="13"/>
      <c r="EO1221" s="13"/>
      <c r="EP1221" s="13"/>
      <c r="EQ1221" s="13"/>
      <c r="ER1221" s="13"/>
      <c r="ES1221" s="13"/>
      <c r="ET1221" s="13"/>
      <c r="EU1221" s="13"/>
      <c r="EV1221" s="13"/>
      <c r="EW1221" s="13"/>
      <c r="EX1221" s="13"/>
      <c r="EY1221" s="13"/>
      <c r="EZ1221" s="13"/>
      <c r="FA1221" s="13"/>
      <c r="FB1221" s="13"/>
      <c r="FC1221" s="13"/>
      <c r="FD1221" s="13"/>
      <c r="FE1221" s="13"/>
      <c r="FF1221" s="13"/>
      <c r="FG1221" s="13"/>
      <c r="FH1221" s="13"/>
      <c r="FI1221" s="13"/>
      <c r="FJ1221" s="13"/>
      <c r="FK1221" s="13"/>
      <c r="FL1221" s="13"/>
      <c r="FM1221" s="13"/>
      <c r="FN1221" s="13"/>
      <c r="FO1221" s="13"/>
      <c r="FP1221" s="13"/>
      <c r="FQ1221" s="13"/>
      <c r="FR1221" s="13"/>
      <c r="FS1221" s="13"/>
      <c r="FT1221" s="13"/>
      <c r="FU1221" s="13"/>
      <c r="FV1221" s="13"/>
      <c r="FW1221" s="13"/>
      <c r="FX1221" s="13"/>
      <c r="FY1221" s="13"/>
      <c r="FZ1221" s="13"/>
      <c r="GA1221" s="13"/>
      <c r="GB1221" s="13"/>
      <c r="GC1221" s="13"/>
      <c r="GD1221" s="13"/>
      <c r="GE1221" s="13"/>
      <c r="GF1221" s="13"/>
      <c r="GG1221" s="13"/>
      <c r="GH1221" s="13"/>
      <c r="GI1221" s="13"/>
      <c r="GJ1221" s="13"/>
      <c r="GK1221" s="13"/>
      <c r="GL1221" s="13"/>
      <c r="GM1221" s="13"/>
      <c r="GN1221" s="13"/>
      <c r="GO1221" s="13"/>
      <c r="GP1221" s="13"/>
      <c r="GQ1221" s="13"/>
      <c r="GR1221" s="13"/>
      <c r="GS1221" s="13"/>
      <c r="GT1221" s="13"/>
      <c r="GU1221" s="13"/>
      <c r="GV1221" s="13"/>
      <c r="GW1221" s="13"/>
      <c r="GX1221" s="13"/>
      <c r="GY1221" s="13"/>
      <c r="GZ1221" s="13"/>
      <c r="HA1221" s="13"/>
      <c r="HB1221" s="13"/>
      <c r="HC1221" s="13"/>
      <c r="HD1221" s="13"/>
      <c r="HE1221" s="13"/>
      <c r="HF1221" s="13"/>
      <c r="HG1221" s="13"/>
      <c r="HH1221" s="13"/>
      <c r="HI1221" s="13"/>
      <c r="HJ1221" s="13"/>
      <c r="HK1221" s="13"/>
      <c r="HL1221" s="13"/>
      <c r="HM1221" s="13"/>
      <c r="HN1221" s="13"/>
      <c r="HO1221" s="13"/>
      <c r="HP1221" s="13"/>
      <c r="HQ1221" s="13"/>
      <c r="HR1221" s="13"/>
      <c r="HS1221" s="13"/>
      <c r="HT1221" s="13"/>
      <c r="HU1221" s="13"/>
      <c r="HV1221" s="13"/>
      <c r="HW1221" s="13"/>
      <c r="HX1221" s="13"/>
      <c r="HY1221" s="13"/>
      <c r="HZ1221" s="13"/>
      <c r="IA1221" s="13"/>
      <c r="IB1221" s="13"/>
      <c r="IC1221" s="13"/>
      <c r="ID1221" s="13"/>
      <c r="IE1221" s="13"/>
      <c r="IF1221" s="13"/>
      <c r="IG1221" s="13"/>
      <c r="IH1221" s="13"/>
      <c r="II1221" s="13"/>
      <c r="IJ1221" s="13"/>
      <c r="IK1221" s="13"/>
      <c r="IL1221" s="13"/>
      <c r="IM1221" s="13"/>
      <c r="IN1221" s="13"/>
      <c r="IO1221" s="13"/>
      <c r="IP1221" s="13"/>
      <c r="IQ1221" s="13"/>
      <c r="IR1221" s="13"/>
      <c r="IS1221" s="13"/>
      <c r="IT1221" s="13"/>
      <c r="IU1221" s="13"/>
      <c r="IV1221" s="13"/>
      <c r="IW1221" s="13"/>
      <c r="IX1221" s="13"/>
      <c r="IY1221" s="13"/>
      <c r="IZ1221" s="13"/>
      <c r="JA1221" s="13"/>
      <c r="JB1221" s="13"/>
      <c r="JC1221" s="13"/>
      <c r="JD1221" s="13"/>
      <c r="JE1221" s="13"/>
      <c r="JF1221" s="13"/>
      <c r="JG1221" s="13"/>
      <c r="JH1221" s="13"/>
      <c r="JI1221" s="13"/>
      <c r="JJ1221" s="13"/>
      <c r="JK1221" s="13"/>
      <c r="JL1221" s="13"/>
      <c r="JM1221" s="13"/>
      <c r="JN1221" s="13"/>
      <c r="JO1221" s="13"/>
      <c r="JP1221" s="13"/>
      <c r="JQ1221" s="13"/>
      <c r="JR1221" s="13"/>
      <c r="JS1221" s="13"/>
      <c r="JT1221" s="13"/>
      <c r="JU1221" s="13"/>
      <c r="JV1221" s="13"/>
      <c r="JW1221" s="13"/>
      <c r="JX1221" s="13"/>
      <c r="JY1221" s="13"/>
      <c r="JZ1221" s="13"/>
      <c r="KA1221" s="13"/>
      <c r="KB1221" s="13"/>
      <c r="KC1221" s="13"/>
      <c r="KD1221" s="13"/>
      <c r="KE1221" s="13"/>
      <c r="KF1221" s="13"/>
      <c r="KG1221" s="13"/>
      <c r="KH1221" s="13"/>
      <c r="KI1221" s="13"/>
      <c r="KJ1221" s="13"/>
      <c r="KK1221" s="13"/>
      <c r="KL1221" s="13"/>
      <c r="KM1221" s="13"/>
      <c r="KN1221" s="13"/>
      <c r="KO1221" s="13"/>
      <c r="KP1221" s="13"/>
      <c r="KQ1221" s="13"/>
      <c r="KR1221" s="13"/>
      <c r="KS1221" s="13"/>
      <c r="KT1221" s="13"/>
      <c r="KU1221" s="13"/>
      <c r="KV1221" s="13"/>
      <c r="KW1221" s="13"/>
      <c r="KX1221" s="13"/>
      <c r="KY1221" s="13"/>
      <c r="KZ1221" s="13"/>
      <c r="LA1221" s="13"/>
      <c r="LB1221" s="13"/>
      <c r="LC1221" s="13"/>
      <c r="LD1221" s="13"/>
      <c r="LE1221" s="13"/>
      <c r="LF1221" s="13"/>
      <c r="LG1221" s="13"/>
      <c r="LH1221" s="13"/>
      <c r="LI1221" s="13"/>
      <c r="LJ1221" s="13"/>
      <c r="LK1221" s="13"/>
      <c r="LL1221" s="13"/>
      <c r="LM1221" s="13"/>
      <c r="LN1221" s="13"/>
      <c r="LO1221" s="13"/>
      <c r="LP1221" s="13"/>
      <c r="LQ1221" s="13"/>
      <c r="LR1221" s="13"/>
      <c r="LS1221" s="13"/>
      <c r="LT1221" s="13"/>
      <c r="LU1221" s="13"/>
      <c r="LV1221" s="13"/>
      <c r="LW1221" s="13"/>
      <c r="LX1221" s="13"/>
      <c r="LY1221" s="13"/>
      <c r="LZ1221" s="13"/>
      <c r="MA1221" s="13"/>
      <c r="MB1221" s="13"/>
      <c r="MC1221" s="13"/>
      <c r="MD1221" s="13"/>
      <c r="ME1221" s="13"/>
      <c r="MF1221" s="13"/>
      <c r="MG1221" s="13"/>
      <c r="MH1221" s="13"/>
      <c r="MI1221" s="13"/>
      <c r="MJ1221" s="13"/>
      <c r="MK1221" s="13"/>
      <c r="ML1221" s="13"/>
      <c r="MM1221" s="13"/>
      <c r="MN1221" s="13"/>
      <c r="MO1221" s="13"/>
      <c r="MP1221" s="13"/>
      <c r="MQ1221" s="13"/>
      <c r="MR1221" s="13"/>
      <c r="MS1221" s="13"/>
      <c r="MT1221" s="13"/>
      <c r="MU1221" s="13"/>
      <c r="MV1221" s="13"/>
      <c r="MW1221" s="13"/>
      <c r="MX1221" s="13"/>
      <c r="MY1221" s="13"/>
      <c r="MZ1221" s="13"/>
      <c r="NA1221" s="13"/>
      <c r="NB1221" s="13"/>
      <c r="NC1221" s="13"/>
      <c r="ND1221" s="13"/>
      <c r="NE1221" s="13"/>
      <c r="NF1221" s="13"/>
      <c r="NG1221" s="13"/>
      <c r="NH1221" s="13"/>
      <c r="NI1221" s="13"/>
      <c r="NJ1221" s="13"/>
      <c r="NK1221" s="13"/>
      <c r="NL1221" s="13"/>
      <c r="NM1221" s="13"/>
      <c r="NN1221" s="13"/>
      <c r="NO1221" s="13"/>
      <c r="NP1221" s="13"/>
      <c r="NQ1221" s="13"/>
      <c r="NR1221" s="13"/>
      <c r="NS1221" s="13"/>
      <c r="NT1221" s="13"/>
      <c r="NU1221" s="13"/>
      <c r="NV1221" s="13"/>
      <c r="NW1221" s="13"/>
      <c r="NX1221" s="13"/>
      <c r="NY1221" s="13"/>
      <c r="NZ1221" s="13"/>
      <c r="OA1221" s="13"/>
      <c r="OB1221" s="13"/>
      <c r="OC1221" s="13"/>
      <c r="OD1221" s="13"/>
      <c r="OE1221" s="13"/>
      <c r="OF1221" s="13"/>
      <c r="OG1221" s="13"/>
      <c r="OH1221" s="13"/>
      <c r="OI1221" s="13"/>
      <c r="OJ1221" s="13"/>
      <c r="OK1221" s="13"/>
      <c r="OL1221" s="13"/>
      <c r="OM1221" s="13"/>
      <c r="ON1221" s="13"/>
      <c r="OO1221" s="13"/>
      <c r="OP1221" s="13"/>
      <c r="OQ1221" s="13"/>
      <c r="OR1221" s="13"/>
      <c r="OS1221" s="13"/>
      <c r="OT1221" s="13"/>
      <c r="OU1221" s="13"/>
      <c r="OV1221" s="13"/>
      <c r="OW1221" s="13"/>
      <c r="OX1221" s="13"/>
      <c r="OY1221" s="13"/>
      <c r="OZ1221" s="13"/>
      <c r="PA1221" s="13"/>
      <c r="PB1221" s="13"/>
      <c r="PC1221" s="13"/>
      <c r="PD1221" s="13"/>
      <c r="PE1221" s="13"/>
      <c r="PF1221" s="13"/>
      <c r="PG1221" s="13"/>
      <c r="PH1221" s="13"/>
      <c r="PI1221" s="13"/>
      <c r="PJ1221" s="13"/>
      <c r="PK1221" s="13"/>
      <c r="PL1221" s="13"/>
      <c r="PM1221" s="13"/>
      <c r="PN1221" s="13"/>
      <c r="PO1221" s="13"/>
      <c r="PP1221" s="13"/>
      <c r="PQ1221" s="13"/>
      <c r="PR1221" s="13"/>
      <c r="PS1221" s="13"/>
      <c r="PT1221" s="13"/>
      <c r="PU1221" s="13"/>
      <c r="PV1221" s="13"/>
      <c r="PW1221" s="13"/>
      <c r="PX1221" s="13"/>
      <c r="PY1221" s="13"/>
      <c r="PZ1221" s="13"/>
      <c r="QA1221" s="13"/>
      <c r="QB1221" s="13"/>
      <c r="QC1221" s="13"/>
      <c r="QD1221" s="13"/>
      <c r="QE1221" s="13"/>
      <c r="QF1221" s="13"/>
      <c r="QG1221" s="13"/>
      <c r="QH1221" s="13"/>
      <c r="QI1221" s="13"/>
      <c r="QJ1221" s="13"/>
      <c r="QK1221" s="13"/>
      <c r="QL1221" s="13"/>
      <c r="QM1221" s="13"/>
      <c r="QN1221" s="13"/>
      <c r="QO1221" s="13"/>
      <c r="QP1221" s="13"/>
      <c r="QQ1221" s="13"/>
      <c r="QR1221" s="13"/>
      <c r="QS1221" s="13"/>
      <c r="QT1221" s="13"/>
      <c r="QU1221" s="13"/>
      <c r="QV1221" s="13"/>
      <c r="QW1221" s="13"/>
      <c r="QX1221" s="13"/>
      <c r="QY1221" s="13"/>
      <c r="QZ1221" s="13"/>
      <c r="RA1221" s="13"/>
      <c r="RB1221" s="13"/>
      <c r="RC1221" s="13"/>
      <c r="RD1221" s="13"/>
      <c r="RE1221" s="13"/>
      <c r="RF1221" s="13"/>
      <c r="RG1221" s="13"/>
      <c r="RH1221" s="13"/>
      <c r="RI1221" s="13"/>
      <c r="RJ1221" s="13"/>
      <c r="RK1221" s="13"/>
      <c r="RL1221" s="13"/>
      <c r="RM1221" s="13"/>
      <c r="RN1221" s="13"/>
      <c r="RO1221" s="13"/>
      <c r="RP1221" s="13"/>
      <c r="RQ1221" s="13"/>
      <c r="RR1221" s="13"/>
      <c r="RS1221" s="13"/>
      <c r="RT1221" s="13"/>
      <c r="RU1221" s="13"/>
      <c r="RV1221" s="13"/>
      <c r="RW1221" s="13"/>
      <c r="RX1221" s="13"/>
      <c r="RY1221" s="13"/>
      <c r="RZ1221" s="13"/>
      <c r="SA1221" s="13"/>
      <c r="SB1221" s="13"/>
      <c r="SC1221" s="13"/>
      <c r="SD1221" s="13"/>
      <c r="SE1221" s="13"/>
      <c r="SF1221" s="13"/>
      <c r="SG1221" s="13"/>
      <c r="SH1221" s="13"/>
      <c r="SI1221" s="13"/>
      <c r="SJ1221" s="13"/>
      <c r="SK1221" s="13"/>
      <c r="SL1221" s="13"/>
      <c r="SM1221" s="13"/>
      <c r="SN1221" s="13"/>
      <c r="SO1221" s="13"/>
      <c r="SP1221" s="13"/>
      <c r="SQ1221" s="13"/>
      <c r="SR1221" s="13"/>
      <c r="SS1221" s="13"/>
      <c r="ST1221" s="13"/>
      <c r="SU1221" s="13"/>
      <c r="SV1221" s="13"/>
      <c r="SW1221" s="13"/>
      <c r="SX1221" s="13"/>
      <c r="SY1221" s="13"/>
      <c r="SZ1221" s="13"/>
      <c r="TA1221" s="13"/>
      <c r="TB1221" s="13"/>
      <c r="TC1221" s="13"/>
      <c r="TD1221" s="13"/>
      <c r="TE1221" s="13"/>
      <c r="TF1221" s="13"/>
      <c r="TG1221" s="13"/>
      <c r="TH1221" s="13"/>
      <c r="TI1221" s="13"/>
      <c r="TJ1221" s="13"/>
      <c r="TK1221" s="13"/>
      <c r="TL1221" s="13"/>
      <c r="TM1221" s="13"/>
      <c r="TN1221" s="13"/>
      <c r="TO1221" s="13"/>
      <c r="TP1221" s="13"/>
      <c r="TQ1221" s="13"/>
      <c r="TR1221" s="13"/>
      <c r="TS1221" s="13"/>
      <c r="TT1221" s="13"/>
      <c r="TU1221" s="13"/>
      <c r="TV1221" s="13"/>
      <c r="TW1221" s="13"/>
      <c r="TX1221" s="13"/>
      <c r="TY1221" s="13"/>
      <c r="TZ1221" s="13"/>
      <c r="UA1221" s="13"/>
      <c r="UB1221" s="13"/>
      <c r="UC1221" s="13"/>
      <c r="UD1221" s="13"/>
      <c r="UE1221" s="13"/>
      <c r="UF1221" s="13"/>
      <c r="UG1221" s="13"/>
      <c r="UH1221" s="13"/>
      <c r="UI1221" s="13"/>
      <c r="UJ1221" s="13"/>
      <c r="UK1221" s="13"/>
      <c r="UL1221" s="13"/>
      <c r="UM1221" s="13"/>
      <c r="UN1221" s="13"/>
      <c r="UO1221" s="13"/>
      <c r="UP1221" s="13"/>
      <c r="UQ1221" s="13"/>
      <c r="UR1221" s="13"/>
      <c r="US1221" s="13"/>
      <c r="UT1221" s="13"/>
      <c r="UU1221" s="13"/>
      <c r="UV1221" s="13"/>
      <c r="UW1221" s="13"/>
      <c r="UX1221" s="13"/>
      <c r="UY1221" s="13"/>
      <c r="UZ1221" s="13"/>
      <c r="VA1221" s="13"/>
      <c r="VB1221" s="13"/>
      <c r="VC1221" s="13"/>
      <c r="VD1221" s="13"/>
      <c r="VE1221" s="13"/>
      <c r="VF1221" s="13"/>
      <c r="VG1221" s="13"/>
      <c r="VH1221" s="13"/>
      <c r="VI1221" s="13"/>
      <c r="VJ1221" s="13"/>
      <c r="VK1221" s="13"/>
      <c r="VL1221" s="13"/>
      <c r="VM1221" s="13"/>
      <c r="VN1221" s="13"/>
      <c r="VO1221" s="13"/>
      <c r="VP1221" s="13"/>
      <c r="VQ1221" s="13"/>
      <c r="VR1221" s="13"/>
      <c r="VS1221" s="13"/>
      <c r="VT1221" s="13"/>
      <c r="VU1221" s="13"/>
      <c r="VV1221" s="13"/>
      <c r="VW1221" s="13"/>
      <c r="VX1221" s="13"/>
      <c r="VY1221" s="13"/>
      <c r="VZ1221" s="13"/>
      <c r="WA1221" s="13"/>
      <c r="WB1221" s="13"/>
      <c r="WC1221" s="13"/>
      <c r="WD1221" s="13"/>
      <c r="WE1221" s="13"/>
      <c r="WF1221" s="13"/>
      <c r="WG1221" s="13"/>
      <c r="WH1221" s="13"/>
      <c r="WI1221" s="13"/>
      <c r="WJ1221" s="13"/>
      <c r="WK1221" s="13"/>
      <c r="WL1221" s="13"/>
      <c r="WM1221" s="13"/>
      <c r="WN1221" s="13"/>
      <c r="WO1221" s="13"/>
      <c r="WP1221" s="13"/>
      <c r="WQ1221" s="13"/>
      <c r="WR1221" s="13"/>
      <c r="WS1221" s="13"/>
      <c r="WT1221" s="13"/>
      <c r="WU1221" s="13"/>
      <c r="WV1221" s="13"/>
      <c r="WW1221" s="13"/>
      <c r="WX1221" s="13"/>
      <c r="WY1221" s="13"/>
      <c r="WZ1221" s="13"/>
      <c r="XA1221" s="13"/>
      <c r="XB1221" s="13"/>
      <c r="XC1221" s="13"/>
      <c r="XD1221" s="13"/>
      <c r="XE1221" s="13"/>
      <c r="XF1221" s="13"/>
      <c r="XG1221" s="13"/>
      <c r="XH1221" s="13"/>
      <c r="XI1221" s="13"/>
      <c r="XJ1221" s="13"/>
      <c r="XK1221" s="13"/>
      <c r="XL1221" s="13"/>
      <c r="XM1221" s="13"/>
      <c r="XN1221" s="13"/>
      <c r="XO1221" s="13"/>
      <c r="XP1221" s="13"/>
      <c r="XQ1221" s="13"/>
      <c r="XR1221" s="13"/>
      <c r="XS1221" s="13"/>
      <c r="XT1221" s="13"/>
      <c r="XU1221" s="13"/>
      <c r="XV1221" s="13"/>
      <c r="XW1221" s="13"/>
      <c r="XX1221" s="13"/>
      <c r="XY1221" s="13"/>
      <c r="XZ1221" s="13"/>
      <c r="YA1221" s="13"/>
      <c r="YB1221" s="13"/>
      <c r="YC1221" s="13"/>
      <c r="YD1221" s="13"/>
      <c r="YE1221" s="13"/>
      <c r="YF1221" s="13"/>
      <c r="YG1221" s="13"/>
      <c r="YH1221" s="13"/>
      <c r="YI1221" s="13"/>
      <c r="YJ1221" s="13"/>
      <c r="YK1221" s="13"/>
      <c r="YL1221" s="13"/>
      <c r="YM1221" s="13"/>
      <c r="YN1221" s="13"/>
      <c r="YO1221" s="13"/>
      <c r="YP1221" s="13"/>
      <c r="YQ1221" s="13"/>
      <c r="YR1221" s="13"/>
      <c r="YS1221" s="13"/>
      <c r="YT1221" s="13"/>
      <c r="YU1221" s="13"/>
      <c r="YV1221" s="13"/>
      <c r="YW1221" s="13"/>
      <c r="YX1221" s="13"/>
      <c r="YY1221" s="13"/>
      <c r="YZ1221" s="13"/>
      <c r="ZA1221" s="13"/>
      <c r="ZB1221" s="13"/>
      <c r="ZC1221" s="13"/>
      <c r="ZD1221" s="13"/>
      <c r="ZE1221" s="13"/>
      <c r="ZF1221" s="13"/>
      <c r="ZG1221" s="13"/>
      <c r="ZH1221" s="13"/>
      <c r="ZI1221" s="13"/>
      <c r="ZJ1221" s="13"/>
      <c r="ZK1221" s="13"/>
      <c r="ZL1221" s="13"/>
      <c r="ZM1221" s="13"/>
      <c r="ZN1221" s="13"/>
      <c r="ZO1221" s="13"/>
      <c r="ZP1221" s="13"/>
      <c r="ZQ1221" s="13"/>
      <c r="ZR1221" s="13"/>
      <c r="ZS1221" s="13"/>
      <c r="ZT1221" s="13"/>
      <c r="ZU1221" s="13"/>
      <c r="ZV1221" s="13"/>
      <c r="ZW1221" s="13"/>
      <c r="ZX1221" s="13"/>
      <c r="ZY1221" s="13"/>
      <c r="ZZ1221" s="13"/>
      <c r="AAA1221" s="13"/>
      <c r="AAB1221" s="13"/>
      <c r="AAC1221" s="13"/>
      <c r="AAD1221" s="13"/>
      <c r="AAE1221" s="13"/>
      <c r="AAF1221" s="13"/>
      <c r="AAG1221" s="13"/>
      <c r="AAH1221" s="13"/>
      <c r="AAI1221" s="13"/>
      <c r="AAJ1221" s="13"/>
      <c r="AAK1221" s="13"/>
      <c r="AAL1221" s="13"/>
      <c r="AAM1221" s="13"/>
      <c r="AAN1221" s="13"/>
      <c r="AAO1221" s="13"/>
      <c r="AAP1221" s="13"/>
      <c r="AAQ1221" s="13"/>
      <c r="AAR1221" s="13"/>
      <c r="AAS1221" s="13"/>
      <c r="AAT1221" s="13"/>
      <c r="AAU1221" s="13"/>
      <c r="AAV1221" s="13"/>
      <c r="AAW1221" s="13"/>
      <c r="AAX1221" s="13"/>
      <c r="AAY1221" s="13"/>
      <c r="AAZ1221" s="13"/>
      <c r="ABA1221" s="13"/>
      <c r="ABB1221" s="13"/>
      <c r="ABC1221" s="13"/>
      <c r="ABD1221" s="13"/>
      <c r="ABE1221" s="13"/>
      <c r="ABF1221" s="13"/>
      <c r="ABG1221" s="13"/>
      <c r="ABH1221" s="13"/>
      <c r="ABI1221" s="13"/>
      <c r="ABJ1221" s="13"/>
      <c r="ABK1221" s="13"/>
      <c r="ABL1221" s="13"/>
      <c r="ABM1221" s="13"/>
      <c r="ABN1221" s="13"/>
      <c r="ABO1221" s="13"/>
      <c r="ABP1221" s="13"/>
      <c r="ABQ1221" s="13"/>
      <c r="ABR1221" s="13"/>
      <c r="ABS1221" s="13"/>
      <c r="ABT1221" s="13"/>
      <c r="ABU1221" s="13"/>
      <c r="ABV1221" s="13"/>
      <c r="ABW1221" s="13"/>
      <c r="ABX1221" s="13"/>
      <c r="ABY1221" s="13"/>
      <c r="ABZ1221" s="13"/>
      <c r="ACA1221" s="13"/>
      <c r="ACB1221" s="13"/>
      <c r="ACC1221" s="13"/>
      <c r="ACD1221" s="13"/>
      <c r="ACE1221" s="13"/>
      <c r="ACF1221" s="13"/>
      <c r="ACG1221" s="13"/>
      <c r="ACH1221" s="13"/>
      <c r="ACI1221" s="13"/>
      <c r="ACJ1221" s="13"/>
      <c r="ACK1221" s="13"/>
      <c r="ACL1221" s="13"/>
      <c r="ACM1221" s="13"/>
      <c r="ACN1221" s="13"/>
      <c r="ACO1221" s="13"/>
      <c r="ACP1221" s="13"/>
      <c r="ACQ1221" s="13"/>
      <c r="ACR1221" s="13"/>
      <c r="ACS1221" s="13"/>
      <c r="ACT1221" s="13"/>
      <c r="ACU1221" s="13"/>
      <c r="ACV1221" s="13"/>
      <c r="ACW1221" s="13"/>
      <c r="ACX1221" s="13"/>
      <c r="ACY1221" s="13"/>
      <c r="ACZ1221" s="13"/>
      <c r="ADA1221" s="13"/>
      <c r="ADB1221" s="13"/>
      <c r="ADC1221" s="13"/>
      <c r="ADD1221" s="13"/>
      <c r="ADE1221" s="13"/>
      <c r="ADF1221" s="13"/>
      <c r="ADG1221" s="13"/>
      <c r="ADH1221" s="13"/>
      <c r="ADI1221" s="13"/>
      <c r="ADJ1221" s="13"/>
      <c r="ADK1221" s="13"/>
      <c r="ADL1221" s="13"/>
      <c r="ADM1221" s="13"/>
      <c r="ADN1221" s="13"/>
      <c r="ADO1221" s="13"/>
      <c r="ADP1221" s="13"/>
      <c r="ADQ1221" s="13"/>
      <c r="ADR1221" s="13"/>
      <c r="ADS1221" s="13"/>
      <c r="ADT1221" s="13"/>
      <c r="ADU1221" s="13"/>
      <c r="ADV1221" s="13"/>
      <c r="ADW1221" s="13"/>
      <c r="ADX1221" s="13"/>
      <c r="ADY1221" s="13"/>
      <c r="ADZ1221" s="13"/>
      <c r="AEA1221" s="13"/>
      <c r="AEB1221" s="13"/>
      <c r="AEC1221" s="13"/>
      <c r="AED1221" s="13"/>
      <c r="AEE1221" s="13"/>
      <c r="AEF1221" s="13"/>
      <c r="AEG1221" s="13"/>
      <c r="AEH1221" s="13"/>
      <c r="AEI1221" s="13"/>
      <c r="AEJ1221" s="13"/>
      <c r="AEK1221" s="13"/>
      <c r="AEL1221" s="13"/>
      <c r="AEM1221" s="13"/>
      <c r="AEN1221" s="13"/>
      <c r="AEO1221" s="13"/>
      <c r="AEP1221" s="13"/>
      <c r="AEQ1221" s="13"/>
      <c r="AER1221" s="13"/>
      <c r="AES1221" s="13"/>
      <c r="AET1221" s="13"/>
      <c r="AEU1221" s="13"/>
      <c r="AEV1221" s="13"/>
      <c r="AEW1221" s="13"/>
      <c r="AEX1221" s="13"/>
      <c r="AEY1221" s="13"/>
      <c r="AEZ1221" s="13"/>
      <c r="AFA1221" s="13"/>
      <c r="AFB1221" s="13"/>
      <c r="AFC1221" s="13"/>
      <c r="AFD1221" s="13"/>
      <c r="AFE1221" s="13"/>
      <c r="AFF1221" s="13"/>
      <c r="AFG1221" s="13"/>
      <c r="AFH1221" s="13"/>
      <c r="AFI1221" s="13"/>
      <c r="AFJ1221" s="13"/>
      <c r="AFK1221" s="13"/>
      <c r="AFL1221" s="13"/>
      <c r="AFM1221" s="13"/>
      <c r="AFN1221" s="13"/>
      <c r="AFO1221" s="13"/>
      <c r="AFP1221" s="13"/>
      <c r="AFQ1221" s="13"/>
      <c r="AFR1221" s="13"/>
      <c r="AFS1221" s="13"/>
      <c r="AFT1221" s="13"/>
      <c r="AFU1221" s="13"/>
      <c r="AFV1221" s="13"/>
      <c r="AFW1221" s="13"/>
      <c r="AFX1221" s="13"/>
      <c r="AFY1221" s="13"/>
      <c r="AFZ1221" s="13"/>
      <c r="AGA1221" s="13"/>
      <c r="AGB1221" s="13"/>
      <c r="AGC1221" s="13"/>
      <c r="AGD1221" s="13"/>
      <c r="AGE1221" s="13"/>
      <c r="AGF1221" s="13"/>
      <c r="AGG1221" s="13"/>
      <c r="AGH1221" s="13"/>
      <c r="AGI1221" s="13"/>
      <c r="AGJ1221" s="13"/>
      <c r="AGK1221" s="13"/>
      <c r="AGL1221" s="13"/>
      <c r="AGM1221" s="13"/>
      <c r="AGN1221" s="13"/>
      <c r="AGO1221" s="13"/>
      <c r="AGP1221" s="13"/>
      <c r="AGQ1221" s="13"/>
      <c r="AGR1221" s="13"/>
      <c r="AGS1221" s="13"/>
      <c r="AGT1221" s="13"/>
      <c r="AGU1221" s="13"/>
      <c r="AGV1221" s="13"/>
      <c r="AGW1221" s="13"/>
      <c r="AGX1221" s="13"/>
      <c r="AGY1221" s="13"/>
      <c r="AGZ1221" s="13"/>
      <c r="AHA1221" s="13"/>
      <c r="AHB1221" s="13"/>
      <c r="AHC1221" s="13"/>
      <c r="AHD1221" s="13"/>
      <c r="AHE1221" s="13"/>
      <c r="AHF1221" s="13"/>
      <c r="AHG1221" s="13"/>
      <c r="AHH1221" s="13"/>
      <c r="AHI1221" s="13"/>
      <c r="AHJ1221" s="13"/>
      <c r="AHK1221" s="13"/>
      <c r="AHL1221" s="13"/>
      <c r="AHM1221" s="13"/>
      <c r="AHN1221" s="13"/>
      <c r="AHO1221" s="13"/>
      <c r="AHP1221" s="13"/>
      <c r="AHQ1221" s="13"/>
      <c r="AHR1221" s="13"/>
      <c r="AHS1221" s="13"/>
      <c r="AHT1221" s="13"/>
      <c r="AHU1221" s="13"/>
      <c r="AHV1221" s="13"/>
      <c r="AHW1221" s="13"/>
      <c r="AHX1221" s="13"/>
      <c r="AHY1221" s="13"/>
      <c r="AHZ1221" s="13"/>
      <c r="AIA1221" s="13"/>
      <c r="AIB1221" s="13"/>
      <c r="AIC1221" s="13"/>
      <c r="AID1221" s="13"/>
      <c r="AIE1221" s="13"/>
      <c r="AIF1221" s="13"/>
      <c r="AIG1221" s="13"/>
      <c r="AIH1221" s="13"/>
      <c r="AII1221" s="13"/>
      <c r="AIJ1221" s="13"/>
      <c r="AIK1221" s="13"/>
      <c r="AIL1221" s="13"/>
      <c r="AIM1221" s="13"/>
      <c r="AIN1221" s="13"/>
      <c r="AIO1221" s="13"/>
      <c r="AIP1221" s="13"/>
      <c r="AIQ1221" s="13"/>
      <c r="AIR1221" s="13"/>
      <c r="AIS1221" s="13"/>
      <c r="AIT1221" s="13"/>
      <c r="AIU1221" s="13"/>
      <c r="AIV1221" s="13"/>
      <c r="AIW1221" s="13"/>
      <c r="AIX1221" s="13"/>
      <c r="AIY1221" s="13"/>
      <c r="AIZ1221" s="13"/>
      <c r="AJA1221" s="13"/>
      <c r="AJB1221" s="13"/>
      <c r="AJC1221" s="13"/>
      <c r="AJD1221" s="13"/>
      <c r="AJE1221" s="13"/>
      <c r="AJF1221" s="13"/>
      <c r="AJG1221" s="13"/>
      <c r="AJH1221" s="13"/>
      <c r="AJI1221" s="13"/>
      <c r="AJJ1221" s="13"/>
      <c r="AJK1221" s="13"/>
      <c r="AJL1221" s="13"/>
      <c r="AJM1221" s="13"/>
      <c r="AJN1221" s="13"/>
      <c r="AJO1221" s="13"/>
      <c r="AJP1221" s="13"/>
      <c r="AJQ1221" s="13"/>
      <c r="AJR1221" s="13"/>
      <c r="AJS1221" s="13"/>
      <c r="AJT1221" s="13"/>
      <c r="AJU1221" s="13"/>
      <c r="AJV1221" s="13"/>
      <c r="AJW1221" s="13"/>
      <c r="AJX1221" s="13"/>
      <c r="AJY1221" s="13"/>
      <c r="AJZ1221" s="13"/>
      <c r="AKA1221" s="13"/>
      <c r="AKB1221" s="13"/>
      <c r="AKC1221" s="13"/>
      <c r="AKD1221" s="13"/>
      <c r="AKE1221" s="13"/>
      <c r="AKF1221" s="13"/>
      <c r="AKG1221" s="13"/>
      <c r="AKH1221" s="13"/>
      <c r="AKI1221" s="13"/>
      <c r="AKJ1221" s="13"/>
      <c r="AKK1221" s="13"/>
      <c r="AKL1221" s="13"/>
      <c r="AKM1221" s="13"/>
      <c r="AKN1221" s="13"/>
      <c r="AKO1221" s="13"/>
      <c r="AKP1221" s="13"/>
      <c r="AKQ1221" s="13"/>
      <c r="AKR1221" s="13"/>
      <c r="AKS1221" s="13"/>
      <c r="AKT1221" s="13"/>
      <c r="AKU1221" s="13"/>
      <c r="AKV1221" s="13"/>
      <c r="AKW1221" s="13"/>
      <c r="AKX1221" s="13"/>
      <c r="AKY1221" s="13"/>
      <c r="AKZ1221" s="13"/>
      <c r="ALA1221" s="13"/>
      <c r="ALB1221" s="13"/>
      <c r="ALC1221" s="13"/>
      <c r="ALD1221" s="13"/>
      <c r="ALE1221" s="13"/>
      <c r="ALF1221" s="13"/>
      <c r="ALG1221" s="13"/>
      <c r="ALH1221" s="13"/>
      <c r="ALI1221" s="13"/>
      <c r="ALJ1221" s="13"/>
      <c r="ALK1221" s="13"/>
      <c r="ALL1221" s="13"/>
      <c r="ALM1221" s="13"/>
      <c r="ALN1221" s="13"/>
      <c r="ALO1221" s="13"/>
      <c r="ALP1221" s="13"/>
      <c r="ALQ1221" s="13"/>
      <c r="ALR1221" s="13"/>
      <c r="ALS1221" s="13"/>
      <c r="ALT1221" s="13"/>
      <c r="ALU1221" s="13"/>
      <c r="ALV1221" s="13"/>
      <c r="ALW1221" s="13"/>
      <c r="ALX1221" s="13"/>
      <c r="ALY1221" s="13"/>
      <c r="ALZ1221" s="13"/>
      <c r="AMA1221" s="13"/>
      <c r="AMB1221" s="13"/>
      <c r="AMC1221" s="13"/>
      <c r="AMD1221" s="13"/>
      <c r="AME1221" s="13"/>
      <c r="AMF1221" s="13"/>
      <c r="AMG1221" s="13"/>
      <c r="AMH1221" s="13"/>
      <c r="AMI1221" s="13"/>
      <c r="AMJ1221" s="13"/>
      <c r="AMK1221" s="13"/>
      <c r="AML1221" s="13"/>
      <c r="AMM1221" s="13"/>
      <c r="AMN1221" s="13"/>
      <c r="AMO1221" s="13"/>
      <c r="AMP1221" s="13"/>
      <c r="AMQ1221" s="13"/>
      <c r="AMR1221" s="13"/>
      <c r="AMS1221" s="13"/>
      <c r="AMT1221" s="13"/>
      <c r="AMU1221" s="13"/>
      <c r="AMV1221" s="13"/>
      <c r="AMW1221" s="13"/>
      <c r="AMX1221" s="13"/>
      <c r="AMY1221" s="13"/>
      <c r="AMZ1221" s="13"/>
      <c r="ANA1221" s="13"/>
      <c r="ANB1221" s="13"/>
      <c r="ANC1221" s="13"/>
      <c r="AND1221" s="13"/>
      <c r="ANE1221" s="13"/>
      <c r="ANF1221" s="13"/>
      <c r="ANG1221" s="13"/>
      <c r="ANH1221" s="13"/>
      <c r="ANI1221" s="13"/>
      <c r="ANJ1221" s="13"/>
      <c r="ANK1221" s="13"/>
      <c r="ANL1221" s="13"/>
      <c r="ANM1221" s="13"/>
      <c r="ANN1221" s="13"/>
      <c r="ANO1221" s="13"/>
      <c r="ANP1221" s="13"/>
      <c r="ANQ1221" s="13"/>
      <c r="ANR1221" s="13"/>
      <c r="ANS1221" s="13"/>
      <c r="ANT1221" s="13"/>
      <c r="ANU1221" s="13"/>
      <c r="ANV1221" s="13"/>
      <c r="ANW1221" s="13"/>
      <c r="ANX1221" s="13"/>
      <c r="ANY1221" s="13"/>
      <c r="ANZ1221" s="13"/>
      <c r="AOA1221" s="13"/>
      <c r="AOB1221" s="13"/>
      <c r="AOC1221" s="13"/>
      <c r="AOD1221" s="13"/>
      <c r="AOE1221" s="13"/>
      <c r="AOF1221" s="13"/>
      <c r="AOG1221" s="13"/>
      <c r="AOH1221" s="13"/>
      <c r="AOI1221" s="13"/>
      <c r="AOJ1221" s="13"/>
      <c r="AOK1221" s="13"/>
      <c r="AOL1221" s="13"/>
      <c r="AOM1221" s="13"/>
      <c r="AON1221" s="13"/>
      <c r="AOO1221" s="13"/>
      <c r="AOP1221" s="13"/>
      <c r="AOQ1221" s="13"/>
      <c r="AOR1221" s="13"/>
      <c r="AOS1221" s="13"/>
      <c r="AOT1221" s="13"/>
      <c r="AOU1221" s="13"/>
      <c r="AOV1221" s="13"/>
      <c r="AOW1221" s="13"/>
      <c r="AOX1221" s="13"/>
      <c r="AOY1221" s="13"/>
      <c r="AOZ1221" s="13"/>
      <c r="APA1221" s="13"/>
      <c r="APB1221" s="13"/>
      <c r="APC1221" s="13"/>
      <c r="APD1221" s="13"/>
      <c r="APE1221" s="13"/>
      <c r="APF1221" s="13"/>
      <c r="APG1221" s="13"/>
      <c r="APH1221" s="13"/>
      <c r="API1221" s="13"/>
      <c r="APJ1221" s="13"/>
      <c r="APK1221" s="13"/>
      <c r="APL1221" s="13"/>
      <c r="APM1221" s="13"/>
      <c r="APN1221" s="13"/>
      <c r="APO1221" s="13"/>
      <c r="APP1221" s="13"/>
      <c r="APQ1221" s="13"/>
      <c r="APR1221" s="13"/>
      <c r="APS1221" s="13"/>
      <c r="APT1221" s="13"/>
      <c r="APU1221" s="13"/>
      <c r="APV1221" s="13"/>
      <c r="APW1221" s="13"/>
      <c r="APX1221" s="13"/>
      <c r="APY1221" s="13"/>
      <c r="APZ1221" s="13"/>
      <c r="AQA1221" s="13"/>
      <c r="AQB1221" s="13"/>
      <c r="AQC1221" s="13"/>
      <c r="AQD1221" s="13"/>
      <c r="AQE1221" s="13"/>
      <c r="AQF1221" s="13"/>
      <c r="AQG1221" s="13"/>
      <c r="AQH1221" s="13"/>
      <c r="AQI1221" s="13"/>
      <c r="AQJ1221" s="13"/>
      <c r="AQK1221" s="13"/>
      <c r="AQL1221" s="13"/>
      <c r="AQM1221" s="13"/>
      <c r="AQN1221" s="13"/>
      <c r="AQO1221" s="13"/>
      <c r="AQP1221" s="13"/>
      <c r="AQQ1221" s="13"/>
      <c r="AQR1221" s="13"/>
      <c r="AQS1221" s="13"/>
      <c r="AQT1221" s="13"/>
      <c r="AQU1221" s="13"/>
      <c r="AQV1221" s="13"/>
      <c r="AQW1221" s="13"/>
      <c r="AQX1221" s="13"/>
      <c r="AQY1221" s="13"/>
      <c r="AQZ1221" s="13"/>
      <c r="ARA1221" s="13"/>
      <c r="ARB1221" s="13"/>
      <c r="ARC1221" s="13"/>
      <c r="ARD1221" s="13"/>
      <c r="ARE1221" s="13"/>
      <c r="ARF1221" s="13"/>
      <c r="ARG1221" s="13"/>
      <c r="ARH1221" s="13"/>
      <c r="ARI1221" s="13"/>
      <c r="ARJ1221" s="13"/>
      <c r="ARK1221" s="13"/>
      <c r="ARL1221" s="13"/>
      <c r="ARM1221" s="13"/>
      <c r="ARN1221" s="13"/>
      <c r="ARO1221" s="13"/>
      <c r="ARP1221" s="13"/>
      <c r="ARQ1221" s="13"/>
      <c r="ARR1221" s="13"/>
      <c r="ARS1221" s="13"/>
      <c r="ART1221" s="13"/>
      <c r="ARU1221" s="13"/>
      <c r="ARV1221" s="13"/>
      <c r="ARW1221" s="13"/>
      <c r="ARX1221" s="13"/>
      <c r="ARY1221" s="13"/>
      <c r="ARZ1221" s="13"/>
      <c r="ASA1221" s="13"/>
      <c r="ASB1221" s="13"/>
      <c r="ASC1221" s="13"/>
      <c r="ASD1221" s="13"/>
      <c r="ASE1221" s="13"/>
      <c r="ASF1221" s="13"/>
      <c r="ASG1221" s="13"/>
      <c r="ASH1221" s="13"/>
      <c r="ASI1221" s="13"/>
      <c r="ASJ1221" s="13"/>
      <c r="ASK1221" s="13"/>
      <c r="ASL1221" s="13"/>
      <c r="ASM1221" s="13"/>
      <c r="ASN1221" s="13"/>
      <c r="ASO1221" s="13"/>
      <c r="ASP1221" s="13"/>
      <c r="ASQ1221" s="13"/>
      <c r="ASR1221" s="13"/>
      <c r="ASS1221" s="13"/>
      <c r="AST1221" s="13"/>
      <c r="ASU1221" s="13"/>
      <c r="ASV1221" s="13"/>
      <c r="ASW1221" s="13"/>
      <c r="ASX1221" s="13"/>
      <c r="ASY1221" s="13"/>
      <c r="ASZ1221" s="13"/>
      <c r="ATA1221" s="13"/>
      <c r="ATB1221" s="13"/>
      <c r="ATC1221" s="13"/>
      <c r="ATD1221" s="13"/>
      <c r="ATE1221" s="13"/>
      <c r="ATF1221" s="13"/>
      <c r="ATG1221" s="13"/>
      <c r="ATH1221" s="13"/>
      <c r="ATI1221" s="13"/>
      <c r="ATJ1221" s="13"/>
      <c r="ATK1221" s="13"/>
      <c r="ATL1221" s="13"/>
      <c r="ATM1221" s="13"/>
      <c r="ATN1221" s="13"/>
      <c r="ATO1221" s="13"/>
      <c r="ATP1221" s="13"/>
      <c r="ATQ1221" s="13"/>
      <c r="ATR1221" s="13"/>
      <c r="ATS1221" s="13"/>
      <c r="ATT1221" s="13"/>
      <c r="ATU1221" s="13"/>
      <c r="ATV1221" s="13"/>
      <c r="ATW1221" s="13"/>
      <c r="ATX1221" s="13"/>
      <c r="ATY1221" s="13"/>
      <c r="ATZ1221" s="13"/>
      <c r="AUA1221" s="13"/>
      <c r="AUB1221" s="13"/>
      <c r="AUC1221" s="13"/>
      <c r="AUD1221" s="13"/>
      <c r="AUE1221" s="13"/>
      <c r="AUF1221" s="13"/>
      <c r="AUG1221" s="13"/>
      <c r="AUH1221" s="13"/>
      <c r="AUI1221" s="13"/>
      <c r="AUJ1221" s="13"/>
      <c r="AUK1221" s="13"/>
      <c r="AUL1221" s="13"/>
      <c r="AUM1221" s="13"/>
      <c r="AUN1221" s="13"/>
      <c r="AUO1221" s="13"/>
      <c r="AUP1221" s="13"/>
      <c r="AUQ1221" s="13"/>
      <c r="AUR1221" s="13"/>
      <c r="AUS1221" s="13"/>
      <c r="AUT1221" s="13"/>
      <c r="AUU1221" s="13"/>
      <c r="AUV1221" s="13"/>
      <c r="AUW1221" s="13"/>
      <c r="AUX1221" s="13"/>
      <c r="AUY1221" s="13"/>
      <c r="AUZ1221" s="13"/>
      <c r="AVA1221" s="13"/>
      <c r="AVB1221" s="13"/>
      <c r="AVC1221" s="13"/>
      <c r="AVD1221" s="13"/>
      <c r="AVE1221" s="13"/>
      <c r="AVF1221" s="13"/>
      <c r="AVG1221" s="13"/>
      <c r="AVH1221" s="13"/>
      <c r="AVI1221" s="13"/>
      <c r="AVJ1221" s="13"/>
      <c r="AVK1221" s="13"/>
      <c r="AVL1221" s="13"/>
      <c r="AVM1221" s="13"/>
      <c r="AVN1221" s="13"/>
      <c r="AVO1221" s="13"/>
      <c r="AVP1221" s="13"/>
      <c r="AVQ1221" s="13"/>
      <c r="AVR1221" s="13"/>
      <c r="AVS1221" s="13"/>
      <c r="AVT1221" s="13"/>
      <c r="AVU1221" s="13"/>
      <c r="AVV1221" s="13"/>
      <c r="AVW1221" s="13"/>
      <c r="AVX1221" s="13"/>
      <c r="AVY1221" s="13"/>
      <c r="AVZ1221" s="13"/>
      <c r="AWA1221" s="13"/>
      <c r="AWB1221" s="13"/>
      <c r="AWC1221" s="13"/>
      <c r="AWD1221" s="13"/>
      <c r="AWE1221" s="13"/>
      <c r="AWF1221" s="13"/>
      <c r="AWG1221" s="13"/>
      <c r="AWH1221" s="13"/>
      <c r="AWI1221" s="13"/>
      <c r="AWJ1221" s="13"/>
      <c r="AWK1221" s="13"/>
      <c r="AWL1221" s="13"/>
      <c r="AWM1221" s="13"/>
      <c r="AWN1221" s="13"/>
      <c r="AWO1221" s="13"/>
      <c r="AWP1221" s="13"/>
      <c r="AWQ1221" s="13"/>
      <c r="AWR1221" s="13"/>
      <c r="AWS1221" s="13"/>
      <c r="AWT1221" s="13"/>
      <c r="AWU1221" s="13"/>
      <c r="AWV1221" s="13"/>
      <c r="AWW1221" s="13"/>
      <c r="AWX1221" s="13"/>
      <c r="AWY1221" s="13"/>
      <c r="AWZ1221" s="13"/>
      <c r="AXA1221" s="13"/>
      <c r="AXB1221" s="13"/>
      <c r="AXC1221" s="13"/>
      <c r="AXD1221" s="13"/>
      <c r="AXE1221" s="13"/>
      <c r="AXF1221" s="13"/>
      <c r="AXG1221" s="13"/>
      <c r="AXH1221" s="13"/>
      <c r="AXI1221" s="13"/>
      <c r="AXJ1221" s="13"/>
      <c r="AXK1221" s="13"/>
      <c r="AXL1221" s="13"/>
      <c r="AXM1221" s="13"/>
      <c r="AXN1221" s="13"/>
      <c r="AXO1221" s="13"/>
      <c r="AXP1221" s="13"/>
      <c r="AXQ1221" s="13"/>
      <c r="AXR1221" s="13"/>
      <c r="AXS1221" s="13"/>
      <c r="AXT1221" s="13"/>
      <c r="AXU1221" s="13"/>
      <c r="AXV1221" s="13"/>
      <c r="AXW1221" s="13"/>
      <c r="AXX1221" s="13"/>
      <c r="AXY1221" s="13"/>
      <c r="AXZ1221" s="13"/>
      <c r="AYA1221" s="13"/>
      <c r="AYB1221" s="13"/>
      <c r="AYC1221" s="13"/>
      <c r="AYD1221" s="13"/>
      <c r="AYE1221" s="13"/>
      <c r="AYF1221" s="13"/>
      <c r="AYG1221" s="13"/>
      <c r="AYH1221" s="13"/>
      <c r="AYI1221" s="13"/>
      <c r="AYJ1221" s="13"/>
      <c r="AYK1221" s="13"/>
      <c r="AYL1221" s="13"/>
      <c r="AYM1221" s="13"/>
      <c r="AYN1221" s="13"/>
      <c r="AYO1221" s="13"/>
      <c r="AYP1221" s="13"/>
      <c r="AYQ1221" s="13"/>
      <c r="AYR1221" s="13"/>
      <c r="AYS1221" s="13"/>
      <c r="AYT1221" s="13"/>
      <c r="AYU1221" s="13"/>
      <c r="AYV1221" s="13"/>
      <c r="AYW1221" s="13"/>
      <c r="AYX1221" s="13"/>
      <c r="AYY1221" s="13"/>
      <c r="AYZ1221" s="13"/>
      <c r="AZA1221" s="13"/>
      <c r="AZB1221" s="13"/>
      <c r="AZC1221" s="13"/>
      <c r="AZD1221" s="13"/>
      <c r="AZE1221" s="13"/>
      <c r="AZF1221" s="13"/>
      <c r="AZG1221" s="13"/>
      <c r="AZH1221" s="13"/>
      <c r="AZI1221" s="13"/>
      <c r="AZJ1221" s="13"/>
      <c r="AZK1221" s="13"/>
      <c r="AZL1221" s="13"/>
      <c r="AZM1221" s="13"/>
      <c r="AZN1221" s="13"/>
      <c r="AZO1221" s="13"/>
      <c r="AZP1221" s="13"/>
      <c r="AZQ1221" s="13"/>
      <c r="AZR1221" s="13"/>
      <c r="AZS1221" s="13"/>
      <c r="AZT1221" s="13"/>
      <c r="AZU1221" s="13"/>
      <c r="AZV1221" s="13"/>
      <c r="AZW1221" s="13"/>
      <c r="AZX1221" s="13"/>
      <c r="AZY1221" s="13"/>
      <c r="AZZ1221" s="13"/>
      <c r="BAA1221" s="13"/>
      <c r="BAB1221" s="13"/>
      <c r="BAC1221" s="13"/>
      <c r="BAD1221" s="13"/>
      <c r="BAE1221" s="13"/>
      <c r="BAF1221" s="13"/>
      <c r="BAG1221" s="13"/>
      <c r="BAH1221" s="13"/>
      <c r="BAI1221" s="13"/>
      <c r="BAJ1221" s="13"/>
      <c r="BAK1221" s="13"/>
      <c r="BAL1221" s="13"/>
      <c r="BAM1221" s="13"/>
      <c r="BAN1221" s="13"/>
      <c r="BAO1221" s="13"/>
      <c r="BAP1221" s="13"/>
      <c r="BAQ1221" s="13"/>
      <c r="BAR1221" s="13"/>
      <c r="BAS1221" s="13"/>
      <c r="BAT1221" s="13"/>
      <c r="BAU1221" s="13"/>
      <c r="BAV1221" s="13"/>
      <c r="BAW1221" s="13"/>
      <c r="BAX1221" s="13"/>
      <c r="BAY1221" s="13"/>
      <c r="BAZ1221" s="13"/>
      <c r="BBA1221" s="13"/>
      <c r="BBB1221" s="13"/>
      <c r="BBC1221" s="13"/>
      <c r="BBD1221" s="13"/>
      <c r="BBE1221" s="13"/>
      <c r="BBF1221" s="13"/>
      <c r="BBG1221" s="13"/>
      <c r="BBH1221" s="13"/>
      <c r="BBI1221" s="13"/>
      <c r="BBJ1221" s="13"/>
      <c r="BBK1221" s="13"/>
      <c r="BBL1221" s="13"/>
      <c r="BBM1221" s="13"/>
      <c r="BBN1221" s="13"/>
      <c r="BBO1221" s="13"/>
      <c r="BBP1221" s="13"/>
      <c r="BBQ1221" s="13"/>
      <c r="BBR1221" s="13"/>
      <c r="BBS1221" s="13"/>
      <c r="BBT1221" s="13"/>
      <c r="BBU1221" s="13"/>
      <c r="BBV1221" s="13"/>
      <c r="BBW1221" s="13"/>
      <c r="BBX1221" s="13"/>
      <c r="BBY1221" s="13"/>
      <c r="BBZ1221" s="13"/>
      <c r="BCA1221" s="13"/>
      <c r="BCB1221" s="13"/>
      <c r="BCC1221" s="13"/>
      <c r="BCD1221" s="13"/>
      <c r="BCE1221" s="13"/>
      <c r="BCF1221" s="13"/>
      <c r="BCG1221" s="13"/>
      <c r="BCH1221" s="13"/>
      <c r="BCI1221" s="13"/>
      <c r="BCJ1221" s="13"/>
      <c r="BCK1221" s="13"/>
      <c r="BCL1221" s="13"/>
      <c r="BCM1221" s="13"/>
      <c r="BCN1221" s="13"/>
      <c r="BCO1221" s="13"/>
      <c r="BCP1221" s="13"/>
      <c r="BCQ1221" s="13"/>
      <c r="BCR1221" s="13"/>
      <c r="BCS1221" s="13"/>
      <c r="BCT1221" s="13"/>
      <c r="BCU1221" s="13"/>
      <c r="BCV1221" s="13"/>
      <c r="BCW1221" s="13"/>
      <c r="BCX1221" s="13"/>
      <c r="BCY1221" s="13"/>
      <c r="BCZ1221" s="13"/>
      <c r="BDA1221" s="13"/>
      <c r="BDB1221" s="13"/>
      <c r="BDC1221" s="13"/>
      <c r="BDD1221" s="13"/>
      <c r="BDE1221" s="13"/>
      <c r="BDF1221" s="13"/>
      <c r="BDG1221" s="13"/>
      <c r="BDH1221" s="13"/>
      <c r="BDI1221" s="13"/>
      <c r="BDJ1221" s="13"/>
      <c r="BDK1221" s="13"/>
      <c r="BDL1221" s="13"/>
      <c r="BDM1221" s="13"/>
      <c r="BDN1221" s="13"/>
      <c r="BDO1221" s="13"/>
      <c r="BDP1221" s="13"/>
      <c r="BDQ1221" s="13"/>
      <c r="BDR1221" s="13"/>
      <c r="BDS1221" s="13"/>
      <c r="BDT1221" s="13"/>
      <c r="BDU1221" s="13"/>
      <c r="BDV1221" s="13"/>
      <c r="BDW1221" s="13"/>
      <c r="BDX1221" s="13"/>
      <c r="BDY1221" s="13"/>
      <c r="BDZ1221" s="13"/>
      <c r="BEA1221" s="13"/>
      <c r="BEB1221" s="13"/>
      <c r="BEC1221" s="13"/>
      <c r="BED1221" s="13"/>
      <c r="BEE1221" s="13"/>
      <c r="BEF1221" s="13"/>
      <c r="BEG1221" s="13"/>
      <c r="BEH1221" s="13"/>
      <c r="BEI1221" s="13"/>
      <c r="BEJ1221" s="13"/>
      <c r="BEK1221" s="13"/>
      <c r="BEL1221" s="13"/>
      <c r="BEM1221" s="13"/>
      <c r="BEN1221" s="13"/>
      <c r="BEO1221" s="13"/>
      <c r="BEP1221" s="13"/>
      <c r="BEQ1221" s="13"/>
      <c r="BER1221" s="13"/>
      <c r="BES1221" s="13"/>
      <c r="BET1221" s="13"/>
      <c r="BEU1221" s="13"/>
      <c r="BEV1221" s="13"/>
      <c r="BEW1221" s="13"/>
      <c r="BEX1221" s="13"/>
      <c r="BEY1221" s="13"/>
      <c r="BEZ1221" s="13"/>
      <c r="BFA1221" s="13"/>
      <c r="BFB1221" s="13"/>
      <c r="BFC1221" s="13"/>
      <c r="BFD1221" s="13"/>
      <c r="BFE1221" s="13"/>
      <c r="BFF1221" s="13"/>
      <c r="BFG1221" s="13"/>
      <c r="BFH1221" s="13"/>
      <c r="BFI1221" s="13"/>
      <c r="BFJ1221" s="13"/>
      <c r="BFK1221" s="13"/>
      <c r="BFL1221" s="13"/>
      <c r="BFM1221" s="13"/>
      <c r="BFN1221" s="13"/>
      <c r="BFO1221" s="13"/>
      <c r="BFP1221" s="13"/>
      <c r="BFQ1221" s="13"/>
      <c r="BFR1221" s="13"/>
      <c r="BFS1221" s="13"/>
      <c r="BFT1221" s="13"/>
      <c r="BFU1221" s="13"/>
      <c r="BFV1221" s="13"/>
      <c r="BFW1221" s="13"/>
      <c r="BFX1221" s="13"/>
      <c r="BFY1221" s="13"/>
      <c r="BFZ1221" s="13"/>
      <c r="BGA1221" s="13"/>
      <c r="BGB1221" s="13"/>
      <c r="BGC1221" s="13"/>
      <c r="BGD1221" s="13"/>
      <c r="BGE1221" s="13"/>
      <c r="BGF1221" s="13"/>
      <c r="BGG1221" s="13"/>
      <c r="BGH1221" s="13"/>
      <c r="BGI1221" s="13"/>
      <c r="BGJ1221" s="13"/>
      <c r="BGK1221" s="13"/>
      <c r="BGL1221" s="13"/>
      <c r="BGM1221" s="13"/>
      <c r="BGN1221" s="13"/>
      <c r="BGO1221" s="13"/>
      <c r="BGP1221" s="13"/>
      <c r="BGQ1221" s="13"/>
      <c r="BGR1221" s="13"/>
      <c r="BGS1221" s="13"/>
      <c r="BGT1221" s="13"/>
      <c r="BGU1221" s="13"/>
      <c r="BGV1221" s="13"/>
      <c r="BGW1221" s="13"/>
      <c r="BGX1221" s="13"/>
      <c r="BGY1221" s="13"/>
      <c r="BGZ1221" s="13"/>
      <c r="BHA1221" s="13"/>
      <c r="BHB1221" s="13"/>
      <c r="BHC1221" s="13"/>
      <c r="BHD1221" s="13"/>
      <c r="BHE1221" s="13"/>
      <c r="BHF1221" s="13"/>
      <c r="BHG1221" s="13"/>
      <c r="BHH1221" s="13"/>
      <c r="BHI1221" s="13"/>
      <c r="BHJ1221" s="13"/>
      <c r="BHK1221" s="13"/>
      <c r="BHL1221" s="13"/>
      <c r="BHM1221" s="13"/>
      <c r="BHN1221" s="13"/>
      <c r="BHO1221" s="13"/>
      <c r="BHP1221" s="13"/>
      <c r="BHQ1221" s="13"/>
      <c r="BHR1221" s="13"/>
      <c r="BHS1221" s="13"/>
      <c r="BHT1221" s="13"/>
      <c r="BHU1221" s="13"/>
      <c r="BHV1221" s="13"/>
      <c r="BHW1221" s="13"/>
      <c r="BHX1221" s="13"/>
      <c r="BHY1221" s="13"/>
      <c r="BHZ1221" s="13"/>
      <c r="BIA1221" s="13"/>
      <c r="BIB1221" s="13"/>
      <c r="BIC1221" s="13"/>
      <c r="BID1221" s="13"/>
      <c r="BIE1221" s="13"/>
      <c r="BIF1221" s="13"/>
      <c r="BIG1221" s="13"/>
      <c r="BIH1221" s="13"/>
      <c r="BII1221" s="13"/>
      <c r="BIJ1221" s="13"/>
      <c r="BIK1221" s="13"/>
      <c r="BIL1221" s="13"/>
      <c r="BIM1221" s="13"/>
      <c r="BIN1221" s="13"/>
      <c r="BIO1221" s="13"/>
      <c r="BIP1221" s="13"/>
      <c r="BIQ1221" s="13"/>
      <c r="BIR1221" s="13"/>
      <c r="BIS1221" s="13"/>
      <c r="BIT1221" s="13"/>
      <c r="BIU1221" s="13"/>
      <c r="BIV1221" s="13"/>
      <c r="BIW1221" s="13"/>
      <c r="BIX1221" s="13"/>
      <c r="BIY1221" s="13"/>
      <c r="BIZ1221" s="13"/>
      <c r="BJA1221" s="13"/>
      <c r="BJB1221" s="13"/>
      <c r="BJC1221" s="13"/>
      <c r="BJD1221" s="13"/>
      <c r="BJE1221" s="13"/>
      <c r="BJF1221" s="13"/>
      <c r="BJG1221" s="13"/>
      <c r="BJH1221" s="13"/>
      <c r="BJI1221" s="13"/>
      <c r="BJJ1221" s="13"/>
      <c r="BJK1221" s="13"/>
      <c r="BJL1221" s="13"/>
      <c r="BJM1221" s="13"/>
      <c r="BJN1221" s="13"/>
      <c r="BJO1221" s="13"/>
      <c r="BJP1221" s="13"/>
      <c r="BJQ1221" s="13"/>
      <c r="BJR1221" s="13"/>
      <c r="BJS1221" s="13"/>
      <c r="BJT1221" s="13"/>
      <c r="BJU1221" s="13"/>
      <c r="BJV1221" s="13"/>
      <c r="BJW1221" s="13"/>
      <c r="BJX1221" s="13"/>
      <c r="BJY1221" s="13"/>
      <c r="BJZ1221" s="13"/>
      <c r="BKA1221" s="13"/>
      <c r="BKB1221" s="13"/>
      <c r="BKC1221" s="13"/>
      <c r="BKD1221" s="13"/>
      <c r="BKE1221" s="13"/>
      <c r="BKF1221" s="13"/>
      <c r="BKG1221" s="13"/>
      <c r="BKH1221" s="13"/>
      <c r="BKI1221" s="13"/>
      <c r="BKJ1221" s="13"/>
      <c r="BKK1221" s="13"/>
      <c r="BKL1221" s="13"/>
      <c r="BKM1221" s="13"/>
      <c r="BKN1221" s="13"/>
      <c r="BKO1221" s="13"/>
      <c r="BKP1221" s="13"/>
      <c r="BKQ1221" s="13"/>
      <c r="BKR1221" s="13"/>
      <c r="BKS1221" s="13"/>
      <c r="BKT1221" s="13"/>
      <c r="BKU1221" s="13"/>
      <c r="BKV1221" s="13"/>
      <c r="BKW1221" s="13"/>
      <c r="BKX1221" s="13"/>
      <c r="BKY1221" s="13"/>
      <c r="BKZ1221" s="13"/>
      <c r="BLA1221" s="13"/>
      <c r="BLB1221" s="13"/>
      <c r="BLC1221" s="13"/>
      <c r="BLD1221" s="13"/>
      <c r="BLE1221" s="13"/>
      <c r="BLF1221" s="13"/>
      <c r="BLG1221" s="13"/>
      <c r="BLH1221" s="13"/>
      <c r="BLI1221" s="13"/>
      <c r="BLJ1221" s="13"/>
      <c r="BLK1221" s="13"/>
      <c r="BLL1221" s="13"/>
      <c r="BLM1221" s="13"/>
      <c r="BLN1221" s="13"/>
      <c r="BLO1221" s="13"/>
      <c r="BLP1221" s="13"/>
      <c r="BLQ1221" s="13"/>
      <c r="BLR1221" s="13"/>
      <c r="BLS1221" s="13"/>
      <c r="BLT1221" s="13"/>
      <c r="BLU1221" s="13"/>
      <c r="BLV1221" s="13"/>
      <c r="BLW1221" s="13"/>
      <c r="BLX1221" s="13"/>
      <c r="BLY1221" s="13"/>
      <c r="BLZ1221" s="13"/>
      <c r="BMA1221" s="13"/>
      <c r="BMB1221" s="13"/>
      <c r="BMC1221" s="13"/>
      <c r="BMD1221" s="13"/>
      <c r="BME1221" s="13"/>
      <c r="BMF1221" s="13"/>
      <c r="BMG1221" s="13"/>
      <c r="BMH1221" s="13"/>
      <c r="BMI1221" s="13"/>
      <c r="BMJ1221" s="13"/>
      <c r="BMK1221" s="13"/>
      <c r="BML1221" s="13"/>
      <c r="BMM1221" s="13"/>
      <c r="BMN1221" s="13"/>
      <c r="BMO1221" s="13"/>
      <c r="BMP1221" s="13"/>
      <c r="BMQ1221" s="13"/>
      <c r="BMR1221" s="13"/>
      <c r="BMS1221" s="13"/>
      <c r="BMT1221" s="13"/>
      <c r="BMU1221" s="13"/>
      <c r="BMV1221" s="13"/>
      <c r="BMW1221" s="13"/>
      <c r="BMX1221" s="13"/>
      <c r="BMY1221" s="13"/>
      <c r="BMZ1221" s="13"/>
      <c r="BNA1221" s="13"/>
      <c r="BNB1221" s="13"/>
      <c r="BNC1221" s="13"/>
      <c r="BND1221" s="13"/>
      <c r="BNE1221" s="13"/>
      <c r="BNF1221" s="13"/>
      <c r="BNG1221" s="13"/>
      <c r="BNH1221" s="13"/>
      <c r="BNI1221" s="13"/>
      <c r="BNJ1221" s="13"/>
      <c r="BNK1221" s="13"/>
      <c r="BNL1221" s="13"/>
      <c r="BNM1221" s="13"/>
      <c r="BNN1221" s="13"/>
      <c r="BNO1221" s="13"/>
      <c r="BNP1221" s="13"/>
      <c r="BNQ1221" s="13"/>
      <c r="BNR1221" s="13"/>
      <c r="BNS1221" s="13"/>
      <c r="BNT1221" s="13"/>
      <c r="BNU1221" s="13"/>
      <c r="BNV1221" s="13"/>
      <c r="BNW1221" s="13"/>
      <c r="BNX1221" s="13"/>
      <c r="BNY1221" s="13"/>
      <c r="BNZ1221" s="13"/>
      <c r="BOA1221" s="13"/>
      <c r="BOB1221" s="13"/>
      <c r="BOC1221" s="13"/>
      <c r="BOD1221" s="13"/>
      <c r="BOE1221" s="13"/>
      <c r="BOF1221" s="13"/>
      <c r="BOG1221" s="13"/>
      <c r="BOH1221" s="13"/>
      <c r="BOI1221" s="13"/>
      <c r="BOJ1221" s="13"/>
      <c r="BOK1221" s="13"/>
      <c r="BOL1221" s="13"/>
      <c r="BOM1221" s="13"/>
      <c r="BON1221" s="13"/>
      <c r="BOO1221" s="13"/>
      <c r="BOP1221" s="13"/>
      <c r="BOQ1221" s="13"/>
      <c r="BOR1221" s="13"/>
      <c r="BOS1221" s="13"/>
      <c r="BOT1221" s="13"/>
      <c r="BOU1221" s="13"/>
      <c r="BOV1221" s="13"/>
      <c r="BOW1221" s="13"/>
      <c r="BOX1221" s="13"/>
      <c r="BOY1221" s="13"/>
      <c r="BOZ1221" s="13"/>
      <c r="BPA1221" s="13"/>
      <c r="BPB1221" s="13"/>
      <c r="BPC1221" s="13"/>
      <c r="BPD1221" s="13"/>
      <c r="BPE1221" s="13"/>
      <c r="BPF1221" s="13"/>
      <c r="BPG1221" s="13"/>
      <c r="BPH1221" s="13"/>
      <c r="BPI1221" s="13"/>
      <c r="BPJ1221" s="13"/>
      <c r="BPK1221" s="13"/>
      <c r="BPL1221" s="13"/>
      <c r="BPM1221" s="13"/>
      <c r="BPN1221" s="13"/>
      <c r="BPO1221" s="13"/>
      <c r="BPP1221" s="13"/>
      <c r="BPQ1221" s="13"/>
      <c r="BPR1221" s="13"/>
      <c r="BPS1221" s="13"/>
      <c r="BPT1221" s="13"/>
      <c r="BPU1221" s="13"/>
      <c r="BPV1221" s="13"/>
      <c r="BPW1221" s="13"/>
      <c r="BPX1221" s="13"/>
      <c r="BPY1221" s="13"/>
      <c r="BPZ1221" s="13"/>
      <c r="BQA1221" s="13"/>
      <c r="BQB1221" s="13"/>
      <c r="BQC1221" s="13"/>
      <c r="BQD1221" s="13"/>
      <c r="BQE1221" s="13"/>
      <c r="BQF1221" s="13"/>
      <c r="BQG1221" s="13"/>
      <c r="BQH1221" s="13"/>
      <c r="BQI1221" s="13"/>
      <c r="BQJ1221" s="13"/>
      <c r="BQK1221" s="13"/>
      <c r="BQL1221" s="13"/>
      <c r="BQM1221" s="13"/>
      <c r="BQN1221" s="13"/>
      <c r="BQO1221" s="13"/>
      <c r="BQP1221" s="13"/>
      <c r="BQQ1221" s="13"/>
      <c r="BQR1221" s="13"/>
      <c r="BQS1221" s="13"/>
      <c r="BQT1221" s="13"/>
      <c r="BQU1221" s="13"/>
      <c r="BQV1221" s="13"/>
      <c r="BQW1221" s="13"/>
      <c r="BQX1221" s="13"/>
      <c r="BQY1221" s="13"/>
      <c r="BQZ1221" s="13"/>
      <c r="BRA1221" s="13"/>
      <c r="BRB1221" s="13"/>
      <c r="BRC1221" s="13"/>
      <c r="BRD1221" s="13"/>
      <c r="BRE1221" s="13"/>
      <c r="BRF1221" s="13"/>
      <c r="BRG1221" s="13"/>
      <c r="BRH1221" s="13"/>
      <c r="BRI1221" s="13"/>
      <c r="BRJ1221" s="13"/>
      <c r="BRK1221" s="13"/>
      <c r="BRL1221" s="13"/>
      <c r="BRM1221" s="13"/>
      <c r="BRN1221" s="13"/>
      <c r="BRO1221" s="13"/>
      <c r="BRP1221" s="13"/>
      <c r="BRQ1221" s="13"/>
      <c r="BRR1221" s="13"/>
      <c r="BRS1221" s="13"/>
      <c r="BRT1221" s="13"/>
      <c r="BRU1221" s="13"/>
      <c r="BRV1221" s="13"/>
      <c r="BRW1221" s="13"/>
      <c r="BRX1221" s="13"/>
      <c r="BRY1221" s="13"/>
      <c r="BRZ1221" s="13"/>
      <c r="BSA1221" s="13"/>
      <c r="BSB1221" s="13"/>
      <c r="BSC1221" s="13"/>
      <c r="BSD1221" s="13"/>
      <c r="BSE1221" s="13"/>
      <c r="BSF1221" s="13"/>
      <c r="BSG1221" s="13"/>
      <c r="BSH1221" s="13"/>
      <c r="BSI1221" s="13"/>
      <c r="BSJ1221" s="13"/>
      <c r="BSK1221" s="13"/>
      <c r="BSL1221" s="13"/>
      <c r="BSM1221" s="13"/>
      <c r="BSN1221" s="13"/>
      <c r="BSO1221" s="13"/>
      <c r="BSP1221" s="13"/>
      <c r="BSQ1221" s="13"/>
      <c r="BSR1221" s="13"/>
      <c r="BSS1221" s="13"/>
      <c r="BST1221" s="13"/>
      <c r="BSU1221" s="13"/>
      <c r="BSV1221" s="13"/>
      <c r="BSW1221" s="13"/>
      <c r="BSX1221" s="13"/>
      <c r="BSY1221" s="13"/>
      <c r="BSZ1221" s="13"/>
      <c r="BTA1221" s="13"/>
    </row>
    <row r="1222" spans="1:1873" s="149" customFormat="1" ht="12.75" customHeight="1" x14ac:dyDescent="0.25">
      <c r="A1222" s="263" t="s">
        <v>560</v>
      </c>
      <c r="B1222" s="263" t="s">
        <v>1268</v>
      </c>
      <c r="C1222" s="600" t="s">
        <v>112</v>
      </c>
      <c r="D1222" s="263" t="s">
        <v>1254</v>
      </c>
      <c r="E1222" s="327" t="s">
        <v>882</v>
      </c>
      <c r="F1222" s="600">
        <v>2</v>
      </c>
      <c r="G1222" s="600">
        <v>3</v>
      </c>
      <c r="H1222" s="600">
        <v>6</v>
      </c>
      <c r="I1222" s="257" t="s">
        <v>856</v>
      </c>
      <c r="J1222" s="599">
        <v>1982</v>
      </c>
      <c r="K1222" s="257" t="s">
        <v>1211</v>
      </c>
      <c r="L1222" s="608">
        <v>1987</v>
      </c>
      <c r="M1222" s="261">
        <v>-9999</v>
      </c>
      <c r="N1222" s="257">
        <v>-9999</v>
      </c>
      <c r="O1222" s="29"/>
      <c r="P1222" s="602">
        <v>16.2</v>
      </c>
      <c r="Q1222" s="257">
        <v>-9999</v>
      </c>
      <c r="R1222" s="261"/>
      <c r="S1222" s="257"/>
      <c r="T1222" s="370">
        <v>5.4</v>
      </c>
      <c r="U1222" s="257">
        <v>-9999</v>
      </c>
      <c r="V1222" s="257"/>
      <c r="W1222" s="609">
        <f>+P1222-P1221</f>
        <v>-2.6000000000000014</v>
      </c>
      <c r="X1222" s="257">
        <v>-9999</v>
      </c>
      <c r="Y1222" s="257"/>
      <c r="Z1222" s="327" t="s">
        <v>1706</v>
      </c>
      <c r="AA1222" s="599">
        <v>5382</v>
      </c>
      <c r="AB1222" s="602">
        <v>1</v>
      </c>
      <c r="AC1222" s="257">
        <v>10.3</v>
      </c>
      <c r="AD1222" s="602">
        <f t="shared" si="124"/>
        <v>966</v>
      </c>
      <c r="AE1222" s="263" t="s">
        <v>97</v>
      </c>
      <c r="AF1222" s="600">
        <v>1</v>
      </c>
      <c r="AG1222" s="257">
        <v>2</v>
      </c>
      <c r="AH1222" s="257" t="s">
        <v>98</v>
      </c>
      <c r="AI1222" s="257" t="s">
        <v>985</v>
      </c>
      <c r="AJ1222" s="257">
        <v>-9999</v>
      </c>
      <c r="AK1222" s="257" t="s">
        <v>99</v>
      </c>
      <c r="AL1222" s="257" t="s">
        <v>828</v>
      </c>
      <c r="AM1222" s="257">
        <v>-9999</v>
      </c>
      <c r="AN1222" s="257" t="s">
        <v>631</v>
      </c>
      <c r="AO1222" s="257">
        <v>-9999</v>
      </c>
      <c r="AP1222" s="257">
        <v>-9999</v>
      </c>
      <c r="AQ1222" s="257" t="s">
        <v>631</v>
      </c>
      <c r="AR1222" s="257">
        <v>0</v>
      </c>
      <c r="AS1222" s="257">
        <v>-9999</v>
      </c>
      <c r="AT1222" s="257">
        <v>-9999</v>
      </c>
      <c r="AU1222" s="257">
        <v>0</v>
      </c>
      <c r="AV1222" s="257">
        <v>-9999</v>
      </c>
      <c r="AW1222" s="257"/>
      <c r="AX1222" s="257">
        <v>0</v>
      </c>
      <c r="AY1222" s="257">
        <v>-9999</v>
      </c>
      <c r="AZ1222" s="257">
        <v>-9999</v>
      </c>
      <c r="BA1222" s="257" t="s">
        <v>100</v>
      </c>
      <c r="BB1222" s="257" t="s">
        <v>626</v>
      </c>
      <c r="BC1222" s="257" t="s">
        <v>101</v>
      </c>
      <c r="BD1222" s="257" t="s">
        <v>102</v>
      </c>
      <c r="BE1222" s="257" t="s">
        <v>103</v>
      </c>
      <c r="BF1222" s="257" t="s">
        <v>104</v>
      </c>
      <c r="BG1222" s="257" t="s">
        <v>105</v>
      </c>
      <c r="BH1222" s="257" t="s">
        <v>106</v>
      </c>
      <c r="BI1222" s="257">
        <v>-9999</v>
      </c>
      <c r="BJ1222" s="257">
        <v>-9999</v>
      </c>
      <c r="BK1222" s="257">
        <v>-9999</v>
      </c>
      <c r="BL1222" s="602">
        <v>1.5</v>
      </c>
      <c r="BM1222" s="257">
        <v>-9999</v>
      </c>
      <c r="BN1222" s="602">
        <v>3.6</v>
      </c>
      <c r="BO1222" s="257">
        <v>-9999</v>
      </c>
      <c r="BP1222" s="257">
        <v>-9999</v>
      </c>
      <c r="BQ1222" s="257">
        <v>-9999</v>
      </c>
      <c r="BR1222" s="257">
        <v>-9999</v>
      </c>
      <c r="BS1222" s="263">
        <v>-9999</v>
      </c>
      <c r="BT1222" s="257">
        <v>-9999</v>
      </c>
      <c r="BU1222" s="257">
        <v>-9999</v>
      </c>
      <c r="BV1222" s="257">
        <v>-9999</v>
      </c>
      <c r="BW1222" s="257"/>
      <c r="BX1222" s="257">
        <v>-9999</v>
      </c>
      <c r="BY1222" s="257">
        <v>-9999</v>
      </c>
      <c r="BZ1222" s="257">
        <v>-9999</v>
      </c>
      <c r="CA1222" s="300" t="s">
        <v>107</v>
      </c>
      <c r="CB1222" s="264" t="s">
        <v>561</v>
      </c>
      <c r="CC1222" s="600">
        <v>2</v>
      </c>
      <c r="CD1222" s="600">
        <v>3</v>
      </c>
      <c r="CE1222" s="168">
        <v>5.4</v>
      </c>
      <c r="CF1222" s="168">
        <v>-2.6000000000000014</v>
      </c>
      <c r="CG1222" s="161">
        <v>6</v>
      </c>
    </row>
    <row r="1223" spans="1:1873" s="149" customFormat="1" ht="12.75" customHeight="1" x14ac:dyDescent="0.25">
      <c r="A1223" s="263"/>
      <c r="B1223" s="263"/>
      <c r="C1223" s="600"/>
      <c r="D1223" s="263"/>
      <c r="E1223" s="327"/>
      <c r="F1223" s="599"/>
      <c r="G1223" s="600"/>
      <c r="H1223" s="600"/>
      <c r="I1223" s="257"/>
      <c r="J1223" s="599"/>
      <c r="K1223" s="257"/>
      <c r="L1223" s="600"/>
      <c r="M1223" s="261"/>
      <c r="N1223" s="257"/>
      <c r="O1223" s="29"/>
      <c r="P1223" s="602"/>
      <c r="Q1223" s="257"/>
      <c r="R1223" s="261"/>
      <c r="S1223" s="257"/>
      <c r="T1223" s="370"/>
      <c r="U1223" s="257"/>
      <c r="V1223" s="257"/>
      <c r="W1223" s="609"/>
      <c r="X1223" s="257"/>
      <c r="Y1223" s="257"/>
      <c r="Z1223" s="599"/>
      <c r="AA1223" s="605"/>
      <c r="AB1223" s="611"/>
      <c r="AC1223" s="257"/>
      <c r="AD1223" s="602"/>
      <c r="AE1223" s="263"/>
      <c r="AF1223" s="600"/>
      <c r="AG1223" s="257"/>
      <c r="AH1223" s="257"/>
      <c r="AI1223" s="257"/>
      <c r="AJ1223" s="257"/>
      <c r="AK1223" s="257"/>
      <c r="AL1223" s="257"/>
      <c r="AM1223" s="257"/>
      <c r="AN1223" s="257"/>
      <c r="AO1223" s="257"/>
      <c r="AP1223" s="257"/>
      <c r="AQ1223" s="257"/>
      <c r="AR1223" s="257"/>
      <c r="AS1223" s="257"/>
      <c r="AT1223" s="257"/>
      <c r="AU1223" s="257"/>
      <c r="AV1223" s="257"/>
      <c r="AW1223" s="257"/>
      <c r="AX1223" s="257"/>
      <c r="AY1223" s="257"/>
      <c r="AZ1223" s="257"/>
      <c r="BA1223" s="257"/>
      <c r="BB1223" s="257"/>
      <c r="BC1223" s="257"/>
      <c r="BD1223" s="257"/>
      <c r="BE1223" s="257"/>
      <c r="BF1223" s="257"/>
      <c r="BG1223" s="257"/>
      <c r="BH1223" s="257"/>
      <c r="BI1223" s="257"/>
      <c r="BJ1223" s="257"/>
      <c r="BK1223" s="257"/>
      <c r="BL1223" s="602"/>
      <c r="BM1223" s="257"/>
      <c r="BN1223" s="602"/>
      <c r="BO1223" s="257"/>
      <c r="BP1223" s="257"/>
      <c r="BQ1223" s="257"/>
      <c r="BR1223" s="257"/>
      <c r="BS1223" s="263"/>
      <c r="BT1223" s="257"/>
      <c r="BU1223" s="257"/>
      <c r="BV1223" s="257"/>
      <c r="BW1223" s="257"/>
      <c r="BX1223" s="257"/>
      <c r="BY1223" s="257"/>
      <c r="BZ1223" s="257"/>
      <c r="CA1223" s="300"/>
      <c r="CB1223" s="264"/>
      <c r="CC1223" s="599"/>
      <c r="CD1223" s="600"/>
      <c r="CE1223" s="342" t="s">
        <v>1576</v>
      </c>
      <c r="CF1223" s="342" t="s">
        <v>1575</v>
      </c>
      <c r="CG1223" s="161"/>
    </row>
    <row r="1224" spans="1:1873" s="149" customFormat="1" ht="12.75" customHeight="1" x14ac:dyDescent="0.25">
      <c r="A1224" s="263" t="s">
        <v>560</v>
      </c>
      <c r="B1224" s="263" t="s">
        <v>1268</v>
      </c>
      <c r="C1224" s="600" t="s">
        <v>113</v>
      </c>
      <c r="D1224" s="263" t="s">
        <v>1254</v>
      </c>
      <c r="E1224" s="327" t="s">
        <v>882</v>
      </c>
      <c r="F1224" s="600">
        <v>1</v>
      </c>
      <c r="G1224" s="600">
        <v>1</v>
      </c>
      <c r="H1224" s="600">
        <v>1</v>
      </c>
      <c r="I1224" s="257" t="s">
        <v>856</v>
      </c>
      <c r="J1224" s="599">
        <v>1982</v>
      </c>
      <c r="K1224" s="257" t="s">
        <v>1211</v>
      </c>
      <c r="L1224" s="608">
        <v>1982</v>
      </c>
      <c r="M1224" s="261">
        <v>-9999</v>
      </c>
      <c r="N1224" s="257">
        <v>-9999</v>
      </c>
      <c r="O1224" s="29"/>
      <c r="P1224" s="602">
        <v>1.57</v>
      </c>
      <c r="Q1224" s="257">
        <v>-9999</v>
      </c>
      <c r="R1224" s="261"/>
      <c r="S1224" s="257"/>
      <c r="T1224" s="370">
        <v>1.57</v>
      </c>
      <c r="U1224" s="257">
        <v>-9999</v>
      </c>
      <c r="V1224" s="257"/>
      <c r="W1224" s="609">
        <f t="shared" ref="W1224:W1229" si="127">+P1224-P1223</f>
        <v>1.57</v>
      </c>
      <c r="X1224" s="257">
        <v>-9999</v>
      </c>
      <c r="Y1224" s="257"/>
      <c r="Z1224" s="327" t="s">
        <v>1705</v>
      </c>
      <c r="AA1224" s="605">
        <v>2691</v>
      </c>
      <c r="AB1224" s="611">
        <v>0.99</v>
      </c>
      <c r="AC1224" s="257">
        <v>10.3</v>
      </c>
      <c r="AD1224" s="602">
        <f t="shared" si="124"/>
        <v>966</v>
      </c>
      <c r="AE1224" s="263" t="s">
        <v>97</v>
      </c>
      <c r="AF1224" s="600">
        <v>6</v>
      </c>
      <c r="AG1224" s="257">
        <v>2</v>
      </c>
      <c r="AH1224" s="257" t="s">
        <v>98</v>
      </c>
      <c r="AI1224" s="257" t="s">
        <v>985</v>
      </c>
      <c r="AJ1224" s="257">
        <v>-9999</v>
      </c>
      <c r="AK1224" s="257" t="s">
        <v>99</v>
      </c>
      <c r="AL1224" s="257" t="s">
        <v>828</v>
      </c>
      <c r="AM1224" s="257">
        <v>-9999</v>
      </c>
      <c r="AN1224" s="257" t="s">
        <v>631</v>
      </c>
      <c r="AO1224" s="257">
        <v>-9999</v>
      </c>
      <c r="AP1224" s="257">
        <v>-9999</v>
      </c>
      <c r="AQ1224" s="257" t="s">
        <v>631</v>
      </c>
      <c r="AR1224" s="257">
        <v>0</v>
      </c>
      <c r="AS1224" s="257">
        <v>-9999</v>
      </c>
      <c r="AT1224" s="257">
        <v>-9999</v>
      </c>
      <c r="AU1224" s="257">
        <v>0</v>
      </c>
      <c r="AV1224" s="257">
        <v>-9999</v>
      </c>
      <c r="AW1224" s="257"/>
      <c r="AX1224" s="257">
        <v>0</v>
      </c>
      <c r="AY1224" s="257">
        <v>-9999</v>
      </c>
      <c r="AZ1224" s="257">
        <v>-9999</v>
      </c>
      <c r="BA1224" s="257" t="s">
        <v>100</v>
      </c>
      <c r="BB1224" s="257" t="s">
        <v>626</v>
      </c>
      <c r="BC1224" s="257" t="s">
        <v>101</v>
      </c>
      <c r="BD1224" s="257" t="s">
        <v>102</v>
      </c>
      <c r="BE1224" s="257" t="s">
        <v>103</v>
      </c>
      <c r="BF1224" s="257" t="s">
        <v>104</v>
      </c>
      <c r="BG1224" s="257" t="s">
        <v>105</v>
      </c>
      <c r="BH1224" s="257" t="s">
        <v>106</v>
      </c>
      <c r="BI1224" s="257">
        <v>-9999</v>
      </c>
      <c r="BJ1224" s="257">
        <v>-9999</v>
      </c>
      <c r="BK1224" s="257">
        <v>-9999</v>
      </c>
      <c r="BL1224" s="602">
        <v>3.14</v>
      </c>
      <c r="BM1224" s="257">
        <v>-9999</v>
      </c>
      <c r="BN1224" s="602">
        <v>0</v>
      </c>
      <c r="BO1224" s="257">
        <v>-9999</v>
      </c>
      <c r="BP1224" s="257">
        <v>-9999</v>
      </c>
      <c r="BQ1224" s="257">
        <v>-9999</v>
      </c>
      <c r="BR1224" s="257">
        <v>-9999</v>
      </c>
      <c r="BS1224" s="263">
        <v>-9999</v>
      </c>
      <c r="BT1224" s="257">
        <v>-9999</v>
      </c>
      <c r="BU1224" s="257">
        <v>-9999</v>
      </c>
      <c r="BV1224" s="257">
        <v>-9999</v>
      </c>
      <c r="BW1224" s="257"/>
      <c r="BX1224" s="257">
        <v>-9999</v>
      </c>
      <c r="BY1224" s="257">
        <v>-9999</v>
      </c>
      <c r="BZ1224" s="257">
        <v>-9999</v>
      </c>
      <c r="CA1224" s="300" t="s">
        <v>107</v>
      </c>
      <c r="CB1224" s="264" t="s">
        <v>561</v>
      </c>
      <c r="CC1224" s="600">
        <v>1</v>
      </c>
      <c r="CD1224" s="600">
        <v>1</v>
      </c>
      <c r="CE1224" s="168">
        <v>1.57</v>
      </c>
      <c r="CF1224" s="168">
        <v>1.57</v>
      </c>
      <c r="CG1224" s="161">
        <v>1</v>
      </c>
    </row>
    <row r="1225" spans="1:1873" s="149" customFormat="1" ht="12.75" customHeight="1" x14ac:dyDescent="0.25">
      <c r="A1225" s="263" t="s">
        <v>560</v>
      </c>
      <c r="B1225" s="263" t="s">
        <v>1268</v>
      </c>
      <c r="C1225" s="600" t="s">
        <v>113</v>
      </c>
      <c r="D1225" s="263" t="s">
        <v>1254</v>
      </c>
      <c r="E1225" s="327" t="s">
        <v>882</v>
      </c>
      <c r="F1225" s="600">
        <v>1</v>
      </c>
      <c r="G1225" s="600">
        <v>2</v>
      </c>
      <c r="H1225" s="600">
        <v>2</v>
      </c>
      <c r="I1225" s="257" t="s">
        <v>856</v>
      </c>
      <c r="J1225" s="599">
        <v>1982</v>
      </c>
      <c r="K1225" s="257" t="s">
        <v>1211</v>
      </c>
      <c r="L1225" s="608">
        <v>1983</v>
      </c>
      <c r="M1225" s="261">
        <v>-9999</v>
      </c>
      <c r="N1225" s="257">
        <v>-9999</v>
      </c>
      <c r="O1225" s="29"/>
      <c r="P1225" s="602">
        <v>10.23</v>
      </c>
      <c r="Q1225" s="257">
        <v>-9999</v>
      </c>
      <c r="R1225" s="261"/>
      <c r="S1225" s="257"/>
      <c r="T1225" s="370">
        <v>5.04</v>
      </c>
      <c r="U1225" s="257">
        <v>-9999</v>
      </c>
      <c r="V1225" s="257"/>
      <c r="W1225" s="609">
        <f t="shared" si="127"/>
        <v>8.66</v>
      </c>
      <c r="X1225" s="257">
        <v>-9999</v>
      </c>
      <c r="Y1225" s="257"/>
      <c r="Z1225" s="327" t="s">
        <v>1705</v>
      </c>
      <c r="AA1225" s="605">
        <v>2691</v>
      </c>
      <c r="AB1225" s="611">
        <v>0.99</v>
      </c>
      <c r="AC1225" s="257">
        <v>10.3</v>
      </c>
      <c r="AD1225" s="602">
        <f t="shared" si="124"/>
        <v>966</v>
      </c>
      <c r="AE1225" s="263" t="s">
        <v>97</v>
      </c>
      <c r="AF1225" s="600">
        <v>6</v>
      </c>
      <c r="AG1225" s="257">
        <v>2</v>
      </c>
      <c r="AH1225" s="257" t="s">
        <v>98</v>
      </c>
      <c r="AI1225" s="257" t="s">
        <v>985</v>
      </c>
      <c r="AJ1225" s="257">
        <v>-9999</v>
      </c>
      <c r="AK1225" s="257" t="s">
        <v>99</v>
      </c>
      <c r="AL1225" s="257" t="s">
        <v>828</v>
      </c>
      <c r="AM1225" s="257">
        <v>-9999</v>
      </c>
      <c r="AN1225" s="257" t="s">
        <v>631</v>
      </c>
      <c r="AO1225" s="257">
        <v>-9999</v>
      </c>
      <c r="AP1225" s="257">
        <v>-9999</v>
      </c>
      <c r="AQ1225" s="257" t="s">
        <v>631</v>
      </c>
      <c r="AR1225" s="257">
        <v>0</v>
      </c>
      <c r="AS1225" s="257">
        <v>-9999</v>
      </c>
      <c r="AT1225" s="257">
        <v>-9999</v>
      </c>
      <c r="AU1225" s="257">
        <v>0</v>
      </c>
      <c r="AV1225" s="257">
        <v>-9999</v>
      </c>
      <c r="AW1225" s="257"/>
      <c r="AX1225" s="257">
        <v>0</v>
      </c>
      <c r="AY1225" s="257">
        <v>-9999</v>
      </c>
      <c r="AZ1225" s="257">
        <v>-9999</v>
      </c>
      <c r="BA1225" s="257" t="s">
        <v>100</v>
      </c>
      <c r="BB1225" s="257" t="s">
        <v>626</v>
      </c>
      <c r="BC1225" s="257" t="s">
        <v>101</v>
      </c>
      <c r="BD1225" s="257" t="s">
        <v>102</v>
      </c>
      <c r="BE1225" s="257" t="s">
        <v>103</v>
      </c>
      <c r="BF1225" s="257" t="s">
        <v>104</v>
      </c>
      <c r="BG1225" s="257" t="s">
        <v>105</v>
      </c>
      <c r="BH1225" s="257" t="s">
        <v>106</v>
      </c>
      <c r="BI1225" s="257">
        <v>-9999</v>
      </c>
      <c r="BJ1225" s="257">
        <v>-9999</v>
      </c>
      <c r="BK1225" s="257">
        <v>-9999</v>
      </c>
      <c r="BL1225" s="602">
        <v>5.42</v>
      </c>
      <c r="BM1225" s="257">
        <v>-9999</v>
      </c>
      <c r="BN1225" s="602">
        <v>0</v>
      </c>
      <c r="BO1225" s="257">
        <v>-9999</v>
      </c>
      <c r="BP1225" s="257">
        <v>-9999</v>
      </c>
      <c r="BQ1225" s="257">
        <v>-9999</v>
      </c>
      <c r="BR1225" s="257">
        <v>-9999</v>
      </c>
      <c r="BS1225" s="263">
        <v>-9999</v>
      </c>
      <c r="BT1225" s="257">
        <v>-9999</v>
      </c>
      <c r="BU1225" s="257">
        <v>-9999</v>
      </c>
      <c r="BV1225" s="257">
        <v>-9999</v>
      </c>
      <c r="BW1225" s="257"/>
      <c r="BX1225" s="257">
        <v>-9999</v>
      </c>
      <c r="BY1225" s="257">
        <v>-9999</v>
      </c>
      <c r="BZ1225" s="257">
        <v>-9999</v>
      </c>
      <c r="CA1225" s="300" t="s">
        <v>107</v>
      </c>
      <c r="CB1225" s="264" t="s">
        <v>561</v>
      </c>
      <c r="CC1225" s="600">
        <v>1</v>
      </c>
      <c r="CD1225" s="600">
        <v>2</v>
      </c>
      <c r="CE1225" s="168">
        <v>5.04</v>
      </c>
      <c r="CF1225" s="168">
        <v>8.51</v>
      </c>
      <c r="CG1225" s="161">
        <v>2</v>
      </c>
    </row>
    <row r="1226" spans="1:1873" s="216" customFormat="1" ht="12.75" customHeight="1" x14ac:dyDescent="0.25">
      <c r="A1226" s="328" t="s">
        <v>560</v>
      </c>
      <c r="B1226" s="263" t="s">
        <v>1268</v>
      </c>
      <c r="C1226" s="263" t="s">
        <v>113</v>
      </c>
      <c r="D1226" s="263" t="s">
        <v>1254</v>
      </c>
      <c r="E1226" s="327" t="s">
        <v>882</v>
      </c>
      <c r="F1226" s="263">
        <v>1</v>
      </c>
      <c r="G1226" s="263">
        <v>3</v>
      </c>
      <c r="H1226" s="263">
        <v>3</v>
      </c>
      <c r="I1226" s="257" t="s">
        <v>856</v>
      </c>
      <c r="J1226" s="257">
        <v>1982</v>
      </c>
      <c r="K1226" s="257" t="s">
        <v>1211</v>
      </c>
      <c r="L1226" s="595">
        <v>1984</v>
      </c>
      <c r="M1226" s="261">
        <v>-9999</v>
      </c>
      <c r="N1226" s="257">
        <v>-9999</v>
      </c>
      <c r="O1226" s="29"/>
      <c r="P1226" s="261">
        <v>20.43</v>
      </c>
      <c r="Q1226" s="257">
        <v>-9999</v>
      </c>
      <c r="R1226" s="261"/>
      <c r="S1226" s="257"/>
      <c r="T1226" s="370">
        <v>6.9130000000000003</v>
      </c>
      <c r="U1226" s="257">
        <v>-9999</v>
      </c>
      <c r="V1226" s="257"/>
      <c r="W1226" s="609">
        <f t="shared" si="127"/>
        <v>10.199999999999999</v>
      </c>
      <c r="X1226" s="257">
        <v>-9999</v>
      </c>
      <c r="Y1226" s="257"/>
      <c r="Z1226" s="327" t="s">
        <v>1705</v>
      </c>
      <c r="AA1226" s="605">
        <v>2691</v>
      </c>
      <c r="AB1226" s="261">
        <v>0.98</v>
      </c>
      <c r="AC1226" s="257">
        <v>10.3</v>
      </c>
      <c r="AD1226" s="602">
        <f t="shared" si="124"/>
        <v>966</v>
      </c>
      <c r="AE1226" s="263" t="s">
        <v>97</v>
      </c>
      <c r="AF1226" s="263">
        <v>6</v>
      </c>
      <c r="AG1226" s="257">
        <v>2</v>
      </c>
      <c r="AH1226" s="257" t="s">
        <v>98</v>
      </c>
      <c r="AI1226" s="257" t="s">
        <v>985</v>
      </c>
      <c r="AJ1226" s="257">
        <v>-9999</v>
      </c>
      <c r="AK1226" s="257" t="s">
        <v>99</v>
      </c>
      <c r="AL1226" s="257" t="s">
        <v>828</v>
      </c>
      <c r="AM1226" s="257">
        <v>-9999</v>
      </c>
      <c r="AN1226" s="257" t="s">
        <v>631</v>
      </c>
      <c r="AO1226" s="257">
        <v>-9999</v>
      </c>
      <c r="AP1226" s="257">
        <v>-9999</v>
      </c>
      <c r="AQ1226" s="257" t="s">
        <v>631</v>
      </c>
      <c r="AR1226" s="257">
        <v>0</v>
      </c>
      <c r="AS1226" s="257">
        <v>-9999</v>
      </c>
      <c r="AT1226" s="257">
        <v>-9999</v>
      </c>
      <c r="AU1226" s="257">
        <v>0</v>
      </c>
      <c r="AV1226" s="257">
        <v>-9999</v>
      </c>
      <c r="AW1226" s="257"/>
      <c r="AX1226" s="257">
        <v>0</v>
      </c>
      <c r="AY1226" s="257">
        <v>-9999</v>
      </c>
      <c r="AZ1226" s="257">
        <v>-9999</v>
      </c>
      <c r="BA1226" s="257" t="s">
        <v>100</v>
      </c>
      <c r="BB1226" s="257" t="s">
        <v>626</v>
      </c>
      <c r="BC1226" s="257" t="s">
        <v>101</v>
      </c>
      <c r="BD1226" s="257" t="s">
        <v>102</v>
      </c>
      <c r="BE1226" s="257" t="s">
        <v>103</v>
      </c>
      <c r="BF1226" s="257" t="s">
        <v>104</v>
      </c>
      <c r="BG1226" s="257" t="s">
        <v>105</v>
      </c>
      <c r="BH1226" s="257" t="s">
        <v>106</v>
      </c>
      <c r="BI1226" s="257">
        <v>-9999</v>
      </c>
      <c r="BJ1226" s="257">
        <v>-9999</v>
      </c>
      <c r="BK1226" s="257">
        <v>-9999</v>
      </c>
      <c r="BL1226" s="602">
        <v>7.59</v>
      </c>
      <c r="BM1226" s="257">
        <v>-9999</v>
      </c>
      <c r="BN1226" s="602">
        <v>0</v>
      </c>
      <c r="BO1226" s="257">
        <v>-9999</v>
      </c>
      <c r="BP1226" s="257">
        <v>-9999</v>
      </c>
      <c r="BQ1226" s="257">
        <v>-9999</v>
      </c>
      <c r="BR1226" s="257">
        <v>-9999</v>
      </c>
      <c r="BS1226" s="263">
        <v>-9999</v>
      </c>
      <c r="BT1226" s="257">
        <v>-9999</v>
      </c>
      <c r="BU1226" s="257">
        <v>-9999</v>
      </c>
      <c r="BV1226" s="257">
        <v>-9999</v>
      </c>
      <c r="BW1226" s="257"/>
      <c r="BX1226" s="257">
        <v>-9999</v>
      </c>
      <c r="BY1226" s="257">
        <v>-9999</v>
      </c>
      <c r="BZ1226" s="257">
        <v>-9999</v>
      </c>
      <c r="CA1226" s="300" t="s">
        <v>107</v>
      </c>
      <c r="CB1226" s="264" t="s">
        <v>561</v>
      </c>
      <c r="CC1226" s="263">
        <v>1</v>
      </c>
      <c r="CD1226" s="263">
        <v>3</v>
      </c>
      <c r="CE1226" s="394">
        <v>6.9130000000000003</v>
      </c>
      <c r="CF1226" s="292">
        <v>10.659999999999998</v>
      </c>
      <c r="CG1226" s="214">
        <v>3</v>
      </c>
      <c r="CH1226" s="438" t="s">
        <v>1757</v>
      </c>
      <c r="CI1226" s="23"/>
      <c r="CJ1226" s="23"/>
      <c r="CK1226" s="23"/>
      <c r="CL1226" s="23"/>
      <c r="CM1226" s="23"/>
      <c r="CN1226" s="23"/>
      <c r="CO1226" s="23"/>
      <c r="CP1226" s="23"/>
      <c r="CQ1226" s="23"/>
      <c r="CR1226" s="23"/>
      <c r="CS1226" s="23"/>
      <c r="CT1226" s="23"/>
      <c r="CU1226" s="23"/>
      <c r="CV1226" s="23"/>
      <c r="CW1226" s="23"/>
      <c r="CX1226" s="23"/>
      <c r="CY1226" s="23"/>
      <c r="CZ1226" s="23"/>
      <c r="DA1226" s="23"/>
      <c r="DB1226" s="23"/>
      <c r="DC1226" s="23"/>
      <c r="DD1226" s="23"/>
      <c r="DE1226" s="23"/>
      <c r="DF1226" s="23"/>
      <c r="DG1226" s="23"/>
      <c r="DH1226" s="23"/>
      <c r="DI1226" s="23"/>
      <c r="DJ1226" s="23"/>
      <c r="DK1226" s="23"/>
      <c r="DL1226" s="23"/>
      <c r="DM1226" s="23"/>
      <c r="DN1226" s="23"/>
      <c r="DO1226" s="23"/>
      <c r="DP1226" s="23"/>
      <c r="DQ1226" s="23"/>
      <c r="DR1226" s="23"/>
      <c r="DS1226" s="23"/>
      <c r="DT1226" s="23"/>
      <c r="DU1226" s="23"/>
      <c r="DV1226" s="23"/>
      <c r="DW1226" s="23"/>
      <c r="DX1226" s="23"/>
      <c r="DY1226" s="23"/>
      <c r="DZ1226" s="23"/>
      <c r="EA1226" s="23"/>
      <c r="EB1226" s="23"/>
      <c r="EC1226" s="23"/>
      <c r="ED1226" s="23"/>
      <c r="EE1226" s="23"/>
      <c r="EF1226" s="23"/>
      <c r="EG1226" s="23"/>
      <c r="EH1226" s="23"/>
      <c r="EI1226" s="23"/>
      <c r="EJ1226" s="23"/>
      <c r="EK1226" s="23"/>
      <c r="EL1226" s="23"/>
      <c r="EM1226" s="23"/>
      <c r="EN1226" s="23"/>
      <c r="EO1226" s="23"/>
      <c r="EP1226" s="23"/>
      <c r="EQ1226" s="23"/>
      <c r="ER1226" s="23"/>
      <c r="ES1226" s="23"/>
      <c r="ET1226" s="23"/>
      <c r="EU1226" s="23"/>
      <c r="EV1226" s="23"/>
      <c r="EW1226" s="23"/>
      <c r="EX1226" s="23"/>
      <c r="EY1226" s="23"/>
      <c r="EZ1226" s="23"/>
      <c r="FA1226" s="23"/>
      <c r="FB1226" s="23"/>
      <c r="FC1226" s="23"/>
      <c r="FD1226" s="23"/>
      <c r="FE1226" s="23"/>
      <c r="FF1226" s="23"/>
      <c r="FG1226" s="23"/>
      <c r="FH1226" s="23"/>
      <c r="FI1226" s="23"/>
      <c r="FJ1226" s="23"/>
      <c r="FK1226" s="23"/>
      <c r="FL1226" s="23"/>
      <c r="FM1226" s="23"/>
      <c r="FN1226" s="23"/>
      <c r="FO1226" s="23"/>
      <c r="FP1226" s="23"/>
      <c r="FQ1226" s="23"/>
      <c r="FR1226" s="23"/>
      <c r="FS1226" s="23"/>
      <c r="FT1226" s="23"/>
      <c r="FU1226" s="23"/>
      <c r="FV1226" s="23"/>
      <c r="FW1226" s="23"/>
      <c r="FX1226" s="23"/>
      <c r="FY1226" s="23"/>
      <c r="FZ1226" s="23"/>
      <c r="GA1226" s="23"/>
      <c r="GB1226" s="23"/>
      <c r="GC1226" s="23"/>
      <c r="GD1226" s="23"/>
      <c r="GE1226" s="23"/>
      <c r="GF1226" s="23"/>
      <c r="GG1226" s="23"/>
      <c r="GH1226" s="23"/>
      <c r="GI1226" s="23"/>
      <c r="GJ1226" s="23"/>
      <c r="GK1226" s="23"/>
      <c r="GL1226" s="23"/>
      <c r="GM1226" s="23"/>
      <c r="GN1226" s="23"/>
      <c r="GO1226" s="23"/>
      <c r="GP1226" s="23"/>
      <c r="GQ1226" s="23"/>
      <c r="GR1226" s="23"/>
      <c r="GS1226" s="23"/>
      <c r="GT1226" s="23"/>
      <c r="GU1226" s="23"/>
      <c r="GV1226" s="23"/>
      <c r="GW1226" s="23"/>
      <c r="GX1226" s="23"/>
      <c r="GY1226" s="23"/>
      <c r="GZ1226" s="23"/>
      <c r="HA1226" s="23"/>
      <c r="HB1226" s="23"/>
      <c r="HC1226" s="23"/>
      <c r="HD1226" s="23"/>
      <c r="HE1226" s="23"/>
      <c r="HF1226" s="23"/>
      <c r="HG1226" s="23"/>
      <c r="HH1226" s="23"/>
      <c r="HI1226" s="23"/>
      <c r="HJ1226" s="23"/>
      <c r="HK1226" s="23"/>
      <c r="HL1226" s="23"/>
      <c r="HM1226" s="23"/>
      <c r="HN1226" s="23"/>
      <c r="HO1226" s="23"/>
      <c r="HP1226" s="23"/>
      <c r="HQ1226" s="23"/>
      <c r="HR1226" s="23"/>
      <c r="HS1226" s="23"/>
      <c r="HT1226" s="23"/>
      <c r="HU1226" s="23"/>
      <c r="HV1226" s="23"/>
      <c r="HW1226" s="23"/>
      <c r="HX1226" s="23"/>
      <c r="HY1226" s="23"/>
      <c r="HZ1226" s="23"/>
      <c r="IA1226" s="23"/>
      <c r="IB1226" s="23"/>
      <c r="IC1226" s="23"/>
      <c r="ID1226" s="23"/>
      <c r="IE1226" s="23"/>
      <c r="IF1226" s="23"/>
      <c r="IG1226" s="23"/>
      <c r="IH1226" s="23"/>
      <c r="II1226" s="23"/>
      <c r="IJ1226" s="23"/>
      <c r="IK1226" s="23"/>
      <c r="IL1226" s="23"/>
      <c r="IM1226" s="23"/>
      <c r="IN1226" s="23"/>
      <c r="IO1226" s="23"/>
      <c r="IP1226" s="23"/>
      <c r="IQ1226" s="23"/>
      <c r="IR1226" s="23"/>
      <c r="IS1226" s="23"/>
      <c r="IT1226" s="23"/>
      <c r="IU1226" s="23"/>
      <c r="IV1226" s="23"/>
      <c r="IW1226" s="23"/>
      <c r="IX1226" s="23"/>
      <c r="IY1226" s="23"/>
      <c r="IZ1226" s="23"/>
      <c r="JA1226" s="23"/>
      <c r="JB1226" s="23"/>
      <c r="JC1226" s="23"/>
      <c r="JD1226" s="23"/>
      <c r="JE1226" s="23"/>
      <c r="JF1226" s="23"/>
      <c r="JG1226" s="23"/>
      <c r="JH1226" s="23"/>
      <c r="JI1226" s="23"/>
      <c r="JJ1226" s="23"/>
      <c r="JK1226" s="23"/>
      <c r="JL1226" s="23"/>
      <c r="JM1226" s="23"/>
      <c r="JN1226" s="23"/>
      <c r="JO1226" s="23"/>
      <c r="JP1226" s="23"/>
      <c r="JQ1226" s="23"/>
      <c r="JR1226" s="23"/>
      <c r="JS1226" s="23"/>
      <c r="JT1226" s="23"/>
      <c r="JU1226" s="23"/>
      <c r="JV1226" s="23"/>
      <c r="JW1226" s="23"/>
      <c r="JX1226" s="23"/>
      <c r="JY1226" s="23"/>
      <c r="JZ1226" s="23"/>
      <c r="KA1226" s="23"/>
      <c r="KB1226" s="23"/>
      <c r="KC1226" s="23"/>
      <c r="KD1226" s="23"/>
      <c r="KE1226" s="23"/>
      <c r="KF1226" s="23"/>
      <c r="KG1226" s="23"/>
      <c r="KH1226" s="23"/>
      <c r="KI1226" s="23"/>
      <c r="KJ1226" s="23"/>
      <c r="KK1226" s="23"/>
      <c r="KL1226" s="23"/>
      <c r="KM1226" s="23"/>
      <c r="KN1226" s="23"/>
      <c r="KO1226" s="23"/>
      <c r="KP1226" s="23"/>
      <c r="KQ1226" s="23"/>
      <c r="KR1226" s="23"/>
      <c r="KS1226" s="23"/>
      <c r="KT1226" s="23"/>
      <c r="KU1226" s="23"/>
      <c r="KV1226" s="23"/>
      <c r="KW1226" s="23"/>
      <c r="KX1226" s="23"/>
      <c r="KY1226" s="23"/>
      <c r="KZ1226" s="23"/>
      <c r="LA1226" s="23"/>
      <c r="LB1226" s="23"/>
      <c r="LC1226" s="23"/>
      <c r="LD1226" s="23"/>
      <c r="LE1226" s="23"/>
      <c r="LF1226" s="23"/>
      <c r="LG1226" s="23"/>
      <c r="LH1226" s="23"/>
      <c r="LI1226" s="23"/>
      <c r="LJ1226" s="23"/>
      <c r="LK1226" s="23"/>
      <c r="LL1226" s="23"/>
      <c r="LM1226" s="23"/>
      <c r="LN1226" s="23"/>
      <c r="LO1226" s="23"/>
      <c r="LP1226" s="23"/>
      <c r="LQ1226" s="23"/>
      <c r="LR1226" s="23"/>
      <c r="LS1226" s="23"/>
      <c r="LT1226" s="23"/>
      <c r="LU1226" s="23"/>
      <c r="LV1226" s="23"/>
      <c r="LW1226" s="23"/>
      <c r="LX1226" s="23"/>
      <c r="LY1226" s="23"/>
      <c r="LZ1226" s="23"/>
      <c r="MA1226" s="23"/>
      <c r="MB1226" s="23"/>
      <c r="MC1226" s="23"/>
      <c r="MD1226" s="23"/>
      <c r="ME1226" s="23"/>
      <c r="MF1226" s="23"/>
      <c r="MG1226" s="23"/>
      <c r="MH1226" s="23"/>
      <c r="MI1226" s="23"/>
      <c r="MJ1226" s="23"/>
      <c r="MK1226" s="23"/>
      <c r="ML1226" s="23"/>
      <c r="MM1226" s="23"/>
      <c r="MN1226" s="23"/>
      <c r="MO1226" s="23"/>
      <c r="MP1226" s="23"/>
      <c r="MQ1226" s="23"/>
      <c r="MR1226" s="23"/>
      <c r="MS1226" s="23"/>
      <c r="MT1226" s="23"/>
      <c r="MU1226" s="23"/>
      <c r="MV1226" s="23"/>
      <c r="MW1226" s="23"/>
      <c r="MX1226" s="23"/>
      <c r="MY1226" s="23"/>
      <c r="MZ1226" s="23"/>
      <c r="NA1226" s="23"/>
      <c r="NB1226" s="23"/>
      <c r="NC1226" s="23"/>
      <c r="ND1226" s="23"/>
      <c r="NE1226" s="23"/>
      <c r="NF1226" s="23"/>
      <c r="NG1226" s="23"/>
      <c r="NH1226" s="23"/>
      <c r="NI1226" s="23"/>
      <c r="NJ1226" s="23"/>
      <c r="NK1226" s="23"/>
      <c r="NL1226" s="23"/>
      <c r="NM1226" s="23"/>
      <c r="NN1226" s="23"/>
      <c r="NO1226" s="23"/>
      <c r="NP1226" s="23"/>
      <c r="NQ1226" s="23"/>
      <c r="NR1226" s="23"/>
      <c r="NS1226" s="23"/>
      <c r="NT1226" s="23"/>
      <c r="NU1226" s="23"/>
      <c r="NV1226" s="23"/>
      <c r="NW1226" s="23"/>
      <c r="NX1226" s="23"/>
      <c r="NY1226" s="23"/>
      <c r="NZ1226" s="23"/>
      <c r="OA1226" s="23"/>
      <c r="OB1226" s="23"/>
      <c r="OC1226" s="23"/>
      <c r="OD1226" s="23"/>
      <c r="OE1226" s="23"/>
      <c r="OF1226" s="23"/>
      <c r="OG1226" s="23"/>
      <c r="OH1226" s="23"/>
      <c r="OI1226" s="23"/>
      <c r="OJ1226" s="23"/>
      <c r="OK1226" s="23"/>
      <c r="OL1226" s="23"/>
      <c r="OM1226" s="23"/>
      <c r="ON1226" s="23"/>
      <c r="OO1226" s="23"/>
      <c r="OP1226" s="23"/>
      <c r="OQ1226" s="23"/>
      <c r="OR1226" s="23"/>
      <c r="OS1226" s="23"/>
      <c r="OT1226" s="23"/>
      <c r="OU1226" s="23"/>
      <c r="OV1226" s="23"/>
      <c r="OW1226" s="23"/>
      <c r="OX1226" s="23"/>
      <c r="OY1226" s="23"/>
      <c r="OZ1226" s="23"/>
      <c r="PA1226" s="23"/>
      <c r="PB1226" s="23"/>
      <c r="PC1226" s="23"/>
      <c r="PD1226" s="23"/>
      <c r="PE1226" s="23"/>
      <c r="PF1226" s="23"/>
      <c r="PG1226" s="23"/>
      <c r="PH1226" s="23"/>
      <c r="PI1226" s="23"/>
      <c r="PJ1226" s="23"/>
      <c r="PK1226" s="23"/>
      <c r="PL1226" s="23"/>
      <c r="PM1226" s="23"/>
      <c r="PN1226" s="23"/>
      <c r="PO1226" s="23"/>
      <c r="PP1226" s="23"/>
      <c r="PQ1226" s="23"/>
      <c r="PR1226" s="23"/>
      <c r="PS1226" s="23"/>
      <c r="PT1226" s="23"/>
      <c r="PU1226" s="23"/>
      <c r="PV1226" s="23"/>
      <c r="PW1226" s="23"/>
      <c r="PX1226" s="23"/>
      <c r="PY1226" s="23"/>
      <c r="PZ1226" s="23"/>
      <c r="QA1226" s="23"/>
      <c r="QB1226" s="23"/>
      <c r="QC1226" s="23"/>
      <c r="QD1226" s="23"/>
      <c r="QE1226" s="23"/>
      <c r="QF1226" s="23"/>
      <c r="QG1226" s="23"/>
      <c r="QH1226" s="23"/>
      <c r="QI1226" s="23"/>
      <c r="QJ1226" s="23"/>
      <c r="QK1226" s="23"/>
      <c r="QL1226" s="23"/>
      <c r="QM1226" s="23"/>
      <c r="QN1226" s="23"/>
      <c r="QO1226" s="23"/>
      <c r="QP1226" s="23"/>
      <c r="QQ1226" s="23"/>
      <c r="QR1226" s="23"/>
      <c r="QS1226" s="23"/>
      <c r="QT1226" s="23"/>
      <c r="QU1226" s="23"/>
      <c r="QV1226" s="23"/>
      <c r="QW1226" s="23"/>
      <c r="QX1226" s="23"/>
      <c r="QY1226" s="23"/>
      <c r="QZ1226" s="23"/>
      <c r="RA1226" s="23"/>
      <c r="RB1226" s="23"/>
      <c r="RC1226" s="23"/>
      <c r="RD1226" s="23"/>
      <c r="RE1226" s="23"/>
      <c r="RF1226" s="23"/>
      <c r="RG1226" s="23"/>
      <c r="RH1226" s="23"/>
      <c r="RI1226" s="23"/>
      <c r="RJ1226" s="23"/>
      <c r="RK1226" s="23"/>
      <c r="RL1226" s="23"/>
      <c r="RM1226" s="23"/>
      <c r="RN1226" s="23"/>
      <c r="RO1226" s="23"/>
      <c r="RP1226" s="23"/>
      <c r="RQ1226" s="23"/>
      <c r="RR1226" s="23"/>
      <c r="RS1226" s="23"/>
      <c r="RT1226" s="23"/>
      <c r="RU1226" s="23"/>
      <c r="RV1226" s="23"/>
      <c r="RW1226" s="23"/>
      <c r="RX1226" s="23"/>
      <c r="RY1226" s="23"/>
      <c r="RZ1226" s="23"/>
      <c r="SA1226" s="23"/>
      <c r="SB1226" s="23"/>
      <c r="SC1226" s="23"/>
      <c r="SD1226" s="23"/>
      <c r="SE1226" s="23"/>
      <c r="SF1226" s="23"/>
      <c r="SG1226" s="23"/>
      <c r="SH1226" s="23"/>
      <c r="SI1226" s="23"/>
      <c r="SJ1226" s="23"/>
      <c r="SK1226" s="23"/>
      <c r="SL1226" s="23"/>
      <c r="SM1226" s="23"/>
      <c r="SN1226" s="23"/>
      <c r="SO1226" s="23"/>
      <c r="SP1226" s="23"/>
      <c r="SQ1226" s="23"/>
      <c r="SR1226" s="23"/>
      <c r="SS1226" s="23"/>
      <c r="ST1226" s="23"/>
      <c r="SU1226" s="23"/>
      <c r="SV1226" s="23"/>
      <c r="SW1226" s="23"/>
      <c r="SX1226" s="23"/>
      <c r="SY1226" s="23"/>
      <c r="SZ1226" s="23"/>
      <c r="TA1226" s="23"/>
      <c r="TB1226" s="23"/>
      <c r="TC1226" s="23"/>
      <c r="TD1226" s="23"/>
      <c r="TE1226" s="23"/>
      <c r="TF1226" s="23"/>
      <c r="TG1226" s="23"/>
      <c r="TH1226" s="23"/>
      <c r="TI1226" s="23"/>
      <c r="TJ1226" s="23"/>
      <c r="TK1226" s="23"/>
      <c r="TL1226" s="23"/>
      <c r="TM1226" s="23"/>
      <c r="TN1226" s="23"/>
      <c r="TO1226" s="23"/>
      <c r="TP1226" s="23"/>
      <c r="TQ1226" s="23"/>
      <c r="TR1226" s="23"/>
      <c r="TS1226" s="23"/>
      <c r="TT1226" s="23"/>
      <c r="TU1226" s="23"/>
      <c r="TV1226" s="23"/>
      <c r="TW1226" s="23"/>
      <c r="TX1226" s="23"/>
      <c r="TY1226" s="23"/>
      <c r="TZ1226" s="23"/>
      <c r="UA1226" s="23"/>
      <c r="UB1226" s="23"/>
      <c r="UC1226" s="23"/>
      <c r="UD1226" s="23"/>
      <c r="UE1226" s="23"/>
      <c r="UF1226" s="23"/>
      <c r="UG1226" s="23"/>
      <c r="UH1226" s="23"/>
      <c r="UI1226" s="23"/>
      <c r="UJ1226" s="23"/>
      <c r="UK1226" s="23"/>
      <c r="UL1226" s="23"/>
      <c r="UM1226" s="23"/>
      <c r="UN1226" s="23"/>
      <c r="UO1226" s="23"/>
      <c r="UP1226" s="23"/>
      <c r="UQ1226" s="23"/>
      <c r="UR1226" s="23"/>
      <c r="US1226" s="23"/>
      <c r="UT1226" s="23"/>
      <c r="UU1226" s="23"/>
      <c r="UV1226" s="23"/>
      <c r="UW1226" s="23"/>
      <c r="UX1226" s="23"/>
      <c r="UY1226" s="23"/>
      <c r="UZ1226" s="23"/>
      <c r="VA1226" s="23"/>
      <c r="VB1226" s="23"/>
      <c r="VC1226" s="23"/>
      <c r="VD1226" s="23"/>
      <c r="VE1226" s="23"/>
      <c r="VF1226" s="23"/>
      <c r="VG1226" s="23"/>
      <c r="VH1226" s="23"/>
      <c r="VI1226" s="23"/>
      <c r="VJ1226" s="23"/>
      <c r="VK1226" s="23"/>
      <c r="VL1226" s="23"/>
      <c r="VM1226" s="23"/>
      <c r="VN1226" s="23"/>
      <c r="VO1226" s="23"/>
      <c r="VP1226" s="23"/>
      <c r="VQ1226" s="23"/>
      <c r="VR1226" s="23"/>
      <c r="VS1226" s="23"/>
      <c r="VT1226" s="23"/>
      <c r="VU1226" s="23"/>
      <c r="VV1226" s="23"/>
      <c r="VW1226" s="23"/>
      <c r="VX1226" s="23"/>
      <c r="VY1226" s="23"/>
      <c r="VZ1226" s="23"/>
      <c r="WA1226" s="23"/>
      <c r="WB1226" s="23"/>
      <c r="WC1226" s="23"/>
      <c r="WD1226" s="23"/>
      <c r="WE1226" s="23"/>
      <c r="WF1226" s="23"/>
      <c r="WG1226" s="23"/>
      <c r="WH1226" s="23"/>
      <c r="WI1226" s="23"/>
      <c r="WJ1226" s="23"/>
      <c r="WK1226" s="23"/>
      <c r="WL1226" s="23"/>
      <c r="WM1226" s="23"/>
      <c r="WN1226" s="23"/>
      <c r="WO1226" s="23"/>
      <c r="WP1226" s="23"/>
      <c r="WQ1226" s="23"/>
      <c r="WR1226" s="23"/>
      <c r="WS1226" s="23"/>
      <c r="WT1226" s="23"/>
      <c r="WU1226" s="23"/>
      <c r="WV1226" s="23"/>
      <c r="WW1226" s="23"/>
      <c r="WX1226" s="23"/>
      <c r="WY1226" s="23"/>
      <c r="WZ1226" s="23"/>
      <c r="XA1226" s="23"/>
      <c r="XB1226" s="23"/>
      <c r="XC1226" s="23"/>
      <c r="XD1226" s="23"/>
      <c r="XE1226" s="23"/>
      <c r="XF1226" s="23"/>
      <c r="XG1226" s="23"/>
      <c r="XH1226" s="23"/>
      <c r="XI1226" s="23"/>
      <c r="XJ1226" s="23"/>
      <c r="XK1226" s="23"/>
      <c r="XL1226" s="23"/>
      <c r="XM1226" s="23"/>
      <c r="XN1226" s="23"/>
      <c r="XO1226" s="23"/>
      <c r="XP1226" s="23"/>
      <c r="XQ1226" s="23"/>
      <c r="XR1226" s="23"/>
      <c r="XS1226" s="23"/>
      <c r="XT1226" s="23"/>
      <c r="XU1226" s="23"/>
      <c r="XV1226" s="23"/>
      <c r="XW1226" s="23"/>
      <c r="XX1226" s="23"/>
      <c r="XY1226" s="23"/>
      <c r="XZ1226" s="23"/>
      <c r="YA1226" s="23"/>
      <c r="YB1226" s="23"/>
      <c r="YC1226" s="23"/>
      <c r="YD1226" s="23"/>
      <c r="YE1226" s="23"/>
      <c r="YF1226" s="23"/>
      <c r="YG1226" s="23"/>
      <c r="YH1226" s="23"/>
      <c r="YI1226" s="23"/>
      <c r="YJ1226" s="23"/>
      <c r="YK1226" s="23"/>
      <c r="YL1226" s="23"/>
      <c r="YM1226" s="23"/>
      <c r="YN1226" s="23"/>
      <c r="YO1226" s="23"/>
      <c r="YP1226" s="23"/>
      <c r="YQ1226" s="23"/>
      <c r="YR1226" s="23"/>
      <c r="YS1226" s="23"/>
      <c r="YT1226" s="23"/>
      <c r="YU1226" s="23"/>
      <c r="YV1226" s="23"/>
      <c r="YW1226" s="23"/>
      <c r="YX1226" s="23"/>
      <c r="YY1226" s="23"/>
      <c r="YZ1226" s="23"/>
      <c r="ZA1226" s="23"/>
      <c r="ZB1226" s="23"/>
      <c r="ZC1226" s="23"/>
      <c r="ZD1226" s="23"/>
      <c r="ZE1226" s="23"/>
      <c r="ZF1226" s="23"/>
      <c r="ZG1226" s="23"/>
      <c r="ZH1226" s="23"/>
      <c r="ZI1226" s="23"/>
      <c r="ZJ1226" s="23"/>
      <c r="ZK1226" s="23"/>
      <c r="ZL1226" s="23"/>
      <c r="ZM1226" s="23"/>
      <c r="ZN1226" s="23"/>
      <c r="ZO1226" s="23"/>
      <c r="ZP1226" s="23"/>
      <c r="ZQ1226" s="23"/>
      <c r="ZR1226" s="23"/>
      <c r="ZS1226" s="23"/>
      <c r="ZT1226" s="23"/>
      <c r="ZU1226" s="23"/>
      <c r="ZV1226" s="23"/>
      <c r="ZW1226" s="23"/>
      <c r="ZX1226" s="23"/>
      <c r="ZY1226" s="23"/>
      <c r="ZZ1226" s="23"/>
      <c r="AAA1226" s="23"/>
      <c r="AAB1226" s="23"/>
      <c r="AAC1226" s="23"/>
      <c r="AAD1226" s="23"/>
      <c r="AAE1226" s="23"/>
      <c r="AAF1226" s="23"/>
      <c r="AAG1226" s="23"/>
      <c r="AAH1226" s="23"/>
      <c r="AAI1226" s="23"/>
      <c r="AAJ1226" s="23"/>
      <c r="AAK1226" s="23"/>
      <c r="AAL1226" s="23"/>
      <c r="AAM1226" s="23"/>
      <c r="AAN1226" s="23"/>
      <c r="AAO1226" s="23"/>
      <c r="AAP1226" s="23"/>
      <c r="AAQ1226" s="23"/>
      <c r="AAR1226" s="23"/>
      <c r="AAS1226" s="23"/>
      <c r="AAT1226" s="23"/>
      <c r="AAU1226" s="23"/>
      <c r="AAV1226" s="23"/>
      <c r="AAW1226" s="23"/>
      <c r="AAX1226" s="23"/>
      <c r="AAY1226" s="23"/>
      <c r="AAZ1226" s="23"/>
      <c r="ABA1226" s="23"/>
      <c r="ABB1226" s="23"/>
      <c r="ABC1226" s="23"/>
      <c r="ABD1226" s="23"/>
      <c r="ABE1226" s="23"/>
      <c r="ABF1226" s="23"/>
      <c r="ABG1226" s="23"/>
      <c r="ABH1226" s="23"/>
      <c r="ABI1226" s="23"/>
      <c r="ABJ1226" s="23"/>
      <c r="ABK1226" s="23"/>
      <c r="ABL1226" s="23"/>
      <c r="ABM1226" s="23"/>
      <c r="ABN1226" s="23"/>
      <c r="ABO1226" s="23"/>
      <c r="ABP1226" s="23"/>
      <c r="ABQ1226" s="23"/>
      <c r="ABR1226" s="23"/>
      <c r="ABS1226" s="23"/>
      <c r="ABT1226" s="23"/>
      <c r="ABU1226" s="23"/>
      <c r="ABV1226" s="23"/>
      <c r="ABW1226" s="23"/>
      <c r="ABX1226" s="23"/>
      <c r="ABY1226" s="23"/>
      <c r="ABZ1226" s="23"/>
      <c r="ACA1226" s="23"/>
      <c r="ACB1226" s="23"/>
      <c r="ACC1226" s="23"/>
      <c r="ACD1226" s="23"/>
      <c r="ACE1226" s="23"/>
      <c r="ACF1226" s="23"/>
      <c r="ACG1226" s="23"/>
      <c r="ACH1226" s="23"/>
      <c r="ACI1226" s="23"/>
      <c r="ACJ1226" s="23"/>
      <c r="ACK1226" s="23"/>
      <c r="ACL1226" s="23"/>
      <c r="ACM1226" s="23"/>
      <c r="ACN1226" s="23"/>
      <c r="ACO1226" s="23"/>
      <c r="ACP1226" s="23"/>
      <c r="ACQ1226" s="23"/>
      <c r="ACR1226" s="23"/>
      <c r="ACS1226" s="23"/>
      <c r="ACT1226" s="23"/>
      <c r="ACU1226" s="23"/>
      <c r="ACV1226" s="23"/>
      <c r="ACW1226" s="23"/>
      <c r="ACX1226" s="23"/>
      <c r="ACY1226" s="23"/>
      <c r="ACZ1226" s="23"/>
      <c r="ADA1226" s="23"/>
      <c r="ADB1226" s="23"/>
      <c r="ADC1226" s="23"/>
      <c r="ADD1226" s="23"/>
      <c r="ADE1226" s="23"/>
      <c r="ADF1226" s="23"/>
      <c r="ADG1226" s="23"/>
      <c r="ADH1226" s="23"/>
      <c r="ADI1226" s="23"/>
      <c r="ADJ1226" s="23"/>
      <c r="ADK1226" s="23"/>
      <c r="ADL1226" s="23"/>
      <c r="ADM1226" s="23"/>
      <c r="ADN1226" s="23"/>
      <c r="ADO1226" s="23"/>
      <c r="ADP1226" s="23"/>
      <c r="ADQ1226" s="23"/>
      <c r="ADR1226" s="23"/>
      <c r="ADS1226" s="23"/>
      <c r="ADT1226" s="23"/>
      <c r="ADU1226" s="23"/>
      <c r="ADV1226" s="23"/>
      <c r="ADW1226" s="23"/>
      <c r="ADX1226" s="23"/>
      <c r="ADY1226" s="23"/>
      <c r="ADZ1226" s="23"/>
      <c r="AEA1226" s="23"/>
      <c r="AEB1226" s="23"/>
      <c r="AEC1226" s="23"/>
      <c r="AED1226" s="23"/>
      <c r="AEE1226" s="23"/>
      <c r="AEF1226" s="23"/>
      <c r="AEG1226" s="23"/>
      <c r="AEH1226" s="23"/>
      <c r="AEI1226" s="23"/>
      <c r="AEJ1226" s="23"/>
      <c r="AEK1226" s="23"/>
      <c r="AEL1226" s="23"/>
      <c r="AEM1226" s="23"/>
      <c r="AEN1226" s="23"/>
      <c r="AEO1226" s="23"/>
      <c r="AEP1226" s="23"/>
      <c r="AEQ1226" s="23"/>
      <c r="AER1226" s="23"/>
      <c r="AES1226" s="23"/>
      <c r="AET1226" s="23"/>
      <c r="AEU1226" s="23"/>
      <c r="AEV1226" s="23"/>
      <c r="AEW1226" s="23"/>
      <c r="AEX1226" s="23"/>
      <c r="AEY1226" s="23"/>
      <c r="AEZ1226" s="23"/>
      <c r="AFA1226" s="23"/>
      <c r="AFB1226" s="23"/>
      <c r="AFC1226" s="23"/>
      <c r="AFD1226" s="23"/>
      <c r="AFE1226" s="23"/>
      <c r="AFF1226" s="23"/>
      <c r="AFG1226" s="23"/>
      <c r="AFH1226" s="23"/>
      <c r="AFI1226" s="23"/>
      <c r="AFJ1226" s="23"/>
      <c r="AFK1226" s="23"/>
      <c r="AFL1226" s="23"/>
      <c r="AFM1226" s="23"/>
      <c r="AFN1226" s="23"/>
      <c r="AFO1226" s="23"/>
      <c r="AFP1226" s="23"/>
      <c r="AFQ1226" s="23"/>
      <c r="AFR1226" s="23"/>
      <c r="AFS1226" s="23"/>
      <c r="AFT1226" s="23"/>
      <c r="AFU1226" s="23"/>
      <c r="AFV1226" s="23"/>
      <c r="AFW1226" s="23"/>
      <c r="AFX1226" s="23"/>
      <c r="AFY1226" s="23"/>
      <c r="AFZ1226" s="23"/>
      <c r="AGA1226" s="23"/>
      <c r="AGB1226" s="23"/>
      <c r="AGC1226" s="23"/>
      <c r="AGD1226" s="23"/>
      <c r="AGE1226" s="23"/>
      <c r="AGF1226" s="23"/>
      <c r="AGG1226" s="23"/>
      <c r="AGH1226" s="23"/>
      <c r="AGI1226" s="23"/>
      <c r="AGJ1226" s="23"/>
      <c r="AGK1226" s="23"/>
      <c r="AGL1226" s="23"/>
      <c r="AGM1226" s="23"/>
      <c r="AGN1226" s="23"/>
      <c r="AGO1226" s="23"/>
      <c r="AGP1226" s="23"/>
      <c r="AGQ1226" s="23"/>
      <c r="AGR1226" s="23"/>
      <c r="AGS1226" s="23"/>
      <c r="AGT1226" s="23"/>
      <c r="AGU1226" s="23"/>
      <c r="AGV1226" s="23"/>
      <c r="AGW1226" s="23"/>
      <c r="AGX1226" s="23"/>
      <c r="AGY1226" s="23"/>
      <c r="AGZ1226" s="23"/>
      <c r="AHA1226" s="23"/>
      <c r="AHB1226" s="23"/>
      <c r="AHC1226" s="23"/>
      <c r="AHD1226" s="23"/>
      <c r="AHE1226" s="23"/>
      <c r="AHF1226" s="23"/>
      <c r="AHG1226" s="23"/>
      <c r="AHH1226" s="23"/>
      <c r="AHI1226" s="23"/>
      <c r="AHJ1226" s="23"/>
      <c r="AHK1226" s="23"/>
      <c r="AHL1226" s="23"/>
      <c r="AHM1226" s="23"/>
      <c r="AHN1226" s="23"/>
      <c r="AHO1226" s="23"/>
      <c r="AHP1226" s="23"/>
      <c r="AHQ1226" s="23"/>
      <c r="AHR1226" s="23"/>
      <c r="AHS1226" s="23"/>
      <c r="AHT1226" s="23"/>
      <c r="AHU1226" s="23"/>
      <c r="AHV1226" s="23"/>
      <c r="AHW1226" s="23"/>
      <c r="AHX1226" s="23"/>
      <c r="AHY1226" s="23"/>
      <c r="AHZ1226" s="23"/>
      <c r="AIA1226" s="23"/>
      <c r="AIB1226" s="23"/>
      <c r="AIC1226" s="23"/>
      <c r="AID1226" s="23"/>
      <c r="AIE1226" s="23"/>
      <c r="AIF1226" s="23"/>
      <c r="AIG1226" s="23"/>
      <c r="AIH1226" s="23"/>
      <c r="AII1226" s="23"/>
      <c r="AIJ1226" s="23"/>
      <c r="AIK1226" s="23"/>
      <c r="AIL1226" s="23"/>
      <c r="AIM1226" s="23"/>
      <c r="AIN1226" s="23"/>
      <c r="AIO1226" s="23"/>
      <c r="AIP1226" s="23"/>
      <c r="AIQ1226" s="23"/>
      <c r="AIR1226" s="23"/>
      <c r="AIS1226" s="23"/>
      <c r="AIT1226" s="23"/>
      <c r="AIU1226" s="23"/>
      <c r="AIV1226" s="23"/>
      <c r="AIW1226" s="23"/>
      <c r="AIX1226" s="23"/>
      <c r="AIY1226" s="23"/>
      <c r="AIZ1226" s="23"/>
      <c r="AJA1226" s="23"/>
      <c r="AJB1226" s="23"/>
      <c r="AJC1226" s="23"/>
      <c r="AJD1226" s="23"/>
      <c r="AJE1226" s="23"/>
      <c r="AJF1226" s="23"/>
      <c r="AJG1226" s="23"/>
      <c r="AJH1226" s="23"/>
      <c r="AJI1226" s="23"/>
      <c r="AJJ1226" s="23"/>
      <c r="AJK1226" s="23"/>
      <c r="AJL1226" s="23"/>
      <c r="AJM1226" s="23"/>
      <c r="AJN1226" s="23"/>
      <c r="AJO1226" s="23"/>
      <c r="AJP1226" s="23"/>
      <c r="AJQ1226" s="23"/>
      <c r="AJR1226" s="23"/>
      <c r="AJS1226" s="23"/>
      <c r="AJT1226" s="23"/>
      <c r="AJU1226" s="23"/>
      <c r="AJV1226" s="23"/>
      <c r="AJW1226" s="23"/>
      <c r="AJX1226" s="23"/>
      <c r="AJY1226" s="23"/>
      <c r="AJZ1226" s="23"/>
      <c r="AKA1226" s="23"/>
      <c r="AKB1226" s="23"/>
      <c r="AKC1226" s="23"/>
      <c r="AKD1226" s="23"/>
      <c r="AKE1226" s="23"/>
      <c r="AKF1226" s="23"/>
      <c r="AKG1226" s="23"/>
      <c r="AKH1226" s="23"/>
      <c r="AKI1226" s="23"/>
      <c r="AKJ1226" s="23"/>
      <c r="AKK1226" s="23"/>
      <c r="AKL1226" s="23"/>
      <c r="AKM1226" s="23"/>
      <c r="AKN1226" s="23"/>
      <c r="AKO1226" s="23"/>
      <c r="AKP1226" s="23"/>
      <c r="AKQ1226" s="23"/>
      <c r="AKR1226" s="23"/>
      <c r="AKS1226" s="23"/>
      <c r="AKT1226" s="23"/>
      <c r="AKU1226" s="23"/>
      <c r="AKV1226" s="23"/>
      <c r="AKW1226" s="23"/>
      <c r="AKX1226" s="23"/>
      <c r="AKY1226" s="23"/>
      <c r="AKZ1226" s="23"/>
      <c r="ALA1226" s="23"/>
      <c r="ALB1226" s="23"/>
      <c r="ALC1226" s="23"/>
      <c r="ALD1226" s="23"/>
      <c r="ALE1226" s="23"/>
      <c r="ALF1226" s="23"/>
      <c r="ALG1226" s="23"/>
      <c r="ALH1226" s="23"/>
      <c r="ALI1226" s="23"/>
      <c r="ALJ1226" s="23"/>
      <c r="ALK1226" s="23"/>
      <c r="ALL1226" s="23"/>
      <c r="ALM1226" s="23"/>
      <c r="ALN1226" s="23"/>
      <c r="ALO1226" s="23"/>
      <c r="ALP1226" s="23"/>
      <c r="ALQ1226" s="23"/>
      <c r="ALR1226" s="23"/>
      <c r="ALS1226" s="23"/>
      <c r="ALT1226" s="23"/>
      <c r="ALU1226" s="23"/>
      <c r="ALV1226" s="23"/>
      <c r="ALW1226" s="23"/>
      <c r="ALX1226" s="23"/>
      <c r="ALY1226" s="23"/>
      <c r="ALZ1226" s="23"/>
      <c r="AMA1226" s="23"/>
      <c r="AMB1226" s="23"/>
      <c r="AMC1226" s="23"/>
      <c r="AMD1226" s="23"/>
      <c r="AME1226" s="23"/>
      <c r="AMF1226" s="23"/>
      <c r="AMG1226" s="23"/>
      <c r="AMH1226" s="23"/>
      <c r="AMI1226" s="23"/>
      <c r="AMJ1226" s="23"/>
      <c r="AMK1226" s="23"/>
      <c r="AML1226" s="23"/>
      <c r="AMM1226" s="23"/>
      <c r="AMN1226" s="23"/>
      <c r="AMO1226" s="23"/>
      <c r="AMP1226" s="23"/>
      <c r="AMQ1226" s="23"/>
      <c r="AMR1226" s="23"/>
      <c r="AMS1226" s="23"/>
      <c r="AMT1226" s="23"/>
      <c r="AMU1226" s="23"/>
      <c r="AMV1226" s="23"/>
      <c r="AMW1226" s="23"/>
      <c r="AMX1226" s="23"/>
      <c r="AMY1226" s="23"/>
      <c r="AMZ1226" s="23"/>
      <c r="ANA1226" s="23"/>
      <c r="ANB1226" s="23"/>
      <c r="ANC1226" s="23"/>
      <c r="AND1226" s="23"/>
      <c r="ANE1226" s="23"/>
      <c r="ANF1226" s="23"/>
      <c r="ANG1226" s="23"/>
      <c r="ANH1226" s="23"/>
      <c r="ANI1226" s="23"/>
      <c r="ANJ1226" s="23"/>
      <c r="ANK1226" s="23"/>
      <c r="ANL1226" s="23"/>
      <c r="ANM1226" s="23"/>
      <c r="ANN1226" s="23"/>
      <c r="ANO1226" s="23"/>
      <c r="ANP1226" s="23"/>
      <c r="ANQ1226" s="23"/>
      <c r="ANR1226" s="23"/>
      <c r="ANS1226" s="23"/>
      <c r="ANT1226" s="23"/>
      <c r="ANU1226" s="23"/>
      <c r="ANV1226" s="23"/>
      <c r="ANW1226" s="23"/>
      <c r="ANX1226" s="23"/>
      <c r="ANY1226" s="23"/>
      <c r="ANZ1226" s="23"/>
      <c r="AOA1226" s="23"/>
      <c r="AOB1226" s="23"/>
      <c r="AOC1226" s="23"/>
      <c r="AOD1226" s="23"/>
      <c r="AOE1226" s="23"/>
      <c r="AOF1226" s="23"/>
      <c r="AOG1226" s="23"/>
      <c r="AOH1226" s="23"/>
      <c r="AOI1226" s="23"/>
      <c r="AOJ1226" s="23"/>
      <c r="AOK1226" s="23"/>
      <c r="AOL1226" s="23"/>
      <c r="AOM1226" s="23"/>
      <c r="AON1226" s="23"/>
      <c r="AOO1226" s="23"/>
      <c r="AOP1226" s="23"/>
      <c r="AOQ1226" s="23"/>
      <c r="AOR1226" s="23"/>
      <c r="AOS1226" s="23"/>
      <c r="AOT1226" s="23"/>
      <c r="AOU1226" s="23"/>
      <c r="AOV1226" s="23"/>
      <c r="AOW1226" s="23"/>
      <c r="AOX1226" s="23"/>
      <c r="AOY1226" s="23"/>
      <c r="AOZ1226" s="23"/>
      <c r="APA1226" s="23"/>
      <c r="APB1226" s="23"/>
      <c r="APC1226" s="23"/>
      <c r="APD1226" s="23"/>
      <c r="APE1226" s="23"/>
      <c r="APF1226" s="23"/>
      <c r="APG1226" s="23"/>
      <c r="APH1226" s="23"/>
      <c r="API1226" s="23"/>
      <c r="APJ1226" s="23"/>
      <c r="APK1226" s="23"/>
      <c r="APL1226" s="23"/>
      <c r="APM1226" s="23"/>
      <c r="APN1226" s="23"/>
      <c r="APO1226" s="23"/>
      <c r="APP1226" s="23"/>
      <c r="APQ1226" s="23"/>
      <c r="APR1226" s="23"/>
      <c r="APS1226" s="23"/>
      <c r="APT1226" s="23"/>
      <c r="APU1226" s="23"/>
      <c r="APV1226" s="23"/>
      <c r="APW1226" s="23"/>
      <c r="APX1226" s="23"/>
      <c r="APY1226" s="23"/>
      <c r="APZ1226" s="23"/>
      <c r="AQA1226" s="23"/>
      <c r="AQB1226" s="23"/>
      <c r="AQC1226" s="23"/>
      <c r="AQD1226" s="23"/>
      <c r="AQE1226" s="23"/>
      <c r="AQF1226" s="23"/>
      <c r="AQG1226" s="23"/>
      <c r="AQH1226" s="23"/>
      <c r="AQI1226" s="23"/>
      <c r="AQJ1226" s="23"/>
      <c r="AQK1226" s="23"/>
      <c r="AQL1226" s="23"/>
      <c r="AQM1226" s="23"/>
      <c r="AQN1226" s="23"/>
      <c r="AQO1226" s="23"/>
      <c r="AQP1226" s="23"/>
      <c r="AQQ1226" s="23"/>
      <c r="AQR1226" s="23"/>
      <c r="AQS1226" s="23"/>
      <c r="AQT1226" s="23"/>
      <c r="AQU1226" s="23"/>
      <c r="AQV1226" s="23"/>
      <c r="AQW1226" s="23"/>
      <c r="AQX1226" s="23"/>
      <c r="AQY1226" s="23"/>
      <c r="AQZ1226" s="23"/>
      <c r="ARA1226" s="23"/>
      <c r="ARB1226" s="23"/>
      <c r="ARC1226" s="23"/>
      <c r="ARD1226" s="23"/>
      <c r="ARE1226" s="23"/>
      <c r="ARF1226" s="23"/>
      <c r="ARG1226" s="23"/>
      <c r="ARH1226" s="23"/>
      <c r="ARI1226" s="23"/>
      <c r="ARJ1226" s="23"/>
      <c r="ARK1226" s="23"/>
      <c r="ARL1226" s="23"/>
      <c r="ARM1226" s="23"/>
      <c r="ARN1226" s="23"/>
      <c r="ARO1226" s="23"/>
      <c r="ARP1226" s="23"/>
      <c r="ARQ1226" s="23"/>
      <c r="ARR1226" s="23"/>
      <c r="ARS1226" s="23"/>
      <c r="ART1226" s="23"/>
      <c r="ARU1226" s="23"/>
      <c r="ARV1226" s="23"/>
      <c r="ARW1226" s="23"/>
      <c r="ARX1226" s="23"/>
      <c r="ARY1226" s="23"/>
      <c r="ARZ1226" s="23"/>
      <c r="ASA1226" s="23"/>
      <c r="ASB1226" s="23"/>
      <c r="ASC1226" s="23"/>
      <c r="ASD1226" s="23"/>
      <c r="ASE1226" s="23"/>
      <c r="ASF1226" s="23"/>
      <c r="ASG1226" s="23"/>
      <c r="ASH1226" s="23"/>
      <c r="ASI1226" s="23"/>
      <c r="ASJ1226" s="23"/>
      <c r="ASK1226" s="23"/>
      <c r="ASL1226" s="23"/>
      <c r="ASM1226" s="23"/>
      <c r="ASN1226" s="23"/>
      <c r="ASO1226" s="23"/>
      <c r="ASP1226" s="23"/>
      <c r="ASQ1226" s="23"/>
      <c r="ASR1226" s="23"/>
      <c r="ASS1226" s="23"/>
      <c r="AST1226" s="23"/>
      <c r="ASU1226" s="23"/>
      <c r="ASV1226" s="23"/>
      <c r="ASW1226" s="23"/>
      <c r="ASX1226" s="23"/>
      <c r="ASY1226" s="23"/>
      <c r="ASZ1226" s="23"/>
      <c r="ATA1226" s="23"/>
      <c r="ATB1226" s="23"/>
      <c r="ATC1226" s="23"/>
      <c r="ATD1226" s="23"/>
      <c r="ATE1226" s="23"/>
      <c r="ATF1226" s="23"/>
      <c r="ATG1226" s="23"/>
      <c r="ATH1226" s="23"/>
      <c r="ATI1226" s="23"/>
      <c r="ATJ1226" s="23"/>
      <c r="ATK1226" s="23"/>
      <c r="ATL1226" s="23"/>
      <c r="ATM1226" s="23"/>
      <c r="ATN1226" s="23"/>
      <c r="ATO1226" s="23"/>
      <c r="ATP1226" s="23"/>
      <c r="ATQ1226" s="23"/>
      <c r="ATR1226" s="23"/>
      <c r="ATS1226" s="23"/>
      <c r="ATT1226" s="23"/>
      <c r="ATU1226" s="23"/>
      <c r="ATV1226" s="23"/>
      <c r="ATW1226" s="23"/>
      <c r="ATX1226" s="23"/>
      <c r="ATY1226" s="23"/>
      <c r="ATZ1226" s="23"/>
      <c r="AUA1226" s="23"/>
      <c r="AUB1226" s="23"/>
      <c r="AUC1226" s="23"/>
      <c r="AUD1226" s="23"/>
      <c r="AUE1226" s="23"/>
      <c r="AUF1226" s="23"/>
      <c r="AUG1226" s="23"/>
      <c r="AUH1226" s="23"/>
      <c r="AUI1226" s="23"/>
      <c r="AUJ1226" s="23"/>
      <c r="AUK1226" s="23"/>
      <c r="AUL1226" s="23"/>
      <c r="AUM1226" s="23"/>
      <c r="AUN1226" s="23"/>
      <c r="AUO1226" s="23"/>
      <c r="AUP1226" s="23"/>
      <c r="AUQ1226" s="23"/>
      <c r="AUR1226" s="23"/>
      <c r="AUS1226" s="23"/>
      <c r="AUT1226" s="23"/>
      <c r="AUU1226" s="23"/>
      <c r="AUV1226" s="23"/>
      <c r="AUW1226" s="23"/>
      <c r="AUX1226" s="23"/>
      <c r="AUY1226" s="23"/>
      <c r="AUZ1226" s="23"/>
      <c r="AVA1226" s="23"/>
      <c r="AVB1226" s="23"/>
      <c r="AVC1226" s="23"/>
      <c r="AVD1226" s="23"/>
      <c r="AVE1226" s="23"/>
      <c r="AVF1226" s="23"/>
      <c r="AVG1226" s="23"/>
      <c r="AVH1226" s="23"/>
      <c r="AVI1226" s="23"/>
      <c r="AVJ1226" s="23"/>
      <c r="AVK1226" s="23"/>
      <c r="AVL1226" s="23"/>
      <c r="AVM1226" s="23"/>
      <c r="AVN1226" s="23"/>
      <c r="AVO1226" s="23"/>
      <c r="AVP1226" s="23"/>
      <c r="AVQ1226" s="23"/>
      <c r="AVR1226" s="23"/>
      <c r="AVS1226" s="23"/>
      <c r="AVT1226" s="23"/>
      <c r="AVU1226" s="23"/>
      <c r="AVV1226" s="23"/>
      <c r="AVW1226" s="23"/>
      <c r="AVX1226" s="23"/>
      <c r="AVY1226" s="23"/>
      <c r="AVZ1226" s="23"/>
      <c r="AWA1226" s="23"/>
      <c r="AWB1226" s="23"/>
      <c r="AWC1226" s="23"/>
      <c r="AWD1226" s="23"/>
      <c r="AWE1226" s="23"/>
      <c r="AWF1226" s="23"/>
      <c r="AWG1226" s="23"/>
      <c r="AWH1226" s="23"/>
      <c r="AWI1226" s="23"/>
      <c r="AWJ1226" s="23"/>
      <c r="AWK1226" s="23"/>
      <c r="AWL1226" s="23"/>
      <c r="AWM1226" s="23"/>
      <c r="AWN1226" s="23"/>
      <c r="AWO1226" s="23"/>
      <c r="AWP1226" s="23"/>
      <c r="AWQ1226" s="23"/>
      <c r="AWR1226" s="23"/>
      <c r="AWS1226" s="23"/>
      <c r="AWT1226" s="23"/>
      <c r="AWU1226" s="23"/>
      <c r="AWV1226" s="23"/>
      <c r="AWW1226" s="23"/>
      <c r="AWX1226" s="23"/>
      <c r="AWY1226" s="23"/>
      <c r="AWZ1226" s="23"/>
      <c r="AXA1226" s="23"/>
      <c r="AXB1226" s="23"/>
      <c r="AXC1226" s="23"/>
      <c r="AXD1226" s="23"/>
      <c r="AXE1226" s="23"/>
      <c r="AXF1226" s="23"/>
      <c r="AXG1226" s="23"/>
      <c r="AXH1226" s="23"/>
      <c r="AXI1226" s="23"/>
      <c r="AXJ1226" s="23"/>
      <c r="AXK1226" s="23"/>
      <c r="AXL1226" s="23"/>
      <c r="AXM1226" s="23"/>
      <c r="AXN1226" s="23"/>
      <c r="AXO1226" s="23"/>
      <c r="AXP1226" s="23"/>
      <c r="AXQ1226" s="23"/>
      <c r="AXR1226" s="23"/>
      <c r="AXS1226" s="23"/>
      <c r="AXT1226" s="23"/>
      <c r="AXU1226" s="23"/>
      <c r="AXV1226" s="23"/>
      <c r="AXW1226" s="23"/>
      <c r="AXX1226" s="23"/>
      <c r="AXY1226" s="23"/>
      <c r="AXZ1226" s="23"/>
      <c r="AYA1226" s="23"/>
      <c r="AYB1226" s="23"/>
      <c r="AYC1226" s="23"/>
      <c r="AYD1226" s="23"/>
      <c r="AYE1226" s="23"/>
      <c r="AYF1226" s="23"/>
      <c r="AYG1226" s="23"/>
      <c r="AYH1226" s="23"/>
      <c r="AYI1226" s="23"/>
      <c r="AYJ1226" s="23"/>
      <c r="AYK1226" s="23"/>
      <c r="AYL1226" s="23"/>
      <c r="AYM1226" s="23"/>
      <c r="AYN1226" s="23"/>
      <c r="AYO1226" s="23"/>
      <c r="AYP1226" s="23"/>
      <c r="AYQ1226" s="23"/>
      <c r="AYR1226" s="23"/>
      <c r="AYS1226" s="23"/>
      <c r="AYT1226" s="23"/>
      <c r="AYU1226" s="23"/>
      <c r="AYV1226" s="23"/>
      <c r="AYW1226" s="23"/>
      <c r="AYX1226" s="23"/>
      <c r="AYY1226" s="23"/>
      <c r="AYZ1226" s="23"/>
      <c r="AZA1226" s="23"/>
      <c r="AZB1226" s="23"/>
      <c r="AZC1226" s="23"/>
      <c r="AZD1226" s="23"/>
      <c r="AZE1226" s="23"/>
      <c r="AZF1226" s="23"/>
      <c r="AZG1226" s="23"/>
      <c r="AZH1226" s="23"/>
      <c r="AZI1226" s="23"/>
      <c r="AZJ1226" s="23"/>
      <c r="AZK1226" s="23"/>
      <c r="AZL1226" s="23"/>
      <c r="AZM1226" s="23"/>
      <c r="AZN1226" s="23"/>
      <c r="AZO1226" s="23"/>
      <c r="AZP1226" s="23"/>
      <c r="AZQ1226" s="23"/>
      <c r="AZR1226" s="23"/>
      <c r="AZS1226" s="23"/>
      <c r="AZT1226" s="23"/>
      <c r="AZU1226" s="23"/>
      <c r="AZV1226" s="23"/>
      <c r="AZW1226" s="23"/>
      <c r="AZX1226" s="23"/>
      <c r="AZY1226" s="23"/>
      <c r="AZZ1226" s="23"/>
      <c r="BAA1226" s="23"/>
      <c r="BAB1226" s="23"/>
      <c r="BAC1226" s="23"/>
      <c r="BAD1226" s="23"/>
      <c r="BAE1226" s="23"/>
      <c r="BAF1226" s="23"/>
      <c r="BAG1226" s="23"/>
      <c r="BAH1226" s="23"/>
      <c r="BAI1226" s="23"/>
      <c r="BAJ1226" s="23"/>
      <c r="BAK1226" s="23"/>
      <c r="BAL1226" s="23"/>
      <c r="BAM1226" s="23"/>
      <c r="BAN1226" s="23"/>
      <c r="BAO1226" s="23"/>
      <c r="BAP1226" s="23"/>
      <c r="BAQ1226" s="23"/>
      <c r="BAR1226" s="23"/>
      <c r="BAS1226" s="23"/>
      <c r="BAT1226" s="23"/>
      <c r="BAU1226" s="23"/>
      <c r="BAV1226" s="23"/>
      <c r="BAW1226" s="23"/>
      <c r="BAX1226" s="23"/>
      <c r="BAY1226" s="23"/>
      <c r="BAZ1226" s="23"/>
      <c r="BBA1226" s="23"/>
      <c r="BBB1226" s="23"/>
      <c r="BBC1226" s="23"/>
      <c r="BBD1226" s="23"/>
      <c r="BBE1226" s="23"/>
      <c r="BBF1226" s="23"/>
      <c r="BBG1226" s="23"/>
      <c r="BBH1226" s="23"/>
      <c r="BBI1226" s="23"/>
      <c r="BBJ1226" s="23"/>
      <c r="BBK1226" s="23"/>
      <c r="BBL1226" s="23"/>
      <c r="BBM1226" s="23"/>
      <c r="BBN1226" s="23"/>
      <c r="BBO1226" s="23"/>
      <c r="BBP1226" s="23"/>
      <c r="BBQ1226" s="23"/>
      <c r="BBR1226" s="23"/>
      <c r="BBS1226" s="23"/>
      <c r="BBT1226" s="23"/>
      <c r="BBU1226" s="23"/>
      <c r="BBV1226" s="23"/>
      <c r="BBW1226" s="23"/>
      <c r="BBX1226" s="23"/>
      <c r="BBY1226" s="23"/>
      <c r="BBZ1226" s="23"/>
      <c r="BCA1226" s="23"/>
      <c r="BCB1226" s="23"/>
      <c r="BCC1226" s="23"/>
      <c r="BCD1226" s="23"/>
      <c r="BCE1226" s="23"/>
      <c r="BCF1226" s="23"/>
      <c r="BCG1226" s="23"/>
      <c r="BCH1226" s="23"/>
      <c r="BCI1226" s="23"/>
      <c r="BCJ1226" s="23"/>
      <c r="BCK1226" s="23"/>
      <c r="BCL1226" s="23"/>
      <c r="BCM1226" s="23"/>
      <c r="BCN1226" s="23"/>
      <c r="BCO1226" s="23"/>
      <c r="BCP1226" s="23"/>
      <c r="BCQ1226" s="23"/>
      <c r="BCR1226" s="23"/>
      <c r="BCS1226" s="23"/>
      <c r="BCT1226" s="23"/>
      <c r="BCU1226" s="23"/>
      <c r="BCV1226" s="23"/>
      <c r="BCW1226" s="23"/>
      <c r="BCX1226" s="23"/>
      <c r="BCY1226" s="23"/>
      <c r="BCZ1226" s="23"/>
      <c r="BDA1226" s="23"/>
      <c r="BDB1226" s="23"/>
      <c r="BDC1226" s="23"/>
      <c r="BDD1226" s="23"/>
      <c r="BDE1226" s="23"/>
      <c r="BDF1226" s="23"/>
      <c r="BDG1226" s="23"/>
      <c r="BDH1226" s="23"/>
      <c r="BDI1226" s="23"/>
      <c r="BDJ1226" s="23"/>
      <c r="BDK1226" s="23"/>
      <c r="BDL1226" s="23"/>
      <c r="BDM1226" s="23"/>
      <c r="BDN1226" s="23"/>
      <c r="BDO1226" s="23"/>
      <c r="BDP1226" s="23"/>
      <c r="BDQ1226" s="23"/>
      <c r="BDR1226" s="23"/>
      <c r="BDS1226" s="23"/>
      <c r="BDT1226" s="23"/>
      <c r="BDU1226" s="23"/>
      <c r="BDV1226" s="23"/>
      <c r="BDW1226" s="23"/>
      <c r="BDX1226" s="23"/>
      <c r="BDY1226" s="23"/>
      <c r="BDZ1226" s="23"/>
      <c r="BEA1226" s="23"/>
      <c r="BEB1226" s="23"/>
      <c r="BEC1226" s="23"/>
      <c r="BED1226" s="23"/>
      <c r="BEE1226" s="23"/>
      <c r="BEF1226" s="23"/>
      <c r="BEG1226" s="23"/>
      <c r="BEH1226" s="23"/>
      <c r="BEI1226" s="23"/>
      <c r="BEJ1226" s="23"/>
      <c r="BEK1226" s="23"/>
      <c r="BEL1226" s="23"/>
      <c r="BEM1226" s="23"/>
      <c r="BEN1226" s="23"/>
      <c r="BEO1226" s="23"/>
      <c r="BEP1226" s="23"/>
      <c r="BEQ1226" s="23"/>
      <c r="BER1226" s="23"/>
      <c r="BES1226" s="23"/>
      <c r="BET1226" s="23"/>
      <c r="BEU1226" s="23"/>
      <c r="BEV1226" s="23"/>
      <c r="BEW1226" s="23"/>
      <c r="BEX1226" s="23"/>
      <c r="BEY1226" s="23"/>
      <c r="BEZ1226" s="23"/>
      <c r="BFA1226" s="23"/>
      <c r="BFB1226" s="23"/>
      <c r="BFC1226" s="23"/>
      <c r="BFD1226" s="23"/>
      <c r="BFE1226" s="23"/>
      <c r="BFF1226" s="23"/>
      <c r="BFG1226" s="23"/>
      <c r="BFH1226" s="23"/>
      <c r="BFI1226" s="23"/>
      <c r="BFJ1226" s="23"/>
      <c r="BFK1226" s="23"/>
      <c r="BFL1226" s="23"/>
      <c r="BFM1226" s="23"/>
      <c r="BFN1226" s="23"/>
      <c r="BFO1226" s="23"/>
      <c r="BFP1226" s="23"/>
      <c r="BFQ1226" s="23"/>
      <c r="BFR1226" s="23"/>
      <c r="BFS1226" s="23"/>
      <c r="BFT1226" s="23"/>
      <c r="BFU1226" s="23"/>
      <c r="BFV1226" s="23"/>
      <c r="BFW1226" s="23"/>
      <c r="BFX1226" s="23"/>
      <c r="BFY1226" s="23"/>
      <c r="BFZ1226" s="23"/>
      <c r="BGA1226" s="23"/>
      <c r="BGB1226" s="23"/>
      <c r="BGC1226" s="23"/>
      <c r="BGD1226" s="23"/>
      <c r="BGE1226" s="23"/>
      <c r="BGF1226" s="23"/>
      <c r="BGG1226" s="23"/>
      <c r="BGH1226" s="23"/>
      <c r="BGI1226" s="23"/>
      <c r="BGJ1226" s="23"/>
      <c r="BGK1226" s="23"/>
      <c r="BGL1226" s="23"/>
      <c r="BGM1226" s="23"/>
      <c r="BGN1226" s="23"/>
      <c r="BGO1226" s="23"/>
      <c r="BGP1226" s="23"/>
      <c r="BGQ1226" s="23"/>
      <c r="BGR1226" s="23"/>
      <c r="BGS1226" s="23"/>
      <c r="BGT1226" s="23"/>
      <c r="BGU1226" s="23"/>
      <c r="BGV1226" s="23"/>
      <c r="BGW1226" s="23"/>
      <c r="BGX1226" s="23"/>
      <c r="BGY1226" s="23"/>
      <c r="BGZ1226" s="23"/>
      <c r="BHA1226" s="23"/>
      <c r="BHB1226" s="23"/>
      <c r="BHC1226" s="23"/>
      <c r="BHD1226" s="23"/>
      <c r="BHE1226" s="23"/>
      <c r="BHF1226" s="23"/>
      <c r="BHG1226" s="23"/>
      <c r="BHH1226" s="23"/>
      <c r="BHI1226" s="23"/>
      <c r="BHJ1226" s="23"/>
      <c r="BHK1226" s="23"/>
      <c r="BHL1226" s="23"/>
      <c r="BHM1226" s="23"/>
      <c r="BHN1226" s="23"/>
      <c r="BHO1226" s="23"/>
      <c r="BHP1226" s="23"/>
      <c r="BHQ1226" s="23"/>
      <c r="BHR1226" s="23"/>
      <c r="BHS1226" s="23"/>
      <c r="BHT1226" s="23"/>
      <c r="BHU1226" s="23"/>
      <c r="BHV1226" s="23"/>
      <c r="BHW1226" s="23"/>
      <c r="BHX1226" s="23"/>
      <c r="BHY1226" s="23"/>
      <c r="BHZ1226" s="23"/>
      <c r="BIA1226" s="23"/>
      <c r="BIB1226" s="23"/>
      <c r="BIC1226" s="23"/>
      <c r="BID1226" s="23"/>
      <c r="BIE1226" s="23"/>
      <c r="BIF1226" s="23"/>
      <c r="BIG1226" s="23"/>
      <c r="BIH1226" s="23"/>
      <c r="BII1226" s="23"/>
      <c r="BIJ1226" s="23"/>
      <c r="BIK1226" s="23"/>
      <c r="BIL1226" s="23"/>
      <c r="BIM1226" s="23"/>
      <c r="BIN1226" s="23"/>
      <c r="BIO1226" s="23"/>
      <c r="BIP1226" s="23"/>
      <c r="BIQ1226" s="23"/>
      <c r="BIR1226" s="23"/>
      <c r="BIS1226" s="23"/>
      <c r="BIT1226" s="23"/>
      <c r="BIU1226" s="23"/>
      <c r="BIV1226" s="23"/>
      <c r="BIW1226" s="23"/>
      <c r="BIX1226" s="23"/>
      <c r="BIY1226" s="23"/>
      <c r="BIZ1226" s="23"/>
      <c r="BJA1226" s="23"/>
      <c r="BJB1226" s="23"/>
      <c r="BJC1226" s="23"/>
      <c r="BJD1226" s="23"/>
      <c r="BJE1226" s="23"/>
      <c r="BJF1226" s="23"/>
      <c r="BJG1226" s="23"/>
      <c r="BJH1226" s="23"/>
      <c r="BJI1226" s="23"/>
      <c r="BJJ1226" s="23"/>
      <c r="BJK1226" s="23"/>
      <c r="BJL1226" s="23"/>
      <c r="BJM1226" s="23"/>
      <c r="BJN1226" s="23"/>
      <c r="BJO1226" s="23"/>
      <c r="BJP1226" s="23"/>
      <c r="BJQ1226" s="23"/>
      <c r="BJR1226" s="23"/>
      <c r="BJS1226" s="23"/>
      <c r="BJT1226" s="23"/>
      <c r="BJU1226" s="23"/>
      <c r="BJV1226" s="23"/>
      <c r="BJW1226" s="23"/>
      <c r="BJX1226" s="23"/>
      <c r="BJY1226" s="23"/>
      <c r="BJZ1226" s="23"/>
      <c r="BKA1226" s="23"/>
      <c r="BKB1226" s="23"/>
      <c r="BKC1226" s="23"/>
      <c r="BKD1226" s="23"/>
      <c r="BKE1226" s="23"/>
      <c r="BKF1226" s="23"/>
      <c r="BKG1226" s="23"/>
      <c r="BKH1226" s="23"/>
      <c r="BKI1226" s="23"/>
      <c r="BKJ1226" s="23"/>
      <c r="BKK1226" s="23"/>
      <c r="BKL1226" s="23"/>
      <c r="BKM1226" s="23"/>
      <c r="BKN1226" s="23"/>
      <c r="BKO1226" s="23"/>
      <c r="BKP1226" s="23"/>
      <c r="BKQ1226" s="23"/>
      <c r="BKR1226" s="23"/>
      <c r="BKS1226" s="23"/>
      <c r="BKT1226" s="23"/>
      <c r="BKU1226" s="23"/>
      <c r="BKV1226" s="23"/>
      <c r="BKW1226" s="23"/>
      <c r="BKX1226" s="23"/>
      <c r="BKY1226" s="23"/>
      <c r="BKZ1226" s="23"/>
      <c r="BLA1226" s="23"/>
      <c r="BLB1226" s="23"/>
      <c r="BLC1226" s="23"/>
      <c r="BLD1226" s="23"/>
      <c r="BLE1226" s="23"/>
      <c r="BLF1226" s="23"/>
      <c r="BLG1226" s="23"/>
      <c r="BLH1226" s="23"/>
      <c r="BLI1226" s="23"/>
      <c r="BLJ1226" s="23"/>
      <c r="BLK1226" s="23"/>
      <c r="BLL1226" s="23"/>
      <c r="BLM1226" s="23"/>
      <c r="BLN1226" s="23"/>
      <c r="BLO1226" s="23"/>
      <c r="BLP1226" s="23"/>
      <c r="BLQ1226" s="23"/>
      <c r="BLR1226" s="23"/>
      <c r="BLS1226" s="23"/>
      <c r="BLT1226" s="23"/>
      <c r="BLU1226" s="23"/>
      <c r="BLV1226" s="23"/>
      <c r="BLW1226" s="23"/>
      <c r="BLX1226" s="23"/>
      <c r="BLY1226" s="23"/>
      <c r="BLZ1226" s="23"/>
      <c r="BMA1226" s="23"/>
      <c r="BMB1226" s="23"/>
      <c r="BMC1226" s="23"/>
      <c r="BMD1226" s="23"/>
      <c r="BME1226" s="23"/>
      <c r="BMF1226" s="23"/>
      <c r="BMG1226" s="23"/>
      <c r="BMH1226" s="23"/>
      <c r="BMI1226" s="23"/>
      <c r="BMJ1226" s="23"/>
      <c r="BMK1226" s="23"/>
      <c r="BML1226" s="23"/>
      <c r="BMM1226" s="23"/>
      <c r="BMN1226" s="23"/>
      <c r="BMO1226" s="23"/>
      <c r="BMP1226" s="23"/>
      <c r="BMQ1226" s="23"/>
      <c r="BMR1226" s="23"/>
      <c r="BMS1226" s="23"/>
      <c r="BMT1226" s="23"/>
      <c r="BMU1226" s="23"/>
      <c r="BMV1226" s="23"/>
      <c r="BMW1226" s="23"/>
      <c r="BMX1226" s="23"/>
      <c r="BMY1226" s="23"/>
      <c r="BMZ1226" s="23"/>
      <c r="BNA1226" s="23"/>
      <c r="BNB1226" s="23"/>
      <c r="BNC1226" s="23"/>
      <c r="BND1226" s="23"/>
      <c r="BNE1226" s="23"/>
      <c r="BNF1226" s="23"/>
      <c r="BNG1226" s="23"/>
      <c r="BNH1226" s="23"/>
      <c r="BNI1226" s="23"/>
      <c r="BNJ1226" s="23"/>
      <c r="BNK1226" s="23"/>
      <c r="BNL1226" s="23"/>
      <c r="BNM1226" s="23"/>
      <c r="BNN1226" s="23"/>
      <c r="BNO1226" s="23"/>
      <c r="BNP1226" s="23"/>
      <c r="BNQ1226" s="23"/>
      <c r="BNR1226" s="23"/>
      <c r="BNS1226" s="23"/>
      <c r="BNT1226" s="23"/>
      <c r="BNU1226" s="23"/>
      <c r="BNV1226" s="23"/>
      <c r="BNW1226" s="23"/>
      <c r="BNX1226" s="23"/>
      <c r="BNY1226" s="23"/>
      <c r="BNZ1226" s="23"/>
      <c r="BOA1226" s="23"/>
      <c r="BOB1226" s="23"/>
      <c r="BOC1226" s="23"/>
      <c r="BOD1226" s="23"/>
      <c r="BOE1226" s="23"/>
      <c r="BOF1226" s="23"/>
      <c r="BOG1226" s="23"/>
      <c r="BOH1226" s="23"/>
      <c r="BOI1226" s="23"/>
      <c r="BOJ1226" s="23"/>
      <c r="BOK1226" s="23"/>
      <c r="BOL1226" s="23"/>
      <c r="BOM1226" s="23"/>
      <c r="BON1226" s="23"/>
      <c r="BOO1226" s="23"/>
      <c r="BOP1226" s="23"/>
      <c r="BOQ1226" s="23"/>
      <c r="BOR1226" s="23"/>
      <c r="BOS1226" s="23"/>
      <c r="BOT1226" s="23"/>
      <c r="BOU1226" s="23"/>
      <c r="BOV1226" s="23"/>
      <c r="BOW1226" s="23"/>
      <c r="BOX1226" s="23"/>
      <c r="BOY1226" s="23"/>
      <c r="BOZ1226" s="23"/>
      <c r="BPA1226" s="23"/>
      <c r="BPB1226" s="23"/>
      <c r="BPC1226" s="23"/>
      <c r="BPD1226" s="23"/>
      <c r="BPE1226" s="23"/>
      <c r="BPF1226" s="23"/>
      <c r="BPG1226" s="23"/>
      <c r="BPH1226" s="23"/>
      <c r="BPI1226" s="23"/>
      <c r="BPJ1226" s="23"/>
      <c r="BPK1226" s="23"/>
      <c r="BPL1226" s="23"/>
      <c r="BPM1226" s="23"/>
      <c r="BPN1226" s="23"/>
      <c r="BPO1226" s="23"/>
      <c r="BPP1226" s="23"/>
      <c r="BPQ1226" s="23"/>
      <c r="BPR1226" s="23"/>
      <c r="BPS1226" s="23"/>
      <c r="BPT1226" s="23"/>
      <c r="BPU1226" s="23"/>
      <c r="BPV1226" s="23"/>
      <c r="BPW1226" s="23"/>
      <c r="BPX1226" s="23"/>
      <c r="BPY1226" s="23"/>
      <c r="BPZ1226" s="23"/>
      <c r="BQA1226" s="23"/>
      <c r="BQB1226" s="23"/>
      <c r="BQC1226" s="23"/>
      <c r="BQD1226" s="23"/>
      <c r="BQE1226" s="23"/>
      <c r="BQF1226" s="23"/>
      <c r="BQG1226" s="23"/>
      <c r="BQH1226" s="23"/>
      <c r="BQI1226" s="23"/>
      <c r="BQJ1226" s="23"/>
      <c r="BQK1226" s="23"/>
      <c r="BQL1226" s="23"/>
      <c r="BQM1226" s="23"/>
      <c r="BQN1226" s="23"/>
      <c r="BQO1226" s="23"/>
      <c r="BQP1226" s="23"/>
      <c r="BQQ1226" s="23"/>
      <c r="BQR1226" s="23"/>
      <c r="BQS1226" s="23"/>
      <c r="BQT1226" s="23"/>
      <c r="BQU1226" s="23"/>
      <c r="BQV1226" s="23"/>
      <c r="BQW1226" s="23"/>
      <c r="BQX1226" s="23"/>
      <c r="BQY1226" s="23"/>
      <c r="BQZ1226" s="23"/>
      <c r="BRA1226" s="23"/>
      <c r="BRB1226" s="23"/>
      <c r="BRC1226" s="23"/>
      <c r="BRD1226" s="23"/>
      <c r="BRE1226" s="23"/>
      <c r="BRF1226" s="23"/>
      <c r="BRG1226" s="23"/>
      <c r="BRH1226" s="23"/>
      <c r="BRI1226" s="23"/>
      <c r="BRJ1226" s="23"/>
      <c r="BRK1226" s="23"/>
      <c r="BRL1226" s="23"/>
      <c r="BRM1226" s="23"/>
      <c r="BRN1226" s="23"/>
      <c r="BRO1226" s="23"/>
      <c r="BRP1226" s="23"/>
      <c r="BRQ1226" s="23"/>
      <c r="BRR1226" s="23"/>
      <c r="BRS1226" s="23"/>
      <c r="BRT1226" s="23"/>
      <c r="BRU1226" s="23"/>
      <c r="BRV1226" s="23"/>
      <c r="BRW1226" s="23"/>
      <c r="BRX1226" s="23"/>
      <c r="BRY1226" s="23"/>
      <c r="BRZ1226" s="23"/>
      <c r="BSA1226" s="23"/>
      <c r="BSB1226" s="23"/>
      <c r="BSC1226" s="23"/>
      <c r="BSD1226" s="23"/>
      <c r="BSE1226" s="23"/>
      <c r="BSF1226" s="23"/>
      <c r="BSG1226" s="23"/>
      <c r="BSH1226" s="23"/>
      <c r="BSI1226" s="23"/>
      <c r="BSJ1226" s="23"/>
      <c r="BSK1226" s="23"/>
      <c r="BSL1226" s="23"/>
      <c r="BSM1226" s="23"/>
      <c r="BSN1226" s="23"/>
      <c r="BSO1226" s="23"/>
      <c r="BSP1226" s="23"/>
      <c r="BSQ1226" s="23"/>
      <c r="BSR1226" s="23"/>
      <c r="BSS1226" s="23"/>
      <c r="BST1226" s="23"/>
      <c r="BSU1226" s="23"/>
      <c r="BSV1226" s="23"/>
      <c r="BSW1226" s="23"/>
      <c r="BSX1226" s="23"/>
      <c r="BSY1226" s="23"/>
      <c r="BSZ1226" s="23"/>
      <c r="BTA1226" s="23"/>
    </row>
    <row r="1227" spans="1:1873" s="149" customFormat="1" ht="12.75" customHeight="1" x14ac:dyDescent="0.25">
      <c r="A1227" s="263" t="s">
        <v>560</v>
      </c>
      <c r="B1227" s="263" t="s">
        <v>1268</v>
      </c>
      <c r="C1227" s="600" t="s">
        <v>113</v>
      </c>
      <c r="D1227" s="263" t="s">
        <v>1254</v>
      </c>
      <c r="E1227" s="327" t="s">
        <v>882</v>
      </c>
      <c r="F1227" s="600">
        <v>1</v>
      </c>
      <c r="G1227" s="600">
        <v>4</v>
      </c>
      <c r="H1227" s="600">
        <v>4</v>
      </c>
      <c r="I1227" s="257" t="s">
        <v>856</v>
      </c>
      <c r="J1227" s="599">
        <v>1982</v>
      </c>
      <c r="K1227" s="257" t="s">
        <v>1211</v>
      </c>
      <c r="L1227" s="608">
        <v>1985</v>
      </c>
      <c r="M1227" s="261">
        <v>-9999</v>
      </c>
      <c r="N1227" s="257">
        <v>-9999</v>
      </c>
      <c r="O1227" s="29"/>
      <c r="P1227" s="261">
        <v>26.13</v>
      </c>
      <c r="Q1227" s="257">
        <v>-9999</v>
      </c>
      <c r="R1227" s="261"/>
      <c r="S1227" s="257"/>
      <c r="T1227" s="370">
        <v>6.5330000000000004</v>
      </c>
      <c r="U1227" s="257">
        <v>-9999</v>
      </c>
      <c r="V1227" s="257"/>
      <c r="W1227" s="609">
        <f t="shared" si="127"/>
        <v>5.6999999999999993</v>
      </c>
      <c r="X1227" s="257">
        <v>-9999</v>
      </c>
      <c r="Y1227" s="257"/>
      <c r="Z1227" s="327" t="s">
        <v>1705</v>
      </c>
      <c r="AA1227" s="605">
        <v>2691</v>
      </c>
      <c r="AB1227" s="611">
        <v>0.98699999999999999</v>
      </c>
      <c r="AC1227" s="257">
        <v>10.3</v>
      </c>
      <c r="AD1227" s="602">
        <f t="shared" si="124"/>
        <v>966</v>
      </c>
      <c r="AE1227" s="263" t="s">
        <v>97</v>
      </c>
      <c r="AF1227" s="600">
        <v>6</v>
      </c>
      <c r="AG1227" s="257">
        <v>2</v>
      </c>
      <c r="AH1227" s="257" t="s">
        <v>98</v>
      </c>
      <c r="AI1227" s="257" t="s">
        <v>985</v>
      </c>
      <c r="AJ1227" s="257">
        <v>-9999</v>
      </c>
      <c r="AK1227" s="257" t="s">
        <v>99</v>
      </c>
      <c r="AL1227" s="257" t="s">
        <v>828</v>
      </c>
      <c r="AM1227" s="257">
        <v>-9999</v>
      </c>
      <c r="AN1227" s="257" t="s">
        <v>631</v>
      </c>
      <c r="AO1227" s="257">
        <v>-9999</v>
      </c>
      <c r="AP1227" s="257">
        <v>-9999</v>
      </c>
      <c r="AQ1227" s="257" t="s">
        <v>631</v>
      </c>
      <c r="AR1227" s="257">
        <v>0</v>
      </c>
      <c r="AS1227" s="257">
        <v>-9999</v>
      </c>
      <c r="AT1227" s="257">
        <v>-9999</v>
      </c>
      <c r="AU1227" s="257">
        <v>0</v>
      </c>
      <c r="AV1227" s="257">
        <v>-9999</v>
      </c>
      <c r="AW1227" s="257"/>
      <c r="AX1227" s="257">
        <v>0</v>
      </c>
      <c r="AY1227" s="257">
        <v>-9999</v>
      </c>
      <c r="AZ1227" s="257">
        <v>-9999</v>
      </c>
      <c r="BA1227" s="257" t="s">
        <v>100</v>
      </c>
      <c r="BB1227" s="257" t="s">
        <v>626</v>
      </c>
      <c r="BC1227" s="257" t="s">
        <v>101</v>
      </c>
      <c r="BD1227" s="257" t="s">
        <v>102</v>
      </c>
      <c r="BE1227" s="257" t="s">
        <v>103</v>
      </c>
      <c r="BF1227" s="257" t="s">
        <v>104</v>
      </c>
      <c r="BG1227" s="257" t="s">
        <v>105</v>
      </c>
      <c r="BH1227" s="257" t="s">
        <v>106</v>
      </c>
      <c r="BI1227" s="257">
        <v>-9999</v>
      </c>
      <c r="BJ1227" s="257">
        <v>-9999</v>
      </c>
      <c r="BK1227" s="257">
        <v>-9999</v>
      </c>
      <c r="BL1227" s="602">
        <v>9.07</v>
      </c>
      <c r="BM1227" s="257">
        <v>-9999</v>
      </c>
      <c r="BN1227" s="602">
        <v>6.7</v>
      </c>
      <c r="BO1227" s="257">
        <v>-9999</v>
      </c>
      <c r="BP1227" s="257">
        <v>-9999</v>
      </c>
      <c r="BQ1227" s="257">
        <v>-9999</v>
      </c>
      <c r="BR1227" s="257">
        <v>-9999</v>
      </c>
      <c r="BS1227" s="263">
        <v>-9999</v>
      </c>
      <c r="BT1227" s="257">
        <v>-9999</v>
      </c>
      <c r="BU1227" s="257">
        <v>-9999</v>
      </c>
      <c r="BV1227" s="257">
        <v>-9999</v>
      </c>
      <c r="BW1227" s="257"/>
      <c r="BX1227" s="257">
        <v>-9999</v>
      </c>
      <c r="BY1227" s="257">
        <v>-9999</v>
      </c>
      <c r="BZ1227" s="257">
        <v>-9999</v>
      </c>
      <c r="CA1227" s="300" t="s">
        <v>107</v>
      </c>
      <c r="CB1227" s="264" t="s">
        <v>561</v>
      </c>
      <c r="CC1227" s="600">
        <v>1</v>
      </c>
      <c r="CD1227" s="600">
        <v>4</v>
      </c>
      <c r="CE1227" s="168">
        <v>6.5330000000000004</v>
      </c>
      <c r="CF1227" s="168">
        <v>5.3900000000000006</v>
      </c>
      <c r="CG1227" s="161">
        <v>4</v>
      </c>
    </row>
    <row r="1228" spans="1:1873" s="149" customFormat="1" ht="12.75" customHeight="1" x14ac:dyDescent="0.25">
      <c r="A1228" s="263" t="s">
        <v>560</v>
      </c>
      <c r="B1228" s="263" t="s">
        <v>1268</v>
      </c>
      <c r="C1228" s="600" t="s">
        <v>113</v>
      </c>
      <c r="D1228" s="263" t="s">
        <v>1254</v>
      </c>
      <c r="E1228" s="327" t="s">
        <v>882</v>
      </c>
      <c r="F1228" s="600">
        <v>1</v>
      </c>
      <c r="G1228" s="600">
        <v>5</v>
      </c>
      <c r="H1228" s="600">
        <v>5</v>
      </c>
      <c r="I1228" s="257" t="s">
        <v>856</v>
      </c>
      <c r="J1228" s="599">
        <v>1982</v>
      </c>
      <c r="K1228" s="257" t="s">
        <v>1211</v>
      </c>
      <c r="L1228" s="608">
        <v>1986</v>
      </c>
      <c r="M1228" s="261">
        <v>-9999</v>
      </c>
      <c r="N1228" s="257">
        <v>-9999</v>
      </c>
      <c r="O1228" s="29"/>
      <c r="P1228" s="602">
        <v>30.7</v>
      </c>
      <c r="Q1228" s="257">
        <v>-9999</v>
      </c>
      <c r="R1228" s="261"/>
      <c r="S1228" s="257"/>
      <c r="T1228" s="370">
        <v>6.14</v>
      </c>
      <c r="U1228" s="257">
        <v>-9999</v>
      </c>
      <c r="V1228" s="257"/>
      <c r="W1228" s="609">
        <f t="shared" si="127"/>
        <v>4.57</v>
      </c>
      <c r="X1228" s="257">
        <v>-9999</v>
      </c>
      <c r="Y1228" s="257"/>
      <c r="Z1228" s="327" t="s">
        <v>1705</v>
      </c>
      <c r="AA1228" s="605">
        <v>2691</v>
      </c>
      <c r="AB1228" s="611">
        <v>1</v>
      </c>
      <c r="AC1228" s="257">
        <v>10.3</v>
      </c>
      <c r="AD1228" s="602">
        <f t="shared" si="124"/>
        <v>966</v>
      </c>
      <c r="AE1228" s="263" t="s">
        <v>97</v>
      </c>
      <c r="AF1228" s="600">
        <v>6</v>
      </c>
      <c r="AG1228" s="257">
        <v>2</v>
      </c>
      <c r="AH1228" s="257" t="s">
        <v>98</v>
      </c>
      <c r="AI1228" s="257" t="s">
        <v>985</v>
      </c>
      <c r="AJ1228" s="257">
        <v>-9999</v>
      </c>
      <c r="AK1228" s="257" t="s">
        <v>99</v>
      </c>
      <c r="AL1228" s="257" t="s">
        <v>828</v>
      </c>
      <c r="AM1228" s="257">
        <v>-9999</v>
      </c>
      <c r="AN1228" s="257" t="s">
        <v>631</v>
      </c>
      <c r="AO1228" s="257">
        <v>-9999</v>
      </c>
      <c r="AP1228" s="257">
        <v>-9999</v>
      </c>
      <c r="AQ1228" s="257" t="s">
        <v>631</v>
      </c>
      <c r="AR1228" s="257">
        <v>0</v>
      </c>
      <c r="AS1228" s="257">
        <v>-9999</v>
      </c>
      <c r="AT1228" s="257">
        <v>-9999</v>
      </c>
      <c r="AU1228" s="257">
        <v>0</v>
      </c>
      <c r="AV1228" s="257">
        <v>-9999</v>
      </c>
      <c r="AW1228" s="257"/>
      <c r="AX1228" s="257">
        <v>0</v>
      </c>
      <c r="AY1228" s="257">
        <v>-9999</v>
      </c>
      <c r="AZ1228" s="257">
        <v>-9999</v>
      </c>
      <c r="BA1228" s="257" t="s">
        <v>100</v>
      </c>
      <c r="BB1228" s="257" t="s">
        <v>626</v>
      </c>
      <c r="BC1228" s="257" t="s">
        <v>101</v>
      </c>
      <c r="BD1228" s="257" t="s">
        <v>102</v>
      </c>
      <c r="BE1228" s="257" t="s">
        <v>103</v>
      </c>
      <c r="BF1228" s="257" t="s">
        <v>104</v>
      </c>
      <c r="BG1228" s="257" t="s">
        <v>105</v>
      </c>
      <c r="BH1228" s="257" t="s">
        <v>106</v>
      </c>
      <c r="BI1228" s="257">
        <v>-9999</v>
      </c>
      <c r="BJ1228" s="257">
        <v>-9999</v>
      </c>
      <c r="BK1228" s="257">
        <v>-9999</v>
      </c>
      <c r="BL1228" s="602">
        <v>9.4</v>
      </c>
      <c r="BM1228" s="257">
        <v>-9999</v>
      </c>
      <c r="BN1228" s="602">
        <v>7.4</v>
      </c>
      <c r="BO1228" s="257">
        <v>-9999</v>
      </c>
      <c r="BP1228" s="257">
        <v>-9999</v>
      </c>
      <c r="BQ1228" s="257">
        <v>-9999</v>
      </c>
      <c r="BR1228" s="257">
        <v>-9999</v>
      </c>
      <c r="BS1228" s="263">
        <v>-9999</v>
      </c>
      <c r="BT1228" s="257">
        <v>-9999</v>
      </c>
      <c r="BU1228" s="257">
        <v>-9999</v>
      </c>
      <c r="BV1228" s="257">
        <v>-9999</v>
      </c>
      <c r="BW1228" s="257"/>
      <c r="BX1228" s="257">
        <v>-9999</v>
      </c>
      <c r="BY1228" s="257">
        <v>-9999</v>
      </c>
      <c r="BZ1228" s="257">
        <v>-9999</v>
      </c>
      <c r="CA1228" s="300" t="s">
        <v>107</v>
      </c>
      <c r="CB1228" s="264" t="s">
        <v>561</v>
      </c>
      <c r="CC1228" s="600">
        <v>1</v>
      </c>
      <c r="CD1228" s="600">
        <v>5</v>
      </c>
      <c r="CE1228" s="168">
        <v>6.14</v>
      </c>
      <c r="CF1228" s="168">
        <v>4.57</v>
      </c>
      <c r="CG1228" s="161">
        <v>5</v>
      </c>
    </row>
    <row r="1229" spans="1:1873" s="149" customFormat="1" ht="12.75" customHeight="1" x14ac:dyDescent="0.25">
      <c r="A1229" s="263" t="s">
        <v>560</v>
      </c>
      <c r="B1229" s="263" t="s">
        <v>1268</v>
      </c>
      <c r="C1229" s="600" t="s">
        <v>113</v>
      </c>
      <c r="D1229" s="263" t="s">
        <v>1254</v>
      </c>
      <c r="E1229" s="327" t="s">
        <v>882</v>
      </c>
      <c r="F1229" s="600">
        <v>1</v>
      </c>
      <c r="G1229" s="600">
        <v>6</v>
      </c>
      <c r="H1229" s="600">
        <v>6</v>
      </c>
      <c r="I1229" s="257" t="s">
        <v>856</v>
      </c>
      <c r="J1229" s="599">
        <v>1982</v>
      </c>
      <c r="K1229" s="257" t="s">
        <v>1211</v>
      </c>
      <c r="L1229" s="608">
        <v>1987</v>
      </c>
      <c r="M1229" s="261">
        <v>-9999</v>
      </c>
      <c r="N1229" s="257">
        <v>-9999</v>
      </c>
      <c r="O1229" s="29"/>
      <c r="P1229" s="602">
        <v>39.01</v>
      </c>
      <c r="Q1229" s="257">
        <v>-9999</v>
      </c>
      <c r="R1229" s="261"/>
      <c r="S1229" s="257"/>
      <c r="T1229" s="370">
        <v>6.5019999999999998</v>
      </c>
      <c r="U1229" s="257">
        <v>-9999</v>
      </c>
      <c r="V1229" s="257"/>
      <c r="W1229" s="609">
        <f t="shared" si="127"/>
        <v>8.3099999999999987</v>
      </c>
      <c r="X1229" s="257">
        <v>-9999</v>
      </c>
      <c r="Y1229" s="257"/>
      <c r="Z1229" s="327" t="s">
        <v>1705</v>
      </c>
      <c r="AA1229" s="605">
        <v>2691</v>
      </c>
      <c r="AB1229" s="611">
        <v>1</v>
      </c>
      <c r="AC1229" s="257">
        <v>10.3</v>
      </c>
      <c r="AD1229" s="602">
        <f t="shared" si="124"/>
        <v>966</v>
      </c>
      <c r="AE1229" s="263" t="s">
        <v>97</v>
      </c>
      <c r="AF1229" s="600">
        <v>1</v>
      </c>
      <c r="AG1229" s="257">
        <v>2</v>
      </c>
      <c r="AH1229" s="257" t="s">
        <v>98</v>
      </c>
      <c r="AI1229" s="257" t="s">
        <v>985</v>
      </c>
      <c r="AJ1229" s="257">
        <v>-9999</v>
      </c>
      <c r="AK1229" s="257" t="s">
        <v>99</v>
      </c>
      <c r="AL1229" s="257" t="s">
        <v>828</v>
      </c>
      <c r="AM1229" s="257">
        <v>-9999</v>
      </c>
      <c r="AN1229" s="257" t="s">
        <v>631</v>
      </c>
      <c r="AO1229" s="257">
        <v>-9999</v>
      </c>
      <c r="AP1229" s="257">
        <v>-9999</v>
      </c>
      <c r="AQ1229" s="257" t="s">
        <v>631</v>
      </c>
      <c r="AR1229" s="257">
        <v>0</v>
      </c>
      <c r="AS1229" s="257">
        <v>-9999</v>
      </c>
      <c r="AT1229" s="257">
        <v>-9999</v>
      </c>
      <c r="AU1229" s="257">
        <v>0</v>
      </c>
      <c r="AV1229" s="257">
        <v>-9999</v>
      </c>
      <c r="AW1229" s="257"/>
      <c r="AX1229" s="257">
        <v>0</v>
      </c>
      <c r="AY1229" s="257">
        <v>-9999</v>
      </c>
      <c r="AZ1229" s="257">
        <v>-9999</v>
      </c>
      <c r="BA1229" s="257" t="s">
        <v>100</v>
      </c>
      <c r="BB1229" s="257" t="s">
        <v>626</v>
      </c>
      <c r="BC1229" s="257" t="s">
        <v>101</v>
      </c>
      <c r="BD1229" s="257" t="s">
        <v>102</v>
      </c>
      <c r="BE1229" s="257" t="s">
        <v>103</v>
      </c>
      <c r="BF1229" s="257" t="s">
        <v>104</v>
      </c>
      <c r="BG1229" s="257" t="s">
        <v>105</v>
      </c>
      <c r="BH1229" s="257" t="s">
        <v>106</v>
      </c>
      <c r="BI1229" s="257">
        <v>-9999</v>
      </c>
      <c r="BJ1229" s="257">
        <v>-9999</v>
      </c>
      <c r="BK1229" s="257">
        <v>-9999</v>
      </c>
      <c r="BL1229" s="602">
        <v>10.4</v>
      </c>
      <c r="BM1229" s="257">
        <v>-9999</v>
      </c>
      <c r="BN1229" s="602">
        <v>8.1</v>
      </c>
      <c r="BO1229" s="257">
        <v>-9999</v>
      </c>
      <c r="BP1229" s="257">
        <v>-9999</v>
      </c>
      <c r="BQ1229" s="257">
        <v>-9999</v>
      </c>
      <c r="BR1229" s="257">
        <v>-9999</v>
      </c>
      <c r="BS1229" s="263">
        <v>-9999</v>
      </c>
      <c r="BT1229" s="257">
        <v>-9999</v>
      </c>
      <c r="BU1229" s="257">
        <v>-9999</v>
      </c>
      <c r="BV1229" s="257">
        <v>-9999</v>
      </c>
      <c r="BW1229" s="257"/>
      <c r="BX1229" s="257">
        <v>-9999</v>
      </c>
      <c r="BY1229" s="257">
        <v>-9999</v>
      </c>
      <c r="BZ1229" s="257">
        <v>-9999</v>
      </c>
      <c r="CA1229" s="300" t="s">
        <v>107</v>
      </c>
      <c r="CB1229" s="264" t="s">
        <v>561</v>
      </c>
      <c r="CC1229" s="600">
        <v>1</v>
      </c>
      <c r="CD1229" s="600">
        <v>6</v>
      </c>
      <c r="CE1229" s="168">
        <v>6.5019999999999998</v>
      </c>
      <c r="CF1229" s="168">
        <v>8.3099999999999987</v>
      </c>
      <c r="CG1229" s="161">
        <v>6</v>
      </c>
    </row>
    <row r="1230" spans="1:1873" s="149" customFormat="1" ht="12.75" customHeight="1" x14ac:dyDescent="0.25">
      <c r="A1230" s="263"/>
      <c r="B1230" s="263"/>
      <c r="C1230" s="600"/>
      <c r="D1230" s="263"/>
      <c r="E1230" s="327"/>
      <c r="F1230" s="600"/>
      <c r="G1230" s="600"/>
      <c r="H1230" s="600"/>
      <c r="I1230" s="257"/>
      <c r="J1230" s="599"/>
      <c r="K1230" s="257"/>
      <c r="L1230" s="600"/>
      <c r="M1230" s="261"/>
      <c r="N1230" s="257"/>
      <c r="O1230" s="29"/>
      <c r="P1230" s="602"/>
      <c r="Q1230" s="257"/>
      <c r="R1230" s="261"/>
      <c r="S1230" s="257"/>
      <c r="T1230" s="370"/>
      <c r="U1230" s="257"/>
      <c r="V1230" s="257"/>
      <c r="W1230" s="609"/>
      <c r="X1230" s="257"/>
      <c r="Y1230" s="257"/>
      <c r="Z1230" s="327"/>
      <c r="AA1230" s="605"/>
      <c r="AB1230" s="611"/>
      <c r="AC1230" s="257"/>
      <c r="AD1230" s="602"/>
      <c r="AE1230" s="263"/>
      <c r="AF1230" s="600"/>
      <c r="AG1230" s="257"/>
      <c r="AH1230" s="257"/>
      <c r="AI1230" s="257"/>
      <c r="AJ1230" s="257"/>
      <c r="AK1230" s="257"/>
      <c r="AL1230" s="257"/>
      <c r="AM1230" s="257"/>
      <c r="AN1230" s="257"/>
      <c r="AO1230" s="257"/>
      <c r="AP1230" s="257"/>
      <c r="AQ1230" s="257"/>
      <c r="AR1230" s="257"/>
      <c r="AS1230" s="257"/>
      <c r="AT1230" s="257"/>
      <c r="AU1230" s="257"/>
      <c r="AV1230" s="257"/>
      <c r="AW1230" s="257"/>
      <c r="AX1230" s="257"/>
      <c r="AY1230" s="257"/>
      <c r="AZ1230" s="257"/>
      <c r="BA1230" s="257"/>
      <c r="BB1230" s="257"/>
      <c r="BC1230" s="257"/>
      <c r="BD1230" s="257"/>
      <c r="BE1230" s="257"/>
      <c r="BF1230" s="257"/>
      <c r="BG1230" s="257"/>
      <c r="BH1230" s="257"/>
      <c r="BI1230" s="257"/>
      <c r="BJ1230" s="257"/>
      <c r="BK1230" s="257"/>
      <c r="BL1230" s="602"/>
      <c r="BM1230" s="257"/>
      <c r="BN1230" s="602"/>
      <c r="BO1230" s="257"/>
      <c r="BP1230" s="257"/>
      <c r="BQ1230" s="257"/>
      <c r="BR1230" s="257"/>
      <c r="BS1230" s="263"/>
      <c r="BT1230" s="257"/>
      <c r="BU1230" s="257"/>
      <c r="BV1230" s="257"/>
      <c r="BW1230" s="257"/>
      <c r="BX1230" s="257"/>
      <c r="BY1230" s="257"/>
      <c r="BZ1230" s="257"/>
      <c r="CA1230" s="300"/>
      <c r="CB1230" s="264"/>
      <c r="CC1230" s="600"/>
      <c r="CD1230" s="600"/>
      <c r="CE1230" s="168"/>
      <c r="CF1230" s="168"/>
      <c r="CG1230" s="161"/>
    </row>
    <row r="1231" spans="1:1873" s="149" customFormat="1" ht="12.75" customHeight="1" x14ac:dyDescent="0.25">
      <c r="A1231" s="263" t="s">
        <v>560</v>
      </c>
      <c r="B1231" s="263" t="s">
        <v>1268</v>
      </c>
      <c r="C1231" s="600" t="s">
        <v>113</v>
      </c>
      <c r="D1231" s="263" t="s">
        <v>1254</v>
      </c>
      <c r="E1231" s="327" t="s">
        <v>882</v>
      </c>
      <c r="F1231" s="600">
        <v>2</v>
      </c>
      <c r="G1231" s="600">
        <v>1</v>
      </c>
      <c r="H1231" s="600">
        <v>3</v>
      </c>
      <c r="I1231" s="257" t="s">
        <v>856</v>
      </c>
      <c r="J1231" s="599">
        <v>1982</v>
      </c>
      <c r="K1231" s="257" t="s">
        <v>1211</v>
      </c>
      <c r="L1231" s="608">
        <v>1984</v>
      </c>
      <c r="M1231" s="261">
        <v>-9999</v>
      </c>
      <c r="N1231" s="257">
        <v>-9999</v>
      </c>
      <c r="O1231" s="29"/>
      <c r="P1231" s="602">
        <v>2.8</v>
      </c>
      <c r="Q1231" s="257">
        <v>-9999</v>
      </c>
      <c r="R1231" s="261"/>
      <c r="S1231" s="257"/>
      <c r="T1231" s="370">
        <v>2.8</v>
      </c>
      <c r="U1231" s="257">
        <v>-9999</v>
      </c>
      <c r="V1231" s="257"/>
      <c r="W1231" s="609">
        <f>+P1231-P1230</f>
        <v>2.8</v>
      </c>
      <c r="X1231" s="257">
        <v>-9999</v>
      </c>
      <c r="Y1231" s="257"/>
      <c r="Z1231" s="327" t="s">
        <v>1705</v>
      </c>
      <c r="AA1231" s="605">
        <v>2691</v>
      </c>
      <c r="AB1231" s="611">
        <v>1</v>
      </c>
      <c r="AC1231" s="257">
        <v>10.3</v>
      </c>
      <c r="AD1231" s="602">
        <f t="shared" si="124"/>
        <v>966</v>
      </c>
      <c r="AE1231" s="263" t="s">
        <v>97</v>
      </c>
      <c r="AF1231" s="600">
        <v>0</v>
      </c>
      <c r="AG1231" s="257">
        <v>2</v>
      </c>
      <c r="AH1231" s="257" t="s">
        <v>98</v>
      </c>
      <c r="AI1231" s="257" t="s">
        <v>985</v>
      </c>
      <c r="AJ1231" s="257">
        <v>-9999</v>
      </c>
      <c r="AK1231" s="257" t="s">
        <v>99</v>
      </c>
      <c r="AL1231" s="257" t="s">
        <v>828</v>
      </c>
      <c r="AM1231" s="257">
        <v>-9999</v>
      </c>
      <c r="AN1231" s="257" t="s">
        <v>631</v>
      </c>
      <c r="AO1231" s="257">
        <v>-9999</v>
      </c>
      <c r="AP1231" s="257">
        <v>-9999</v>
      </c>
      <c r="AQ1231" s="257" t="s">
        <v>631</v>
      </c>
      <c r="AR1231" s="257">
        <v>0</v>
      </c>
      <c r="AS1231" s="257">
        <v>-9999</v>
      </c>
      <c r="AT1231" s="257">
        <v>-9999</v>
      </c>
      <c r="AU1231" s="257">
        <v>0</v>
      </c>
      <c r="AV1231" s="257">
        <v>-9999</v>
      </c>
      <c r="AW1231" s="257"/>
      <c r="AX1231" s="257">
        <v>0</v>
      </c>
      <c r="AY1231" s="257">
        <v>-9999</v>
      </c>
      <c r="AZ1231" s="257">
        <v>-9999</v>
      </c>
      <c r="BA1231" s="257" t="s">
        <v>100</v>
      </c>
      <c r="BB1231" s="257" t="s">
        <v>626</v>
      </c>
      <c r="BC1231" s="257" t="s">
        <v>101</v>
      </c>
      <c r="BD1231" s="257" t="s">
        <v>102</v>
      </c>
      <c r="BE1231" s="257" t="s">
        <v>103</v>
      </c>
      <c r="BF1231" s="257" t="s">
        <v>104</v>
      </c>
      <c r="BG1231" s="257" t="s">
        <v>105</v>
      </c>
      <c r="BH1231" s="257" t="s">
        <v>106</v>
      </c>
      <c r="BI1231" s="257">
        <v>-9999</v>
      </c>
      <c r="BJ1231" s="257">
        <v>-9999</v>
      </c>
      <c r="BK1231" s="257">
        <v>-9999</v>
      </c>
      <c r="BL1231" s="602">
        <v>3.41</v>
      </c>
      <c r="BM1231" s="257">
        <v>-9999</v>
      </c>
      <c r="BN1231" s="602">
        <v>1.88</v>
      </c>
      <c r="BO1231" s="257">
        <v>-9999</v>
      </c>
      <c r="BP1231" s="257">
        <v>-9999</v>
      </c>
      <c r="BQ1231" s="257">
        <v>-9999</v>
      </c>
      <c r="BR1231" s="257">
        <v>-9999</v>
      </c>
      <c r="BS1231" s="263">
        <v>-9999</v>
      </c>
      <c r="BT1231" s="257">
        <v>-9999</v>
      </c>
      <c r="BU1231" s="257">
        <v>-9999</v>
      </c>
      <c r="BV1231" s="257">
        <v>-9999</v>
      </c>
      <c r="BW1231" s="257"/>
      <c r="BX1231" s="257">
        <v>-9999</v>
      </c>
      <c r="BY1231" s="257">
        <v>-9999</v>
      </c>
      <c r="BZ1231" s="257">
        <v>-9999</v>
      </c>
      <c r="CA1231" s="300" t="s">
        <v>107</v>
      </c>
      <c r="CB1231" s="264" t="s">
        <v>561</v>
      </c>
      <c r="CC1231" s="600">
        <v>2</v>
      </c>
      <c r="CD1231" s="600">
        <v>1</v>
      </c>
      <c r="CE1231" s="168">
        <v>2.8</v>
      </c>
      <c r="CF1231" s="168">
        <v>2.8</v>
      </c>
      <c r="CG1231" s="161">
        <v>3</v>
      </c>
    </row>
    <row r="1232" spans="1:1873" s="149" customFormat="1" ht="12.75" customHeight="1" x14ac:dyDescent="0.25">
      <c r="A1232" s="263" t="s">
        <v>560</v>
      </c>
      <c r="B1232" s="263" t="s">
        <v>1268</v>
      </c>
      <c r="C1232" s="600" t="s">
        <v>113</v>
      </c>
      <c r="D1232" s="263" t="s">
        <v>1254</v>
      </c>
      <c r="E1232" s="327" t="s">
        <v>882</v>
      </c>
      <c r="F1232" s="600">
        <v>2</v>
      </c>
      <c r="G1232" s="600">
        <v>2</v>
      </c>
      <c r="H1232" s="600">
        <v>4</v>
      </c>
      <c r="I1232" s="257" t="s">
        <v>856</v>
      </c>
      <c r="J1232" s="599">
        <v>1982</v>
      </c>
      <c r="K1232" s="257" t="s">
        <v>1211</v>
      </c>
      <c r="L1232" s="608">
        <v>1985</v>
      </c>
      <c r="M1232" s="261">
        <v>-9999</v>
      </c>
      <c r="N1232" s="257">
        <v>-9999</v>
      </c>
      <c r="O1232" s="29"/>
      <c r="P1232" s="602">
        <v>10.93</v>
      </c>
      <c r="Q1232" s="257">
        <v>-9999</v>
      </c>
      <c r="R1232" s="261"/>
      <c r="S1232" s="257"/>
      <c r="T1232" s="370">
        <v>5.4649999999999999</v>
      </c>
      <c r="U1232" s="257">
        <v>-9999</v>
      </c>
      <c r="V1232" s="257"/>
      <c r="W1232" s="609">
        <f>+P1232-P1231</f>
        <v>8.129999999999999</v>
      </c>
      <c r="X1232" s="257">
        <v>-9999</v>
      </c>
      <c r="Y1232" s="257"/>
      <c r="Z1232" s="327" t="s">
        <v>1705</v>
      </c>
      <c r="AA1232" s="605">
        <v>2691</v>
      </c>
      <c r="AB1232" s="611">
        <v>0.99299999999999999</v>
      </c>
      <c r="AC1232" s="257">
        <v>10.3</v>
      </c>
      <c r="AD1232" s="602">
        <f t="shared" si="124"/>
        <v>966</v>
      </c>
      <c r="AE1232" s="263" t="s">
        <v>97</v>
      </c>
      <c r="AF1232" s="600">
        <v>0</v>
      </c>
      <c r="AG1232" s="257">
        <v>2</v>
      </c>
      <c r="AH1232" s="257" t="s">
        <v>98</v>
      </c>
      <c r="AI1232" s="257" t="s">
        <v>985</v>
      </c>
      <c r="AJ1232" s="257">
        <v>-9999</v>
      </c>
      <c r="AK1232" s="257" t="s">
        <v>99</v>
      </c>
      <c r="AL1232" s="257" t="s">
        <v>828</v>
      </c>
      <c r="AM1232" s="257">
        <v>-9999</v>
      </c>
      <c r="AN1232" s="257" t="s">
        <v>631</v>
      </c>
      <c r="AO1232" s="257">
        <v>-9999</v>
      </c>
      <c r="AP1232" s="257">
        <v>-9999</v>
      </c>
      <c r="AQ1232" s="257" t="s">
        <v>631</v>
      </c>
      <c r="AR1232" s="257">
        <v>0</v>
      </c>
      <c r="AS1232" s="257">
        <v>-9999</v>
      </c>
      <c r="AT1232" s="257">
        <v>-9999</v>
      </c>
      <c r="AU1232" s="257">
        <v>0</v>
      </c>
      <c r="AV1232" s="257">
        <v>-9999</v>
      </c>
      <c r="AW1232" s="257"/>
      <c r="AX1232" s="257">
        <v>0</v>
      </c>
      <c r="AY1232" s="257">
        <v>-9999</v>
      </c>
      <c r="AZ1232" s="257">
        <v>-9999</v>
      </c>
      <c r="BA1232" s="257" t="s">
        <v>100</v>
      </c>
      <c r="BB1232" s="257" t="s">
        <v>626</v>
      </c>
      <c r="BC1232" s="257" t="s">
        <v>101</v>
      </c>
      <c r="BD1232" s="257" t="s">
        <v>102</v>
      </c>
      <c r="BE1232" s="257" t="s">
        <v>103</v>
      </c>
      <c r="BF1232" s="257" t="s">
        <v>104</v>
      </c>
      <c r="BG1232" s="257" t="s">
        <v>105</v>
      </c>
      <c r="BH1232" s="257" t="s">
        <v>106</v>
      </c>
      <c r="BI1232" s="257">
        <v>-9999</v>
      </c>
      <c r="BJ1232" s="257">
        <v>-9999</v>
      </c>
      <c r="BK1232" s="257">
        <v>-9999</v>
      </c>
      <c r="BL1232" s="602">
        <v>5.53</v>
      </c>
      <c r="BM1232" s="257">
        <v>-9999</v>
      </c>
      <c r="BN1232" s="602">
        <v>3.6</v>
      </c>
      <c r="BO1232" s="257">
        <v>-9999</v>
      </c>
      <c r="BP1232" s="257">
        <v>-9999</v>
      </c>
      <c r="BQ1232" s="257">
        <v>-9999</v>
      </c>
      <c r="BR1232" s="257">
        <v>-9999</v>
      </c>
      <c r="BS1232" s="263">
        <v>-9999</v>
      </c>
      <c r="BT1232" s="257">
        <v>-9999</v>
      </c>
      <c r="BU1232" s="257">
        <v>-9999</v>
      </c>
      <c r="BV1232" s="257">
        <v>-9999</v>
      </c>
      <c r="BW1232" s="257"/>
      <c r="BX1232" s="257">
        <v>-9999</v>
      </c>
      <c r="BY1232" s="257">
        <v>-9999</v>
      </c>
      <c r="BZ1232" s="257">
        <v>-9999</v>
      </c>
      <c r="CA1232" s="300" t="s">
        <v>107</v>
      </c>
      <c r="CB1232" s="264" t="s">
        <v>561</v>
      </c>
      <c r="CC1232" s="600">
        <v>2</v>
      </c>
      <c r="CD1232" s="600">
        <v>2</v>
      </c>
      <c r="CE1232" s="168">
        <v>5.4649999999999999</v>
      </c>
      <c r="CF1232" s="168">
        <v>8.129999999999999</v>
      </c>
      <c r="CG1232" s="161">
        <v>4</v>
      </c>
    </row>
    <row r="1233" spans="1:1873" s="149" customFormat="1" ht="12.75" customHeight="1" x14ac:dyDescent="0.25">
      <c r="A1233" s="263"/>
      <c r="B1233" s="263"/>
      <c r="C1233" s="600"/>
      <c r="D1233" s="263"/>
      <c r="E1233" s="327"/>
      <c r="F1233" s="600"/>
      <c r="G1233" s="600"/>
      <c r="H1233" s="600"/>
      <c r="I1233" s="257"/>
      <c r="J1233" s="599"/>
      <c r="K1233" s="257"/>
      <c r="L1233" s="600"/>
      <c r="M1233" s="261"/>
      <c r="N1233" s="257"/>
      <c r="O1233" s="29"/>
      <c r="P1233" s="602"/>
      <c r="Q1233" s="257"/>
      <c r="R1233" s="261"/>
      <c r="S1233" s="257"/>
      <c r="T1233" s="370"/>
      <c r="U1233" s="257"/>
      <c r="V1233" s="257"/>
      <c r="W1233" s="609"/>
      <c r="X1233" s="257"/>
      <c r="Y1233" s="257"/>
      <c r="Z1233" s="599"/>
      <c r="AA1233" s="605"/>
      <c r="AB1233" s="611"/>
      <c r="AC1233" s="257"/>
      <c r="AD1233" s="602"/>
      <c r="AE1233" s="263"/>
      <c r="AF1233" s="600"/>
      <c r="AG1233" s="257"/>
      <c r="AH1233" s="257"/>
      <c r="AI1233" s="257"/>
      <c r="AJ1233" s="257"/>
      <c r="AK1233" s="257"/>
      <c r="AL1233" s="257"/>
      <c r="AM1233" s="257"/>
      <c r="AN1233" s="257"/>
      <c r="AO1233" s="257"/>
      <c r="AP1233" s="257"/>
      <c r="AQ1233" s="257"/>
      <c r="AR1233" s="257"/>
      <c r="AS1233" s="257"/>
      <c r="AT1233" s="257"/>
      <c r="AU1233" s="257"/>
      <c r="AV1233" s="257"/>
      <c r="AW1233" s="257"/>
      <c r="AX1233" s="257"/>
      <c r="AY1233" s="257"/>
      <c r="AZ1233" s="257"/>
      <c r="BA1233" s="257"/>
      <c r="BB1233" s="257"/>
      <c r="BC1233" s="257"/>
      <c r="BD1233" s="257"/>
      <c r="BE1233" s="257"/>
      <c r="BF1233" s="257"/>
      <c r="BG1233" s="257"/>
      <c r="BH1233" s="257"/>
      <c r="BI1233" s="257"/>
      <c r="BJ1233" s="257"/>
      <c r="BK1233" s="257"/>
      <c r="BL1233" s="602"/>
      <c r="BM1233" s="257"/>
      <c r="BN1233" s="602"/>
      <c r="BO1233" s="257"/>
      <c r="BP1233" s="257"/>
      <c r="BQ1233" s="257"/>
      <c r="BR1233" s="257"/>
      <c r="BS1233" s="263"/>
      <c r="BT1233" s="257"/>
      <c r="BU1233" s="257"/>
      <c r="BV1233" s="257"/>
      <c r="BW1233" s="257"/>
      <c r="BX1233" s="257"/>
      <c r="BY1233" s="257"/>
      <c r="BZ1233" s="257"/>
      <c r="CA1233" s="300"/>
      <c r="CB1233" s="264"/>
      <c r="CC1233" s="600"/>
      <c r="CD1233" s="600"/>
      <c r="CE1233" s="168"/>
      <c r="CF1233" s="168"/>
      <c r="CG1233" s="161"/>
    </row>
    <row r="1234" spans="1:1873" s="149" customFormat="1" ht="12.75" customHeight="1" x14ac:dyDescent="0.25">
      <c r="A1234" s="263" t="s">
        <v>560</v>
      </c>
      <c r="B1234" s="263" t="s">
        <v>1268</v>
      </c>
      <c r="C1234" s="600" t="s">
        <v>113</v>
      </c>
      <c r="D1234" s="263" t="s">
        <v>1254</v>
      </c>
      <c r="E1234" s="327" t="s">
        <v>882</v>
      </c>
      <c r="F1234" s="600">
        <v>2</v>
      </c>
      <c r="G1234" s="600">
        <v>2</v>
      </c>
      <c r="H1234" s="600">
        <v>5</v>
      </c>
      <c r="I1234" s="257" t="s">
        <v>856</v>
      </c>
      <c r="J1234" s="599">
        <v>1982</v>
      </c>
      <c r="K1234" s="257" t="s">
        <v>1211</v>
      </c>
      <c r="L1234" s="608">
        <v>1986</v>
      </c>
      <c r="M1234" s="261">
        <v>-9999</v>
      </c>
      <c r="N1234" s="257">
        <v>-9999</v>
      </c>
      <c r="O1234" s="29"/>
      <c r="P1234" s="602">
        <v>9.1</v>
      </c>
      <c r="Q1234" s="257">
        <v>-9999</v>
      </c>
      <c r="R1234" s="261"/>
      <c r="S1234" s="257"/>
      <c r="T1234" s="370">
        <v>4.55</v>
      </c>
      <c r="U1234" s="257">
        <v>-9999</v>
      </c>
      <c r="V1234" s="257"/>
      <c r="W1234" s="609">
        <f>+P1234-P1233</f>
        <v>9.1</v>
      </c>
      <c r="X1234" s="257">
        <v>-9999</v>
      </c>
      <c r="Y1234" s="257"/>
      <c r="Z1234" s="327" t="s">
        <v>1705</v>
      </c>
      <c r="AA1234" s="605">
        <v>2691</v>
      </c>
      <c r="AB1234" s="611">
        <v>0.93</v>
      </c>
      <c r="AC1234" s="257">
        <v>10.3</v>
      </c>
      <c r="AD1234" s="602">
        <f t="shared" si="124"/>
        <v>966</v>
      </c>
      <c r="AE1234" s="263" t="s">
        <v>97</v>
      </c>
      <c r="AF1234" s="600">
        <v>0</v>
      </c>
      <c r="AG1234" s="257">
        <v>2</v>
      </c>
      <c r="AH1234" s="257" t="s">
        <v>98</v>
      </c>
      <c r="AI1234" s="257" t="s">
        <v>985</v>
      </c>
      <c r="AJ1234" s="257">
        <v>-9999</v>
      </c>
      <c r="AK1234" s="257" t="s">
        <v>99</v>
      </c>
      <c r="AL1234" s="257" t="s">
        <v>828</v>
      </c>
      <c r="AM1234" s="257">
        <v>-9999</v>
      </c>
      <c r="AN1234" s="257" t="s">
        <v>631</v>
      </c>
      <c r="AO1234" s="257">
        <v>-9999</v>
      </c>
      <c r="AP1234" s="257">
        <v>-9999</v>
      </c>
      <c r="AQ1234" s="257" t="s">
        <v>631</v>
      </c>
      <c r="AR1234" s="257">
        <v>0</v>
      </c>
      <c r="AS1234" s="257">
        <v>-9999</v>
      </c>
      <c r="AT1234" s="257">
        <v>-9999</v>
      </c>
      <c r="AU1234" s="257">
        <v>0</v>
      </c>
      <c r="AV1234" s="257">
        <v>-9999</v>
      </c>
      <c r="AW1234" s="257"/>
      <c r="AX1234" s="257">
        <v>0</v>
      </c>
      <c r="AY1234" s="257">
        <v>-9999</v>
      </c>
      <c r="AZ1234" s="257">
        <v>-9999</v>
      </c>
      <c r="BA1234" s="257" t="s">
        <v>100</v>
      </c>
      <c r="BB1234" s="257" t="s">
        <v>626</v>
      </c>
      <c r="BC1234" s="257" t="s">
        <v>101</v>
      </c>
      <c r="BD1234" s="257" t="s">
        <v>102</v>
      </c>
      <c r="BE1234" s="257" t="s">
        <v>103</v>
      </c>
      <c r="BF1234" s="257" t="s">
        <v>104</v>
      </c>
      <c r="BG1234" s="257" t="s">
        <v>105</v>
      </c>
      <c r="BH1234" s="257" t="s">
        <v>106</v>
      </c>
      <c r="BI1234" s="257">
        <v>-9999</v>
      </c>
      <c r="BJ1234" s="257">
        <v>-9999</v>
      </c>
      <c r="BK1234" s="257">
        <v>-9999</v>
      </c>
      <c r="BL1234" s="602">
        <v>4.8</v>
      </c>
      <c r="BM1234" s="257">
        <v>-9999</v>
      </c>
      <c r="BN1234" s="602">
        <v>3</v>
      </c>
      <c r="BO1234" s="257">
        <v>-9999</v>
      </c>
      <c r="BP1234" s="257">
        <v>-9999</v>
      </c>
      <c r="BQ1234" s="257">
        <v>-9999</v>
      </c>
      <c r="BR1234" s="257">
        <v>-9999</v>
      </c>
      <c r="BS1234" s="263">
        <v>-9999</v>
      </c>
      <c r="BT1234" s="257">
        <v>-9999</v>
      </c>
      <c r="BU1234" s="257">
        <v>-9999</v>
      </c>
      <c r="BV1234" s="257">
        <v>-9999</v>
      </c>
      <c r="BW1234" s="257"/>
      <c r="BX1234" s="257">
        <v>-9999</v>
      </c>
      <c r="BY1234" s="257">
        <v>-9999</v>
      </c>
      <c r="BZ1234" s="257">
        <v>-9999</v>
      </c>
      <c r="CA1234" s="300" t="s">
        <v>107</v>
      </c>
      <c r="CB1234" s="264" t="s">
        <v>561</v>
      </c>
      <c r="CC1234" s="600">
        <v>2</v>
      </c>
      <c r="CD1234" s="600">
        <v>2</v>
      </c>
      <c r="CE1234" s="168">
        <v>4.55</v>
      </c>
      <c r="CF1234" s="168">
        <v>9.1</v>
      </c>
      <c r="CG1234" s="161">
        <v>5</v>
      </c>
    </row>
    <row r="1235" spans="1:1873" s="216" customFormat="1" ht="12.75" customHeight="1" x14ac:dyDescent="0.25">
      <c r="A1235" s="328" t="s">
        <v>560</v>
      </c>
      <c r="B1235" s="263" t="s">
        <v>1268</v>
      </c>
      <c r="C1235" s="263" t="s">
        <v>113</v>
      </c>
      <c r="D1235" s="263" t="s">
        <v>1254</v>
      </c>
      <c r="E1235" s="327" t="s">
        <v>882</v>
      </c>
      <c r="F1235" s="263">
        <v>2</v>
      </c>
      <c r="G1235" s="263">
        <v>3</v>
      </c>
      <c r="H1235" s="263">
        <v>6</v>
      </c>
      <c r="I1235" s="257" t="s">
        <v>856</v>
      </c>
      <c r="J1235" s="257">
        <v>1982</v>
      </c>
      <c r="K1235" s="257" t="s">
        <v>1211</v>
      </c>
      <c r="L1235" s="595">
        <v>1987</v>
      </c>
      <c r="M1235" s="261">
        <v>-9999</v>
      </c>
      <c r="N1235" s="257">
        <v>-9999</v>
      </c>
      <c r="O1235" s="29"/>
      <c r="P1235" s="261">
        <v>16.75</v>
      </c>
      <c r="Q1235" s="257">
        <v>-9999</v>
      </c>
      <c r="R1235" s="261"/>
      <c r="S1235" s="257"/>
      <c r="T1235" s="370">
        <v>6.5830000000000002</v>
      </c>
      <c r="U1235" s="257">
        <v>-9999</v>
      </c>
      <c r="V1235" s="257"/>
      <c r="W1235" s="609">
        <f>+P1235-P1234</f>
        <v>7.65</v>
      </c>
      <c r="X1235" s="257">
        <v>-9999</v>
      </c>
      <c r="Y1235" s="257"/>
      <c r="Z1235" s="327" t="s">
        <v>1705</v>
      </c>
      <c r="AA1235" s="605">
        <v>2691</v>
      </c>
      <c r="AB1235" s="261">
        <v>0.99</v>
      </c>
      <c r="AC1235" s="257">
        <v>10.3</v>
      </c>
      <c r="AD1235" s="602">
        <f t="shared" si="124"/>
        <v>966</v>
      </c>
      <c r="AE1235" s="263" t="s">
        <v>97</v>
      </c>
      <c r="AF1235" s="263">
        <v>1</v>
      </c>
      <c r="AG1235" s="257">
        <v>2</v>
      </c>
      <c r="AH1235" s="257" t="s">
        <v>98</v>
      </c>
      <c r="AI1235" s="257" t="s">
        <v>985</v>
      </c>
      <c r="AJ1235" s="257">
        <v>-9999</v>
      </c>
      <c r="AK1235" s="257" t="s">
        <v>99</v>
      </c>
      <c r="AL1235" s="257" t="s">
        <v>828</v>
      </c>
      <c r="AM1235" s="257">
        <v>-9999</v>
      </c>
      <c r="AN1235" s="257" t="s">
        <v>631</v>
      </c>
      <c r="AO1235" s="257">
        <v>-9999</v>
      </c>
      <c r="AP1235" s="257">
        <v>-9999</v>
      </c>
      <c r="AQ1235" s="257" t="s">
        <v>631</v>
      </c>
      <c r="AR1235" s="257">
        <v>0</v>
      </c>
      <c r="AS1235" s="257">
        <v>-9999</v>
      </c>
      <c r="AT1235" s="257">
        <v>-9999</v>
      </c>
      <c r="AU1235" s="257">
        <v>0</v>
      </c>
      <c r="AV1235" s="257">
        <v>-9999</v>
      </c>
      <c r="AW1235" s="257"/>
      <c r="AX1235" s="257">
        <v>0</v>
      </c>
      <c r="AY1235" s="257">
        <v>-9999</v>
      </c>
      <c r="AZ1235" s="257">
        <v>-9999</v>
      </c>
      <c r="BA1235" s="257" t="s">
        <v>100</v>
      </c>
      <c r="BB1235" s="257" t="s">
        <v>626</v>
      </c>
      <c r="BC1235" s="257" t="s">
        <v>101</v>
      </c>
      <c r="BD1235" s="257" t="s">
        <v>102</v>
      </c>
      <c r="BE1235" s="257" t="s">
        <v>103</v>
      </c>
      <c r="BF1235" s="257" t="s">
        <v>104</v>
      </c>
      <c r="BG1235" s="257" t="s">
        <v>105</v>
      </c>
      <c r="BH1235" s="257" t="s">
        <v>106</v>
      </c>
      <c r="BI1235" s="257">
        <v>-9999</v>
      </c>
      <c r="BJ1235" s="257">
        <v>-9999</v>
      </c>
      <c r="BK1235" s="257">
        <v>-9999</v>
      </c>
      <c r="BL1235" s="602">
        <v>2.2000000000000002</v>
      </c>
      <c r="BM1235" s="257">
        <v>-9999</v>
      </c>
      <c r="BN1235" s="602">
        <v>4.3</v>
      </c>
      <c r="BO1235" s="257">
        <v>-9999</v>
      </c>
      <c r="BP1235" s="257">
        <v>-9999</v>
      </c>
      <c r="BQ1235" s="257">
        <v>-9999</v>
      </c>
      <c r="BR1235" s="257">
        <v>-9999</v>
      </c>
      <c r="BS1235" s="263">
        <v>-9999</v>
      </c>
      <c r="BT1235" s="257">
        <v>-9999</v>
      </c>
      <c r="BU1235" s="257">
        <v>-9999</v>
      </c>
      <c r="BV1235" s="257">
        <v>-9999</v>
      </c>
      <c r="BW1235" s="257"/>
      <c r="BX1235" s="257">
        <v>-9999</v>
      </c>
      <c r="BY1235" s="257">
        <v>-9999</v>
      </c>
      <c r="BZ1235" s="257">
        <v>-9999</v>
      </c>
      <c r="CA1235" s="300" t="s">
        <v>107</v>
      </c>
      <c r="CB1235" s="264" t="s">
        <v>561</v>
      </c>
      <c r="CC1235" s="263">
        <v>2</v>
      </c>
      <c r="CD1235" s="263">
        <v>3</v>
      </c>
      <c r="CE1235" s="292">
        <v>6.5830000000000002</v>
      </c>
      <c r="CF1235" s="292">
        <v>7.65</v>
      </c>
      <c r="CG1235" s="214">
        <v>6</v>
      </c>
      <c r="CH1235" s="301" t="s">
        <v>1757</v>
      </c>
      <c r="CI1235" s="23"/>
      <c r="CJ1235" s="23"/>
      <c r="CK1235" s="23"/>
      <c r="CL1235" s="23"/>
      <c r="CM1235" s="23"/>
      <c r="CN1235" s="23"/>
      <c r="CO1235" s="23"/>
      <c r="CP1235" s="23"/>
      <c r="CQ1235" s="23"/>
      <c r="CR1235" s="23"/>
      <c r="CS1235" s="23"/>
      <c r="CT1235" s="23"/>
      <c r="CU1235" s="23"/>
      <c r="CV1235" s="23"/>
      <c r="CW1235" s="23"/>
      <c r="CX1235" s="23"/>
      <c r="CY1235" s="23"/>
      <c r="CZ1235" s="23"/>
      <c r="DA1235" s="23"/>
      <c r="DB1235" s="23"/>
      <c r="DC1235" s="23"/>
      <c r="DD1235" s="23"/>
      <c r="DE1235" s="23"/>
      <c r="DF1235" s="23"/>
      <c r="DG1235" s="23"/>
      <c r="DH1235" s="23"/>
      <c r="DI1235" s="23"/>
      <c r="DJ1235" s="23"/>
      <c r="DK1235" s="23"/>
      <c r="DL1235" s="23"/>
      <c r="DM1235" s="23"/>
      <c r="DN1235" s="23"/>
      <c r="DO1235" s="23"/>
      <c r="DP1235" s="23"/>
      <c r="DQ1235" s="23"/>
      <c r="DR1235" s="23"/>
      <c r="DS1235" s="23"/>
      <c r="DT1235" s="23"/>
      <c r="DU1235" s="23"/>
      <c r="DV1235" s="23"/>
      <c r="DW1235" s="23"/>
      <c r="DX1235" s="23"/>
      <c r="DY1235" s="23"/>
      <c r="DZ1235" s="23"/>
      <c r="EA1235" s="23"/>
      <c r="EB1235" s="23"/>
      <c r="EC1235" s="23"/>
      <c r="ED1235" s="23"/>
      <c r="EE1235" s="23"/>
      <c r="EF1235" s="23"/>
      <c r="EG1235" s="23"/>
      <c r="EH1235" s="23"/>
      <c r="EI1235" s="23"/>
      <c r="EJ1235" s="23"/>
      <c r="EK1235" s="23"/>
      <c r="EL1235" s="23"/>
      <c r="EM1235" s="23"/>
      <c r="EN1235" s="23"/>
      <c r="EO1235" s="23"/>
      <c r="EP1235" s="23"/>
      <c r="EQ1235" s="23"/>
      <c r="ER1235" s="23"/>
      <c r="ES1235" s="23"/>
      <c r="ET1235" s="23"/>
      <c r="EU1235" s="23"/>
      <c r="EV1235" s="23"/>
      <c r="EW1235" s="23"/>
      <c r="EX1235" s="23"/>
      <c r="EY1235" s="23"/>
      <c r="EZ1235" s="23"/>
      <c r="FA1235" s="23"/>
      <c r="FB1235" s="23"/>
      <c r="FC1235" s="23"/>
      <c r="FD1235" s="23"/>
      <c r="FE1235" s="23"/>
      <c r="FF1235" s="23"/>
      <c r="FG1235" s="23"/>
      <c r="FH1235" s="23"/>
      <c r="FI1235" s="23"/>
      <c r="FJ1235" s="23"/>
      <c r="FK1235" s="23"/>
      <c r="FL1235" s="23"/>
      <c r="FM1235" s="23"/>
      <c r="FN1235" s="23"/>
      <c r="FO1235" s="23"/>
      <c r="FP1235" s="23"/>
      <c r="FQ1235" s="23"/>
      <c r="FR1235" s="23"/>
      <c r="FS1235" s="23"/>
      <c r="FT1235" s="23"/>
      <c r="FU1235" s="23"/>
      <c r="FV1235" s="23"/>
      <c r="FW1235" s="23"/>
      <c r="FX1235" s="23"/>
      <c r="FY1235" s="23"/>
      <c r="FZ1235" s="23"/>
      <c r="GA1235" s="23"/>
      <c r="GB1235" s="23"/>
      <c r="GC1235" s="23"/>
      <c r="GD1235" s="23"/>
      <c r="GE1235" s="23"/>
      <c r="GF1235" s="23"/>
      <c r="GG1235" s="23"/>
      <c r="GH1235" s="23"/>
      <c r="GI1235" s="23"/>
      <c r="GJ1235" s="23"/>
      <c r="GK1235" s="23"/>
      <c r="GL1235" s="23"/>
      <c r="GM1235" s="23"/>
      <c r="GN1235" s="23"/>
      <c r="GO1235" s="23"/>
      <c r="GP1235" s="23"/>
      <c r="GQ1235" s="23"/>
      <c r="GR1235" s="23"/>
      <c r="GS1235" s="23"/>
      <c r="GT1235" s="23"/>
      <c r="GU1235" s="23"/>
      <c r="GV1235" s="23"/>
      <c r="GW1235" s="23"/>
      <c r="GX1235" s="23"/>
      <c r="GY1235" s="23"/>
      <c r="GZ1235" s="23"/>
      <c r="HA1235" s="23"/>
      <c r="HB1235" s="23"/>
      <c r="HC1235" s="23"/>
      <c r="HD1235" s="23"/>
      <c r="HE1235" s="23"/>
      <c r="HF1235" s="23"/>
      <c r="HG1235" s="23"/>
      <c r="HH1235" s="23"/>
      <c r="HI1235" s="23"/>
      <c r="HJ1235" s="23"/>
      <c r="HK1235" s="23"/>
      <c r="HL1235" s="23"/>
      <c r="HM1235" s="23"/>
      <c r="HN1235" s="23"/>
      <c r="HO1235" s="23"/>
      <c r="HP1235" s="23"/>
      <c r="HQ1235" s="23"/>
      <c r="HR1235" s="23"/>
      <c r="HS1235" s="23"/>
      <c r="HT1235" s="23"/>
      <c r="HU1235" s="23"/>
      <c r="HV1235" s="23"/>
      <c r="HW1235" s="23"/>
      <c r="HX1235" s="23"/>
      <c r="HY1235" s="23"/>
      <c r="HZ1235" s="23"/>
      <c r="IA1235" s="23"/>
      <c r="IB1235" s="23"/>
      <c r="IC1235" s="23"/>
      <c r="ID1235" s="23"/>
      <c r="IE1235" s="23"/>
      <c r="IF1235" s="23"/>
      <c r="IG1235" s="23"/>
      <c r="IH1235" s="23"/>
      <c r="II1235" s="23"/>
      <c r="IJ1235" s="23"/>
      <c r="IK1235" s="23"/>
      <c r="IL1235" s="23"/>
      <c r="IM1235" s="23"/>
      <c r="IN1235" s="23"/>
      <c r="IO1235" s="23"/>
      <c r="IP1235" s="23"/>
      <c r="IQ1235" s="23"/>
      <c r="IR1235" s="23"/>
      <c r="IS1235" s="23"/>
      <c r="IT1235" s="23"/>
      <c r="IU1235" s="23"/>
      <c r="IV1235" s="23"/>
      <c r="IW1235" s="23"/>
      <c r="IX1235" s="23"/>
      <c r="IY1235" s="23"/>
      <c r="IZ1235" s="23"/>
      <c r="JA1235" s="23"/>
      <c r="JB1235" s="23"/>
      <c r="JC1235" s="23"/>
      <c r="JD1235" s="23"/>
      <c r="JE1235" s="23"/>
      <c r="JF1235" s="23"/>
      <c r="JG1235" s="23"/>
      <c r="JH1235" s="23"/>
      <c r="JI1235" s="23"/>
      <c r="JJ1235" s="23"/>
      <c r="JK1235" s="23"/>
      <c r="JL1235" s="23"/>
      <c r="JM1235" s="23"/>
      <c r="JN1235" s="23"/>
      <c r="JO1235" s="23"/>
      <c r="JP1235" s="23"/>
      <c r="JQ1235" s="23"/>
      <c r="JR1235" s="23"/>
      <c r="JS1235" s="23"/>
      <c r="JT1235" s="23"/>
      <c r="JU1235" s="23"/>
      <c r="JV1235" s="23"/>
      <c r="JW1235" s="23"/>
      <c r="JX1235" s="23"/>
      <c r="JY1235" s="23"/>
      <c r="JZ1235" s="23"/>
      <c r="KA1235" s="23"/>
      <c r="KB1235" s="23"/>
      <c r="KC1235" s="23"/>
      <c r="KD1235" s="23"/>
      <c r="KE1235" s="23"/>
      <c r="KF1235" s="23"/>
      <c r="KG1235" s="23"/>
      <c r="KH1235" s="23"/>
      <c r="KI1235" s="23"/>
      <c r="KJ1235" s="23"/>
      <c r="KK1235" s="23"/>
      <c r="KL1235" s="23"/>
      <c r="KM1235" s="23"/>
      <c r="KN1235" s="23"/>
      <c r="KO1235" s="23"/>
      <c r="KP1235" s="23"/>
      <c r="KQ1235" s="23"/>
      <c r="KR1235" s="23"/>
      <c r="KS1235" s="23"/>
      <c r="KT1235" s="23"/>
      <c r="KU1235" s="23"/>
      <c r="KV1235" s="23"/>
      <c r="KW1235" s="23"/>
      <c r="KX1235" s="23"/>
      <c r="KY1235" s="23"/>
      <c r="KZ1235" s="23"/>
      <c r="LA1235" s="23"/>
      <c r="LB1235" s="23"/>
      <c r="LC1235" s="23"/>
      <c r="LD1235" s="23"/>
      <c r="LE1235" s="23"/>
      <c r="LF1235" s="23"/>
      <c r="LG1235" s="23"/>
      <c r="LH1235" s="23"/>
      <c r="LI1235" s="23"/>
      <c r="LJ1235" s="23"/>
      <c r="LK1235" s="23"/>
      <c r="LL1235" s="23"/>
      <c r="LM1235" s="23"/>
      <c r="LN1235" s="23"/>
      <c r="LO1235" s="23"/>
      <c r="LP1235" s="23"/>
      <c r="LQ1235" s="23"/>
      <c r="LR1235" s="23"/>
      <c r="LS1235" s="23"/>
      <c r="LT1235" s="23"/>
      <c r="LU1235" s="23"/>
      <c r="LV1235" s="23"/>
      <c r="LW1235" s="23"/>
      <c r="LX1235" s="23"/>
      <c r="LY1235" s="23"/>
      <c r="LZ1235" s="23"/>
      <c r="MA1235" s="23"/>
      <c r="MB1235" s="23"/>
      <c r="MC1235" s="23"/>
      <c r="MD1235" s="23"/>
      <c r="ME1235" s="23"/>
      <c r="MF1235" s="23"/>
      <c r="MG1235" s="23"/>
      <c r="MH1235" s="23"/>
      <c r="MI1235" s="23"/>
      <c r="MJ1235" s="23"/>
      <c r="MK1235" s="23"/>
      <c r="ML1235" s="23"/>
      <c r="MM1235" s="23"/>
      <c r="MN1235" s="23"/>
      <c r="MO1235" s="23"/>
      <c r="MP1235" s="23"/>
      <c r="MQ1235" s="23"/>
      <c r="MR1235" s="23"/>
      <c r="MS1235" s="23"/>
      <c r="MT1235" s="23"/>
      <c r="MU1235" s="23"/>
      <c r="MV1235" s="23"/>
      <c r="MW1235" s="23"/>
      <c r="MX1235" s="23"/>
      <c r="MY1235" s="23"/>
      <c r="MZ1235" s="23"/>
      <c r="NA1235" s="23"/>
      <c r="NB1235" s="23"/>
      <c r="NC1235" s="23"/>
      <c r="ND1235" s="23"/>
      <c r="NE1235" s="23"/>
      <c r="NF1235" s="23"/>
      <c r="NG1235" s="23"/>
      <c r="NH1235" s="23"/>
      <c r="NI1235" s="23"/>
      <c r="NJ1235" s="23"/>
      <c r="NK1235" s="23"/>
      <c r="NL1235" s="23"/>
      <c r="NM1235" s="23"/>
      <c r="NN1235" s="23"/>
      <c r="NO1235" s="23"/>
      <c r="NP1235" s="23"/>
      <c r="NQ1235" s="23"/>
      <c r="NR1235" s="23"/>
      <c r="NS1235" s="23"/>
      <c r="NT1235" s="23"/>
      <c r="NU1235" s="23"/>
      <c r="NV1235" s="23"/>
      <c r="NW1235" s="23"/>
      <c r="NX1235" s="23"/>
      <c r="NY1235" s="23"/>
      <c r="NZ1235" s="23"/>
      <c r="OA1235" s="23"/>
      <c r="OB1235" s="23"/>
      <c r="OC1235" s="23"/>
      <c r="OD1235" s="23"/>
      <c r="OE1235" s="23"/>
      <c r="OF1235" s="23"/>
      <c r="OG1235" s="23"/>
      <c r="OH1235" s="23"/>
      <c r="OI1235" s="23"/>
      <c r="OJ1235" s="23"/>
      <c r="OK1235" s="23"/>
      <c r="OL1235" s="23"/>
      <c r="OM1235" s="23"/>
      <c r="ON1235" s="23"/>
      <c r="OO1235" s="23"/>
      <c r="OP1235" s="23"/>
      <c r="OQ1235" s="23"/>
      <c r="OR1235" s="23"/>
      <c r="OS1235" s="23"/>
      <c r="OT1235" s="23"/>
      <c r="OU1235" s="23"/>
      <c r="OV1235" s="23"/>
      <c r="OW1235" s="23"/>
      <c r="OX1235" s="23"/>
      <c r="OY1235" s="23"/>
      <c r="OZ1235" s="23"/>
      <c r="PA1235" s="23"/>
      <c r="PB1235" s="23"/>
      <c r="PC1235" s="23"/>
      <c r="PD1235" s="23"/>
      <c r="PE1235" s="23"/>
      <c r="PF1235" s="23"/>
      <c r="PG1235" s="23"/>
      <c r="PH1235" s="23"/>
      <c r="PI1235" s="23"/>
      <c r="PJ1235" s="23"/>
      <c r="PK1235" s="23"/>
      <c r="PL1235" s="23"/>
      <c r="PM1235" s="23"/>
      <c r="PN1235" s="23"/>
      <c r="PO1235" s="23"/>
      <c r="PP1235" s="23"/>
      <c r="PQ1235" s="23"/>
      <c r="PR1235" s="23"/>
      <c r="PS1235" s="23"/>
      <c r="PT1235" s="23"/>
      <c r="PU1235" s="23"/>
      <c r="PV1235" s="23"/>
      <c r="PW1235" s="23"/>
      <c r="PX1235" s="23"/>
      <c r="PY1235" s="23"/>
      <c r="PZ1235" s="23"/>
      <c r="QA1235" s="23"/>
      <c r="QB1235" s="23"/>
      <c r="QC1235" s="23"/>
      <c r="QD1235" s="23"/>
      <c r="QE1235" s="23"/>
      <c r="QF1235" s="23"/>
      <c r="QG1235" s="23"/>
      <c r="QH1235" s="23"/>
      <c r="QI1235" s="23"/>
      <c r="QJ1235" s="23"/>
      <c r="QK1235" s="23"/>
      <c r="QL1235" s="23"/>
      <c r="QM1235" s="23"/>
      <c r="QN1235" s="23"/>
      <c r="QO1235" s="23"/>
      <c r="QP1235" s="23"/>
      <c r="QQ1235" s="23"/>
      <c r="QR1235" s="23"/>
      <c r="QS1235" s="23"/>
      <c r="QT1235" s="23"/>
      <c r="QU1235" s="23"/>
      <c r="QV1235" s="23"/>
      <c r="QW1235" s="23"/>
      <c r="QX1235" s="23"/>
      <c r="QY1235" s="23"/>
      <c r="QZ1235" s="23"/>
      <c r="RA1235" s="23"/>
      <c r="RB1235" s="23"/>
      <c r="RC1235" s="23"/>
      <c r="RD1235" s="23"/>
      <c r="RE1235" s="23"/>
      <c r="RF1235" s="23"/>
      <c r="RG1235" s="23"/>
      <c r="RH1235" s="23"/>
      <c r="RI1235" s="23"/>
      <c r="RJ1235" s="23"/>
      <c r="RK1235" s="23"/>
      <c r="RL1235" s="23"/>
      <c r="RM1235" s="23"/>
      <c r="RN1235" s="23"/>
      <c r="RO1235" s="23"/>
      <c r="RP1235" s="23"/>
      <c r="RQ1235" s="23"/>
      <c r="RR1235" s="23"/>
      <c r="RS1235" s="23"/>
      <c r="RT1235" s="23"/>
      <c r="RU1235" s="23"/>
      <c r="RV1235" s="23"/>
      <c r="RW1235" s="23"/>
      <c r="RX1235" s="23"/>
      <c r="RY1235" s="23"/>
      <c r="RZ1235" s="23"/>
      <c r="SA1235" s="23"/>
      <c r="SB1235" s="23"/>
      <c r="SC1235" s="23"/>
      <c r="SD1235" s="23"/>
      <c r="SE1235" s="23"/>
      <c r="SF1235" s="23"/>
      <c r="SG1235" s="23"/>
      <c r="SH1235" s="23"/>
      <c r="SI1235" s="23"/>
      <c r="SJ1235" s="23"/>
      <c r="SK1235" s="23"/>
      <c r="SL1235" s="23"/>
      <c r="SM1235" s="23"/>
      <c r="SN1235" s="23"/>
      <c r="SO1235" s="23"/>
      <c r="SP1235" s="23"/>
      <c r="SQ1235" s="23"/>
      <c r="SR1235" s="23"/>
      <c r="SS1235" s="23"/>
      <c r="ST1235" s="23"/>
      <c r="SU1235" s="23"/>
      <c r="SV1235" s="23"/>
      <c r="SW1235" s="23"/>
      <c r="SX1235" s="23"/>
      <c r="SY1235" s="23"/>
      <c r="SZ1235" s="23"/>
      <c r="TA1235" s="23"/>
      <c r="TB1235" s="23"/>
      <c r="TC1235" s="23"/>
      <c r="TD1235" s="23"/>
      <c r="TE1235" s="23"/>
      <c r="TF1235" s="23"/>
      <c r="TG1235" s="23"/>
      <c r="TH1235" s="23"/>
      <c r="TI1235" s="23"/>
      <c r="TJ1235" s="23"/>
      <c r="TK1235" s="23"/>
      <c r="TL1235" s="23"/>
      <c r="TM1235" s="23"/>
      <c r="TN1235" s="23"/>
      <c r="TO1235" s="23"/>
      <c r="TP1235" s="23"/>
      <c r="TQ1235" s="23"/>
      <c r="TR1235" s="23"/>
      <c r="TS1235" s="23"/>
      <c r="TT1235" s="23"/>
      <c r="TU1235" s="23"/>
      <c r="TV1235" s="23"/>
      <c r="TW1235" s="23"/>
      <c r="TX1235" s="23"/>
      <c r="TY1235" s="23"/>
      <c r="TZ1235" s="23"/>
      <c r="UA1235" s="23"/>
      <c r="UB1235" s="23"/>
      <c r="UC1235" s="23"/>
      <c r="UD1235" s="23"/>
      <c r="UE1235" s="23"/>
      <c r="UF1235" s="23"/>
      <c r="UG1235" s="23"/>
      <c r="UH1235" s="23"/>
      <c r="UI1235" s="23"/>
      <c r="UJ1235" s="23"/>
      <c r="UK1235" s="23"/>
      <c r="UL1235" s="23"/>
      <c r="UM1235" s="23"/>
      <c r="UN1235" s="23"/>
      <c r="UO1235" s="23"/>
      <c r="UP1235" s="23"/>
      <c r="UQ1235" s="23"/>
      <c r="UR1235" s="23"/>
      <c r="US1235" s="23"/>
      <c r="UT1235" s="23"/>
      <c r="UU1235" s="23"/>
      <c r="UV1235" s="23"/>
      <c r="UW1235" s="23"/>
      <c r="UX1235" s="23"/>
      <c r="UY1235" s="23"/>
      <c r="UZ1235" s="23"/>
      <c r="VA1235" s="23"/>
      <c r="VB1235" s="23"/>
      <c r="VC1235" s="23"/>
      <c r="VD1235" s="23"/>
      <c r="VE1235" s="23"/>
      <c r="VF1235" s="23"/>
      <c r="VG1235" s="23"/>
      <c r="VH1235" s="23"/>
      <c r="VI1235" s="23"/>
      <c r="VJ1235" s="23"/>
      <c r="VK1235" s="23"/>
      <c r="VL1235" s="23"/>
      <c r="VM1235" s="23"/>
      <c r="VN1235" s="23"/>
      <c r="VO1235" s="23"/>
      <c r="VP1235" s="23"/>
      <c r="VQ1235" s="23"/>
      <c r="VR1235" s="23"/>
      <c r="VS1235" s="23"/>
      <c r="VT1235" s="23"/>
      <c r="VU1235" s="23"/>
      <c r="VV1235" s="23"/>
      <c r="VW1235" s="23"/>
      <c r="VX1235" s="23"/>
      <c r="VY1235" s="23"/>
      <c r="VZ1235" s="23"/>
      <c r="WA1235" s="23"/>
      <c r="WB1235" s="23"/>
      <c r="WC1235" s="23"/>
      <c r="WD1235" s="23"/>
      <c r="WE1235" s="23"/>
      <c r="WF1235" s="23"/>
      <c r="WG1235" s="23"/>
      <c r="WH1235" s="23"/>
      <c r="WI1235" s="23"/>
      <c r="WJ1235" s="23"/>
      <c r="WK1235" s="23"/>
      <c r="WL1235" s="23"/>
      <c r="WM1235" s="23"/>
      <c r="WN1235" s="23"/>
      <c r="WO1235" s="23"/>
      <c r="WP1235" s="23"/>
      <c r="WQ1235" s="23"/>
      <c r="WR1235" s="23"/>
      <c r="WS1235" s="23"/>
      <c r="WT1235" s="23"/>
      <c r="WU1235" s="23"/>
      <c r="WV1235" s="23"/>
      <c r="WW1235" s="23"/>
      <c r="WX1235" s="23"/>
      <c r="WY1235" s="23"/>
      <c r="WZ1235" s="23"/>
      <c r="XA1235" s="23"/>
      <c r="XB1235" s="23"/>
      <c r="XC1235" s="23"/>
      <c r="XD1235" s="23"/>
      <c r="XE1235" s="23"/>
      <c r="XF1235" s="23"/>
      <c r="XG1235" s="23"/>
      <c r="XH1235" s="23"/>
      <c r="XI1235" s="23"/>
      <c r="XJ1235" s="23"/>
      <c r="XK1235" s="23"/>
      <c r="XL1235" s="23"/>
      <c r="XM1235" s="23"/>
      <c r="XN1235" s="23"/>
      <c r="XO1235" s="23"/>
      <c r="XP1235" s="23"/>
      <c r="XQ1235" s="23"/>
      <c r="XR1235" s="23"/>
      <c r="XS1235" s="23"/>
      <c r="XT1235" s="23"/>
      <c r="XU1235" s="23"/>
      <c r="XV1235" s="23"/>
      <c r="XW1235" s="23"/>
      <c r="XX1235" s="23"/>
      <c r="XY1235" s="23"/>
      <c r="XZ1235" s="23"/>
      <c r="YA1235" s="23"/>
      <c r="YB1235" s="23"/>
      <c r="YC1235" s="23"/>
      <c r="YD1235" s="23"/>
      <c r="YE1235" s="23"/>
      <c r="YF1235" s="23"/>
      <c r="YG1235" s="23"/>
      <c r="YH1235" s="23"/>
      <c r="YI1235" s="23"/>
      <c r="YJ1235" s="23"/>
      <c r="YK1235" s="23"/>
      <c r="YL1235" s="23"/>
      <c r="YM1235" s="23"/>
      <c r="YN1235" s="23"/>
      <c r="YO1235" s="23"/>
      <c r="YP1235" s="23"/>
      <c r="YQ1235" s="23"/>
      <c r="YR1235" s="23"/>
      <c r="YS1235" s="23"/>
      <c r="YT1235" s="23"/>
      <c r="YU1235" s="23"/>
      <c r="YV1235" s="23"/>
      <c r="YW1235" s="23"/>
      <c r="YX1235" s="23"/>
      <c r="YY1235" s="23"/>
      <c r="YZ1235" s="23"/>
      <c r="ZA1235" s="23"/>
      <c r="ZB1235" s="23"/>
      <c r="ZC1235" s="23"/>
      <c r="ZD1235" s="23"/>
      <c r="ZE1235" s="23"/>
      <c r="ZF1235" s="23"/>
      <c r="ZG1235" s="23"/>
      <c r="ZH1235" s="23"/>
      <c r="ZI1235" s="23"/>
      <c r="ZJ1235" s="23"/>
      <c r="ZK1235" s="23"/>
      <c r="ZL1235" s="23"/>
      <c r="ZM1235" s="23"/>
      <c r="ZN1235" s="23"/>
      <c r="ZO1235" s="23"/>
      <c r="ZP1235" s="23"/>
      <c r="ZQ1235" s="23"/>
      <c r="ZR1235" s="23"/>
      <c r="ZS1235" s="23"/>
      <c r="ZT1235" s="23"/>
      <c r="ZU1235" s="23"/>
      <c r="ZV1235" s="23"/>
      <c r="ZW1235" s="23"/>
      <c r="ZX1235" s="23"/>
      <c r="ZY1235" s="23"/>
      <c r="ZZ1235" s="23"/>
      <c r="AAA1235" s="23"/>
      <c r="AAB1235" s="23"/>
      <c r="AAC1235" s="23"/>
      <c r="AAD1235" s="23"/>
      <c r="AAE1235" s="23"/>
      <c r="AAF1235" s="23"/>
      <c r="AAG1235" s="23"/>
      <c r="AAH1235" s="23"/>
      <c r="AAI1235" s="23"/>
      <c r="AAJ1235" s="23"/>
      <c r="AAK1235" s="23"/>
      <c r="AAL1235" s="23"/>
      <c r="AAM1235" s="23"/>
      <c r="AAN1235" s="23"/>
      <c r="AAO1235" s="23"/>
      <c r="AAP1235" s="23"/>
      <c r="AAQ1235" s="23"/>
      <c r="AAR1235" s="23"/>
      <c r="AAS1235" s="23"/>
      <c r="AAT1235" s="23"/>
      <c r="AAU1235" s="23"/>
      <c r="AAV1235" s="23"/>
      <c r="AAW1235" s="23"/>
      <c r="AAX1235" s="23"/>
      <c r="AAY1235" s="23"/>
      <c r="AAZ1235" s="23"/>
      <c r="ABA1235" s="23"/>
      <c r="ABB1235" s="23"/>
      <c r="ABC1235" s="23"/>
      <c r="ABD1235" s="23"/>
      <c r="ABE1235" s="23"/>
      <c r="ABF1235" s="23"/>
      <c r="ABG1235" s="23"/>
      <c r="ABH1235" s="23"/>
      <c r="ABI1235" s="23"/>
      <c r="ABJ1235" s="23"/>
      <c r="ABK1235" s="23"/>
      <c r="ABL1235" s="23"/>
      <c r="ABM1235" s="23"/>
      <c r="ABN1235" s="23"/>
      <c r="ABO1235" s="23"/>
      <c r="ABP1235" s="23"/>
      <c r="ABQ1235" s="23"/>
      <c r="ABR1235" s="23"/>
      <c r="ABS1235" s="23"/>
      <c r="ABT1235" s="23"/>
      <c r="ABU1235" s="23"/>
      <c r="ABV1235" s="23"/>
      <c r="ABW1235" s="23"/>
      <c r="ABX1235" s="23"/>
      <c r="ABY1235" s="23"/>
      <c r="ABZ1235" s="23"/>
      <c r="ACA1235" s="23"/>
      <c r="ACB1235" s="23"/>
      <c r="ACC1235" s="23"/>
      <c r="ACD1235" s="23"/>
      <c r="ACE1235" s="23"/>
      <c r="ACF1235" s="23"/>
      <c r="ACG1235" s="23"/>
      <c r="ACH1235" s="23"/>
      <c r="ACI1235" s="23"/>
      <c r="ACJ1235" s="23"/>
      <c r="ACK1235" s="23"/>
      <c r="ACL1235" s="23"/>
      <c r="ACM1235" s="23"/>
      <c r="ACN1235" s="23"/>
      <c r="ACO1235" s="23"/>
      <c r="ACP1235" s="23"/>
      <c r="ACQ1235" s="23"/>
      <c r="ACR1235" s="23"/>
      <c r="ACS1235" s="23"/>
      <c r="ACT1235" s="23"/>
      <c r="ACU1235" s="23"/>
      <c r="ACV1235" s="23"/>
      <c r="ACW1235" s="23"/>
      <c r="ACX1235" s="23"/>
      <c r="ACY1235" s="23"/>
      <c r="ACZ1235" s="23"/>
      <c r="ADA1235" s="23"/>
      <c r="ADB1235" s="23"/>
      <c r="ADC1235" s="23"/>
      <c r="ADD1235" s="23"/>
      <c r="ADE1235" s="23"/>
      <c r="ADF1235" s="23"/>
      <c r="ADG1235" s="23"/>
      <c r="ADH1235" s="23"/>
      <c r="ADI1235" s="23"/>
      <c r="ADJ1235" s="23"/>
      <c r="ADK1235" s="23"/>
      <c r="ADL1235" s="23"/>
      <c r="ADM1235" s="23"/>
      <c r="ADN1235" s="23"/>
      <c r="ADO1235" s="23"/>
      <c r="ADP1235" s="23"/>
      <c r="ADQ1235" s="23"/>
      <c r="ADR1235" s="23"/>
      <c r="ADS1235" s="23"/>
      <c r="ADT1235" s="23"/>
      <c r="ADU1235" s="23"/>
      <c r="ADV1235" s="23"/>
      <c r="ADW1235" s="23"/>
      <c r="ADX1235" s="23"/>
      <c r="ADY1235" s="23"/>
      <c r="ADZ1235" s="23"/>
      <c r="AEA1235" s="23"/>
      <c r="AEB1235" s="23"/>
      <c r="AEC1235" s="23"/>
      <c r="AED1235" s="23"/>
      <c r="AEE1235" s="23"/>
      <c r="AEF1235" s="23"/>
      <c r="AEG1235" s="23"/>
      <c r="AEH1235" s="23"/>
      <c r="AEI1235" s="23"/>
      <c r="AEJ1235" s="23"/>
      <c r="AEK1235" s="23"/>
      <c r="AEL1235" s="23"/>
      <c r="AEM1235" s="23"/>
      <c r="AEN1235" s="23"/>
      <c r="AEO1235" s="23"/>
      <c r="AEP1235" s="23"/>
      <c r="AEQ1235" s="23"/>
      <c r="AER1235" s="23"/>
      <c r="AES1235" s="23"/>
      <c r="AET1235" s="23"/>
      <c r="AEU1235" s="23"/>
      <c r="AEV1235" s="23"/>
      <c r="AEW1235" s="23"/>
      <c r="AEX1235" s="23"/>
      <c r="AEY1235" s="23"/>
      <c r="AEZ1235" s="23"/>
      <c r="AFA1235" s="23"/>
      <c r="AFB1235" s="23"/>
      <c r="AFC1235" s="23"/>
      <c r="AFD1235" s="23"/>
      <c r="AFE1235" s="23"/>
      <c r="AFF1235" s="23"/>
      <c r="AFG1235" s="23"/>
      <c r="AFH1235" s="23"/>
      <c r="AFI1235" s="23"/>
      <c r="AFJ1235" s="23"/>
      <c r="AFK1235" s="23"/>
      <c r="AFL1235" s="23"/>
      <c r="AFM1235" s="23"/>
      <c r="AFN1235" s="23"/>
      <c r="AFO1235" s="23"/>
      <c r="AFP1235" s="23"/>
      <c r="AFQ1235" s="23"/>
      <c r="AFR1235" s="23"/>
      <c r="AFS1235" s="23"/>
      <c r="AFT1235" s="23"/>
      <c r="AFU1235" s="23"/>
      <c r="AFV1235" s="23"/>
      <c r="AFW1235" s="23"/>
      <c r="AFX1235" s="23"/>
      <c r="AFY1235" s="23"/>
      <c r="AFZ1235" s="23"/>
      <c r="AGA1235" s="23"/>
      <c r="AGB1235" s="23"/>
      <c r="AGC1235" s="23"/>
      <c r="AGD1235" s="23"/>
      <c r="AGE1235" s="23"/>
      <c r="AGF1235" s="23"/>
      <c r="AGG1235" s="23"/>
      <c r="AGH1235" s="23"/>
      <c r="AGI1235" s="23"/>
      <c r="AGJ1235" s="23"/>
      <c r="AGK1235" s="23"/>
      <c r="AGL1235" s="23"/>
      <c r="AGM1235" s="23"/>
      <c r="AGN1235" s="23"/>
      <c r="AGO1235" s="23"/>
      <c r="AGP1235" s="23"/>
      <c r="AGQ1235" s="23"/>
      <c r="AGR1235" s="23"/>
      <c r="AGS1235" s="23"/>
      <c r="AGT1235" s="23"/>
      <c r="AGU1235" s="23"/>
      <c r="AGV1235" s="23"/>
      <c r="AGW1235" s="23"/>
      <c r="AGX1235" s="23"/>
      <c r="AGY1235" s="23"/>
      <c r="AGZ1235" s="23"/>
      <c r="AHA1235" s="23"/>
      <c r="AHB1235" s="23"/>
      <c r="AHC1235" s="23"/>
      <c r="AHD1235" s="23"/>
      <c r="AHE1235" s="23"/>
      <c r="AHF1235" s="23"/>
      <c r="AHG1235" s="23"/>
      <c r="AHH1235" s="23"/>
      <c r="AHI1235" s="23"/>
      <c r="AHJ1235" s="23"/>
      <c r="AHK1235" s="23"/>
      <c r="AHL1235" s="23"/>
      <c r="AHM1235" s="23"/>
      <c r="AHN1235" s="23"/>
      <c r="AHO1235" s="23"/>
      <c r="AHP1235" s="23"/>
      <c r="AHQ1235" s="23"/>
      <c r="AHR1235" s="23"/>
      <c r="AHS1235" s="23"/>
      <c r="AHT1235" s="23"/>
      <c r="AHU1235" s="23"/>
      <c r="AHV1235" s="23"/>
      <c r="AHW1235" s="23"/>
      <c r="AHX1235" s="23"/>
      <c r="AHY1235" s="23"/>
      <c r="AHZ1235" s="23"/>
      <c r="AIA1235" s="23"/>
      <c r="AIB1235" s="23"/>
      <c r="AIC1235" s="23"/>
      <c r="AID1235" s="23"/>
      <c r="AIE1235" s="23"/>
      <c r="AIF1235" s="23"/>
      <c r="AIG1235" s="23"/>
      <c r="AIH1235" s="23"/>
      <c r="AII1235" s="23"/>
      <c r="AIJ1235" s="23"/>
      <c r="AIK1235" s="23"/>
      <c r="AIL1235" s="23"/>
      <c r="AIM1235" s="23"/>
      <c r="AIN1235" s="23"/>
      <c r="AIO1235" s="23"/>
      <c r="AIP1235" s="23"/>
      <c r="AIQ1235" s="23"/>
      <c r="AIR1235" s="23"/>
      <c r="AIS1235" s="23"/>
      <c r="AIT1235" s="23"/>
      <c r="AIU1235" s="23"/>
      <c r="AIV1235" s="23"/>
      <c r="AIW1235" s="23"/>
      <c r="AIX1235" s="23"/>
      <c r="AIY1235" s="23"/>
      <c r="AIZ1235" s="23"/>
      <c r="AJA1235" s="23"/>
      <c r="AJB1235" s="23"/>
      <c r="AJC1235" s="23"/>
      <c r="AJD1235" s="23"/>
      <c r="AJE1235" s="23"/>
      <c r="AJF1235" s="23"/>
      <c r="AJG1235" s="23"/>
      <c r="AJH1235" s="23"/>
      <c r="AJI1235" s="23"/>
      <c r="AJJ1235" s="23"/>
      <c r="AJK1235" s="23"/>
      <c r="AJL1235" s="23"/>
      <c r="AJM1235" s="23"/>
      <c r="AJN1235" s="23"/>
      <c r="AJO1235" s="23"/>
      <c r="AJP1235" s="23"/>
      <c r="AJQ1235" s="23"/>
      <c r="AJR1235" s="23"/>
      <c r="AJS1235" s="23"/>
      <c r="AJT1235" s="23"/>
      <c r="AJU1235" s="23"/>
      <c r="AJV1235" s="23"/>
      <c r="AJW1235" s="23"/>
      <c r="AJX1235" s="23"/>
      <c r="AJY1235" s="23"/>
      <c r="AJZ1235" s="23"/>
      <c r="AKA1235" s="23"/>
      <c r="AKB1235" s="23"/>
      <c r="AKC1235" s="23"/>
      <c r="AKD1235" s="23"/>
      <c r="AKE1235" s="23"/>
      <c r="AKF1235" s="23"/>
      <c r="AKG1235" s="23"/>
      <c r="AKH1235" s="23"/>
      <c r="AKI1235" s="23"/>
      <c r="AKJ1235" s="23"/>
      <c r="AKK1235" s="23"/>
      <c r="AKL1235" s="23"/>
      <c r="AKM1235" s="23"/>
      <c r="AKN1235" s="23"/>
      <c r="AKO1235" s="23"/>
      <c r="AKP1235" s="23"/>
      <c r="AKQ1235" s="23"/>
      <c r="AKR1235" s="23"/>
      <c r="AKS1235" s="23"/>
      <c r="AKT1235" s="23"/>
      <c r="AKU1235" s="23"/>
      <c r="AKV1235" s="23"/>
      <c r="AKW1235" s="23"/>
      <c r="AKX1235" s="23"/>
      <c r="AKY1235" s="23"/>
      <c r="AKZ1235" s="23"/>
      <c r="ALA1235" s="23"/>
      <c r="ALB1235" s="23"/>
      <c r="ALC1235" s="23"/>
      <c r="ALD1235" s="23"/>
      <c r="ALE1235" s="23"/>
      <c r="ALF1235" s="23"/>
      <c r="ALG1235" s="23"/>
      <c r="ALH1235" s="23"/>
      <c r="ALI1235" s="23"/>
      <c r="ALJ1235" s="23"/>
      <c r="ALK1235" s="23"/>
      <c r="ALL1235" s="23"/>
      <c r="ALM1235" s="23"/>
      <c r="ALN1235" s="23"/>
      <c r="ALO1235" s="23"/>
      <c r="ALP1235" s="23"/>
      <c r="ALQ1235" s="23"/>
      <c r="ALR1235" s="23"/>
      <c r="ALS1235" s="23"/>
      <c r="ALT1235" s="23"/>
      <c r="ALU1235" s="23"/>
      <c r="ALV1235" s="23"/>
      <c r="ALW1235" s="23"/>
      <c r="ALX1235" s="23"/>
      <c r="ALY1235" s="23"/>
      <c r="ALZ1235" s="23"/>
      <c r="AMA1235" s="23"/>
      <c r="AMB1235" s="23"/>
      <c r="AMC1235" s="23"/>
      <c r="AMD1235" s="23"/>
      <c r="AME1235" s="23"/>
      <c r="AMF1235" s="23"/>
      <c r="AMG1235" s="23"/>
      <c r="AMH1235" s="23"/>
      <c r="AMI1235" s="23"/>
      <c r="AMJ1235" s="23"/>
      <c r="AMK1235" s="23"/>
      <c r="AML1235" s="23"/>
      <c r="AMM1235" s="23"/>
      <c r="AMN1235" s="23"/>
      <c r="AMO1235" s="23"/>
      <c r="AMP1235" s="23"/>
      <c r="AMQ1235" s="23"/>
      <c r="AMR1235" s="23"/>
      <c r="AMS1235" s="23"/>
      <c r="AMT1235" s="23"/>
      <c r="AMU1235" s="23"/>
      <c r="AMV1235" s="23"/>
      <c r="AMW1235" s="23"/>
      <c r="AMX1235" s="23"/>
      <c r="AMY1235" s="23"/>
      <c r="AMZ1235" s="23"/>
      <c r="ANA1235" s="23"/>
      <c r="ANB1235" s="23"/>
      <c r="ANC1235" s="23"/>
      <c r="AND1235" s="23"/>
      <c r="ANE1235" s="23"/>
      <c r="ANF1235" s="23"/>
      <c r="ANG1235" s="23"/>
      <c r="ANH1235" s="23"/>
      <c r="ANI1235" s="23"/>
      <c r="ANJ1235" s="23"/>
      <c r="ANK1235" s="23"/>
      <c r="ANL1235" s="23"/>
      <c r="ANM1235" s="23"/>
      <c r="ANN1235" s="23"/>
      <c r="ANO1235" s="23"/>
      <c r="ANP1235" s="23"/>
      <c r="ANQ1235" s="23"/>
      <c r="ANR1235" s="23"/>
      <c r="ANS1235" s="23"/>
      <c r="ANT1235" s="23"/>
      <c r="ANU1235" s="23"/>
      <c r="ANV1235" s="23"/>
      <c r="ANW1235" s="23"/>
      <c r="ANX1235" s="23"/>
      <c r="ANY1235" s="23"/>
      <c r="ANZ1235" s="23"/>
      <c r="AOA1235" s="23"/>
      <c r="AOB1235" s="23"/>
      <c r="AOC1235" s="23"/>
      <c r="AOD1235" s="23"/>
      <c r="AOE1235" s="23"/>
      <c r="AOF1235" s="23"/>
      <c r="AOG1235" s="23"/>
      <c r="AOH1235" s="23"/>
      <c r="AOI1235" s="23"/>
      <c r="AOJ1235" s="23"/>
      <c r="AOK1235" s="23"/>
      <c r="AOL1235" s="23"/>
      <c r="AOM1235" s="23"/>
      <c r="AON1235" s="23"/>
      <c r="AOO1235" s="23"/>
      <c r="AOP1235" s="23"/>
      <c r="AOQ1235" s="23"/>
      <c r="AOR1235" s="23"/>
      <c r="AOS1235" s="23"/>
      <c r="AOT1235" s="23"/>
      <c r="AOU1235" s="23"/>
      <c r="AOV1235" s="23"/>
      <c r="AOW1235" s="23"/>
      <c r="AOX1235" s="23"/>
      <c r="AOY1235" s="23"/>
      <c r="AOZ1235" s="23"/>
      <c r="APA1235" s="23"/>
      <c r="APB1235" s="23"/>
      <c r="APC1235" s="23"/>
      <c r="APD1235" s="23"/>
      <c r="APE1235" s="23"/>
      <c r="APF1235" s="23"/>
      <c r="APG1235" s="23"/>
      <c r="APH1235" s="23"/>
      <c r="API1235" s="23"/>
      <c r="APJ1235" s="23"/>
      <c r="APK1235" s="23"/>
      <c r="APL1235" s="23"/>
      <c r="APM1235" s="23"/>
      <c r="APN1235" s="23"/>
      <c r="APO1235" s="23"/>
      <c r="APP1235" s="23"/>
      <c r="APQ1235" s="23"/>
      <c r="APR1235" s="23"/>
      <c r="APS1235" s="23"/>
      <c r="APT1235" s="23"/>
      <c r="APU1235" s="23"/>
      <c r="APV1235" s="23"/>
      <c r="APW1235" s="23"/>
      <c r="APX1235" s="23"/>
      <c r="APY1235" s="23"/>
      <c r="APZ1235" s="23"/>
      <c r="AQA1235" s="23"/>
      <c r="AQB1235" s="23"/>
      <c r="AQC1235" s="23"/>
      <c r="AQD1235" s="23"/>
      <c r="AQE1235" s="23"/>
      <c r="AQF1235" s="23"/>
      <c r="AQG1235" s="23"/>
      <c r="AQH1235" s="23"/>
      <c r="AQI1235" s="23"/>
      <c r="AQJ1235" s="23"/>
      <c r="AQK1235" s="23"/>
      <c r="AQL1235" s="23"/>
      <c r="AQM1235" s="23"/>
      <c r="AQN1235" s="23"/>
      <c r="AQO1235" s="23"/>
      <c r="AQP1235" s="23"/>
      <c r="AQQ1235" s="23"/>
      <c r="AQR1235" s="23"/>
      <c r="AQS1235" s="23"/>
      <c r="AQT1235" s="23"/>
      <c r="AQU1235" s="23"/>
      <c r="AQV1235" s="23"/>
      <c r="AQW1235" s="23"/>
      <c r="AQX1235" s="23"/>
      <c r="AQY1235" s="23"/>
      <c r="AQZ1235" s="23"/>
      <c r="ARA1235" s="23"/>
      <c r="ARB1235" s="23"/>
      <c r="ARC1235" s="23"/>
      <c r="ARD1235" s="23"/>
      <c r="ARE1235" s="23"/>
      <c r="ARF1235" s="23"/>
      <c r="ARG1235" s="23"/>
      <c r="ARH1235" s="23"/>
      <c r="ARI1235" s="23"/>
      <c r="ARJ1235" s="23"/>
      <c r="ARK1235" s="23"/>
      <c r="ARL1235" s="23"/>
      <c r="ARM1235" s="23"/>
      <c r="ARN1235" s="23"/>
      <c r="ARO1235" s="23"/>
      <c r="ARP1235" s="23"/>
      <c r="ARQ1235" s="23"/>
      <c r="ARR1235" s="23"/>
      <c r="ARS1235" s="23"/>
      <c r="ART1235" s="23"/>
      <c r="ARU1235" s="23"/>
      <c r="ARV1235" s="23"/>
      <c r="ARW1235" s="23"/>
      <c r="ARX1235" s="23"/>
      <c r="ARY1235" s="23"/>
      <c r="ARZ1235" s="23"/>
      <c r="ASA1235" s="23"/>
      <c r="ASB1235" s="23"/>
      <c r="ASC1235" s="23"/>
      <c r="ASD1235" s="23"/>
      <c r="ASE1235" s="23"/>
      <c r="ASF1235" s="23"/>
      <c r="ASG1235" s="23"/>
      <c r="ASH1235" s="23"/>
      <c r="ASI1235" s="23"/>
      <c r="ASJ1235" s="23"/>
      <c r="ASK1235" s="23"/>
      <c r="ASL1235" s="23"/>
      <c r="ASM1235" s="23"/>
      <c r="ASN1235" s="23"/>
      <c r="ASO1235" s="23"/>
      <c r="ASP1235" s="23"/>
      <c r="ASQ1235" s="23"/>
      <c r="ASR1235" s="23"/>
      <c r="ASS1235" s="23"/>
      <c r="AST1235" s="23"/>
      <c r="ASU1235" s="23"/>
      <c r="ASV1235" s="23"/>
      <c r="ASW1235" s="23"/>
      <c r="ASX1235" s="23"/>
      <c r="ASY1235" s="23"/>
      <c r="ASZ1235" s="23"/>
      <c r="ATA1235" s="23"/>
      <c r="ATB1235" s="23"/>
      <c r="ATC1235" s="23"/>
      <c r="ATD1235" s="23"/>
      <c r="ATE1235" s="23"/>
      <c r="ATF1235" s="23"/>
      <c r="ATG1235" s="23"/>
      <c r="ATH1235" s="23"/>
      <c r="ATI1235" s="23"/>
      <c r="ATJ1235" s="23"/>
      <c r="ATK1235" s="23"/>
      <c r="ATL1235" s="23"/>
      <c r="ATM1235" s="23"/>
      <c r="ATN1235" s="23"/>
      <c r="ATO1235" s="23"/>
      <c r="ATP1235" s="23"/>
      <c r="ATQ1235" s="23"/>
      <c r="ATR1235" s="23"/>
      <c r="ATS1235" s="23"/>
      <c r="ATT1235" s="23"/>
      <c r="ATU1235" s="23"/>
      <c r="ATV1235" s="23"/>
      <c r="ATW1235" s="23"/>
      <c r="ATX1235" s="23"/>
      <c r="ATY1235" s="23"/>
      <c r="ATZ1235" s="23"/>
      <c r="AUA1235" s="23"/>
      <c r="AUB1235" s="23"/>
      <c r="AUC1235" s="23"/>
      <c r="AUD1235" s="23"/>
      <c r="AUE1235" s="23"/>
      <c r="AUF1235" s="23"/>
      <c r="AUG1235" s="23"/>
      <c r="AUH1235" s="23"/>
      <c r="AUI1235" s="23"/>
      <c r="AUJ1235" s="23"/>
      <c r="AUK1235" s="23"/>
      <c r="AUL1235" s="23"/>
      <c r="AUM1235" s="23"/>
      <c r="AUN1235" s="23"/>
      <c r="AUO1235" s="23"/>
      <c r="AUP1235" s="23"/>
      <c r="AUQ1235" s="23"/>
      <c r="AUR1235" s="23"/>
      <c r="AUS1235" s="23"/>
      <c r="AUT1235" s="23"/>
      <c r="AUU1235" s="23"/>
      <c r="AUV1235" s="23"/>
      <c r="AUW1235" s="23"/>
      <c r="AUX1235" s="23"/>
      <c r="AUY1235" s="23"/>
      <c r="AUZ1235" s="23"/>
      <c r="AVA1235" s="23"/>
      <c r="AVB1235" s="23"/>
      <c r="AVC1235" s="23"/>
      <c r="AVD1235" s="23"/>
      <c r="AVE1235" s="23"/>
      <c r="AVF1235" s="23"/>
      <c r="AVG1235" s="23"/>
      <c r="AVH1235" s="23"/>
      <c r="AVI1235" s="23"/>
      <c r="AVJ1235" s="23"/>
      <c r="AVK1235" s="23"/>
      <c r="AVL1235" s="23"/>
      <c r="AVM1235" s="23"/>
      <c r="AVN1235" s="23"/>
      <c r="AVO1235" s="23"/>
      <c r="AVP1235" s="23"/>
      <c r="AVQ1235" s="23"/>
      <c r="AVR1235" s="23"/>
      <c r="AVS1235" s="23"/>
      <c r="AVT1235" s="23"/>
      <c r="AVU1235" s="23"/>
      <c r="AVV1235" s="23"/>
      <c r="AVW1235" s="23"/>
      <c r="AVX1235" s="23"/>
      <c r="AVY1235" s="23"/>
      <c r="AVZ1235" s="23"/>
      <c r="AWA1235" s="23"/>
      <c r="AWB1235" s="23"/>
      <c r="AWC1235" s="23"/>
      <c r="AWD1235" s="23"/>
      <c r="AWE1235" s="23"/>
      <c r="AWF1235" s="23"/>
      <c r="AWG1235" s="23"/>
      <c r="AWH1235" s="23"/>
      <c r="AWI1235" s="23"/>
      <c r="AWJ1235" s="23"/>
      <c r="AWK1235" s="23"/>
      <c r="AWL1235" s="23"/>
      <c r="AWM1235" s="23"/>
      <c r="AWN1235" s="23"/>
      <c r="AWO1235" s="23"/>
      <c r="AWP1235" s="23"/>
      <c r="AWQ1235" s="23"/>
      <c r="AWR1235" s="23"/>
      <c r="AWS1235" s="23"/>
      <c r="AWT1235" s="23"/>
      <c r="AWU1235" s="23"/>
      <c r="AWV1235" s="23"/>
      <c r="AWW1235" s="23"/>
      <c r="AWX1235" s="23"/>
      <c r="AWY1235" s="23"/>
      <c r="AWZ1235" s="23"/>
      <c r="AXA1235" s="23"/>
      <c r="AXB1235" s="23"/>
      <c r="AXC1235" s="23"/>
      <c r="AXD1235" s="23"/>
      <c r="AXE1235" s="23"/>
      <c r="AXF1235" s="23"/>
      <c r="AXG1235" s="23"/>
      <c r="AXH1235" s="23"/>
      <c r="AXI1235" s="23"/>
      <c r="AXJ1235" s="23"/>
      <c r="AXK1235" s="23"/>
      <c r="AXL1235" s="23"/>
      <c r="AXM1235" s="23"/>
      <c r="AXN1235" s="23"/>
      <c r="AXO1235" s="23"/>
      <c r="AXP1235" s="23"/>
      <c r="AXQ1235" s="23"/>
      <c r="AXR1235" s="23"/>
      <c r="AXS1235" s="23"/>
      <c r="AXT1235" s="23"/>
      <c r="AXU1235" s="23"/>
      <c r="AXV1235" s="23"/>
      <c r="AXW1235" s="23"/>
      <c r="AXX1235" s="23"/>
      <c r="AXY1235" s="23"/>
      <c r="AXZ1235" s="23"/>
      <c r="AYA1235" s="23"/>
      <c r="AYB1235" s="23"/>
      <c r="AYC1235" s="23"/>
      <c r="AYD1235" s="23"/>
      <c r="AYE1235" s="23"/>
      <c r="AYF1235" s="23"/>
      <c r="AYG1235" s="23"/>
      <c r="AYH1235" s="23"/>
      <c r="AYI1235" s="23"/>
      <c r="AYJ1235" s="23"/>
      <c r="AYK1235" s="23"/>
      <c r="AYL1235" s="23"/>
      <c r="AYM1235" s="23"/>
      <c r="AYN1235" s="23"/>
      <c r="AYO1235" s="23"/>
      <c r="AYP1235" s="23"/>
      <c r="AYQ1235" s="23"/>
      <c r="AYR1235" s="23"/>
      <c r="AYS1235" s="23"/>
      <c r="AYT1235" s="23"/>
      <c r="AYU1235" s="23"/>
      <c r="AYV1235" s="23"/>
      <c r="AYW1235" s="23"/>
      <c r="AYX1235" s="23"/>
      <c r="AYY1235" s="23"/>
      <c r="AYZ1235" s="23"/>
      <c r="AZA1235" s="23"/>
      <c r="AZB1235" s="23"/>
      <c r="AZC1235" s="23"/>
      <c r="AZD1235" s="23"/>
      <c r="AZE1235" s="23"/>
      <c r="AZF1235" s="23"/>
      <c r="AZG1235" s="23"/>
      <c r="AZH1235" s="23"/>
      <c r="AZI1235" s="23"/>
      <c r="AZJ1235" s="23"/>
      <c r="AZK1235" s="23"/>
      <c r="AZL1235" s="23"/>
      <c r="AZM1235" s="23"/>
      <c r="AZN1235" s="23"/>
      <c r="AZO1235" s="23"/>
      <c r="AZP1235" s="23"/>
      <c r="AZQ1235" s="23"/>
      <c r="AZR1235" s="23"/>
      <c r="AZS1235" s="23"/>
      <c r="AZT1235" s="23"/>
      <c r="AZU1235" s="23"/>
      <c r="AZV1235" s="23"/>
      <c r="AZW1235" s="23"/>
      <c r="AZX1235" s="23"/>
      <c r="AZY1235" s="23"/>
      <c r="AZZ1235" s="23"/>
      <c r="BAA1235" s="23"/>
      <c r="BAB1235" s="23"/>
      <c r="BAC1235" s="23"/>
      <c r="BAD1235" s="23"/>
      <c r="BAE1235" s="23"/>
      <c r="BAF1235" s="23"/>
      <c r="BAG1235" s="23"/>
      <c r="BAH1235" s="23"/>
      <c r="BAI1235" s="23"/>
      <c r="BAJ1235" s="23"/>
      <c r="BAK1235" s="23"/>
      <c r="BAL1235" s="23"/>
      <c r="BAM1235" s="23"/>
      <c r="BAN1235" s="23"/>
      <c r="BAO1235" s="23"/>
      <c r="BAP1235" s="23"/>
      <c r="BAQ1235" s="23"/>
      <c r="BAR1235" s="23"/>
      <c r="BAS1235" s="23"/>
      <c r="BAT1235" s="23"/>
      <c r="BAU1235" s="23"/>
      <c r="BAV1235" s="23"/>
      <c r="BAW1235" s="23"/>
      <c r="BAX1235" s="23"/>
      <c r="BAY1235" s="23"/>
      <c r="BAZ1235" s="23"/>
      <c r="BBA1235" s="23"/>
      <c r="BBB1235" s="23"/>
      <c r="BBC1235" s="23"/>
      <c r="BBD1235" s="23"/>
      <c r="BBE1235" s="23"/>
      <c r="BBF1235" s="23"/>
      <c r="BBG1235" s="23"/>
      <c r="BBH1235" s="23"/>
      <c r="BBI1235" s="23"/>
      <c r="BBJ1235" s="23"/>
      <c r="BBK1235" s="23"/>
      <c r="BBL1235" s="23"/>
      <c r="BBM1235" s="23"/>
      <c r="BBN1235" s="23"/>
      <c r="BBO1235" s="23"/>
      <c r="BBP1235" s="23"/>
      <c r="BBQ1235" s="23"/>
      <c r="BBR1235" s="23"/>
      <c r="BBS1235" s="23"/>
      <c r="BBT1235" s="23"/>
      <c r="BBU1235" s="23"/>
      <c r="BBV1235" s="23"/>
      <c r="BBW1235" s="23"/>
      <c r="BBX1235" s="23"/>
      <c r="BBY1235" s="23"/>
      <c r="BBZ1235" s="23"/>
      <c r="BCA1235" s="23"/>
      <c r="BCB1235" s="23"/>
      <c r="BCC1235" s="23"/>
      <c r="BCD1235" s="23"/>
      <c r="BCE1235" s="23"/>
      <c r="BCF1235" s="23"/>
      <c r="BCG1235" s="23"/>
      <c r="BCH1235" s="23"/>
      <c r="BCI1235" s="23"/>
      <c r="BCJ1235" s="23"/>
      <c r="BCK1235" s="23"/>
      <c r="BCL1235" s="23"/>
      <c r="BCM1235" s="23"/>
      <c r="BCN1235" s="23"/>
      <c r="BCO1235" s="23"/>
      <c r="BCP1235" s="23"/>
      <c r="BCQ1235" s="23"/>
      <c r="BCR1235" s="23"/>
      <c r="BCS1235" s="23"/>
      <c r="BCT1235" s="23"/>
      <c r="BCU1235" s="23"/>
      <c r="BCV1235" s="23"/>
      <c r="BCW1235" s="23"/>
      <c r="BCX1235" s="23"/>
      <c r="BCY1235" s="23"/>
      <c r="BCZ1235" s="23"/>
      <c r="BDA1235" s="23"/>
      <c r="BDB1235" s="23"/>
      <c r="BDC1235" s="23"/>
      <c r="BDD1235" s="23"/>
      <c r="BDE1235" s="23"/>
      <c r="BDF1235" s="23"/>
      <c r="BDG1235" s="23"/>
      <c r="BDH1235" s="23"/>
      <c r="BDI1235" s="23"/>
      <c r="BDJ1235" s="23"/>
      <c r="BDK1235" s="23"/>
      <c r="BDL1235" s="23"/>
      <c r="BDM1235" s="23"/>
      <c r="BDN1235" s="23"/>
      <c r="BDO1235" s="23"/>
      <c r="BDP1235" s="23"/>
      <c r="BDQ1235" s="23"/>
      <c r="BDR1235" s="23"/>
      <c r="BDS1235" s="23"/>
      <c r="BDT1235" s="23"/>
      <c r="BDU1235" s="23"/>
      <c r="BDV1235" s="23"/>
      <c r="BDW1235" s="23"/>
      <c r="BDX1235" s="23"/>
      <c r="BDY1235" s="23"/>
      <c r="BDZ1235" s="23"/>
      <c r="BEA1235" s="23"/>
      <c r="BEB1235" s="23"/>
      <c r="BEC1235" s="23"/>
      <c r="BED1235" s="23"/>
      <c r="BEE1235" s="23"/>
      <c r="BEF1235" s="23"/>
      <c r="BEG1235" s="23"/>
      <c r="BEH1235" s="23"/>
      <c r="BEI1235" s="23"/>
      <c r="BEJ1235" s="23"/>
      <c r="BEK1235" s="23"/>
      <c r="BEL1235" s="23"/>
      <c r="BEM1235" s="23"/>
      <c r="BEN1235" s="23"/>
      <c r="BEO1235" s="23"/>
      <c r="BEP1235" s="23"/>
      <c r="BEQ1235" s="23"/>
      <c r="BER1235" s="23"/>
      <c r="BES1235" s="23"/>
      <c r="BET1235" s="23"/>
      <c r="BEU1235" s="23"/>
      <c r="BEV1235" s="23"/>
      <c r="BEW1235" s="23"/>
      <c r="BEX1235" s="23"/>
      <c r="BEY1235" s="23"/>
      <c r="BEZ1235" s="23"/>
      <c r="BFA1235" s="23"/>
      <c r="BFB1235" s="23"/>
      <c r="BFC1235" s="23"/>
      <c r="BFD1235" s="23"/>
      <c r="BFE1235" s="23"/>
      <c r="BFF1235" s="23"/>
      <c r="BFG1235" s="23"/>
      <c r="BFH1235" s="23"/>
      <c r="BFI1235" s="23"/>
      <c r="BFJ1235" s="23"/>
      <c r="BFK1235" s="23"/>
      <c r="BFL1235" s="23"/>
      <c r="BFM1235" s="23"/>
      <c r="BFN1235" s="23"/>
      <c r="BFO1235" s="23"/>
      <c r="BFP1235" s="23"/>
      <c r="BFQ1235" s="23"/>
      <c r="BFR1235" s="23"/>
      <c r="BFS1235" s="23"/>
      <c r="BFT1235" s="23"/>
      <c r="BFU1235" s="23"/>
      <c r="BFV1235" s="23"/>
      <c r="BFW1235" s="23"/>
      <c r="BFX1235" s="23"/>
      <c r="BFY1235" s="23"/>
      <c r="BFZ1235" s="23"/>
      <c r="BGA1235" s="23"/>
      <c r="BGB1235" s="23"/>
      <c r="BGC1235" s="23"/>
      <c r="BGD1235" s="23"/>
      <c r="BGE1235" s="23"/>
      <c r="BGF1235" s="23"/>
      <c r="BGG1235" s="23"/>
      <c r="BGH1235" s="23"/>
      <c r="BGI1235" s="23"/>
      <c r="BGJ1235" s="23"/>
      <c r="BGK1235" s="23"/>
      <c r="BGL1235" s="23"/>
      <c r="BGM1235" s="23"/>
      <c r="BGN1235" s="23"/>
      <c r="BGO1235" s="23"/>
      <c r="BGP1235" s="23"/>
      <c r="BGQ1235" s="23"/>
      <c r="BGR1235" s="23"/>
      <c r="BGS1235" s="23"/>
      <c r="BGT1235" s="23"/>
      <c r="BGU1235" s="23"/>
      <c r="BGV1235" s="23"/>
      <c r="BGW1235" s="23"/>
      <c r="BGX1235" s="23"/>
      <c r="BGY1235" s="23"/>
      <c r="BGZ1235" s="23"/>
      <c r="BHA1235" s="23"/>
      <c r="BHB1235" s="23"/>
      <c r="BHC1235" s="23"/>
      <c r="BHD1235" s="23"/>
      <c r="BHE1235" s="23"/>
      <c r="BHF1235" s="23"/>
      <c r="BHG1235" s="23"/>
      <c r="BHH1235" s="23"/>
      <c r="BHI1235" s="23"/>
      <c r="BHJ1235" s="23"/>
      <c r="BHK1235" s="23"/>
      <c r="BHL1235" s="23"/>
      <c r="BHM1235" s="23"/>
      <c r="BHN1235" s="23"/>
      <c r="BHO1235" s="23"/>
      <c r="BHP1235" s="23"/>
      <c r="BHQ1235" s="23"/>
      <c r="BHR1235" s="23"/>
      <c r="BHS1235" s="23"/>
      <c r="BHT1235" s="23"/>
      <c r="BHU1235" s="23"/>
      <c r="BHV1235" s="23"/>
      <c r="BHW1235" s="23"/>
      <c r="BHX1235" s="23"/>
      <c r="BHY1235" s="23"/>
      <c r="BHZ1235" s="23"/>
      <c r="BIA1235" s="23"/>
      <c r="BIB1235" s="23"/>
      <c r="BIC1235" s="23"/>
      <c r="BID1235" s="23"/>
      <c r="BIE1235" s="23"/>
      <c r="BIF1235" s="23"/>
      <c r="BIG1235" s="23"/>
      <c r="BIH1235" s="23"/>
      <c r="BII1235" s="23"/>
      <c r="BIJ1235" s="23"/>
      <c r="BIK1235" s="23"/>
      <c r="BIL1235" s="23"/>
      <c r="BIM1235" s="23"/>
      <c r="BIN1235" s="23"/>
      <c r="BIO1235" s="23"/>
      <c r="BIP1235" s="23"/>
      <c r="BIQ1235" s="23"/>
      <c r="BIR1235" s="23"/>
      <c r="BIS1235" s="23"/>
      <c r="BIT1235" s="23"/>
      <c r="BIU1235" s="23"/>
      <c r="BIV1235" s="23"/>
      <c r="BIW1235" s="23"/>
      <c r="BIX1235" s="23"/>
      <c r="BIY1235" s="23"/>
      <c r="BIZ1235" s="23"/>
      <c r="BJA1235" s="23"/>
      <c r="BJB1235" s="23"/>
      <c r="BJC1235" s="23"/>
      <c r="BJD1235" s="23"/>
      <c r="BJE1235" s="23"/>
      <c r="BJF1235" s="23"/>
      <c r="BJG1235" s="23"/>
      <c r="BJH1235" s="23"/>
      <c r="BJI1235" s="23"/>
      <c r="BJJ1235" s="23"/>
      <c r="BJK1235" s="23"/>
      <c r="BJL1235" s="23"/>
      <c r="BJM1235" s="23"/>
      <c r="BJN1235" s="23"/>
      <c r="BJO1235" s="23"/>
      <c r="BJP1235" s="23"/>
      <c r="BJQ1235" s="23"/>
      <c r="BJR1235" s="23"/>
      <c r="BJS1235" s="23"/>
      <c r="BJT1235" s="23"/>
      <c r="BJU1235" s="23"/>
      <c r="BJV1235" s="23"/>
      <c r="BJW1235" s="23"/>
      <c r="BJX1235" s="23"/>
      <c r="BJY1235" s="23"/>
      <c r="BJZ1235" s="23"/>
      <c r="BKA1235" s="23"/>
      <c r="BKB1235" s="23"/>
      <c r="BKC1235" s="23"/>
      <c r="BKD1235" s="23"/>
      <c r="BKE1235" s="23"/>
      <c r="BKF1235" s="23"/>
      <c r="BKG1235" s="23"/>
      <c r="BKH1235" s="23"/>
      <c r="BKI1235" s="23"/>
      <c r="BKJ1235" s="23"/>
      <c r="BKK1235" s="23"/>
      <c r="BKL1235" s="23"/>
      <c r="BKM1235" s="23"/>
      <c r="BKN1235" s="23"/>
      <c r="BKO1235" s="23"/>
      <c r="BKP1235" s="23"/>
      <c r="BKQ1235" s="23"/>
      <c r="BKR1235" s="23"/>
      <c r="BKS1235" s="23"/>
      <c r="BKT1235" s="23"/>
      <c r="BKU1235" s="23"/>
      <c r="BKV1235" s="23"/>
      <c r="BKW1235" s="23"/>
      <c r="BKX1235" s="23"/>
      <c r="BKY1235" s="23"/>
      <c r="BKZ1235" s="23"/>
      <c r="BLA1235" s="23"/>
      <c r="BLB1235" s="23"/>
      <c r="BLC1235" s="23"/>
      <c r="BLD1235" s="23"/>
      <c r="BLE1235" s="23"/>
      <c r="BLF1235" s="23"/>
      <c r="BLG1235" s="23"/>
      <c r="BLH1235" s="23"/>
      <c r="BLI1235" s="23"/>
      <c r="BLJ1235" s="23"/>
      <c r="BLK1235" s="23"/>
      <c r="BLL1235" s="23"/>
      <c r="BLM1235" s="23"/>
      <c r="BLN1235" s="23"/>
      <c r="BLO1235" s="23"/>
      <c r="BLP1235" s="23"/>
      <c r="BLQ1235" s="23"/>
      <c r="BLR1235" s="23"/>
      <c r="BLS1235" s="23"/>
      <c r="BLT1235" s="23"/>
      <c r="BLU1235" s="23"/>
      <c r="BLV1235" s="23"/>
      <c r="BLW1235" s="23"/>
      <c r="BLX1235" s="23"/>
      <c r="BLY1235" s="23"/>
      <c r="BLZ1235" s="23"/>
      <c r="BMA1235" s="23"/>
      <c r="BMB1235" s="23"/>
      <c r="BMC1235" s="23"/>
      <c r="BMD1235" s="23"/>
      <c r="BME1235" s="23"/>
      <c r="BMF1235" s="23"/>
      <c r="BMG1235" s="23"/>
      <c r="BMH1235" s="23"/>
      <c r="BMI1235" s="23"/>
      <c r="BMJ1235" s="23"/>
      <c r="BMK1235" s="23"/>
      <c r="BML1235" s="23"/>
      <c r="BMM1235" s="23"/>
      <c r="BMN1235" s="23"/>
      <c r="BMO1235" s="23"/>
      <c r="BMP1235" s="23"/>
      <c r="BMQ1235" s="23"/>
      <c r="BMR1235" s="23"/>
      <c r="BMS1235" s="23"/>
      <c r="BMT1235" s="23"/>
      <c r="BMU1235" s="23"/>
      <c r="BMV1235" s="23"/>
      <c r="BMW1235" s="23"/>
      <c r="BMX1235" s="23"/>
      <c r="BMY1235" s="23"/>
      <c r="BMZ1235" s="23"/>
      <c r="BNA1235" s="23"/>
      <c r="BNB1235" s="23"/>
      <c r="BNC1235" s="23"/>
      <c r="BND1235" s="23"/>
      <c r="BNE1235" s="23"/>
      <c r="BNF1235" s="23"/>
      <c r="BNG1235" s="23"/>
      <c r="BNH1235" s="23"/>
      <c r="BNI1235" s="23"/>
      <c r="BNJ1235" s="23"/>
      <c r="BNK1235" s="23"/>
      <c r="BNL1235" s="23"/>
      <c r="BNM1235" s="23"/>
      <c r="BNN1235" s="23"/>
      <c r="BNO1235" s="23"/>
      <c r="BNP1235" s="23"/>
      <c r="BNQ1235" s="23"/>
      <c r="BNR1235" s="23"/>
      <c r="BNS1235" s="23"/>
      <c r="BNT1235" s="23"/>
      <c r="BNU1235" s="23"/>
      <c r="BNV1235" s="23"/>
      <c r="BNW1235" s="23"/>
      <c r="BNX1235" s="23"/>
      <c r="BNY1235" s="23"/>
      <c r="BNZ1235" s="23"/>
      <c r="BOA1235" s="23"/>
      <c r="BOB1235" s="23"/>
      <c r="BOC1235" s="23"/>
      <c r="BOD1235" s="23"/>
      <c r="BOE1235" s="23"/>
      <c r="BOF1235" s="23"/>
      <c r="BOG1235" s="23"/>
      <c r="BOH1235" s="23"/>
      <c r="BOI1235" s="23"/>
      <c r="BOJ1235" s="23"/>
      <c r="BOK1235" s="23"/>
      <c r="BOL1235" s="23"/>
      <c r="BOM1235" s="23"/>
      <c r="BON1235" s="23"/>
      <c r="BOO1235" s="23"/>
      <c r="BOP1235" s="23"/>
      <c r="BOQ1235" s="23"/>
      <c r="BOR1235" s="23"/>
      <c r="BOS1235" s="23"/>
      <c r="BOT1235" s="23"/>
      <c r="BOU1235" s="23"/>
      <c r="BOV1235" s="23"/>
      <c r="BOW1235" s="23"/>
      <c r="BOX1235" s="23"/>
      <c r="BOY1235" s="23"/>
      <c r="BOZ1235" s="23"/>
      <c r="BPA1235" s="23"/>
      <c r="BPB1235" s="23"/>
      <c r="BPC1235" s="23"/>
      <c r="BPD1235" s="23"/>
      <c r="BPE1235" s="23"/>
      <c r="BPF1235" s="23"/>
      <c r="BPG1235" s="23"/>
      <c r="BPH1235" s="23"/>
      <c r="BPI1235" s="23"/>
      <c r="BPJ1235" s="23"/>
      <c r="BPK1235" s="23"/>
      <c r="BPL1235" s="23"/>
      <c r="BPM1235" s="23"/>
      <c r="BPN1235" s="23"/>
      <c r="BPO1235" s="23"/>
      <c r="BPP1235" s="23"/>
      <c r="BPQ1235" s="23"/>
      <c r="BPR1235" s="23"/>
      <c r="BPS1235" s="23"/>
      <c r="BPT1235" s="23"/>
      <c r="BPU1235" s="23"/>
      <c r="BPV1235" s="23"/>
      <c r="BPW1235" s="23"/>
      <c r="BPX1235" s="23"/>
      <c r="BPY1235" s="23"/>
      <c r="BPZ1235" s="23"/>
      <c r="BQA1235" s="23"/>
      <c r="BQB1235" s="23"/>
      <c r="BQC1235" s="23"/>
      <c r="BQD1235" s="23"/>
      <c r="BQE1235" s="23"/>
      <c r="BQF1235" s="23"/>
      <c r="BQG1235" s="23"/>
      <c r="BQH1235" s="23"/>
      <c r="BQI1235" s="23"/>
      <c r="BQJ1235" s="23"/>
      <c r="BQK1235" s="23"/>
      <c r="BQL1235" s="23"/>
      <c r="BQM1235" s="23"/>
      <c r="BQN1235" s="23"/>
      <c r="BQO1235" s="23"/>
      <c r="BQP1235" s="23"/>
      <c r="BQQ1235" s="23"/>
      <c r="BQR1235" s="23"/>
      <c r="BQS1235" s="23"/>
      <c r="BQT1235" s="23"/>
      <c r="BQU1235" s="23"/>
      <c r="BQV1235" s="23"/>
      <c r="BQW1235" s="23"/>
      <c r="BQX1235" s="23"/>
      <c r="BQY1235" s="23"/>
      <c r="BQZ1235" s="23"/>
      <c r="BRA1235" s="23"/>
      <c r="BRB1235" s="23"/>
      <c r="BRC1235" s="23"/>
      <c r="BRD1235" s="23"/>
      <c r="BRE1235" s="23"/>
      <c r="BRF1235" s="23"/>
      <c r="BRG1235" s="23"/>
      <c r="BRH1235" s="23"/>
      <c r="BRI1235" s="23"/>
      <c r="BRJ1235" s="23"/>
      <c r="BRK1235" s="23"/>
      <c r="BRL1235" s="23"/>
      <c r="BRM1235" s="23"/>
      <c r="BRN1235" s="23"/>
      <c r="BRO1235" s="23"/>
      <c r="BRP1235" s="23"/>
      <c r="BRQ1235" s="23"/>
      <c r="BRR1235" s="23"/>
      <c r="BRS1235" s="23"/>
      <c r="BRT1235" s="23"/>
      <c r="BRU1235" s="23"/>
      <c r="BRV1235" s="23"/>
      <c r="BRW1235" s="23"/>
      <c r="BRX1235" s="23"/>
      <c r="BRY1235" s="23"/>
      <c r="BRZ1235" s="23"/>
      <c r="BSA1235" s="23"/>
      <c r="BSB1235" s="23"/>
      <c r="BSC1235" s="23"/>
      <c r="BSD1235" s="23"/>
      <c r="BSE1235" s="23"/>
      <c r="BSF1235" s="23"/>
      <c r="BSG1235" s="23"/>
      <c r="BSH1235" s="23"/>
      <c r="BSI1235" s="23"/>
      <c r="BSJ1235" s="23"/>
      <c r="BSK1235" s="23"/>
      <c r="BSL1235" s="23"/>
      <c r="BSM1235" s="23"/>
      <c r="BSN1235" s="23"/>
      <c r="BSO1235" s="23"/>
      <c r="BSP1235" s="23"/>
      <c r="BSQ1235" s="23"/>
      <c r="BSR1235" s="23"/>
      <c r="BSS1235" s="23"/>
      <c r="BST1235" s="23"/>
      <c r="BSU1235" s="23"/>
      <c r="BSV1235" s="23"/>
      <c r="BSW1235" s="23"/>
      <c r="BSX1235" s="23"/>
      <c r="BSY1235" s="23"/>
      <c r="BSZ1235" s="23"/>
      <c r="BTA1235" s="23"/>
    </row>
    <row r="1236" spans="1:1873" s="149" customFormat="1" ht="12.75" customHeight="1" x14ac:dyDescent="0.25">
      <c r="A1236" s="263"/>
      <c r="B1236" s="263"/>
      <c r="C1236" s="600"/>
      <c r="D1236" s="263"/>
      <c r="E1236" s="327"/>
      <c r="F1236" s="599"/>
      <c r="G1236" s="600"/>
      <c r="H1236" s="600"/>
      <c r="I1236" s="257"/>
      <c r="J1236" s="599"/>
      <c r="K1236" s="257"/>
      <c r="L1236" s="600"/>
      <c r="M1236" s="261"/>
      <c r="N1236" s="257"/>
      <c r="O1236" s="29"/>
      <c r="P1236" s="602"/>
      <c r="Q1236" s="257"/>
      <c r="R1236" s="261"/>
      <c r="S1236" s="257"/>
      <c r="T1236" s="370"/>
      <c r="U1236" s="257"/>
      <c r="V1236" s="257"/>
      <c r="W1236" s="609"/>
      <c r="X1236" s="257"/>
      <c r="Y1236" s="257"/>
      <c r="Z1236" s="599"/>
      <c r="AA1236" s="605"/>
      <c r="AB1236" s="611"/>
      <c r="AC1236" s="257"/>
      <c r="AD1236" s="602"/>
      <c r="AE1236" s="263"/>
      <c r="AF1236" s="600"/>
      <c r="AG1236" s="257"/>
      <c r="AH1236" s="257"/>
      <c r="AI1236" s="257"/>
      <c r="AJ1236" s="257"/>
      <c r="AK1236" s="257"/>
      <c r="AL1236" s="257"/>
      <c r="AM1236" s="257"/>
      <c r="AN1236" s="257"/>
      <c r="AO1236" s="257"/>
      <c r="AP1236" s="257"/>
      <c r="AQ1236" s="257"/>
      <c r="AR1236" s="257"/>
      <c r="AS1236" s="257"/>
      <c r="AT1236" s="257"/>
      <c r="AU1236" s="257"/>
      <c r="AV1236" s="257"/>
      <c r="AW1236" s="257"/>
      <c r="AX1236" s="257"/>
      <c r="AY1236" s="257"/>
      <c r="AZ1236" s="257"/>
      <c r="BA1236" s="257"/>
      <c r="BB1236" s="257"/>
      <c r="BC1236" s="257"/>
      <c r="BD1236" s="257"/>
      <c r="BE1236" s="257"/>
      <c r="BF1236" s="257"/>
      <c r="BG1236" s="257"/>
      <c r="BH1236" s="257"/>
      <c r="BI1236" s="257"/>
      <c r="BJ1236" s="257"/>
      <c r="BK1236" s="257"/>
      <c r="BL1236" s="602"/>
      <c r="BM1236" s="257"/>
      <c r="BN1236" s="602"/>
      <c r="BO1236" s="257"/>
      <c r="BP1236" s="257"/>
      <c r="BQ1236" s="257"/>
      <c r="BR1236" s="257"/>
      <c r="BS1236" s="263"/>
      <c r="BT1236" s="257"/>
      <c r="BU1236" s="257"/>
      <c r="BV1236" s="257"/>
      <c r="BW1236" s="257"/>
      <c r="BX1236" s="257"/>
      <c r="BY1236" s="257"/>
      <c r="BZ1236" s="257"/>
      <c r="CA1236" s="300"/>
      <c r="CB1236" s="264"/>
      <c r="CC1236" s="599"/>
      <c r="CD1236" s="600"/>
      <c r="CE1236" s="342" t="s">
        <v>1576</v>
      </c>
      <c r="CF1236" s="342" t="s">
        <v>1575</v>
      </c>
      <c r="CG1236" s="161"/>
    </row>
    <row r="1237" spans="1:1873" s="149" customFormat="1" ht="12.75" customHeight="1" x14ac:dyDescent="0.25">
      <c r="A1237" s="263" t="s">
        <v>560</v>
      </c>
      <c r="B1237" s="263" t="s">
        <v>1268</v>
      </c>
      <c r="C1237" s="600" t="s">
        <v>114</v>
      </c>
      <c r="D1237" s="263" t="s">
        <v>1254</v>
      </c>
      <c r="E1237" s="327" t="s">
        <v>882</v>
      </c>
      <c r="F1237" s="600">
        <v>1</v>
      </c>
      <c r="G1237" s="600">
        <v>1</v>
      </c>
      <c r="H1237" s="600">
        <v>1</v>
      </c>
      <c r="I1237" s="257" t="s">
        <v>856</v>
      </c>
      <c r="J1237" s="599">
        <v>1982</v>
      </c>
      <c r="K1237" s="257" t="s">
        <v>1211</v>
      </c>
      <c r="L1237" s="608">
        <v>1982</v>
      </c>
      <c r="M1237" s="261">
        <v>-9999</v>
      </c>
      <c r="N1237" s="257">
        <v>-9999</v>
      </c>
      <c r="O1237" s="29"/>
      <c r="P1237" s="602">
        <v>0.98</v>
      </c>
      <c r="Q1237" s="257">
        <v>-9999</v>
      </c>
      <c r="R1237" s="261"/>
      <c r="S1237" s="257"/>
      <c r="T1237" s="370">
        <v>0.98</v>
      </c>
      <c r="U1237" s="257">
        <v>-9999</v>
      </c>
      <c r="V1237" s="257"/>
      <c r="W1237" s="609">
        <f t="shared" ref="W1237:W1242" si="128">+P1237-P1236</f>
        <v>0.98</v>
      </c>
      <c r="X1237" s="257">
        <v>-9999</v>
      </c>
      <c r="Y1237" s="257"/>
      <c r="Z1237" s="599" t="s">
        <v>111</v>
      </c>
      <c r="AA1237" s="605">
        <v>1794</v>
      </c>
      <c r="AB1237" s="611">
        <v>1</v>
      </c>
      <c r="AC1237" s="257">
        <v>10.3</v>
      </c>
      <c r="AD1237" s="602">
        <f t="shared" si="124"/>
        <v>966</v>
      </c>
      <c r="AE1237" s="263" t="s">
        <v>97</v>
      </c>
      <c r="AF1237" s="600">
        <v>6</v>
      </c>
      <c r="AG1237" s="257">
        <v>2</v>
      </c>
      <c r="AH1237" s="257" t="s">
        <v>98</v>
      </c>
      <c r="AI1237" s="257" t="s">
        <v>985</v>
      </c>
      <c r="AJ1237" s="257">
        <v>-9999</v>
      </c>
      <c r="AK1237" s="257" t="s">
        <v>99</v>
      </c>
      <c r="AL1237" s="257" t="s">
        <v>828</v>
      </c>
      <c r="AM1237" s="257">
        <v>-9999</v>
      </c>
      <c r="AN1237" s="257" t="s">
        <v>631</v>
      </c>
      <c r="AO1237" s="257">
        <v>-9999</v>
      </c>
      <c r="AP1237" s="257">
        <v>-9999</v>
      </c>
      <c r="AQ1237" s="257" t="s">
        <v>631</v>
      </c>
      <c r="AR1237" s="257">
        <v>0</v>
      </c>
      <c r="AS1237" s="257">
        <v>-9999</v>
      </c>
      <c r="AT1237" s="257">
        <v>-9999</v>
      </c>
      <c r="AU1237" s="257">
        <v>0</v>
      </c>
      <c r="AV1237" s="257">
        <v>-9999</v>
      </c>
      <c r="AW1237" s="257"/>
      <c r="AX1237" s="257">
        <v>0</v>
      </c>
      <c r="AY1237" s="257">
        <v>-9999</v>
      </c>
      <c r="AZ1237" s="257">
        <v>-9999</v>
      </c>
      <c r="BA1237" s="257" t="s">
        <v>100</v>
      </c>
      <c r="BB1237" s="257" t="s">
        <v>626</v>
      </c>
      <c r="BC1237" s="257" t="s">
        <v>101</v>
      </c>
      <c r="BD1237" s="257" t="s">
        <v>102</v>
      </c>
      <c r="BE1237" s="257" t="s">
        <v>103</v>
      </c>
      <c r="BF1237" s="257" t="s">
        <v>104</v>
      </c>
      <c r="BG1237" s="257" t="s">
        <v>105</v>
      </c>
      <c r="BH1237" s="257" t="s">
        <v>106</v>
      </c>
      <c r="BI1237" s="257">
        <v>-9999</v>
      </c>
      <c r="BJ1237" s="257">
        <v>-9999</v>
      </c>
      <c r="BK1237" s="257">
        <v>-9999</v>
      </c>
      <c r="BL1237" s="602">
        <v>3.05</v>
      </c>
      <c r="BM1237" s="257">
        <v>-9999</v>
      </c>
      <c r="BN1237" s="602">
        <v>0</v>
      </c>
      <c r="BO1237" s="257">
        <v>-9999</v>
      </c>
      <c r="BP1237" s="257">
        <v>-9999</v>
      </c>
      <c r="BQ1237" s="257">
        <v>-9999</v>
      </c>
      <c r="BR1237" s="257">
        <v>-9999</v>
      </c>
      <c r="BS1237" s="263">
        <v>-9999</v>
      </c>
      <c r="BT1237" s="257">
        <v>-9999</v>
      </c>
      <c r="BU1237" s="257">
        <v>-9999</v>
      </c>
      <c r="BV1237" s="257">
        <v>-9999</v>
      </c>
      <c r="BW1237" s="257"/>
      <c r="BX1237" s="257">
        <v>-9999</v>
      </c>
      <c r="BY1237" s="257">
        <v>-9999</v>
      </c>
      <c r="BZ1237" s="257">
        <v>-9999</v>
      </c>
      <c r="CA1237" s="300" t="s">
        <v>107</v>
      </c>
      <c r="CB1237" s="264" t="s">
        <v>561</v>
      </c>
      <c r="CC1237" s="600">
        <v>1</v>
      </c>
      <c r="CD1237" s="600">
        <v>1</v>
      </c>
      <c r="CE1237" s="168">
        <v>0.98</v>
      </c>
      <c r="CF1237" s="168">
        <v>0.98</v>
      </c>
      <c r="CG1237" s="161">
        <v>1</v>
      </c>
    </row>
    <row r="1238" spans="1:1873" s="149" customFormat="1" ht="12.75" customHeight="1" x14ac:dyDescent="0.25">
      <c r="A1238" s="263" t="s">
        <v>560</v>
      </c>
      <c r="B1238" s="263" t="s">
        <v>1268</v>
      </c>
      <c r="C1238" s="600" t="s">
        <v>114</v>
      </c>
      <c r="D1238" s="263" t="s">
        <v>1254</v>
      </c>
      <c r="E1238" s="327" t="s">
        <v>882</v>
      </c>
      <c r="F1238" s="600">
        <v>1</v>
      </c>
      <c r="G1238" s="600">
        <v>2</v>
      </c>
      <c r="H1238" s="600">
        <v>2</v>
      </c>
      <c r="I1238" s="257" t="s">
        <v>856</v>
      </c>
      <c r="J1238" s="599">
        <v>1982</v>
      </c>
      <c r="K1238" s="257" t="s">
        <v>1211</v>
      </c>
      <c r="L1238" s="608">
        <v>1983</v>
      </c>
      <c r="M1238" s="261">
        <v>-9999</v>
      </c>
      <c r="N1238" s="257">
        <v>-9999</v>
      </c>
      <c r="O1238" s="29"/>
      <c r="P1238" s="602">
        <v>8.77</v>
      </c>
      <c r="Q1238" s="257">
        <v>-9999</v>
      </c>
      <c r="R1238" s="261"/>
      <c r="S1238" s="257"/>
      <c r="T1238" s="370">
        <v>4.1449999999999996</v>
      </c>
      <c r="U1238" s="257">
        <v>-9999</v>
      </c>
      <c r="V1238" s="257"/>
      <c r="W1238" s="609">
        <f t="shared" si="128"/>
        <v>7.7899999999999991</v>
      </c>
      <c r="X1238" s="257">
        <v>-9999</v>
      </c>
      <c r="Y1238" s="257"/>
      <c r="Z1238" s="599" t="s">
        <v>111</v>
      </c>
      <c r="AA1238" s="605">
        <v>1794</v>
      </c>
      <c r="AB1238" s="611">
        <v>1</v>
      </c>
      <c r="AC1238" s="257">
        <v>10.3</v>
      </c>
      <c r="AD1238" s="602">
        <f t="shared" ref="AD1238:AD1242" si="129">0.0966*10000</f>
        <v>966</v>
      </c>
      <c r="AE1238" s="263" t="s">
        <v>97</v>
      </c>
      <c r="AF1238" s="600">
        <v>6</v>
      </c>
      <c r="AG1238" s="257">
        <v>2</v>
      </c>
      <c r="AH1238" s="257" t="s">
        <v>98</v>
      </c>
      <c r="AI1238" s="257" t="s">
        <v>985</v>
      </c>
      <c r="AJ1238" s="257">
        <v>-9999</v>
      </c>
      <c r="AK1238" s="257" t="s">
        <v>99</v>
      </c>
      <c r="AL1238" s="257" t="s">
        <v>828</v>
      </c>
      <c r="AM1238" s="257">
        <v>-9999</v>
      </c>
      <c r="AN1238" s="257" t="s">
        <v>631</v>
      </c>
      <c r="AO1238" s="257">
        <v>-9999</v>
      </c>
      <c r="AP1238" s="257">
        <v>-9999</v>
      </c>
      <c r="AQ1238" s="257" t="s">
        <v>631</v>
      </c>
      <c r="AR1238" s="257">
        <v>0</v>
      </c>
      <c r="AS1238" s="257">
        <v>-9999</v>
      </c>
      <c r="AT1238" s="257">
        <v>-9999</v>
      </c>
      <c r="AU1238" s="257">
        <v>0</v>
      </c>
      <c r="AV1238" s="257">
        <v>-9999</v>
      </c>
      <c r="AW1238" s="257"/>
      <c r="AX1238" s="257">
        <v>0</v>
      </c>
      <c r="AY1238" s="257">
        <v>-9999</v>
      </c>
      <c r="AZ1238" s="257">
        <v>-9999</v>
      </c>
      <c r="BA1238" s="257" t="s">
        <v>100</v>
      </c>
      <c r="BB1238" s="257" t="s">
        <v>626</v>
      </c>
      <c r="BC1238" s="257" t="s">
        <v>101</v>
      </c>
      <c r="BD1238" s="257" t="s">
        <v>102</v>
      </c>
      <c r="BE1238" s="257" t="s">
        <v>103</v>
      </c>
      <c r="BF1238" s="257" t="s">
        <v>104</v>
      </c>
      <c r="BG1238" s="257" t="s">
        <v>105</v>
      </c>
      <c r="BH1238" s="257" t="s">
        <v>106</v>
      </c>
      <c r="BI1238" s="257">
        <v>-9999</v>
      </c>
      <c r="BJ1238" s="257">
        <v>-9999</v>
      </c>
      <c r="BK1238" s="257">
        <v>-9999</v>
      </c>
      <c r="BL1238" s="602">
        <v>5.13</v>
      </c>
      <c r="BM1238" s="257">
        <v>-9999</v>
      </c>
      <c r="BN1238" s="602">
        <v>0</v>
      </c>
      <c r="BO1238" s="257">
        <v>-9999</v>
      </c>
      <c r="BP1238" s="257">
        <v>-9999</v>
      </c>
      <c r="BQ1238" s="257">
        <v>-9999</v>
      </c>
      <c r="BR1238" s="257">
        <v>-9999</v>
      </c>
      <c r="BS1238" s="263">
        <v>-9999</v>
      </c>
      <c r="BT1238" s="257">
        <v>-9999</v>
      </c>
      <c r="BU1238" s="257">
        <v>-9999</v>
      </c>
      <c r="BV1238" s="257">
        <v>-9999</v>
      </c>
      <c r="BW1238" s="257"/>
      <c r="BX1238" s="257">
        <v>-9999</v>
      </c>
      <c r="BY1238" s="257">
        <v>-9999</v>
      </c>
      <c r="BZ1238" s="257">
        <v>-9999</v>
      </c>
      <c r="CA1238" s="300" t="s">
        <v>107</v>
      </c>
      <c r="CB1238" s="264" t="s">
        <v>561</v>
      </c>
      <c r="CC1238" s="600">
        <v>1</v>
      </c>
      <c r="CD1238" s="600">
        <v>2</v>
      </c>
      <c r="CE1238" s="168">
        <v>4.1449999999999996</v>
      </c>
      <c r="CF1238" s="168">
        <v>7.3099999999999987</v>
      </c>
      <c r="CG1238" s="161">
        <v>2</v>
      </c>
    </row>
    <row r="1239" spans="1:1873" s="149" customFormat="1" ht="12.75" customHeight="1" x14ac:dyDescent="0.25">
      <c r="A1239" s="263" t="s">
        <v>560</v>
      </c>
      <c r="B1239" s="263" t="s">
        <v>1268</v>
      </c>
      <c r="C1239" s="600" t="s">
        <v>114</v>
      </c>
      <c r="D1239" s="263" t="s">
        <v>1254</v>
      </c>
      <c r="E1239" s="327" t="s">
        <v>882</v>
      </c>
      <c r="F1239" s="600">
        <v>1</v>
      </c>
      <c r="G1239" s="600">
        <v>3</v>
      </c>
      <c r="H1239" s="600">
        <v>3</v>
      </c>
      <c r="I1239" s="257" t="s">
        <v>856</v>
      </c>
      <c r="J1239" s="599">
        <v>1982</v>
      </c>
      <c r="K1239" s="257" t="s">
        <v>1211</v>
      </c>
      <c r="L1239" s="608">
        <v>1984</v>
      </c>
      <c r="M1239" s="261">
        <v>-9999</v>
      </c>
      <c r="N1239" s="257">
        <v>-9999</v>
      </c>
      <c r="O1239" s="29"/>
      <c r="P1239" s="602">
        <v>17.47</v>
      </c>
      <c r="Q1239" s="257">
        <v>-9999</v>
      </c>
      <c r="R1239" s="261"/>
      <c r="S1239" s="257"/>
      <c r="T1239" s="370">
        <v>5.617</v>
      </c>
      <c r="U1239" s="257">
        <v>-9999</v>
      </c>
      <c r="V1239" s="257"/>
      <c r="W1239" s="609">
        <f t="shared" si="128"/>
        <v>8.6999999999999993</v>
      </c>
      <c r="X1239" s="257">
        <v>-9999</v>
      </c>
      <c r="Y1239" s="257"/>
      <c r="Z1239" s="599" t="s">
        <v>111</v>
      </c>
      <c r="AA1239" s="605">
        <v>1794</v>
      </c>
      <c r="AB1239" s="611">
        <v>1</v>
      </c>
      <c r="AC1239" s="257">
        <v>10.3</v>
      </c>
      <c r="AD1239" s="602">
        <f t="shared" si="129"/>
        <v>966</v>
      </c>
      <c r="AE1239" s="263" t="s">
        <v>97</v>
      </c>
      <c r="AF1239" s="600">
        <v>6</v>
      </c>
      <c r="AG1239" s="257">
        <v>2</v>
      </c>
      <c r="AH1239" s="257" t="s">
        <v>98</v>
      </c>
      <c r="AI1239" s="257" t="s">
        <v>985</v>
      </c>
      <c r="AJ1239" s="257">
        <v>-9999</v>
      </c>
      <c r="AK1239" s="257" t="s">
        <v>99</v>
      </c>
      <c r="AL1239" s="257" t="s">
        <v>828</v>
      </c>
      <c r="AM1239" s="257">
        <v>-9999</v>
      </c>
      <c r="AN1239" s="257" t="s">
        <v>631</v>
      </c>
      <c r="AO1239" s="257">
        <v>-9999</v>
      </c>
      <c r="AP1239" s="257">
        <v>-9999</v>
      </c>
      <c r="AQ1239" s="257" t="s">
        <v>631</v>
      </c>
      <c r="AR1239" s="257">
        <v>0</v>
      </c>
      <c r="AS1239" s="257">
        <v>-9999</v>
      </c>
      <c r="AT1239" s="257">
        <v>-9999</v>
      </c>
      <c r="AU1239" s="257">
        <v>0</v>
      </c>
      <c r="AV1239" s="257">
        <v>-9999</v>
      </c>
      <c r="AW1239" s="257"/>
      <c r="AX1239" s="257">
        <v>0</v>
      </c>
      <c r="AY1239" s="257">
        <v>-9999</v>
      </c>
      <c r="AZ1239" s="257">
        <v>-9999</v>
      </c>
      <c r="BA1239" s="257" t="s">
        <v>100</v>
      </c>
      <c r="BB1239" s="257" t="s">
        <v>626</v>
      </c>
      <c r="BC1239" s="257" t="s">
        <v>101</v>
      </c>
      <c r="BD1239" s="257" t="s">
        <v>102</v>
      </c>
      <c r="BE1239" s="257" t="s">
        <v>103</v>
      </c>
      <c r="BF1239" s="257" t="s">
        <v>104</v>
      </c>
      <c r="BG1239" s="257" t="s">
        <v>105</v>
      </c>
      <c r="BH1239" s="257" t="s">
        <v>106</v>
      </c>
      <c r="BI1239" s="257">
        <v>-9999</v>
      </c>
      <c r="BJ1239" s="257">
        <v>-9999</v>
      </c>
      <c r="BK1239" s="257">
        <v>-9999</v>
      </c>
      <c r="BL1239" s="602">
        <v>8.17</v>
      </c>
      <c r="BM1239" s="257">
        <v>-9999</v>
      </c>
      <c r="BN1239" s="602">
        <v>0</v>
      </c>
      <c r="BO1239" s="257">
        <v>-9999</v>
      </c>
      <c r="BP1239" s="257">
        <v>-9999</v>
      </c>
      <c r="BQ1239" s="257">
        <v>-9999</v>
      </c>
      <c r="BR1239" s="257">
        <v>-9999</v>
      </c>
      <c r="BS1239" s="263">
        <v>-9999</v>
      </c>
      <c r="BT1239" s="257">
        <v>-9999</v>
      </c>
      <c r="BU1239" s="257">
        <v>-9999</v>
      </c>
      <c r="BV1239" s="257">
        <v>-9999</v>
      </c>
      <c r="BW1239" s="257"/>
      <c r="BX1239" s="257">
        <v>-9999</v>
      </c>
      <c r="BY1239" s="257">
        <v>-9999</v>
      </c>
      <c r="BZ1239" s="257">
        <v>-9999</v>
      </c>
      <c r="CA1239" s="300" t="s">
        <v>107</v>
      </c>
      <c r="CB1239" s="264" t="s">
        <v>561</v>
      </c>
      <c r="CC1239" s="600">
        <v>1</v>
      </c>
      <c r="CD1239" s="600">
        <v>3</v>
      </c>
      <c r="CE1239" s="168">
        <v>5.617</v>
      </c>
      <c r="CF1239" s="168">
        <v>8.5600000000000023</v>
      </c>
      <c r="CG1239" s="161">
        <v>3</v>
      </c>
    </row>
    <row r="1240" spans="1:1873" s="23" customFormat="1" ht="12.75" customHeight="1" x14ac:dyDescent="0.25">
      <c r="A1240" s="263" t="s">
        <v>560</v>
      </c>
      <c r="B1240" s="263" t="s">
        <v>1268</v>
      </c>
      <c r="C1240" s="263" t="s">
        <v>114</v>
      </c>
      <c r="D1240" s="263" t="s">
        <v>1254</v>
      </c>
      <c r="E1240" s="327" t="s">
        <v>882</v>
      </c>
      <c r="F1240" s="263">
        <v>1</v>
      </c>
      <c r="G1240" s="263">
        <v>4</v>
      </c>
      <c r="H1240" s="263">
        <v>4</v>
      </c>
      <c r="I1240" s="257" t="s">
        <v>856</v>
      </c>
      <c r="J1240" s="257">
        <v>1982</v>
      </c>
      <c r="K1240" s="257" t="s">
        <v>1211</v>
      </c>
      <c r="L1240" s="595">
        <v>1985</v>
      </c>
      <c r="M1240" s="261">
        <v>-9999</v>
      </c>
      <c r="N1240" s="257">
        <v>-9999</v>
      </c>
      <c r="O1240" s="29"/>
      <c r="P1240" s="261">
        <v>24.77</v>
      </c>
      <c r="Q1240" s="257">
        <v>-9999</v>
      </c>
      <c r="R1240" s="261"/>
      <c r="S1240" s="257"/>
      <c r="T1240" s="370">
        <v>6.1929999999999996</v>
      </c>
      <c r="U1240" s="257">
        <v>-9999</v>
      </c>
      <c r="V1240" s="257"/>
      <c r="W1240" s="609">
        <f t="shared" si="128"/>
        <v>7.3000000000000007</v>
      </c>
      <c r="X1240" s="257">
        <v>-9999</v>
      </c>
      <c r="Y1240" s="257"/>
      <c r="Z1240" s="257" t="s">
        <v>111</v>
      </c>
      <c r="AA1240" s="605">
        <v>1794</v>
      </c>
      <c r="AB1240" s="261">
        <v>1</v>
      </c>
      <c r="AC1240" s="257">
        <v>10.3</v>
      </c>
      <c r="AD1240" s="602">
        <f t="shared" si="129"/>
        <v>966</v>
      </c>
      <c r="AE1240" s="263" t="s">
        <v>97</v>
      </c>
      <c r="AF1240" s="263">
        <v>6</v>
      </c>
      <c r="AG1240" s="257">
        <v>2</v>
      </c>
      <c r="AH1240" s="257" t="s">
        <v>98</v>
      </c>
      <c r="AI1240" s="257" t="s">
        <v>985</v>
      </c>
      <c r="AJ1240" s="257">
        <v>-9999</v>
      </c>
      <c r="AK1240" s="257" t="s">
        <v>99</v>
      </c>
      <c r="AL1240" s="257" t="s">
        <v>828</v>
      </c>
      <c r="AM1240" s="257">
        <v>-9999</v>
      </c>
      <c r="AN1240" s="257" t="s">
        <v>631</v>
      </c>
      <c r="AO1240" s="257">
        <v>-9999</v>
      </c>
      <c r="AP1240" s="257">
        <v>-9999</v>
      </c>
      <c r="AQ1240" s="257" t="s">
        <v>631</v>
      </c>
      <c r="AR1240" s="257">
        <v>0</v>
      </c>
      <c r="AS1240" s="257">
        <v>-9999</v>
      </c>
      <c r="AT1240" s="257">
        <v>-9999</v>
      </c>
      <c r="AU1240" s="257">
        <v>0</v>
      </c>
      <c r="AV1240" s="257">
        <v>-9999</v>
      </c>
      <c r="AW1240" s="257"/>
      <c r="AX1240" s="257">
        <v>0</v>
      </c>
      <c r="AY1240" s="257">
        <v>-9999</v>
      </c>
      <c r="AZ1240" s="257">
        <v>-9999</v>
      </c>
      <c r="BA1240" s="257" t="s">
        <v>100</v>
      </c>
      <c r="BB1240" s="257" t="s">
        <v>626</v>
      </c>
      <c r="BC1240" s="257" t="s">
        <v>101</v>
      </c>
      <c r="BD1240" s="257" t="s">
        <v>102</v>
      </c>
      <c r="BE1240" s="257" t="s">
        <v>103</v>
      </c>
      <c r="BF1240" s="257" t="s">
        <v>104</v>
      </c>
      <c r="BG1240" s="257" t="s">
        <v>105</v>
      </c>
      <c r="BH1240" s="257" t="s">
        <v>106</v>
      </c>
      <c r="BI1240" s="257">
        <v>-9999</v>
      </c>
      <c r="BJ1240" s="257">
        <v>-9999</v>
      </c>
      <c r="BK1240" s="257">
        <v>-9999</v>
      </c>
      <c r="BL1240" s="602">
        <v>9.4499999999999993</v>
      </c>
      <c r="BM1240" s="257">
        <v>-9999</v>
      </c>
      <c r="BN1240" s="602">
        <v>8.1</v>
      </c>
      <c r="BO1240" s="257">
        <v>-9999</v>
      </c>
      <c r="BP1240" s="257">
        <v>-9999</v>
      </c>
      <c r="BQ1240" s="257">
        <v>-9999</v>
      </c>
      <c r="BR1240" s="257">
        <v>-9999</v>
      </c>
      <c r="BS1240" s="263">
        <v>-9999</v>
      </c>
      <c r="BT1240" s="257">
        <v>-9999</v>
      </c>
      <c r="BU1240" s="257">
        <v>-9999</v>
      </c>
      <c r="BV1240" s="257">
        <v>-9999</v>
      </c>
      <c r="BW1240" s="257"/>
      <c r="BX1240" s="257">
        <v>-9999</v>
      </c>
      <c r="BY1240" s="257">
        <v>-9999</v>
      </c>
      <c r="BZ1240" s="257">
        <v>-9999</v>
      </c>
      <c r="CA1240" s="300" t="s">
        <v>107</v>
      </c>
      <c r="CB1240" s="264" t="s">
        <v>561</v>
      </c>
      <c r="CC1240" s="263">
        <v>1</v>
      </c>
      <c r="CD1240" s="263">
        <v>4</v>
      </c>
      <c r="CE1240" s="292">
        <v>6.1929999999999996</v>
      </c>
      <c r="CF1240" s="292">
        <v>7.9199999999999982</v>
      </c>
      <c r="CG1240" s="44">
        <v>4</v>
      </c>
    </row>
    <row r="1241" spans="1:1873" s="149" customFormat="1" ht="12.75" customHeight="1" x14ac:dyDescent="0.25">
      <c r="A1241" s="263" t="s">
        <v>560</v>
      </c>
      <c r="B1241" s="263" t="s">
        <v>1268</v>
      </c>
      <c r="C1241" s="600" t="s">
        <v>114</v>
      </c>
      <c r="D1241" s="263" t="s">
        <v>1254</v>
      </c>
      <c r="E1241" s="327" t="s">
        <v>882</v>
      </c>
      <c r="F1241" s="600">
        <v>1</v>
      </c>
      <c r="G1241" s="600">
        <v>5</v>
      </c>
      <c r="H1241" s="600">
        <v>5</v>
      </c>
      <c r="I1241" s="257" t="s">
        <v>856</v>
      </c>
      <c r="J1241" s="599">
        <v>1982</v>
      </c>
      <c r="K1241" s="257" t="s">
        <v>1211</v>
      </c>
      <c r="L1241" s="608">
        <v>1986</v>
      </c>
      <c r="M1241" s="261">
        <v>-9999</v>
      </c>
      <c r="N1241" s="257">
        <v>-9999</v>
      </c>
      <c r="O1241" s="29"/>
      <c r="P1241" s="602">
        <v>29.6</v>
      </c>
      <c r="Q1241" s="257">
        <v>-9999</v>
      </c>
      <c r="R1241" s="261"/>
      <c r="S1241" s="257"/>
      <c r="T1241" s="370">
        <v>5.92</v>
      </c>
      <c r="U1241" s="257">
        <v>-9999</v>
      </c>
      <c r="V1241" s="257"/>
      <c r="W1241" s="609">
        <f t="shared" si="128"/>
        <v>4.8300000000000018</v>
      </c>
      <c r="X1241" s="257">
        <v>-9999</v>
      </c>
      <c r="Y1241" s="257"/>
      <c r="Z1241" s="599" t="s">
        <v>111</v>
      </c>
      <c r="AA1241" s="605">
        <v>1794</v>
      </c>
      <c r="AB1241" s="611">
        <v>1</v>
      </c>
      <c r="AC1241" s="257">
        <v>10.3</v>
      </c>
      <c r="AD1241" s="602">
        <f t="shared" si="129"/>
        <v>966</v>
      </c>
      <c r="AE1241" s="263" t="s">
        <v>97</v>
      </c>
      <c r="AF1241" s="600">
        <v>6</v>
      </c>
      <c r="AG1241" s="257">
        <v>2</v>
      </c>
      <c r="AH1241" s="257" t="s">
        <v>98</v>
      </c>
      <c r="AI1241" s="257" t="s">
        <v>985</v>
      </c>
      <c r="AJ1241" s="257">
        <v>-9999</v>
      </c>
      <c r="AK1241" s="257" t="s">
        <v>99</v>
      </c>
      <c r="AL1241" s="257" t="s">
        <v>828</v>
      </c>
      <c r="AM1241" s="257">
        <v>-9999</v>
      </c>
      <c r="AN1241" s="257" t="s">
        <v>631</v>
      </c>
      <c r="AO1241" s="257">
        <v>-9999</v>
      </c>
      <c r="AP1241" s="257">
        <v>-9999</v>
      </c>
      <c r="AQ1241" s="257" t="s">
        <v>631</v>
      </c>
      <c r="AR1241" s="257">
        <v>0</v>
      </c>
      <c r="AS1241" s="257">
        <v>-9999</v>
      </c>
      <c r="AT1241" s="257">
        <v>-9999</v>
      </c>
      <c r="AU1241" s="257">
        <v>0</v>
      </c>
      <c r="AV1241" s="257">
        <v>-9999</v>
      </c>
      <c r="AW1241" s="257"/>
      <c r="AX1241" s="257">
        <v>0</v>
      </c>
      <c r="AY1241" s="257">
        <v>-9999</v>
      </c>
      <c r="AZ1241" s="257">
        <v>-9999</v>
      </c>
      <c r="BA1241" s="257" t="s">
        <v>100</v>
      </c>
      <c r="BB1241" s="257" t="s">
        <v>626</v>
      </c>
      <c r="BC1241" s="257" t="s">
        <v>101</v>
      </c>
      <c r="BD1241" s="257" t="s">
        <v>102</v>
      </c>
      <c r="BE1241" s="257" t="s">
        <v>103</v>
      </c>
      <c r="BF1241" s="257" t="s">
        <v>104</v>
      </c>
      <c r="BG1241" s="257" t="s">
        <v>105</v>
      </c>
      <c r="BH1241" s="257" t="s">
        <v>106</v>
      </c>
      <c r="BI1241" s="257">
        <v>-9999</v>
      </c>
      <c r="BJ1241" s="257">
        <v>-9999</v>
      </c>
      <c r="BK1241" s="257">
        <v>-9999</v>
      </c>
      <c r="BL1241" s="602">
        <v>10</v>
      </c>
      <c r="BM1241" s="257">
        <v>-9999</v>
      </c>
      <c r="BN1241" s="602">
        <v>8.6</v>
      </c>
      <c r="BO1241" s="257">
        <v>-9999</v>
      </c>
      <c r="BP1241" s="257">
        <v>-9999</v>
      </c>
      <c r="BQ1241" s="257">
        <v>-9999</v>
      </c>
      <c r="BR1241" s="257">
        <v>-9999</v>
      </c>
      <c r="BS1241" s="263">
        <v>-9999</v>
      </c>
      <c r="BT1241" s="257">
        <v>-9999</v>
      </c>
      <c r="BU1241" s="257">
        <v>-9999</v>
      </c>
      <c r="BV1241" s="257">
        <v>-9999</v>
      </c>
      <c r="BW1241" s="257"/>
      <c r="BX1241" s="257">
        <v>-9999</v>
      </c>
      <c r="BY1241" s="257">
        <v>-9999</v>
      </c>
      <c r="BZ1241" s="257">
        <v>-9999</v>
      </c>
      <c r="CA1241" s="300" t="s">
        <v>107</v>
      </c>
      <c r="CB1241" s="264" t="s">
        <v>561</v>
      </c>
      <c r="CC1241" s="600">
        <v>1</v>
      </c>
      <c r="CD1241" s="600">
        <v>5</v>
      </c>
      <c r="CE1241" s="168">
        <v>5.92</v>
      </c>
      <c r="CF1241" s="168">
        <v>4.8300000000000018</v>
      </c>
      <c r="CG1241" s="161">
        <v>5</v>
      </c>
    </row>
    <row r="1242" spans="1:1873" s="218" customFormat="1" ht="12.75" customHeight="1" x14ac:dyDescent="0.25">
      <c r="A1242" s="328" t="s">
        <v>560</v>
      </c>
      <c r="B1242" s="263" t="s">
        <v>1268</v>
      </c>
      <c r="C1242" s="600" t="s">
        <v>114</v>
      </c>
      <c r="D1242" s="263" t="s">
        <v>1254</v>
      </c>
      <c r="E1242" s="327" t="s">
        <v>882</v>
      </c>
      <c r="F1242" s="600">
        <v>1</v>
      </c>
      <c r="G1242" s="600">
        <v>6</v>
      </c>
      <c r="H1242" s="600">
        <v>6</v>
      </c>
      <c r="I1242" s="257" t="s">
        <v>856</v>
      </c>
      <c r="J1242" s="599">
        <v>1982</v>
      </c>
      <c r="K1242" s="257" t="s">
        <v>1211</v>
      </c>
      <c r="L1242" s="608">
        <v>1987</v>
      </c>
      <c r="M1242" s="261">
        <v>-9999</v>
      </c>
      <c r="N1242" s="257">
        <v>-9999</v>
      </c>
      <c r="O1242" s="29"/>
      <c r="P1242" s="602">
        <v>40.299999999999997</v>
      </c>
      <c r="Q1242" s="257">
        <v>-9999</v>
      </c>
      <c r="R1242" s="261"/>
      <c r="S1242" s="257"/>
      <c r="T1242" s="370">
        <v>6.7169999999999996</v>
      </c>
      <c r="U1242" s="257">
        <v>-9999</v>
      </c>
      <c r="V1242" s="257"/>
      <c r="W1242" s="609">
        <f t="shared" si="128"/>
        <v>10.699999999999996</v>
      </c>
      <c r="X1242" s="257">
        <v>-9999</v>
      </c>
      <c r="Y1242" s="257"/>
      <c r="Z1242" s="599" t="s">
        <v>111</v>
      </c>
      <c r="AA1242" s="605">
        <v>1794</v>
      </c>
      <c r="AB1242" s="611">
        <v>1</v>
      </c>
      <c r="AC1242" s="257">
        <v>10.3</v>
      </c>
      <c r="AD1242" s="602">
        <f t="shared" si="129"/>
        <v>966</v>
      </c>
      <c r="AE1242" s="263" t="s">
        <v>97</v>
      </c>
      <c r="AF1242" s="600">
        <v>1</v>
      </c>
      <c r="AG1242" s="257">
        <v>2</v>
      </c>
      <c r="AH1242" s="257" t="s">
        <v>98</v>
      </c>
      <c r="AI1242" s="257" t="s">
        <v>985</v>
      </c>
      <c r="AJ1242" s="257">
        <v>-9999</v>
      </c>
      <c r="AK1242" s="257" t="s">
        <v>99</v>
      </c>
      <c r="AL1242" s="257" t="s">
        <v>828</v>
      </c>
      <c r="AM1242" s="257">
        <v>-9999</v>
      </c>
      <c r="AN1242" s="257" t="s">
        <v>631</v>
      </c>
      <c r="AO1242" s="257">
        <v>-9999</v>
      </c>
      <c r="AP1242" s="257">
        <v>-9999</v>
      </c>
      <c r="AQ1242" s="257" t="s">
        <v>631</v>
      </c>
      <c r="AR1242" s="257">
        <v>0</v>
      </c>
      <c r="AS1242" s="257">
        <v>-9999</v>
      </c>
      <c r="AT1242" s="257">
        <v>-9999</v>
      </c>
      <c r="AU1242" s="257">
        <v>0</v>
      </c>
      <c r="AV1242" s="257">
        <v>-9999</v>
      </c>
      <c r="AW1242" s="257"/>
      <c r="AX1242" s="257">
        <v>0</v>
      </c>
      <c r="AY1242" s="257">
        <v>-9999</v>
      </c>
      <c r="AZ1242" s="257">
        <v>-9999</v>
      </c>
      <c r="BA1242" s="257" t="s">
        <v>100</v>
      </c>
      <c r="BB1242" s="257" t="s">
        <v>626</v>
      </c>
      <c r="BC1242" s="257" t="s">
        <v>101</v>
      </c>
      <c r="BD1242" s="257" t="s">
        <v>102</v>
      </c>
      <c r="BE1242" s="257" t="s">
        <v>103</v>
      </c>
      <c r="BF1242" s="257" t="s">
        <v>104</v>
      </c>
      <c r="BG1242" s="257" t="s">
        <v>105</v>
      </c>
      <c r="BH1242" s="257" t="s">
        <v>106</v>
      </c>
      <c r="BI1242" s="257">
        <v>-9999</v>
      </c>
      <c r="BJ1242" s="257">
        <v>-9999</v>
      </c>
      <c r="BK1242" s="257">
        <v>-9999</v>
      </c>
      <c r="BL1242" s="602">
        <v>11.3</v>
      </c>
      <c r="BM1242" s="257">
        <v>-9999</v>
      </c>
      <c r="BN1242" s="602">
        <v>9.6</v>
      </c>
      <c r="BO1242" s="257">
        <v>-9999</v>
      </c>
      <c r="BP1242" s="257">
        <v>-9999</v>
      </c>
      <c r="BQ1242" s="257">
        <v>-9999</v>
      </c>
      <c r="BR1242" s="257">
        <v>-9999</v>
      </c>
      <c r="BS1242" s="263">
        <v>-9999</v>
      </c>
      <c r="BT1242" s="257">
        <v>-9999</v>
      </c>
      <c r="BU1242" s="257">
        <v>-9999</v>
      </c>
      <c r="BV1242" s="257">
        <v>-9999</v>
      </c>
      <c r="BW1242" s="257"/>
      <c r="BX1242" s="257">
        <v>-9999</v>
      </c>
      <c r="BY1242" s="257">
        <v>-9999</v>
      </c>
      <c r="BZ1242" s="257">
        <v>-9999</v>
      </c>
      <c r="CA1242" s="300" t="s">
        <v>107</v>
      </c>
      <c r="CB1242" s="264" t="s">
        <v>561</v>
      </c>
      <c r="CC1242" s="600">
        <v>1</v>
      </c>
      <c r="CD1242" s="600">
        <v>6</v>
      </c>
      <c r="CE1242" s="168">
        <v>6.7169999999999996</v>
      </c>
      <c r="CF1242" s="168">
        <v>10.699999999999996</v>
      </c>
      <c r="CG1242" s="217">
        <v>6</v>
      </c>
      <c r="CH1242" s="301" t="s">
        <v>1757</v>
      </c>
      <c r="CI1242" s="149"/>
      <c r="CJ1242" s="149"/>
      <c r="CK1242" s="149"/>
      <c r="CL1242" s="149"/>
      <c r="CM1242" s="149"/>
      <c r="CN1242" s="149"/>
      <c r="CO1242" s="149"/>
      <c r="CP1242" s="149"/>
      <c r="CQ1242" s="149"/>
      <c r="CR1242" s="149"/>
      <c r="CS1242" s="149"/>
      <c r="CT1242" s="149"/>
      <c r="CU1242" s="149"/>
      <c r="CV1242" s="149"/>
      <c r="CW1242" s="149"/>
      <c r="CX1242" s="149"/>
      <c r="CY1242" s="149"/>
      <c r="CZ1242" s="149"/>
      <c r="DA1242" s="149"/>
      <c r="DB1242" s="149"/>
      <c r="DC1242" s="149"/>
      <c r="DD1242" s="149"/>
      <c r="DE1242" s="149"/>
      <c r="DF1242" s="149"/>
      <c r="DG1242" s="149"/>
      <c r="DH1242" s="149"/>
      <c r="DI1242" s="149"/>
      <c r="DJ1242" s="149"/>
      <c r="DK1242" s="149"/>
      <c r="DL1242" s="149"/>
      <c r="DM1242" s="149"/>
      <c r="DN1242" s="149"/>
      <c r="DO1242" s="149"/>
      <c r="DP1242" s="149"/>
      <c r="DQ1242" s="149"/>
      <c r="DR1242" s="149"/>
      <c r="DS1242" s="149"/>
      <c r="DT1242" s="149"/>
      <c r="DU1242" s="149"/>
      <c r="DV1242" s="149"/>
      <c r="DW1242" s="149"/>
      <c r="DX1242" s="149"/>
      <c r="DY1242" s="149"/>
      <c r="DZ1242" s="149"/>
      <c r="EA1242" s="149"/>
      <c r="EB1242" s="149"/>
      <c r="EC1242" s="149"/>
      <c r="ED1242" s="149"/>
      <c r="EE1242" s="149"/>
      <c r="EF1242" s="149"/>
      <c r="EG1242" s="149"/>
      <c r="EH1242" s="149"/>
      <c r="EI1242" s="149"/>
      <c r="EJ1242" s="149"/>
      <c r="EK1242" s="149"/>
      <c r="EL1242" s="149"/>
      <c r="EM1242" s="149"/>
      <c r="EN1242" s="149"/>
      <c r="EO1242" s="149"/>
      <c r="EP1242" s="149"/>
      <c r="EQ1242" s="149"/>
      <c r="ER1242" s="149"/>
      <c r="ES1242" s="149"/>
      <c r="ET1242" s="149"/>
      <c r="EU1242" s="149"/>
      <c r="EV1242" s="149"/>
      <c r="EW1242" s="149"/>
      <c r="EX1242" s="149"/>
      <c r="EY1242" s="149"/>
      <c r="EZ1242" s="149"/>
      <c r="FA1242" s="149"/>
      <c r="FB1242" s="149"/>
      <c r="FC1242" s="149"/>
      <c r="FD1242" s="149"/>
      <c r="FE1242" s="149"/>
      <c r="FF1242" s="149"/>
      <c r="FG1242" s="149"/>
      <c r="FH1242" s="149"/>
      <c r="FI1242" s="149"/>
      <c r="FJ1242" s="149"/>
      <c r="FK1242" s="149"/>
      <c r="FL1242" s="149"/>
      <c r="FM1242" s="149"/>
      <c r="FN1242" s="149"/>
      <c r="FO1242" s="149"/>
      <c r="FP1242" s="149"/>
      <c r="FQ1242" s="149"/>
      <c r="FR1242" s="149"/>
      <c r="FS1242" s="149"/>
      <c r="FT1242" s="149"/>
      <c r="FU1242" s="149"/>
      <c r="FV1242" s="149"/>
      <c r="FW1242" s="149"/>
      <c r="FX1242" s="149"/>
      <c r="FY1242" s="149"/>
      <c r="FZ1242" s="149"/>
      <c r="GA1242" s="149"/>
      <c r="GB1242" s="149"/>
      <c r="GC1242" s="149"/>
      <c r="GD1242" s="149"/>
      <c r="GE1242" s="149"/>
      <c r="GF1242" s="149"/>
      <c r="GG1242" s="149"/>
      <c r="GH1242" s="149"/>
      <c r="GI1242" s="149"/>
      <c r="GJ1242" s="149"/>
      <c r="GK1242" s="149"/>
      <c r="GL1242" s="149"/>
      <c r="GM1242" s="149"/>
      <c r="GN1242" s="149"/>
      <c r="GO1242" s="149"/>
      <c r="GP1242" s="149"/>
      <c r="GQ1242" s="149"/>
      <c r="GR1242" s="149"/>
      <c r="GS1242" s="149"/>
      <c r="GT1242" s="149"/>
      <c r="GU1242" s="149"/>
      <c r="GV1242" s="149"/>
      <c r="GW1242" s="149"/>
      <c r="GX1242" s="149"/>
      <c r="GY1242" s="149"/>
      <c r="GZ1242" s="149"/>
      <c r="HA1242" s="149"/>
      <c r="HB1242" s="149"/>
      <c r="HC1242" s="149"/>
      <c r="HD1242" s="149"/>
      <c r="HE1242" s="149"/>
      <c r="HF1242" s="149"/>
      <c r="HG1242" s="149"/>
      <c r="HH1242" s="149"/>
      <c r="HI1242" s="149"/>
      <c r="HJ1242" s="149"/>
      <c r="HK1242" s="149"/>
      <c r="HL1242" s="149"/>
      <c r="HM1242" s="149"/>
      <c r="HN1242" s="149"/>
      <c r="HO1242" s="149"/>
      <c r="HP1242" s="149"/>
      <c r="HQ1242" s="149"/>
      <c r="HR1242" s="149"/>
      <c r="HS1242" s="149"/>
      <c r="HT1242" s="149"/>
      <c r="HU1242" s="149"/>
      <c r="HV1242" s="149"/>
      <c r="HW1242" s="149"/>
      <c r="HX1242" s="149"/>
      <c r="HY1242" s="149"/>
      <c r="HZ1242" s="149"/>
      <c r="IA1242" s="149"/>
      <c r="IB1242" s="149"/>
      <c r="IC1242" s="149"/>
      <c r="ID1242" s="149"/>
      <c r="IE1242" s="149"/>
      <c r="IF1242" s="149"/>
      <c r="IG1242" s="149"/>
      <c r="IH1242" s="149"/>
      <c r="II1242" s="149"/>
      <c r="IJ1242" s="149"/>
      <c r="IK1242" s="149"/>
      <c r="IL1242" s="149"/>
      <c r="IM1242" s="149"/>
      <c r="IN1242" s="149"/>
      <c r="IO1242" s="149"/>
      <c r="IP1242" s="149"/>
      <c r="IQ1242" s="149"/>
      <c r="IR1242" s="149"/>
      <c r="IS1242" s="149"/>
      <c r="IT1242" s="149"/>
      <c r="IU1242" s="149"/>
      <c r="IV1242" s="149"/>
      <c r="IW1242" s="149"/>
      <c r="IX1242" s="149"/>
      <c r="IY1242" s="149"/>
      <c r="IZ1242" s="149"/>
      <c r="JA1242" s="149"/>
      <c r="JB1242" s="149"/>
      <c r="JC1242" s="149"/>
      <c r="JD1242" s="149"/>
      <c r="JE1242" s="149"/>
      <c r="JF1242" s="149"/>
      <c r="JG1242" s="149"/>
      <c r="JH1242" s="149"/>
      <c r="JI1242" s="149"/>
      <c r="JJ1242" s="149"/>
      <c r="JK1242" s="149"/>
      <c r="JL1242" s="149"/>
      <c r="JM1242" s="149"/>
      <c r="JN1242" s="149"/>
      <c r="JO1242" s="149"/>
      <c r="JP1242" s="149"/>
      <c r="JQ1242" s="149"/>
      <c r="JR1242" s="149"/>
      <c r="JS1242" s="149"/>
      <c r="JT1242" s="149"/>
      <c r="JU1242" s="149"/>
      <c r="JV1242" s="149"/>
      <c r="JW1242" s="149"/>
      <c r="JX1242" s="149"/>
      <c r="JY1242" s="149"/>
      <c r="JZ1242" s="149"/>
      <c r="KA1242" s="149"/>
      <c r="KB1242" s="149"/>
      <c r="KC1242" s="149"/>
      <c r="KD1242" s="149"/>
      <c r="KE1242" s="149"/>
      <c r="KF1242" s="149"/>
      <c r="KG1242" s="149"/>
      <c r="KH1242" s="149"/>
      <c r="KI1242" s="149"/>
      <c r="KJ1242" s="149"/>
      <c r="KK1242" s="149"/>
      <c r="KL1242" s="149"/>
      <c r="KM1242" s="149"/>
      <c r="KN1242" s="149"/>
      <c r="KO1242" s="149"/>
      <c r="KP1242" s="149"/>
      <c r="KQ1242" s="149"/>
      <c r="KR1242" s="149"/>
      <c r="KS1242" s="149"/>
      <c r="KT1242" s="149"/>
      <c r="KU1242" s="149"/>
      <c r="KV1242" s="149"/>
      <c r="KW1242" s="149"/>
      <c r="KX1242" s="149"/>
      <c r="KY1242" s="149"/>
      <c r="KZ1242" s="149"/>
      <c r="LA1242" s="149"/>
      <c r="LB1242" s="149"/>
      <c r="LC1242" s="149"/>
      <c r="LD1242" s="149"/>
      <c r="LE1242" s="149"/>
      <c r="LF1242" s="149"/>
      <c r="LG1242" s="149"/>
      <c r="LH1242" s="149"/>
      <c r="LI1242" s="149"/>
      <c r="LJ1242" s="149"/>
      <c r="LK1242" s="149"/>
      <c r="LL1242" s="149"/>
      <c r="LM1242" s="149"/>
      <c r="LN1242" s="149"/>
      <c r="LO1242" s="149"/>
      <c r="LP1242" s="149"/>
      <c r="LQ1242" s="149"/>
      <c r="LR1242" s="149"/>
      <c r="LS1242" s="149"/>
      <c r="LT1242" s="149"/>
      <c r="LU1242" s="149"/>
      <c r="LV1242" s="149"/>
      <c r="LW1242" s="149"/>
      <c r="LX1242" s="149"/>
      <c r="LY1242" s="149"/>
      <c r="LZ1242" s="149"/>
      <c r="MA1242" s="149"/>
      <c r="MB1242" s="149"/>
      <c r="MC1242" s="149"/>
      <c r="MD1242" s="149"/>
      <c r="ME1242" s="149"/>
      <c r="MF1242" s="149"/>
      <c r="MG1242" s="149"/>
      <c r="MH1242" s="149"/>
      <c r="MI1242" s="149"/>
      <c r="MJ1242" s="149"/>
      <c r="MK1242" s="149"/>
      <c r="ML1242" s="149"/>
      <c r="MM1242" s="149"/>
      <c r="MN1242" s="149"/>
      <c r="MO1242" s="149"/>
      <c r="MP1242" s="149"/>
      <c r="MQ1242" s="149"/>
      <c r="MR1242" s="149"/>
      <c r="MS1242" s="149"/>
      <c r="MT1242" s="149"/>
      <c r="MU1242" s="149"/>
      <c r="MV1242" s="149"/>
      <c r="MW1242" s="149"/>
      <c r="MX1242" s="149"/>
      <c r="MY1242" s="149"/>
      <c r="MZ1242" s="149"/>
      <c r="NA1242" s="149"/>
      <c r="NB1242" s="149"/>
      <c r="NC1242" s="149"/>
      <c r="ND1242" s="149"/>
      <c r="NE1242" s="149"/>
      <c r="NF1242" s="149"/>
      <c r="NG1242" s="149"/>
      <c r="NH1242" s="149"/>
      <c r="NI1242" s="149"/>
      <c r="NJ1242" s="149"/>
      <c r="NK1242" s="149"/>
      <c r="NL1242" s="149"/>
      <c r="NM1242" s="149"/>
      <c r="NN1242" s="149"/>
      <c r="NO1242" s="149"/>
      <c r="NP1242" s="149"/>
      <c r="NQ1242" s="149"/>
      <c r="NR1242" s="149"/>
      <c r="NS1242" s="149"/>
      <c r="NT1242" s="149"/>
      <c r="NU1242" s="149"/>
      <c r="NV1242" s="149"/>
      <c r="NW1242" s="149"/>
      <c r="NX1242" s="149"/>
      <c r="NY1242" s="149"/>
      <c r="NZ1242" s="149"/>
      <c r="OA1242" s="149"/>
      <c r="OB1242" s="149"/>
      <c r="OC1242" s="149"/>
      <c r="OD1242" s="149"/>
      <c r="OE1242" s="149"/>
      <c r="OF1242" s="149"/>
      <c r="OG1242" s="149"/>
      <c r="OH1242" s="149"/>
      <c r="OI1242" s="149"/>
      <c r="OJ1242" s="149"/>
      <c r="OK1242" s="149"/>
      <c r="OL1242" s="149"/>
      <c r="OM1242" s="149"/>
      <c r="ON1242" s="149"/>
      <c r="OO1242" s="149"/>
      <c r="OP1242" s="149"/>
      <c r="OQ1242" s="149"/>
      <c r="OR1242" s="149"/>
      <c r="OS1242" s="149"/>
      <c r="OT1242" s="149"/>
      <c r="OU1242" s="149"/>
      <c r="OV1242" s="149"/>
      <c r="OW1242" s="149"/>
      <c r="OX1242" s="149"/>
      <c r="OY1242" s="149"/>
      <c r="OZ1242" s="149"/>
      <c r="PA1242" s="149"/>
      <c r="PB1242" s="149"/>
      <c r="PC1242" s="149"/>
      <c r="PD1242" s="149"/>
      <c r="PE1242" s="149"/>
      <c r="PF1242" s="149"/>
      <c r="PG1242" s="149"/>
      <c r="PH1242" s="149"/>
      <c r="PI1242" s="149"/>
      <c r="PJ1242" s="149"/>
      <c r="PK1242" s="149"/>
      <c r="PL1242" s="149"/>
      <c r="PM1242" s="149"/>
      <c r="PN1242" s="149"/>
      <c r="PO1242" s="149"/>
      <c r="PP1242" s="149"/>
      <c r="PQ1242" s="149"/>
      <c r="PR1242" s="149"/>
      <c r="PS1242" s="149"/>
      <c r="PT1242" s="149"/>
      <c r="PU1242" s="149"/>
      <c r="PV1242" s="149"/>
      <c r="PW1242" s="149"/>
      <c r="PX1242" s="149"/>
      <c r="PY1242" s="149"/>
      <c r="PZ1242" s="149"/>
      <c r="QA1242" s="149"/>
      <c r="QB1242" s="149"/>
      <c r="QC1242" s="149"/>
      <c r="QD1242" s="149"/>
      <c r="QE1242" s="149"/>
      <c r="QF1242" s="149"/>
      <c r="QG1242" s="149"/>
      <c r="QH1242" s="149"/>
      <c r="QI1242" s="149"/>
      <c r="QJ1242" s="149"/>
      <c r="QK1242" s="149"/>
      <c r="QL1242" s="149"/>
      <c r="QM1242" s="149"/>
      <c r="QN1242" s="149"/>
      <c r="QO1242" s="149"/>
      <c r="QP1242" s="149"/>
      <c r="QQ1242" s="149"/>
      <c r="QR1242" s="149"/>
      <c r="QS1242" s="149"/>
      <c r="QT1242" s="149"/>
      <c r="QU1242" s="149"/>
      <c r="QV1242" s="149"/>
      <c r="QW1242" s="149"/>
      <c r="QX1242" s="149"/>
      <c r="QY1242" s="149"/>
      <c r="QZ1242" s="149"/>
      <c r="RA1242" s="149"/>
      <c r="RB1242" s="149"/>
      <c r="RC1242" s="149"/>
      <c r="RD1242" s="149"/>
      <c r="RE1242" s="149"/>
      <c r="RF1242" s="149"/>
      <c r="RG1242" s="149"/>
      <c r="RH1242" s="149"/>
      <c r="RI1242" s="149"/>
      <c r="RJ1242" s="149"/>
      <c r="RK1242" s="149"/>
      <c r="RL1242" s="149"/>
      <c r="RM1242" s="149"/>
      <c r="RN1242" s="149"/>
      <c r="RO1242" s="149"/>
      <c r="RP1242" s="149"/>
      <c r="RQ1242" s="149"/>
      <c r="RR1242" s="149"/>
      <c r="RS1242" s="149"/>
      <c r="RT1242" s="149"/>
      <c r="RU1242" s="149"/>
      <c r="RV1242" s="149"/>
      <c r="RW1242" s="149"/>
      <c r="RX1242" s="149"/>
      <c r="RY1242" s="149"/>
      <c r="RZ1242" s="149"/>
      <c r="SA1242" s="149"/>
      <c r="SB1242" s="149"/>
      <c r="SC1242" s="149"/>
      <c r="SD1242" s="149"/>
      <c r="SE1242" s="149"/>
      <c r="SF1242" s="149"/>
      <c r="SG1242" s="149"/>
      <c r="SH1242" s="149"/>
      <c r="SI1242" s="149"/>
      <c r="SJ1242" s="149"/>
      <c r="SK1242" s="149"/>
      <c r="SL1242" s="149"/>
      <c r="SM1242" s="149"/>
      <c r="SN1242" s="149"/>
      <c r="SO1242" s="149"/>
      <c r="SP1242" s="149"/>
      <c r="SQ1242" s="149"/>
      <c r="SR1242" s="149"/>
      <c r="SS1242" s="149"/>
      <c r="ST1242" s="149"/>
      <c r="SU1242" s="149"/>
      <c r="SV1242" s="149"/>
      <c r="SW1242" s="149"/>
      <c r="SX1242" s="149"/>
      <c r="SY1242" s="149"/>
      <c r="SZ1242" s="149"/>
      <c r="TA1242" s="149"/>
      <c r="TB1242" s="149"/>
      <c r="TC1242" s="149"/>
      <c r="TD1242" s="149"/>
      <c r="TE1242" s="149"/>
      <c r="TF1242" s="149"/>
      <c r="TG1242" s="149"/>
      <c r="TH1242" s="149"/>
      <c r="TI1242" s="149"/>
      <c r="TJ1242" s="149"/>
      <c r="TK1242" s="149"/>
      <c r="TL1242" s="149"/>
      <c r="TM1242" s="149"/>
      <c r="TN1242" s="149"/>
      <c r="TO1242" s="149"/>
      <c r="TP1242" s="149"/>
      <c r="TQ1242" s="149"/>
      <c r="TR1242" s="149"/>
      <c r="TS1242" s="149"/>
      <c r="TT1242" s="149"/>
      <c r="TU1242" s="149"/>
      <c r="TV1242" s="149"/>
      <c r="TW1242" s="149"/>
      <c r="TX1242" s="149"/>
      <c r="TY1242" s="149"/>
      <c r="TZ1242" s="149"/>
      <c r="UA1242" s="149"/>
      <c r="UB1242" s="149"/>
      <c r="UC1242" s="149"/>
      <c r="UD1242" s="149"/>
      <c r="UE1242" s="149"/>
      <c r="UF1242" s="149"/>
      <c r="UG1242" s="149"/>
      <c r="UH1242" s="149"/>
      <c r="UI1242" s="149"/>
      <c r="UJ1242" s="149"/>
      <c r="UK1242" s="149"/>
      <c r="UL1242" s="149"/>
      <c r="UM1242" s="149"/>
      <c r="UN1242" s="149"/>
      <c r="UO1242" s="149"/>
      <c r="UP1242" s="149"/>
      <c r="UQ1242" s="149"/>
      <c r="UR1242" s="149"/>
      <c r="US1242" s="149"/>
      <c r="UT1242" s="149"/>
      <c r="UU1242" s="149"/>
      <c r="UV1242" s="149"/>
      <c r="UW1242" s="149"/>
      <c r="UX1242" s="149"/>
      <c r="UY1242" s="149"/>
      <c r="UZ1242" s="149"/>
      <c r="VA1242" s="149"/>
      <c r="VB1242" s="149"/>
      <c r="VC1242" s="149"/>
      <c r="VD1242" s="149"/>
      <c r="VE1242" s="149"/>
      <c r="VF1242" s="149"/>
      <c r="VG1242" s="149"/>
      <c r="VH1242" s="149"/>
      <c r="VI1242" s="149"/>
      <c r="VJ1242" s="149"/>
      <c r="VK1242" s="149"/>
      <c r="VL1242" s="149"/>
      <c r="VM1242" s="149"/>
      <c r="VN1242" s="149"/>
      <c r="VO1242" s="149"/>
      <c r="VP1242" s="149"/>
      <c r="VQ1242" s="149"/>
      <c r="VR1242" s="149"/>
      <c r="VS1242" s="149"/>
      <c r="VT1242" s="149"/>
      <c r="VU1242" s="149"/>
      <c r="VV1242" s="149"/>
      <c r="VW1242" s="149"/>
      <c r="VX1242" s="149"/>
      <c r="VY1242" s="149"/>
      <c r="VZ1242" s="149"/>
      <c r="WA1242" s="149"/>
      <c r="WB1242" s="149"/>
      <c r="WC1242" s="149"/>
      <c r="WD1242" s="149"/>
      <c r="WE1242" s="149"/>
      <c r="WF1242" s="149"/>
      <c r="WG1242" s="149"/>
      <c r="WH1242" s="149"/>
      <c r="WI1242" s="149"/>
      <c r="WJ1242" s="149"/>
      <c r="WK1242" s="149"/>
      <c r="WL1242" s="149"/>
      <c r="WM1242" s="149"/>
      <c r="WN1242" s="149"/>
      <c r="WO1242" s="149"/>
      <c r="WP1242" s="149"/>
      <c r="WQ1242" s="149"/>
      <c r="WR1242" s="149"/>
      <c r="WS1242" s="149"/>
      <c r="WT1242" s="149"/>
      <c r="WU1242" s="149"/>
      <c r="WV1242" s="149"/>
      <c r="WW1242" s="149"/>
      <c r="WX1242" s="149"/>
      <c r="WY1242" s="149"/>
      <c r="WZ1242" s="149"/>
      <c r="XA1242" s="149"/>
      <c r="XB1242" s="149"/>
      <c r="XC1242" s="149"/>
      <c r="XD1242" s="149"/>
      <c r="XE1242" s="149"/>
      <c r="XF1242" s="149"/>
      <c r="XG1242" s="149"/>
      <c r="XH1242" s="149"/>
      <c r="XI1242" s="149"/>
      <c r="XJ1242" s="149"/>
      <c r="XK1242" s="149"/>
      <c r="XL1242" s="149"/>
      <c r="XM1242" s="149"/>
      <c r="XN1242" s="149"/>
      <c r="XO1242" s="149"/>
      <c r="XP1242" s="149"/>
      <c r="XQ1242" s="149"/>
      <c r="XR1242" s="149"/>
      <c r="XS1242" s="149"/>
      <c r="XT1242" s="149"/>
      <c r="XU1242" s="149"/>
      <c r="XV1242" s="149"/>
      <c r="XW1242" s="149"/>
      <c r="XX1242" s="149"/>
      <c r="XY1242" s="149"/>
      <c r="XZ1242" s="149"/>
      <c r="YA1242" s="149"/>
      <c r="YB1242" s="149"/>
      <c r="YC1242" s="149"/>
      <c r="YD1242" s="149"/>
      <c r="YE1242" s="149"/>
      <c r="YF1242" s="149"/>
      <c r="YG1242" s="149"/>
      <c r="YH1242" s="149"/>
      <c r="YI1242" s="149"/>
      <c r="YJ1242" s="149"/>
      <c r="YK1242" s="149"/>
      <c r="YL1242" s="149"/>
      <c r="YM1242" s="149"/>
      <c r="YN1242" s="149"/>
      <c r="YO1242" s="149"/>
      <c r="YP1242" s="149"/>
      <c r="YQ1242" s="149"/>
      <c r="YR1242" s="149"/>
      <c r="YS1242" s="149"/>
      <c r="YT1242" s="149"/>
      <c r="YU1242" s="149"/>
      <c r="YV1242" s="149"/>
      <c r="YW1242" s="149"/>
      <c r="YX1242" s="149"/>
      <c r="YY1242" s="149"/>
      <c r="YZ1242" s="149"/>
      <c r="ZA1242" s="149"/>
      <c r="ZB1242" s="149"/>
      <c r="ZC1242" s="149"/>
      <c r="ZD1242" s="149"/>
      <c r="ZE1242" s="149"/>
      <c r="ZF1242" s="149"/>
      <c r="ZG1242" s="149"/>
      <c r="ZH1242" s="149"/>
      <c r="ZI1242" s="149"/>
      <c r="ZJ1242" s="149"/>
      <c r="ZK1242" s="149"/>
      <c r="ZL1242" s="149"/>
      <c r="ZM1242" s="149"/>
      <c r="ZN1242" s="149"/>
      <c r="ZO1242" s="149"/>
      <c r="ZP1242" s="149"/>
      <c r="ZQ1242" s="149"/>
      <c r="ZR1242" s="149"/>
      <c r="ZS1242" s="149"/>
      <c r="ZT1242" s="149"/>
      <c r="ZU1242" s="149"/>
      <c r="ZV1242" s="149"/>
      <c r="ZW1242" s="149"/>
      <c r="ZX1242" s="149"/>
      <c r="ZY1242" s="149"/>
      <c r="ZZ1242" s="149"/>
      <c r="AAA1242" s="149"/>
      <c r="AAB1242" s="149"/>
      <c r="AAC1242" s="149"/>
      <c r="AAD1242" s="149"/>
      <c r="AAE1242" s="149"/>
      <c r="AAF1242" s="149"/>
      <c r="AAG1242" s="149"/>
      <c r="AAH1242" s="149"/>
      <c r="AAI1242" s="149"/>
      <c r="AAJ1242" s="149"/>
      <c r="AAK1242" s="149"/>
      <c r="AAL1242" s="149"/>
      <c r="AAM1242" s="149"/>
      <c r="AAN1242" s="149"/>
      <c r="AAO1242" s="149"/>
      <c r="AAP1242" s="149"/>
      <c r="AAQ1242" s="149"/>
      <c r="AAR1242" s="149"/>
      <c r="AAS1242" s="149"/>
      <c r="AAT1242" s="149"/>
      <c r="AAU1242" s="149"/>
      <c r="AAV1242" s="149"/>
      <c r="AAW1242" s="149"/>
      <c r="AAX1242" s="149"/>
      <c r="AAY1242" s="149"/>
      <c r="AAZ1242" s="149"/>
      <c r="ABA1242" s="149"/>
      <c r="ABB1242" s="149"/>
      <c r="ABC1242" s="149"/>
      <c r="ABD1242" s="149"/>
      <c r="ABE1242" s="149"/>
      <c r="ABF1242" s="149"/>
      <c r="ABG1242" s="149"/>
      <c r="ABH1242" s="149"/>
      <c r="ABI1242" s="149"/>
      <c r="ABJ1242" s="149"/>
      <c r="ABK1242" s="149"/>
      <c r="ABL1242" s="149"/>
      <c r="ABM1242" s="149"/>
      <c r="ABN1242" s="149"/>
      <c r="ABO1242" s="149"/>
      <c r="ABP1242" s="149"/>
      <c r="ABQ1242" s="149"/>
      <c r="ABR1242" s="149"/>
      <c r="ABS1242" s="149"/>
      <c r="ABT1242" s="149"/>
      <c r="ABU1242" s="149"/>
      <c r="ABV1242" s="149"/>
      <c r="ABW1242" s="149"/>
      <c r="ABX1242" s="149"/>
      <c r="ABY1242" s="149"/>
      <c r="ABZ1242" s="149"/>
      <c r="ACA1242" s="149"/>
      <c r="ACB1242" s="149"/>
      <c r="ACC1242" s="149"/>
      <c r="ACD1242" s="149"/>
      <c r="ACE1242" s="149"/>
      <c r="ACF1242" s="149"/>
      <c r="ACG1242" s="149"/>
      <c r="ACH1242" s="149"/>
      <c r="ACI1242" s="149"/>
      <c r="ACJ1242" s="149"/>
      <c r="ACK1242" s="149"/>
      <c r="ACL1242" s="149"/>
      <c r="ACM1242" s="149"/>
      <c r="ACN1242" s="149"/>
      <c r="ACO1242" s="149"/>
      <c r="ACP1242" s="149"/>
      <c r="ACQ1242" s="149"/>
      <c r="ACR1242" s="149"/>
      <c r="ACS1242" s="149"/>
      <c r="ACT1242" s="149"/>
      <c r="ACU1242" s="149"/>
      <c r="ACV1242" s="149"/>
      <c r="ACW1242" s="149"/>
      <c r="ACX1242" s="149"/>
      <c r="ACY1242" s="149"/>
      <c r="ACZ1242" s="149"/>
      <c r="ADA1242" s="149"/>
      <c r="ADB1242" s="149"/>
      <c r="ADC1242" s="149"/>
      <c r="ADD1242" s="149"/>
      <c r="ADE1242" s="149"/>
      <c r="ADF1242" s="149"/>
      <c r="ADG1242" s="149"/>
      <c r="ADH1242" s="149"/>
      <c r="ADI1242" s="149"/>
      <c r="ADJ1242" s="149"/>
      <c r="ADK1242" s="149"/>
      <c r="ADL1242" s="149"/>
      <c r="ADM1242" s="149"/>
      <c r="ADN1242" s="149"/>
      <c r="ADO1242" s="149"/>
      <c r="ADP1242" s="149"/>
      <c r="ADQ1242" s="149"/>
      <c r="ADR1242" s="149"/>
      <c r="ADS1242" s="149"/>
      <c r="ADT1242" s="149"/>
      <c r="ADU1242" s="149"/>
      <c r="ADV1242" s="149"/>
      <c r="ADW1242" s="149"/>
      <c r="ADX1242" s="149"/>
      <c r="ADY1242" s="149"/>
      <c r="ADZ1242" s="149"/>
      <c r="AEA1242" s="149"/>
      <c r="AEB1242" s="149"/>
      <c r="AEC1242" s="149"/>
      <c r="AED1242" s="149"/>
      <c r="AEE1242" s="149"/>
      <c r="AEF1242" s="149"/>
      <c r="AEG1242" s="149"/>
      <c r="AEH1242" s="149"/>
      <c r="AEI1242" s="149"/>
      <c r="AEJ1242" s="149"/>
      <c r="AEK1242" s="149"/>
      <c r="AEL1242" s="149"/>
      <c r="AEM1242" s="149"/>
      <c r="AEN1242" s="149"/>
      <c r="AEO1242" s="149"/>
      <c r="AEP1242" s="149"/>
      <c r="AEQ1242" s="149"/>
      <c r="AER1242" s="149"/>
      <c r="AES1242" s="149"/>
      <c r="AET1242" s="149"/>
      <c r="AEU1242" s="149"/>
      <c r="AEV1242" s="149"/>
      <c r="AEW1242" s="149"/>
      <c r="AEX1242" s="149"/>
      <c r="AEY1242" s="149"/>
      <c r="AEZ1242" s="149"/>
      <c r="AFA1242" s="149"/>
      <c r="AFB1242" s="149"/>
      <c r="AFC1242" s="149"/>
      <c r="AFD1242" s="149"/>
      <c r="AFE1242" s="149"/>
      <c r="AFF1242" s="149"/>
      <c r="AFG1242" s="149"/>
      <c r="AFH1242" s="149"/>
      <c r="AFI1242" s="149"/>
      <c r="AFJ1242" s="149"/>
      <c r="AFK1242" s="149"/>
      <c r="AFL1242" s="149"/>
      <c r="AFM1242" s="149"/>
      <c r="AFN1242" s="149"/>
      <c r="AFO1242" s="149"/>
      <c r="AFP1242" s="149"/>
      <c r="AFQ1242" s="149"/>
      <c r="AFR1242" s="149"/>
      <c r="AFS1242" s="149"/>
      <c r="AFT1242" s="149"/>
      <c r="AFU1242" s="149"/>
      <c r="AFV1242" s="149"/>
      <c r="AFW1242" s="149"/>
      <c r="AFX1242" s="149"/>
      <c r="AFY1242" s="149"/>
      <c r="AFZ1242" s="149"/>
      <c r="AGA1242" s="149"/>
      <c r="AGB1242" s="149"/>
      <c r="AGC1242" s="149"/>
      <c r="AGD1242" s="149"/>
      <c r="AGE1242" s="149"/>
      <c r="AGF1242" s="149"/>
      <c r="AGG1242" s="149"/>
      <c r="AGH1242" s="149"/>
      <c r="AGI1242" s="149"/>
      <c r="AGJ1242" s="149"/>
      <c r="AGK1242" s="149"/>
      <c r="AGL1242" s="149"/>
      <c r="AGM1242" s="149"/>
      <c r="AGN1242" s="149"/>
      <c r="AGO1242" s="149"/>
      <c r="AGP1242" s="149"/>
      <c r="AGQ1242" s="149"/>
      <c r="AGR1242" s="149"/>
      <c r="AGS1242" s="149"/>
      <c r="AGT1242" s="149"/>
      <c r="AGU1242" s="149"/>
      <c r="AGV1242" s="149"/>
      <c r="AGW1242" s="149"/>
      <c r="AGX1242" s="149"/>
      <c r="AGY1242" s="149"/>
      <c r="AGZ1242" s="149"/>
      <c r="AHA1242" s="149"/>
      <c r="AHB1242" s="149"/>
      <c r="AHC1242" s="149"/>
      <c r="AHD1242" s="149"/>
      <c r="AHE1242" s="149"/>
      <c r="AHF1242" s="149"/>
      <c r="AHG1242" s="149"/>
      <c r="AHH1242" s="149"/>
      <c r="AHI1242" s="149"/>
      <c r="AHJ1242" s="149"/>
      <c r="AHK1242" s="149"/>
      <c r="AHL1242" s="149"/>
      <c r="AHM1242" s="149"/>
      <c r="AHN1242" s="149"/>
      <c r="AHO1242" s="149"/>
      <c r="AHP1242" s="149"/>
      <c r="AHQ1242" s="149"/>
      <c r="AHR1242" s="149"/>
      <c r="AHS1242" s="149"/>
      <c r="AHT1242" s="149"/>
      <c r="AHU1242" s="149"/>
      <c r="AHV1242" s="149"/>
      <c r="AHW1242" s="149"/>
      <c r="AHX1242" s="149"/>
      <c r="AHY1242" s="149"/>
      <c r="AHZ1242" s="149"/>
      <c r="AIA1242" s="149"/>
      <c r="AIB1242" s="149"/>
      <c r="AIC1242" s="149"/>
      <c r="AID1242" s="149"/>
      <c r="AIE1242" s="149"/>
      <c r="AIF1242" s="149"/>
      <c r="AIG1242" s="149"/>
      <c r="AIH1242" s="149"/>
      <c r="AII1242" s="149"/>
      <c r="AIJ1242" s="149"/>
      <c r="AIK1242" s="149"/>
      <c r="AIL1242" s="149"/>
      <c r="AIM1242" s="149"/>
      <c r="AIN1242" s="149"/>
      <c r="AIO1242" s="149"/>
      <c r="AIP1242" s="149"/>
      <c r="AIQ1242" s="149"/>
      <c r="AIR1242" s="149"/>
      <c r="AIS1242" s="149"/>
      <c r="AIT1242" s="149"/>
      <c r="AIU1242" s="149"/>
      <c r="AIV1242" s="149"/>
      <c r="AIW1242" s="149"/>
      <c r="AIX1242" s="149"/>
      <c r="AIY1242" s="149"/>
      <c r="AIZ1242" s="149"/>
      <c r="AJA1242" s="149"/>
      <c r="AJB1242" s="149"/>
      <c r="AJC1242" s="149"/>
      <c r="AJD1242" s="149"/>
      <c r="AJE1242" s="149"/>
      <c r="AJF1242" s="149"/>
      <c r="AJG1242" s="149"/>
      <c r="AJH1242" s="149"/>
      <c r="AJI1242" s="149"/>
      <c r="AJJ1242" s="149"/>
      <c r="AJK1242" s="149"/>
      <c r="AJL1242" s="149"/>
      <c r="AJM1242" s="149"/>
      <c r="AJN1242" s="149"/>
      <c r="AJO1242" s="149"/>
      <c r="AJP1242" s="149"/>
      <c r="AJQ1242" s="149"/>
      <c r="AJR1242" s="149"/>
      <c r="AJS1242" s="149"/>
      <c r="AJT1242" s="149"/>
      <c r="AJU1242" s="149"/>
      <c r="AJV1242" s="149"/>
      <c r="AJW1242" s="149"/>
      <c r="AJX1242" s="149"/>
      <c r="AJY1242" s="149"/>
      <c r="AJZ1242" s="149"/>
      <c r="AKA1242" s="149"/>
      <c r="AKB1242" s="149"/>
      <c r="AKC1242" s="149"/>
      <c r="AKD1242" s="149"/>
      <c r="AKE1242" s="149"/>
      <c r="AKF1242" s="149"/>
      <c r="AKG1242" s="149"/>
      <c r="AKH1242" s="149"/>
      <c r="AKI1242" s="149"/>
      <c r="AKJ1242" s="149"/>
      <c r="AKK1242" s="149"/>
      <c r="AKL1242" s="149"/>
      <c r="AKM1242" s="149"/>
      <c r="AKN1242" s="149"/>
      <c r="AKO1242" s="149"/>
      <c r="AKP1242" s="149"/>
      <c r="AKQ1242" s="149"/>
      <c r="AKR1242" s="149"/>
      <c r="AKS1242" s="149"/>
      <c r="AKT1242" s="149"/>
      <c r="AKU1242" s="149"/>
      <c r="AKV1242" s="149"/>
      <c r="AKW1242" s="149"/>
      <c r="AKX1242" s="149"/>
      <c r="AKY1242" s="149"/>
      <c r="AKZ1242" s="149"/>
      <c r="ALA1242" s="149"/>
      <c r="ALB1242" s="149"/>
      <c r="ALC1242" s="149"/>
      <c r="ALD1242" s="149"/>
      <c r="ALE1242" s="149"/>
      <c r="ALF1242" s="149"/>
      <c r="ALG1242" s="149"/>
      <c r="ALH1242" s="149"/>
      <c r="ALI1242" s="149"/>
      <c r="ALJ1242" s="149"/>
      <c r="ALK1242" s="149"/>
      <c r="ALL1242" s="149"/>
      <c r="ALM1242" s="149"/>
      <c r="ALN1242" s="149"/>
      <c r="ALO1242" s="149"/>
      <c r="ALP1242" s="149"/>
      <c r="ALQ1242" s="149"/>
      <c r="ALR1242" s="149"/>
      <c r="ALS1242" s="149"/>
      <c r="ALT1242" s="149"/>
      <c r="ALU1242" s="149"/>
      <c r="ALV1242" s="149"/>
      <c r="ALW1242" s="149"/>
      <c r="ALX1242" s="149"/>
      <c r="ALY1242" s="149"/>
      <c r="ALZ1242" s="149"/>
      <c r="AMA1242" s="149"/>
      <c r="AMB1242" s="149"/>
      <c r="AMC1242" s="149"/>
      <c r="AMD1242" s="149"/>
      <c r="AME1242" s="149"/>
      <c r="AMF1242" s="149"/>
      <c r="AMG1242" s="149"/>
      <c r="AMH1242" s="149"/>
      <c r="AMI1242" s="149"/>
      <c r="AMJ1242" s="149"/>
      <c r="AMK1242" s="149"/>
      <c r="AML1242" s="149"/>
      <c r="AMM1242" s="149"/>
      <c r="AMN1242" s="149"/>
      <c r="AMO1242" s="149"/>
      <c r="AMP1242" s="149"/>
      <c r="AMQ1242" s="149"/>
      <c r="AMR1242" s="149"/>
      <c r="AMS1242" s="149"/>
      <c r="AMT1242" s="149"/>
      <c r="AMU1242" s="149"/>
      <c r="AMV1242" s="149"/>
      <c r="AMW1242" s="149"/>
      <c r="AMX1242" s="149"/>
      <c r="AMY1242" s="149"/>
      <c r="AMZ1242" s="149"/>
      <c r="ANA1242" s="149"/>
      <c r="ANB1242" s="149"/>
      <c r="ANC1242" s="149"/>
      <c r="AND1242" s="149"/>
      <c r="ANE1242" s="149"/>
      <c r="ANF1242" s="149"/>
      <c r="ANG1242" s="149"/>
      <c r="ANH1242" s="149"/>
      <c r="ANI1242" s="149"/>
      <c r="ANJ1242" s="149"/>
      <c r="ANK1242" s="149"/>
      <c r="ANL1242" s="149"/>
      <c r="ANM1242" s="149"/>
      <c r="ANN1242" s="149"/>
      <c r="ANO1242" s="149"/>
      <c r="ANP1242" s="149"/>
      <c r="ANQ1242" s="149"/>
      <c r="ANR1242" s="149"/>
      <c r="ANS1242" s="149"/>
      <c r="ANT1242" s="149"/>
      <c r="ANU1242" s="149"/>
      <c r="ANV1242" s="149"/>
      <c r="ANW1242" s="149"/>
      <c r="ANX1242" s="149"/>
      <c r="ANY1242" s="149"/>
      <c r="ANZ1242" s="149"/>
      <c r="AOA1242" s="149"/>
      <c r="AOB1242" s="149"/>
      <c r="AOC1242" s="149"/>
      <c r="AOD1242" s="149"/>
      <c r="AOE1242" s="149"/>
      <c r="AOF1242" s="149"/>
      <c r="AOG1242" s="149"/>
      <c r="AOH1242" s="149"/>
      <c r="AOI1242" s="149"/>
      <c r="AOJ1242" s="149"/>
      <c r="AOK1242" s="149"/>
      <c r="AOL1242" s="149"/>
      <c r="AOM1242" s="149"/>
      <c r="AON1242" s="149"/>
      <c r="AOO1242" s="149"/>
      <c r="AOP1242" s="149"/>
      <c r="AOQ1242" s="149"/>
      <c r="AOR1242" s="149"/>
      <c r="AOS1242" s="149"/>
      <c r="AOT1242" s="149"/>
      <c r="AOU1242" s="149"/>
      <c r="AOV1242" s="149"/>
      <c r="AOW1242" s="149"/>
      <c r="AOX1242" s="149"/>
      <c r="AOY1242" s="149"/>
      <c r="AOZ1242" s="149"/>
      <c r="APA1242" s="149"/>
      <c r="APB1242" s="149"/>
      <c r="APC1242" s="149"/>
      <c r="APD1242" s="149"/>
      <c r="APE1242" s="149"/>
      <c r="APF1242" s="149"/>
      <c r="APG1242" s="149"/>
      <c r="APH1242" s="149"/>
      <c r="API1242" s="149"/>
      <c r="APJ1242" s="149"/>
      <c r="APK1242" s="149"/>
      <c r="APL1242" s="149"/>
      <c r="APM1242" s="149"/>
      <c r="APN1242" s="149"/>
      <c r="APO1242" s="149"/>
      <c r="APP1242" s="149"/>
      <c r="APQ1242" s="149"/>
      <c r="APR1242" s="149"/>
      <c r="APS1242" s="149"/>
      <c r="APT1242" s="149"/>
      <c r="APU1242" s="149"/>
      <c r="APV1242" s="149"/>
      <c r="APW1242" s="149"/>
      <c r="APX1242" s="149"/>
      <c r="APY1242" s="149"/>
      <c r="APZ1242" s="149"/>
      <c r="AQA1242" s="149"/>
      <c r="AQB1242" s="149"/>
      <c r="AQC1242" s="149"/>
      <c r="AQD1242" s="149"/>
      <c r="AQE1242" s="149"/>
      <c r="AQF1242" s="149"/>
      <c r="AQG1242" s="149"/>
      <c r="AQH1242" s="149"/>
      <c r="AQI1242" s="149"/>
      <c r="AQJ1242" s="149"/>
      <c r="AQK1242" s="149"/>
      <c r="AQL1242" s="149"/>
      <c r="AQM1242" s="149"/>
      <c r="AQN1242" s="149"/>
      <c r="AQO1242" s="149"/>
      <c r="AQP1242" s="149"/>
      <c r="AQQ1242" s="149"/>
      <c r="AQR1242" s="149"/>
      <c r="AQS1242" s="149"/>
      <c r="AQT1242" s="149"/>
      <c r="AQU1242" s="149"/>
      <c r="AQV1242" s="149"/>
      <c r="AQW1242" s="149"/>
      <c r="AQX1242" s="149"/>
      <c r="AQY1242" s="149"/>
      <c r="AQZ1242" s="149"/>
      <c r="ARA1242" s="149"/>
      <c r="ARB1242" s="149"/>
      <c r="ARC1242" s="149"/>
      <c r="ARD1242" s="149"/>
      <c r="ARE1242" s="149"/>
      <c r="ARF1242" s="149"/>
      <c r="ARG1242" s="149"/>
      <c r="ARH1242" s="149"/>
      <c r="ARI1242" s="149"/>
      <c r="ARJ1242" s="149"/>
      <c r="ARK1242" s="149"/>
      <c r="ARL1242" s="149"/>
      <c r="ARM1242" s="149"/>
      <c r="ARN1242" s="149"/>
      <c r="ARO1242" s="149"/>
      <c r="ARP1242" s="149"/>
      <c r="ARQ1242" s="149"/>
      <c r="ARR1242" s="149"/>
      <c r="ARS1242" s="149"/>
      <c r="ART1242" s="149"/>
      <c r="ARU1242" s="149"/>
      <c r="ARV1242" s="149"/>
      <c r="ARW1242" s="149"/>
      <c r="ARX1242" s="149"/>
      <c r="ARY1242" s="149"/>
      <c r="ARZ1242" s="149"/>
      <c r="ASA1242" s="149"/>
      <c r="ASB1242" s="149"/>
      <c r="ASC1242" s="149"/>
      <c r="ASD1242" s="149"/>
      <c r="ASE1242" s="149"/>
      <c r="ASF1242" s="149"/>
      <c r="ASG1242" s="149"/>
      <c r="ASH1242" s="149"/>
      <c r="ASI1242" s="149"/>
      <c r="ASJ1242" s="149"/>
      <c r="ASK1242" s="149"/>
      <c r="ASL1242" s="149"/>
      <c r="ASM1242" s="149"/>
      <c r="ASN1242" s="149"/>
      <c r="ASO1242" s="149"/>
      <c r="ASP1242" s="149"/>
      <c r="ASQ1242" s="149"/>
      <c r="ASR1242" s="149"/>
      <c r="ASS1242" s="149"/>
      <c r="AST1242" s="149"/>
      <c r="ASU1242" s="149"/>
      <c r="ASV1242" s="149"/>
      <c r="ASW1242" s="149"/>
      <c r="ASX1242" s="149"/>
      <c r="ASY1242" s="149"/>
      <c r="ASZ1242" s="149"/>
      <c r="ATA1242" s="149"/>
      <c r="ATB1242" s="149"/>
      <c r="ATC1242" s="149"/>
      <c r="ATD1242" s="149"/>
      <c r="ATE1242" s="149"/>
      <c r="ATF1242" s="149"/>
      <c r="ATG1242" s="149"/>
      <c r="ATH1242" s="149"/>
      <c r="ATI1242" s="149"/>
      <c r="ATJ1242" s="149"/>
      <c r="ATK1242" s="149"/>
      <c r="ATL1242" s="149"/>
      <c r="ATM1242" s="149"/>
      <c r="ATN1242" s="149"/>
      <c r="ATO1242" s="149"/>
      <c r="ATP1242" s="149"/>
      <c r="ATQ1242" s="149"/>
      <c r="ATR1242" s="149"/>
      <c r="ATS1242" s="149"/>
      <c r="ATT1242" s="149"/>
      <c r="ATU1242" s="149"/>
      <c r="ATV1242" s="149"/>
      <c r="ATW1242" s="149"/>
      <c r="ATX1242" s="149"/>
      <c r="ATY1242" s="149"/>
      <c r="ATZ1242" s="149"/>
      <c r="AUA1242" s="149"/>
      <c r="AUB1242" s="149"/>
      <c r="AUC1242" s="149"/>
      <c r="AUD1242" s="149"/>
      <c r="AUE1242" s="149"/>
      <c r="AUF1242" s="149"/>
      <c r="AUG1242" s="149"/>
      <c r="AUH1242" s="149"/>
      <c r="AUI1242" s="149"/>
      <c r="AUJ1242" s="149"/>
      <c r="AUK1242" s="149"/>
      <c r="AUL1242" s="149"/>
      <c r="AUM1242" s="149"/>
      <c r="AUN1242" s="149"/>
      <c r="AUO1242" s="149"/>
      <c r="AUP1242" s="149"/>
      <c r="AUQ1242" s="149"/>
      <c r="AUR1242" s="149"/>
      <c r="AUS1242" s="149"/>
      <c r="AUT1242" s="149"/>
      <c r="AUU1242" s="149"/>
      <c r="AUV1242" s="149"/>
      <c r="AUW1242" s="149"/>
      <c r="AUX1242" s="149"/>
      <c r="AUY1242" s="149"/>
      <c r="AUZ1242" s="149"/>
      <c r="AVA1242" s="149"/>
      <c r="AVB1242" s="149"/>
      <c r="AVC1242" s="149"/>
      <c r="AVD1242" s="149"/>
      <c r="AVE1242" s="149"/>
      <c r="AVF1242" s="149"/>
      <c r="AVG1242" s="149"/>
      <c r="AVH1242" s="149"/>
      <c r="AVI1242" s="149"/>
      <c r="AVJ1242" s="149"/>
      <c r="AVK1242" s="149"/>
      <c r="AVL1242" s="149"/>
      <c r="AVM1242" s="149"/>
      <c r="AVN1242" s="149"/>
      <c r="AVO1242" s="149"/>
      <c r="AVP1242" s="149"/>
      <c r="AVQ1242" s="149"/>
      <c r="AVR1242" s="149"/>
      <c r="AVS1242" s="149"/>
      <c r="AVT1242" s="149"/>
      <c r="AVU1242" s="149"/>
      <c r="AVV1242" s="149"/>
      <c r="AVW1242" s="149"/>
      <c r="AVX1242" s="149"/>
      <c r="AVY1242" s="149"/>
      <c r="AVZ1242" s="149"/>
      <c r="AWA1242" s="149"/>
      <c r="AWB1242" s="149"/>
      <c r="AWC1242" s="149"/>
      <c r="AWD1242" s="149"/>
      <c r="AWE1242" s="149"/>
      <c r="AWF1242" s="149"/>
      <c r="AWG1242" s="149"/>
      <c r="AWH1242" s="149"/>
      <c r="AWI1242" s="149"/>
      <c r="AWJ1242" s="149"/>
      <c r="AWK1242" s="149"/>
      <c r="AWL1242" s="149"/>
      <c r="AWM1242" s="149"/>
      <c r="AWN1242" s="149"/>
      <c r="AWO1242" s="149"/>
      <c r="AWP1242" s="149"/>
      <c r="AWQ1242" s="149"/>
      <c r="AWR1242" s="149"/>
      <c r="AWS1242" s="149"/>
      <c r="AWT1242" s="149"/>
      <c r="AWU1242" s="149"/>
      <c r="AWV1242" s="149"/>
      <c r="AWW1242" s="149"/>
      <c r="AWX1242" s="149"/>
      <c r="AWY1242" s="149"/>
      <c r="AWZ1242" s="149"/>
      <c r="AXA1242" s="149"/>
      <c r="AXB1242" s="149"/>
      <c r="AXC1242" s="149"/>
      <c r="AXD1242" s="149"/>
      <c r="AXE1242" s="149"/>
      <c r="AXF1242" s="149"/>
      <c r="AXG1242" s="149"/>
      <c r="AXH1242" s="149"/>
      <c r="AXI1242" s="149"/>
      <c r="AXJ1242" s="149"/>
      <c r="AXK1242" s="149"/>
      <c r="AXL1242" s="149"/>
      <c r="AXM1242" s="149"/>
      <c r="AXN1242" s="149"/>
      <c r="AXO1242" s="149"/>
      <c r="AXP1242" s="149"/>
      <c r="AXQ1242" s="149"/>
      <c r="AXR1242" s="149"/>
      <c r="AXS1242" s="149"/>
      <c r="AXT1242" s="149"/>
      <c r="AXU1242" s="149"/>
      <c r="AXV1242" s="149"/>
      <c r="AXW1242" s="149"/>
      <c r="AXX1242" s="149"/>
      <c r="AXY1242" s="149"/>
      <c r="AXZ1242" s="149"/>
      <c r="AYA1242" s="149"/>
      <c r="AYB1242" s="149"/>
      <c r="AYC1242" s="149"/>
      <c r="AYD1242" s="149"/>
      <c r="AYE1242" s="149"/>
      <c r="AYF1242" s="149"/>
      <c r="AYG1242" s="149"/>
      <c r="AYH1242" s="149"/>
      <c r="AYI1242" s="149"/>
      <c r="AYJ1242" s="149"/>
      <c r="AYK1242" s="149"/>
      <c r="AYL1242" s="149"/>
      <c r="AYM1242" s="149"/>
      <c r="AYN1242" s="149"/>
      <c r="AYO1242" s="149"/>
      <c r="AYP1242" s="149"/>
      <c r="AYQ1242" s="149"/>
      <c r="AYR1242" s="149"/>
      <c r="AYS1242" s="149"/>
      <c r="AYT1242" s="149"/>
      <c r="AYU1242" s="149"/>
      <c r="AYV1242" s="149"/>
      <c r="AYW1242" s="149"/>
      <c r="AYX1242" s="149"/>
      <c r="AYY1242" s="149"/>
      <c r="AYZ1242" s="149"/>
      <c r="AZA1242" s="149"/>
      <c r="AZB1242" s="149"/>
      <c r="AZC1242" s="149"/>
      <c r="AZD1242" s="149"/>
      <c r="AZE1242" s="149"/>
      <c r="AZF1242" s="149"/>
      <c r="AZG1242" s="149"/>
      <c r="AZH1242" s="149"/>
      <c r="AZI1242" s="149"/>
      <c r="AZJ1242" s="149"/>
      <c r="AZK1242" s="149"/>
      <c r="AZL1242" s="149"/>
      <c r="AZM1242" s="149"/>
      <c r="AZN1242" s="149"/>
      <c r="AZO1242" s="149"/>
      <c r="AZP1242" s="149"/>
      <c r="AZQ1242" s="149"/>
      <c r="AZR1242" s="149"/>
      <c r="AZS1242" s="149"/>
      <c r="AZT1242" s="149"/>
      <c r="AZU1242" s="149"/>
      <c r="AZV1242" s="149"/>
      <c r="AZW1242" s="149"/>
      <c r="AZX1242" s="149"/>
      <c r="AZY1242" s="149"/>
      <c r="AZZ1242" s="149"/>
      <c r="BAA1242" s="149"/>
      <c r="BAB1242" s="149"/>
      <c r="BAC1242" s="149"/>
      <c r="BAD1242" s="149"/>
      <c r="BAE1242" s="149"/>
      <c r="BAF1242" s="149"/>
      <c r="BAG1242" s="149"/>
      <c r="BAH1242" s="149"/>
      <c r="BAI1242" s="149"/>
      <c r="BAJ1242" s="149"/>
      <c r="BAK1242" s="149"/>
      <c r="BAL1242" s="149"/>
      <c r="BAM1242" s="149"/>
      <c r="BAN1242" s="149"/>
      <c r="BAO1242" s="149"/>
      <c r="BAP1242" s="149"/>
      <c r="BAQ1242" s="149"/>
      <c r="BAR1242" s="149"/>
      <c r="BAS1242" s="149"/>
      <c r="BAT1242" s="149"/>
      <c r="BAU1242" s="149"/>
      <c r="BAV1242" s="149"/>
      <c r="BAW1242" s="149"/>
      <c r="BAX1242" s="149"/>
      <c r="BAY1242" s="149"/>
      <c r="BAZ1242" s="149"/>
      <c r="BBA1242" s="149"/>
      <c r="BBB1242" s="149"/>
      <c r="BBC1242" s="149"/>
      <c r="BBD1242" s="149"/>
      <c r="BBE1242" s="149"/>
      <c r="BBF1242" s="149"/>
      <c r="BBG1242" s="149"/>
      <c r="BBH1242" s="149"/>
      <c r="BBI1242" s="149"/>
      <c r="BBJ1242" s="149"/>
      <c r="BBK1242" s="149"/>
      <c r="BBL1242" s="149"/>
      <c r="BBM1242" s="149"/>
      <c r="BBN1242" s="149"/>
      <c r="BBO1242" s="149"/>
      <c r="BBP1242" s="149"/>
      <c r="BBQ1242" s="149"/>
      <c r="BBR1242" s="149"/>
      <c r="BBS1242" s="149"/>
      <c r="BBT1242" s="149"/>
      <c r="BBU1242" s="149"/>
      <c r="BBV1242" s="149"/>
      <c r="BBW1242" s="149"/>
      <c r="BBX1242" s="149"/>
      <c r="BBY1242" s="149"/>
      <c r="BBZ1242" s="149"/>
      <c r="BCA1242" s="149"/>
      <c r="BCB1242" s="149"/>
      <c r="BCC1242" s="149"/>
      <c r="BCD1242" s="149"/>
      <c r="BCE1242" s="149"/>
      <c r="BCF1242" s="149"/>
      <c r="BCG1242" s="149"/>
      <c r="BCH1242" s="149"/>
      <c r="BCI1242" s="149"/>
      <c r="BCJ1242" s="149"/>
      <c r="BCK1242" s="149"/>
      <c r="BCL1242" s="149"/>
      <c r="BCM1242" s="149"/>
      <c r="BCN1242" s="149"/>
      <c r="BCO1242" s="149"/>
      <c r="BCP1242" s="149"/>
      <c r="BCQ1242" s="149"/>
      <c r="BCR1242" s="149"/>
      <c r="BCS1242" s="149"/>
      <c r="BCT1242" s="149"/>
      <c r="BCU1242" s="149"/>
      <c r="BCV1242" s="149"/>
      <c r="BCW1242" s="149"/>
      <c r="BCX1242" s="149"/>
      <c r="BCY1242" s="149"/>
      <c r="BCZ1242" s="149"/>
      <c r="BDA1242" s="149"/>
      <c r="BDB1242" s="149"/>
      <c r="BDC1242" s="149"/>
      <c r="BDD1242" s="149"/>
      <c r="BDE1242" s="149"/>
      <c r="BDF1242" s="149"/>
      <c r="BDG1242" s="149"/>
      <c r="BDH1242" s="149"/>
      <c r="BDI1242" s="149"/>
      <c r="BDJ1242" s="149"/>
      <c r="BDK1242" s="149"/>
      <c r="BDL1242" s="149"/>
      <c r="BDM1242" s="149"/>
      <c r="BDN1242" s="149"/>
      <c r="BDO1242" s="149"/>
      <c r="BDP1242" s="149"/>
      <c r="BDQ1242" s="149"/>
      <c r="BDR1242" s="149"/>
      <c r="BDS1242" s="149"/>
      <c r="BDT1242" s="149"/>
      <c r="BDU1242" s="149"/>
      <c r="BDV1242" s="149"/>
      <c r="BDW1242" s="149"/>
      <c r="BDX1242" s="149"/>
      <c r="BDY1242" s="149"/>
      <c r="BDZ1242" s="149"/>
      <c r="BEA1242" s="149"/>
      <c r="BEB1242" s="149"/>
      <c r="BEC1242" s="149"/>
      <c r="BED1242" s="149"/>
      <c r="BEE1242" s="149"/>
      <c r="BEF1242" s="149"/>
      <c r="BEG1242" s="149"/>
      <c r="BEH1242" s="149"/>
      <c r="BEI1242" s="149"/>
      <c r="BEJ1242" s="149"/>
      <c r="BEK1242" s="149"/>
      <c r="BEL1242" s="149"/>
      <c r="BEM1242" s="149"/>
      <c r="BEN1242" s="149"/>
      <c r="BEO1242" s="149"/>
      <c r="BEP1242" s="149"/>
      <c r="BEQ1242" s="149"/>
      <c r="BER1242" s="149"/>
      <c r="BES1242" s="149"/>
      <c r="BET1242" s="149"/>
      <c r="BEU1242" s="149"/>
      <c r="BEV1242" s="149"/>
      <c r="BEW1242" s="149"/>
      <c r="BEX1242" s="149"/>
      <c r="BEY1242" s="149"/>
      <c r="BEZ1242" s="149"/>
      <c r="BFA1242" s="149"/>
      <c r="BFB1242" s="149"/>
      <c r="BFC1242" s="149"/>
      <c r="BFD1242" s="149"/>
      <c r="BFE1242" s="149"/>
      <c r="BFF1242" s="149"/>
      <c r="BFG1242" s="149"/>
      <c r="BFH1242" s="149"/>
      <c r="BFI1242" s="149"/>
      <c r="BFJ1242" s="149"/>
      <c r="BFK1242" s="149"/>
      <c r="BFL1242" s="149"/>
      <c r="BFM1242" s="149"/>
      <c r="BFN1242" s="149"/>
      <c r="BFO1242" s="149"/>
      <c r="BFP1242" s="149"/>
      <c r="BFQ1242" s="149"/>
      <c r="BFR1242" s="149"/>
      <c r="BFS1242" s="149"/>
      <c r="BFT1242" s="149"/>
      <c r="BFU1242" s="149"/>
      <c r="BFV1242" s="149"/>
      <c r="BFW1242" s="149"/>
      <c r="BFX1242" s="149"/>
      <c r="BFY1242" s="149"/>
      <c r="BFZ1242" s="149"/>
      <c r="BGA1242" s="149"/>
      <c r="BGB1242" s="149"/>
      <c r="BGC1242" s="149"/>
      <c r="BGD1242" s="149"/>
      <c r="BGE1242" s="149"/>
      <c r="BGF1242" s="149"/>
      <c r="BGG1242" s="149"/>
      <c r="BGH1242" s="149"/>
      <c r="BGI1242" s="149"/>
      <c r="BGJ1242" s="149"/>
      <c r="BGK1242" s="149"/>
      <c r="BGL1242" s="149"/>
      <c r="BGM1242" s="149"/>
      <c r="BGN1242" s="149"/>
      <c r="BGO1242" s="149"/>
      <c r="BGP1242" s="149"/>
      <c r="BGQ1242" s="149"/>
      <c r="BGR1242" s="149"/>
      <c r="BGS1242" s="149"/>
      <c r="BGT1242" s="149"/>
      <c r="BGU1242" s="149"/>
      <c r="BGV1242" s="149"/>
      <c r="BGW1242" s="149"/>
      <c r="BGX1242" s="149"/>
      <c r="BGY1242" s="149"/>
      <c r="BGZ1242" s="149"/>
      <c r="BHA1242" s="149"/>
      <c r="BHB1242" s="149"/>
      <c r="BHC1242" s="149"/>
      <c r="BHD1242" s="149"/>
      <c r="BHE1242" s="149"/>
      <c r="BHF1242" s="149"/>
      <c r="BHG1242" s="149"/>
      <c r="BHH1242" s="149"/>
      <c r="BHI1242" s="149"/>
      <c r="BHJ1242" s="149"/>
      <c r="BHK1242" s="149"/>
      <c r="BHL1242" s="149"/>
      <c r="BHM1242" s="149"/>
      <c r="BHN1242" s="149"/>
      <c r="BHO1242" s="149"/>
      <c r="BHP1242" s="149"/>
      <c r="BHQ1242" s="149"/>
      <c r="BHR1242" s="149"/>
      <c r="BHS1242" s="149"/>
      <c r="BHT1242" s="149"/>
      <c r="BHU1242" s="149"/>
      <c r="BHV1242" s="149"/>
      <c r="BHW1242" s="149"/>
      <c r="BHX1242" s="149"/>
      <c r="BHY1242" s="149"/>
      <c r="BHZ1242" s="149"/>
      <c r="BIA1242" s="149"/>
      <c r="BIB1242" s="149"/>
      <c r="BIC1242" s="149"/>
      <c r="BID1242" s="149"/>
      <c r="BIE1242" s="149"/>
      <c r="BIF1242" s="149"/>
      <c r="BIG1242" s="149"/>
      <c r="BIH1242" s="149"/>
      <c r="BII1242" s="149"/>
      <c r="BIJ1242" s="149"/>
      <c r="BIK1242" s="149"/>
      <c r="BIL1242" s="149"/>
      <c r="BIM1242" s="149"/>
      <c r="BIN1242" s="149"/>
      <c r="BIO1242" s="149"/>
      <c r="BIP1242" s="149"/>
      <c r="BIQ1242" s="149"/>
      <c r="BIR1242" s="149"/>
      <c r="BIS1242" s="149"/>
      <c r="BIT1242" s="149"/>
      <c r="BIU1242" s="149"/>
      <c r="BIV1242" s="149"/>
      <c r="BIW1242" s="149"/>
      <c r="BIX1242" s="149"/>
      <c r="BIY1242" s="149"/>
      <c r="BIZ1242" s="149"/>
      <c r="BJA1242" s="149"/>
      <c r="BJB1242" s="149"/>
      <c r="BJC1242" s="149"/>
      <c r="BJD1242" s="149"/>
      <c r="BJE1242" s="149"/>
      <c r="BJF1242" s="149"/>
      <c r="BJG1242" s="149"/>
      <c r="BJH1242" s="149"/>
      <c r="BJI1242" s="149"/>
      <c r="BJJ1242" s="149"/>
      <c r="BJK1242" s="149"/>
      <c r="BJL1242" s="149"/>
      <c r="BJM1242" s="149"/>
      <c r="BJN1242" s="149"/>
      <c r="BJO1242" s="149"/>
      <c r="BJP1242" s="149"/>
      <c r="BJQ1242" s="149"/>
      <c r="BJR1242" s="149"/>
      <c r="BJS1242" s="149"/>
      <c r="BJT1242" s="149"/>
      <c r="BJU1242" s="149"/>
      <c r="BJV1242" s="149"/>
      <c r="BJW1242" s="149"/>
      <c r="BJX1242" s="149"/>
      <c r="BJY1242" s="149"/>
      <c r="BJZ1242" s="149"/>
      <c r="BKA1242" s="149"/>
      <c r="BKB1242" s="149"/>
      <c r="BKC1242" s="149"/>
      <c r="BKD1242" s="149"/>
      <c r="BKE1242" s="149"/>
      <c r="BKF1242" s="149"/>
      <c r="BKG1242" s="149"/>
      <c r="BKH1242" s="149"/>
      <c r="BKI1242" s="149"/>
      <c r="BKJ1242" s="149"/>
      <c r="BKK1242" s="149"/>
      <c r="BKL1242" s="149"/>
      <c r="BKM1242" s="149"/>
      <c r="BKN1242" s="149"/>
      <c r="BKO1242" s="149"/>
      <c r="BKP1242" s="149"/>
      <c r="BKQ1242" s="149"/>
      <c r="BKR1242" s="149"/>
      <c r="BKS1242" s="149"/>
      <c r="BKT1242" s="149"/>
      <c r="BKU1242" s="149"/>
      <c r="BKV1242" s="149"/>
      <c r="BKW1242" s="149"/>
      <c r="BKX1242" s="149"/>
      <c r="BKY1242" s="149"/>
      <c r="BKZ1242" s="149"/>
      <c r="BLA1242" s="149"/>
      <c r="BLB1242" s="149"/>
      <c r="BLC1242" s="149"/>
      <c r="BLD1242" s="149"/>
      <c r="BLE1242" s="149"/>
      <c r="BLF1242" s="149"/>
      <c r="BLG1242" s="149"/>
      <c r="BLH1242" s="149"/>
      <c r="BLI1242" s="149"/>
      <c r="BLJ1242" s="149"/>
      <c r="BLK1242" s="149"/>
      <c r="BLL1242" s="149"/>
      <c r="BLM1242" s="149"/>
      <c r="BLN1242" s="149"/>
      <c r="BLO1242" s="149"/>
      <c r="BLP1242" s="149"/>
      <c r="BLQ1242" s="149"/>
      <c r="BLR1242" s="149"/>
      <c r="BLS1242" s="149"/>
      <c r="BLT1242" s="149"/>
      <c r="BLU1242" s="149"/>
      <c r="BLV1242" s="149"/>
      <c r="BLW1242" s="149"/>
      <c r="BLX1242" s="149"/>
      <c r="BLY1242" s="149"/>
      <c r="BLZ1242" s="149"/>
      <c r="BMA1242" s="149"/>
      <c r="BMB1242" s="149"/>
      <c r="BMC1242" s="149"/>
      <c r="BMD1242" s="149"/>
      <c r="BME1242" s="149"/>
      <c r="BMF1242" s="149"/>
      <c r="BMG1242" s="149"/>
      <c r="BMH1242" s="149"/>
      <c r="BMI1242" s="149"/>
      <c r="BMJ1242" s="149"/>
      <c r="BMK1242" s="149"/>
      <c r="BML1242" s="149"/>
      <c r="BMM1242" s="149"/>
      <c r="BMN1242" s="149"/>
      <c r="BMO1242" s="149"/>
      <c r="BMP1242" s="149"/>
      <c r="BMQ1242" s="149"/>
      <c r="BMR1242" s="149"/>
      <c r="BMS1242" s="149"/>
      <c r="BMT1242" s="149"/>
      <c r="BMU1242" s="149"/>
      <c r="BMV1242" s="149"/>
      <c r="BMW1242" s="149"/>
      <c r="BMX1242" s="149"/>
      <c r="BMY1242" s="149"/>
      <c r="BMZ1242" s="149"/>
      <c r="BNA1242" s="149"/>
      <c r="BNB1242" s="149"/>
      <c r="BNC1242" s="149"/>
      <c r="BND1242" s="149"/>
      <c r="BNE1242" s="149"/>
      <c r="BNF1242" s="149"/>
      <c r="BNG1242" s="149"/>
      <c r="BNH1242" s="149"/>
      <c r="BNI1242" s="149"/>
      <c r="BNJ1242" s="149"/>
      <c r="BNK1242" s="149"/>
      <c r="BNL1242" s="149"/>
      <c r="BNM1242" s="149"/>
      <c r="BNN1242" s="149"/>
      <c r="BNO1242" s="149"/>
      <c r="BNP1242" s="149"/>
      <c r="BNQ1242" s="149"/>
      <c r="BNR1242" s="149"/>
      <c r="BNS1242" s="149"/>
      <c r="BNT1242" s="149"/>
      <c r="BNU1242" s="149"/>
      <c r="BNV1242" s="149"/>
      <c r="BNW1242" s="149"/>
      <c r="BNX1242" s="149"/>
      <c r="BNY1242" s="149"/>
      <c r="BNZ1242" s="149"/>
      <c r="BOA1242" s="149"/>
      <c r="BOB1242" s="149"/>
      <c r="BOC1242" s="149"/>
      <c r="BOD1242" s="149"/>
      <c r="BOE1242" s="149"/>
      <c r="BOF1242" s="149"/>
      <c r="BOG1242" s="149"/>
      <c r="BOH1242" s="149"/>
      <c r="BOI1242" s="149"/>
      <c r="BOJ1242" s="149"/>
      <c r="BOK1242" s="149"/>
      <c r="BOL1242" s="149"/>
      <c r="BOM1242" s="149"/>
      <c r="BON1242" s="149"/>
      <c r="BOO1242" s="149"/>
      <c r="BOP1242" s="149"/>
      <c r="BOQ1242" s="149"/>
      <c r="BOR1242" s="149"/>
      <c r="BOS1242" s="149"/>
      <c r="BOT1242" s="149"/>
      <c r="BOU1242" s="149"/>
      <c r="BOV1242" s="149"/>
      <c r="BOW1242" s="149"/>
      <c r="BOX1242" s="149"/>
      <c r="BOY1242" s="149"/>
      <c r="BOZ1242" s="149"/>
      <c r="BPA1242" s="149"/>
      <c r="BPB1242" s="149"/>
      <c r="BPC1242" s="149"/>
      <c r="BPD1242" s="149"/>
      <c r="BPE1242" s="149"/>
      <c r="BPF1242" s="149"/>
      <c r="BPG1242" s="149"/>
      <c r="BPH1242" s="149"/>
      <c r="BPI1242" s="149"/>
      <c r="BPJ1242" s="149"/>
      <c r="BPK1242" s="149"/>
      <c r="BPL1242" s="149"/>
      <c r="BPM1242" s="149"/>
      <c r="BPN1242" s="149"/>
      <c r="BPO1242" s="149"/>
      <c r="BPP1242" s="149"/>
      <c r="BPQ1242" s="149"/>
      <c r="BPR1242" s="149"/>
      <c r="BPS1242" s="149"/>
      <c r="BPT1242" s="149"/>
      <c r="BPU1242" s="149"/>
      <c r="BPV1242" s="149"/>
      <c r="BPW1242" s="149"/>
      <c r="BPX1242" s="149"/>
      <c r="BPY1242" s="149"/>
      <c r="BPZ1242" s="149"/>
      <c r="BQA1242" s="149"/>
      <c r="BQB1242" s="149"/>
      <c r="BQC1242" s="149"/>
      <c r="BQD1242" s="149"/>
      <c r="BQE1242" s="149"/>
      <c r="BQF1242" s="149"/>
      <c r="BQG1242" s="149"/>
      <c r="BQH1242" s="149"/>
      <c r="BQI1242" s="149"/>
      <c r="BQJ1242" s="149"/>
      <c r="BQK1242" s="149"/>
      <c r="BQL1242" s="149"/>
      <c r="BQM1242" s="149"/>
      <c r="BQN1242" s="149"/>
      <c r="BQO1242" s="149"/>
      <c r="BQP1242" s="149"/>
      <c r="BQQ1242" s="149"/>
      <c r="BQR1242" s="149"/>
      <c r="BQS1242" s="149"/>
      <c r="BQT1242" s="149"/>
      <c r="BQU1242" s="149"/>
      <c r="BQV1242" s="149"/>
      <c r="BQW1242" s="149"/>
      <c r="BQX1242" s="149"/>
      <c r="BQY1242" s="149"/>
      <c r="BQZ1242" s="149"/>
      <c r="BRA1242" s="149"/>
      <c r="BRB1242" s="149"/>
      <c r="BRC1242" s="149"/>
      <c r="BRD1242" s="149"/>
      <c r="BRE1242" s="149"/>
      <c r="BRF1242" s="149"/>
      <c r="BRG1242" s="149"/>
      <c r="BRH1242" s="149"/>
      <c r="BRI1242" s="149"/>
      <c r="BRJ1242" s="149"/>
      <c r="BRK1242" s="149"/>
      <c r="BRL1242" s="149"/>
      <c r="BRM1242" s="149"/>
      <c r="BRN1242" s="149"/>
      <c r="BRO1242" s="149"/>
      <c r="BRP1242" s="149"/>
      <c r="BRQ1242" s="149"/>
      <c r="BRR1242" s="149"/>
      <c r="BRS1242" s="149"/>
      <c r="BRT1242" s="149"/>
      <c r="BRU1242" s="149"/>
      <c r="BRV1242" s="149"/>
      <c r="BRW1242" s="149"/>
      <c r="BRX1242" s="149"/>
      <c r="BRY1242" s="149"/>
      <c r="BRZ1242" s="149"/>
      <c r="BSA1242" s="149"/>
      <c r="BSB1242" s="149"/>
      <c r="BSC1242" s="149"/>
      <c r="BSD1242" s="149"/>
      <c r="BSE1242" s="149"/>
      <c r="BSF1242" s="149"/>
      <c r="BSG1242" s="149"/>
      <c r="BSH1242" s="149"/>
      <c r="BSI1242" s="149"/>
      <c r="BSJ1242" s="149"/>
      <c r="BSK1242" s="149"/>
      <c r="BSL1242" s="149"/>
      <c r="BSM1242" s="149"/>
      <c r="BSN1242" s="149"/>
      <c r="BSO1242" s="149"/>
      <c r="BSP1242" s="149"/>
      <c r="BSQ1242" s="149"/>
      <c r="BSR1242" s="149"/>
      <c r="BSS1242" s="149"/>
      <c r="BST1242" s="149"/>
      <c r="BSU1242" s="149"/>
      <c r="BSV1242" s="149"/>
      <c r="BSW1242" s="149"/>
      <c r="BSX1242" s="149"/>
      <c r="BSY1242" s="149"/>
      <c r="BSZ1242" s="149"/>
      <c r="BTA1242" s="149"/>
    </row>
    <row r="1243" spans="1:1873" s="149" customFormat="1" ht="12.75" customHeight="1" x14ac:dyDescent="0.25">
      <c r="A1243" s="263"/>
      <c r="B1243" s="263"/>
      <c r="C1243" s="600"/>
      <c r="D1243" s="263"/>
      <c r="E1243" s="327"/>
      <c r="F1243" s="600"/>
      <c r="G1243" s="600"/>
      <c r="H1243" s="600"/>
      <c r="I1243" s="257"/>
      <c r="J1243" s="599"/>
      <c r="K1243" s="257"/>
      <c r="L1243" s="600"/>
      <c r="M1243" s="261"/>
      <c r="N1243" s="257"/>
      <c r="O1243" s="29"/>
      <c r="P1243" s="602"/>
      <c r="Q1243" s="257"/>
      <c r="R1243" s="261"/>
      <c r="S1243" s="257"/>
      <c r="T1243" s="370"/>
      <c r="U1243" s="257"/>
      <c r="V1243" s="257"/>
      <c r="W1243" s="609"/>
      <c r="X1243" s="257"/>
      <c r="Y1243" s="257"/>
      <c r="Z1243" s="599"/>
      <c r="AA1243" s="605"/>
      <c r="AB1243" s="611"/>
      <c r="AC1243" s="257"/>
      <c r="AD1243" s="602"/>
      <c r="AE1243" s="263"/>
      <c r="AF1243" s="600"/>
      <c r="AG1243" s="257"/>
      <c r="AH1243" s="257"/>
      <c r="AI1243" s="257"/>
      <c r="AJ1243" s="257"/>
      <c r="AK1243" s="257"/>
      <c r="AL1243" s="257"/>
      <c r="AM1243" s="257"/>
      <c r="AN1243" s="257"/>
      <c r="AO1243" s="257"/>
      <c r="AP1243" s="257"/>
      <c r="AQ1243" s="257"/>
      <c r="AR1243" s="257"/>
      <c r="AS1243" s="257"/>
      <c r="AT1243" s="257"/>
      <c r="AU1243" s="257"/>
      <c r="AV1243" s="257"/>
      <c r="AW1243" s="257"/>
      <c r="AX1243" s="257"/>
      <c r="AY1243" s="257"/>
      <c r="AZ1243" s="257"/>
      <c r="BA1243" s="257"/>
      <c r="BB1243" s="257"/>
      <c r="BC1243" s="257"/>
      <c r="BD1243" s="257"/>
      <c r="BE1243" s="257"/>
      <c r="BF1243" s="257"/>
      <c r="BG1243" s="257"/>
      <c r="BH1243" s="257"/>
      <c r="BI1243" s="257"/>
      <c r="BJ1243" s="257"/>
      <c r="BK1243" s="257"/>
      <c r="BL1243" s="602"/>
      <c r="BM1243" s="257"/>
      <c r="BN1243" s="602"/>
      <c r="BO1243" s="257"/>
      <c r="BP1243" s="257"/>
      <c r="BQ1243" s="257"/>
      <c r="BR1243" s="257"/>
      <c r="BS1243" s="263"/>
      <c r="BT1243" s="257"/>
      <c r="BU1243" s="257"/>
      <c r="BV1243" s="257"/>
      <c r="BW1243" s="257"/>
      <c r="BX1243" s="257"/>
      <c r="BY1243" s="257"/>
      <c r="BZ1243" s="257"/>
      <c r="CA1243" s="300"/>
      <c r="CB1243" s="264"/>
      <c r="CC1243" s="600"/>
      <c r="CD1243" s="600"/>
      <c r="CE1243" s="168"/>
      <c r="CF1243" s="168"/>
      <c r="CG1243" s="161"/>
    </row>
    <row r="1244" spans="1:1873" s="149" customFormat="1" ht="12.75" customHeight="1" x14ac:dyDescent="0.25">
      <c r="A1244" s="263" t="s">
        <v>560</v>
      </c>
      <c r="B1244" s="263" t="s">
        <v>1268</v>
      </c>
      <c r="C1244" s="600" t="s">
        <v>114</v>
      </c>
      <c r="D1244" s="263" t="s">
        <v>1254</v>
      </c>
      <c r="E1244" s="327" t="s">
        <v>882</v>
      </c>
      <c r="F1244" s="600">
        <v>2</v>
      </c>
      <c r="G1244" s="600">
        <v>1</v>
      </c>
      <c r="H1244" s="600">
        <v>3</v>
      </c>
      <c r="I1244" s="257" t="s">
        <v>856</v>
      </c>
      <c r="J1244" s="599">
        <v>1982</v>
      </c>
      <c r="K1244" s="257" t="s">
        <v>1211</v>
      </c>
      <c r="L1244" s="608">
        <v>1984</v>
      </c>
      <c r="M1244" s="261">
        <v>-9999</v>
      </c>
      <c r="N1244" s="257">
        <v>-9999</v>
      </c>
      <c r="O1244" s="29"/>
      <c r="P1244" s="602">
        <v>1.8</v>
      </c>
      <c r="Q1244" s="257">
        <v>-9999</v>
      </c>
      <c r="R1244" s="261"/>
      <c r="S1244" s="257"/>
      <c r="T1244" s="370">
        <v>1.8</v>
      </c>
      <c r="U1244" s="257">
        <v>-9999</v>
      </c>
      <c r="V1244" s="257"/>
      <c r="W1244" s="609">
        <f>+P1244-P1243</f>
        <v>1.8</v>
      </c>
      <c r="X1244" s="257">
        <v>-9999</v>
      </c>
      <c r="Y1244" s="257"/>
      <c r="Z1244" s="599" t="s">
        <v>111</v>
      </c>
      <c r="AA1244" s="605">
        <v>1794</v>
      </c>
      <c r="AB1244" s="611">
        <v>1</v>
      </c>
      <c r="AC1244" s="257">
        <v>10.3</v>
      </c>
      <c r="AD1244" s="602">
        <f t="shared" ref="AD1244:AD1245" si="130">0.0966*10000</f>
        <v>966</v>
      </c>
      <c r="AE1244" s="263" t="s">
        <v>97</v>
      </c>
      <c r="AF1244" s="600">
        <v>0</v>
      </c>
      <c r="AG1244" s="257">
        <v>2</v>
      </c>
      <c r="AH1244" s="257" t="s">
        <v>98</v>
      </c>
      <c r="AI1244" s="257" t="s">
        <v>985</v>
      </c>
      <c r="AJ1244" s="257">
        <v>-9999</v>
      </c>
      <c r="AK1244" s="257" t="s">
        <v>99</v>
      </c>
      <c r="AL1244" s="257" t="s">
        <v>828</v>
      </c>
      <c r="AM1244" s="257">
        <v>-9999</v>
      </c>
      <c r="AN1244" s="257" t="s">
        <v>631</v>
      </c>
      <c r="AO1244" s="257">
        <v>-9999</v>
      </c>
      <c r="AP1244" s="257">
        <v>-9999</v>
      </c>
      <c r="AQ1244" s="257" t="s">
        <v>631</v>
      </c>
      <c r="AR1244" s="257">
        <v>0</v>
      </c>
      <c r="AS1244" s="257">
        <v>-9999</v>
      </c>
      <c r="AT1244" s="257">
        <v>-9999</v>
      </c>
      <c r="AU1244" s="257">
        <v>0</v>
      </c>
      <c r="AV1244" s="257">
        <v>-9999</v>
      </c>
      <c r="AW1244" s="257"/>
      <c r="AX1244" s="257">
        <v>0</v>
      </c>
      <c r="AY1244" s="257">
        <v>-9999</v>
      </c>
      <c r="AZ1244" s="257">
        <v>-9999</v>
      </c>
      <c r="BA1244" s="257" t="s">
        <v>100</v>
      </c>
      <c r="BB1244" s="257" t="s">
        <v>626</v>
      </c>
      <c r="BC1244" s="257" t="s">
        <v>101</v>
      </c>
      <c r="BD1244" s="257" t="s">
        <v>102</v>
      </c>
      <c r="BE1244" s="257" t="s">
        <v>103</v>
      </c>
      <c r="BF1244" s="257" t="s">
        <v>104</v>
      </c>
      <c r="BG1244" s="257" t="s">
        <v>105</v>
      </c>
      <c r="BH1244" s="257" t="s">
        <v>106</v>
      </c>
      <c r="BI1244" s="257">
        <v>-9999</v>
      </c>
      <c r="BJ1244" s="257">
        <v>-9999</v>
      </c>
      <c r="BK1244" s="257">
        <v>-9999</v>
      </c>
      <c r="BL1244" s="602">
        <v>3.56</v>
      </c>
      <c r="BM1244" s="257">
        <v>-9999</v>
      </c>
      <c r="BN1244" s="602">
        <v>2.08</v>
      </c>
      <c r="BO1244" s="257">
        <v>-9999</v>
      </c>
      <c r="BP1244" s="257">
        <v>-9999</v>
      </c>
      <c r="BQ1244" s="257">
        <v>-9999</v>
      </c>
      <c r="BR1244" s="257">
        <v>-9999</v>
      </c>
      <c r="BS1244" s="263">
        <v>-9999</v>
      </c>
      <c r="BT1244" s="257">
        <v>-9999</v>
      </c>
      <c r="BU1244" s="257">
        <v>-9999</v>
      </c>
      <c r="BV1244" s="257">
        <v>-9999</v>
      </c>
      <c r="BW1244" s="257"/>
      <c r="BX1244" s="257">
        <v>-9999</v>
      </c>
      <c r="BY1244" s="257">
        <v>-9999</v>
      </c>
      <c r="BZ1244" s="257">
        <v>-9999</v>
      </c>
      <c r="CA1244" s="300" t="s">
        <v>107</v>
      </c>
      <c r="CB1244" s="264" t="s">
        <v>561</v>
      </c>
      <c r="CC1244" s="600">
        <v>2</v>
      </c>
      <c r="CD1244" s="600">
        <v>1</v>
      </c>
      <c r="CE1244" s="168">
        <v>1.8</v>
      </c>
      <c r="CF1244" s="168">
        <v>1.8</v>
      </c>
      <c r="CG1244" s="161">
        <v>3</v>
      </c>
    </row>
    <row r="1245" spans="1:1873" s="149" customFormat="1" ht="12.75" customHeight="1" x14ac:dyDescent="0.25">
      <c r="A1245" s="263" t="s">
        <v>560</v>
      </c>
      <c r="B1245" s="263" t="s">
        <v>1268</v>
      </c>
      <c r="C1245" s="600" t="s">
        <v>114</v>
      </c>
      <c r="D1245" s="263" t="s">
        <v>1254</v>
      </c>
      <c r="E1245" s="327" t="s">
        <v>882</v>
      </c>
      <c r="F1245" s="600">
        <v>2</v>
      </c>
      <c r="G1245" s="600">
        <v>2</v>
      </c>
      <c r="H1245" s="600">
        <v>4</v>
      </c>
      <c r="I1245" s="257" t="s">
        <v>856</v>
      </c>
      <c r="J1245" s="599">
        <v>1982</v>
      </c>
      <c r="K1245" s="257" t="s">
        <v>1211</v>
      </c>
      <c r="L1245" s="608">
        <v>1985</v>
      </c>
      <c r="M1245" s="261">
        <v>-9999</v>
      </c>
      <c r="N1245" s="257">
        <v>-9999</v>
      </c>
      <c r="O1245" s="29"/>
      <c r="P1245" s="602">
        <v>12.02</v>
      </c>
      <c r="Q1245" s="257">
        <v>-9999</v>
      </c>
      <c r="R1245" s="261"/>
      <c r="S1245" s="257"/>
      <c r="T1245" s="370">
        <v>6.01</v>
      </c>
      <c r="U1245" s="257">
        <v>-9999</v>
      </c>
      <c r="V1245" s="257"/>
      <c r="W1245" s="609">
        <f>+P1245-P1244</f>
        <v>10.219999999999999</v>
      </c>
      <c r="X1245" s="257">
        <v>-9999</v>
      </c>
      <c r="Y1245" s="257"/>
      <c r="Z1245" s="599" t="s">
        <v>111</v>
      </c>
      <c r="AA1245" s="605">
        <v>1794</v>
      </c>
      <c r="AB1245" s="611">
        <v>1</v>
      </c>
      <c r="AC1245" s="257">
        <v>10.3</v>
      </c>
      <c r="AD1245" s="602">
        <f t="shared" si="130"/>
        <v>966</v>
      </c>
      <c r="AE1245" s="263" t="s">
        <v>97</v>
      </c>
      <c r="AF1245" s="600">
        <v>0</v>
      </c>
      <c r="AG1245" s="257">
        <v>2</v>
      </c>
      <c r="AH1245" s="257" t="s">
        <v>98</v>
      </c>
      <c r="AI1245" s="257" t="s">
        <v>985</v>
      </c>
      <c r="AJ1245" s="257">
        <v>-9999</v>
      </c>
      <c r="AK1245" s="257" t="s">
        <v>99</v>
      </c>
      <c r="AL1245" s="257" t="s">
        <v>828</v>
      </c>
      <c r="AM1245" s="257">
        <v>-9999</v>
      </c>
      <c r="AN1245" s="257" t="s">
        <v>631</v>
      </c>
      <c r="AO1245" s="257">
        <v>-9999</v>
      </c>
      <c r="AP1245" s="257">
        <v>-9999</v>
      </c>
      <c r="AQ1245" s="257" t="s">
        <v>631</v>
      </c>
      <c r="AR1245" s="257">
        <v>0</v>
      </c>
      <c r="AS1245" s="257">
        <v>-9999</v>
      </c>
      <c r="AT1245" s="257">
        <v>-9999</v>
      </c>
      <c r="AU1245" s="257">
        <v>0</v>
      </c>
      <c r="AV1245" s="257">
        <v>-9999</v>
      </c>
      <c r="AW1245" s="257"/>
      <c r="AX1245" s="257">
        <v>0</v>
      </c>
      <c r="AY1245" s="257">
        <v>-9999</v>
      </c>
      <c r="AZ1245" s="257">
        <v>-9999</v>
      </c>
      <c r="BA1245" s="257" t="s">
        <v>100</v>
      </c>
      <c r="BB1245" s="257" t="s">
        <v>626</v>
      </c>
      <c r="BC1245" s="257" t="s">
        <v>101</v>
      </c>
      <c r="BD1245" s="257" t="s">
        <v>102</v>
      </c>
      <c r="BE1245" s="257" t="s">
        <v>103</v>
      </c>
      <c r="BF1245" s="257" t="s">
        <v>104</v>
      </c>
      <c r="BG1245" s="257" t="s">
        <v>105</v>
      </c>
      <c r="BH1245" s="257" t="s">
        <v>106</v>
      </c>
      <c r="BI1245" s="257">
        <v>-9999</v>
      </c>
      <c r="BJ1245" s="257">
        <v>-9999</v>
      </c>
      <c r="BK1245" s="257">
        <v>-9999</v>
      </c>
      <c r="BL1245" s="602">
        <v>5.7</v>
      </c>
      <c r="BM1245" s="257">
        <v>-9999</v>
      </c>
      <c r="BN1245" s="602">
        <v>4</v>
      </c>
      <c r="BO1245" s="257">
        <v>-9999</v>
      </c>
      <c r="BP1245" s="257">
        <v>-9999</v>
      </c>
      <c r="BQ1245" s="257">
        <v>-9999</v>
      </c>
      <c r="BR1245" s="257">
        <v>-9999</v>
      </c>
      <c r="BS1245" s="263">
        <v>-9999</v>
      </c>
      <c r="BT1245" s="257">
        <v>-9999</v>
      </c>
      <c r="BU1245" s="257">
        <v>-9999</v>
      </c>
      <c r="BV1245" s="257">
        <v>-9999</v>
      </c>
      <c r="BW1245" s="257"/>
      <c r="BX1245" s="257">
        <v>-9999</v>
      </c>
      <c r="BY1245" s="257">
        <v>-9999</v>
      </c>
      <c r="BZ1245" s="257">
        <v>-9999</v>
      </c>
      <c r="CA1245" s="300" t="s">
        <v>107</v>
      </c>
      <c r="CB1245" s="264" t="s">
        <v>561</v>
      </c>
      <c r="CC1245" s="600">
        <v>2</v>
      </c>
      <c r="CD1245" s="600">
        <v>2</v>
      </c>
      <c r="CE1245" s="168">
        <v>6.01</v>
      </c>
      <c r="CF1245" s="168">
        <v>10.219999999999999</v>
      </c>
      <c r="CG1245" s="161">
        <v>4</v>
      </c>
    </row>
    <row r="1246" spans="1:1873" s="149" customFormat="1" ht="12.75" customHeight="1" x14ac:dyDescent="0.25">
      <c r="A1246" s="263"/>
      <c r="B1246" s="263"/>
      <c r="C1246" s="600"/>
      <c r="D1246" s="263"/>
      <c r="E1246" s="327"/>
      <c r="F1246" s="600"/>
      <c r="G1246" s="600"/>
      <c r="H1246" s="600"/>
      <c r="I1246" s="257"/>
      <c r="J1246" s="599"/>
      <c r="K1246" s="257"/>
      <c r="L1246" s="600"/>
      <c r="M1246" s="261"/>
      <c r="N1246" s="257"/>
      <c r="O1246" s="29"/>
      <c r="P1246" s="602"/>
      <c r="Q1246" s="257"/>
      <c r="R1246" s="261"/>
      <c r="S1246" s="257"/>
      <c r="T1246" s="370"/>
      <c r="U1246" s="257"/>
      <c r="V1246" s="257"/>
      <c r="W1246" s="609"/>
      <c r="X1246" s="257"/>
      <c r="Y1246" s="257"/>
      <c r="Z1246" s="599"/>
      <c r="AA1246" s="605"/>
      <c r="AB1246" s="611"/>
      <c r="AC1246" s="257"/>
      <c r="AD1246" s="602"/>
      <c r="AE1246" s="263"/>
      <c r="AF1246" s="600"/>
      <c r="AG1246" s="257"/>
      <c r="AH1246" s="257"/>
      <c r="AI1246" s="257"/>
      <c r="AJ1246" s="257"/>
      <c r="AK1246" s="257"/>
      <c r="AL1246" s="257"/>
      <c r="AM1246" s="257"/>
      <c r="AN1246" s="257"/>
      <c r="AO1246" s="257"/>
      <c r="AP1246" s="257"/>
      <c r="AQ1246" s="257"/>
      <c r="AR1246" s="257"/>
      <c r="AS1246" s="257"/>
      <c r="AT1246" s="257"/>
      <c r="AU1246" s="257"/>
      <c r="AV1246" s="257"/>
      <c r="AW1246" s="257"/>
      <c r="AX1246" s="257"/>
      <c r="AY1246" s="257"/>
      <c r="AZ1246" s="257"/>
      <c r="BA1246" s="257"/>
      <c r="BB1246" s="257"/>
      <c r="BC1246" s="257"/>
      <c r="BD1246" s="257"/>
      <c r="BE1246" s="257"/>
      <c r="BF1246" s="257"/>
      <c r="BG1246" s="257"/>
      <c r="BH1246" s="257"/>
      <c r="BI1246" s="257"/>
      <c r="BJ1246" s="257"/>
      <c r="BK1246" s="257"/>
      <c r="BL1246" s="602"/>
      <c r="BM1246" s="257"/>
      <c r="BN1246" s="602"/>
      <c r="BO1246" s="257"/>
      <c r="BP1246" s="257"/>
      <c r="BQ1246" s="257"/>
      <c r="BR1246" s="257"/>
      <c r="BS1246" s="263"/>
      <c r="BT1246" s="257"/>
      <c r="BU1246" s="257"/>
      <c r="BV1246" s="257"/>
      <c r="BW1246" s="257"/>
      <c r="BX1246" s="257"/>
      <c r="BY1246" s="257"/>
      <c r="BZ1246" s="257"/>
      <c r="CA1246" s="300"/>
      <c r="CB1246" s="264"/>
      <c r="CC1246" s="600"/>
      <c r="CD1246" s="600"/>
      <c r="CE1246" s="168"/>
      <c r="CF1246" s="168"/>
      <c r="CG1246" s="161"/>
    </row>
    <row r="1247" spans="1:1873" s="149" customFormat="1" ht="12.75" customHeight="1" x14ac:dyDescent="0.25">
      <c r="A1247" s="263" t="s">
        <v>560</v>
      </c>
      <c r="B1247" s="263" t="s">
        <v>1268</v>
      </c>
      <c r="C1247" s="600" t="s">
        <v>114</v>
      </c>
      <c r="D1247" s="263" t="s">
        <v>1254</v>
      </c>
      <c r="E1247" s="327" t="s">
        <v>882</v>
      </c>
      <c r="F1247" s="600">
        <v>2</v>
      </c>
      <c r="G1247" s="600">
        <v>2</v>
      </c>
      <c r="H1247" s="600">
        <v>5</v>
      </c>
      <c r="I1247" s="257" t="s">
        <v>856</v>
      </c>
      <c r="J1247" s="599">
        <v>1982</v>
      </c>
      <c r="K1247" s="257" t="s">
        <v>1211</v>
      </c>
      <c r="L1247" s="608">
        <v>1986</v>
      </c>
      <c r="M1247" s="261">
        <v>-9999</v>
      </c>
      <c r="N1247" s="257">
        <v>-9999</v>
      </c>
      <c r="O1247" s="29"/>
      <c r="P1247" s="602">
        <v>7.5</v>
      </c>
      <c r="Q1247" s="257">
        <v>-9999</v>
      </c>
      <c r="R1247" s="261"/>
      <c r="S1247" s="257"/>
      <c r="T1247" s="370">
        <v>3.75</v>
      </c>
      <c r="U1247" s="257">
        <v>-9999</v>
      </c>
      <c r="V1247" s="257"/>
      <c r="W1247" s="609">
        <f>+P1247-P1246</f>
        <v>7.5</v>
      </c>
      <c r="X1247" s="257">
        <v>-9999</v>
      </c>
      <c r="Y1247" s="257"/>
      <c r="Z1247" s="599" t="s">
        <v>111</v>
      </c>
      <c r="AA1247" s="605">
        <v>1794</v>
      </c>
      <c r="AB1247" s="611">
        <v>1</v>
      </c>
      <c r="AC1247" s="257">
        <v>10.3</v>
      </c>
      <c r="AD1247" s="602">
        <f t="shared" ref="AD1247:AD1248" si="131">0.0966*10000</f>
        <v>966</v>
      </c>
      <c r="AE1247" s="263" t="s">
        <v>97</v>
      </c>
      <c r="AF1247" s="600">
        <v>0</v>
      </c>
      <c r="AG1247" s="257">
        <v>2</v>
      </c>
      <c r="AH1247" s="257" t="s">
        <v>98</v>
      </c>
      <c r="AI1247" s="257" t="s">
        <v>985</v>
      </c>
      <c r="AJ1247" s="257">
        <v>-9999</v>
      </c>
      <c r="AK1247" s="257" t="s">
        <v>99</v>
      </c>
      <c r="AL1247" s="257" t="s">
        <v>828</v>
      </c>
      <c r="AM1247" s="257">
        <v>-9999</v>
      </c>
      <c r="AN1247" s="257" t="s">
        <v>631</v>
      </c>
      <c r="AO1247" s="257">
        <v>-9999</v>
      </c>
      <c r="AP1247" s="257">
        <v>-9999</v>
      </c>
      <c r="AQ1247" s="257" t="s">
        <v>631</v>
      </c>
      <c r="AR1247" s="257">
        <v>0</v>
      </c>
      <c r="AS1247" s="257">
        <v>-9999</v>
      </c>
      <c r="AT1247" s="257">
        <v>-9999</v>
      </c>
      <c r="AU1247" s="257">
        <v>0</v>
      </c>
      <c r="AV1247" s="257">
        <v>-9999</v>
      </c>
      <c r="AW1247" s="257"/>
      <c r="AX1247" s="257">
        <v>0</v>
      </c>
      <c r="AY1247" s="257">
        <v>-9999</v>
      </c>
      <c r="AZ1247" s="257">
        <v>-9999</v>
      </c>
      <c r="BA1247" s="257" t="s">
        <v>100</v>
      </c>
      <c r="BB1247" s="257" t="s">
        <v>626</v>
      </c>
      <c r="BC1247" s="257" t="s">
        <v>101</v>
      </c>
      <c r="BD1247" s="257" t="s">
        <v>102</v>
      </c>
      <c r="BE1247" s="257" t="s">
        <v>103</v>
      </c>
      <c r="BF1247" s="257" t="s">
        <v>104</v>
      </c>
      <c r="BG1247" s="257" t="s">
        <v>105</v>
      </c>
      <c r="BH1247" s="257" t="s">
        <v>106</v>
      </c>
      <c r="BI1247" s="257">
        <v>-9999</v>
      </c>
      <c r="BJ1247" s="257">
        <v>-9999</v>
      </c>
      <c r="BK1247" s="257">
        <v>-9999</v>
      </c>
      <c r="BL1247" s="602">
        <v>5.7</v>
      </c>
      <c r="BM1247" s="257">
        <v>-9999</v>
      </c>
      <c r="BN1247" s="602">
        <v>4.0999999999999996</v>
      </c>
      <c r="BO1247" s="257">
        <v>-9999</v>
      </c>
      <c r="BP1247" s="257">
        <v>-9999</v>
      </c>
      <c r="BQ1247" s="257">
        <v>-9999</v>
      </c>
      <c r="BR1247" s="257">
        <v>-9999</v>
      </c>
      <c r="BS1247" s="263">
        <v>-9999</v>
      </c>
      <c r="BT1247" s="257">
        <v>-9999</v>
      </c>
      <c r="BU1247" s="257">
        <v>-9999</v>
      </c>
      <c r="BV1247" s="257">
        <v>-9999</v>
      </c>
      <c r="BW1247" s="257"/>
      <c r="BX1247" s="257">
        <v>-9999</v>
      </c>
      <c r="BY1247" s="257">
        <v>-9999</v>
      </c>
      <c r="BZ1247" s="257">
        <v>-9999</v>
      </c>
      <c r="CA1247" s="300" t="s">
        <v>107</v>
      </c>
      <c r="CB1247" s="264" t="s">
        <v>561</v>
      </c>
      <c r="CC1247" s="600">
        <v>2</v>
      </c>
      <c r="CD1247" s="600">
        <v>2</v>
      </c>
      <c r="CE1247" s="168">
        <v>3.75</v>
      </c>
      <c r="CF1247" s="168">
        <v>7.5</v>
      </c>
      <c r="CG1247" s="161">
        <v>5</v>
      </c>
    </row>
    <row r="1248" spans="1:1873" s="218" customFormat="1" ht="12.75" customHeight="1" x14ac:dyDescent="0.25">
      <c r="A1248" s="328" t="s">
        <v>560</v>
      </c>
      <c r="B1248" s="263" t="s">
        <v>1268</v>
      </c>
      <c r="C1248" s="600" t="s">
        <v>114</v>
      </c>
      <c r="D1248" s="263" t="s">
        <v>1254</v>
      </c>
      <c r="E1248" s="327" t="s">
        <v>882</v>
      </c>
      <c r="F1248" s="600">
        <v>2</v>
      </c>
      <c r="G1248" s="600">
        <v>3</v>
      </c>
      <c r="H1248" s="600">
        <v>6</v>
      </c>
      <c r="I1248" s="257" t="s">
        <v>856</v>
      </c>
      <c r="J1248" s="599">
        <v>1982</v>
      </c>
      <c r="K1248" s="257" t="s">
        <v>1211</v>
      </c>
      <c r="L1248" s="608">
        <v>1987</v>
      </c>
      <c r="M1248" s="261">
        <v>-9999</v>
      </c>
      <c r="N1248" s="257">
        <v>-9999</v>
      </c>
      <c r="O1248" s="29"/>
      <c r="P1248" s="602">
        <v>17.64</v>
      </c>
      <c r="Q1248" s="257">
        <v>-9999</v>
      </c>
      <c r="R1248" s="261"/>
      <c r="S1248" s="257"/>
      <c r="T1248" s="370">
        <v>5.88</v>
      </c>
      <c r="U1248" s="257">
        <v>-9999</v>
      </c>
      <c r="V1248" s="257"/>
      <c r="W1248" s="609">
        <f>+P1248-P1247</f>
        <v>10.14</v>
      </c>
      <c r="X1248" s="257">
        <v>-9999</v>
      </c>
      <c r="Y1248" s="257"/>
      <c r="Z1248" s="599" t="s">
        <v>111</v>
      </c>
      <c r="AA1248" s="605">
        <v>1794</v>
      </c>
      <c r="AB1248" s="611">
        <v>1</v>
      </c>
      <c r="AC1248" s="257">
        <v>10.3</v>
      </c>
      <c r="AD1248" s="602">
        <f t="shared" si="131"/>
        <v>966</v>
      </c>
      <c r="AE1248" s="263" t="s">
        <v>97</v>
      </c>
      <c r="AF1248" s="600">
        <v>1</v>
      </c>
      <c r="AG1248" s="257">
        <v>2</v>
      </c>
      <c r="AH1248" s="257" t="s">
        <v>98</v>
      </c>
      <c r="AI1248" s="257" t="s">
        <v>985</v>
      </c>
      <c r="AJ1248" s="257">
        <v>-9999</v>
      </c>
      <c r="AK1248" s="257" t="s">
        <v>99</v>
      </c>
      <c r="AL1248" s="257" t="s">
        <v>828</v>
      </c>
      <c r="AM1248" s="257">
        <v>-9999</v>
      </c>
      <c r="AN1248" s="257" t="s">
        <v>631</v>
      </c>
      <c r="AO1248" s="257">
        <v>-9999</v>
      </c>
      <c r="AP1248" s="257">
        <v>-9999</v>
      </c>
      <c r="AQ1248" s="257" t="s">
        <v>631</v>
      </c>
      <c r="AR1248" s="257">
        <v>0</v>
      </c>
      <c r="AS1248" s="257">
        <v>-9999</v>
      </c>
      <c r="AT1248" s="257">
        <v>-9999</v>
      </c>
      <c r="AU1248" s="257">
        <v>0</v>
      </c>
      <c r="AV1248" s="257">
        <v>-9999</v>
      </c>
      <c r="AW1248" s="257"/>
      <c r="AX1248" s="257">
        <v>0</v>
      </c>
      <c r="AY1248" s="257">
        <v>-9999</v>
      </c>
      <c r="AZ1248" s="257">
        <v>-9999</v>
      </c>
      <c r="BA1248" s="257" t="s">
        <v>100</v>
      </c>
      <c r="BB1248" s="257" t="s">
        <v>626</v>
      </c>
      <c r="BC1248" s="257" t="s">
        <v>101</v>
      </c>
      <c r="BD1248" s="257" t="s">
        <v>102</v>
      </c>
      <c r="BE1248" s="257" t="s">
        <v>103</v>
      </c>
      <c r="BF1248" s="257" t="s">
        <v>104</v>
      </c>
      <c r="BG1248" s="257" t="s">
        <v>105</v>
      </c>
      <c r="BH1248" s="257" t="s">
        <v>106</v>
      </c>
      <c r="BI1248" s="257">
        <v>-9999</v>
      </c>
      <c r="BJ1248" s="257">
        <v>-9999</v>
      </c>
      <c r="BK1248" s="257">
        <v>-9999</v>
      </c>
      <c r="BL1248" s="602">
        <v>2.1</v>
      </c>
      <c r="BM1248" s="257">
        <v>-9999</v>
      </c>
      <c r="BN1248" s="602">
        <v>5.3</v>
      </c>
      <c r="BO1248" s="257">
        <v>-9999</v>
      </c>
      <c r="BP1248" s="257">
        <v>-9999</v>
      </c>
      <c r="BQ1248" s="257">
        <v>-9999</v>
      </c>
      <c r="BR1248" s="257">
        <v>-9999</v>
      </c>
      <c r="BS1248" s="263">
        <v>-9999</v>
      </c>
      <c r="BT1248" s="257">
        <v>-9999</v>
      </c>
      <c r="BU1248" s="257">
        <v>-9999</v>
      </c>
      <c r="BV1248" s="257">
        <v>-9999</v>
      </c>
      <c r="BW1248" s="257"/>
      <c r="BX1248" s="257">
        <v>-9999</v>
      </c>
      <c r="BY1248" s="257">
        <v>-9999</v>
      </c>
      <c r="BZ1248" s="257">
        <v>-9999</v>
      </c>
      <c r="CA1248" s="300" t="s">
        <v>107</v>
      </c>
      <c r="CB1248" s="264" t="s">
        <v>561</v>
      </c>
      <c r="CC1248" s="600">
        <v>2</v>
      </c>
      <c r="CD1248" s="600">
        <v>3</v>
      </c>
      <c r="CE1248" s="168">
        <v>5.88</v>
      </c>
      <c r="CF1248" s="168">
        <v>10.14</v>
      </c>
      <c r="CG1248" s="217">
        <v>6</v>
      </c>
      <c r="CH1248" s="301" t="s">
        <v>1757</v>
      </c>
      <c r="CI1248" s="149"/>
      <c r="CJ1248" s="149"/>
      <c r="CK1248" s="149"/>
      <c r="CL1248" s="149"/>
      <c r="CM1248" s="149"/>
      <c r="CN1248" s="149"/>
      <c r="CO1248" s="149"/>
      <c r="CP1248" s="149"/>
      <c r="CQ1248" s="149"/>
      <c r="CR1248" s="149"/>
      <c r="CS1248" s="149"/>
      <c r="CT1248" s="149"/>
      <c r="CU1248" s="149"/>
      <c r="CV1248" s="149"/>
      <c r="CW1248" s="149"/>
      <c r="CX1248" s="149"/>
      <c r="CY1248" s="149"/>
      <c r="CZ1248" s="149"/>
      <c r="DA1248" s="149"/>
      <c r="DB1248" s="149"/>
      <c r="DC1248" s="149"/>
      <c r="DD1248" s="149"/>
      <c r="DE1248" s="149"/>
      <c r="DF1248" s="149"/>
      <c r="DG1248" s="149"/>
      <c r="DH1248" s="149"/>
      <c r="DI1248" s="149"/>
      <c r="DJ1248" s="149"/>
      <c r="DK1248" s="149"/>
      <c r="DL1248" s="149"/>
      <c r="DM1248" s="149"/>
      <c r="DN1248" s="149"/>
      <c r="DO1248" s="149"/>
      <c r="DP1248" s="149"/>
      <c r="DQ1248" s="149"/>
      <c r="DR1248" s="149"/>
      <c r="DS1248" s="149"/>
      <c r="DT1248" s="149"/>
      <c r="DU1248" s="149"/>
      <c r="DV1248" s="149"/>
      <c r="DW1248" s="149"/>
      <c r="DX1248" s="149"/>
      <c r="DY1248" s="149"/>
      <c r="DZ1248" s="149"/>
      <c r="EA1248" s="149"/>
      <c r="EB1248" s="149"/>
      <c r="EC1248" s="149"/>
      <c r="ED1248" s="149"/>
      <c r="EE1248" s="149"/>
      <c r="EF1248" s="149"/>
      <c r="EG1248" s="149"/>
      <c r="EH1248" s="149"/>
      <c r="EI1248" s="149"/>
      <c r="EJ1248" s="149"/>
      <c r="EK1248" s="149"/>
      <c r="EL1248" s="149"/>
      <c r="EM1248" s="149"/>
      <c r="EN1248" s="149"/>
      <c r="EO1248" s="149"/>
      <c r="EP1248" s="149"/>
      <c r="EQ1248" s="149"/>
      <c r="ER1248" s="149"/>
      <c r="ES1248" s="149"/>
      <c r="ET1248" s="149"/>
      <c r="EU1248" s="149"/>
      <c r="EV1248" s="149"/>
      <c r="EW1248" s="149"/>
      <c r="EX1248" s="149"/>
      <c r="EY1248" s="149"/>
      <c r="EZ1248" s="149"/>
      <c r="FA1248" s="149"/>
      <c r="FB1248" s="149"/>
      <c r="FC1248" s="149"/>
      <c r="FD1248" s="149"/>
      <c r="FE1248" s="149"/>
      <c r="FF1248" s="149"/>
      <c r="FG1248" s="149"/>
      <c r="FH1248" s="149"/>
      <c r="FI1248" s="149"/>
      <c r="FJ1248" s="149"/>
      <c r="FK1248" s="149"/>
      <c r="FL1248" s="149"/>
      <c r="FM1248" s="149"/>
      <c r="FN1248" s="149"/>
      <c r="FO1248" s="149"/>
      <c r="FP1248" s="149"/>
      <c r="FQ1248" s="149"/>
      <c r="FR1248" s="149"/>
      <c r="FS1248" s="149"/>
      <c r="FT1248" s="149"/>
      <c r="FU1248" s="149"/>
      <c r="FV1248" s="149"/>
      <c r="FW1248" s="149"/>
      <c r="FX1248" s="149"/>
      <c r="FY1248" s="149"/>
      <c r="FZ1248" s="149"/>
      <c r="GA1248" s="149"/>
      <c r="GB1248" s="149"/>
      <c r="GC1248" s="149"/>
      <c r="GD1248" s="149"/>
      <c r="GE1248" s="149"/>
      <c r="GF1248" s="149"/>
      <c r="GG1248" s="149"/>
      <c r="GH1248" s="149"/>
      <c r="GI1248" s="149"/>
      <c r="GJ1248" s="149"/>
      <c r="GK1248" s="149"/>
      <c r="GL1248" s="149"/>
      <c r="GM1248" s="149"/>
      <c r="GN1248" s="149"/>
      <c r="GO1248" s="149"/>
      <c r="GP1248" s="149"/>
      <c r="GQ1248" s="149"/>
      <c r="GR1248" s="149"/>
      <c r="GS1248" s="149"/>
      <c r="GT1248" s="149"/>
      <c r="GU1248" s="149"/>
      <c r="GV1248" s="149"/>
      <c r="GW1248" s="149"/>
      <c r="GX1248" s="149"/>
      <c r="GY1248" s="149"/>
      <c r="GZ1248" s="149"/>
      <c r="HA1248" s="149"/>
      <c r="HB1248" s="149"/>
      <c r="HC1248" s="149"/>
      <c r="HD1248" s="149"/>
      <c r="HE1248" s="149"/>
      <c r="HF1248" s="149"/>
      <c r="HG1248" s="149"/>
      <c r="HH1248" s="149"/>
      <c r="HI1248" s="149"/>
      <c r="HJ1248" s="149"/>
      <c r="HK1248" s="149"/>
      <c r="HL1248" s="149"/>
      <c r="HM1248" s="149"/>
      <c r="HN1248" s="149"/>
      <c r="HO1248" s="149"/>
      <c r="HP1248" s="149"/>
      <c r="HQ1248" s="149"/>
      <c r="HR1248" s="149"/>
      <c r="HS1248" s="149"/>
      <c r="HT1248" s="149"/>
      <c r="HU1248" s="149"/>
      <c r="HV1248" s="149"/>
      <c r="HW1248" s="149"/>
      <c r="HX1248" s="149"/>
      <c r="HY1248" s="149"/>
      <c r="HZ1248" s="149"/>
      <c r="IA1248" s="149"/>
      <c r="IB1248" s="149"/>
      <c r="IC1248" s="149"/>
      <c r="ID1248" s="149"/>
      <c r="IE1248" s="149"/>
      <c r="IF1248" s="149"/>
      <c r="IG1248" s="149"/>
      <c r="IH1248" s="149"/>
      <c r="II1248" s="149"/>
      <c r="IJ1248" s="149"/>
      <c r="IK1248" s="149"/>
      <c r="IL1248" s="149"/>
      <c r="IM1248" s="149"/>
      <c r="IN1248" s="149"/>
      <c r="IO1248" s="149"/>
      <c r="IP1248" s="149"/>
      <c r="IQ1248" s="149"/>
      <c r="IR1248" s="149"/>
      <c r="IS1248" s="149"/>
      <c r="IT1248" s="149"/>
      <c r="IU1248" s="149"/>
      <c r="IV1248" s="149"/>
      <c r="IW1248" s="149"/>
      <c r="IX1248" s="149"/>
      <c r="IY1248" s="149"/>
      <c r="IZ1248" s="149"/>
      <c r="JA1248" s="149"/>
      <c r="JB1248" s="149"/>
      <c r="JC1248" s="149"/>
      <c r="JD1248" s="149"/>
      <c r="JE1248" s="149"/>
      <c r="JF1248" s="149"/>
      <c r="JG1248" s="149"/>
      <c r="JH1248" s="149"/>
      <c r="JI1248" s="149"/>
      <c r="JJ1248" s="149"/>
      <c r="JK1248" s="149"/>
      <c r="JL1248" s="149"/>
      <c r="JM1248" s="149"/>
      <c r="JN1248" s="149"/>
      <c r="JO1248" s="149"/>
      <c r="JP1248" s="149"/>
      <c r="JQ1248" s="149"/>
      <c r="JR1248" s="149"/>
      <c r="JS1248" s="149"/>
      <c r="JT1248" s="149"/>
      <c r="JU1248" s="149"/>
      <c r="JV1248" s="149"/>
      <c r="JW1248" s="149"/>
      <c r="JX1248" s="149"/>
      <c r="JY1248" s="149"/>
      <c r="JZ1248" s="149"/>
      <c r="KA1248" s="149"/>
      <c r="KB1248" s="149"/>
      <c r="KC1248" s="149"/>
      <c r="KD1248" s="149"/>
      <c r="KE1248" s="149"/>
      <c r="KF1248" s="149"/>
      <c r="KG1248" s="149"/>
      <c r="KH1248" s="149"/>
      <c r="KI1248" s="149"/>
      <c r="KJ1248" s="149"/>
      <c r="KK1248" s="149"/>
      <c r="KL1248" s="149"/>
      <c r="KM1248" s="149"/>
      <c r="KN1248" s="149"/>
      <c r="KO1248" s="149"/>
      <c r="KP1248" s="149"/>
      <c r="KQ1248" s="149"/>
      <c r="KR1248" s="149"/>
      <c r="KS1248" s="149"/>
      <c r="KT1248" s="149"/>
      <c r="KU1248" s="149"/>
      <c r="KV1248" s="149"/>
      <c r="KW1248" s="149"/>
      <c r="KX1248" s="149"/>
      <c r="KY1248" s="149"/>
      <c r="KZ1248" s="149"/>
      <c r="LA1248" s="149"/>
      <c r="LB1248" s="149"/>
      <c r="LC1248" s="149"/>
      <c r="LD1248" s="149"/>
      <c r="LE1248" s="149"/>
      <c r="LF1248" s="149"/>
      <c r="LG1248" s="149"/>
      <c r="LH1248" s="149"/>
      <c r="LI1248" s="149"/>
      <c r="LJ1248" s="149"/>
      <c r="LK1248" s="149"/>
      <c r="LL1248" s="149"/>
      <c r="LM1248" s="149"/>
      <c r="LN1248" s="149"/>
      <c r="LO1248" s="149"/>
      <c r="LP1248" s="149"/>
      <c r="LQ1248" s="149"/>
      <c r="LR1248" s="149"/>
      <c r="LS1248" s="149"/>
      <c r="LT1248" s="149"/>
      <c r="LU1248" s="149"/>
      <c r="LV1248" s="149"/>
      <c r="LW1248" s="149"/>
      <c r="LX1248" s="149"/>
      <c r="LY1248" s="149"/>
      <c r="LZ1248" s="149"/>
      <c r="MA1248" s="149"/>
      <c r="MB1248" s="149"/>
      <c r="MC1248" s="149"/>
      <c r="MD1248" s="149"/>
      <c r="ME1248" s="149"/>
      <c r="MF1248" s="149"/>
      <c r="MG1248" s="149"/>
      <c r="MH1248" s="149"/>
      <c r="MI1248" s="149"/>
      <c r="MJ1248" s="149"/>
      <c r="MK1248" s="149"/>
      <c r="ML1248" s="149"/>
      <c r="MM1248" s="149"/>
      <c r="MN1248" s="149"/>
      <c r="MO1248" s="149"/>
      <c r="MP1248" s="149"/>
      <c r="MQ1248" s="149"/>
      <c r="MR1248" s="149"/>
      <c r="MS1248" s="149"/>
      <c r="MT1248" s="149"/>
      <c r="MU1248" s="149"/>
      <c r="MV1248" s="149"/>
      <c r="MW1248" s="149"/>
      <c r="MX1248" s="149"/>
      <c r="MY1248" s="149"/>
      <c r="MZ1248" s="149"/>
      <c r="NA1248" s="149"/>
      <c r="NB1248" s="149"/>
      <c r="NC1248" s="149"/>
      <c r="ND1248" s="149"/>
      <c r="NE1248" s="149"/>
      <c r="NF1248" s="149"/>
      <c r="NG1248" s="149"/>
      <c r="NH1248" s="149"/>
      <c r="NI1248" s="149"/>
      <c r="NJ1248" s="149"/>
      <c r="NK1248" s="149"/>
      <c r="NL1248" s="149"/>
      <c r="NM1248" s="149"/>
      <c r="NN1248" s="149"/>
      <c r="NO1248" s="149"/>
      <c r="NP1248" s="149"/>
      <c r="NQ1248" s="149"/>
      <c r="NR1248" s="149"/>
      <c r="NS1248" s="149"/>
      <c r="NT1248" s="149"/>
      <c r="NU1248" s="149"/>
      <c r="NV1248" s="149"/>
      <c r="NW1248" s="149"/>
      <c r="NX1248" s="149"/>
      <c r="NY1248" s="149"/>
      <c r="NZ1248" s="149"/>
      <c r="OA1248" s="149"/>
      <c r="OB1248" s="149"/>
      <c r="OC1248" s="149"/>
      <c r="OD1248" s="149"/>
      <c r="OE1248" s="149"/>
      <c r="OF1248" s="149"/>
      <c r="OG1248" s="149"/>
      <c r="OH1248" s="149"/>
      <c r="OI1248" s="149"/>
      <c r="OJ1248" s="149"/>
      <c r="OK1248" s="149"/>
      <c r="OL1248" s="149"/>
      <c r="OM1248" s="149"/>
      <c r="ON1248" s="149"/>
      <c r="OO1248" s="149"/>
      <c r="OP1248" s="149"/>
      <c r="OQ1248" s="149"/>
      <c r="OR1248" s="149"/>
      <c r="OS1248" s="149"/>
      <c r="OT1248" s="149"/>
      <c r="OU1248" s="149"/>
      <c r="OV1248" s="149"/>
      <c r="OW1248" s="149"/>
      <c r="OX1248" s="149"/>
      <c r="OY1248" s="149"/>
      <c r="OZ1248" s="149"/>
      <c r="PA1248" s="149"/>
      <c r="PB1248" s="149"/>
      <c r="PC1248" s="149"/>
      <c r="PD1248" s="149"/>
      <c r="PE1248" s="149"/>
      <c r="PF1248" s="149"/>
      <c r="PG1248" s="149"/>
      <c r="PH1248" s="149"/>
      <c r="PI1248" s="149"/>
      <c r="PJ1248" s="149"/>
      <c r="PK1248" s="149"/>
      <c r="PL1248" s="149"/>
      <c r="PM1248" s="149"/>
      <c r="PN1248" s="149"/>
      <c r="PO1248" s="149"/>
      <c r="PP1248" s="149"/>
      <c r="PQ1248" s="149"/>
      <c r="PR1248" s="149"/>
      <c r="PS1248" s="149"/>
      <c r="PT1248" s="149"/>
      <c r="PU1248" s="149"/>
      <c r="PV1248" s="149"/>
      <c r="PW1248" s="149"/>
      <c r="PX1248" s="149"/>
      <c r="PY1248" s="149"/>
      <c r="PZ1248" s="149"/>
      <c r="QA1248" s="149"/>
      <c r="QB1248" s="149"/>
      <c r="QC1248" s="149"/>
      <c r="QD1248" s="149"/>
      <c r="QE1248" s="149"/>
      <c r="QF1248" s="149"/>
      <c r="QG1248" s="149"/>
      <c r="QH1248" s="149"/>
      <c r="QI1248" s="149"/>
      <c r="QJ1248" s="149"/>
      <c r="QK1248" s="149"/>
      <c r="QL1248" s="149"/>
      <c r="QM1248" s="149"/>
      <c r="QN1248" s="149"/>
      <c r="QO1248" s="149"/>
      <c r="QP1248" s="149"/>
      <c r="QQ1248" s="149"/>
      <c r="QR1248" s="149"/>
      <c r="QS1248" s="149"/>
      <c r="QT1248" s="149"/>
      <c r="QU1248" s="149"/>
      <c r="QV1248" s="149"/>
      <c r="QW1248" s="149"/>
      <c r="QX1248" s="149"/>
      <c r="QY1248" s="149"/>
      <c r="QZ1248" s="149"/>
      <c r="RA1248" s="149"/>
      <c r="RB1248" s="149"/>
      <c r="RC1248" s="149"/>
      <c r="RD1248" s="149"/>
      <c r="RE1248" s="149"/>
      <c r="RF1248" s="149"/>
      <c r="RG1248" s="149"/>
      <c r="RH1248" s="149"/>
      <c r="RI1248" s="149"/>
      <c r="RJ1248" s="149"/>
      <c r="RK1248" s="149"/>
      <c r="RL1248" s="149"/>
      <c r="RM1248" s="149"/>
      <c r="RN1248" s="149"/>
      <c r="RO1248" s="149"/>
      <c r="RP1248" s="149"/>
      <c r="RQ1248" s="149"/>
      <c r="RR1248" s="149"/>
      <c r="RS1248" s="149"/>
      <c r="RT1248" s="149"/>
      <c r="RU1248" s="149"/>
      <c r="RV1248" s="149"/>
      <c r="RW1248" s="149"/>
      <c r="RX1248" s="149"/>
      <c r="RY1248" s="149"/>
      <c r="RZ1248" s="149"/>
      <c r="SA1248" s="149"/>
      <c r="SB1248" s="149"/>
      <c r="SC1248" s="149"/>
      <c r="SD1248" s="149"/>
      <c r="SE1248" s="149"/>
      <c r="SF1248" s="149"/>
      <c r="SG1248" s="149"/>
      <c r="SH1248" s="149"/>
      <c r="SI1248" s="149"/>
      <c r="SJ1248" s="149"/>
      <c r="SK1248" s="149"/>
      <c r="SL1248" s="149"/>
      <c r="SM1248" s="149"/>
      <c r="SN1248" s="149"/>
      <c r="SO1248" s="149"/>
      <c r="SP1248" s="149"/>
      <c r="SQ1248" s="149"/>
      <c r="SR1248" s="149"/>
      <c r="SS1248" s="149"/>
      <c r="ST1248" s="149"/>
      <c r="SU1248" s="149"/>
      <c r="SV1248" s="149"/>
      <c r="SW1248" s="149"/>
      <c r="SX1248" s="149"/>
      <c r="SY1248" s="149"/>
      <c r="SZ1248" s="149"/>
      <c r="TA1248" s="149"/>
      <c r="TB1248" s="149"/>
      <c r="TC1248" s="149"/>
      <c r="TD1248" s="149"/>
      <c r="TE1248" s="149"/>
      <c r="TF1248" s="149"/>
      <c r="TG1248" s="149"/>
      <c r="TH1248" s="149"/>
      <c r="TI1248" s="149"/>
      <c r="TJ1248" s="149"/>
      <c r="TK1248" s="149"/>
      <c r="TL1248" s="149"/>
      <c r="TM1248" s="149"/>
      <c r="TN1248" s="149"/>
      <c r="TO1248" s="149"/>
      <c r="TP1248" s="149"/>
      <c r="TQ1248" s="149"/>
      <c r="TR1248" s="149"/>
      <c r="TS1248" s="149"/>
      <c r="TT1248" s="149"/>
      <c r="TU1248" s="149"/>
      <c r="TV1248" s="149"/>
      <c r="TW1248" s="149"/>
      <c r="TX1248" s="149"/>
      <c r="TY1248" s="149"/>
      <c r="TZ1248" s="149"/>
      <c r="UA1248" s="149"/>
      <c r="UB1248" s="149"/>
      <c r="UC1248" s="149"/>
      <c r="UD1248" s="149"/>
      <c r="UE1248" s="149"/>
      <c r="UF1248" s="149"/>
      <c r="UG1248" s="149"/>
      <c r="UH1248" s="149"/>
      <c r="UI1248" s="149"/>
      <c r="UJ1248" s="149"/>
      <c r="UK1248" s="149"/>
      <c r="UL1248" s="149"/>
      <c r="UM1248" s="149"/>
      <c r="UN1248" s="149"/>
      <c r="UO1248" s="149"/>
      <c r="UP1248" s="149"/>
      <c r="UQ1248" s="149"/>
      <c r="UR1248" s="149"/>
      <c r="US1248" s="149"/>
      <c r="UT1248" s="149"/>
      <c r="UU1248" s="149"/>
      <c r="UV1248" s="149"/>
      <c r="UW1248" s="149"/>
      <c r="UX1248" s="149"/>
      <c r="UY1248" s="149"/>
      <c r="UZ1248" s="149"/>
      <c r="VA1248" s="149"/>
      <c r="VB1248" s="149"/>
      <c r="VC1248" s="149"/>
      <c r="VD1248" s="149"/>
      <c r="VE1248" s="149"/>
      <c r="VF1248" s="149"/>
      <c r="VG1248" s="149"/>
      <c r="VH1248" s="149"/>
      <c r="VI1248" s="149"/>
      <c r="VJ1248" s="149"/>
      <c r="VK1248" s="149"/>
      <c r="VL1248" s="149"/>
      <c r="VM1248" s="149"/>
      <c r="VN1248" s="149"/>
      <c r="VO1248" s="149"/>
      <c r="VP1248" s="149"/>
      <c r="VQ1248" s="149"/>
      <c r="VR1248" s="149"/>
      <c r="VS1248" s="149"/>
      <c r="VT1248" s="149"/>
      <c r="VU1248" s="149"/>
      <c r="VV1248" s="149"/>
      <c r="VW1248" s="149"/>
      <c r="VX1248" s="149"/>
      <c r="VY1248" s="149"/>
      <c r="VZ1248" s="149"/>
      <c r="WA1248" s="149"/>
      <c r="WB1248" s="149"/>
      <c r="WC1248" s="149"/>
      <c r="WD1248" s="149"/>
      <c r="WE1248" s="149"/>
      <c r="WF1248" s="149"/>
      <c r="WG1248" s="149"/>
      <c r="WH1248" s="149"/>
      <c r="WI1248" s="149"/>
      <c r="WJ1248" s="149"/>
      <c r="WK1248" s="149"/>
      <c r="WL1248" s="149"/>
      <c r="WM1248" s="149"/>
      <c r="WN1248" s="149"/>
      <c r="WO1248" s="149"/>
      <c r="WP1248" s="149"/>
      <c r="WQ1248" s="149"/>
      <c r="WR1248" s="149"/>
      <c r="WS1248" s="149"/>
      <c r="WT1248" s="149"/>
      <c r="WU1248" s="149"/>
      <c r="WV1248" s="149"/>
      <c r="WW1248" s="149"/>
      <c r="WX1248" s="149"/>
      <c r="WY1248" s="149"/>
      <c r="WZ1248" s="149"/>
      <c r="XA1248" s="149"/>
      <c r="XB1248" s="149"/>
      <c r="XC1248" s="149"/>
      <c r="XD1248" s="149"/>
      <c r="XE1248" s="149"/>
      <c r="XF1248" s="149"/>
      <c r="XG1248" s="149"/>
      <c r="XH1248" s="149"/>
      <c r="XI1248" s="149"/>
      <c r="XJ1248" s="149"/>
      <c r="XK1248" s="149"/>
      <c r="XL1248" s="149"/>
      <c r="XM1248" s="149"/>
      <c r="XN1248" s="149"/>
      <c r="XO1248" s="149"/>
      <c r="XP1248" s="149"/>
      <c r="XQ1248" s="149"/>
      <c r="XR1248" s="149"/>
      <c r="XS1248" s="149"/>
      <c r="XT1248" s="149"/>
      <c r="XU1248" s="149"/>
      <c r="XV1248" s="149"/>
      <c r="XW1248" s="149"/>
      <c r="XX1248" s="149"/>
      <c r="XY1248" s="149"/>
      <c r="XZ1248" s="149"/>
      <c r="YA1248" s="149"/>
      <c r="YB1248" s="149"/>
      <c r="YC1248" s="149"/>
      <c r="YD1248" s="149"/>
      <c r="YE1248" s="149"/>
      <c r="YF1248" s="149"/>
      <c r="YG1248" s="149"/>
      <c r="YH1248" s="149"/>
      <c r="YI1248" s="149"/>
      <c r="YJ1248" s="149"/>
      <c r="YK1248" s="149"/>
      <c r="YL1248" s="149"/>
      <c r="YM1248" s="149"/>
      <c r="YN1248" s="149"/>
      <c r="YO1248" s="149"/>
      <c r="YP1248" s="149"/>
      <c r="YQ1248" s="149"/>
      <c r="YR1248" s="149"/>
      <c r="YS1248" s="149"/>
      <c r="YT1248" s="149"/>
      <c r="YU1248" s="149"/>
      <c r="YV1248" s="149"/>
      <c r="YW1248" s="149"/>
      <c r="YX1248" s="149"/>
      <c r="YY1248" s="149"/>
      <c r="YZ1248" s="149"/>
      <c r="ZA1248" s="149"/>
      <c r="ZB1248" s="149"/>
      <c r="ZC1248" s="149"/>
      <c r="ZD1248" s="149"/>
      <c r="ZE1248" s="149"/>
      <c r="ZF1248" s="149"/>
      <c r="ZG1248" s="149"/>
      <c r="ZH1248" s="149"/>
      <c r="ZI1248" s="149"/>
      <c r="ZJ1248" s="149"/>
      <c r="ZK1248" s="149"/>
      <c r="ZL1248" s="149"/>
      <c r="ZM1248" s="149"/>
      <c r="ZN1248" s="149"/>
      <c r="ZO1248" s="149"/>
      <c r="ZP1248" s="149"/>
      <c r="ZQ1248" s="149"/>
      <c r="ZR1248" s="149"/>
      <c r="ZS1248" s="149"/>
      <c r="ZT1248" s="149"/>
      <c r="ZU1248" s="149"/>
      <c r="ZV1248" s="149"/>
      <c r="ZW1248" s="149"/>
      <c r="ZX1248" s="149"/>
      <c r="ZY1248" s="149"/>
      <c r="ZZ1248" s="149"/>
      <c r="AAA1248" s="149"/>
      <c r="AAB1248" s="149"/>
      <c r="AAC1248" s="149"/>
      <c r="AAD1248" s="149"/>
      <c r="AAE1248" s="149"/>
      <c r="AAF1248" s="149"/>
      <c r="AAG1248" s="149"/>
      <c r="AAH1248" s="149"/>
      <c r="AAI1248" s="149"/>
      <c r="AAJ1248" s="149"/>
      <c r="AAK1248" s="149"/>
      <c r="AAL1248" s="149"/>
      <c r="AAM1248" s="149"/>
      <c r="AAN1248" s="149"/>
      <c r="AAO1248" s="149"/>
      <c r="AAP1248" s="149"/>
      <c r="AAQ1248" s="149"/>
      <c r="AAR1248" s="149"/>
      <c r="AAS1248" s="149"/>
      <c r="AAT1248" s="149"/>
      <c r="AAU1248" s="149"/>
      <c r="AAV1248" s="149"/>
      <c r="AAW1248" s="149"/>
      <c r="AAX1248" s="149"/>
      <c r="AAY1248" s="149"/>
      <c r="AAZ1248" s="149"/>
      <c r="ABA1248" s="149"/>
      <c r="ABB1248" s="149"/>
      <c r="ABC1248" s="149"/>
      <c r="ABD1248" s="149"/>
      <c r="ABE1248" s="149"/>
      <c r="ABF1248" s="149"/>
      <c r="ABG1248" s="149"/>
      <c r="ABH1248" s="149"/>
      <c r="ABI1248" s="149"/>
      <c r="ABJ1248" s="149"/>
      <c r="ABK1248" s="149"/>
      <c r="ABL1248" s="149"/>
      <c r="ABM1248" s="149"/>
      <c r="ABN1248" s="149"/>
      <c r="ABO1248" s="149"/>
      <c r="ABP1248" s="149"/>
      <c r="ABQ1248" s="149"/>
      <c r="ABR1248" s="149"/>
      <c r="ABS1248" s="149"/>
      <c r="ABT1248" s="149"/>
      <c r="ABU1248" s="149"/>
      <c r="ABV1248" s="149"/>
      <c r="ABW1248" s="149"/>
      <c r="ABX1248" s="149"/>
      <c r="ABY1248" s="149"/>
      <c r="ABZ1248" s="149"/>
      <c r="ACA1248" s="149"/>
      <c r="ACB1248" s="149"/>
      <c r="ACC1248" s="149"/>
      <c r="ACD1248" s="149"/>
      <c r="ACE1248" s="149"/>
      <c r="ACF1248" s="149"/>
      <c r="ACG1248" s="149"/>
      <c r="ACH1248" s="149"/>
      <c r="ACI1248" s="149"/>
      <c r="ACJ1248" s="149"/>
      <c r="ACK1248" s="149"/>
      <c r="ACL1248" s="149"/>
      <c r="ACM1248" s="149"/>
      <c r="ACN1248" s="149"/>
      <c r="ACO1248" s="149"/>
      <c r="ACP1248" s="149"/>
      <c r="ACQ1248" s="149"/>
      <c r="ACR1248" s="149"/>
      <c r="ACS1248" s="149"/>
      <c r="ACT1248" s="149"/>
      <c r="ACU1248" s="149"/>
      <c r="ACV1248" s="149"/>
      <c r="ACW1248" s="149"/>
      <c r="ACX1248" s="149"/>
      <c r="ACY1248" s="149"/>
      <c r="ACZ1248" s="149"/>
      <c r="ADA1248" s="149"/>
      <c r="ADB1248" s="149"/>
      <c r="ADC1248" s="149"/>
      <c r="ADD1248" s="149"/>
      <c r="ADE1248" s="149"/>
      <c r="ADF1248" s="149"/>
      <c r="ADG1248" s="149"/>
      <c r="ADH1248" s="149"/>
      <c r="ADI1248" s="149"/>
      <c r="ADJ1248" s="149"/>
      <c r="ADK1248" s="149"/>
      <c r="ADL1248" s="149"/>
      <c r="ADM1248" s="149"/>
      <c r="ADN1248" s="149"/>
      <c r="ADO1248" s="149"/>
      <c r="ADP1248" s="149"/>
      <c r="ADQ1248" s="149"/>
      <c r="ADR1248" s="149"/>
      <c r="ADS1248" s="149"/>
      <c r="ADT1248" s="149"/>
      <c r="ADU1248" s="149"/>
      <c r="ADV1248" s="149"/>
      <c r="ADW1248" s="149"/>
      <c r="ADX1248" s="149"/>
      <c r="ADY1248" s="149"/>
      <c r="ADZ1248" s="149"/>
      <c r="AEA1248" s="149"/>
      <c r="AEB1248" s="149"/>
      <c r="AEC1248" s="149"/>
      <c r="AED1248" s="149"/>
      <c r="AEE1248" s="149"/>
      <c r="AEF1248" s="149"/>
      <c r="AEG1248" s="149"/>
      <c r="AEH1248" s="149"/>
      <c r="AEI1248" s="149"/>
      <c r="AEJ1248" s="149"/>
      <c r="AEK1248" s="149"/>
      <c r="AEL1248" s="149"/>
      <c r="AEM1248" s="149"/>
      <c r="AEN1248" s="149"/>
      <c r="AEO1248" s="149"/>
      <c r="AEP1248" s="149"/>
      <c r="AEQ1248" s="149"/>
      <c r="AER1248" s="149"/>
      <c r="AES1248" s="149"/>
      <c r="AET1248" s="149"/>
      <c r="AEU1248" s="149"/>
      <c r="AEV1248" s="149"/>
      <c r="AEW1248" s="149"/>
      <c r="AEX1248" s="149"/>
      <c r="AEY1248" s="149"/>
      <c r="AEZ1248" s="149"/>
      <c r="AFA1248" s="149"/>
      <c r="AFB1248" s="149"/>
      <c r="AFC1248" s="149"/>
      <c r="AFD1248" s="149"/>
      <c r="AFE1248" s="149"/>
      <c r="AFF1248" s="149"/>
      <c r="AFG1248" s="149"/>
      <c r="AFH1248" s="149"/>
      <c r="AFI1248" s="149"/>
      <c r="AFJ1248" s="149"/>
      <c r="AFK1248" s="149"/>
      <c r="AFL1248" s="149"/>
      <c r="AFM1248" s="149"/>
      <c r="AFN1248" s="149"/>
      <c r="AFO1248" s="149"/>
      <c r="AFP1248" s="149"/>
      <c r="AFQ1248" s="149"/>
      <c r="AFR1248" s="149"/>
      <c r="AFS1248" s="149"/>
      <c r="AFT1248" s="149"/>
      <c r="AFU1248" s="149"/>
      <c r="AFV1248" s="149"/>
      <c r="AFW1248" s="149"/>
      <c r="AFX1248" s="149"/>
      <c r="AFY1248" s="149"/>
      <c r="AFZ1248" s="149"/>
      <c r="AGA1248" s="149"/>
      <c r="AGB1248" s="149"/>
      <c r="AGC1248" s="149"/>
      <c r="AGD1248" s="149"/>
      <c r="AGE1248" s="149"/>
      <c r="AGF1248" s="149"/>
      <c r="AGG1248" s="149"/>
      <c r="AGH1248" s="149"/>
      <c r="AGI1248" s="149"/>
      <c r="AGJ1248" s="149"/>
      <c r="AGK1248" s="149"/>
      <c r="AGL1248" s="149"/>
      <c r="AGM1248" s="149"/>
      <c r="AGN1248" s="149"/>
      <c r="AGO1248" s="149"/>
      <c r="AGP1248" s="149"/>
      <c r="AGQ1248" s="149"/>
      <c r="AGR1248" s="149"/>
      <c r="AGS1248" s="149"/>
      <c r="AGT1248" s="149"/>
      <c r="AGU1248" s="149"/>
      <c r="AGV1248" s="149"/>
      <c r="AGW1248" s="149"/>
      <c r="AGX1248" s="149"/>
      <c r="AGY1248" s="149"/>
      <c r="AGZ1248" s="149"/>
      <c r="AHA1248" s="149"/>
      <c r="AHB1248" s="149"/>
      <c r="AHC1248" s="149"/>
      <c r="AHD1248" s="149"/>
      <c r="AHE1248" s="149"/>
      <c r="AHF1248" s="149"/>
      <c r="AHG1248" s="149"/>
      <c r="AHH1248" s="149"/>
      <c r="AHI1248" s="149"/>
      <c r="AHJ1248" s="149"/>
      <c r="AHK1248" s="149"/>
      <c r="AHL1248" s="149"/>
      <c r="AHM1248" s="149"/>
      <c r="AHN1248" s="149"/>
      <c r="AHO1248" s="149"/>
      <c r="AHP1248" s="149"/>
      <c r="AHQ1248" s="149"/>
      <c r="AHR1248" s="149"/>
      <c r="AHS1248" s="149"/>
      <c r="AHT1248" s="149"/>
      <c r="AHU1248" s="149"/>
      <c r="AHV1248" s="149"/>
      <c r="AHW1248" s="149"/>
      <c r="AHX1248" s="149"/>
      <c r="AHY1248" s="149"/>
      <c r="AHZ1248" s="149"/>
      <c r="AIA1248" s="149"/>
      <c r="AIB1248" s="149"/>
      <c r="AIC1248" s="149"/>
      <c r="AID1248" s="149"/>
      <c r="AIE1248" s="149"/>
      <c r="AIF1248" s="149"/>
      <c r="AIG1248" s="149"/>
      <c r="AIH1248" s="149"/>
      <c r="AII1248" s="149"/>
      <c r="AIJ1248" s="149"/>
      <c r="AIK1248" s="149"/>
      <c r="AIL1248" s="149"/>
      <c r="AIM1248" s="149"/>
      <c r="AIN1248" s="149"/>
      <c r="AIO1248" s="149"/>
      <c r="AIP1248" s="149"/>
      <c r="AIQ1248" s="149"/>
      <c r="AIR1248" s="149"/>
      <c r="AIS1248" s="149"/>
      <c r="AIT1248" s="149"/>
      <c r="AIU1248" s="149"/>
      <c r="AIV1248" s="149"/>
      <c r="AIW1248" s="149"/>
      <c r="AIX1248" s="149"/>
      <c r="AIY1248" s="149"/>
      <c r="AIZ1248" s="149"/>
      <c r="AJA1248" s="149"/>
      <c r="AJB1248" s="149"/>
      <c r="AJC1248" s="149"/>
      <c r="AJD1248" s="149"/>
      <c r="AJE1248" s="149"/>
      <c r="AJF1248" s="149"/>
      <c r="AJG1248" s="149"/>
      <c r="AJH1248" s="149"/>
      <c r="AJI1248" s="149"/>
      <c r="AJJ1248" s="149"/>
      <c r="AJK1248" s="149"/>
      <c r="AJL1248" s="149"/>
      <c r="AJM1248" s="149"/>
      <c r="AJN1248" s="149"/>
      <c r="AJO1248" s="149"/>
      <c r="AJP1248" s="149"/>
      <c r="AJQ1248" s="149"/>
      <c r="AJR1248" s="149"/>
      <c r="AJS1248" s="149"/>
      <c r="AJT1248" s="149"/>
      <c r="AJU1248" s="149"/>
      <c r="AJV1248" s="149"/>
      <c r="AJW1248" s="149"/>
      <c r="AJX1248" s="149"/>
      <c r="AJY1248" s="149"/>
      <c r="AJZ1248" s="149"/>
      <c r="AKA1248" s="149"/>
      <c r="AKB1248" s="149"/>
      <c r="AKC1248" s="149"/>
      <c r="AKD1248" s="149"/>
      <c r="AKE1248" s="149"/>
      <c r="AKF1248" s="149"/>
      <c r="AKG1248" s="149"/>
      <c r="AKH1248" s="149"/>
      <c r="AKI1248" s="149"/>
      <c r="AKJ1248" s="149"/>
      <c r="AKK1248" s="149"/>
      <c r="AKL1248" s="149"/>
      <c r="AKM1248" s="149"/>
      <c r="AKN1248" s="149"/>
      <c r="AKO1248" s="149"/>
      <c r="AKP1248" s="149"/>
      <c r="AKQ1248" s="149"/>
      <c r="AKR1248" s="149"/>
      <c r="AKS1248" s="149"/>
      <c r="AKT1248" s="149"/>
      <c r="AKU1248" s="149"/>
      <c r="AKV1248" s="149"/>
      <c r="AKW1248" s="149"/>
      <c r="AKX1248" s="149"/>
      <c r="AKY1248" s="149"/>
      <c r="AKZ1248" s="149"/>
      <c r="ALA1248" s="149"/>
      <c r="ALB1248" s="149"/>
      <c r="ALC1248" s="149"/>
      <c r="ALD1248" s="149"/>
      <c r="ALE1248" s="149"/>
      <c r="ALF1248" s="149"/>
      <c r="ALG1248" s="149"/>
      <c r="ALH1248" s="149"/>
      <c r="ALI1248" s="149"/>
      <c r="ALJ1248" s="149"/>
      <c r="ALK1248" s="149"/>
      <c r="ALL1248" s="149"/>
      <c r="ALM1248" s="149"/>
      <c r="ALN1248" s="149"/>
      <c r="ALO1248" s="149"/>
      <c r="ALP1248" s="149"/>
      <c r="ALQ1248" s="149"/>
      <c r="ALR1248" s="149"/>
      <c r="ALS1248" s="149"/>
      <c r="ALT1248" s="149"/>
      <c r="ALU1248" s="149"/>
      <c r="ALV1248" s="149"/>
      <c r="ALW1248" s="149"/>
      <c r="ALX1248" s="149"/>
      <c r="ALY1248" s="149"/>
      <c r="ALZ1248" s="149"/>
      <c r="AMA1248" s="149"/>
      <c r="AMB1248" s="149"/>
      <c r="AMC1248" s="149"/>
      <c r="AMD1248" s="149"/>
      <c r="AME1248" s="149"/>
      <c r="AMF1248" s="149"/>
      <c r="AMG1248" s="149"/>
      <c r="AMH1248" s="149"/>
      <c r="AMI1248" s="149"/>
      <c r="AMJ1248" s="149"/>
      <c r="AMK1248" s="149"/>
      <c r="AML1248" s="149"/>
      <c r="AMM1248" s="149"/>
      <c r="AMN1248" s="149"/>
      <c r="AMO1248" s="149"/>
      <c r="AMP1248" s="149"/>
      <c r="AMQ1248" s="149"/>
      <c r="AMR1248" s="149"/>
      <c r="AMS1248" s="149"/>
      <c r="AMT1248" s="149"/>
      <c r="AMU1248" s="149"/>
      <c r="AMV1248" s="149"/>
      <c r="AMW1248" s="149"/>
      <c r="AMX1248" s="149"/>
      <c r="AMY1248" s="149"/>
      <c r="AMZ1248" s="149"/>
      <c r="ANA1248" s="149"/>
      <c r="ANB1248" s="149"/>
      <c r="ANC1248" s="149"/>
      <c r="AND1248" s="149"/>
      <c r="ANE1248" s="149"/>
      <c r="ANF1248" s="149"/>
      <c r="ANG1248" s="149"/>
      <c r="ANH1248" s="149"/>
      <c r="ANI1248" s="149"/>
      <c r="ANJ1248" s="149"/>
      <c r="ANK1248" s="149"/>
      <c r="ANL1248" s="149"/>
      <c r="ANM1248" s="149"/>
      <c r="ANN1248" s="149"/>
      <c r="ANO1248" s="149"/>
      <c r="ANP1248" s="149"/>
      <c r="ANQ1248" s="149"/>
      <c r="ANR1248" s="149"/>
      <c r="ANS1248" s="149"/>
      <c r="ANT1248" s="149"/>
      <c r="ANU1248" s="149"/>
      <c r="ANV1248" s="149"/>
      <c r="ANW1248" s="149"/>
      <c r="ANX1248" s="149"/>
      <c r="ANY1248" s="149"/>
      <c r="ANZ1248" s="149"/>
      <c r="AOA1248" s="149"/>
      <c r="AOB1248" s="149"/>
      <c r="AOC1248" s="149"/>
      <c r="AOD1248" s="149"/>
      <c r="AOE1248" s="149"/>
      <c r="AOF1248" s="149"/>
      <c r="AOG1248" s="149"/>
      <c r="AOH1248" s="149"/>
      <c r="AOI1248" s="149"/>
      <c r="AOJ1248" s="149"/>
      <c r="AOK1248" s="149"/>
      <c r="AOL1248" s="149"/>
      <c r="AOM1248" s="149"/>
      <c r="AON1248" s="149"/>
      <c r="AOO1248" s="149"/>
      <c r="AOP1248" s="149"/>
      <c r="AOQ1248" s="149"/>
      <c r="AOR1248" s="149"/>
      <c r="AOS1248" s="149"/>
      <c r="AOT1248" s="149"/>
      <c r="AOU1248" s="149"/>
      <c r="AOV1248" s="149"/>
      <c r="AOW1248" s="149"/>
      <c r="AOX1248" s="149"/>
      <c r="AOY1248" s="149"/>
      <c r="AOZ1248" s="149"/>
      <c r="APA1248" s="149"/>
      <c r="APB1248" s="149"/>
      <c r="APC1248" s="149"/>
      <c r="APD1248" s="149"/>
      <c r="APE1248" s="149"/>
      <c r="APF1248" s="149"/>
      <c r="APG1248" s="149"/>
      <c r="APH1248" s="149"/>
      <c r="API1248" s="149"/>
      <c r="APJ1248" s="149"/>
      <c r="APK1248" s="149"/>
      <c r="APL1248" s="149"/>
      <c r="APM1248" s="149"/>
      <c r="APN1248" s="149"/>
      <c r="APO1248" s="149"/>
      <c r="APP1248" s="149"/>
      <c r="APQ1248" s="149"/>
      <c r="APR1248" s="149"/>
      <c r="APS1248" s="149"/>
      <c r="APT1248" s="149"/>
      <c r="APU1248" s="149"/>
      <c r="APV1248" s="149"/>
      <c r="APW1248" s="149"/>
      <c r="APX1248" s="149"/>
      <c r="APY1248" s="149"/>
      <c r="APZ1248" s="149"/>
      <c r="AQA1248" s="149"/>
      <c r="AQB1248" s="149"/>
      <c r="AQC1248" s="149"/>
      <c r="AQD1248" s="149"/>
      <c r="AQE1248" s="149"/>
      <c r="AQF1248" s="149"/>
      <c r="AQG1248" s="149"/>
      <c r="AQH1248" s="149"/>
      <c r="AQI1248" s="149"/>
      <c r="AQJ1248" s="149"/>
      <c r="AQK1248" s="149"/>
      <c r="AQL1248" s="149"/>
      <c r="AQM1248" s="149"/>
      <c r="AQN1248" s="149"/>
      <c r="AQO1248" s="149"/>
      <c r="AQP1248" s="149"/>
      <c r="AQQ1248" s="149"/>
      <c r="AQR1248" s="149"/>
      <c r="AQS1248" s="149"/>
      <c r="AQT1248" s="149"/>
      <c r="AQU1248" s="149"/>
      <c r="AQV1248" s="149"/>
      <c r="AQW1248" s="149"/>
      <c r="AQX1248" s="149"/>
      <c r="AQY1248" s="149"/>
      <c r="AQZ1248" s="149"/>
      <c r="ARA1248" s="149"/>
      <c r="ARB1248" s="149"/>
      <c r="ARC1248" s="149"/>
      <c r="ARD1248" s="149"/>
      <c r="ARE1248" s="149"/>
      <c r="ARF1248" s="149"/>
      <c r="ARG1248" s="149"/>
      <c r="ARH1248" s="149"/>
      <c r="ARI1248" s="149"/>
      <c r="ARJ1248" s="149"/>
      <c r="ARK1248" s="149"/>
      <c r="ARL1248" s="149"/>
      <c r="ARM1248" s="149"/>
      <c r="ARN1248" s="149"/>
      <c r="ARO1248" s="149"/>
      <c r="ARP1248" s="149"/>
      <c r="ARQ1248" s="149"/>
      <c r="ARR1248" s="149"/>
      <c r="ARS1248" s="149"/>
      <c r="ART1248" s="149"/>
      <c r="ARU1248" s="149"/>
      <c r="ARV1248" s="149"/>
      <c r="ARW1248" s="149"/>
      <c r="ARX1248" s="149"/>
      <c r="ARY1248" s="149"/>
      <c r="ARZ1248" s="149"/>
      <c r="ASA1248" s="149"/>
      <c r="ASB1248" s="149"/>
      <c r="ASC1248" s="149"/>
      <c r="ASD1248" s="149"/>
      <c r="ASE1248" s="149"/>
      <c r="ASF1248" s="149"/>
      <c r="ASG1248" s="149"/>
      <c r="ASH1248" s="149"/>
      <c r="ASI1248" s="149"/>
      <c r="ASJ1248" s="149"/>
      <c r="ASK1248" s="149"/>
      <c r="ASL1248" s="149"/>
      <c r="ASM1248" s="149"/>
      <c r="ASN1248" s="149"/>
      <c r="ASO1248" s="149"/>
      <c r="ASP1248" s="149"/>
      <c r="ASQ1248" s="149"/>
      <c r="ASR1248" s="149"/>
      <c r="ASS1248" s="149"/>
      <c r="AST1248" s="149"/>
      <c r="ASU1248" s="149"/>
      <c r="ASV1248" s="149"/>
      <c r="ASW1248" s="149"/>
      <c r="ASX1248" s="149"/>
      <c r="ASY1248" s="149"/>
      <c r="ASZ1248" s="149"/>
      <c r="ATA1248" s="149"/>
      <c r="ATB1248" s="149"/>
      <c r="ATC1248" s="149"/>
      <c r="ATD1248" s="149"/>
      <c r="ATE1248" s="149"/>
      <c r="ATF1248" s="149"/>
      <c r="ATG1248" s="149"/>
      <c r="ATH1248" s="149"/>
      <c r="ATI1248" s="149"/>
      <c r="ATJ1248" s="149"/>
      <c r="ATK1248" s="149"/>
      <c r="ATL1248" s="149"/>
      <c r="ATM1248" s="149"/>
      <c r="ATN1248" s="149"/>
      <c r="ATO1248" s="149"/>
      <c r="ATP1248" s="149"/>
      <c r="ATQ1248" s="149"/>
      <c r="ATR1248" s="149"/>
      <c r="ATS1248" s="149"/>
      <c r="ATT1248" s="149"/>
      <c r="ATU1248" s="149"/>
      <c r="ATV1248" s="149"/>
      <c r="ATW1248" s="149"/>
      <c r="ATX1248" s="149"/>
      <c r="ATY1248" s="149"/>
      <c r="ATZ1248" s="149"/>
      <c r="AUA1248" s="149"/>
      <c r="AUB1248" s="149"/>
      <c r="AUC1248" s="149"/>
      <c r="AUD1248" s="149"/>
      <c r="AUE1248" s="149"/>
      <c r="AUF1248" s="149"/>
      <c r="AUG1248" s="149"/>
      <c r="AUH1248" s="149"/>
      <c r="AUI1248" s="149"/>
      <c r="AUJ1248" s="149"/>
      <c r="AUK1248" s="149"/>
      <c r="AUL1248" s="149"/>
      <c r="AUM1248" s="149"/>
      <c r="AUN1248" s="149"/>
      <c r="AUO1248" s="149"/>
      <c r="AUP1248" s="149"/>
      <c r="AUQ1248" s="149"/>
      <c r="AUR1248" s="149"/>
      <c r="AUS1248" s="149"/>
      <c r="AUT1248" s="149"/>
      <c r="AUU1248" s="149"/>
      <c r="AUV1248" s="149"/>
      <c r="AUW1248" s="149"/>
      <c r="AUX1248" s="149"/>
      <c r="AUY1248" s="149"/>
      <c r="AUZ1248" s="149"/>
      <c r="AVA1248" s="149"/>
      <c r="AVB1248" s="149"/>
      <c r="AVC1248" s="149"/>
      <c r="AVD1248" s="149"/>
      <c r="AVE1248" s="149"/>
      <c r="AVF1248" s="149"/>
      <c r="AVG1248" s="149"/>
      <c r="AVH1248" s="149"/>
      <c r="AVI1248" s="149"/>
      <c r="AVJ1248" s="149"/>
      <c r="AVK1248" s="149"/>
      <c r="AVL1248" s="149"/>
      <c r="AVM1248" s="149"/>
      <c r="AVN1248" s="149"/>
      <c r="AVO1248" s="149"/>
      <c r="AVP1248" s="149"/>
      <c r="AVQ1248" s="149"/>
      <c r="AVR1248" s="149"/>
      <c r="AVS1248" s="149"/>
      <c r="AVT1248" s="149"/>
      <c r="AVU1248" s="149"/>
      <c r="AVV1248" s="149"/>
      <c r="AVW1248" s="149"/>
      <c r="AVX1248" s="149"/>
      <c r="AVY1248" s="149"/>
      <c r="AVZ1248" s="149"/>
      <c r="AWA1248" s="149"/>
      <c r="AWB1248" s="149"/>
      <c r="AWC1248" s="149"/>
      <c r="AWD1248" s="149"/>
      <c r="AWE1248" s="149"/>
      <c r="AWF1248" s="149"/>
      <c r="AWG1248" s="149"/>
      <c r="AWH1248" s="149"/>
      <c r="AWI1248" s="149"/>
      <c r="AWJ1248" s="149"/>
      <c r="AWK1248" s="149"/>
      <c r="AWL1248" s="149"/>
      <c r="AWM1248" s="149"/>
      <c r="AWN1248" s="149"/>
      <c r="AWO1248" s="149"/>
      <c r="AWP1248" s="149"/>
      <c r="AWQ1248" s="149"/>
      <c r="AWR1248" s="149"/>
      <c r="AWS1248" s="149"/>
      <c r="AWT1248" s="149"/>
      <c r="AWU1248" s="149"/>
      <c r="AWV1248" s="149"/>
      <c r="AWW1248" s="149"/>
      <c r="AWX1248" s="149"/>
      <c r="AWY1248" s="149"/>
      <c r="AWZ1248" s="149"/>
      <c r="AXA1248" s="149"/>
      <c r="AXB1248" s="149"/>
      <c r="AXC1248" s="149"/>
      <c r="AXD1248" s="149"/>
      <c r="AXE1248" s="149"/>
      <c r="AXF1248" s="149"/>
      <c r="AXG1248" s="149"/>
      <c r="AXH1248" s="149"/>
      <c r="AXI1248" s="149"/>
      <c r="AXJ1248" s="149"/>
      <c r="AXK1248" s="149"/>
      <c r="AXL1248" s="149"/>
      <c r="AXM1248" s="149"/>
      <c r="AXN1248" s="149"/>
      <c r="AXO1248" s="149"/>
      <c r="AXP1248" s="149"/>
      <c r="AXQ1248" s="149"/>
      <c r="AXR1248" s="149"/>
      <c r="AXS1248" s="149"/>
      <c r="AXT1248" s="149"/>
      <c r="AXU1248" s="149"/>
      <c r="AXV1248" s="149"/>
      <c r="AXW1248" s="149"/>
      <c r="AXX1248" s="149"/>
      <c r="AXY1248" s="149"/>
      <c r="AXZ1248" s="149"/>
      <c r="AYA1248" s="149"/>
      <c r="AYB1248" s="149"/>
      <c r="AYC1248" s="149"/>
      <c r="AYD1248" s="149"/>
      <c r="AYE1248" s="149"/>
      <c r="AYF1248" s="149"/>
      <c r="AYG1248" s="149"/>
      <c r="AYH1248" s="149"/>
      <c r="AYI1248" s="149"/>
      <c r="AYJ1248" s="149"/>
      <c r="AYK1248" s="149"/>
      <c r="AYL1248" s="149"/>
      <c r="AYM1248" s="149"/>
      <c r="AYN1248" s="149"/>
      <c r="AYO1248" s="149"/>
      <c r="AYP1248" s="149"/>
      <c r="AYQ1248" s="149"/>
      <c r="AYR1248" s="149"/>
      <c r="AYS1248" s="149"/>
      <c r="AYT1248" s="149"/>
      <c r="AYU1248" s="149"/>
      <c r="AYV1248" s="149"/>
      <c r="AYW1248" s="149"/>
      <c r="AYX1248" s="149"/>
      <c r="AYY1248" s="149"/>
      <c r="AYZ1248" s="149"/>
      <c r="AZA1248" s="149"/>
      <c r="AZB1248" s="149"/>
      <c r="AZC1248" s="149"/>
      <c r="AZD1248" s="149"/>
      <c r="AZE1248" s="149"/>
      <c r="AZF1248" s="149"/>
      <c r="AZG1248" s="149"/>
      <c r="AZH1248" s="149"/>
      <c r="AZI1248" s="149"/>
      <c r="AZJ1248" s="149"/>
      <c r="AZK1248" s="149"/>
      <c r="AZL1248" s="149"/>
      <c r="AZM1248" s="149"/>
      <c r="AZN1248" s="149"/>
      <c r="AZO1248" s="149"/>
      <c r="AZP1248" s="149"/>
      <c r="AZQ1248" s="149"/>
      <c r="AZR1248" s="149"/>
      <c r="AZS1248" s="149"/>
      <c r="AZT1248" s="149"/>
      <c r="AZU1248" s="149"/>
      <c r="AZV1248" s="149"/>
      <c r="AZW1248" s="149"/>
      <c r="AZX1248" s="149"/>
      <c r="AZY1248" s="149"/>
      <c r="AZZ1248" s="149"/>
      <c r="BAA1248" s="149"/>
      <c r="BAB1248" s="149"/>
      <c r="BAC1248" s="149"/>
      <c r="BAD1248" s="149"/>
      <c r="BAE1248" s="149"/>
      <c r="BAF1248" s="149"/>
      <c r="BAG1248" s="149"/>
      <c r="BAH1248" s="149"/>
      <c r="BAI1248" s="149"/>
      <c r="BAJ1248" s="149"/>
      <c r="BAK1248" s="149"/>
      <c r="BAL1248" s="149"/>
      <c r="BAM1248" s="149"/>
      <c r="BAN1248" s="149"/>
      <c r="BAO1248" s="149"/>
      <c r="BAP1248" s="149"/>
      <c r="BAQ1248" s="149"/>
      <c r="BAR1248" s="149"/>
      <c r="BAS1248" s="149"/>
      <c r="BAT1248" s="149"/>
      <c r="BAU1248" s="149"/>
      <c r="BAV1248" s="149"/>
      <c r="BAW1248" s="149"/>
      <c r="BAX1248" s="149"/>
      <c r="BAY1248" s="149"/>
      <c r="BAZ1248" s="149"/>
      <c r="BBA1248" s="149"/>
      <c r="BBB1248" s="149"/>
      <c r="BBC1248" s="149"/>
      <c r="BBD1248" s="149"/>
      <c r="BBE1248" s="149"/>
      <c r="BBF1248" s="149"/>
      <c r="BBG1248" s="149"/>
      <c r="BBH1248" s="149"/>
      <c r="BBI1248" s="149"/>
      <c r="BBJ1248" s="149"/>
      <c r="BBK1248" s="149"/>
      <c r="BBL1248" s="149"/>
      <c r="BBM1248" s="149"/>
      <c r="BBN1248" s="149"/>
      <c r="BBO1248" s="149"/>
      <c r="BBP1248" s="149"/>
      <c r="BBQ1248" s="149"/>
      <c r="BBR1248" s="149"/>
      <c r="BBS1248" s="149"/>
      <c r="BBT1248" s="149"/>
      <c r="BBU1248" s="149"/>
      <c r="BBV1248" s="149"/>
      <c r="BBW1248" s="149"/>
      <c r="BBX1248" s="149"/>
      <c r="BBY1248" s="149"/>
      <c r="BBZ1248" s="149"/>
      <c r="BCA1248" s="149"/>
      <c r="BCB1248" s="149"/>
      <c r="BCC1248" s="149"/>
      <c r="BCD1248" s="149"/>
      <c r="BCE1248" s="149"/>
      <c r="BCF1248" s="149"/>
      <c r="BCG1248" s="149"/>
      <c r="BCH1248" s="149"/>
      <c r="BCI1248" s="149"/>
      <c r="BCJ1248" s="149"/>
      <c r="BCK1248" s="149"/>
      <c r="BCL1248" s="149"/>
      <c r="BCM1248" s="149"/>
      <c r="BCN1248" s="149"/>
      <c r="BCO1248" s="149"/>
      <c r="BCP1248" s="149"/>
      <c r="BCQ1248" s="149"/>
      <c r="BCR1248" s="149"/>
      <c r="BCS1248" s="149"/>
      <c r="BCT1248" s="149"/>
      <c r="BCU1248" s="149"/>
      <c r="BCV1248" s="149"/>
      <c r="BCW1248" s="149"/>
      <c r="BCX1248" s="149"/>
      <c r="BCY1248" s="149"/>
      <c r="BCZ1248" s="149"/>
      <c r="BDA1248" s="149"/>
      <c r="BDB1248" s="149"/>
      <c r="BDC1248" s="149"/>
      <c r="BDD1248" s="149"/>
      <c r="BDE1248" s="149"/>
      <c r="BDF1248" s="149"/>
      <c r="BDG1248" s="149"/>
      <c r="BDH1248" s="149"/>
      <c r="BDI1248" s="149"/>
      <c r="BDJ1248" s="149"/>
      <c r="BDK1248" s="149"/>
      <c r="BDL1248" s="149"/>
      <c r="BDM1248" s="149"/>
      <c r="BDN1248" s="149"/>
      <c r="BDO1248" s="149"/>
      <c r="BDP1248" s="149"/>
      <c r="BDQ1248" s="149"/>
      <c r="BDR1248" s="149"/>
      <c r="BDS1248" s="149"/>
      <c r="BDT1248" s="149"/>
      <c r="BDU1248" s="149"/>
      <c r="BDV1248" s="149"/>
      <c r="BDW1248" s="149"/>
      <c r="BDX1248" s="149"/>
      <c r="BDY1248" s="149"/>
      <c r="BDZ1248" s="149"/>
      <c r="BEA1248" s="149"/>
      <c r="BEB1248" s="149"/>
      <c r="BEC1248" s="149"/>
      <c r="BED1248" s="149"/>
      <c r="BEE1248" s="149"/>
      <c r="BEF1248" s="149"/>
      <c r="BEG1248" s="149"/>
      <c r="BEH1248" s="149"/>
      <c r="BEI1248" s="149"/>
      <c r="BEJ1248" s="149"/>
      <c r="BEK1248" s="149"/>
      <c r="BEL1248" s="149"/>
      <c r="BEM1248" s="149"/>
      <c r="BEN1248" s="149"/>
      <c r="BEO1248" s="149"/>
      <c r="BEP1248" s="149"/>
      <c r="BEQ1248" s="149"/>
      <c r="BER1248" s="149"/>
      <c r="BES1248" s="149"/>
      <c r="BET1248" s="149"/>
      <c r="BEU1248" s="149"/>
      <c r="BEV1248" s="149"/>
      <c r="BEW1248" s="149"/>
      <c r="BEX1248" s="149"/>
      <c r="BEY1248" s="149"/>
      <c r="BEZ1248" s="149"/>
      <c r="BFA1248" s="149"/>
      <c r="BFB1248" s="149"/>
      <c r="BFC1248" s="149"/>
      <c r="BFD1248" s="149"/>
      <c r="BFE1248" s="149"/>
      <c r="BFF1248" s="149"/>
      <c r="BFG1248" s="149"/>
      <c r="BFH1248" s="149"/>
      <c r="BFI1248" s="149"/>
      <c r="BFJ1248" s="149"/>
      <c r="BFK1248" s="149"/>
      <c r="BFL1248" s="149"/>
      <c r="BFM1248" s="149"/>
      <c r="BFN1248" s="149"/>
      <c r="BFO1248" s="149"/>
      <c r="BFP1248" s="149"/>
      <c r="BFQ1248" s="149"/>
      <c r="BFR1248" s="149"/>
      <c r="BFS1248" s="149"/>
      <c r="BFT1248" s="149"/>
      <c r="BFU1248" s="149"/>
      <c r="BFV1248" s="149"/>
      <c r="BFW1248" s="149"/>
      <c r="BFX1248" s="149"/>
      <c r="BFY1248" s="149"/>
      <c r="BFZ1248" s="149"/>
      <c r="BGA1248" s="149"/>
      <c r="BGB1248" s="149"/>
      <c r="BGC1248" s="149"/>
      <c r="BGD1248" s="149"/>
      <c r="BGE1248" s="149"/>
      <c r="BGF1248" s="149"/>
      <c r="BGG1248" s="149"/>
      <c r="BGH1248" s="149"/>
      <c r="BGI1248" s="149"/>
      <c r="BGJ1248" s="149"/>
      <c r="BGK1248" s="149"/>
      <c r="BGL1248" s="149"/>
      <c r="BGM1248" s="149"/>
      <c r="BGN1248" s="149"/>
      <c r="BGO1248" s="149"/>
      <c r="BGP1248" s="149"/>
      <c r="BGQ1248" s="149"/>
      <c r="BGR1248" s="149"/>
      <c r="BGS1248" s="149"/>
      <c r="BGT1248" s="149"/>
      <c r="BGU1248" s="149"/>
      <c r="BGV1248" s="149"/>
      <c r="BGW1248" s="149"/>
      <c r="BGX1248" s="149"/>
      <c r="BGY1248" s="149"/>
      <c r="BGZ1248" s="149"/>
      <c r="BHA1248" s="149"/>
      <c r="BHB1248" s="149"/>
      <c r="BHC1248" s="149"/>
      <c r="BHD1248" s="149"/>
      <c r="BHE1248" s="149"/>
      <c r="BHF1248" s="149"/>
      <c r="BHG1248" s="149"/>
      <c r="BHH1248" s="149"/>
      <c r="BHI1248" s="149"/>
      <c r="BHJ1248" s="149"/>
      <c r="BHK1248" s="149"/>
      <c r="BHL1248" s="149"/>
      <c r="BHM1248" s="149"/>
      <c r="BHN1248" s="149"/>
      <c r="BHO1248" s="149"/>
      <c r="BHP1248" s="149"/>
      <c r="BHQ1248" s="149"/>
      <c r="BHR1248" s="149"/>
      <c r="BHS1248" s="149"/>
      <c r="BHT1248" s="149"/>
      <c r="BHU1248" s="149"/>
      <c r="BHV1248" s="149"/>
      <c r="BHW1248" s="149"/>
      <c r="BHX1248" s="149"/>
      <c r="BHY1248" s="149"/>
      <c r="BHZ1248" s="149"/>
      <c r="BIA1248" s="149"/>
      <c r="BIB1248" s="149"/>
      <c r="BIC1248" s="149"/>
      <c r="BID1248" s="149"/>
      <c r="BIE1248" s="149"/>
      <c r="BIF1248" s="149"/>
      <c r="BIG1248" s="149"/>
      <c r="BIH1248" s="149"/>
      <c r="BII1248" s="149"/>
      <c r="BIJ1248" s="149"/>
      <c r="BIK1248" s="149"/>
      <c r="BIL1248" s="149"/>
      <c r="BIM1248" s="149"/>
      <c r="BIN1248" s="149"/>
      <c r="BIO1248" s="149"/>
      <c r="BIP1248" s="149"/>
      <c r="BIQ1248" s="149"/>
      <c r="BIR1248" s="149"/>
      <c r="BIS1248" s="149"/>
      <c r="BIT1248" s="149"/>
      <c r="BIU1248" s="149"/>
      <c r="BIV1248" s="149"/>
      <c r="BIW1248" s="149"/>
      <c r="BIX1248" s="149"/>
      <c r="BIY1248" s="149"/>
      <c r="BIZ1248" s="149"/>
      <c r="BJA1248" s="149"/>
      <c r="BJB1248" s="149"/>
      <c r="BJC1248" s="149"/>
      <c r="BJD1248" s="149"/>
      <c r="BJE1248" s="149"/>
      <c r="BJF1248" s="149"/>
      <c r="BJG1248" s="149"/>
      <c r="BJH1248" s="149"/>
      <c r="BJI1248" s="149"/>
      <c r="BJJ1248" s="149"/>
      <c r="BJK1248" s="149"/>
      <c r="BJL1248" s="149"/>
      <c r="BJM1248" s="149"/>
      <c r="BJN1248" s="149"/>
      <c r="BJO1248" s="149"/>
      <c r="BJP1248" s="149"/>
      <c r="BJQ1248" s="149"/>
      <c r="BJR1248" s="149"/>
      <c r="BJS1248" s="149"/>
      <c r="BJT1248" s="149"/>
      <c r="BJU1248" s="149"/>
      <c r="BJV1248" s="149"/>
      <c r="BJW1248" s="149"/>
      <c r="BJX1248" s="149"/>
      <c r="BJY1248" s="149"/>
      <c r="BJZ1248" s="149"/>
      <c r="BKA1248" s="149"/>
      <c r="BKB1248" s="149"/>
      <c r="BKC1248" s="149"/>
      <c r="BKD1248" s="149"/>
      <c r="BKE1248" s="149"/>
      <c r="BKF1248" s="149"/>
      <c r="BKG1248" s="149"/>
      <c r="BKH1248" s="149"/>
      <c r="BKI1248" s="149"/>
      <c r="BKJ1248" s="149"/>
      <c r="BKK1248" s="149"/>
      <c r="BKL1248" s="149"/>
      <c r="BKM1248" s="149"/>
      <c r="BKN1248" s="149"/>
      <c r="BKO1248" s="149"/>
      <c r="BKP1248" s="149"/>
      <c r="BKQ1248" s="149"/>
      <c r="BKR1248" s="149"/>
      <c r="BKS1248" s="149"/>
      <c r="BKT1248" s="149"/>
      <c r="BKU1248" s="149"/>
      <c r="BKV1248" s="149"/>
      <c r="BKW1248" s="149"/>
      <c r="BKX1248" s="149"/>
      <c r="BKY1248" s="149"/>
      <c r="BKZ1248" s="149"/>
      <c r="BLA1248" s="149"/>
      <c r="BLB1248" s="149"/>
      <c r="BLC1248" s="149"/>
      <c r="BLD1248" s="149"/>
      <c r="BLE1248" s="149"/>
      <c r="BLF1248" s="149"/>
      <c r="BLG1248" s="149"/>
      <c r="BLH1248" s="149"/>
      <c r="BLI1248" s="149"/>
      <c r="BLJ1248" s="149"/>
      <c r="BLK1248" s="149"/>
      <c r="BLL1248" s="149"/>
      <c r="BLM1248" s="149"/>
      <c r="BLN1248" s="149"/>
      <c r="BLO1248" s="149"/>
      <c r="BLP1248" s="149"/>
      <c r="BLQ1248" s="149"/>
      <c r="BLR1248" s="149"/>
      <c r="BLS1248" s="149"/>
      <c r="BLT1248" s="149"/>
      <c r="BLU1248" s="149"/>
      <c r="BLV1248" s="149"/>
      <c r="BLW1248" s="149"/>
      <c r="BLX1248" s="149"/>
      <c r="BLY1248" s="149"/>
      <c r="BLZ1248" s="149"/>
      <c r="BMA1248" s="149"/>
      <c r="BMB1248" s="149"/>
      <c r="BMC1248" s="149"/>
      <c r="BMD1248" s="149"/>
      <c r="BME1248" s="149"/>
      <c r="BMF1248" s="149"/>
      <c r="BMG1248" s="149"/>
      <c r="BMH1248" s="149"/>
      <c r="BMI1248" s="149"/>
      <c r="BMJ1248" s="149"/>
      <c r="BMK1248" s="149"/>
      <c r="BML1248" s="149"/>
      <c r="BMM1248" s="149"/>
      <c r="BMN1248" s="149"/>
      <c r="BMO1248" s="149"/>
      <c r="BMP1248" s="149"/>
      <c r="BMQ1248" s="149"/>
      <c r="BMR1248" s="149"/>
      <c r="BMS1248" s="149"/>
      <c r="BMT1248" s="149"/>
      <c r="BMU1248" s="149"/>
      <c r="BMV1248" s="149"/>
      <c r="BMW1248" s="149"/>
      <c r="BMX1248" s="149"/>
      <c r="BMY1248" s="149"/>
      <c r="BMZ1248" s="149"/>
      <c r="BNA1248" s="149"/>
      <c r="BNB1248" s="149"/>
      <c r="BNC1248" s="149"/>
      <c r="BND1248" s="149"/>
      <c r="BNE1248" s="149"/>
      <c r="BNF1248" s="149"/>
      <c r="BNG1248" s="149"/>
      <c r="BNH1248" s="149"/>
      <c r="BNI1248" s="149"/>
      <c r="BNJ1248" s="149"/>
      <c r="BNK1248" s="149"/>
      <c r="BNL1248" s="149"/>
      <c r="BNM1248" s="149"/>
      <c r="BNN1248" s="149"/>
      <c r="BNO1248" s="149"/>
      <c r="BNP1248" s="149"/>
      <c r="BNQ1248" s="149"/>
      <c r="BNR1248" s="149"/>
      <c r="BNS1248" s="149"/>
      <c r="BNT1248" s="149"/>
      <c r="BNU1248" s="149"/>
      <c r="BNV1248" s="149"/>
      <c r="BNW1248" s="149"/>
      <c r="BNX1248" s="149"/>
      <c r="BNY1248" s="149"/>
      <c r="BNZ1248" s="149"/>
      <c r="BOA1248" s="149"/>
      <c r="BOB1248" s="149"/>
      <c r="BOC1248" s="149"/>
      <c r="BOD1248" s="149"/>
      <c r="BOE1248" s="149"/>
      <c r="BOF1248" s="149"/>
      <c r="BOG1248" s="149"/>
      <c r="BOH1248" s="149"/>
      <c r="BOI1248" s="149"/>
      <c r="BOJ1248" s="149"/>
      <c r="BOK1248" s="149"/>
      <c r="BOL1248" s="149"/>
      <c r="BOM1248" s="149"/>
      <c r="BON1248" s="149"/>
      <c r="BOO1248" s="149"/>
      <c r="BOP1248" s="149"/>
      <c r="BOQ1248" s="149"/>
      <c r="BOR1248" s="149"/>
      <c r="BOS1248" s="149"/>
      <c r="BOT1248" s="149"/>
      <c r="BOU1248" s="149"/>
      <c r="BOV1248" s="149"/>
      <c r="BOW1248" s="149"/>
      <c r="BOX1248" s="149"/>
      <c r="BOY1248" s="149"/>
      <c r="BOZ1248" s="149"/>
      <c r="BPA1248" s="149"/>
      <c r="BPB1248" s="149"/>
      <c r="BPC1248" s="149"/>
      <c r="BPD1248" s="149"/>
      <c r="BPE1248" s="149"/>
      <c r="BPF1248" s="149"/>
      <c r="BPG1248" s="149"/>
      <c r="BPH1248" s="149"/>
      <c r="BPI1248" s="149"/>
      <c r="BPJ1248" s="149"/>
      <c r="BPK1248" s="149"/>
      <c r="BPL1248" s="149"/>
      <c r="BPM1248" s="149"/>
      <c r="BPN1248" s="149"/>
      <c r="BPO1248" s="149"/>
      <c r="BPP1248" s="149"/>
      <c r="BPQ1248" s="149"/>
      <c r="BPR1248" s="149"/>
      <c r="BPS1248" s="149"/>
      <c r="BPT1248" s="149"/>
      <c r="BPU1248" s="149"/>
      <c r="BPV1248" s="149"/>
      <c r="BPW1248" s="149"/>
      <c r="BPX1248" s="149"/>
      <c r="BPY1248" s="149"/>
      <c r="BPZ1248" s="149"/>
      <c r="BQA1248" s="149"/>
      <c r="BQB1248" s="149"/>
      <c r="BQC1248" s="149"/>
      <c r="BQD1248" s="149"/>
      <c r="BQE1248" s="149"/>
      <c r="BQF1248" s="149"/>
      <c r="BQG1248" s="149"/>
      <c r="BQH1248" s="149"/>
      <c r="BQI1248" s="149"/>
      <c r="BQJ1248" s="149"/>
      <c r="BQK1248" s="149"/>
      <c r="BQL1248" s="149"/>
      <c r="BQM1248" s="149"/>
      <c r="BQN1248" s="149"/>
      <c r="BQO1248" s="149"/>
      <c r="BQP1248" s="149"/>
      <c r="BQQ1248" s="149"/>
      <c r="BQR1248" s="149"/>
      <c r="BQS1248" s="149"/>
      <c r="BQT1248" s="149"/>
      <c r="BQU1248" s="149"/>
      <c r="BQV1248" s="149"/>
      <c r="BQW1248" s="149"/>
      <c r="BQX1248" s="149"/>
      <c r="BQY1248" s="149"/>
      <c r="BQZ1248" s="149"/>
      <c r="BRA1248" s="149"/>
      <c r="BRB1248" s="149"/>
      <c r="BRC1248" s="149"/>
      <c r="BRD1248" s="149"/>
      <c r="BRE1248" s="149"/>
      <c r="BRF1248" s="149"/>
      <c r="BRG1248" s="149"/>
      <c r="BRH1248" s="149"/>
      <c r="BRI1248" s="149"/>
      <c r="BRJ1248" s="149"/>
      <c r="BRK1248" s="149"/>
      <c r="BRL1248" s="149"/>
      <c r="BRM1248" s="149"/>
      <c r="BRN1248" s="149"/>
      <c r="BRO1248" s="149"/>
      <c r="BRP1248" s="149"/>
      <c r="BRQ1248" s="149"/>
      <c r="BRR1248" s="149"/>
      <c r="BRS1248" s="149"/>
      <c r="BRT1248" s="149"/>
      <c r="BRU1248" s="149"/>
      <c r="BRV1248" s="149"/>
      <c r="BRW1248" s="149"/>
      <c r="BRX1248" s="149"/>
      <c r="BRY1248" s="149"/>
      <c r="BRZ1248" s="149"/>
      <c r="BSA1248" s="149"/>
      <c r="BSB1248" s="149"/>
      <c r="BSC1248" s="149"/>
      <c r="BSD1248" s="149"/>
      <c r="BSE1248" s="149"/>
      <c r="BSF1248" s="149"/>
      <c r="BSG1248" s="149"/>
      <c r="BSH1248" s="149"/>
      <c r="BSI1248" s="149"/>
      <c r="BSJ1248" s="149"/>
      <c r="BSK1248" s="149"/>
      <c r="BSL1248" s="149"/>
      <c r="BSM1248" s="149"/>
      <c r="BSN1248" s="149"/>
      <c r="BSO1248" s="149"/>
      <c r="BSP1248" s="149"/>
      <c r="BSQ1248" s="149"/>
      <c r="BSR1248" s="149"/>
      <c r="BSS1248" s="149"/>
      <c r="BST1248" s="149"/>
      <c r="BSU1248" s="149"/>
      <c r="BSV1248" s="149"/>
      <c r="BSW1248" s="149"/>
      <c r="BSX1248" s="149"/>
      <c r="BSY1248" s="149"/>
      <c r="BSZ1248" s="149"/>
      <c r="BTA1248" s="149"/>
    </row>
    <row r="1249" spans="1:1873" s="149" customFormat="1" ht="12.75" customHeight="1" x14ac:dyDescent="0.25">
      <c r="A1249" s="263"/>
      <c r="B1249" s="263"/>
      <c r="C1249" s="600"/>
      <c r="D1249" s="600"/>
      <c r="E1249" s="599"/>
      <c r="F1249" s="599"/>
      <c r="G1249" s="600"/>
      <c r="H1249" s="600"/>
      <c r="I1249" s="257"/>
      <c r="J1249" s="599"/>
      <c r="K1249" s="257"/>
      <c r="L1249" s="600"/>
      <c r="M1249" s="261"/>
      <c r="N1249" s="257"/>
      <c r="O1249" s="29"/>
      <c r="P1249" s="602"/>
      <c r="Q1249" s="257"/>
      <c r="R1249" s="261"/>
      <c r="S1249" s="257"/>
      <c r="T1249" s="370"/>
      <c r="U1249" s="257"/>
      <c r="V1249" s="257"/>
      <c r="W1249" s="609"/>
      <c r="X1249" s="257"/>
      <c r="Y1249" s="257"/>
      <c r="Z1249" s="599"/>
      <c r="AA1249" s="605"/>
      <c r="AB1249" s="611"/>
      <c r="AC1249" s="257"/>
      <c r="AD1249" s="602"/>
      <c r="AE1249" s="263"/>
      <c r="AF1249" s="600"/>
      <c r="AG1249" s="257"/>
      <c r="AH1249" s="257"/>
      <c r="AI1249" s="257"/>
      <c r="AJ1249" s="257"/>
      <c r="AK1249" s="257"/>
      <c r="AL1249" s="257"/>
      <c r="AM1249" s="257"/>
      <c r="AN1249" s="257"/>
      <c r="AO1249" s="257"/>
      <c r="AP1249" s="257"/>
      <c r="AQ1249" s="257"/>
      <c r="AR1249" s="257"/>
      <c r="AS1249" s="257"/>
      <c r="AT1249" s="257"/>
      <c r="AU1249" s="257"/>
      <c r="AV1249" s="257"/>
      <c r="AW1249" s="257"/>
      <c r="AX1249" s="257"/>
      <c r="AY1249" s="257"/>
      <c r="AZ1249" s="257"/>
      <c r="BA1249" s="257"/>
      <c r="BB1249" s="257"/>
      <c r="BC1249" s="257"/>
      <c r="BD1249" s="257"/>
      <c r="BE1249" s="257"/>
      <c r="BF1249" s="257"/>
      <c r="BG1249" s="257"/>
      <c r="BH1249" s="257"/>
      <c r="BI1249" s="257"/>
      <c r="BJ1249" s="257"/>
      <c r="BK1249" s="257"/>
      <c r="BL1249" s="602"/>
      <c r="BM1249" s="257"/>
      <c r="BN1249" s="602"/>
      <c r="BO1249" s="257"/>
      <c r="BP1249" s="257"/>
      <c r="BQ1249" s="257"/>
      <c r="BR1249" s="257"/>
      <c r="BS1249" s="263"/>
      <c r="BT1249" s="257"/>
      <c r="BU1249" s="257"/>
      <c r="BV1249" s="257"/>
      <c r="BW1249" s="257"/>
      <c r="BX1249" s="257"/>
      <c r="BY1249" s="257"/>
      <c r="BZ1249" s="257"/>
      <c r="CA1249" s="300"/>
      <c r="CB1249" s="264"/>
      <c r="CC1249" s="599"/>
      <c r="CD1249" s="600"/>
      <c r="CE1249" s="342" t="s">
        <v>1576</v>
      </c>
      <c r="CF1249" s="342" t="s">
        <v>1575</v>
      </c>
      <c r="CG1249" s="161"/>
    </row>
    <row r="1250" spans="1:1873" s="149" customFormat="1" ht="12.75" customHeight="1" x14ac:dyDescent="0.25">
      <c r="A1250" s="263" t="s">
        <v>560</v>
      </c>
      <c r="B1250" s="263" t="s">
        <v>1268</v>
      </c>
      <c r="C1250" s="600" t="s">
        <v>115</v>
      </c>
      <c r="D1250" s="263" t="s">
        <v>1257</v>
      </c>
      <c r="E1250" s="599" t="s">
        <v>116</v>
      </c>
      <c r="F1250" s="600">
        <v>1</v>
      </c>
      <c r="G1250" s="600">
        <v>1</v>
      </c>
      <c r="H1250" s="600">
        <v>1</v>
      </c>
      <c r="I1250" s="257" t="s">
        <v>856</v>
      </c>
      <c r="J1250" s="599">
        <v>1982</v>
      </c>
      <c r="K1250" s="257" t="s">
        <v>1211</v>
      </c>
      <c r="L1250" s="608">
        <v>1982</v>
      </c>
      <c r="M1250" s="261">
        <v>-9999</v>
      </c>
      <c r="N1250" s="257">
        <v>-9999</v>
      </c>
      <c r="O1250" s="29"/>
      <c r="P1250" s="602">
        <v>0.6</v>
      </c>
      <c r="Q1250" s="257">
        <v>-9999</v>
      </c>
      <c r="R1250" s="261"/>
      <c r="S1250" s="257"/>
      <c r="T1250" s="370">
        <v>0.6</v>
      </c>
      <c r="U1250" s="257">
        <v>-9999</v>
      </c>
      <c r="V1250" s="257"/>
      <c r="W1250" s="609">
        <f t="shared" ref="W1250:W1255" si="132">+P1250-P1249</f>
        <v>0.6</v>
      </c>
      <c r="X1250" s="257">
        <v>-9999</v>
      </c>
      <c r="Y1250" s="257"/>
      <c r="Z1250" s="327" t="s">
        <v>1706</v>
      </c>
      <c r="AA1250" s="599">
        <v>5382</v>
      </c>
      <c r="AB1250" s="602">
        <v>0.86</v>
      </c>
      <c r="AC1250" s="257">
        <v>10.3</v>
      </c>
      <c r="AD1250" s="602">
        <f t="shared" ref="AD1250:AD1255" si="133">0.0966*10000</f>
        <v>966</v>
      </c>
      <c r="AE1250" s="263" t="s">
        <v>97</v>
      </c>
      <c r="AF1250" s="600">
        <v>6</v>
      </c>
      <c r="AG1250" s="257">
        <v>2</v>
      </c>
      <c r="AH1250" s="257" t="s">
        <v>98</v>
      </c>
      <c r="AI1250" s="257" t="s">
        <v>985</v>
      </c>
      <c r="AJ1250" s="257">
        <v>-9999</v>
      </c>
      <c r="AK1250" s="257" t="s">
        <v>99</v>
      </c>
      <c r="AL1250" s="257" t="s">
        <v>828</v>
      </c>
      <c r="AM1250" s="257">
        <v>-9999</v>
      </c>
      <c r="AN1250" s="257" t="s">
        <v>631</v>
      </c>
      <c r="AO1250" s="257">
        <v>-9999</v>
      </c>
      <c r="AP1250" s="257">
        <v>-9999</v>
      </c>
      <c r="AQ1250" s="257" t="s">
        <v>631</v>
      </c>
      <c r="AR1250" s="257">
        <v>0</v>
      </c>
      <c r="AS1250" s="257">
        <v>-9999</v>
      </c>
      <c r="AT1250" s="257">
        <v>-9999</v>
      </c>
      <c r="AU1250" s="257">
        <v>0</v>
      </c>
      <c r="AV1250" s="257">
        <v>-9999</v>
      </c>
      <c r="AW1250" s="257"/>
      <c r="AX1250" s="257">
        <v>0</v>
      </c>
      <c r="AY1250" s="257">
        <v>-9999</v>
      </c>
      <c r="AZ1250" s="257">
        <v>-9999</v>
      </c>
      <c r="BA1250" s="257" t="s">
        <v>100</v>
      </c>
      <c r="BB1250" s="257" t="s">
        <v>626</v>
      </c>
      <c r="BC1250" s="257" t="s">
        <v>101</v>
      </c>
      <c r="BD1250" s="257" t="s">
        <v>102</v>
      </c>
      <c r="BE1250" s="257" t="s">
        <v>103</v>
      </c>
      <c r="BF1250" s="257" t="s">
        <v>104</v>
      </c>
      <c r="BG1250" s="257" t="s">
        <v>105</v>
      </c>
      <c r="BH1250" s="257" t="s">
        <v>106</v>
      </c>
      <c r="BI1250" s="257">
        <v>-9999</v>
      </c>
      <c r="BJ1250" s="257">
        <v>-9999</v>
      </c>
      <c r="BK1250" s="257">
        <v>-9999</v>
      </c>
      <c r="BL1250" s="602">
        <v>1.1000000000000001</v>
      </c>
      <c r="BM1250" s="257">
        <v>-9999</v>
      </c>
      <c r="BN1250" s="602">
        <v>0</v>
      </c>
      <c r="BO1250" s="257">
        <v>-9999</v>
      </c>
      <c r="BP1250" s="257">
        <v>-9999</v>
      </c>
      <c r="BQ1250" s="257">
        <v>-9999</v>
      </c>
      <c r="BR1250" s="257">
        <v>-9999</v>
      </c>
      <c r="BS1250" s="263">
        <v>-9999</v>
      </c>
      <c r="BT1250" s="257">
        <v>-9999</v>
      </c>
      <c r="BU1250" s="257">
        <v>-9999</v>
      </c>
      <c r="BV1250" s="257">
        <v>-9999</v>
      </c>
      <c r="BW1250" s="257"/>
      <c r="BX1250" s="257">
        <v>-9999</v>
      </c>
      <c r="BY1250" s="257">
        <v>-9999</v>
      </c>
      <c r="BZ1250" s="257">
        <v>-9999</v>
      </c>
      <c r="CA1250" s="300" t="s">
        <v>107</v>
      </c>
      <c r="CB1250" s="264" t="s">
        <v>561</v>
      </c>
      <c r="CC1250" s="600">
        <v>1</v>
      </c>
      <c r="CD1250" s="600">
        <v>1</v>
      </c>
      <c r="CE1250" s="168">
        <v>0.6</v>
      </c>
      <c r="CF1250" s="168">
        <v>0.6</v>
      </c>
      <c r="CG1250" s="161">
        <v>1</v>
      </c>
    </row>
    <row r="1251" spans="1:1873" s="149" customFormat="1" ht="12.75" customHeight="1" x14ac:dyDescent="0.25">
      <c r="A1251" s="263" t="s">
        <v>560</v>
      </c>
      <c r="B1251" s="263" t="s">
        <v>1268</v>
      </c>
      <c r="C1251" s="600" t="s">
        <v>115</v>
      </c>
      <c r="D1251" s="263" t="s">
        <v>1257</v>
      </c>
      <c r="E1251" s="599" t="s">
        <v>116</v>
      </c>
      <c r="F1251" s="600">
        <v>1</v>
      </c>
      <c r="G1251" s="600">
        <v>2</v>
      </c>
      <c r="H1251" s="600">
        <v>2</v>
      </c>
      <c r="I1251" s="257" t="s">
        <v>856</v>
      </c>
      <c r="J1251" s="599">
        <v>1982</v>
      </c>
      <c r="K1251" s="257" t="s">
        <v>1211</v>
      </c>
      <c r="L1251" s="608">
        <v>1983</v>
      </c>
      <c r="M1251" s="261">
        <v>-9999</v>
      </c>
      <c r="N1251" s="257">
        <v>-9999</v>
      </c>
      <c r="O1251" s="29"/>
      <c r="P1251" s="602">
        <v>5.39</v>
      </c>
      <c r="Q1251" s="257">
        <v>-9999</v>
      </c>
      <c r="R1251" s="261"/>
      <c r="S1251" s="257"/>
      <c r="T1251" s="370">
        <v>2.0150000000000001</v>
      </c>
      <c r="U1251" s="257">
        <v>-9999</v>
      </c>
      <c r="V1251" s="257"/>
      <c r="W1251" s="609">
        <f t="shared" si="132"/>
        <v>4.79</v>
      </c>
      <c r="X1251" s="257">
        <v>-9999</v>
      </c>
      <c r="Y1251" s="257"/>
      <c r="Z1251" s="327" t="s">
        <v>1706</v>
      </c>
      <c r="AA1251" s="599">
        <v>5382</v>
      </c>
      <c r="AB1251" s="602">
        <v>0.86</v>
      </c>
      <c r="AC1251" s="257">
        <v>10.3</v>
      </c>
      <c r="AD1251" s="602">
        <f t="shared" si="133"/>
        <v>966</v>
      </c>
      <c r="AE1251" s="263" t="s">
        <v>97</v>
      </c>
      <c r="AF1251" s="600">
        <v>6</v>
      </c>
      <c r="AG1251" s="257">
        <v>2</v>
      </c>
      <c r="AH1251" s="257" t="s">
        <v>98</v>
      </c>
      <c r="AI1251" s="257" t="s">
        <v>985</v>
      </c>
      <c r="AJ1251" s="257">
        <v>-9999</v>
      </c>
      <c r="AK1251" s="257" t="s">
        <v>99</v>
      </c>
      <c r="AL1251" s="257" t="s">
        <v>828</v>
      </c>
      <c r="AM1251" s="257">
        <v>-9999</v>
      </c>
      <c r="AN1251" s="257" t="s">
        <v>631</v>
      </c>
      <c r="AO1251" s="257">
        <v>-9999</v>
      </c>
      <c r="AP1251" s="257">
        <v>-9999</v>
      </c>
      <c r="AQ1251" s="257" t="s">
        <v>631</v>
      </c>
      <c r="AR1251" s="257">
        <v>0</v>
      </c>
      <c r="AS1251" s="257">
        <v>-9999</v>
      </c>
      <c r="AT1251" s="257">
        <v>-9999</v>
      </c>
      <c r="AU1251" s="257">
        <v>0</v>
      </c>
      <c r="AV1251" s="257">
        <v>-9999</v>
      </c>
      <c r="AW1251" s="257"/>
      <c r="AX1251" s="257">
        <v>0</v>
      </c>
      <c r="AY1251" s="257">
        <v>-9999</v>
      </c>
      <c r="AZ1251" s="257">
        <v>-9999</v>
      </c>
      <c r="BA1251" s="257" t="s">
        <v>100</v>
      </c>
      <c r="BB1251" s="257" t="s">
        <v>626</v>
      </c>
      <c r="BC1251" s="257" t="s">
        <v>101</v>
      </c>
      <c r="BD1251" s="257" t="s">
        <v>102</v>
      </c>
      <c r="BE1251" s="257" t="s">
        <v>103</v>
      </c>
      <c r="BF1251" s="257" t="s">
        <v>104</v>
      </c>
      <c r="BG1251" s="257" t="s">
        <v>105</v>
      </c>
      <c r="BH1251" s="257" t="s">
        <v>106</v>
      </c>
      <c r="BI1251" s="257">
        <v>-9999</v>
      </c>
      <c r="BJ1251" s="257">
        <v>-9999</v>
      </c>
      <c r="BK1251" s="257">
        <v>-9999</v>
      </c>
      <c r="BL1251" s="602">
        <v>2.25</v>
      </c>
      <c r="BM1251" s="257">
        <v>-9999</v>
      </c>
      <c r="BN1251" s="602">
        <v>0</v>
      </c>
      <c r="BO1251" s="257">
        <v>-9999</v>
      </c>
      <c r="BP1251" s="257">
        <v>-9999</v>
      </c>
      <c r="BQ1251" s="257">
        <v>-9999</v>
      </c>
      <c r="BR1251" s="257">
        <v>-9999</v>
      </c>
      <c r="BS1251" s="263">
        <v>-9999</v>
      </c>
      <c r="BT1251" s="257">
        <v>-9999</v>
      </c>
      <c r="BU1251" s="257">
        <v>-9999</v>
      </c>
      <c r="BV1251" s="257">
        <v>-9999</v>
      </c>
      <c r="BW1251" s="257"/>
      <c r="BX1251" s="257">
        <v>-9999</v>
      </c>
      <c r="BY1251" s="257">
        <v>-9999</v>
      </c>
      <c r="BZ1251" s="257">
        <v>-9999</v>
      </c>
      <c r="CA1251" s="300" t="s">
        <v>107</v>
      </c>
      <c r="CB1251" s="264" t="s">
        <v>561</v>
      </c>
      <c r="CC1251" s="600">
        <v>1</v>
      </c>
      <c r="CD1251" s="600">
        <v>2</v>
      </c>
      <c r="CE1251" s="168">
        <v>2.0150000000000001</v>
      </c>
      <c r="CF1251" s="168">
        <v>3.43</v>
      </c>
      <c r="CG1251" s="161">
        <v>2</v>
      </c>
    </row>
    <row r="1252" spans="1:1873" s="149" customFormat="1" ht="12.75" customHeight="1" x14ac:dyDescent="0.25">
      <c r="A1252" s="263" t="s">
        <v>560</v>
      </c>
      <c r="B1252" s="263" t="s">
        <v>1268</v>
      </c>
      <c r="C1252" s="328" t="s">
        <v>115</v>
      </c>
      <c r="D1252" s="263" t="s">
        <v>1257</v>
      </c>
      <c r="E1252" s="599" t="s">
        <v>116</v>
      </c>
      <c r="F1252" s="600">
        <v>1</v>
      </c>
      <c r="G1252" s="600">
        <v>3</v>
      </c>
      <c r="H1252" s="600">
        <v>3</v>
      </c>
      <c r="I1252" s="257" t="s">
        <v>856</v>
      </c>
      <c r="J1252" s="599">
        <v>1982</v>
      </c>
      <c r="K1252" s="257" t="s">
        <v>1211</v>
      </c>
      <c r="L1252" s="608">
        <v>1984</v>
      </c>
      <c r="M1252" s="261">
        <v>-9999</v>
      </c>
      <c r="N1252" s="257">
        <v>-9999</v>
      </c>
      <c r="O1252" s="29"/>
      <c r="P1252" s="602">
        <v>14.09</v>
      </c>
      <c r="Q1252" s="257">
        <v>-9999</v>
      </c>
      <c r="R1252" s="261"/>
      <c r="S1252" s="257"/>
      <c r="T1252" s="370">
        <v>5.08</v>
      </c>
      <c r="U1252" s="257">
        <v>-9999</v>
      </c>
      <c r="V1252" s="257"/>
      <c r="W1252" s="609">
        <f t="shared" si="132"/>
        <v>8.6999999999999993</v>
      </c>
      <c r="X1252" s="257">
        <v>-9999</v>
      </c>
      <c r="Y1252" s="257"/>
      <c r="Z1252" s="327" t="s">
        <v>1706</v>
      </c>
      <c r="AA1252" s="599">
        <v>5382</v>
      </c>
      <c r="AB1252" s="602">
        <v>0.83</v>
      </c>
      <c r="AC1252" s="257">
        <v>10.3</v>
      </c>
      <c r="AD1252" s="602">
        <f t="shared" si="133"/>
        <v>966</v>
      </c>
      <c r="AE1252" s="263" t="s">
        <v>97</v>
      </c>
      <c r="AF1252" s="600">
        <v>6</v>
      </c>
      <c r="AG1252" s="257">
        <v>2</v>
      </c>
      <c r="AH1252" s="257" t="s">
        <v>98</v>
      </c>
      <c r="AI1252" s="257" t="s">
        <v>985</v>
      </c>
      <c r="AJ1252" s="257">
        <v>-9999</v>
      </c>
      <c r="AK1252" s="257" t="s">
        <v>99</v>
      </c>
      <c r="AL1252" s="257" t="s">
        <v>828</v>
      </c>
      <c r="AM1252" s="257">
        <v>-9999</v>
      </c>
      <c r="AN1252" s="257" t="s">
        <v>631</v>
      </c>
      <c r="AO1252" s="257">
        <v>-9999</v>
      </c>
      <c r="AP1252" s="257">
        <v>-9999</v>
      </c>
      <c r="AQ1252" s="257" t="s">
        <v>631</v>
      </c>
      <c r="AR1252" s="257">
        <v>0</v>
      </c>
      <c r="AS1252" s="257">
        <v>-9999</v>
      </c>
      <c r="AT1252" s="257">
        <v>-9999</v>
      </c>
      <c r="AU1252" s="257">
        <v>0</v>
      </c>
      <c r="AV1252" s="257">
        <v>-9999</v>
      </c>
      <c r="AW1252" s="257"/>
      <c r="AX1252" s="257">
        <v>0</v>
      </c>
      <c r="AY1252" s="257">
        <v>-9999</v>
      </c>
      <c r="AZ1252" s="257">
        <v>-9999</v>
      </c>
      <c r="BA1252" s="257" t="s">
        <v>100</v>
      </c>
      <c r="BB1252" s="257" t="s">
        <v>626</v>
      </c>
      <c r="BC1252" s="257" t="s">
        <v>101</v>
      </c>
      <c r="BD1252" s="257" t="s">
        <v>102</v>
      </c>
      <c r="BE1252" s="257" t="s">
        <v>103</v>
      </c>
      <c r="BF1252" s="257" t="s">
        <v>104</v>
      </c>
      <c r="BG1252" s="257" t="s">
        <v>105</v>
      </c>
      <c r="BH1252" s="257" t="s">
        <v>106</v>
      </c>
      <c r="BI1252" s="257">
        <v>-9999</v>
      </c>
      <c r="BJ1252" s="257">
        <v>-9999</v>
      </c>
      <c r="BK1252" s="257">
        <v>-9999</v>
      </c>
      <c r="BL1252" s="602">
        <v>3.75</v>
      </c>
      <c r="BM1252" s="257">
        <v>-9999</v>
      </c>
      <c r="BN1252" s="602">
        <v>0</v>
      </c>
      <c r="BO1252" s="257">
        <v>-9999</v>
      </c>
      <c r="BP1252" s="257">
        <v>-9999</v>
      </c>
      <c r="BQ1252" s="257">
        <v>-9999</v>
      </c>
      <c r="BR1252" s="257">
        <v>-9999</v>
      </c>
      <c r="BS1252" s="263">
        <v>-9999</v>
      </c>
      <c r="BT1252" s="257">
        <v>-9999</v>
      </c>
      <c r="BU1252" s="257">
        <v>-9999</v>
      </c>
      <c r="BV1252" s="257">
        <v>-9999</v>
      </c>
      <c r="BW1252" s="257"/>
      <c r="BX1252" s="257">
        <v>-9999</v>
      </c>
      <c r="BY1252" s="257">
        <v>-9999</v>
      </c>
      <c r="BZ1252" s="257">
        <v>-9999</v>
      </c>
      <c r="CA1252" s="300" t="s">
        <v>107</v>
      </c>
      <c r="CB1252" s="264" t="s">
        <v>561</v>
      </c>
      <c r="CC1252" s="600">
        <v>1</v>
      </c>
      <c r="CD1252" s="600">
        <v>3</v>
      </c>
      <c r="CE1252" s="168">
        <v>5.08</v>
      </c>
      <c r="CF1252" s="168">
        <v>11.21</v>
      </c>
      <c r="CG1252" s="161">
        <v>3</v>
      </c>
    </row>
    <row r="1253" spans="1:1873" s="149" customFormat="1" ht="12.75" customHeight="1" x14ac:dyDescent="0.25">
      <c r="A1253" s="263" t="s">
        <v>560</v>
      </c>
      <c r="B1253" s="263" t="s">
        <v>1268</v>
      </c>
      <c r="C1253" s="600" t="s">
        <v>115</v>
      </c>
      <c r="D1253" s="263" t="s">
        <v>1257</v>
      </c>
      <c r="E1253" s="599" t="s">
        <v>116</v>
      </c>
      <c r="F1253" s="600">
        <v>1</v>
      </c>
      <c r="G1253" s="600">
        <v>4</v>
      </c>
      <c r="H1253" s="600">
        <v>4</v>
      </c>
      <c r="I1253" s="257" t="s">
        <v>856</v>
      </c>
      <c r="J1253" s="599">
        <v>1982</v>
      </c>
      <c r="K1253" s="257" t="s">
        <v>1211</v>
      </c>
      <c r="L1253" s="608">
        <v>1985</v>
      </c>
      <c r="M1253" s="261">
        <v>-9999</v>
      </c>
      <c r="N1253" s="257">
        <v>-9999</v>
      </c>
      <c r="O1253" s="29"/>
      <c r="P1253" s="602">
        <v>28.59</v>
      </c>
      <c r="Q1253" s="257">
        <v>-9999</v>
      </c>
      <c r="R1253" s="261"/>
      <c r="S1253" s="257"/>
      <c r="T1253" s="370">
        <v>7.1479999999999997</v>
      </c>
      <c r="U1253" s="257">
        <v>-9999</v>
      </c>
      <c r="V1253" s="257"/>
      <c r="W1253" s="609">
        <f t="shared" si="132"/>
        <v>14.5</v>
      </c>
      <c r="X1253" s="257">
        <v>-9999</v>
      </c>
      <c r="Y1253" s="257"/>
      <c r="Z1253" s="327" t="s">
        <v>1706</v>
      </c>
      <c r="AA1253" s="599">
        <v>5382</v>
      </c>
      <c r="AB1253" s="602">
        <v>0.85299999999999998</v>
      </c>
      <c r="AC1253" s="257">
        <v>10.3</v>
      </c>
      <c r="AD1253" s="602">
        <f t="shared" si="133"/>
        <v>966</v>
      </c>
      <c r="AE1253" s="263" t="s">
        <v>97</v>
      </c>
      <c r="AF1253" s="600">
        <v>6</v>
      </c>
      <c r="AG1253" s="257">
        <v>2</v>
      </c>
      <c r="AH1253" s="257" t="s">
        <v>98</v>
      </c>
      <c r="AI1253" s="257" t="s">
        <v>985</v>
      </c>
      <c r="AJ1253" s="257">
        <v>-9999</v>
      </c>
      <c r="AK1253" s="257" t="s">
        <v>99</v>
      </c>
      <c r="AL1253" s="257" t="s">
        <v>828</v>
      </c>
      <c r="AM1253" s="257">
        <v>-9999</v>
      </c>
      <c r="AN1253" s="257" t="s">
        <v>631</v>
      </c>
      <c r="AO1253" s="257">
        <v>-9999</v>
      </c>
      <c r="AP1253" s="257">
        <v>-9999</v>
      </c>
      <c r="AQ1253" s="257" t="s">
        <v>631</v>
      </c>
      <c r="AR1253" s="257">
        <v>0</v>
      </c>
      <c r="AS1253" s="257">
        <v>-9999</v>
      </c>
      <c r="AT1253" s="257">
        <v>-9999</v>
      </c>
      <c r="AU1253" s="257">
        <v>0</v>
      </c>
      <c r="AV1253" s="257">
        <v>-9999</v>
      </c>
      <c r="AW1253" s="257"/>
      <c r="AX1253" s="257">
        <v>0</v>
      </c>
      <c r="AY1253" s="257">
        <v>-9999</v>
      </c>
      <c r="AZ1253" s="257">
        <v>-9999</v>
      </c>
      <c r="BA1253" s="257" t="s">
        <v>100</v>
      </c>
      <c r="BB1253" s="257" t="s">
        <v>626</v>
      </c>
      <c r="BC1253" s="257" t="s">
        <v>101</v>
      </c>
      <c r="BD1253" s="257" t="s">
        <v>102</v>
      </c>
      <c r="BE1253" s="257" t="s">
        <v>103</v>
      </c>
      <c r="BF1253" s="257" t="s">
        <v>104</v>
      </c>
      <c r="BG1253" s="257" t="s">
        <v>105</v>
      </c>
      <c r="BH1253" s="257" t="s">
        <v>106</v>
      </c>
      <c r="BI1253" s="257">
        <v>-9999</v>
      </c>
      <c r="BJ1253" s="257">
        <v>-9999</v>
      </c>
      <c r="BK1253" s="257">
        <v>-9999</v>
      </c>
      <c r="BL1253" s="602">
        <v>4.95</v>
      </c>
      <c r="BM1253" s="257">
        <v>-9999</v>
      </c>
      <c r="BN1253" s="602">
        <v>4</v>
      </c>
      <c r="BO1253" s="257">
        <v>-9999</v>
      </c>
      <c r="BP1253" s="257">
        <v>-9999</v>
      </c>
      <c r="BQ1253" s="257">
        <v>-9999</v>
      </c>
      <c r="BR1253" s="257">
        <v>-9999</v>
      </c>
      <c r="BS1253" s="263">
        <v>-9999</v>
      </c>
      <c r="BT1253" s="257">
        <v>-9999</v>
      </c>
      <c r="BU1253" s="257">
        <v>-9999</v>
      </c>
      <c r="BV1253" s="257">
        <v>-9999</v>
      </c>
      <c r="BW1253" s="257"/>
      <c r="BX1253" s="257">
        <v>-9999</v>
      </c>
      <c r="BY1253" s="257">
        <v>-9999</v>
      </c>
      <c r="BZ1253" s="257">
        <v>-9999</v>
      </c>
      <c r="CA1253" s="300" t="s">
        <v>107</v>
      </c>
      <c r="CB1253" s="264" t="s">
        <v>561</v>
      </c>
      <c r="CC1253" s="600">
        <v>1</v>
      </c>
      <c r="CD1253" s="600">
        <v>4</v>
      </c>
      <c r="CE1253" s="168">
        <v>7.1479999999999997</v>
      </c>
      <c r="CF1253" s="168">
        <v>13.35</v>
      </c>
      <c r="CG1253" s="161">
        <v>4</v>
      </c>
    </row>
    <row r="1254" spans="1:1873" s="215" customFormat="1" ht="12.75" customHeight="1" x14ac:dyDescent="0.25">
      <c r="A1254" s="260" t="s">
        <v>560</v>
      </c>
      <c r="B1254" s="260" t="s">
        <v>1268</v>
      </c>
      <c r="C1254" s="260" t="s">
        <v>115</v>
      </c>
      <c r="D1254" s="260" t="s">
        <v>1257</v>
      </c>
      <c r="E1254" s="259" t="s">
        <v>116</v>
      </c>
      <c r="F1254" s="260">
        <v>1</v>
      </c>
      <c r="G1254" s="260">
        <v>5</v>
      </c>
      <c r="H1254" s="260">
        <v>5</v>
      </c>
      <c r="I1254" s="259" t="s">
        <v>856</v>
      </c>
      <c r="J1254" s="259">
        <v>1982</v>
      </c>
      <c r="K1254" s="259" t="s">
        <v>1211</v>
      </c>
      <c r="L1254" s="258">
        <v>1986</v>
      </c>
      <c r="M1254" s="288">
        <v>-9999</v>
      </c>
      <c r="N1254" s="259">
        <v>-9999</v>
      </c>
      <c r="O1254" s="18"/>
      <c r="P1254" s="288">
        <v>47.3</v>
      </c>
      <c r="Q1254" s="259">
        <v>-9999</v>
      </c>
      <c r="R1254" s="288"/>
      <c r="S1254" s="259"/>
      <c r="T1254" s="590">
        <v>9.4600000000000009</v>
      </c>
      <c r="U1254" s="259">
        <v>-9999</v>
      </c>
      <c r="V1254" s="259"/>
      <c r="W1254" s="610">
        <f t="shared" si="132"/>
        <v>18.709999999999997</v>
      </c>
      <c r="X1254" s="259">
        <v>-9999</v>
      </c>
      <c r="Y1254" s="259"/>
      <c r="Z1254" s="259" t="s">
        <v>1706</v>
      </c>
      <c r="AA1254" s="259">
        <v>5382</v>
      </c>
      <c r="AB1254" s="288">
        <v>0.96</v>
      </c>
      <c r="AC1254" s="259">
        <v>10.3</v>
      </c>
      <c r="AD1254" s="288">
        <f t="shared" si="133"/>
        <v>966</v>
      </c>
      <c r="AE1254" s="260" t="s">
        <v>97</v>
      </c>
      <c r="AF1254" s="260">
        <v>6</v>
      </c>
      <c r="AG1254" s="259">
        <v>2</v>
      </c>
      <c r="AH1254" s="259" t="s">
        <v>98</v>
      </c>
      <c r="AI1254" s="259" t="s">
        <v>985</v>
      </c>
      <c r="AJ1254" s="259">
        <v>-9999</v>
      </c>
      <c r="AK1254" s="259" t="s">
        <v>99</v>
      </c>
      <c r="AL1254" s="259" t="s">
        <v>828</v>
      </c>
      <c r="AM1254" s="259">
        <v>-9999</v>
      </c>
      <c r="AN1254" s="259" t="s">
        <v>631</v>
      </c>
      <c r="AO1254" s="259">
        <v>-9999</v>
      </c>
      <c r="AP1254" s="259">
        <v>-9999</v>
      </c>
      <c r="AQ1254" s="259" t="s">
        <v>631</v>
      </c>
      <c r="AR1254" s="259">
        <v>0</v>
      </c>
      <c r="AS1254" s="259">
        <v>-9999</v>
      </c>
      <c r="AT1254" s="259">
        <v>-9999</v>
      </c>
      <c r="AU1254" s="259">
        <v>0</v>
      </c>
      <c r="AV1254" s="259">
        <v>-9999</v>
      </c>
      <c r="AW1254" s="259"/>
      <c r="AX1254" s="259">
        <v>0</v>
      </c>
      <c r="AY1254" s="259">
        <v>-9999</v>
      </c>
      <c r="AZ1254" s="259">
        <v>-9999</v>
      </c>
      <c r="BA1254" s="259" t="s">
        <v>100</v>
      </c>
      <c r="BB1254" s="259" t="s">
        <v>626</v>
      </c>
      <c r="BC1254" s="259" t="s">
        <v>101</v>
      </c>
      <c r="BD1254" s="259" t="s">
        <v>102</v>
      </c>
      <c r="BE1254" s="259" t="s">
        <v>103</v>
      </c>
      <c r="BF1254" s="259" t="s">
        <v>104</v>
      </c>
      <c r="BG1254" s="259" t="s">
        <v>105</v>
      </c>
      <c r="BH1254" s="259" t="s">
        <v>106</v>
      </c>
      <c r="BI1254" s="259">
        <v>-9999</v>
      </c>
      <c r="BJ1254" s="259">
        <v>-9999</v>
      </c>
      <c r="BK1254" s="259">
        <v>-9999</v>
      </c>
      <c r="BL1254" s="288">
        <v>5.5</v>
      </c>
      <c r="BM1254" s="259">
        <v>-9999</v>
      </c>
      <c r="BN1254" s="288">
        <v>4.5999999999999996</v>
      </c>
      <c r="BO1254" s="259">
        <v>-9999</v>
      </c>
      <c r="BP1254" s="259">
        <v>-9999</v>
      </c>
      <c r="BQ1254" s="259">
        <v>-9999</v>
      </c>
      <c r="BR1254" s="259">
        <v>-9999</v>
      </c>
      <c r="BS1254" s="260">
        <v>-9999</v>
      </c>
      <c r="BT1254" s="259">
        <v>-9999</v>
      </c>
      <c r="BU1254" s="259">
        <v>-9999</v>
      </c>
      <c r="BV1254" s="259">
        <v>-9999</v>
      </c>
      <c r="BW1254" s="259"/>
      <c r="BX1254" s="259">
        <v>-9999</v>
      </c>
      <c r="BY1254" s="259">
        <v>-9999</v>
      </c>
      <c r="BZ1254" s="259">
        <v>-9999</v>
      </c>
      <c r="CA1254" s="337" t="s">
        <v>107</v>
      </c>
      <c r="CB1254" s="592" t="s">
        <v>108</v>
      </c>
      <c r="CC1254" s="260">
        <v>1</v>
      </c>
      <c r="CD1254" s="260">
        <v>5</v>
      </c>
      <c r="CE1254" s="395">
        <v>9.4600000000000009</v>
      </c>
      <c r="CF1254" s="99">
        <v>18.709999999999997</v>
      </c>
      <c r="CG1254" s="212">
        <v>5</v>
      </c>
      <c r="CH1254" s="437" t="s">
        <v>1757</v>
      </c>
      <c r="CI1254" s="13"/>
      <c r="CJ1254" s="13"/>
      <c r="CK1254" s="13"/>
      <c r="CL1254" s="13"/>
      <c r="CM1254" s="13"/>
      <c r="CN1254" s="13"/>
      <c r="CO1254" s="13"/>
      <c r="CP1254" s="13"/>
      <c r="CQ1254" s="13"/>
      <c r="CR1254" s="13"/>
      <c r="CS1254" s="13"/>
      <c r="CT1254" s="13"/>
      <c r="CU1254" s="13"/>
      <c r="CV1254" s="13"/>
      <c r="CW1254" s="13"/>
      <c r="CX1254" s="13"/>
      <c r="CY1254" s="13"/>
      <c r="CZ1254" s="13"/>
      <c r="DA1254" s="13"/>
      <c r="DB1254" s="13"/>
      <c r="DC1254" s="13"/>
      <c r="DD1254" s="13"/>
      <c r="DE1254" s="13"/>
      <c r="DF1254" s="13"/>
      <c r="DG1254" s="13"/>
      <c r="DH1254" s="13"/>
      <c r="DI1254" s="13"/>
      <c r="DJ1254" s="13"/>
      <c r="DK1254" s="13"/>
      <c r="DL1254" s="13"/>
      <c r="DM1254" s="13"/>
      <c r="DN1254" s="13"/>
      <c r="DO1254" s="13"/>
      <c r="DP1254" s="13"/>
      <c r="DQ1254" s="13"/>
      <c r="DR1254" s="13"/>
      <c r="DS1254" s="13"/>
      <c r="DT1254" s="13"/>
      <c r="DU1254" s="13"/>
      <c r="DV1254" s="13"/>
      <c r="DW1254" s="13"/>
      <c r="DX1254" s="13"/>
      <c r="DY1254" s="13"/>
      <c r="DZ1254" s="13"/>
      <c r="EA1254" s="13"/>
      <c r="EB1254" s="13"/>
      <c r="EC1254" s="13"/>
      <c r="ED1254" s="13"/>
      <c r="EE1254" s="13"/>
      <c r="EF1254" s="13"/>
      <c r="EG1254" s="13"/>
      <c r="EH1254" s="13"/>
      <c r="EI1254" s="13"/>
      <c r="EJ1254" s="13"/>
      <c r="EK1254" s="13"/>
      <c r="EL1254" s="13"/>
      <c r="EM1254" s="13"/>
      <c r="EN1254" s="13"/>
      <c r="EO1254" s="13"/>
      <c r="EP1254" s="13"/>
      <c r="EQ1254" s="13"/>
      <c r="ER1254" s="13"/>
      <c r="ES1254" s="13"/>
      <c r="ET1254" s="13"/>
      <c r="EU1254" s="13"/>
      <c r="EV1254" s="13"/>
      <c r="EW1254" s="13"/>
      <c r="EX1254" s="13"/>
      <c r="EY1254" s="13"/>
      <c r="EZ1254" s="13"/>
      <c r="FA1254" s="13"/>
      <c r="FB1254" s="13"/>
      <c r="FC1254" s="13"/>
      <c r="FD1254" s="13"/>
      <c r="FE1254" s="13"/>
      <c r="FF1254" s="13"/>
      <c r="FG1254" s="13"/>
      <c r="FH1254" s="13"/>
      <c r="FI1254" s="13"/>
      <c r="FJ1254" s="13"/>
      <c r="FK1254" s="13"/>
      <c r="FL1254" s="13"/>
      <c r="FM1254" s="13"/>
      <c r="FN1254" s="13"/>
      <c r="FO1254" s="13"/>
      <c r="FP1254" s="13"/>
      <c r="FQ1254" s="13"/>
      <c r="FR1254" s="13"/>
      <c r="FS1254" s="13"/>
      <c r="FT1254" s="13"/>
      <c r="FU1254" s="13"/>
      <c r="FV1254" s="13"/>
      <c r="FW1254" s="13"/>
      <c r="FX1254" s="13"/>
      <c r="FY1254" s="13"/>
      <c r="FZ1254" s="13"/>
      <c r="GA1254" s="13"/>
      <c r="GB1254" s="13"/>
      <c r="GC1254" s="13"/>
      <c r="GD1254" s="13"/>
      <c r="GE1254" s="13"/>
      <c r="GF1254" s="13"/>
      <c r="GG1254" s="13"/>
      <c r="GH1254" s="13"/>
      <c r="GI1254" s="13"/>
      <c r="GJ1254" s="13"/>
      <c r="GK1254" s="13"/>
      <c r="GL1254" s="13"/>
      <c r="GM1254" s="13"/>
      <c r="GN1254" s="13"/>
      <c r="GO1254" s="13"/>
      <c r="GP1254" s="13"/>
      <c r="GQ1254" s="13"/>
      <c r="GR1254" s="13"/>
      <c r="GS1254" s="13"/>
      <c r="GT1254" s="13"/>
      <c r="GU1254" s="13"/>
      <c r="GV1254" s="13"/>
      <c r="GW1254" s="13"/>
      <c r="GX1254" s="13"/>
      <c r="GY1254" s="13"/>
      <c r="GZ1254" s="13"/>
      <c r="HA1254" s="13"/>
      <c r="HB1254" s="13"/>
      <c r="HC1254" s="13"/>
      <c r="HD1254" s="13"/>
      <c r="HE1254" s="13"/>
      <c r="HF1254" s="13"/>
      <c r="HG1254" s="13"/>
      <c r="HH1254" s="13"/>
      <c r="HI1254" s="13"/>
      <c r="HJ1254" s="13"/>
      <c r="HK1254" s="13"/>
      <c r="HL1254" s="13"/>
      <c r="HM1254" s="13"/>
      <c r="HN1254" s="13"/>
      <c r="HO1254" s="13"/>
      <c r="HP1254" s="13"/>
      <c r="HQ1254" s="13"/>
      <c r="HR1254" s="13"/>
      <c r="HS1254" s="13"/>
      <c r="HT1254" s="13"/>
      <c r="HU1254" s="13"/>
      <c r="HV1254" s="13"/>
      <c r="HW1254" s="13"/>
      <c r="HX1254" s="13"/>
      <c r="HY1254" s="13"/>
      <c r="HZ1254" s="13"/>
      <c r="IA1254" s="13"/>
      <c r="IB1254" s="13"/>
      <c r="IC1254" s="13"/>
      <c r="ID1254" s="13"/>
      <c r="IE1254" s="13"/>
      <c r="IF1254" s="13"/>
      <c r="IG1254" s="13"/>
      <c r="IH1254" s="13"/>
      <c r="II1254" s="13"/>
      <c r="IJ1254" s="13"/>
      <c r="IK1254" s="13"/>
      <c r="IL1254" s="13"/>
      <c r="IM1254" s="13"/>
      <c r="IN1254" s="13"/>
      <c r="IO1254" s="13"/>
      <c r="IP1254" s="13"/>
      <c r="IQ1254" s="13"/>
      <c r="IR1254" s="13"/>
      <c r="IS1254" s="13"/>
      <c r="IT1254" s="13"/>
      <c r="IU1254" s="13"/>
      <c r="IV1254" s="13"/>
      <c r="IW1254" s="13"/>
      <c r="IX1254" s="13"/>
      <c r="IY1254" s="13"/>
      <c r="IZ1254" s="13"/>
      <c r="JA1254" s="13"/>
      <c r="JB1254" s="13"/>
      <c r="JC1254" s="13"/>
      <c r="JD1254" s="13"/>
      <c r="JE1254" s="13"/>
      <c r="JF1254" s="13"/>
      <c r="JG1254" s="13"/>
      <c r="JH1254" s="13"/>
      <c r="JI1254" s="13"/>
      <c r="JJ1254" s="13"/>
      <c r="JK1254" s="13"/>
      <c r="JL1254" s="13"/>
      <c r="JM1254" s="13"/>
      <c r="JN1254" s="13"/>
      <c r="JO1254" s="13"/>
      <c r="JP1254" s="13"/>
      <c r="JQ1254" s="13"/>
      <c r="JR1254" s="13"/>
      <c r="JS1254" s="13"/>
      <c r="JT1254" s="13"/>
      <c r="JU1254" s="13"/>
      <c r="JV1254" s="13"/>
      <c r="JW1254" s="13"/>
      <c r="JX1254" s="13"/>
      <c r="JY1254" s="13"/>
      <c r="JZ1254" s="13"/>
      <c r="KA1254" s="13"/>
      <c r="KB1254" s="13"/>
      <c r="KC1254" s="13"/>
      <c r="KD1254" s="13"/>
      <c r="KE1254" s="13"/>
      <c r="KF1254" s="13"/>
      <c r="KG1254" s="13"/>
      <c r="KH1254" s="13"/>
      <c r="KI1254" s="13"/>
      <c r="KJ1254" s="13"/>
      <c r="KK1254" s="13"/>
      <c r="KL1254" s="13"/>
      <c r="KM1254" s="13"/>
      <c r="KN1254" s="13"/>
      <c r="KO1254" s="13"/>
      <c r="KP1254" s="13"/>
      <c r="KQ1254" s="13"/>
      <c r="KR1254" s="13"/>
      <c r="KS1254" s="13"/>
      <c r="KT1254" s="13"/>
      <c r="KU1254" s="13"/>
      <c r="KV1254" s="13"/>
      <c r="KW1254" s="13"/>
      <c r="KX1254" s="13"/>
      <c r="KY1254" s="13"/>
      <c r="KZ1254" s="13"/>
      <c r="LA1254" s="13"/>
      <c r="LB1254" s="13"/>
      <c r="LC1254" s="13"/>
      <c r="LD1254" s="13"/>
      <c r="LE1254" s="13"/>
      <c r="LF1254" s="13"/>
      <c r="LG1254" s="13"/>
      <c r="LH1254" s="13"/>
      <c r="LI1254" s="13"/>
      <c r="LJ1254" s="13"/>
      <c r="LK1254" s="13"/>
      <c r="LL1254" s="13"/>
      <c r="LM1254" s="13"/>
      <c r="LN1254" s="13"/>
      <c r="LO1254" s="13"/>
      <c r="LP1254" s="13"/>
      <c r="LQ1254" s="13"/>
      <c r="LR1254" s="13"/>
      <c r="LS1254" s="13"/>
      <c r="LT1254" s="13"/>
      <c r="LU1254" s="13"/>
      <c r="LV1254" s="13"/>
      <c r="LW1254" s="13"/>
      <c r="LX1254" s="13"/>
      <c r="LY1254" s="13"/>
      <c r="LZ1254" s="13"/>
      <c r="MA1254" s="13"/>
      <c r="MB1254" s="13"/>
      <c r="MC1254" s="13"/>
      <c r="MD1254" s="13"/>
      <c r="ME1254" s="13"/>
      <c r="MF1254" s="13"/>
      <c r="MG1254" s="13"/>
      <c r="MH1254" s="13"/>
      <c r="MI1254" s="13"/>
      <c r="MJ1254" s="13"/>
      <c r="MK1254" s="13"/>
      <c r="ML1254" s="13"/>
      <c r="MM1254" s="13"/>
      <c r="MN1254" s="13"/>
      <c r="MO1254" s="13"/>
      <c r="MP1254" s="13"/>
      <c r="MQ1254" s="13"/>
      <c r="MR1254" s="13"/>
      <c r="MS1254" s="13"/>
      <c r="MT1254" s="13"/>
      <c r="MU1254" s="13"/>
      <c r="MV1254" s="13"/>
      <c r="MW1254" s="13"/>
      <c r="MX1254" s="13"/>
      <c r="MY1254" s="13"/>
      <c r="MZ1254" s="13"/>
      <c r="NA1254" s="13"/>
      <c r="NB1254" s="13"/>
      <c r="NC1254" s="13"/>
      <c r="ND1254" s="13"/>
      <c r="NE1254" s="13"/>
      <c r="NF1254" s="13"/>
      <c r="NG1254" s="13"/>
      <c r="NH1254" s="13"/>
      <c r="NI1254" s="13"/>
      <c r="NJ1254" s="13"/>
      <c r="NK1254" s="13"/>
      <c r="NL1254" s="13"/>
      <c r="NM1254" s="13"/>
      <c r="NN1254" s="13"/>
      <c r="NO1254" s="13"/>
      <c r="NP1254" s="13"/>
      <c r="NQ1254" s="13"/>
      <c r="NR1254" s="13"/>
      <c r="NS1254" s="13"/>
      <c r="NT1254" s="13"/>
      <c r="NU1254" s="13"/>
      <c r="NV1254" s="13"/>
      <c r="NW1254" s="13"/>
      <c r="NX1254" s="13"/>
      <c r="NY1254" s="13"/>
      <c r="NZ1254" s="13"/>
      <c r="OA1254" s="13"/>
      <c r="OB1254" s="13"/>
      <c r="OC1254" s="13"/>
      <c r="OD1254" s="13"/>
      <c r="OE1254" s="13"/>
      <c r="OF1254" s="13"/>
      <c r="OG1254" s="13"/>
      <c r="OH1254" s="13"/>
      <c r="OI1254" s="13"/>
      <c r="OJ1254" s="13"/>
      <c r="OK1254" s="13"/>
      <c r="OL1254" s="13"/>
      <c r="OM1254" s="13"/>
      <c r="ON1254" s="13"/>
      <c r="OO1254" s="13"/>
      <c r="OP1254" s="13"/>
      <c r="OQ1254" s="13"/>
      <c r="OR1254" s="13"/>
      <c r="OS1254" s="13"/>
      <c r="OT1254" s="13"/>
      <c r="OU1254" s="13"/>
      <c r="OV1254" s="13"/>
      <c r="OW1254" s="13"/>
      <c r="OX1254" s="13"/>
      <c r="OY1254" s="13"/>
      <c r="OZ1254" s="13"/>
      <c r="PA1254" s="13"/>
      <c r="PB1254" s="13"/>
      <c r="PC1254" s="13"/>
      <c r="PD1254" s="13"/>
      <c r="PE1254" s="13"/>
      <c r="PF1254" s="13"/>
      <c r="PG1254" s="13"/>
      <c r="PH1254" s="13"/>
      <c r="PI1254" s="13"/>
      <c r="PJ1254" s="13"/>
      <c r="PK1254" s="13"/>
      <c r="PL1254" s="13"/>
      <c r="PM1254" s="13"/>
      <c r="PN1254" s="13"/>
      <c r="PO1254" s="13"/>
      <c r="PP1254" s="13"/>
      <c r="PQ1254" s="13"/>
      <c r="PR1254" s="13"/>
      <c r="PS1254" s="13"/>
      <c r="PT1254" s="13"/>
      <c r="PU1254" s="13"/>
      <c r="PV1254" s="13"/>
      <c r="PW1254" s="13"/>
      <c r="PX1254" s="13"/>
      <c r="PY1254" s="13"/>
      <c r="PZ1254" s="13"/>
      <c r="QA1254" s="13"/>
      <c r="QB1254" s="13"/>
      <c r="QC1254" s="13"/>
      <c r="QD1254" s="13"/>
      <c r="QE1254" s="13"/>
      <c r="QF1254" s="13"/>
      <c r="QG1254" s="13"/>
      <c r="QH1254" s="13"/>
      <c r="QI1254" s="13"/>
      <c r="QJ1254" s="13"/>
      <c r="QK1254" s="13"/>
      <c r="QL1254" s="13"/>
      <c r="QM1254" s="13"/>
      <c r="QN1254" s="13"/>
      <c r="QO1254" s="13"/>
      <c r="QP1254" s="13"/>
      <c r="QQ1254" s="13"/>
      <c r="QR1254" s="13"/>
      <c r="QS1254" s="13"/>
      <c r="QT1254" s="13"/>
      <c r="QU1254" s="13"/>
      <c r="QV1254" s="13"/>
      <c r="QW1254" s="13"/>
      <c r="QX1254" s="13"/>
      <c r="QY1254" s="13"/>
      <c r="QZ1254" s="13"/>
      <c r="RA1254" s="13"/>
      <c r="RB1254" s="13"/>
      <c r="RC1254" s="13"/>
      <c r="RD1254" s="13"/>
      <c r="RE1254" s="13"/>
      <c r="RF1254" s="13"/>
      <c r="RG1254" s="13"/>
      <c r="RH1254" s="13"/>
      <c r="RI1254" s="13"/>
      <c r="RJ1254" s="13"/>
      <c r="RK1254" s="13"/>
      <c r="RL1254" s="13"/>
      <c r="RM1254" s="13"/>
      <c r="RN1254" s="13"/>
      <c r="RO1254" s="13"/>
      <c r="RP1254" s="13"/>
      <c r="RQ1254" s="13"/>
      <c r="RR1254" s="13"/>
      <c r="RS1254" s="13"/>
      <c r="RT1254" s="13"/>
      <c r="RU1254" s="13"/>
      <c r="RV1254" s="13"/>
      <c r="RW1254" s="13"/>
      <c r="RX1254" s="13"/>
      <c r="RY1254" s="13"/>
      <c r="RZ1254" s="13"/>
      <c r="SA1254" s="13"/>
      <c r="SB1254" s="13"/>
      <c r="SC1254" s="13"/>
      <c r="SD1254" s="13"/>
      <c r="SE1254" s="13"/>
      <c r="SF1254" s="13"/>
      <c r="SG1254" s="13"/>
      <c r="SH1254" s="13"/>
      <c r="SI1254" s="13"/>
      <c r="SJ1254" s="13"/>
      <c r="SK1254" s="13"/>
      <c r="SL1254" s="13"/>
      <c r="SM1254" s="13"/>
      <c r="SN1254" s="13"/>
      <c r="SO1254" s="13"/>
      <c r="SP1254" s="13"/>
      <c r="SQ1254" s="13"/>
      <c r="SR1254" s="13"/>
      <c r="SS1254" s="13"/>
      <c r="ST1254" s="13"/>
      <c r="SU1254" s="13"/>
      <c r="SV1254" s="13"/>
      <c r="SW1254" s="13"/>
      <c r="SX1254" s="13"/>
      <c r="SY1254" s="13"/>
      <c r="SZ1254" s="13"/>
      <c r="TA1254" s="13"/>
      <c r="TB1254" s="13"/>
      <c r="TC1254" s="13"/>
      <c r="TD1254" s="13"/>
      <c r="TE1254" s="13"/>
      <c r="TF1254" s="13"/>
      <c r="TG1254" s="13"/>
      <c r="TH1254" s="13"/>
      <c r="TI1254" s="13"/>
      <c r="TJ1254" s="13"/>
      <c r="TK1254" s="13"/>
      <c r="TL1254" s="13"/>
      <c r="TM1254" s="13"/>
      <c r="TN1254" s="13"/>
      <c r="TO1254" s="13"/>
      <c r="TP1254" s="13"/>
      <c r="TQ1254" s="13"/>
      <c r="TR1254" s="13"/>
      <c r="TS1254" s="13"/>
      <c r="TT1254" s="13"/>
      <c r="TU1254" s="13"/>
      <c r="TV1254" s="13"/>
      <c r="TW1254" s="13"/>
      <c r="TX1254" s="13"/>
      <c r="TY1254" s="13"/>
      <c r="TZ1254" s="13"/>
      <c r="UA1254" s="13"/>
      <c r="UB1254" s="13"/>
      <c r="UC1254" s="13"/>
      <c r="UD1254" s="13"/>
      <c r="UE1254" s="13"/>
      <c r="UF1254" s="13"/>
      <c r="UG1254" s="13"/>
      <c r="UH1254" s="13"/>
      <c r="UI1254" s="13"/>
      <c r="UJ1254" s="13"/>
      <c r="UK1254" s="13"/>
      <c r="UL1254" s="13"/>
      <c r="UM1254" s="13"/>
      <c r="UN1254" s="13"/>
      <c r="UO1254" s="13"/>
      <c r="UP1254" s="13"/>
      <c r="UQ1254" s="13"/>
      <c r="UR1254" s="13"/>
      <c r="US1254" s="13"/>
      <c r="UT1254" s="13"/>
      <c r="UU1254" s="13"/>
      <c r="UV1254" s="13"/>
      <c r="UW1254" s="13"/>
      <c r="UX1254" s="13"/>
      <c r="UY1254" s="13"/>
      <c r="UZ1254" s="13"/>
      <c r="VA1254" s="13"/>
      <c r="VB1254" s="13"/>
      <c r="VC1254" s="13"/>
      <c r="VD1254" s="13"/>
      <c r="VE1254" s="13"/>
      <c r="VF1254" s="13"/>
      <c r="VG1254" s="13"/>
      <c r="VH1254" s="13"/>
      <c r="VI1254" s="13"/>
      <c r="VJ1254" s="13"/>
      <c r="VK1254" s="13"/>
      <c r="VL1254" s="13"/>
      <c r="VM1254" s="13"/>
      <c r="VN1254" s="13"/>
      <c r="VO1254" s="13"/>
      <c r="VP1254" s="13"/>
      <c r="VQ1254" s="13"/>
      <c r="VR1254" s="13"/>
      <c r="VS1254" s="13"/>
      <c r="VT1254" s="13"/>
      <c r="VU1254" s="13"/>
      <c r="VV1254" s="13"/>
      <c r="VW1254" s="13"/>
      <c r="VX1254" s="13"/>
      <c r="VY1254" s="13"/>
      <c r="VZ1254" s="13"/>
      <c r="WA1254" s="13"/>
      <c r="WB1254" s="13"/>
      <c r="WC1254" s="13"/>
      <c r="WD1254" s="13"/>
      <c r="WE1254" s="13"/>
      <c r="WF1254" s="13"/>
      <c r="WG1254" s="13"/>
      <c r="WH1254" s="13"/>
      <c r="WI1254" s="13"/>
      <c r="WJ1254" s="13"/>
      <c r="WK1254" s="13"/>
      <c r="WL1254" s="13"/>
      <c r="WM1254" s="13"/>
      <c r="WN1254" s="13"/>
      <c r="WO1254" s="13"/>
      <c r="WP1254" s="13"/>
      <c r="WQ1254" s="13"/>
      <c r="WR1254" s="13"/>
      <c r="WS1254" s="13"/>
      <c r="WT1254" s="13"/>
      <c r="WU1254" s="13"/>
      <c r="WV1254" s="13"/>
      <c r="WW1254" s="13"/>
      <c r="WX1254" s="13"/>
      <c r="WY1254" s="13"/>
      <c r="WZ1254" s="13"/>
      <c r="XA1254" s="13"/>
      <c r="XB1254" s="13"/>
      <c r="XC1254" s="13"/>
      <c r="XD1254" s="13"/>
      <c r="XE1254" s="13"/>
      <c r="XF1254" s="13"/>
      <c r="XG1254" s="13"/>
      <c r="XH1254" s="13"/>
      <c r="XI1254" s="13"/>
      <c r="XJ1254" s="13"/>
      <c r="XK1254" s="13"/>
      <c r="XL1254" s="13"/>
      <c r="XM1254" s="13"/>
      <c r="XN1254" s="13"/>
      <c r="XO1254" s="13"/>
      <c r="XP1254" s="13"/>
      <c r="XQ1254" s="13"/>
      <c r="XR1254" s="13"/>
      <c r="XS1254" s="13"/>
      <c r="XT1254" s="13"/>
      <c r="XU1254" s="13"/>
      <c r="XV1254" s="13"/>
      <c r="XW1254" s="13"/>
      <c r="XX1254" s="13"/>
      <c r="XY1254" s="13"/>
      <c r="XZ1254" s="13"/>
      <c r="YA1254" s="13"/>
      <c r="YB1254" s="13"/>
      <c r="YC1254" s="13"/>
      <c r="YD1254" s="13"/>
      <c r="YE1254" s="13"/>
      <c r="YF1254" s="13"/>
      <c r="YG1254" s="13"/>
      <c r="YH1254" s="13"/>
      <c r="YI1254" s="13"/>
      <c r="YJ1254" s="13"/>
      <c r="YK1254" s="13"/>
      <c r="YL1254" s="13"/>
      <c r="YM1254" s="13"/>
      <c r="YN1254" s="13"/>
      <c r="YO1254" s="13"/>
      <c r="YP1254" s="13"/>
      <c r="YQ1254" s="13"/>
      <c r="YR1254" s="13"/>
      <c r="YS1254" s="13"/>
      <c r="YT1254" s="13"/>
      <c r="YU1254" s="13"/>
      <c r="YV1254" s="13"/>
      <c r="YW1254" s="13"/>
      <c r="YX1254" s="13"/>
      <c r="YY1254" s="13"/>
      <c r="YZ1254" s="13"/>
      <c r="ZA1254" s="13"/>
      <c r="ZB1254" s="13"/>
      <c r="ZC1254" s="13"/>
      <c r="ZD1254" s="13"/>
      <c r="ZE1254" s="13"/>
      <c r="ZF1254" s="13"/>
      <c r="ZG1254" s="13"/>
      <c r="ZH1254" s="13"/>
      <c r="ZI1254" s="13"/>
      <c r="ZJ1254" s="13"/>
      <c r="ZK1254" s="13"/>
      <c r="ZL1254" s="13"/>
      <c r="ZM1254" s="13"/>
      <c r="ZN1254" s="13"/>
      <c r="ZO1254" s="13"/>
      <c r="ZP1254" s="13"/>
      <c r="ZQ1254" s="13"/>
      <c r="ZR1254" s="13"/>
      <c r="ZS1254" s="13"/>
      <c r="ZT1254" s="13"/>
      <c r="ZU1254" s="13"/>
      <c r="ZV1254" s="13"/>
      <c r="ZW1254" s="13"/>
      <c r="ZX1254" s="13"/>
      <c r="ZY1254" s="13"/>
      <c r="ZZ1254" s="13"/>
      <c r="AAA1254" s="13"/>
      <c r="AAB1254" s="13"/>
      <c r="AAC1254" s="13"/>
      <c r="AAD1254" s="13"/>
      <c r="AAE1254" s="13"/>
      <c r="AAF1254" s="13"/>
      <c r="AAG1254" s="13"/>
      <c r="AAH1254" s="13"/>
      <c r="AAI1254" s="13"/>
      <c r="AAJ1254" s="13"/>
      <c r="AAK1254" s="13"/>
      <c r="AAL1254" s="13"/>
      <c r="AAM1254" s="13"/>
      <c r="AAN1254" s="13"/>
      <c r="AAO1254" s="13"/>
      <c r="AAP1254" s="13"/>
      <c r="AAQ1254" s="13"/>
      <c r="AAR1254" s="13"/>
      <c r="AAS1254" s="13"/>
      <c r="AAT1254" s="13"/>
      <c r="AAU1254" s="13"/>
      <c r="AAV1254" s="13"/>
      <c r="AAW1254" s="13"/>
      <c r="AAX1254" s="13"/>
      <c r="AAY1254" s="13"/>
      <c r="AAZ1254" s="13"/>
      <c r="ABA1254" s="13"/>
      <c r="ABB1254" s="13"/>
      <c r="ABC1254" s="13"/>
      <c r="ABD1254" s="13"/>
      <c r="ABE1254" s="13"/>
      <c r="ABF1254" s="13"/>
      <c r="ABG1254" s="13"/>
      <c r="ABH1254" s="13"/>
      <c r="ABI1254" s="13"/>
      <c r="ABJ1254" s="13"/>
      <c r="ABK1254" s="13"/>
      <c r="ABL1254" s="13"/>
      <c r="ABM1254" s="13"/>
      <c r="ABN1254" s="13"/>
      <c r="ABO1254" s="13"/>
      <c r="ABP1254" s="13"/>
      <c r="ABQ1254" s="13"/>
      <c r="ABR1254" s="13"/>
      <c r="ABS1254" s="13"/>
      <c r="ABT1254" s="13"/>
      <c r="ABU1254" s="13"/>
      <c r="ABV1254" s="13"/>
      <c r="ABW1254" s="13"/>
      <c r="ABX1254" s="13"/>
      <c r="ABY1254" s="13"/>
      <c r="ABZ1254" s="13"/>
      <c r="ACA1254" s="13"/>
      <c r="ACB1254" s="13"/>
      <c r="ACC1254" s="13"/>
      <c r="ACD1254" s="13"/>
      <c r="ACE1254" s="13"/>
      <c r="ACF1254" s="13"/>
      <c r="ACG1254" s="13"/>
      <c r="ACH1254" s="13"/>
      <c r="ACI1254" s="13"/>
      <c r="ACJ1254" s="13"/>
      <c r="ACK1254" s="13"/>
      <c r="ACL1254" s="13"/>
      <c r="ACM1254" s="13"/>
      <c r="ACN1254" s="13"/>
      <c r="ACO1254" s="13"/>
      <c r="ACP1254" s="13"/>
      <c r="ACQ1254" s="13"/>
      <c r="ACR1254" s="13"/>
      <c r="ACS1254" s="13"/>
      <c r="ACT1254" s="13"/>
      <c r="ACU1254" s="13"/>
      <c r="ACV1254" s="13"/>
      <c r="ACW1254" s="13"/>
      <c r="ACX1254" s="13"/>
      <c r="ACY1254" s="13"/>
      <c r="ACZ1254" s="13"/>
      <c r="ADA1254" s="13"/>
      <c r="ADB1254" s="13"/>
      <c r="ADC1254" s="13"/>
      <c r="ADD1254" s="13"/>
      <c r="ADE1254" s="13"/>
      <c r="ADF1254" s="13"/>
      <c r="ADG1254" s="13"/>
      <c r="ADH1254" s="13"/>
      <c r="ADI1254" s="13"/>
      <c r="ADJ1254" s="13"/>
      <c r="ADK1254" s="13"/>
      <c r="ADL1254" s="13"/>
      <c r="ADM1254" s="13"/>
      <c r="ADN1254" s="13"/>
      <c r="ADO1254" s="13"/>
      <c r="ADP1254" s="13"/>
      <c r="ADQ1254" s="13"/>
      <c r="ADR1254" s="13"/>
      <c r="ADS1254" s="13"/>
      <c r="ADT1254" s="13"/>
      <c r="ADU1254" s="13"/>
      <c r="ADV1254" s="13"/>
      <c r="ADW1254" s="13"/>
      <c r="ADX1254" s="13"/>
      <c r="ADY1254" s="13"/>
      <c r="ADZ1254" s="13"/>
      <c r="AEA1254" s="13"/>
      <c r="AEB1254" s="13"/>
      <c r="AEC1254" s="13"/>
      <c r="AED1254" s="13"/>
      <c r="AEE1254" s="13"/>
      <c r="AEF1254" s="13"/>
      <c r="AEG1254" s="13"/>
      <c r="AEH1254" s="13"/>
      <c r="AEI1254" s="13"/>
      <c r="AEJ1254" s="13"/>
      <c r="AEK1254" s="13"/>
      <c r="AEL1254" s="13"/>
      <c r="AEM1254" s="13"/>
      <c r="AEN1254" s="13"/>
      <c r="AEO1254" s="13"/>
      <c r="AEP1254" s="13"/>
      <c r="AEQ1254" s="13"/>
      <c r="AER1254" s="13"/>
      <c r="AES1254" s="13"/>
      <c r="AET1254" s="13"/>
      <c r="AEU1254" s="13"/>
      <c r="AEV1254" s="13"/>
      <c r="AEW1254" s="13"/>
      <c r="AEX1254" s="13"/>
      <c r="AEY1254" s="13"/>
      <c r="AEZ1254" s="13"/>
      <c r="AFA1254" s="13"/>
      <c r="AFB1254" s="13"/>
      <c r="AFC1254" s="13"/>
      <c r="AFD1254" s="13"/>
      <c r="AFE1254" s="13"/>
      <c r="AFF1254" s="13"/>
      <c r="AFG1254" s="13"/>
      <c r="AFH1254" s="13"/>
      <c r="AFI1254" s="13"/>
      <c r="AFJ1254" s="13"/>
      <c r="AFK1254" s="13"/>
      <c r="AFL1254" s="13"/>
      <c r="AFM1254" s="13"/>
      <c r="AFN1254" s="13"/>
      <c r="AFO1254" s="13"/>
      <c r="AFP1254" s="13"/>
      <c r="AFQ1254" s="13"/>
      <c r="AFR1254" s="13"/>
      <c r="AFS1254" s="13"/>
      <c r="AFT1254" s="13"/>
      <c r="AFU1254" s="13"/>
      <c r="AFV1254" s="13"/>
      <c r="AFW1254" s="13"/>
      <c r="AFX1254" s="13"/>
      <c r="AFY1254" s="13"/>
      <c r="AFZ1254" s="13"/>
      <c r="AGA1254" s="13"/>
      <c r="AGB1254" s="13"/>
      <c r="AGC1254" s="13"/>
      <c r="AGD1254" s="13"/>
      <c r="AGE1254" s="13"/>
      <c r="AGF1254" s="13"/>
      <c r="AGG1254" s="13"/>
      <c r="AGH1254" s="13"/>
      <c r="AGI1254" s="13"/>
      <c r="AGJ1254" s="13"/>
      <c r="AGK1254" s="13"/>
      <c r="AGL1254" s="13"/>
      <c r="AGM1254" s="13"/>
      <c r="AGN1254" s="13"/>
      <c r="AGO1254" s="13"/>
      <c r="AGP1254" s="13"/>
      <c r="AGQ1254" s="13"/>
      <c r="AGR1254" s="13"/>
      <c r="AGS1254" s="13"/>
      <c r="AGT1254" s="13"/>
      <c r="AGU1254" s="13"/>
      <c r="AGV1254" s="13"/>
      <c r="AGW1254" s="13"/>
      <c r="AGX1254" s="13"/>
      <c r="AGY1254" s="13"/>
      <c r="AGZ1254" s="13"/>
      <c r="AHA1254" s="13"/>
      <c r="AHB1254" s="13"/>
      <c r="AHC1254" s="13"/>
      <c r="AHD1254" s="13"/>
      <c r="AHE1254" s="13"/>
      <c r="AHF1254" s="13"/>
      <c r="AHG1254" s="13"/>
      <c r="AHH1254" s="13"/>
      <c r="AHI1254" s="13"/>
      <c r="AHJ1254" s="13"/>
      <c r="AHK1254" s="13"/>
      <c r="AHL1254" s="13"/>
      <c r="AHM1254" s="13"/>
      <c r="AHN1254" s="13"/>
      <c r="AHO1254" s="13"/>
      <c r="AHP1254" s="13"/>
      <c r="AHQ1254" s="13"/>
      <c r="AHR1254" s="13"/>
      <c r="AHS1254" s="13"/>
      <c r="AHT1254" s="13"/>
      <c r="AHU1254" s="13"/>
      <c r="AHV1254" s="13"/>
      <c r="AHW1254" s="13"/>
      <c r="AHX1254" s="13"/>
      <c r="AHY1254" s="13"/>
      <c r="AHZ1254" s="13"/>
      <c r="AIA1254" s="13"/>
      <c r="AIB1254" s="13"/>
      <c r="AIC1254" s="13"/>
      <c r="AID1254" s="13"/>
      <c r="AIE1254" s="13"/>
      <c r="AIF1254" s="13"/>
      <c r="AIG1254" s="13"/>
      <c r="AIH1254" s="13"/>
      <c r="AII1254" s="13"/>
      <c r="AIJ1254" s="13"/>
      <c r="AIK1254" s="13"/>
      <c r="AIL1254" s="13"/>
      <c r="AIM1254" s="13"/>
      <c r="AIN1254" s="13"/>
      <c r="AIO1254" s="13"/>
      <c r="AIP1254" s="13"/>
      <c r="AIQ1254" s="13"/>
      <c r="AIR1254" s="13"/>
      <c r="AIS1254" s="13"/>
      <c r="AIT1254" s="13"/>
      <c r="AIU1254" s="13"/>
      <c r="AIV1254" s="13"/>
      <c r="AIW1254" s="13"/>
      <c r="AIX1254" s="13"/>
      <c r="AIY1254" s="13"/>
      <c r="AIZ1254" s="13"/>
      <c r="AJA1254" s="13"/>
      <c r="AJB1254" s="13"/>
      <c r="AJC1254" s="13"/>
      <c r="AJD1254" s="13"/>
      <c r="AJE1254" s="13"/>
      <c r="AJF1254" s="13"/>
      <c r="AJG1254" s="13"/>
      <c r="AJH1254" s="13"/>
      <c r="AJI1254" s="13"/>
      <c r="AJJ1254" s="13"/>
      <c r="AJK1254" s="13"/>
      <c r="AJL1254" s="13"/>
      <c r="AJM1254" s="13"/>
      <c r="AJN1254" s="13"/>
      <c r="AJO1254" s="13"/>
      <c r="AJP1254" s="13"/>
      <c r="AJQ1254" s="13"/>
      <c r="AJR1254" s="13"/>
      <c r="AJS1254" s="13"/>
      <c r="AJT1254" s="13"/>
      <c r="AJU1254" s="13"/>
      <c r="AJV1254" s="13"/>
      <c r="AJW1254" s="13"/>
      <c r="AJX1254" s="13"/>
      <c r="AJY1254" s="13"/>
      <c r="AJZ1254" s="13"/>
      <c r="AKA1254" s="13"/>
      <c r="AKB1254" s="13"/>
      <c r="AKC1254" s="13"/>
      <c r="AKD1254" s="13"/>
      <c r="AKE1254" s="13"/>
      <c r="AKF1254" s="13"/>
      <c r="AKG1254" s="13"/>
      <c r="AKH1254" s="13"/>
      <c r="AKI1254" s="13"/>
      <c r="AKJ1254" s="13"/>
      <c r="AKK1254" s="13"/>
      <c r="AKL1254" s="13"/>
      <c r="AKM1254" s="13"/>
      <c r="AKN1254" s="13"/>
      <c r="AKO1254" s="13"/>
      <c r="AKP1254" s="13"/>
      <c r="AKQ1254" s="13"/>
      <c r="AKR1254" s="13"/>
      <c r="AKS1254" s="13"/>
      <c r="AKT1254" s="13"/>
      <c r="AKU1254" s="13"/>
      <c r="AKV1254" s="13"/>
      <c r="AKW1254" s="13"/>
      <c r="AKX1254" s="13"/>
      <c r="AKY1254" s="13"/>
      <c r="AKZ1254" s="13"/>
      <c r="ALA1254" s="13"/>
      <c r="ALB1254" s="13"/>
      <c r="ALC1254" s="13"/>
      <c r="ALD1254" s="13"/>
      <c r="ALE1254" s="13"/>
      <c r="ALF1254" s="13"/>
      <c r="ALG1254" s="13"/>
      <c r="ALH1254" s="13"/>
      <c r="ALI1254" s="13"/>
      <c r="ALJ1254" s="13"/>
      <c r="ALK1254" s="13"/>
      <c r="ALL1254" s="13"/>
      <c r="ALM1254" s="13"/>
      <c r="ALN1254" s="13"/>
      <c r="ALO1254" s="13"/>
      <c r="ALP1254" s="13"/>
      <c r="ALQ1254" s="13"/>
      <c r="ALR1254" s="13"/>
      <c r="ALS1254" s="13"/>
      <c r="ALT1254" s="13"/>
      <c r="ALU1254" s="13"/>
      <c r="ALV1254" s="13"/>
      <c r="ALW1254" s="13"/>
      <c r="ALX1254" s="13"/>
      <c r="ALY1254" s="13"/>
      <c r="ALZ1254" s="13"/>
      <c r="AMA1254" s="13"/>
      <c r="AMB1254" s="13"/>
      <c r="AMC1254" s="13"/>
      <c r="AMD1254" s="13"/>
      <c r="AME1254" s="13"/>
      <c r="AMF1254" s="13"/>
      <c r="AMG1254" s="13"/>
      <c r="AMH1254" s="13"/>
      <c r="AMI1254" s="13"/>
      <c r="AMJ1254" s="13"/>
      <c r="AMK1254" s="13"/>
      <c r="AML1254" s="13"/>
      <c r="AMM1254" s="13"/>
      <c r="AMN1254" s="13"/>
      <c r="AMO1254" s="13"/>
      <c r="AMP1254" s="13"/>
      <c r="AMQ1254" s="13"/>
      <c r="AMR1254" s="13"/>
      <c r="AMS1254" s="13"/>
      <c r="AMT1254" s="13"/>
      <c r="AMU1254" s="13"/>
      <c r="AMV1254" s="13"/>
      <c r="AMW1254" s="13"/>
      <c r="AMX1254" s="13"/>
      <c r="AMY1254" s="13"/>
      <c r="AMZ1254" s="13"/>
      <c r="ANA1254" s="13"/>
      <c r="ANB1254" s="13"/>
      <c r="ANC1254" s="13"/>
      <c r="AND1254" s="13"/>
      <c r="ANE1254" s="13"/>
      <c r="ANF1254" s="13"/>
      <c r="ANG1254" s="13"/>
      <c r="ANH1254" s="13"/>
      <c r="ANI1254" s="13"/>
      <c r="ANJ1254" s="13"/>
      <c r="ANK1254" s="13"/>
      <c r="ANL1254" s="13"/>
      <c r="ANM1254" s="13"/>
      <c r="ANN1254" s="13"/>
      <c r="ANO1254" s="13"/>
      <c r="ANP1254" s="13"/>
      <c r="ANQ1254" s="13"/>
      <c r="ANR1254" s="13"/>
      <c r="ANS1254" s="13"/>
      <c r="ANT1254" s="13"/>
      <c r="ANU1254" s="13"/>
      <c r="ANV1254" s="13"/>
      <c r="ANW1254" s="13"/>
      <c r="ANX1254" s="13"/>
      <c r="ANY1254" s="13"/>
      <c r="ANZ1254" s="13"/>
      <c r="AOA1254" s="13"/>
      <c r="AOB1254" s="13"/>
      <c r="AOC1254" s="13"/>
      <c r="AOD1254" s="13"/>
      <c r="AOE1254" s="13"/>
      <c r="AOF1254" s="13"/>
      <c r="AOG1254" s="13"/>
      <c r="AOH1254" s="13"/>
      <c r="AOI1254" s="13"/>
      <c r="AOJ1254" s="13"/>
      <c r="AOK1254" s="13"/>
      <c r="AOL1254" s="13"/>
      <c r="AOM1254" s="13"/>
      <c r="AON1254" s="13"/>
      <c r="AOO1254" s="13"/>
      <c r="AOP1254" s="13"/>
      <c r="AOQ1254" s="13"/>
      <c r="AOR1254" s="13"/>
      <c r="AOS1254" s="13"/>
      <c r="AOT1254" s="13"/>
      <c r="AOU1254" s="13"/>
      <c r="AOV1254" s="13"/>
      <c r="AOW1254" s="13"/>
      <c r="AOX1254" s="13"/>
      <c r="AOY1254" s="13"/>
      <c r="AOZ1254" s="13"/>
      <c r="APA1254" s="13"/>
      <c r="APB1254" s="13"/>
      <c r="APC1254" s="13"/>
      <c r="APD1254" s="13"/>
      <c r="APE1254" s="13"/>
      <c r="APF1254" s="13"/>
      <c r="APG1254" s="13"/>
      <c r="APH1254" s="13"/>
      <c r="API1254" s="13"/>
      <c r="APJ1254" s="13"/>
      <c r="APK1254" s="13"/>
      <c r="APL1254" s="13"/>
      <c r="APM1254" s="13"/>
      <c r="APN1254" s="13"/>
      <c r="APO1254" s="13"/>
      <c r="APP1254" s="13"/>
      <c r="APQ1254" s="13"/>
      <c r="APR1254" s="13"/>
      <c r="APS1254" s="13"/>
      <c r="APT1254" s="13"/>
      <c r="APU1254" s="13"/>
      <c r="APV1254" s="13"/>
      <c r="APW1254" s="13"/>
      <c r="APX1254" s="13"/>
      <c r="APY1254" s="13"/>
      <c r="APZ1254" s="13"/>
      <c r="AQA1254" s="13"/>
      <c r="AQB1254" s="13"/>
      <c r="AQC1254" s="13"/>
      <c r="AQD1254" s="13"/>
      <c r="AQE1254" s="13"/>
      <c r="AQF1254" s="13"/>
      <c r="AQG1254" s="13"/>
      <c r="AQH1254" s="13"/>
      <c r="AQI1254" s="13"/>
      <c r="AQJ1254" s="13"/>
      <c r="AQK1254" s="13"/>
      <c r="AQL1254" s="13"/>
      <c r="AQM1254" s="13"/>
      <c r="AQN1254" s="13"/>
      <c r="AQO1254" s="13"/>
      <c r="AQP1254" s="13"/>
      <c r="AQQ1254" s="13"/>
      <c r="AQR1254" s="13"/>
      <c r="AQS1254" s="13"/>
      <c r="AQT1254" s="13"/>
      <c r="AQU1254" s="13"/>
      <c r="AQV1254" s="13"/>
      <c r="AQW1254" s="13"/>
      <c r="AQX1254" s="13"/>
      <c r="AQY1254" s="13"/>
      <c r="AQZ1254" s="13"/>
      <c r="ARA1254" s="13"/>
      <c r="ARB1254" s="13"/>
      <c r="ARC1254" s="13"/>
      <c r="ARD1254" s="13"/>
      <c r="ARE1254" s="13"/>
      <c r="ARF1254" s="13"/>
      <c r="ARG1254" s="13"/>
      <c r="ARH1254" s="13"/>
      <c r="ARI1254" s="13"/>
      <c r="ARJ1254" s="13"/>
      <c r="ARK1254" s="13"/>
      <c r="ARL1254" s="13"/>
      <c r="ARM1254" s="13"/>
      <c r="ARN1254" s="13"/>
      <c r="ARO1254" s="13"/>
      <c r="ARP1254" s="13"/>
      <c r="ARQ1254" s="13"/>
      <c r="ARR1254" s="13"/>
      <c r="ARS1254" s="13"/>
      <c r="ART1254" s="13"/>
      <c r="ARU1254" s="13"/>
      <c r="ARV1254" s="13"/>
      <c r="ARW1254" s="13"/>
      <c r="ARX1254" s="13"/>
      <c r="ARY1254" s="13"/>
      <c r="ARZ1254" s="13"/>
      <c r="ASA1254" s="13"/>
      <c r="ASB1254" s="13"/>
      <c r="ASC1254" s="13"/>
      <c r="ASD1254" s="13"/>
      <c r="ASE1254" s="13"/>
      <c r="ASF1254" s="13"/>
      <c r="ASG1254" s="13"/>
      <c r="ASH1254" s="13"/>
      <c r="ASI1254" s="13"/>
      <c r="ASJ1254" s="13"/>
      <c r="ASK1254" s="13"/>
      <c r="ASL1254" s="13"/>
      <c r="ASM1254" s="13"/>
      <c r="ASN1254" s="13"/>
      <c r="ASO1254" s="13"/>
      <c r="ASP1254" s="13"/>
      <c r="ASQ1254" s="13"/>
      <c r="ASR1254" s="13"/>
      <c r="ASS1254" s="13"/>
      <c r="AST1254" s="13"/>
      <c r="ASU1254" s="13"/>
      <c r="ASV1254" s="13"/>
      <c r="ASW1254" s="13"/>
      <c r="ASX1254" s="13"/>
      <c r="ASY1254" s="13"/>
      <c r="ASZ1254" s="13"/>
      <c r="ATA1254" s="13"/>
      <c r="ATB1254" s="13"/>
      <c r="ATC1254" s="13"/>
      <c r="ATD1254" s="13"/>
      <c r="ATE1254" s="13"/>
      <c r="ATF1254" s="13"/>
      <c r="ATG1254" s="13"/>
      <c r="ATH1254" s="13"/>
      <c r="ATI1254" s="13"/>
      <c r="ATJ1254" s="13"/>
      <c r="ATK1254" s="13"/>
      <c r="ATL1254" s="13"/>
      <c r="ATM1254" s="13"/>
      <c r="ATN1254" s="13"/>
      <c r="ATO1254" s="13"/>
      <c r="ATP1254" s="13"/>
      <c r="ATQ1254" s="13"/>
      <c r="ATR1254" s="13"/>
      <c r="ATS1254" s="13"/>
      <c r="ATT1254" s="13"/>
      <c r="ATU1254" s="13"/>
      <c r="ATV1254" s="13"/>
      <c r="ATW1254" s="13"/>
      <c r="ATX1254" s="13"/>
      <c r="ATY1254" s="13"/>
      <c r="ATZ1254" s="13"/>
      <c r="AUA1254" s="13"/>
      <c r="AUB1254" s="13"/>
      <c r="AUC1254" s="13"/>
      <c r="AUD1254" s="13"/>
      <c r="AUE1254" s="13"/>
      <c r="AUF1254" s="13"/>
      <c r="AUG1254" s="13"/>
      <c r="AUH1254" s="13"/>
      <c r="AUI1254" s="13"/>
      <c r="AUJ1254" s="13"/>
      <c r="AUK1254" s="13"/>
      <c r="AUL1254" s="13"/>
      <c r="AUM1254" s="13"/>
      <c r="AUN1254" s="13"/>
      <c r="AUO1254" s="13"/>
      <c r="AUP1254" s="13"/>
      <c r="AUQ1254" s="13"/>
      <c r="AUR1254" s="13"/>
      <c r="AUS1254" s="13"/>
      <c r="AUT1254" s="13"/>
      <c r="AUU1254" s="13"/>
      <c r="AUV1254" s="13"/>
      <c r="AUW1254" s="13"/>
      <c r="AUX1254" s="13"/>
      <c r="AUY1254" s="13"/>
      <c r="AUZ1254" s="13"/>
      <c r="AVA1254" s="13"/>
      <c r="AVB1254" s="13"/>
      <c r="AVC1254" s="13"/>
      <c r="AVD1254" s="13"/>
      <c r="AVE1254" s="13"/>
      <c r="AVF1254" s="13"/>
      <c r="AVG1254" s="13"/>
      <c r="AVH1254" s="13"/>
      <c r="AVI1254" s="13"/>
      <c r="AVJ1254" s="13"/>
      <c r="AVK1254" s="13"/>
      <c r="AVL1254" s="13"/>
      <c r="AVM1254" s="13"/>
      <c r="AVN1254" s="13"/>
      <c r="AVO1254" s="13"/>
      <c r="AVP1254" s="13"/>
      <c r="AVQ1254" s="13"/>
      <c r="AVR1254" s="13"/>
      <c r="AVS1254" s="13"/>
      <c r="AVT1254" s="13"/>
      <c r="AVU1254" s="13"/>
      <c r="AVV1254" s="13"/>
      <c r="AVW1254" s="13"/>
      <c r="AVX1254" s="13"/>
      <c r="AVY1254" s="13"/>
      <c r="AVZ1254" s="13"/>
      <c r="AWA1254" s="13"/>
      <c r="AWB1254" s="13"/>
      <c r="AWC1254" s="13"/>
      <c r="AWD1254" s="13"/>
      <c r="AWE1254" s="13"/>
      <c r="AWF1254" s="13"/>
      <c r="AWG1254" s="13"/>
      <c r="AWH1254" s="13"/>
      <c r="AWI1254" s="13"/>
      <c r="AWJ1254" s="13"/>
      <c r="AWK1254" s="13"/>
      <c r="AWL1254" s="13"/>
      <c r="AWM1254" s="13"/>
      <c r="AWN1254" s="13"/>
      <c r="AWO1254" s="13"/>
      <c r="AWP1254" s="13"/>
      <c r="AWQ1254" s="13"/>
      <c r="AWR1254" s="13"/>
      <c r="AWS1254" s="13"/>
      <c r="AWT1254" s="13"/>
      <c r="AWU1254" s="13"/>
      <c r="AWV1254" s="13"/>
      <c r="AWW1254" s="13"/>
      <c r="AWX1254" s="13"/>
      <c r="AWY1254" s="13"/>
      <c r="AWZ1254" s="13"/>
      <c r="AXA1254" s="13"/>
      <c r="AXB1254" s="13"/>
      <c r="AXC1254" s="13"/>
      <c r="AXD1254" s="13"/>
      <c r="AXE1254" s="13"/>
      <c r="AXF1254" s="13"/>
      <c r="AXG1254" s="13"/>
      <c r="AXH1254" s="13"/>
      <c r="AXI1254" s="13"/>
      <c r="AXJ1254" s="13"/>
      <c r="AXK1254" s="13"/>
      <c r="AXL1254" s="13"/>
      <c r="AXM1254" s="13"/>
      <c r="AXN1254" s="13"/>
      <c r="AXO1254" s="13"/>
      <c r="AXP1254" s="13"/>
      <c r="AXQ1254" s="13"/>
      <c r="AXR1254" s="13"/>
      <c r="AXS1254" s="13"/>
      <c r="AXT1254" s="13"/>
      <c r="AXU1254" s="13"/>
      <c r="AXV1254" s="13"/>
      <c r="AXW1254" s="13"/>
      <c r="AXX1254" s="13"/>
      <c r="AXY1254" s="13"/>
      <c r="AXZ1254" s="13"/>
      <c r="AYA1254" s="13"/>
      <c r="AYB1254" s="13"/>
      <c r="AYC1254" s="13"/>
      <c r="AYD1254" s="13"/>
      <c r="AYE1254" s="13"/>
      <c r="AYF1254" s="13"/>
      <c r="AYG1254" s="13"/>
      <c r="AYH1254" s="13"/>
      <c r="AYI1254" s="13"/>
      <c r="AYJ1254" s="13"/>
      <c r="AYK1254" s="13"/>
      <c r="AYL1254" s="13"/>
      <c r="AYM1254" s="13"/>
      <c r="AYN1254" s="13"/>
      <c r="AYO1254" s="13"/>
      <c r="AYP1254" s="13"/>
      <c r="AYQ1254" s="13"/>
      <c r="AYR1254" s="13"/>
      <c r="AYS1254" s="13"/>
      <c r="AYT1254" s="13"/>
      <c r="AYU1254" s="13"/>
      <c r="AYV1254" s="13"/>
      <c r="AYW1254" s="13"/>
      <c r="AYX1254" s="13"/>
      <c r="AYY1254" s="13"/>
      <c r="AYZ1254" s="13"/>
      <c r="AZA1254" s="13"/>
      <c r="AZB1254" s="13"/>
      <c r="AZC1254" s="13"/>
      <c r="AZD1254" s="13"/>
      <c r="AZE1254" s="13"/>
      <c r="AZF1254" s="13"/>
      <c r="AZG1254" s="13"/>
      <c r="AZH1254" s="13"/>
      <c r="AZI1254" s="13"/>
      <c r="AZJ1254" s="13"/>
      <c r="AZK1254" s="13"/>
      <c r="AZL1254" s="13"/>
      <c r="AZM1254" s="13"/>
      <c r="AZN1254" s="13"/>
      <c r="AZO1254" s="13"/>
      <c r="AZP1254" s="13"/>
      <c r="AZQ1254" s="13"/>
      <c r="AZR1254" s="13"/>
      <c r="AZS1254" s="13"/>
      <c r="AZT1254" s="13"/>
      <c r="AZU1254" s="13"/>
      <c r="AZV1254" s="13"/>
      <c r="AZW1254" s="13"/>
      <c r="AZX1254" s="13"/>
      <c r="AZY1254" s="13"/>
      <c r="AZZ1254" s="13"/>
      <c r="BAA1254" s="13"/>
      <c r="BAB1254" s="13"/>
      <c r="BAC1254" s="13"/>
      <c r="BAD1254" s="13"/>
      <c r="BAE1254" s="13"/>
      <c r="BAF1254" s="13"/>
      <c r="BAG1254" s="13"/>
      <c r="BAH1254" s="13"/>
      <c r="BAI1254" s="13"/>
      <c r="BAJ1254" s="13"/>
      <c r="BAK1254" s="13"/>
      <c r="BAL1254" s="13"/>
      <c r="BAM1254" s="13"/>
      <c r="BAN1254" s="13"/>
      <c r="BAO1254" s="13"/>
      <c r="BAP1254" s="13"/>
      <c r="BAQ1254" s="13"/>
      <c r="BAR1254" s="13"/>
      <c r="BAS1254" s="13"/>
      <c r="BAT1254" s="13"/>
      <c r="BAU1254" s="13"/>
      <c r="BAV1254" s="13"/>
      <c r="BAW1254" s="13"/>
      <c r="BAX1254" s="13"/>
      <c r="BAY1254" s="13"/>
      <c r="BAZ1254" s="13"/>
      <c r="BBA1254" s="13"/>
      <c r="BBB1254" s="13"/>
      <c r="BBC1254" s="13"/>
      <c r="BBD1254" s="13"/>
      <c r="BBE1254" s="13"/>
      <c r="BBF1254" s="13"/>
      <c r="BBG1254" s="13"/>
      <c r="BBH1254" s="13"/>
      <c r="BBI1254" s="13"/>
      <c r="BBJ1254" s="13"/>
      <c r="BBK1254" s="13"/>
      <c r="BBL1254" s="13"/>
      <c r="BBM1254" s="13"/>
      <c r="BBN1254" s="13"/>
      <c r="BBO1254" s="13"/>
      <c r="BBP1254" s="13"/>
      <c r="BBQ1254" s="13"/>
      <c r="BBR1254" s="13"/>
      <c r="BBS1254" s="13"/>
      <c r="BBT1254" s="13"/>
      <c r="BBU1254" s="13"/>
      <c r="BBV1254" s="13"/>
      <c r="BBW1254" s="13"/>
      <c r="BBX1254" s="13"/>
      <c r="BBY1254" s="13"/>
      <c r="BBZ1254" s="13"/>
      <c r="BCA1254" s="13"/>
      <c r="BCB1254" s="13"/>
      <c r="BCC1254" s="13"/>
      <c r="BCD1254" s="13"/>
      <c r="BCE1254" s="13"/>
      <c r="BCF1254" s="13"/>
      <c r="BCG1254" s="13"/>
      <c r="BCH1254" s="13"/>
      <c r="BCI1254" s="13"/>
      <c r="BCJ1254" s="13"/>
      <c r="BCK1254" s="13"/>
      <c r="BCL1254" s="13"/>
      <c r="BCM1254" s="13"/>
      <c r="BCN1254" s="13"/>
      <c r="BCO1254" s="13"/>
      <c r="BCP1254" s="13"/>
      <c r="BCQ1254" s="13"/>
      <c r="BCR1254" s="13"/>
      <c r="BCS1254" s="13"/>
      <c r="BCT1254" s="13"/>
      <c r="BCU1254" s="13"/>
      <c r="BCV1254" s="13"/>
      <c r="BCW1254" s="13"/>
      <c r="BCX1254" s="13"/>
      <c r="BCY1254" s="13"/>
      <c r="BCZ1254" s="13"/>
      <c r="BDA1254" s="13"/>
      <c r="BDB1254" s="13"/>
      <c r="BDC1254" s="13"/>
      <c r="BDD1254" s="13"/>
      <c r="BDE1254" s="13"/>
      <c r="BDF1254" s="13"/>
      <c r="BDG1254" s="13"/>
      <c r="BDH1254" s="13"/>
      <c r="BDI1254" s="13"/>
      <c r="BDJ1254" s="13"/>
      <c r="BDK1254" s="13"/>
      <c r="BDL1254" s="13"/>
      <c r="BDM1254" s="13"/>
      <c r="BDN1254" s="13"/>
      <c r="BDO1254" s="13"/>
      <c r="BDP1254" s="13"/>
      <c r="BDQ1254" s="13"/>
      <c r="BDR1254" s="13"/>
      <c r="BDS1254" s="13"/>
      <c r="BDT1254" s="13"/>
      <c r="BDU1254" s="13"/>
      <c r="BDV1254" s="13"/>
      <c r="BDW1254" s="13"/>
      <c r="BDX1254" s="13"/>
      <c r="BDY1254" s="13"/>
      <c r="BDZ1254" s="13"/>
      <c r="BEA1254" s="13"/>
      <c r="BEB1254" s="13"/>
      <c r="BEC1254" s="13"/>
      <c r="BED1254" s="13"/>
      <c r="BEE1254" s="13"/>
      <c r="BEF1254" s="13"/>
      <c r="BEG1254" s="13"/>
      <c r="BEH1254" s="13"/>
      <c r="BEI1254" s="13"/>
      <c r="BEJ1254" s="13"/>
      <c r="BEK1254" s="13"/>
      <c r="BEL1254" s="13"/>
      <c r="BEM1254" s="13"/>
      <c r="BEN1254" s="13"/>
      <c r="BEO1254" s="13"/>
      <c r="BEP1254" s="13"/>
      <c r="BEQ1254" s="13"/>
      <c r="BER1254" s="13"/>
      <c r="BES1254" s="13"/>
      <c r="BET1254" s="13"/>
      <c r="BEU1254" s="13"/>
      <c r="BEV1254" s="13"/>
      <c r="BEW1254" s="13"/>
      <c r="BEX1254" s="13"/>
      <c r="BEY1254" s="13"/>
      <c r="BEZ1254" s="13"/>
      <c r="BFA1254" s="13"/>
      <c r="BFB1254" s="13"/>
      <c r="BFC1254" s="13"/>
      <c r="BFD1254" s="13"/>
      <c r="BFE1254" s="13"/>
      <c r="BFF1254" s="13"/>
      <c r="BFG1254" s="13"/>
      <c r="BFH1254" s="13"/>
      <c r="BFI1254" s="13"/>
      <c r="BFJ1254" s="13"/>
      <c r="BFK1254" s="13"/>
      <c r="BFL1254" s="13"/>
      <c r="BFM1254" s="13"/>
      <c r="BFN1254" s="13"/>
      <c r="BFO1254" s="13"/>
      <c r="BFP1254" s="13"/>
      <c r="BFQ1254" s="13"/>
      <c r="BFR1254" s="13"/>
      <c r="BFS1254" s="13"/>
      <c r="BFT1254" s="13"/>
      <c r="BFU1254" s="13"/>
      <c r="BFV1254" s="13"/>
      <c r="BFW1254" s="13"/>
      <c r="BFX1254" s="13"/>
      <c r="BFY1254" s="13"/>
      <c r="BFZ1254" s="13"/>
      <c r="BGA1254" s="13"/>
      <c r="BGB1254" s="13"/>
      <c r="BGC1254" s="13"/>
      <c r="BGD1254" s="13"/>
      <c r="BGE1254" s="13"/>
      <c r="BGF1254" s="13"/>
      <c r="BGG1254" s="13"/>
      <c r="BGH1254" s="13"/>
      <c r="BGI1254" s="13"/>
      <c r="BGJ1254" s="13"/>
      <c r="BGK1254" s="13"/>
      <c r="BGL1254" s="13"/>
      <c r="BGM1254" s="13"/>
      <c r="BGN1254" s="13"/>
      <c r="BGO1254" s="13"/>
      <c r="BGP1254" s="13"/>
      <c r="BGQ1254" s="13"/>
      <c r="BGR1254" s="13"/>
      <c r="BGS1254" s="13"/>
      <c r="BGT1254" s="13"/>
      <c r="BGU1254" s="13"/>
      <c r="BGV1254" s="13"/>
      <c r="BGW1254" s="13"/>
      <c r="BGX1254" s="13"/>
      <c r="BGY1254" s="13"/>
      <c r="BGZ1254" s="13"/>
      <c r="BHA1254" s="13"/>
      <c r="BHB1254" s="13"/>
      <c r="BHC1254" s="13"/>
      <c r="BHD1254" s="13"/>
      <c r="BHE1254" s="13"/>
      <c r="BHF1254" s="13"/>
      <c r="BHG1254" s="13"/>
      <c r="BHH1254" s="13"/>
      <c r="BHI1254" s="13"/>
      <c r="BHJ1254" s="13"/>
      <c r="BHK1254" s="13"/>
      <c r="BHL1254" s="13"/>
      <c r="BHM1254" s="13"/>
      <c r="BHN1254" s="13"/>
      <c r="BHO1254" s="13"/>
      <c r="BHP1254" s="13"/>
      <c r="BHQ1254" s="13"/>
      <c r="BHR1254" s="13"/>
      <c r="BHS1254" s="13"/>
      <c r="BHT1254" s="13"/>
      <c r="BHU1254" s="13"/>
      <c r="BHV1254" s="13"/>
      <c r="BHW1254" s="13"/>
      <c r="BHX1254" s="13"/>
      <c r="BHY1254" s="13"/>
      <c r="BHZ1254" s="13"/>
      <c r="BIA1254" s="13"/>
      <c r="BIB1254" s="13"/>
      <c r="BIC1254" s="13"/>
      <c r="BID1254" s="13"/>
      <c r="BIE1254" s="13"/>
      <c r="BIF1254" s="13"/>
      <c r="BIG1254" s="13"/>
      <c r="BIH1254" s="13"/>
      <c r="BII1254" s="13"/>
      <c r="BIJ1254" s="13"/>
      <c r="BIK1254" s="13"/>
      <c r="BIL1254" s="13"/>
      <c r="BIM1254" s="13"/>
      <c r="BIN1254" s="13"/>
      <c r="BIO1254" s="13"/>
      <c r="BIP1254" s="13"/>
      <c r="BIQ1254" s="13"/>
      <c r="BIR1254" s="13"/>
      <c r="BIS1254" s="13"/>
      <c r="BIT1254" s="13"/>
      <c r="BIU1254" s="13"/>
      <c r="BIV1254" s="13"/>
      <c r="BIW1254" s="13"/>
      <c r="BIX1254" s="13"/>
      <c r="BIY1254" s="13"/>
      <c r="BIZ1254" s="13"/>
      <c r="BJA1254" s="13"/>
      <c r="BJB1254" s="13"/>
      <c r="BJC1254" s="13"/>
      <c r="BJD1254" s="13"/>
      <c r="BJE1254" s="13"/>
      <c r="BJF1254" s="13"/>
      <c r="BJG1254" s="13"/>
      <c r="BJH1254" s="13"/>
      <c r="BJI1254" s="13"/>
      <c r="BJJ1254" s="13"/>
      <c r="BJK1254" s="13"/>
      <c r="BJL1254" s="13"/>
      <c r="BJM1254" s="13"/>
      <c r="BJN1254" s="13"/>
      <c r="BJO1254" s="13"/>
      <c r="BJP1254" s="13"/>
      <c r="BJQ1254" s="13"/>
      <c r="BJR1254" s="13"/>
      <c r="BJS1254" s="13"/>
      <c r="BJT1254" s="13"/>
      <c r="BJU1254" s="13"/>
      <c r="BJV1254" s="13"/>
      <c r="BJW1254" s="13"/>
      <c r="BJX1254" s="13"/>
      <c r="BJY1254" s="13"/>
      <c r="BJZ1254" s="13"/>
      <c r="BKA1254" s="13"/>
      <c r="BKB1254" s="13"/>
      <c r="BKC1254" s="13"/>
      <c r="BKD1254" s="13"/>
      <c r="BKE1254" s="13"/>
      <c r="BKF1254" s="13"/>
      <c r="BKG1254" s="13"/>
      <c r="BKH1254" s="13"/>
      <c r="BKI1254" s="13"/>
      <c r="BKJ1254" s="13"/>
      <c r="BKK1254" s="13"/>
      <c r="BKL1254" s="13"/>
      <c r="BKM1254" s="13"/>
      <c r="BKN1254" s="13"/>
      <c r="BKO1254" s="13"/>
      <c r="BKP1254" s="13"/>
      <c r="BKQ1254" s="13"/>
      <c r="BKR1254" s="13"/>
      <c r="BKS1254" s="13"/>
      <c r="BKT1254" s="13"/>
      <c r="BKU1254" s="13"/>
      <c r="BKV1254" s="13"/>
      <c r="BKW1254" s="13"/>
      <c r="BKX1254" s="13"/>
      <c r="BKY1254" s="13"/>
      <c r="BKZ1254" s="13"/>
      <c r="BLA1254" s="13"/>
      <c r="BLB1254" s="13"/>
      <c r="BLC1254" s="13"/>
      <c r="BLD1254" s="13"/>
      <c r="BLE1254" s="13"/>
      <c r="BLF1254" s="13"/>
      <c r="BLG1254" s="13"/>
      <c r="BLH1254" s="13"/>
      <c r="BLI1254" s="13"/>
      <c r="BLJ1254" s="13"/>
      <c r="BLK1254" s="13"/>
      <c r="BLL1254" s="13"/>
      <c r="BLM1254" s="13"/>
      <c r="BLN1254" s="13"/>
      <c r="BLO1254" s="13"/>
      <c r="BLP1254" s="13"/>
      <c r="BLQ1254" s="13"/>
      <c r="BLR1254" s="13"/>
      <c r="BLS1254" s="13"/>
      <c r="BLT1254" s="13"/>
      <c r="BLU1254" s="13"/>
      <c r="BLV1254" s="13"/>
      <c r="BLW1254" s="13"/>
      <c r="BLX1254" s="13"/>
      <c r="BLY1254" s="13"/>
      <c r="BLZ1254" s="13"/>
      <c r="BMA1254" s="13"/>
      <c r="BMB1254" s="13"/>
      <c r="BMC1254" s="13"/>
      <c r="BMD1254" s="13"/>
      <c r="BME1254" s="13"/>
      <c r="BMF1254" s="13"/>
      <c r="BMG1254" s="13"/>
      <c r="BMH1254" s="13"/>
      <c r="BMI1254" s="13"/>
      <c r="BMJ1254" s="13"/>
      <c r="BMK1254" s="13"/>
      <c r="BML1254" s="13"/>
      <c r="BMM1254" s="13"/>
      <c r="BMN1254" s="13"/>
      <c r="BMO1254" s="13"/>
      <c r="BMP1254" s="13"/>
      <c r="BMQ1254" s="13"/>
      <c r="BMR1254" s="13"/>
      <c r="BMS1254" s="13"/>
      <c r="BMT1254" s="13"/>
      <c r="BMU1254" s="13"/>
      <c r="BMV1254" s="13"/>
      <c r="BMW1254" s="13"/>
      <c r="BMX1254" s="13"/>
      <c r="BMY1254" s="13"/>
      <c r="BMZ1254" s="13"/>
      <c r="BNA1254" s="13"/>
      <c r="BNB1254" s="13"/>
      <c r="BNC1254" s="13"/>
      <c r="BND1254" s="13"/>
      <c r="BNE1254" s="13"/>
      <c r="BNF1254" s="13"/>
      <c r="BNG1254" s="13"/>
      <c r="BNH1254" s="13"/>
      <c r="BNI1254" s="13"/>
      <c r="BNJ1254" s="13"/>
      <c r="BNK1254" s="13"/>
      <c r="BNL1254" s="13"/>
      <c r="BNM1254" s="13"/>
      <c r="BNN1254" s="13"/>
      <c r="BNO1254" s="13"/>
      <c r="BNP1254" s="13"/>
      <c r="BNQ1254" s="13"/>
      <c r="BNR1254" s="13"/>
      <c r="BNS1254" s="13"/>
      <c r="BNT1254" s="13"/>
      <c r="BNU1254" s="13"/>
      <c r="BNV1254" s="13"/>
      <c r="BNW1254" s="13"/>
      <c r="BNX1254" s="13"/>
      <c r="BNY1254" s="13"/>
      <c r="BNZ1254" s="13"/>
      <c r="BOA1254" s="13"/>
      <c r="BOB1254" s="13"/>
      <c r="BOC1254" s="13"/>
      <c r="BOD1254" s="13"/>
      <c r="BOE1254" s="13"/>
      <c r="BOF1254" s="13"/>
      <c r="BOG1254" s="13"/>
      <c r="BOH1254" s="13"/>
      <c r="BOI1254" s="13"/>
      <c r="BOJ1254" s="13"/>
      <c r="BOK1254" s="13"/>
      <c r="BOL1254" s="13"/>
      <c r="BOM1254" s="13"/>
      <c r="BON1254" s="13"/>
      <c r="BOO1254" s="13"/>
      <c r="BOP1254" s="13"/>
      <c r="BOQ1254" s="13"/>
      <c r="BOR1254" s="13"/>
      <c r="BOS1254" s="13"/>
      <c r="BOT1254" s="13"/>
      <c r="BOU1254" s="13"/>
      <c r="BOV1254" s="13"/>
      <c r="BOW1254" s="13"/>
      <c r="BOX1254" s="13"/>
      <c r="BOY1254" s="13"/>
      <c r="BOZ1254" s="13"/>
      <c r="BPA1254" s="13"/>
      <c r="BPB1254" s="13"/>
      <c r="BPC1254" s="13"/>
      <c r="BPD1254" s="13"/>
      <c r="BPE1254" s="13"/>
      <c r="BPF1254" s="13"/>
      <c r="BPG1254" s="13"/>
      <c r="BPH1254" s="13"/>
      <c r="BPI1254" s="13"/>
      <c r="BPJ1254" s="13"/>
      <c r="BPK1254" s="13"/>
      <c r="BPL1254" s="13"/>
      <c r="BPM1254" s="13"/>
      <c r="BPN1254" s="13"/>
      <c r="BPO1254" s="13"/>
      <c r="BPP1254" s="13"/>
      <c r="BPQ1254" s="13"/>
      <c r="BPR1254" s="13"/>
      <c r="BPS1254" s="13"/>
      <c r="BPT1254" s="13"/>
      <c r="BPU1254" s="13"/>
      <c r="BPV1254" s="13"/>
      <c r="BPW1254" s="13"/>
      <c r="BPX1254" s="13"/>
      <c r="BPY1254" s="13"/>
      <c r="BPZ1254" s="13"/>
      <c r="BQA1254" s="13"/>
      <c r="BQB1254" s="13"/>
      <c r="BQC1254" s="13"/>
      <c r="BQD1254" s="13"/>
      <c r="BQE1254" s="13"/>
      <c r="BQF1254" s="13"/>
      <c r="BQG1254" s="13"/>
      <c r="BQH1254" s="13"/>
      <c r="BQI1254" s="13"/>
      <c r="BQJ1254" s="13"/>
      <c r="BQK1254" s="13"/>
      <c r="BQL1254" s="13"/>
      <c r="BQM1254" s="13"/>
      <c r="BQN1254" s="13"/>
      <c r="BQO1254" s="13"/>
      <c r="BQP1254" s="13"/>
      <c r="BQQ1254" s="13"/>
      <c r="BQR1254" s="13"/>
      <c r="BQS1254" s="13"/>
      <c r="BQT1254" s="13"/>
      <c r="BQU1254" s="13"/>
      <c r="BQV1254" s="13"/>
      <c r="BQW1254" s="13"/>
      <c r="BQX1254" s="13"/>
      <c r="BQY1254" s="13"/>
      <c r="BQZ1254" s="13"/>
      <c r="BRA1254" s="13"/>
      <c r="BRB1254" s="13"/>
      <c r="BRC1254" s="13"/>
      <c r="BRD1254" s="13"/>
      <c r="BRE1254" s="13"/>
      <c r="BRF1254" s="13"/>
      <c r="BRG1254" s="13"/>
      <c r="BRH1254" s="13"/>
      <c r="BRI1254" s="13"/>
      <c r="BRJ1254" s="13"/>
      <c r="BRK1254" s="13"/>
      <c r="BRL1254" s="13"/>
      <c r="BRM1254" s="13"/>
      <c r="BRN1254" s="13"/>
      <c r="BRO1254" s="13"/>
      <c r="BRP1254" s="13"/>
      <c r="BRQ1254" s="13"/>
      <c r="BRR1254" s="13"/>
      <c r="BRS1254" s="13"/>
      <c r="BRT1254" s="13"/>
      <c r="BRU1254" s="13"/>
      <c r="BRV1254" s="13"/>
      <c r="BRW1254" s="13"/>
      <c r="BRX1254" s="13"/>
      <c r="BRY1254" s="13"/>
      <c r="BRZ1254" s="13"/>
      <c r="BSA1254" s="13"/>
      <c r="BSB1254" s="13"/>
      <c r="BSC1254" s="13"/>
      <c r="BSD1254" s="13"/>
      <c r="BSE1254" s="13"/>
      <c r="BSF1254" s="13"/>
      <c r="BSG1254" s="13"/>
      <c r="BSH1254" s="13"/>
      <c r="BSI1254" s="13"/>
      <c r="BSJ1254" s="13"/>
      <c r="BSK1254" s="13"/>
      <c r="BSL1254" s="13"/>
      <c r="BSM1254" s="13"/>
      <c r="BSN1254" s="13"/>
      <c r="BSO1254" s="13"/>
      <c r="BSP1254" s="13"/>
      <c r="BSQ1254" s="13"/>
      <c r="BSR1254" s="13"/>
      <c r="BSS1254" s="13"/>
      <c r="BST1254" s="13"/>
      <c r="BSU1254" s="13"/>
      <c r="BSV1254" s="13"/>
      <c r="BSW1254" s="13"/>
      <c r="BSX1254" s="13"/>
      <c r="BSY1254" s="13"/>
      <c r="BSZ1254" s="13"/>
      <c r="BTA1254" s="13"/>
    </row>
    <row r="1255" spans="1:1873" s="149" customFormat="1" ht="12.75" customHeight="1" x14ac:dyDescent="0.25">
      <c r="A1255" s="263" t="s">
        <v>560</v>
      </c>
      <c r="B1255" s="263" t="s">
        <v>1268</v>
      </c>
      <c r="C1255" s="600" t="s">
        <v>115</v>
      </c>
      <c r="D1255" s="263" t="s">
        <v>1257</v>
      </c>
      <c r="E1255" s="599" t="s">
        <v>116</v>
      </c>
      <c r="F1255" s="600">
        <v>1</v>
      </c>
      <c r="G1255" s="600">
        <v>6</v>
      </c>
      <c r="H1255" s="600">
        <v>6</v>
      </c>
      <c r="I1255" s="257" t="s">
        <v>856</v>
      </c>
      <c r="J1255" s="599">
        <v>1982</v>
      </c>
      <c r="K1255" s="257" t="s">
        <v>1211</v>
      </c>
      <c r="L1255" s="608">
        <v>1987</v>
      </c>
      <c r="M1255" s="261">
        <v>-9999</v>
      </c>
      <c r="N1255" s="257">
        <v>-9999</v>
      </c>
      <c r="O1255" s="29"/>
      <c r="P1255" s="602">
        <v>47.8</v>
      </c>
      <c r="Q1255" s="257">
        <v>-9999</v>
      </c>
      <c r="R1255" s="261"/>
      <c r="S1255" s="257"/>
      <c r="T1255" s="370">
        <v>7.9669999999999996</v>
      </c>
      <c r="U1255" s="257">
        <v>-9999</v>
      </c>
      <c r="V1255" s="257"/>
      <c r="W1255" s="609">
        <f t="shared" si="132"/>
        <v>0.5</v>
      </c>
      <c r="X1255" s="257">
        <v>-9999</v>
      </c>
      <c r="Y1255" s="257"/>
      <c r="Z1255" s="327" t="s">
        <v>1706</v>
      </c>
      <c r="AA1255" s="599">
        <v>5382</v>
      </c>
      <c r="AB1255" s="602">
        <v>0.93</v>
      </c>
      <c r="AC1255" s="257">
        <v>10.3</v>
      </c>
      <c r="AD1255" s="602">
        <f t="shared" si="133"/>
        <v>966</v>
      </c>
      <c r="AE1255" s="263" t="s">
        <v>97</v>
      </c>
      <c r="AF1255" s="600">
        <v>1</v>
      </c>
      <c r="AG1255" s="257">
        <v>2</v>
      </c>
      <c r="AH1255" s="257" t="s">
        <v>98</v>
      </c>
      <c r="AI1255" s="257" t="s">
        <v>985</v>
      </c>
      <c r="AJ1255" s="257">
        <v>-9999</v>
      </c>
      <c r="AK1255" s="257" t="s">
        <v>99</v>
      </c>
      <c r="AL1255" s="257" t="s">
        <v>828</v>
      </c>
      <c r="AM1255" s="257">
        <v>-9999</v>
      </c>
      <c r="AN1255" s="257" t="s">
        <v>631</v>
      </c>
      <c r="AO1255" s="257">
        <v>-9999</v>
      </c>
      <c r="AP1255" s="257">
        <v>-9999</v>
      </c>
      <c r="AQ1255" s="257" t="s">
        <v>631</v>
      </c>
      <c r="AR1255" s="257">
        <v>0</v>
      </c>
      <c r="AS1255" s="257">
        <v>-9999</v>
      </c>
      <c r="AT1255" s="257">
        <v>-9999</v>
      </c>
      <c r="AU1255" s="257">
        <v>0</v>
      </c>
      <c r="AV1255" s="257">
        <v>-9999</v>
      </c>
      <c r="AW1255" s="257"/>
      <c r="AX1255" s="257">
        <v>0</v>
      </c>
      <c r="AY1255" s="257">
        <v>-9999</v>
      </c>
      <c r="AZ1255" s="257">
        <v>-9999</v>
      </c>
      <c r="BA1255" s="257" t="s">
        <v>100</v>
      </c>
      <c r="BB1255" s="257" t="s">
        <v>626</v>
      </c>
      <c r="BC1255" s="257" t="s">
        <v>101</v>
      </c>
      <c r="BD1255" s="257" t="s">
        <v>102</v>
      </c>
      <c r="BE1255" s="257" t="s">
        <v>103</v>
      </c>
      <c r="BF1255" s="257" t="s">
        <v>104</v>
      </c>
      <c r="BG1255" s="257" t="s">
        <v>105</v>
      </c>
      <c r="BH1255" s="257" t="s">
        <v>106</v>
      </c>
      <c r="BI1255" s="257">
        <v>-9999</v>
      </c>
      <c r="BJ1255" s="257">
        <v>-9999</v>
      </c>
      <c r="BK1255" s="257">
        <v>-9999</v>
      </c>
      <c r="BL1255" s="602">
        <v>6.1</v>
      </c>
      <c r="BM1255" s="257">
        <v>-9999</v>
      </c>
      <c r="BN1255" s="602">
        <v>5.0999999999999996</v>
      </c>
      <c r="BO1255" s="257">
        <v>-9999</v>
      </c>
      <c r="BP1255" s="257">
        <v>-9999</v>
      </c>
      <c r="BQ1255" s="257">
        <v>-9999</v>
      </c>
      <c r="BR1255" s="257">
        <v>-9999</v>
      </c>
      <c r="BS1255" s="263">
        <v>-9999</v>
      </c>
      <c r="BT1255" s="257">
        <v>-9999</v>
      </c>
      <c r="BU1255" s="257">
        <v>-9999</v>
      </c>
      <c r="BV1255" s="257">
        <v>-9999</v>
      </c>
      <c r="BW1255" s="257"/>
      <c r="BX1255" s="257">
        <v>-9999</v>
      </c>
      <c r="BY1255" s="257">
        <v>-9999</v>
      </c>
      <c r="BZ1255" s="257">
        <v>-9999</v>
      </c>
      <c r="CA1255" s="300" t="s">
        <v>107</v>
      </c>
      <c r="CB1255" s="264" t="s">
        <v>561</v>
      </c>
      <c r="CC1255" s="600">
        <v>1</v>
      </c>
      <c r="CD1255" s="600">
        <v>6</v>
      </c>
      <c r="CE1255" s="168">
        <v>7.9669999999999996</v>
      </c>
      <c r="CF1255" s="168">
        <v>0.5</v>
      </c>
      <c r="CG1255" s="161">
        <v>6</v>
      </c>
    </row>
    <row r="1256" spans="1:1873" s="149" customFormat="1" ht="12.75" customHeight="1" x14ac:dyDescent="0.25">
      <c r="A1256" s="263"/>
      <c r="B1256" s="263"/>
      <c r="C1256" s="600"/>
      <c r="D1256" s="263"/>
      <c r="E1256" s="599"/>
      <c r="F1256" s="600"/>
      <c r="G1256" s="600"/>
      <c r="H1256" s="600"/>
      <c r="I1256" s="257"/>
      <c r="J1256" s="599"/>
      <c r="K1256" s="257"/>
      <c r="L1256" s="600"/>
      <c r="M1256" s="261"/>
      <c r="N1256" s="257"/>
      <c r="O1256" s="29"/>
      <c r="P1256" s="602"/>
      <c r="Q1256" s="257"/>
      <c r="R1256" s="261"/>
      <c r="S1256" s="257"/>
      <c r="T1256" s="370"/>
      <c r="U1256" s="257"/>
      <c r="V1256" s="257"/>
      <c r="W1256" s="609"/>
      <c r="X1256" s="257"/>
      <c r="Y1256" s="257"/>
      <c r="Z1256" s="327"/>
      <c r="AA1256" s="599"/>
      <c r="AB1256" s="602"/>
      <c r="AC1256" s="257"/>
      <c r="AD1256" s="602"/>
      <c r="AE1256" s="263"/>
      <c r="AF1256" s="600"/>
      <c r="AG1256" s="257"/>
      <c r="AH1256" s="257"/>
      <c r="AI1256" s="257"/>
      <c r="AJ1256" s="257"/>
      <c r="AK1256" s="257"/>
      <c r="AL1256" s="257"/>
      <c r="AM1256" s="257"/>
      <c r="AN1256" s="257"/>
      <c r="AO1256" s="257"/>
      <c r="AP1256" s="257"/>
      <c r="AQ1256" s="257"/>
      <c r="AR1256" s="257"/>
      <c r="AS1256" s="257"/>
      <c r="AT1256" s="257"/>
      <c r="AU1256" s="257"/>
      <c r="AV1256" s="257"/>
      <c r="AW1256" s="257"/>
      <c r="AX1256" s="257"/>
      <c r="AY1256" s="257"/>
      <c r="AZ1256" s="257"/>
      <c r="BA1256" s="257"/>
      <c r="BB1256" s="257"/>
      <c r="BC1256" s="257"/>
      <c r="BD1256" s="257"/>
      <c r="BE1256" s="257"/>
      <c r="BF1256" s="257"/>
      <c r="BG1256" s="257"/>
      <c r="BH1256" s="257"/>
      <c r="BI1256" s="257"/>
      <c r="BJ1256" s="257"/>
      <c r="BK1256" s="257"/>
      <c r="BL1256" s="602"/>
      <c r="BM1256" s="257"/>
      <c r="BN1256" s="602"/>
      <c r="BO1256" s="257"/>
      <c r="BP1256" s="257"/>
      <c r="BQ1256" s="257"/>
      <c r="BR1256" s="257"/>
      <c r="BS1256" s="263"/>
      <c r="BT1256" s="257"/>
      <c r="BU1256" s="257"/>
      <c r="BV1256" s="257"/>
      <c r="BW1256" s="257"/>
      <c r="BX1256" s="257"/>
      <c r="BY1256" s="257"/>
      <c r="BZ1256" s="257"/>
      <c r="CA1256" s="300"/>
      <c r="CB1256" s="264"/>
      <c r="CC1256" s="600"/>
      <c r="CD1256" s="600"/>
      <c r="CE1256" s="168"/>
      <c r="CF1256" s="168"/>
      <c r="CG1256" s="161"/>
    </row>
    <row r="1257" spans="1:1873" s="149" customFormat="1" ht="12.75" customHeight="1" x14ac:dyDescent="0.25">
      <c r="A1257" s="263" t="s">
        <v>560</v>
      </c>
      <c r="B1257" s="263" t="s">
        <v>1268</v>
      </c>
      <c r="C1257" s="600" t="s">
        <v>115</v>
      </c>
      <c r="D1257" s="263" t="s">
        <v>1257</v>
      </c>
      <c r="E1257" s="599" t="s">
        <v>116</v>
      </c>
      <c r="F1257" s="600">
        <v>2</v>
      </c>
      <c r="G1257" s="600">
        <v>1</v>
      </c>
      <c r="H1257" s="600">
        <v>3</v>
      </c>
      <c r="I1257" s="257" t="s">
        <v>856</v>
      </c>
      <c r="J1257" s="599">
        <v>1982</v>
      </c>
      <c r="K1257" s="257" t="s">
        <v>1211</v>
      </c>
      <c r="L1257" s="608">
        <v>1984</v>
      </c>
      <c r="M1257" s="261">
        <v>-9999</v>
      </c>
      <c r="N1257" s="257">
        <v>-9999</v>
      </c>
      <c r="O1257" s="29"/>
      <c r="P1257" s="602">
        <v>3.6</v>
      </c>
      <c r="Q1257" s="257">
        <v>-9999</v>
      </c>
      <c r="R1257" s="261"/>
      <c r="S1257" s="257"/>
      <c r="T1257" s="370">
        <v>3.6</v>
      </c>
      <c r="U1257" s="257">
        <v>-9999</v>
      </c>
      <c r="V1257" s="257"/>
      <c r="W1257" s="609">
        <f>+P1257-P1256</f>
        <v>3.6</v>
      </c>
      <c r="X1257" s="257">
        <v>-9999</v>
      </c>
      <c r="Y1257" s="257"/>
      <c r="Z1257" s="327" t="s">
        <v>1706</v>
      </c>
      <c r="AA1257" s="599">
        <v>5382</v>
      </c>
      <c r="AB1257" s="602">
        <v>0.86</v>
      </c>
      <c r="AC1257" s="257">
        <v>10.3</v>
      </c>
      <c r="AD1257" s="602">
        <f t="shared" ref="AD1257:AD1258" si="134">0.0966*10000</f>
        <v>966</v>
      </c>
      <c r="AE1257" s="263" t="s">
        <v>97</v>
      </c>
      <c r="AF1257" s="600">
        <v>0</v>
      </c>
      <c r="AG1257" s="257">
        <v>2</v>
      </c>
      <c r="AH1257" s="257" t="s">
        <v>98</v>
      </c>
      <c r="AI1257" s="257" t="s">
        <v>985</v>
      </c>
      <c r="AJ1257" s="257">
        <v>-9999</v>
      </c>
      <c r="AK1257" s="257" t="s">
        <v>99</v>
      </c>
      <c r="AL1257" s="257" t="s">
        <v>828</v>
      </c>
      <c r="AM1257" s="257">
        <v>-9999</v>
      </c>
      <c r="AN1257" s="257" t="s">
        <v>631</v>
      </c>
      <c r="AO1257" s="257">
        <v>-9999</v>
      </c>
      <c r="AP1257" s="257">
        <v>-9999</v>
      </c>
      <c r="AQ1257" s="257" t="s">
        <v>631</v>
      </c>
      <c r="AR1257" s="257">
        <v>0</v>
      </c>
      <c r="AS1257" s="257">
        <v>-9999</v>
      </c>
      <c r="AT1257" s="257">
        <v>-9999</v>
      </c>
      <c r="AU1257" s="257">
        <v>0</v>
      </c>
      <c r="AV1257" s="257">
        <v>-9999</v>
      </c>
      <c r="AW1257" s="257"/>
      <c r="AX1257" s="257">
        <v>0</v>
      </c>
      <c r="AY1257" s="257">
        <v>-9999</v>
      </c>
      <c r="AZ1257" s="257">
        <v>-9999</v>
      </c>
      <c r="BA1257" s="257" t="s">
        <v>100</v>
      </c>
      <c r="BB1257" s="257" t="s">
        <v>626</v>
      </c>
      <c r="BC1257" s="257" t="s">
        <v>101</v>
      </c>
      <c r="BD1257" s="257" t="s">
        <v>102</v>
      </c>
      <c r="BE1257" s="257" t="s">
        <v>103</v>
      </c>
      <c r="BF1257" s="257" t="s">
        <v>104</v>
      </c>
      <c r="BG1257" s="257" t="s">
        <v>105</v>
      </c>
      <c r="BH1257" s="257" t="s">
        <v>106</v>
      </c>
      <c r="BI1257" s="257">
        <v>-9999</v>
      </c>
      <c r="BJ1257" s="257">
        <v>-9999</v>
      </c>
      <c r="BK1257" s="257">
        <v>-9999</v>
      </c>
      <c r="BL1257" s="602">
        <v>2.17</v>
      </c>
      <c r="BM1257" s="257">
        <v>-9999</v>
      </c>
      <c r="BN1257" s="602">
        <v>0.94</v>
      </c>
      <c r="BO1257" s="257">
        <v>-9999</v>
      </c>
      <c r="BP1257" s="257">
        <v>-9999</v>
      </c>
      <c r="BQ1257" s="257">
        <v>-9999</v>
      </c>
      <c r="BR1257" s="257">
        <v>-9999</v>
      </c>
      <c r="BS1257" s="263">
        <v>-9999</v>
      </c>
      <c r="BT1257" s="257">
        <v>-9999</v>
      </c>
      <c r="BU1257" s="257">
        <v>-9999</v>
      </c>
      <c r="BV1257" s="257">
        <v>-9999</v>
      </c>
      <c r="BW1257" s="257"/>
      <c r="BX1257" s="257">
        <v>-9999</v>
      </c>
      <c r="BY1257" s="257">
        <v>-9999</v>
      </c>
      <c r="BZ1257" s="257">
        <v>-9999</v>
      </c>
      <c r="CA1257" s="300" t="s">
        <v>107</v>
      </c>
      <c r="CB1257" s="264" t="s">
        <v>561</v>
      </c>
      <c r="CC1257" s="600">
        <v>2</v>
      </c>
      <c r="CD1257" s="600">
        <v>1</v>
      </c>
      <c r="CE1257" s="168">
        <v>3.6</v>
      </c>
      <c r="CF1257" s="168">
        <v>3.6</v>
      </c>
      <c r="CG1257" s="161">
        <v>3</v>
      </c>
    </row>
    <row r="1258" spans="1:1873" s="149" customFormat="1" ht="12.75" customHeight="1" x14ac:dyDescent="0.25">
      <c r="A1258" s="263" t="s">
        <v>560</v>
      </c>
      <c r="B1258" s="263" t="s">
        <v>1268</v>
      </c>
      <c r="C1258" s="600" t="s">
        <v>115</v>
      </c>
      <c r="D1258" s="263" t="s">
        <v>1257</v>
      </c>
      <c r="E1258" s="599" t="s">
        <v>116</v>
      </c>
      <c r="F1258" s="600">
        <v>2</v>
      </c>
      <c r="G1258" s="600">
        <v>2</v>
      </c>
      <c r="H1258" s="600">
        <v>4</v>
      </c>
      <c r="I1258" s="257" t="s">
        <v>856</v>
      </c>
      <c r="J1258" s="599">
        <v>1982</v>
      </c>
      <c r="K1258" s="257" t="s">
        <v>1211</v>
      </c>
      <c r="L1258" s="608">
        <v>1985</v>
      </c>
      <c r="M1258" s="261">
        <v>-9999</v>
      </c>
      <c r="N1258" s="257">
        <v>-9999</v>
      </c>
      <c r="O1258" s="29"/>
      <c r="P1258" s="602">
        <v>10.32</v>
      </c>
      <c r="Q1258" s="257">
        <v>-9999</v>
      </c>
      <c r="R1258" s="261"/>
      <c r="S1258" s="257"/>
      <c r="T1258" s="370">
        <v>5.16</v>
      </c>
      <c r="U1258" s="257">
        <v>-9999</v>
      </c>
      <c r="V1258" s="257"/>
      <c r="W1258" s="609">
        <f>+P1258-P1257</f>
        <v>6.7200000000000006</v>
      </c>
      <c r="X1258" s="257">
        <v>-9999</v>
      </c>
      <c r="Y1258" s="257"/>
      <c r="Z1258" s="327" t="s">
        <v>1706</v>
      </c>
      <c r="AA1258" s="599">
        <v>5382</v>
      </c>
      <c r="AB1258" s="602">
        <v>0.85299999999999998</v>
      </c>
      <c r="AC1258" s="257">
        <v>10.3</v>
      </c>
      <c r="AD1258" s="602">
        <f t="shared" si="134"/>
        <v>966</v>
      </c>
      <c r="AE1258" s="263" t="s">
        <v>97</v>
      </c>
      <c r="AF1258" s="600">
        <v>0</v>
      </c>
      <c r="AG1258" s="257">
        <v>2</v>
      </c>
      <c r="AH1258" s="257" t="s">
        <v>98</v>
      </c>
      <c r="AI1258" s="257" t="s">
        <v>985</v>
      </c>
      <c r="AJ1258" s="257">
        <v>-9999</v>
      </c>
      <c r="AK1258" s="257" t="s">
        <v>99</v>
      </c>
      <c r="AL1258" s="257" t="s">
        <v>828</v>
      </c>
      <c r="AM1258" s="257">
        <v>-9999</v>
      </c>
      <c r="AN1258" s="257" t="s">
        <v>631</v>
      </c>
      <c r="AO1258" s="257">
        <v>-9999</v>
      </c>
      <c r="AP1258" s="257">
        <v>-9999</v>
      </c>
      <c r="AQ1258" s="257" t="s">
        <v>631</v>
      </c>
      <c r="AR1258" s="257">
        <v>0</v>
      </c>
      <c r="AS1258" s="257">
        <v>-9999</v>
      </c>
      <c r="AT1258" s="257">
        <v>-9999</v>
      </c>
      <c r="AU1258" s="257">
        <v>0</v>
      </c>
      <c r="AV1258" s="257">
        <v>-9999</v>
      </c>
      <c r="AW1258" s="257"/>
      <c r="AX1258" s="257">
        <v>0</v>
      </c>
      <c r="AY1258" s="257">
        <v>-9999</v>
      </c>
      <c r="AZ1258" s="257">
        <v>-9999</v>
      </c>
      <c r="BA1258" s="257" t="s">
        <v>100</v>
      </c>
      <c r="BB1258" s="257" t="s">
        <v>626</v>
      </c>
      <c r="BC1258" s="257" t="s">
        <v>101</v>
      </c>
      <c r="BD1258" s="257" t="s">
        <v>102</v>
      </c>
      <c r="BE1258" s="257" t="s">
        <v>103</v>
      </c>
      <c r="BF1258" s="257" t="s">
        <v>104</v>
      </c>
      <c r="BG1258" s="257" t="s">
        <v>105</v>
      </c>
      <c r="BH1258" s="257" t="s">
        <v>106</v>
      </c>
      <c r="BI1258" s="257">
        <v>-9999</v>
      </c>
      <c r="BJ1258" s="257">
        <v>-9999</v>
      </c>
      <c r="BK1258" s="257">
        <v>-9999</v>
      </c>
      <c r="BL1258" s="602">
        <v>3.13</v>
      </c>
      <c r="BM1258" s="257">
        <v>-9999</v>
      </c>
      <c r="BN1258" s="602">
        <v>1.8</v>
      </c>
      <c r="BO1258" s="257">
        <v>-9999</v>
      </c>
      <c r="BP1258" s="257">
        <v>-9999</v>
      </c>
      <c r="BQ1258" s="257">
        <v>-9999</v>
      </c>
      <c r="BR1258" s="257">
        <v>-9999</v>
      </c>
      <c r="BS1258" s="263">
        <v>-9999</v>
      </c>
      <c r="BT1258" s="257">
        <v>-9999</v>
      </c>
      <c r="BU1258" s="257">
        <v>-9999</v>
      </c>
      <c r="BV1258" s="257">
        <v>-9999</v>
      </c>
      <c r="BW1258" s="257"/>
      <c r="BX1258" s="257">
        <v>-9999</v>
      </c>
      <c r="BY1258" s="257">
        <v>-9999</v>
      </c>
      <c r="BZ1258" s="257">
        <v>-9999</v>
      </c>
      <c r="CA1258" s="300" t="s">
        <v>107</v>
      </c>
      <c r="CB1258" s="264" t="s">
        <v>561</v>
      </c>
      <c r="CC1258" s="600">
        <v>2</v>
      </c>
      <c r="CD1258" s="600">
        <v>2</v>
      </c>
      <c r="CE1258" s="168">
        <v>5.16</v>
      </c>
      <c r="CF1258" s="168">
        <v>6.7200000000000006</v>
      </c>
      <c r="CG1258" s="161">
        <v>4</v>
      </c>
    </row>
    <row r="1259" spans="1:1873" s="149" customFormat="1" ht="12.75" customHeight="1" x14ac:dyDescent="0.25">
      <c r="A1259" s="263"/>
      <c r="B1259" s="263"/>
      <c r="C1259" s="600"/>
      <c r="D1259" s="263"/>
      <c r="E1259" s="599"/>
      <c r="F1259" s="600"/>
      <c r="G1259" s="600"/>
      <c r="H1259" s="600"/>
      <c r="I1259" s="257"/>
      <c r="J1259" s="599"/>
      <c r="K1259" s="257"/>
      <c r="L1259" s="600"/>
      <c r="M1259" s="261"/>
      <c r="N1259" s="257"/>
      <c r="O1259" s="29"/>
      <c r="P1259" s="602"/>
      <c r="Q1259" s="257"/>
      <c r="R1259" s="261"/>
      <c r="S1259" s="257"/>
      <c r="T1259" s="370"/>
      <c r="U1259" s="257"/>
      <c r="V1259" s="257"/>
      <c r="W1259" s="609"/>
      <c r="X1259" s="257"/>
      <c r="Y1259" s="257"/>
      <c r="Z1259" s="327"/>
      <c r="AA1259" s="599"/>
      <c r="AB1259" s="602"/>
      <c r="AC1259" s="257"/>
      <c r="AD1259" s="602"/>
      <c r="AE1259" s="263"/>
      <c r="AF1259" s="600"/>
      <c r="AG1259" s="257"/>
      <c r="AH1259" s="257"/>
      <c r="AI1259" s="257"/>
      <c r="AJ1259" s="257"/>
      <c r="AK1259" s="257"/>
      <c r="AL1259" s="257"/>
      <c r="AM1259" s="257"/>
      <c r="AN1259" s="257"/>
      <c r="AO1259" s="257"/>
      <c r="AP1259" s="257"/>
      <c r="AQ1259" s="257"/>
      <c r="AR1259" s="257"/>
      <c r="AS1259" s="257"/>
      <c r="AT1259" s="257"/>
      <c r="AU1259" s="257"/>
      <c r="AV1259" s="257"/>
      <c r="AW1259" s="257"/>
      <c r="AX1259" s="257"/>
      <c r="AY1259" s="257"/>
      <c r="AZ1259" s="257"/>
      <c r="BA1259" s="257"/>
      <c r="BB1259" s="257"/>
      <c r="BC1259" s="257"/>
      <c r="BD1259" s="257"/>
      <c r="BE1259" s="257"/>
      <c r="BF1259" s="257"/>
      <c r="BG1259" s="257"/>
      <c r="BH1259" s="257"/>
      <c r="BI1259" s="257"/>
      <c r="BJ1259" s="257"/>
      <c r="BK1259" s="257"/>
      <c r="BL1259" s="602"/>
      <c r="BM1259" s="257"/>
      <c r="BN1259" s="602"/>
      <c r="BO1259" s="257"/>
      <c r="BP1259" s="257"/>
      <c r="BQ1259" s="257"/>
      <c r="BR1259" s="257"/>
      <c r="BS1259" s="263"/>
      <c r="BT1259" s="257"/>
      <c r="BU1259" s="257"/>
      <c r="BV1259" s="257"/>
      <c r="BW1259" s="257"/>
      <c r="BX1259" s="257"/>
      <c r="BY1259" s="257"/>
      <c r="BZ1259" s="257"/>
      <c r="CA1259" s="300"/>
      <c r="CB1259" s="264"/>
      <c r="CC1259" s="600"/>
      <c r="CD1259" s="600"/>
      <c r="CE1259" s="168"/>
      <c r="CF1259" s="168"/>
      <c r="CG1259" s="161"/>
    </row>
    <row r="1260" spans="1:1873" s="215" customFormat="1" ht="12.75" customHeight="1" x14ac:dyDescent="0.25">
      <c r="A1260" s="260" t="s">
        <v>560</v>
      </c>
      <c r="B1260" s="260" t="s">
        <v>1268</v>
      </c>
      <c r="C1260" s="260" t="s">
        <v>115</v>
      </c>
      <c r="D1260" s="260" t="s">
        <v>1257</v>
      </c>
      <c r="E1260" s="259" t="s">
        <v>116</v>
      </c>
      <c r="F1260" s="260">
        <v>2</v>
      </c>
      <c r="G1260" s="260">
        <v>2</v>
      </c>
      <c r="H1260" s="260">
        <v>5</v>
      </c>
      <c r="I1260" s="259" t="s">
        <v>856</v>
      </c>
      <c r="J1260" s="259">
        <v>1982</v>
      </c>
      <c r="K1260" s="259" t="s">
        <v>1211</v>
      </c>
      <c r="L1260" s="258">
        <v>1986</v>
      </c>
      <c r="M1260" s="288">
        <v>-9999</v>
      </c>
      <c r="N1260" s="259">
        <v>-9999</v>
      </c>
      <c r="O1260" s="18"/>
      <c r="P1260" s="288">
        <v>21.7</v>
      </c>
      <c r="Q1260" s="259">
        <v>-9999</v>
      </c>
      <c r="R1260" s="288"/>
      <c r="S1260" s="259"/>
      <c r="T1260" s="590">
        <v>10.85</v>
      </c>
      <c r="U1260" s="259">
        <v>-9999</v>
      </c>
      <c r="V1260" s="259"/>
      <c r="W1260" s="610">
        <f>+P1260-P1259</f>
        <v>21.7</v>
      </c>
      <c r="X1260" s="259">
        <v>-9999</v>
      </c>
      <c r="Y1260" s="259"/>
      <c r="Z1260" s="259" t="s">
        <v>1706</v>
      </c>
      <c r="AA1260" s="259">
        <v>5382</v>
      </c>
      <c r="AB1260" s="288">
        <v>0.83</v>
      </c>
      <c r="AC1260" s="259">
        <v>10.3</v>
      </c>
      <c r="AD1260" s="288">
        <f t="shared" ref="AD1260:AD1261" si="135">0.0966*10000</f>
        <v>966</v>
      </c>
      <c r="AE1260" s="260" t="s">
        <v>97</v>
      </c>
      <c r="AF1260" s="260">
        <v>0</v>
      </c>
      <c r="AG1260" s="259">
        <v>2</v>
      </c>
      <c r="AH1260" s="259" t="s">
        <v>98</v>
      </c>
      <c r="AI1260" s="259" t="s">
        <v>985</v>
      </c>
      <c r="AJ1260" s="259">
        <v>-9999</v>
      </c>
      <c r="AK1260" s="259" t="s">
        <v>99</v>
      </c>
      <c r="AL1260" s="259" t="s">
        <v>828</v>
      </c>
      <c r="AM1260" s="259">
        <v>-9999</v>
      </c>
      <c r="AN1260" s="259" t="s">
        <v>631</v>
      </c>
      <c r="AO1260" s="259">
        <v>-9999</v>
      </c>
      <c r="AP1260" s="259">
        <v>-9999</v>
      </c>
      <c r="AQ1260" s="259" t="s">
        <v>631</v>
      </c>
      <c r="AR1260" s="259">
        <v>0</v>
      </c>
      <c r="AS1260" s="259">
        <v>-9999</v>
      </c>
      <c r="AT1260" s="259">
        <v>-9999</v>
      </c>
      <c r="AU1260" s="259">
        <v>0</v>
      </c>
      <c r="AV1260" s="259">
        <v>-9999</v>
      </c>
      <c r="AW1260" s="259"/>
      <c r="AX1260" s="259">
        <v>0</v>
      </c>
      <c r="AY1260" s="259">
        <v>-9999</v>
      </c>
      <c r="AZ1260" s="259">
        <v>-9999</v>
      </c>
      <c r="BA1260" s="259" t="s">
        <v>100</v>
      </c>
      <c r="BB1260" s="259" t="s">
        <v>626</v>
      </c>
      <c r="BC1260" s="259" t="s">
        <v>101</v>
      </c>
      <c r="BD1260" s="259" t="s">
        <v>102</v>
      </c>
      <c r="BE1260" s="259" t="s">
        <v>103</v>
      </c>
      <c r="BF1260" s="259" t="s">
        <v>104</v>
      </c>
      <c r="BG1260" s="259" t="s">
        <v>105</v>
      </c>
      <c r="BH1260" s="259" t="s">
        <v>106</v>
      </c>
      <c r="BI1260" s="259">
        <v>-9999</v>
      </c>
      <c r="BJ1260" s="259">
        <v>-9999</v>
      </c>
      <c r="BK1260" s="259">
        <v>-9999</v>
      </c>
      <c r="BL1260" s="288">
        <v>2.6</v>
      </c>
      <c r="BM1260" s="259">
        <v>-9999</v>
      </c>
      <c r="BN1260" s="288">
        <v>1.5</v>
      </c>
      <c r="BO1260" s="259">
        <v>-9999</v>
      </c>
      <c r="BP1260" s="259">
        <v>-9999</v>
      </c>
      <c r="BQ1260" s="259">
        <v>-9999</v>
      </c>
      <c r="BR1260" s="259">
        <v>-9999</v>
      </c>
      <c r="BS1260" s="260">
        <v>-9999</v>
      </c>
      <c r="BT1260" s="259">
        <v>-9999</v>
      </c>
      <c r="BU1260" s="259">
        <v>-9999</v>
      </c>
      <c r="BV1260" s="259">
        <v>-9999</v>
      </c>
      <c r="BW1260" s="259"/>
      <c r="BX1260" s="259">
        <v>-9999</v>
      </c>
      <c r="BY1260" s="259">
        <v>-9999</v>
      </c>
      <c r="BZ1260" s="259">
        <v>-9999</v>
      </c>
      <c r="CA1260" s="337" t="s">
        <v>107</v>
      </c>
      <c r="CB1260" s="592" t="s">
        <v>108</v>
      </c>
      <c r="CC1260" s="260">
        <v>2</v>
      </c>
      <c r="CD1260" s="260">
        <v>2</v>
      </c>
      <c r="CE1260" s="99">
        <v>10.85</v>
      </c>
      <c r="CF1260" s="99">
        <v>21.7</v>
      </c>
      <c r="CG1260" s="212">
        <v>5</v>
      </c>
      <c r="CH1260" s="13" t="s">
        <v>1757</v>
      </c>
      <c r="CI1260" s="13"/>
      <c r="CJ1260" s="13"/>
      <c r="CK1260" s="13"/>
      <c r="CL1260" s="13"/>
      <c r="CM1260" s="13"/>
      <c r="CN1260" s="13"/>
      <c r="CO1260" s="13"/>
      <c r="CP1260" s="13"/>
      <c r="CQ1260" s="13"/>
      <c r="CR1260" s="13"/>
      <c r="CS1260" s="13"/>
      <c r="CT1260" s="13"/>
      <c r="CU1260" s="13"/>
      <c r="CV1260" s="13"/>
      <c r="CW1260" s="13"/>
      <c r="CX1260" s="13"/>
      <c r="CY1260" s="13"/>
      <c r="CZ1260" s="13"/>
      <c r="DA1260" s="13"/>
      <c r="DB1260" s="13"/>
      <c r="DC1260" s="13"/>
      <c r="DD1260" s="13"/>
      <c r="DE1260" s="13"/>
      <c r="DF1260" s="13"/>
      <c r="DG1260" s="13"/>
      <c r="DH1260" s="13"/>
      <c r="DI1260" s="13"/>
      <c r="DJ1260" s="13"/>
      <c r="DK1260" s="13"/>
      <c r="DL1260" s="13"/>
      <c r="DM1260" s="13"/>
      <c r="DN1260" s="13"/>
      <c r="DO1260" s="13"/>
      <c r="DP1260" s="13"/>
      <c r="DQ1260" s="13"/>
      <c r="DR1260" s="13"/>
      <c r="DS1260" s="13"/>
      <c r="DT1260" s="13"/>
      <c r="DU1260" s="13"/>
      <c r="DV1260" s="13"/>
      <c r="DW1260" s="13"/>
      <c r="DX1260" s="13"/>
      <c r="DY1260" s="13"/>
      <c r="DZ1260" s="13"/>
      <c r="EA1260" s="13"/>
      <c r="EB1260" s="13"/>
      <c r="EC1260" s="13"/>
      <c r="ED1260" s="13"/>
      <c r="EE1260" s="13"/>
      <c r="EF1260" s="13"/>
      <c r="EG1260" s="13"/>
      <c r="EH1260" s="13"/>
      <c r="EI1260" s="13"/>
      <c r="EJ1260" s="13"/>
      <c r="EK1260" s="13"/>
      <c r="EL1260" s="13"/>
      <c r="EM1260" s="13"/>
      <c r="EN1260" s="13"/>
      <c r="EO1260" s="13"/>
      <c r="EP1260" s="13"/>
      <c r="EQ1260" s="13"/>
      <c r="ER1260" s="13"/>
      <c r="ES1260" s="13"/>
      <c r="ET1260" s="13"/>
      <c r="EU1260" s="13"/>
      <c r="EV1260" s="13"/>
      <c r="EW1260" s="13"/>
      <c r="EX1260" s="13"/>
      <c r="EY1260" s="13"/>
      <c r="EZ1260" s="13"/>
      <c r="FA1260" s="13"/>
      <c r="FB1260" s="13"/>
      <c r="FC1260" s="13"/>
      <c r="FD1260" s="13"/>
      <c r="FE1260" s="13"/>
      <c r="FF1260" s="13"/>
      <c r="FG1260" s="13"/>
      <c r="FH1260" s="13"/>
      <c r="FI1260" s="13"/>
      <c r="FJ1260" s="13"/>
      <c r="FK1260" s="13"/>
      <c r="FL1260" s="13"/>
      <c r="FM1260" s="13"/>
      <c r="FN1260" s="13"/>
      <c r="FO1260" s="13"/>
      <c r="FP1260" s="13"/>
      <c r="FQ1260" s="13"/>
      <c r="FR1260" s="13"/>
      <c r="FS1260" s="13"/>
      <c r="FT1260" s="13"/>
      <c r="FU1260" s="13"/>
      <c r="FV1260" s="13"/>
      <c r="FW1260" s="13"/>
      <c r="FX1260" s="13"/>
      <c r="FY1260" s="13"/>
      <c r="FZ1260" s="13"/>
      <c r="GA1260" s="13"/>
      <c r="GB1260" s="13"/>
      <c r="GC1260" s="13"/>
      <c r="GD1260" s="13"/>
      <c r="GE1260" s="13"/>
      <c r="GF1260" s="13"/>
      <c r="GG1260" s="13"/>
      <c r="GH1260" s="13"/>
      <c r="GI1260" s="13"/>
      <c r="GJ1260" s="13"/>
      <c r="GK1260" s="13"/>
      <c r="GL1260" s="13"/>
      <c r="GM1260" s="13"/>
      <c r="GN1260" s="13"/>
      <c r="GO1260" s="13"/>
      <c r="GP1260" s="13"/>
      <c r="GQ1260" s="13"/>
      <c r="GR1260" s="13"/>
      <c r="GS1260" s="13"/>
      <c r="GT1260" s="13"/>
      <c r="GU1260" s="13"/>
      <c r="GV1260" s="13"/>
      <c r="GW1260" s="13"/>
      <c r="GX1260" s="13"/>
      <c r="GY1260" s="13"/>
      <c r="GZ1260" s="13"/>
      <c r="HA1260" s="13"/>
      <c r="HB1260" s="13"/>
      <c r="HC1260" s="13"/>
      <c r="HD1260" s="13"/>
      <c r="HE1260" s="13"/>
      <c r="HF1260" s="13"/>
      <c r="HG1260" s="13"/>
      <c r="HH1260" s="13"/>
      <c r="HI1260" s="13"/>
      <c r="HJ1260" s="13"/>
      <c r="HK1260" s="13"/>
      <c r="HL1260" s="13"/>
      <c r="HM1260" s="13"/>
      <c r="HN1260" s="13"/>
      <c r="HO1260" s="13"/>
      <c r="HP1260" s="13"/>
      <c r="HQ1260" s="13"/>
      <c r="HR1260" s="13"/>
      <c r="HS1260" s="13"/>
      <c r="HT1260" s="13"/>
      <c r="HU1260" s="13"/>
      <c r="HV1260" s="13"/>
      <c r="HW1260" s="13"/>
      <c r="HX1260" s="13"/>
      <c r="HY1260" s="13"/>
      <c r="HZ1260" s="13"/>
      <c r="IA1260" s="13"/>
      <c r="IB1260" s="13"/>
      <c r="IC1260" s="13"/>
      <c r="ID1260" s="13"/>
      <c r="IE1260" s="13"/>
      <c r="IF1260" s="13"/>
      <c r="IG1260" s="13"/>
      <c r="IH1260" s="13"/>
      <c r="II1260" s="13"/>
      <c r="IJ1260" s="13"/>
      <c r="IK1260" s="13"/>
      <c r="IL1260" s="13"/>
      <c r="IM1260" s="13"/>
      <c r="IN1260" s="13"/>
      <c r="IO1260" s="13"/>
      <c r="IP1260" s="13"/>
      <c r="IQ1260" s="13"/>
      <c r="IR1260" s="13"/>
      <c r="IS1260" s="13"/>
      <c r="IT1260" s="13"/>
      <c r="IU1260" s="13"/>
      <c r="IV1260" s="13"/>
      <c r="IW1260" s="13"/>
      <c r="IX1260" s="13"/>
      <c r="IY1260" s="13"/>
      <c r="IZ1260" s="13"/>
      <c r="JA1260" s="13"/>
      <c r="JB1260" s="13"/>
      <c r="JC1260" s="13"/>
      <c r="JD1260" s="13"/>
      <c r="JE1260" s="13"/>
      <c r="JF1260" s="13"/>
      <c r="JG1260" s="13"/>
      <c r="JH1260" s="13"/>
      <c r="JI1260" s="13"/>
      <c r="JJ1260" s="13"/>
      <c r="JK1260" s="13"/>
      <c r="JL1260" s="13"/>
      <c r="JM1260" s="13"/>
      <c r="JN1260" s="13"/>
      <c r="JO1260" s="13"/>
      <c r="JP1260" s="13"/>
      <c r="JQ1260" s="13"/>
      <c r="JR1260" s="13"/>
      <c r="JS1260" s="13"/>
      <c r="JT1260" s="13"/>
      <c r="JU1260" s="13"/>
      <c r="JV1260" s="13"/>
      <c r="JW1260" s="13"/>
      <c r="JX1260" s="13"/>
      <c r="JY1260" s="13"/>
      <c r="JZ1260" s="13"/>
      <c r="KA1260" s="13"/>
      <c r="KB1260" s="13"/>
      <c r="KC1260" s="13"/>
      <c r="KD1260" s="13"/>
      <c r="KE1260" s="13"/>
      <c r="KF1260" s="13"/>
      <c r="KG1260" s="13"/>
      <c r="KH1260" s="13"/>
      <c r="KI1260" s="13"/>
      <c r="KJ1260" s="13"/>
      <c r="KK1260" s="13"/>
      <c r="KL1260" s="13"/>
      <c r="KM1260" s="13"/>
      <c r="KN1260" s="13"/>
      <c r="KO1260" s="13"/>
      <c r="KP1260" s="13"/>
      <c r="KQ1260" s="13"/>
      <c r="KR1260" s="13"/>
      <c r="KS1260" s="13"/>
      <c r="KT1260" s="13"/>
      <c r="KU1260" s="13"/>
      <c r="KV1260" s="13"/>
      <c r="KW1260" s="13"/>
      <c r="KX1260" s="13"/>
      <c r="KY1260" s="13"/>
      <c r="KZ1260" s="13"/>
      <c r="LA1260" s="13"/>
      <c r="LB1260" s="13"/>
      <c r="LC1260" s="13"/>
      <c r="LD1260" s="13"/>
      <c r="LE1260" s="13"/>
      <c r="LF1260" s="13"/>
      <c r="LG1260" s="13"/>
      <c r="LH1260" s="13"/>
      <c r="LI1260" s="13"/>
      <c r="LJ1260" s="13"/>
      <c r="LK1260" s="13"/>
      <c r="LL1260" s="13"/>
      <c r="LM1260" s="13"/>
      <c r="LN1260" s="13"/>
      <c r="LO1260" s="13"/>
      <c r="LP1260" s="13"/>
      <c r="LQ1260" s="13"/>
      <c r="LR1260" s="13"/>
      <c r="LS1260" s="13"/>
      <c r="LT1260" s="13"/>
      <c r="LU1260" s="13"/>
      <c r="LV1260" s="13"/>
      <c r="LW1260" s="13"/>
      <c r="LX1260" s="13"/>
      <c r="LY1260" s="13"/>
      <c r="LZ1260" s="13"/>
      <c r="MA1260" s="13"/>
      <c r="MB1260" s="13"/>
      <c r="MC1260" s="13"/>
      <c r="MD1260" s="13"/>
      <c r="ME1260" s="13"/>
      <c r="MF1260" s="13"/>
      <c r="MG1260" s="13"/>
      <c r="MH1260" s="13"/>
      <c r="MI1260" s="13"/>
      <c r="MJ1260" s="13"/>
      <c r="MK1260" s="13"/>
      <c r="ML1260" s="13"/>
      <c r="MM1260" s="13"/>
      <c r="MN1260" s="13"/>
      <c r="MO1260" s="13"/>
      <c r="MP1260" s="13"/>
      <c r="MQ1260" s="13"/>
      <c r="MR1260" s="13"/>
      <c r="MS1260" s="13"/>
      <c r="MT1260" s="13"/>
      <c r="MU1260" s="13"/>
      <c r="MV1260" s="13"/>
      <c r="MW1260" s="13"/>
      <c r="MX1260" s="13"/>
      <c r="MY1260" s="13"/>
      <c r="MZ1260" s="13"/>
      <c r="NA1260" s="13"/>
      <c r="NB1260" s="13"/>
      <c r="NC1260" s="13"/>
      <c r="ND1260" s="13"/>
      <c r="NE1260" s="13"/>
      <c r="NF1260" s="13"/>
      <c r="NG1260" s="13"/>
      <c r="NH1260" s="13"/>
      <c r="NI1260" s="13"/>
      <c r="NJ1260" s="13"/>
      <c r="NK1260" s="13"/>
      <c r="NL1260" s="13"/>
      <c r="NM1260" s="13"/>
      <c r="NN1260" s="13"/>
      <c r="NO1260" s="13"/>
      <c r="NP1260" s="13"/>
      <c r="NQ1260" s="13"/>
      <c r="NR1260" s="13"/>
      <c r="NS1260" s="13"/>
      <c r="NT1260" s="13"/>
      <c r="NU1260" s="13"/>
      <c r="NV1260" s="13"/>
      <c r="NW1260" s="13"/>
      <c r="NX1260" s="13"/>
      <c r="NY1260" s="13"/>
      <c r="NZ1260" s="13"/>
      <c r="OA1260" s="13"/>
      <c r="OB1260" s="13"/>
      <c r="OC1260" s="13"/>
      <c r="OD1260" s="13"/>
      <c r="OE1260" s="13"/>
      <c r="OF1260" s="13"/>
      <c r="OG1260" s="13"/>
      <c r="OH1260" s="13"/>
      <c r="OI1260" s="13"/>
      <c r="OJ1260" s="13"/>
      <c r="OK1260" s="13"/>
      <c r="OL1260" s="13"/>
      <c r="OM1260" s="13"/>
      <c r="ON1260" s="13"/>
      <c r="OO1260" s="13"/>
      <c r="OP1260" s="13"/>
      <c r="OQ1260" s="13"/>
      <c r="OR1260" s="13"/>
      <c r="OS1260" s="13"/>
      <c r="OT1260" s="13"/>
      <c r="OU1260" s="13"/>
      <c r="OV1260" s="13"/>
      <c r="OW1260" s="13"/>
      <c r="OX1260" s="13"/>
      <c r="OY1260" s="13"/>
      <c r="OZ1260" s="13"/>
      <c r="PA1260" s="13"/>
      <c r="PB1260" s="13"/>
      <c r="PC1260" s="13"/>
      <c r="PD1260" s="13"/>
      <c r="PE1260" s="13"/>
      <c r="PF1260" s="13"/>
      <c r="PG1260" s="13"/>
      <c r="PH1260" s="13"/>
      <c r="PI1260" s="13"/>
      <c r="PJ1260" s="13"/>
      <c r="PK1260" s="13"/>
      <c r="PL1260" s="13"/>
      <c r="PM1260" s="13"/>
      <c r="PN1260" s="13"/>
      <c r="PO1260" s="13"/>
      <c r="PP1260" s="13"/>
      <c r="PQ1260" s="13"/>
      <c r="PR1260" s="13"/>
      <c r="PS1260" s="13"/>
      <c r="PT1260" s="13"/>
      <c r="PU1260" s="13"/>
      <c r="PV1260" s="13"/>
      <c r="PW1260" s="13"/>
      <c r="PX1260" s="13"/>
      <c r="PY1260" s="13"/>
      <c r="PZ1260" s="13"/>
      <c r="QA1260" s="13"/>
      <c r="QB1260" s="13"/>
      <c r="QC1260" s="13"/>
      <c r="QD1260" s="13"/>
      <c r="QE1260" s="13"/>
      <c r="QF1260" s="13"/>
      <c r="QG1260" s="13"/>
      <c r="QH1260" s="13"/>
      <c r="QI1260" s="13"/>
      <c r="QJ1260" s="13"/>
      <c r="QK1260" s="13"/>
      <c r="QL1260" s="13"/>
      <c r="QM1260" s="13"/>
      <c r="QN1260" s="13"/>
      <c r="QO1260" s="13"/>
      <c r="QP1260" s="13"/>
      <c r="QQ1260" s="13"/>
      <c r="QR1260" s="13"/>
      <c r="QS1260" s="13"/>
      <c r="QT1260" s="13"/>
      <c r="QU1260" s="13"/>
      <c r="QV1260" s="13"/>
      <c r="QW1260" s="13"/>
      <c r="QX1260" s="13"/>
      <c r="QY1260" s="13"/>
      <c r="QZ1260" s="13"/>
      <c r="RA1260" s="13"/>
      <c r="RB1260" s="13"/>
      <c r="RC1260" s="13"/>
      <c r="RD1260" s="13"/>
      <c r="RE1260" s="13"/>
      <c r="RF1260" s="13"/>
      <c r="RG1260" s="13"/>
      <c r="RH1260" s="13"/>
      <c r="RI1260" s="13"/>
      <c r="RJ1260" s="13"/>
      <c r="RK1260" s="13"/>
      <c r="RL1260" s="13"/>
      <c r="RM1260" s="13"/>
      <c r="RN1260" s="13"/>
      <c r="RO1260" s="13"/>
      <c r="RP1260" s="13"/>
      <c r="RQ1260" s="13"/>
      <c r="RR1260" s="13"/>
      <c r="RS1260" s="13"/>
      <c r="RT1260" s="13"/>
      <c r="RU1260" s="13"/>
      <c r="RV1260" s="13"/>
      <c r="RW1260" s="13"/>
      <c r="RX1260" s="13"/>
      <c r="RY1260" s="13"/>
      <c r="RZ1260" s="13"/>
      <c r="SA1260" s="13"/>
      <c r="SB1260" s="13"/>
      <c r="SC1260" s="13"/>
      <c r="SD1260" s="13"/>
      <c r="SE1260" s="13"/>
      <c r="SF1260" s="13"/>
      <c r="SG1260" s="13"/>
      <c r="SH1260" s="13"/>
      <c r="SI1260" s="13"/>
      <c r="SJ1260" s="13"/>
      <c r="SK1260" s="13"/>
      <c r="SL1260" s="13"/>
      <c r="SM1260" s="13"/>
      <c r="SN1260" s="13"/>
      <c r="SO1260" s="13"/>
      <c r="SP1260" s="13"/>
      <c r="SQ1260" s="13"/>
      <c r="SR1260" s="13"/>
      <c r="SS1260" s="13"/>
      <c r="ST1260" s="13"/>
      <c r="SU1260" s="13"/>
      <c r="SV1260" s="13"/>
      <c r="SW1260" s="13"/>
      <c r="SX1260" s="13"/>
      <c r="SY1260" s="13"/>
      <c r="SZ1260" s="13"/>
      <c r="TA1260" s="13"/>
      <c r="TB1260" s="13"/>
      <c r="TC1260" s="13"/>
      <c r="TD1260" s="13"/>
      <c r="TE1260" s="13"/>
      <c r="TF1260" s="13"/>
      <c r="TG1260" s="13"/>
      <c r="TH1260" s="13"/>
      <c r="TI1260" s="13"/>
      <c r="TJ1260" s="13"/>
      <c r="TK1260" s="13"/>
      <c r="TL1260" s="13"/>
      <c r="TM1260" s="13"/>
      <c r="TN1260" s="13"/>
      <c r="TO1260" s="13"/>
      <c r="TP1260" s="13"/>
      <c r="TQ1260" s="13"/>
      <c r="TR1260" s="13"/>
      <c r="TS1260" s="13"/>
      <c r="TT1260" s="13"/>
      <c r="TU1260" s="13"/>
      <c r="TV1260" s="13"/>
      <c r="TW1260" s="13"/>
      <c r="TX1260" s="13"/>
      <c r="TY1260" s="13"/>
      <c r="TZ1260" s="13"/>
      <c r="UA1260" s="13"/>
      <c r="UB1260" s="13"/>
      <c r="UC1260" s="13"/>
      <c r="UD1260" s="13"/>
      <c r="UE1260" s="13"/>
      <c r="UF1260" s="13"/>
      <c r="UG1260" s="13"/>
      <c r="UH1260" s="13"/>
      <c r="UI1260" s="13"/>
      <c r="UJ1260" s="13"/>
      <c r="UK1260" s="13"/>
      <c r="UL1260" s="13"/>
      <c r="UM1260" s="13"/>
      <c r="UN1260" s="13"/>
      <c r="UO1260" s="13"/>
      <c r="UP1260" s="13"/>
      <c r="UQ1260" s="13"/>
      <c r="UR1260" s="13"/>
      <c r="US1260" s="13"/>
      <c r="UT1260" s="13"/>
      <c r="UU1260" s="13"/>
      <c r="UV1260" s="13"/>
      <c r="UW1260" s="13"/>
      <c r="UX1260" s="13"/>
      <c r="UY1260" s="13"/>
      <c r="UZ1260" s="13"/>
      <c r="VA1260" s="13"/>
      <c r="VB1260" s="13"/>
      <c r="VC1260" s="13"/>
      <c r="VD1260" s="13"/>
      <c r="VE1260" s="13"/>
      <c r="VF1260" s="13"/>
      <c r="VG1260" s="13"/>
      <c r="VH1260" s="13"/>
      <c r="VI1260" s="13"/>
      <c r="VJ1260" s="13"/>
      <c r="VK1260" s="13"/>
      <c r="VL1260" s="13"/>
      <c r="VM1260" s="13"/>
      <c r="VN1260" s="13"/>
      <c r="VO1260" s="13"/>
      <c r="VP1260" s="13"/>
      <c r="VQ1260" s="13"/>
      <c r="VR1260" s="13"/>
      <c r="VS1260" s="13"/>
      <c r="VT1260" s="13"/>
      <c r="VU1260" s="13"/>
      <c r="VV1260" s="13"/>
      <c r="VW1260" s="13"/>
      <c r="VX1260" s="13"/>
      <c r="VY1260" s="13"/>
      <c r="VZ1260" s="13"/>
      <c r="WA1260" s="13"/>
      <c r="WB1260" s="13"/>
      <c r="WC1260" s="13"/>
      <c r="WD1260" s="13"/>
      <c r="WE1260" s="13"/>
      <c r="WF1260" s="13"/>
      <c r="WG1260" s="13"/>
      <c r="WH1260" s="13"/>
      <c r="WI1260" s="13"/>
      <c r="WJ1260" s="13"/>
      <c r="WK1260" s="13"/>
      <c r="WL1260" s="13"/>
      <c r="WM1260" s="13"/>
      <c r="WN1260" s="13"/>
      <c r="WO1260" s="13"/>
      <c r="WP1260" s="13"/>
      <c r="WQ1260" s="13"/>
      <c r="WR1260" s="13"/>
      <c r="WS1260" s="13"/>
      <c r="WT1260" s="13"/>
      <c r="WU1260" s="13"/>
      <c r="WV1260" s="13"/>
      <c r="WW1260" s="13"/>
      <c r="WX1260" s="13"/>
      <c r="WY1260" s="13"/>
      <c r="WZ1260" s="13"/>
      <c r="XA1260" s="13"/>
      <c r="XB1260" s="13"/>
      <c r="XC1260" s="13"/>
      <c r="XD1260" s="13"/>
      <c r="XE1260" s="13"/>
      <c r="XF1260" s="13"/>
      <c r="XG1260" s="13"/>
      <c r="XH1260" s="13"/>
      <c r="XI1260" s="13"/>
      <c r="XJ1260" s="13"/>
      <c r="XK1260" s="13"/>
      <c r="XL1260" s="13"/>
      <c r="XM1260" s="13"/>
      <c r="XN1260" s="13"/>
      <c r="XO1260" s="13"/>
      <c r="XP1260" s="13"/>
      <c r="XQ1260" s="13"/>
      <c r="XR1260" s="13"/>
      <c r="XS1260" s="13"/>
      <c r="XT1260" s="13"/>
      <c r="XU1260" s="13"/>
      <c r="XV1260" s="13"/>
      <c r="XW1260" s="13"/>
      <c r="XX1260" s="13"/>
      <c r="XY1260" s="13"/>
      <c r="XZ1260" s="13"/>
      <c r="YA1260" s="13"/>
      <c r="YB1260" s="13"/>
      <c r="YC1260" s="13"/>
      <c r="YD1260" s="13"/>
      <c r="YE1260" s="13"/>
      <c r="YF1260" s="13"/>
      <c r="YG1260" s="13"/>
      <c r="YH1260" s="13"/>
      <c r="YI1260" s="13"/>
      <c r="YJ1260" s="13"/>
      <c r="YK1260" s="13"/>
      <c r="YL1260" s="13"/>
      <c r="YM1260" s="13"/>
      <c r="YN1260" s="13"/>
      <c r="YO1260" s="13"/>
      <c r="YP1260" s="13"/>
      <c r="YQ1260" s="13"/>
      <c r="YR1260" s="13"/>
      <c r="YS1260" s="13"/>
      <c r="YT1260" s="13"/>
      <c r="YU1260" s="13"/>
      <c r="YV1260" s="13"/>
      <c r="YW1260" s="13"/>
      <c r="YX1260" s="13"/>
      <c r="YY1260" s="13"/>
      <c r="YZ1260" s="13"/>
      <c r="ZA1260" s="13"/>
      <c r="ZB1260" s="13"/>
      <c r="ZC1260" s="13"/>
      <c r="ZD1260" s="13"/>
      <c r="ZE1260" s="13"/>
      <c r="ZF1260" s="13"/>
      <c r="ZG1260" s="13"/>
      <c r="ZH1260" s="13"/>
      <c r="ZI1260" s="13"/>
      <c r="ZJ1260" s="13"/>
      <c r="ZK1260" s="13"/>
      <c r="ZL1260" s="13"/>
      <c r="ZM1260" s="13"/>
      <c r="ZN1260" s="13"/>
      <c r="ZO1260" s="13"/>
      <c r="ZP1260" s="13"/>
      <c r="ZQ1260" s="13"/>
      <c r="ZR1260" s="13"/>
      <c r="ZS1260" s="13"/>
      <c r="ZT1260" s="13"/>
      <c r="ZU1260" s="13"/>
      <c r="ZV1260" s="13"/>
      <c r="ZW1260" s="13"/>
      <c r="ZX1260" s="13"/>
      <c r="ZY1260" s="13"/>
      <c r="ZZ1260" s="13"/>
      <c r="AAA1260" s="13"/>
      <c r="AAB1260" s="13"/>
      <c r="AAC1260" s="13"/>
      <c r="AAD1260" s="13"/>
      <c r="AAE1260" s="13"/>
      <c r="AAF1260" s="13"/>
      <c r="AAG1260" s="13"/>
      <c r="AAH1260" s="13"/>
      <c r="AAI1260" s="13"/>
      <c r="AAJ1260" s="13"/>
      <c r="AAK1260" s="13"/>
      <c r="AAL1260" s="13"/>
      <c r="AAM1260" s="13"/>
      <c r="AAN1260" s="13"/>
      <c r="AAO1260" s="13"/>
      <c r="AAP1260" s="13"/>
      <c r="AAQ1260" s="13"/>
      <c r="AAR1260" s="13"/>
      <c r="AAS1260" s="13"/>
      <c r="AAT1260" s="13"/>
      <c r="AAU1260" s="13"/>
      <c r="AAV1260" s="13"/>
      <c r="AAW1260" s="13"/>
      <c r="AAX1260" s="13"/>
      <c r="AAY1260" s="13"/>
      <c r="AAZ1260" s="13"/>
      <c r="ABA1260" s="13"/>
      <c r="ABB1260" s="13"/>
      <c r="ABC1260" s="13"/>
      <c r="ABD1260" s="13"/>
      <c r="ABE1260" s="13"/>
      <c r="ABF1260" s="13"/>
      <c r="ABG1260" s="13"/>
      <c r="ABH1260" s="13"/>
      <c r="ABI1260" s="13"/>
      <c r="ABJ1260" s="13"/>
      <c r="ABK1260" s="13"/>
      <c r="ABL1260" s="13"/>
      <c r="ABM1260" s="13"/>
      <c r="ABN1260" s="13"/>
      <c r="ABO1260" s="13"/>
      <c r="ABP1260" s="13"/>
      <c r="ABQ1260" s="13"/>
      <c r="ABR1260" s="13"/>
      <c r="ABS1260" s="13"/>
      <c r="ABT1260" s="13"/>
      <c r="ABU1260" s="13"/>
      <c r="ABV1260" s="13"/>
      <c r="ABW1260" s="13"/>
      <c r="ABX1260" s="13"/>
      <c r="ABY1260" s="13"/>
      <c r="ABZ1260" s="13"/>
      <c r="ACA1260" s="13"/>
      <c r="ACB1260" s="13"/>
      <c r="ACC1260" s="13"/>
      <c r="ACD1260" s="13"/>
      <c r="ACE1260" s="13"/>
      <c r="ACF1260" s="13"/>
      <c r="ACG1260" s="13"/>
      <c r="ACH1260" s="13"/>
      <c r="ACI1260" s="13"/>
      <c r="ACJ1260" s="13"/>
      <c r="ACK1260" s="13"/>
      <c r="ACL1260" s="13"/>
      <c r="ACM1260" s="13"/>
      <c r="ACN1260" s="13"/>
      <c r="ACO1260" s="13"/>
      <c r="ACP1260" s="13"/>
      <c r="ACQ1260" s="13"/>
      <c r="ACR1260" s="13"/>
      <c r="ACS1260" s="13"/>
      <c r="ACT1260" s="13"/>
      <c r="ACU1260" s="13"/>
      <c r="ACV1260" s="13"/>
      <c r="ACW1260" s="13"/>
      <c r="ACX1260" s="13"/>
      <c r="ACY1260" s="13"/>
      <c r="ACZ1260" s="13"/>
      <c r="ADA1260" s="13"/>
      <c r="ADB1260" s="13"/>
      <c r="ADC1260" s="13"/>
      <c r="ADD1260" s="13"/>
      <c r="ADE1260" s="13"/>
      <c r="ADF1260" s="13"/>
      <c r="ADG1260" s="13"/>
      <c r="ADH1260" s="13"/>
      <c r="ADI1260" s="13"/>
      <c r="ADJ1260" s="13"/>
      <c r="ADK1260" s="13"/>
      <c r="ADL1260" s="13"/>
      <c r="ADM1260" s="13"/>
      <c r="ADN1260" s="13"/>
      <c r="ADO1260" s="13"/>
      <c r="ADP1260" s="13"/>
      <c r="ADQ1260" s="13"/>
      <c r="ADR1260" s="13"/>
      <c r="ADS1260" s="13"/>
      <c r="ADT1260" s="13"/>
      <c r="ADU1260" s="13"/>
      <c r="ADV1260" s="13"/>
      <c r="ADW1260" s="13"/>
      <c r="ADX1260" s="13"/>
      <c r="ADY1260" s="13"/>
      <c r="ADZ1260" s="13"/>
      <c r="AEA1260" s="13"/>
      <c r="AEB1260" s="13"/>
      <c r="AEC1260" s="13"/>
      <c r="AED1260" s="13"/>
      <c r="AEE1260" s="13"/>
      <c r="AEF1260" s="13"/>
      <c r="AEG1260" s="13"/>
      <c r="AEH1260" s="13"/>
      <c r="AEI1260" s="13"/>
      <c r="AEJ1260" s="13"/>
      <c r="AEK1260" s="13"/>
      <c r="AEL1260" s="13"/>
      <c r="AEM1260" s="13"/>
      <c r="AEN1260" s="13"/>
      <c r="AEO1260" s="13"/>
      <c r="AEP1260" s="13"/>
      <c r="AEQ1260" s="13"/>
      <c r="AER1260" s="13"/>
      <c r="AES1260" s="13"/>
      <c r="AET1260" s="13"/>
      <c r="AEU1260" s="13"/>
      <c r="AEV1260" s="13"/>
      <c r="AEW1260" s="13"/>
      <c r="AEX1260" s="13"/>
      <c r="AEY1260" s="13"/>
      <c r="AEZ1260" s="13"/>
      <c r="AFA1260" s="13"/>
      <c r="AFB1260" s="13"/>
      <c r="AFC1260" s="13"/>
      <c r="AFD1260" s="13"/>
      <c r="AFE1260" s="13"/>
      <c r="AFF1260" s="13"/>
      <c r="AFG1260" s="13"/>
      <c r="AFH1260" s="13"/>
      <c r="AFI1260" s="13"/>
      <c r="AFJ1260" s="13"/>
      <c r="AFK1260" s="13"/>
      <c r="AFL1260" s="13"/>
      <c r="AFM1260" s="13"/>
      <c r="AFN1260" s="13"/>
      <c r="AFO1260" s="13"/>
      <c r="AFP1260" s="13"/>
      <c r="AFQ1260" s="13"/>
      <c r="AFR1260" s="13"/>
      <c r="AFS1260" s="13"/>
      <c r="AFT1260" s="13"/>
      <c r="AFU1260" s="13"/>
      <c r="AFV1260" s="13"/>
      <c r="AFW1260" s="13"/>
      <c r="AFX1260" s="13"/>
      <c r="AFY1260" s="13"/>
      <c r="AFZ1260" s="13"/>
      <c r="AGA1260" s="13"/>
      <c r="AGB1260" s="13"/>
      <c r="AGC1260" s="13"/>
      <c r="AGD1260" s="13"/>
      <c r="AGE1260" s="13"/>
      <c r="AGF1260" s="13"/>
      <c r="AGG1260" s="13"/>
      <c r="AGH1260" s="13"/>
      <c r="AGI1260" s="13"/>
      <c r="AGJ1260" s="13"/>
      <c r="AGK1260" s="13"/>
      <c r="AGL1260" s="13"/>
      <c r="AGM1260" s="13"/>
      <c r="AGN1260" s="13"/>
      <c r="AGO1260" s="13"/>
      <c r="AGP1260" s="13"/>
      <c r="AGQ1260" s="13"/>
      <c r="AGR1260" s="13"/>
      <c r="AGS1260" s="13"/>
      <c r="AGT1260" s="13"/>
      <c r="AGU1260" s="13"/>
      <c r="AGV1260" s="13"/>
      <c r="AGW1260" s="13"/>
      <c r="AGX1260" s="13"/>
      <c r="AGY1260" s="13"/>
      <c r="AGZ1260" s="13"/>
      <c r="AHA1260" s="13"/>
      <c r="AHB1260" s="13"/>
      <c r="AHC1260" s="13"/>
      <c r="AHD1260" s="13"/>
      <c r="AHE1260" s="13"/>
      <c r="AHF1260" s="13"/>
      <c r="AHG1260" s="13"/>
      <c r="AHH1260" s="13"/>
      <c r="AHI1260" s="13"/>
      <c r="AHJ1260" s="13"/>
      <c r="AHK1260" s="13"/>
      <c r="AHL1260" s="13"/>
      <c r="AHM1260" s="13"/>
      <c r="AHN1260" s="13"/>
      <c r="AHO1260" s="13"/>
      <c r="AHP1260" s="13"/>
      <c r="AHQ1260" s="13"/>
      <c r="AHR1260" s="13"/>
      <c r="AHS1260" s="13"/>
      <c r="AHT1260" s="13"/>
      <c r="AHU1260" s="13"/>
      <c r="AHV1260" s="13"/>
      <c r="AHW1260" s="13"/>
      <c r="AHX1260" s="13"/>
      <c r="AHY1260" s="13"/>
      <c r="AHZ1260" s="13"/>
      <c r="AIA1260" s="13"/>
      <c r="AIB1260" s="13"/>
      <c r="AIC1260" s="13"/>
      <c r="AID1260" s="13"/>
      <c r="AIE1260" s="13"/>
      <c r="AIF1260" s="13"/>
      <c r="AIG1260" s="13"/>
      <c r="AIH1260" s="13"/>
      <c r="AII1260" s="13"/>
      <c r="AIJ1260" s="13"/>
      <c r="AIK1260" s="13"/>
      <c r="AIL1260" s="13"/>
      <c r="AIM1260" s="13"/>
      <c r="AIN1260" s="13"/>
      <c r="AIO1260" s="13"/>
      <c r="AIP1260" s="13"/>
      <c r="AIQ1260" s="13"/>
      <c r="AIR1260" s="13"/>
      <c r="AIS1260" s="13"/>
      <c r="AIT1260" s="13"/>
      <c r="AIU1260" s="13"/>
      <c r="AIV1260" s="13"/>
      <c r="AIW1260" s="13"/>
      <c r="AIX1260" s="13"/>
      <c r="AIY1260" s="13"/>
      <c r="AIZ1260" s="13"/>
      <c r="AJA1260" s="13"/>
      <c r="AJB1260" s="13"/>
      <c r="AJC1260" s="13"/>
      <c r="AJD1260" s="13"/>
      <c r="AJE1260" s="13"/>
      <c r="AJF1260" s="13"/>
      <c r="AJG1260" s="13"/>
      <c r="AJH1260" s="13"/>
      <c r="AJI1260" s="13"/>
      <c r="AJJ1260" s="13"/>
      <c r="AJK1260" s="13"/>
      <c r="AJL1260" s="13"/>
      <c r="AJM1260" s="13"/>
      <c r="AJN1260" s="13"/>
      <c r="AJO1260" s="13"/>
      <c r="AJP1260" s="13"/>
      <c r="AJQ1260" s="13"/>
      <c r="AJR1260" s="13"/>
      <c r="AJS1260" s="13"/>
      <c r="AJT1260" s="13"/>
      <c r="AJU1260" s="13"/>
      <c r="AJV1260" s="13"/>
      <c r="AJW1260" s="13"/>
      <c r="AJX1260" s="13"/>
      <c r="AJY1260" s="13"/>
      <c r="AJZ1260" s="13"/>
      <c r="AKA1260" s="13"/>
      <c r="AKB1260" s="13"/>
      <c r="AKC1260" s="13"/>
      <c r="AKD1260" s="13"/>
      <c r="AKE1260" s="13"/>
      <c r="AKF1260" s="13"/>
      <c r="AKG1260" s="13"/>
      <c r="AKH1260" s="13"/>
      <c r="AKI1260" s="13"/>
      <c r="AKJ1260" s="13"/>
      <c r="AKK1260" s="13"/>
      <c r="AKL1260" s="13"/>
      <c r="AKM1260" s="13"/>
      <c r="AKN1260" s="13"/>
      <c r="AKO1260" s="13"/>
      <c r="AKP1260" s="13"/>
      <c r="AKQ1260" s="13"/>
      <c r="AKR1260" s="13"/>
      <c r="AKS1260" s="13"/>
      <c r="AKT1260" s="13"/>
      <c r="AKU1260" s="13"/>
      <c r="AKV1260" s="13"/>
      <c r="AKW1260" s="13"/>
      <c r="AKX1260" s="13"/>
      <c r="AKY1260" s="13"/>
      <c r="AKZ1260" s="13"/>
      <c r="ALA1260" s="13"/>
      <c r="ALB1260" s="13"/>
      <c r="ALC1260" s="13"/>
      <c r="ALD1260" s="13"/>
      <c r="ALE1260" s="13"/>
      <c r="ALF1260" s="13"/>
      <c r="ALG1260" s="13"/>
      <c r="ALH1260" s="13"/>
      <c r="ALI1260" s="13"/>
      <c r="ALJ1260" s="13"/>
      <c r="ALK1260" s="13"/>
      <c r="ALL1260" s="13"/>
      <c r="ALM1260" s="13"/>
      <c r="ALN1260" s="13"/>
      <c r="ALO1260" s="13"/>
      <c r="ALP1260" s="13"/>
      <c r="ALQ1260" s="13"/>
      <c r="ALR1260" s="13"/>
      <c r="ALS1260" s="13"/>
      <c r="ALT1260" s="13"/>
      <c r="ALU1260" s="13"/>
      <c r="ALV1260" s="13"/>
      <c r="ALW1260" s="13"/>
      <c r="ALX1260" s="13"/>
      <c r="ALY1260" s="13"/>
      <c r="ALZ1260" s="13"/>
      <c r="AMA1260" s="13"/>
      <c r="AMB1260" s="13"/>
      <c r="AMC1260" s="13"/>
      <c r="AMD1260" s="13"/>
      <c r="AME1260" s="13"/>
      <c r="AMF1260" s="13"/>
      <c r="AMG1260" s="13"/>
      <c r="AMH1260" s="13"/>
      <c r="AMI1260" s="13"/>
      <c r="AMJ1260" s="13"/>
      <c r="AMK1260" s="13"/>
      <c r="AML1260" s="13"/>
      <c r="AMM1260" s="13"/>
      <c r="AMN1260" s="13"/>
      <c r="AMO1260" s="13"/>
      <c r="AMP1260" s="13"/>
      <c r="AMQ1260" s="13"/>
      <c r="AMR1260" s="13"/>
      <c r="AMS1260" s="13"/>
      <c r="AMT1260" s="13"/>
      <c r="AMU1260" s="13"/>
      <c r="AMV1260" s="13"/>
      <c r="AMW1260" s="13"/>
      <c r="AMX1260" s="13"/>
      <c r="AMY1260" s="13"/>
      <c r="AMZ1260" s="13"/>
      <c r="ANA1260" s="13"/>
      <c r="ANB1260" s="13"/>
      <c r="ANC1260" s="13"/>
      <c r="AND1260" s="13"/>
      <c r="ANE1260" s="13"/>
      <c r="ANF1260" s="13"/>
      <c r="ANG1260" s="13"/>
      <c r="ANH1260" s="13"/>
      <c r="ANI1260" s="13"/>
      <c r="ANJ1260" s="13"/>
      <c r="ANK1260" s="13"/>
      <c r="ANL1260" s="13"/>
      <c r="ANM1260" s="13"/>
      <c r="ANN1260" s="13"/>
      <c r="ANO1260" s="13"/>
      <c r="ANP1260" s="13"/>
      <c r="ANQ1260" s="13"/>
      <c r="ANR1260" s="13"/>
      <c r="ANS1260" s="13"/>
      <c r="ANT1260" s="13"/>
      <c r="ANU1260" s="13"/>
      <c r="ANV1260" s="13"/>
      <c r="ANW1260" s="13"/>
      <c r="ANX1260" s="13"/>
      <c r="ANY1260" s="13"/>
      <c r="ANZ1260" s="13"/>
      <c r="AOA1260" s="13"/>
      <c r="AOB1260" s="13"/>
      <c r="AOC1260" s="13"/>
      <c r="AOD1260" s="13"/>
      <c r="AOE1260" s="13"/>
      <c r="AOF1260" s="13"/>
      <c r="AOG1260" s="13"/>
      <c r="AOH1260" s="13"/>
      <c r="AOI1260" s="13"/>
      <c r="AOJ1260" s="13"/>
      <c r="AOK1260" s="13"/>
      <c r="AOL1260" s="13"/>
      <c r="AOM1260" s="13"/>
      <c r="AON1260" s="13"/>
      <c r="AOO1260" s="13"/>
      <c r="AOP1260" s="13"/>
      <c r="AOQ1260" s="13"/>
      <c r="AOR1260" s="13"/>
      <c r="AOS1260" s="13"/>
      <c r="AOT1260" s="13"/>
      <c r="AOU1260" s="13"/>
      <c r="AOV1260" s="13"/>
      <c r="AOW1260" s="13"/>
      <c r="AOX1260" s="13"/>
      <c r="AOY1260" s="13"/>
      <c r="AOZ1260" s="13"/>
      <c r="APA1260" s="13"/>
      <c r="APB1260" s="13"/>
      <c r="APC1260" s="13"/>
      <c r="APD1260" s="13"/>
      <c r="APE1260" s="13"/>
      <c r="APF1260" s="13"/>
      <c r="APG1260" s="13"/>
      <c r="APH1260" s="13"/>
      <c r="API1260" s="13"/>
      <c r="APJ1260" s="13"/>
      <c r="APK1260" s="13"/>
      <c r="APL1260" s="13"/>
      <c r="APM1260" s="13"/>
      <c r="APN1260" s="13"/>
      <c r="APO1260" s="13"/>
      <c r="APP1260" s="13"/>
      <c r="APQ1260" s="13"/>
      <c r="APR1260" s="13"/>
      <c r="APS1260" s="13"/>
      <c r="APT1260" s="13"/>
      <c r="APU1260" s="13"/>
      <c r="APV1260" s="13"/>
      <c r="APW1260" s="13"/>
      <c r="APX1260" s="13"/>
      <c r="APY1260" s="13"/>
      <c r="APZ1260" s="13"/>
      <c r="AQA1260" s="13"/>
      <c r="AQB1260" s="13"/>
      <c r="AQC1260" s="13"/>
      <c r="AQD1260" s="13"/>
      <c r="AQE1260" s="13"/>
      <c r="AQF1260" s="13"/>
      <c r="AQG1260" s="13"/>
      <c r="AQH1260" s="13"/>
      <c r="AQI1260" s="13"/>
      <c r="AQJ1260" s="13"/>
      <c r="AQK1260" s="13"/>
      <c r="AQL1260" s="13"/>
      <c r="AQM1260" s="13"/>
      <c r="AQN1260" s="13"/>
      <c r="AQO1260" s="13"/>
      <c r="AQP1260" s="13"/>
      <c r="AQQ1260" s="13"/>
      <c r="AQR1260" s="13"/>
      <c r="AQS1260" s="13"/>
      <c r="AQT1260" s="13"/>
      <c r="AQU1260" s="13"/>
      <c r="AQV1260" s="13"/>
      <c r="AQW1260" s="13"/>
      <c r="AQX1260" s="13"/>
      <c r="AQY1260" s="13"/>
      <c r="AQZ1260" s="13"/>
      <c r="ARA1260" s="13"/>
      <c r="ARB1260" s="13"/>
      <c r="ARC1260" s="13"/>
      <c r="ARD1260" s="13"/>
      <c r="ARE1260" s="13"/>
      <c r="ARF1260" s="13"/>
      <c r="ARG1260" s="13"/>
      <c r="ARH1260" s="13"/>
      <c r="ARI1260" s="13"/>
      <c r="ARJ1260" s="13"/>
      <c r="ARK1260" s="13"/>
      <c r="ARL1260" s="13"/>
      <c r="ARM1260" s="13"/>
      <c r="ARN1260" s="13"/>
      <c r="ARO1260" s="13"/>
      <c r="ARP1260" s="13"/>
      <c r="ARQ1260" s="13"/>
      <c r="ARR1260" s="13"/>
      <c r="ARS1260" s="13"/>
      <c r="ART1260" s="13"/>
      <c r="ARU1260" s="13"/>
      <c r="ARV1260" s="13"/>
      <c r="ARW1260" s="13"/>
      <c r="ARX1260" s="13"/>
      <c r="ARY1260" s="13"/>
      <c r="ARZ1260" s="13"/>
      <c r="ASA1260" s="13"/>
      <c r="ASB1260" s="13"/>
      <c r="ASC1260" s="13"/>
      <c r="ASD1260" s="13"/>
      <c r="ASE1260" s="13"/>
      <c r="ASF1260" s="13"/>
      <c r="ASG1260" s="13"/>
      <c r="ASH1260" s="13"/>
      <c r="ASI1260" s="13"/>
      <c r="ASJ1260" s="13"/>
      <c r="ASK1260" s="13"/>
      <c r="ASL1260" s="13"/>
      <c r="ASM1260" s="13"/>
      <c r="ASN1260" s="13"/>
      <c r="ASO1260" s="13"/>
      <c r="ASP1260" s="13"/>
      <c r="ASQ1260" s="13"/>
      <c r="ASR1260" s="13"/>
      <c r="ASS1260" s="13"/>
      <c r="AST1260" s="13"/>
      <c r="ASU1260" s="13"/>
      <c r="ASV1260" s="13"/>
      <c r="ASW1260" s="13"/>
      <c r="ASX1260" s="13"/>
      <c r="ASY1260" s="13"/>
      <c r="ASZ1260" s="13"/>
      <c r="ATA1260" s="13"/>
      <c r="ATB1260" s="13"/>
      <c r="ATC1260" s="13"/>
      <c r="ATD1260" s="13"/>
      <c r="ATE1260" s="13"/>
      <c r="ATF1260" s="13"/>
      <c r="ATG1260" s="13"/>
      <c r="ATH1260" s="13"/>
      <c r="ATI1260" s="13"/>
      <c r="ATJ1260" s="13"/>
      <c r="ATK1260" s="13"/>
      <c r="ATL1260" s="13"/>
      <c r="ATM1260" s="13"/>
      <c r="ATN1260" s="13"/>
      <c r="ATO1260" s="13"/>
      <c r="ATP1260" s="13"/>
      <c r="ATQ1260" s="13"/>
      <c r="ATR1260" s="13"/>
      <c r="ATS1260" s="13"/>
      <c r="ATT1260" s="13"/>
      <c r="ATU1260" s="13"/>
      <c r="ATV1260" s="13"/>
      <c r="ATW1260" s="13"/>
      <c r="ATX1260" s="13"/>
      <c r="ATY1260" s="13"/>
      <c r="ATZ1260" s="13"/>
      <c r="AUA1260" s="13"/>
      <c r="AUB1260" s="13"/>
      <c r="AUC1260" s="13"/>
      <c r="AUD1260" s="13"/>
      <c r="AUE1260" s="13"/>
      <c r="AUF1260" s="13"/>
      <c r="AUG1260" s="13"/>
      <c r="AUH1260" s="13"/>
      <c r="AUI1260" s="13"/>
      <c r="AUJ1260" s="13"/>
      <c r="AUK1260" s="13"/>
      <c r="AUL1260" s="13"/>
      <c r="AUM1260" s="13"/>
      <c r="AUN1260" s="13"/>
      <c r="AUO1260" s="13"/>
      <c r="AUP1260" s="13"/>
      <c r="AUQ1260" s="13"/>
      <c r="AUR1260" s="13"/>
      <c r="AUS1260" s="13"/>
      <c r="AUT1260" s="13"/>
      <c r="AUU1260" s="13"/>
      <c r="AUV1260" s="13"/>
      <c r="AUW1260" s="13"/>
      <c r="AUX1260" s="13"/>
      <c r="AUY1260" s="13"/>
      <c r="AUZ1260" s="13"/>
      <c r="AVA1260" s="13"/>
      <c r="AVB1260" s="13"/>
      <c r="AVC1260" s="13"/>
      <c r="AVD1260" s="13"/>
      <c r="AVE1260" s="13"/>
      <c r="AVF1260" s="13"/>
      <c r="AVG1260" s="13"/>
      <c r="AVH1260" s="13"/>
      <c r="AVI1260" s="13"/>
      <c r="AVJ1260" s="13"/>
      <c r="AVK1260" s="13"/>
      <c r="AVL1260" s="13"/>
      <c r="AVM1260" s="13"/>
      <c r="AVN1260" s="13"/>
      <c r="AVO1260" s="13"/>
      <c r="AVP1260" s="13"/>
      <c r="AVQ1260" s="13"/>
      <c r="AVR1260" s="13"/>
      <c r="AVS1260" s="13"/>
      <c r="AVT1260" s="13"/>
      <c r="AVU1260" s="13"/>
      <c r="AVV1260" s="13"/>
      <c r="AVW1260" s="13"/>
      <c r="AVX1260" s="13"/>
      <c r="AVY1260" s="13"/>
      <c r="AVZ1260" s="13"/>
      <c r="AWA1260" s="13"/>
      <c r="AWB1260" s="13"/>
      <c r="AWC1260" s="13"/>
      <c r="AWD1260" s="13"/>
      <c r="AWE1260" s="13"/>
      <c r="AWF1260" s="13"/>
      <c r="AWG1260" s="13"/>
      <c r="AWH1260" s="13"/>
      <c r="AWI1260" s="13"/>
      <c r="AWJ1260" s="13"/>
      <c r="AWK1260" s="13"/>
      <c r="AWL1260" s="13"/>
      <c r="AWM1260" s="13"/>
      <c r="AWN1260" s="13"/>
      <c r="AWO1260" s="13"/>
      <c r="AWP1260" s="13"/>
      <c r="AWQ1260" s="13"/>
      <c r="AWR1260" s="13"/>
      <c r="AWS1260" s="13"/>
      <c r="AWT1260" s="13"/>
      <c r="AWU1260" s="13"/>
      <c r="AWV1260" s="13"/>
      <c r="AWW1260" s="13"/>
      <c r="AWX1260" s="13"/>
      <c r="AWY1260" s="13"/>
      <c r="AWZ1260" s="13"/>
      <c r="AXA1260" s="13"/>
      <c r="AXB1260" s="13"/>
      <c r="AXC1260" s="13"/>
      <c r="AXD1260" s="13"/>
      <c r="AXE1260" s="13"/>
      <c r="AXF1260" s="13"/>
      <c r="AXG1260" s="13"/>
      <c r="AXH1260" s="13"/>
      <c r="AXI1260" s="13"/>
      <c r="AXJ1260" s="13"/>
      <c r="AXK1260" s="13"/>
      <c r="AXL1260" s="13"/>
      <c r="AXM1260" s="13"/>
      <c r="AXN1260" s="13"/>
      <c r="AXO1260" s="13"/>
      <c r="AXP1260" s="13"/>
      <c r="AXQ1260" s="13"/>
      <c r="AXR1260" s="13"/>
      <c r="AXS1260" s="13"/>
      <c r="AXT1260" s="13"/>
      <c r="AXU1260" s="13"/>
      <c r="AXV1260" s="13"/>
      <c r="AXW1260" s="13"/>
      <c r="AXX1260" s="13"/>
      <c r="AXY1260" s="13"/>
      <c r="AXZ1260" s="13"/>
      <c r="AYA1260" s="13"/>
      <c r="AYB1260" s="13"/>
      <c r="AYC1260" s="13"/>
      <c r="AYD1260" s="13"/>
      <c r="AYE1260" s="13"/>
      <c r="AYF1260" s="13"/>
      <c r="AYG1260" s="13"/>
      <c r="AYH1260" s="13"/>
      <c r="AYI1260" s="13"/>
      <c r="AYJ1260" s="13"/>
      <c r="AYK1260" s="13"/>
      <c r="AYL1260" s="13"/>
      <c r="AYM1260" s="13"/>
      <c r="AYN1260" s="13"/>
      <c r="AYO1260" s="13"/>
      <c r="AYP1260" s="13"/>
      <c r="AYQ1260" s="13"/>
      <c r="AYR1260" s="13"/>
      <c r="AYS1260" s="13"/>
      <c r="AYT1260" s="13"/>
      <c r="AYU1260" s="13"/>
      <c r="AYV1260" s="13"/>
      <c r="AYW1260" s="13"/>
      <c r="AYX1260" s="13"/>
      <c r="AYY1260" s="13"/>
      <c r="AYZ1260" s="13"/>
      <c r="AZA1260" s="13"/>
      <c r="AZB1260" s="13"/>
      <c r="AZC1260" s="13"/>
      <c r="AZD1260" s="13"/>
      <c r="AZE1260" s="13"/>
      <c r="AZF1260" s="13"/>
      <c r="AZG1260" s="13"/>
      <c r="AZH1260" s="13"/>
      <c r="AZI1260" s="13"/>
      <c r="AZJ1260" s="13"/>
      <c r="AZK1260" s="13"/>
      <c r="AZL1260" s="13"/>
      <c r="AZM1260" s="13"/>
      <c r="AZN1260" s="13"/>
      <c r="AZO1260" s="13"/>
      <c r="AZP1260" s="13"/>
      <c r="AZQ1260" s="13"/>
      <c r="AZR1260" s="13"/>
      <c r="AZS1260" s="13"/>
      <c r="AZT1260" s="13"/>
      <c r="AZU1260" s="13"/>
      <c r="AZV1260" s="13"/>
      <c r="AZW1260" s="13"/>
      <c r="AZX1260" s="13"/>
      <c r="AZY1260" s="13"/>
      <c r="AZZ1260" s="13"/>
      <c r="BAA1260" s="13"/>
      <c r="BAB1260" s="13"/>
      <c r="BAC1260" s="13"/>
      <c r="BAD1260" s="13"/>
      <c r="BAE1260" s="13"/>
      <c r="BAF1260" s="13"/>
      <c r="BAG1260" s="13"/>
      <c r="BAH1260" s="13"/>
      <c r="BAI1260" s="13"/>
      <c r="BAJ1260" s="13"/>
      <c r="BAK1260" s="13"/>
      <c r="BAL1260" s="13"/>
      <c r="BAM1260" s="13"/>
      <c r="BAN1260" s="13"/>
      <c r="BAO1260" s="13"/>
      <c r="BAP1260" s="13"/>
      <c r="BAQ1260" s="13"/>
      <c r="BAR1260" s="13"/>
      <c r="BAS1260" s="13"/>
      <c r="BAT1260" s="13"/>
      <c r="BAU1260" s="13"/>
      <c r="BAV1260" s="13"/>
      <c r="BAW1260" s="13"/>
      <c r="BAX1260" s="13"/>
      <c r="BAY1260" s="13"/>
      <c r="BAZ1260" s="13"/>
      <c r="BBA1260" s="13"/>
      <c r="BBB1260" s="13"/>
      <c r="BBC1260" s="13"/>
      <c r="BBD1260" s="13"/>
      <c r="BBE1260" s="13"/>
      <c r="BBF1260" s="13"/>
      <c r="BBG1260" s="13"/>
      <c r="BBH1260" s="13"/>
      <c r="BBI1260" s="13"/>
      <c r="BBJ1260" s="13"/>
      <c r="BBK1260" s="13"/>
      <c r="BBL1260" s="13"/>
      <c r="BBM1260" s="13"/>
      <c r="BBN1260" s="13"/>
      <c r="BBO1260" s="13"/>
      <c r="BBP1260" s="13"/>
      <c r="BBQ1260" s="13"/>
      <c r="BBR1260" s="13"/>
      <c r="BBS1260" s="13"/>
      <c r="BBT1260" s="13"/>
      <c r="BBU1260" s="13"/>
      <c r="BBV1260" s="13"/>
      <c r="BBW1260" s="13"/>
      <c r="BBX1260" s="13"/>
      <c r="BBY1260" s="13"/>
      <c r="BBZ1260" s="13"/>
      <c r="BCA1260" s="13"/>
      <c r="BCB1260" s="13"/>
      <c r="BCC1260" s="13"/>
      <c r="BCD1260" s="13"/>
      <c r="BCE1260" s="13"/>
      <c r="BCF1260" s="13"/>
      <c r="BCG1260" s="13"/>
      <c r="BCH1260" s="13"/>
      <c r="BCI1260" s="13"/>
      <c r="BCJ1260" s="13"/>
      <c r="BCK1260" s="13"/>
      <c r="BCL1260" s="13"/>
      <c r="BCM1260" s="13"/>
      <c r="BCN1260" s="13"/>
      <c r="BCO1260" s="13"/>
      <c r="BCP1260" s="13"/>
      <c r="BCQ1260" s="13"/>
      <c r="BCR1260" s="13"/>
      <c r="BCS1260" s="13"/>
      <c r="BCT1260" s="13"/>
      <c r="BCU1260" s="13"/>
      <c r="BCV1260" s="13"/>
      <c r="BCW1260" s="13"/>
      <c r="BCX1260" s="13"/>
      <c r="BCY1260" s="13"/>
      <c r="BCZ1260" s="13"/>
      <c r="BDA1260" s="13"/>
      <c r="BDB1260" s="13"/>
      <c r="BDC1260" s="13"/>
      <c r="BDD1260" s="13"/>
      <c r="BDE1260" s="13"/>
      <c r="BDF1260" s="13"/>
      <c r="BDG1260" s="13"/>
      <c r="BDH1260" s="13"/>
      <c r="BDI1260" s="13"/>
      <c r="BDJ1260" s="13"/>
      <c r="BDK1260" s="13"/>
      <c r="BDL1260" s="13"/>
      <c r="BDM1260" s="13"/>
      <c r="BDN1260" s="13"/>
      <c r="BDO1260" s="13"/>
      <c r="BDP1260" s="13"/>
      <c r="BDQ1260" s="13"/>
      <c r="BDR1260" s="13"/>
      <c r="BDS1260" s="13"/>
      <c r="BDT1260" s="13"/>
      <c r="BDU1260" s="13"/>
      <c r="BDV1260" s="13"/>
      <c r="BDW1260" s="13"/>
      <c r="BDX1260" s="13"/>
      <c r="BDY1260" s="13"/>
      <c r="BDZ1260" s="13"/>
      <c r="BEA1260" s="13"/>
      <c r="BEB1260" s="13"/>
      <c r="BEC1260" s="13"/>
      <c r="BED1260" s="13"/>
      <c r="BEE1260" s="13"/>
      <c r="BEF1260" s="13"/>
      <c r="BEG1260" s="13"/>
      <c r="BEH1260" s="13"/>
      <c r="BEI1260" s="13"/>
      <c r="BEJ1260" s="13"/>
      <c r="BEK1260" s="13"/>
      <c r="BEL1260" s="13"/>
      <c r="BEM1260" s="13"/>
      <c r="BEN1260" s="13"/>
      <c r="BEO1260" s="13"/>
      <c r="BEP1260" s="13"/>
      <c r="BEQ1260" s="13"/>
      <c r="BER1260" s="13"/>
      <c r="BES1260" s="13"/>
      <c r="BET1260" s="13"/>
      <c r="BEU1260" s="13"/>
      <c r="BEV1260" s="13"/>
      <c r="BEW1260" s="13"/>
      <c r="BEX1260" s="13"/>
      <c r="BEY1260" s="13"/>
      <c r="BEZ1260" s="13"/>
      <c r="BFA1260" s="13"/>
      <c r="BFB1260" s="13"/>
      <c r="BFC1260" s="13"/>
      <c r="BFD1260" s="13"/>
      <c r="BFE1260" s="13"/>
      <c r="BFF1260" s="13"/>
      <c r="BFG1260" s="13"/>
      <c r="BFH1260" s="13"/>
      <c r="BFI1260" s="13"/>
      <c r="BFJ1260" s="13"/>
      <c r="BFK1260" s="13"/>
      <c r="BFL1260" s="13"/>
      <c r="BFM1260" s="13"/>
      <c r="BFN1260" s="13"/>
      <c r="BFO1260" s="13"/>
      <c r="BFP1260" s="13"/>
      <c r="BFQ1260" s="13"/>
      <c r="BFR1260" s="13"/>
      <c r="BFS1260" s="13"/>
      <c r="BFT1260" s="13"/>
      <c r="BFU1260" s="13"/>
      <c r="BFV1260" s="13"/>
      <c r="BFW1260" s="13"/>
      <c r="BFX1260" s="13"/>
      <c r="BFY1260" s="13"/>
      <c r="BFZ1260" s="13"/>
      <c r="BGA1260" s="13"/>
      <c r="BGB1260" s="13"/>
      <c r="BGC1260" s="13"/>
      <c r="BGD1260" s="13"/>
      <c r="BGE1260" s="13"/>
      <c r="BGF1260" s="13"/>
      <c r="BGG1260" s="13"/>
      <c r="BGH1260" s="13"/>
      <c r="BGI1260" s="13"/>
      <c r="BGJ1260" s="13"/>
      <c r="BGK1260" s="13"/>
      <c r="BGL1260" s="13"/>
      <c r="BGM1260" s="13"/>
      <c r="BGN1260" s="13"/>
      <c r="BGO1260" s="13"/>
      <c r="BGP1260" s="13"/>
      <c r="BGQ1260" s="13"/>
      <c r="BGR1260" s="13"/>
      <c r="BGS1260" s="13"/>
      <c r="BGT1260" s="13"/>
      <c r="BGU1260" s="13"/>
      <c r="BGV1260" s="13"/>
      <c r="BGW1260" s="13"/>
      <c r="BGX1260" s="13"/>
      <c r="BGY1260" s="13"/>
      <c r="BGZ1260" s="13"/>
      <c r="BHA1260" s="13"/>
      <c r="BHB1260" s="13"/>
      <c r="BHC1260" s="13"/>
      <c r="BHD1260" s="13"/>
      <c r="BHE1260" s="13"/>
      <c r="BHF1260" s="13"/>
      <c r="BHG1260" s="13"/>
      <c r="BHH1260" s="13"/>
      <c r="BHI1260" s="13"/>
      <c r="BHJ1260" s="13"/>
      <c r="BHK1260" s="13"/>
      <c r="BHL1260" s="13"/>
      <c r="BHM1260" s="13"/>
      <c r="BHN1260" s="13"/>
      <c r="BHO1260" s="13"/>
      <c r="BHP1260" s="13"/>
      <c r="BHQ1260" s="13"/>
      <c r="BHR1260" s="13"/>
      <c r="BHS1260" s="13"/>
      <c r="BHT1260" s="13"/>
      <c r="BHU1260" s="13"/>
      <c r="BHV1260" s="13"/>
      <c r="BHW1260" s="13"/>
      <c r="BHX1260" s="13"/>
      <c r="BHY1260" s="13"/>
      <c r="BHZ1260" s="13"/>
      <c r="BIA1260" s="13"/>
      <c r="BIB1260" s="13"/>
      <c r="BIC1260" s="13"/>
      <c r="BID1260" s="13"/>
      <c r="BIE1260" s="13"/>
      <c r="BIF1260" s="13"/>
      <c r="BIG1260" s="13"/>
      <c r="BIH1260" s="13"/>
      <c r="BII1260" s="13"/>
      <c r="BIJ1260" s="13"/>
      <c r="BIK1260" s="13"/>
      <c r="BIL1260" s="13"/>
      <c r="BIM1260" s="13"/>
      <c r="BIN1260" s="13"/>
      <c r="BIO1260" s="13"/>
      <c r="BIP1260" s="13"/>
      <c r="BIQ1260" s="13"/>
      <c r="BIR1260" s="13"/>
      <c r="BIS1260" s="13"/>
      <c r="BIT1260" s="13"/>
      <c r="BIU1260" s="13"/>
      <c r="BIV1260" s="13"/>
      <c r="BIW1260" s="13"/>
      <c r="BIX1260" s="13"/>
      <c r="BIY1260" s="13"/>
      <c r="BIZ1260" s="13"/>
      <c r="BJA1260" s="13"/>
      <c r="BJB1260" s="13"/>
      <c r="BJC1260" s="13"/>
      <c r="BJD1260" s="13"/>
      <c r="BJE1260" s="13"/>
      <c r="BJF1260" s="13"/>
      <c r="BJG1260" s="13"/>
      <c r="BJH1260" s="13"/>
      <c r="BJI1260" s="13"/>
      <c r="BJJ1260" s="13"/>
      <c r="BJK1260" s="13"/>
      <c r="BJL1260" s="13"/>
      <c r="BJM1260" s="13"/>
      <c r="BJN1260" s="13"/>
      <c r="BJO1260" s="13"/>
      <c r="BJP1260" s="13"/>
      <c r="BJQ1260" s="13"/>
      <c r="BJR1260" s="13"/>
      <c r="BJS1260" s="13"/>
      <c r="BJT1260" s="13"/>
      <c r="BJU1260" s="13"/>
      <c r="BJV1260" s="13"/>
      <c r="BJW1260" s="13"/>
      <c r="BJX1260" s="13"/>
      <c r="BJY1260" s="13"/>
      <c r="BJZ1260" s="13"/>
      <c r="BKA1260" s="13"/>
      <c r="BKB1260" s="13"/>
      <c r="BKC1260" s="13"/>
      <c r="BKD1260" s="13"/>
      <c r="BKE1260" s="13"/>
      <c r="BKF1260" s="13"/>
      <c r="BKG1260" s="13"/>
      <c r="BKH1260" s="13"/>
      <c r="BKI1260" s="13"/>
      <c r="BKJ1260" s="13"/>
      <c r="BKK1260" s="13"/>
      <c r="BKL1260" s="13"/>
      <c r="BKM1260" s="13"/>
      <c r="BKN1260" s="13"/>
      <c r="BKO1260" s="13"/>
      <c r="BKP1260" s="13"/>
      <c r="BKQ1260" s="13"/>
      <c r="BKR1260" s="13"/>
      <c r="BKS1260" s="13"/>
      <c r="BKT1260" s="13"/>
      <c r="BKU1260" s="13"/>
      <c r="BKV1260" s="13"/>
      <c r="BKW1260" s="13"/>
      <c r="BKX1260" s="13"/>
      <c r="BKY1260" s="13"/>
      <c r="BKZ1260" s="13"/>
      <c r="BLA1260" s="13"/>
      <c r="BLB1260" s="13"/>
      <c r="BLC1260" s="13"/>
      <c r="BLD1260" s="13"/>
      <c r="BLE1260" s="13"/>
      <c r="BLF1260" s="13"/>
      <c r="BLG1260" s="13"/>
      <c r="BLH1260" s="13"/>
      <c r="BLI1260" s="13"/>
      <c r="BLJ1260" s="13"/>
      <c r="BLK1260" s="13"/>
      <c r="BLL1260" s="13"/>
      <c r="BLM1260" s="13"/>
      <c r="BLN1260" s="13"/>
      <c r="BLO1260" s="13"/>
      <c r="BLP1260" s="13"/>
      <c r="BLQ1260" s="13"/>
      <c r="BLR1260" s="13"/>
      <c r="BLS1260" s="13"/>
      <c r="BLT1260" s="13"/>
      <c r="BLU1260" s="13"/>
      <c r="BLV1260" s="13"/>
      <c r="BLW1260" s="13"/>
      <c r="BLX1260" s="13"/>
      <c r="BLY1260" s="13"/>
      <c r="BLZ1260" s="13"/>
      <c r="BMA1260" s="13"/>
      <c r="BMB1260" s="13"/>
      <c r="BMC1260" s="13"/>
      <c r="BMD1260" s="13"/>
      <c r="BME1260" s="13"/>
      <c r="BMF1260" s="13"/>
      <c r="BMG1260" s="13"/>
      <c r="BMH1260" s="13"/>
      <c r="BMI1260" s="13"/>
      <c r="BMJ1260" s="13"/>
      <c r="BMK1260" s="13"/>
      <c r="BML1260" s="13"/>
      <c r="BMM1260" s="13"/>
      <c r="BMN1260" s="13"/>
      <c r="BMO1260" s="13"/>
      <c r="BMP1260" s="13"/>
      <c r="BMQ1260" s="13"/>
      <c r="BMR1260" s="13"/>
      <c r="BMS1260" s="13"/>
      <c r="BMT1260" s="13"/>
      <c r="BMU1260" s="13"/>
      <c r="BMV1260" s="13"/>
      <c r="BMW1260" s="13"/>
      <c r="BMX1260" s="13"/>
      <c r="BMY1260" s="13"/>
      <c r="BMZ1260" s="13"/>
      <c r="BNA1260" s="13"/>
      <c r="BNB1260" s="13"/>
      <c r="BNC1260" s="13"/>
      <c r="BND1260" s="13"/>
      <c r="BNE1260" s="13"/>
      <c r="BNF1260" s="13"/>
      <c r="BNG1260" s="13"/>
      <c r="BNH1260" s="13"/>
      <c r="BNI1260" s="13"/>
      <c r="BNJ1260" s="13"/>
      <c r="BNK1260" s="13"/>
      <c r="BNL1260" s="13"/>
      <c r="BNM1260" s="13"/>
      <c r="BNN1260" s="13"/>
      <c r="BNO1260" s="13"/>
      <c r="BNP1260" s="13"/>
      <c r="BNQ1260" s="13"/>
      <c r="BNR1260" s="13"/>
      <c r="BNS1260" s="13"/>
      <c r="BNT1260" s="13"/>
      <c r="BNU1260" s="13"/>
      <c r="BNV1260" s="13"/>
      <c r="BNW1260" s="13"/>
      <c r="BNX1260" s="13"/>
      <c r="BNY1260" s="13"/>
      <c r="BNZ1260" s="13"/>
      <c r="BOA1260" s="13"/>
      <c r="BOB1260" s="13"/>
      <c r="BOC1260" s="13"/>
      <c r="BOD1260" s="13"/>
      <c r="BOE1260" s="13"/>
      <c r="BOF1260" s="13"/>
      <c r="BOG1260" s="13"/>
      <c r="BOH1260" s="13"/>
      <c r="BOI1260" s="13"/>
      <c r="BOJ1260" s="13"/>
      <c r="BOK1260" s="13"/>
      <c r="BOL1260" s="13"/>
      <c r="BOM1260" s="13"/>
      <c r="BON1260" s="13"/>
      <c r="BOO1260" s="13"/>
      <c r="BOP1260" s="13"/>
      <c r="BOQ1260" s="13"/>
      <c r="BOR1260" s="13"/>
      <c r="BOS1260" s="13"/>
      <c r="BOT1260" s="13"/>
      <c r="BOU1260" s="13"/>
      <c r="BOV1260" s="13"/>
      <c r="BOW1260" s="13"/>
      <c r="BOX1260" s="13"/>
      <c r="BOY1260" s="13"/>
      <c r="BOZ1260" s="13"/>
      <c r="BPA1260" s="13"/>
      <c r="BPB1260" s="13"/>
      <c r="BPC1260" s="13"/>
      <c r="BPD1260" s="13"/>
      <c r="BPE1260" s="13"/>
      <c r="BPF1260" s="13"/>
      <c r="BPG1260" s="13"/>
      <c r="BPH1260" s="13"/>
      <c r="BPI1260" s="13"/>
      <c r="BPJ1260" s="13"/>
      <c r="BPK1260" s="13"/>
      <c r="BPL1260" s="13"/>
      <c r="BPM1260" s="13"/>
      <c r="BPN1260" s="13"/>
      <c r="BPO1260" s="13"/>
      <c r="BPP1260" s="13"/>
      <c r="BPQ1260" s="13"/>
      <c r="BPR1260" s="13"/>
      <c r="BPS1260" s="13"/>
      <c r="BPT1260" s="13"/>
      <c r="BPU1260" s="13"/>
      <c r="BPV1260" s="13"/>
      <c r="BPW1260" s="13"/>
      <c r="BPX1260" s="13"/>
      <c r="BPY1260" s="13"/>
      <c r="BPZ1260" s="13"/>
      <c r="BQA1260" s="13"/>
      <c r="BQB1260" s="13"/>
      <c r="BQC1260" s="13"/>
      <c r="BQD1260" s="13"/>
      <c r="BQE1260" s="13"/>
      <c r="BQF1260" s="13"/>
      <c r="BQG1260" s="13"/>
      <c r="BQH1260" s="13"/>
      <c r="BQI1260" s="13"/>
      <c r="BQJ1260" s="13"/>
      <c r="BQK1260" s="13"/>
      <c r="BQL1260" s="13"/>
      <c r="BQM1260" s="13"/>
      <c r="BQN1260" s="13"/>
      <c r="BQO1260" s="13"/>
      <c r="BQP1260" s="13"/>
      <c r="BQQ1260" s="13"/>
      <c r="BQR1260" s="13"/>
      <c r="BQS1260" s="13"/>
      <c r="BQT1260" s="13"/>
      <c r="BQU1260" s="13"/>
      <c r="BQV1260" s="13"/>
      <c r="BQW1260" s="13"/>
      <c r="BQX1260" s="13"/>
      <c r="BQY1260" s="13"/>
      <c r="BQZ1260" s="13"/>
      <c r="BRA1260" s="13"/>
      <c r="BRB1260" s="13"/>
      <c r="BRC1260" s="13"/>
      <c r="BRD1260" s="13"/>
      <c r="BRE1260" s="13"/>
      <c r="BRF1260" s="13"/>
      <c r="BRG1260" s="13"/>
      <c r="BRH1260" s="13"/>
      <c r="BRI1260" s="13"/>
      <c r="BRJ1260" s="13"/>
      <c r="BRK1260" s="13"/>
      <c r="BRL1260" s="13"/>
      <c r="BRM1260" s="13"/>
      <c r="BRN1260" s="13"/>
      <c r="BRO1260" s="13"/>
      <c r="BRP1260" s="13"/>
      <c r="BRQ1260" s="13"/>
      <c r="BRR1260" s="13"/>
      <c r="BRS1260" s="13"/>
      <c r="BRT1260" s="13"/>
      <c r="BRU1260" s="13"/>
      <c r="BRV1260" s="13"/>
      <c r="BRW1260" s="13"/>
      <c r="BRX1260" s="13"/>
      <c r="BRY1260" s="13"/>
      <c r="BRZ1260" s="13"/>
      <c r="BSA1260" s="13"/>
      <c r="BSB1260" s="13"/>
      <c r="BSC1260" s="13"/>
      <c r="BSD1260" s="13"/>
      <c r="BSE1260" s="13"/>
      <c r="BSF1260" s="13"/>
      <c r="BSG1260" s="13"/>
      <c r="BSH1260" s="13"/>
      <c r="BSI1260" s="13"/>
      <c r="BSJ1260" s="13"/>
      <c r="BSK1260" s="13"/>
      <c r="BSL1260" s="13"/>
      <c r="BSM1260" s="13"/>
      <c r="BSN1260" s="13"/>
      <c r="BSO1260" s="13"/>
      <c r="BSP1260" s="13"/>
      <c r="BSQ1260" s="13"/>
      <c r="BSR1260" s="13"/>
      <c r="BSS1260" s="13"/>
      <c r="BST1260" s="13"/>
      <c r="BSU1260" s="13"/>
      <c r="BSV1260" s="13"/>
      <c r="BSW1260" s="13"/>
      <c r="BSX1260" s="13"/>
      <c r="BSY1260" s="13"/>
      <c r="BSZ1260" s="13"/>
      <c r="BTA1260" s="13"/>
    </row>
    <row r="1261" spans="1:1873" s="149" customFormat="1" ht="12.75" customHeight="1" x14ac:dyDescent="0.25">
      <c r="A1261" s="263" t="s">
        <v>560</v>
      </c>
      <c r="B1261" s="263" t="s">
        <v>1268</v>
      </c>
      <c r="C1261" s="600" t="s">
        <v>115</v>
      </c>
      <c r="D1261" s="263" t="s">
        <v>1257</v>
      </c>
      <c r="E1261" s="599" t="s">
        <v>116</v>
      </c>
      <c r="F1261" s="600">
        <v>2</v>
      </c>
      <c r="G1261" s="600">
        <v>3</v>
      </c>
      <c r="H1261" s="600">
        <v>6</v>
      </c>
      <c r="I1261" s="257" t="s">
        <v>856</v>
      </c>
      <c r="J1261" s="599">
        <v>1982</v>
      </c>
      <c r="K1261" s="257" t="s">
        <v>1211</v>
      </c>
      <c r="L1261" s="608">
        <v>1987</v>
      </c>
      <c r="M1261" s="261">
        <v>-9999</v>
      </c>
      <c r="N1261" s="257">
        <v>-9999</v>
      </c>
      <c r="O1261" s="29"/>
      <c r="P1261" s="602">
        <v>18.579999999999998</v>
      </c>
      <c r="Q1261" s="257">
        <v>-9999</v>
      </c>
      <c r="R1261" s="261"/>
      <c r="S1261" s="257"/>
      <c r="T1261" s="370">
        <v>6.1929999999999996</v>
      </c>
      <c r="U1261" s="257">
        <v>-9999</v>
      </c>
      <c r="V1261" s="257"/>
      <c r="W1261" s="609">
        <f>+P1261-P1260</f>
        <v>-3.120000000000001</v>
      </c>
      <c r="X1261" s="257">
        <v>-9999</v>
      </c>
      <c r="Y1261" s="257"/>
      <c r="Z1261" s="327" t="s">
        <v>1706</v>
      </c>
      <c r="AA1261" s="599">
        <v>5382</v>
      </c>
      <c r="AB1261" s="602">
        <v>0.9</v>
      </c>
      <c r="AC1261" s="257">
        <v>10.3</v>
      </c>
      <c r="AD1261" s="602">
        <f t="shared" si="135"/>
        <v>966</v>
      </c>
      <c r="AE1261" s="263" t="s">
        <v>97</v>
      </c>
      <c r="AF1261" s="600">
        <v>1</v>
      </c>
      <c r="AG1261" s="257">
        <v>2</v>
      </c>
      <c r="AH1261" s="257" t="s">
        <v>98</v>
      </c>
      <c r="AI1261" s="257" t="s">
        <v>985</v>
      </c>
      <c r="AJ1261" s="257">
        <v>-9999</v>
      </c>
      <c r="AK1261" s="257" t="s">
        <v>99</v>
      </c>
      <c r="AL1261" s="257" t="s">
        <v>828</v>
      </c>
      <c r="AM1261" s="257">
        <v>-9999</v>
      </c>
      <c r="AN1261" s="257" t="s">
        <v>631</v>
      </c>
      <c r="AO1261" s="257">
        <v>-9999</v>
      </c>
      <c r="AP1261" s="257">
        <v>-9999</v>
      </c>
      <c r="AQ1261" s="257" t="s">
        <v>631</v>
      </c>
      <c r="AR1261" s="257">
        <v>0</v>
      </c>
      <c r="AS1261" s="257">
        <v>-9999</v>
      </c>
      <c r="AT1261" s="257">
        <v>-9999</v>
      </c>
      <c r="AU1261" s="257">
        <v>0</v>
      </c>
      <c r="AV1261" s="257">
        <v>-9999</v>
      </c>
      <c r="AW1261" s="257"/>
      <c r="AX1261" s="257">
        <v>0</v>
      </c>
      <c r="AY1261" s="257">
        <v>-9999</v>
      </c>
      <c r="AZ1261" s="257">
        <v>-9999</v>
      </c>
      <c r="BA1261" s="257" t="s">
        <v>100</v>
      </c>
      <c r="BB1261" s="257" t="s">
        <v>626</v>
      </c>
      <c r="BC1261" s="257" t="s">
        <v>101</v>
      </c>
      <c r="BD1261" s="257" t="s">
        <v>102</v>
      </c>
      <c r="BE1261" s="257" t="s">
        <v>103</v>
      </c>
      <c r="BF1261" s="257" t="s">
        <v>104</v>
      </c>
      <c r="BG1261" s="257" t="s">
        <v>105</v>
      </c>
      <c r="BH1261" s="257" t="s">
        <v>106</v>
      </c>
      <c r="BI1261" s="257">
        <v>-9999</v>
      </c>
      <c r="BJ1261" s="257">
        <v>-9999</v>
      </c>
      <c r="BK1261" s="257">
        <v>-9999</v>
      </c>
      <c r="BL1261" s="602">
        <v>2</v>
      </c>
      <c r="BM1261" s="257">
        <v>-9999</v>
      </c>
      <c r="BN1261" s="602">
        <v>2.2999999999999998</v>
      </c>
      <c r="BO1261" s="257">
        <v>-9999</v>
      </c>
      <c r="BP1261" s="257">
        <v>-9999</v>
      </c>
      <c r="BQ1261" s="257">
        <v>-9999</v>
      </c>
      <c r="BR1261" s="257">
        <v>-9999</v>
      </c>
      <c r="BS1261" s="263">
        <v>-9999</v>
      </c>
      <c r="BT1261" s="257">
        <v>-9999</v>
      </c>
      <c r="BU1261" s="257">
        <v>-9999</v>
      </c>
      <c r="BV1261" s="257">
        <v>-9999</v>
      </c>
      <c r="BW1261" s="257"/>
      <c r="BX1261" s="257">
        <v>-9999</v>
      </c>
      <c r="BY1261" s="257">
        <v>-9999</v>
      </c>
      <c r="BZ1261" s="257">
        <v>-9999</v>
      </c>
      <c r="CA1261" s="300" t="s">
        <v>107</v>
      </c>
      <c r="CB1261" s="264" t="s">
        <v>561</v>
      </c>
      <c r="CC1261" s="600">
        <v>2</v>
      </c>
      <c r="CD1261" s="600">
        <v>3</v>
      </c>
      <c r="CE1261" s="168">
        <v>6.1929999999999996</v>
      </c>
      <c r="CF1261" s="168">
        <v>-3.120000000000001</v>
      </c>
      <c r="CG1261" s="161">
        <v>6</v>
      </c>
    </row>
    <row r="1262" spans="1:1873" s="149" customFormat="1" ht="12.75" customHeight="1" x14ac:dyDescent="0.25">
      <c r="A1262" s="263"/>
      <c r="B1262" s="263"/>
      <c r="C1262" s="600"/>
      <c r="D1262" s="263"/>
      <c r="E1262" s="599"/>
      <c r="F1262" s="599"/>
      <c r="G1262" s="600"/>
      <c r="H1262" s="600"/>
      <c r="I1262" s="257"/>
      <c r="J1262" s="599"/>
      <c r="K1262" s="257"/>
      <c r="L1262" s="600"/>
      <c r="M1262" s="261"/>
      <c r="N1262" s="257"/>
      <c r="O1262" s="29"/>
      <c r="P1262" s="602"/>
      <c r="Q1262" s="257"/>
      <c r="R1262" s="261"/>
      <c r="S1262" s="257"/>
      <c r="T1262" s="370"/>
      <c r="U1262" s="257"/>
      <c r="V1262" s="257"/>
      <c r="W1262" s="609"/>
      <c r="X1262" s="257"/>
      <c r="Y1262" s="257"/>
      <c r="Z1262" s="599"/>
      <c r="AA1262" s="605"/>
      <c r="AB1262" s="611"/>
      <c r="AC1262" s="257"/>
      <c r="AD1262" s="602"/>
      <c r="AE1262" s="263"/>
      <c r="AF1262" s="600"/>
      <c r="AG1262" s="257"/>
      <c r="AH1262" s="257"/>
      <c r="AI1262" s="257"/>
      <c r="AJ1262" s="257"/>
      <c r="AK1262" s="257"/>
      <c r="AL1262" s="257"/>
      <c r="AM1262" s="257"/>
      <c r="AN1262" s="257"/>
      <c r="AO1262" s="257"/>
      <c r="AP1262" s="257"/>
      <c r="AQ1262" s="257"/>
      <c r="AR1262" s="257"/>
      <c r="AS1262" s="257"/>
      <c r="AT1262" s="257"/>
      <c r="AU1262" s="257"/>
      <c r="AV1262" s="257"/>
      <c r="AW1262" s="257"/>
      <c r="AX1262" s="257"/>
      <c r="AY1262" s="257"/>
      <c r="AZ1262" s="257"/>
      <c r="BA1262" s="257"/>
      <c r="BB1262" s="257"/>
      <c r="BC1262" s="257"/>
      <c r="BD1262" s="257"/>
      <c r="BE1262" s="257"/>
      <c r="BF1262" s="257"/>
      <c r="BG1262" s="257"/>
      <c r="BH1262" s="257"/>
      <c r="BI1262" s="257"/>
      <c r="BJ1262" s="257"/>
      <c r="BK1262" s="257"/>
      <c r="BL1262" s="602"/>
      <c r="BM1262" s="257"/>
      <c r="BN1262" s="602"/>
      <c r="BO1262" s="257"/>
      <c r="BP1262" s="257"/>
      <c r="BQ1262" s="257"/>
      <c r="BR1262" s="257"/>
      <c r="BS1262" s="263"/>
      <c r="BT1262" s="257"/>
      <c r="BU1262" s="257"/>
      <c r="BV1262" s="257"/>
      <c r="BW1262" s="257"/>
      <c r="BX1262" s="257"/>
      <c r="BY1262" s="257"/>
      <c r="BZ1262" s="257"/>
      <c r="CA1262" s="300"/>
      <c r="CB1262" s="264"/>
      <c r="CC1262" s="599"/>
      <c r="CD1262" s="600"/>
      <c r="CE1262" s="342" t="s">
        <v>1576</v>
      </c>
      <c r="CF1262" s="342" t="s">
        <v>1575</v>
      </c>
      <c r="CG1262" s="161"/>
    </row>
    <row r="1263" spans="1:1873" s="149" customFormat="1" ht="12.75" customHeight="1" x14ac:dyDescent="0.25">
      <c r="A1263" s="263" t="s">
        <v>560</v>
      </c>
      <c r="B1263" s="263" t="s">
        <v>1268</v>
      </c>
      <c r="C1263" s="600" t="s">
        <v>117</v>
      </c>
      <c r="D1263" s="263" t="s">
        <v>1257</v>
      </c>
      <c r="E1263" s="599" t="s">
        <v>116</v>
      </c>
      <c r="F1263" s="600">
        <v>1</v>
      </c>
      <c r="G1263" s="600">
        <v>1</v>
      </c>
      <c r="H1263" s="600">
        <v>1</v>
      </c>
      <c r="I1263" s="257" t="s">
        <v>856</v>
      </c>
      <c r="J1263" s="599">
        <v>1982</v>
      </c>
      <c r="K1263" s="257" t="s">
        <v>1211</v>
      </c>
      <c r="L1263" s="608">
        <v>1982</v>
      </c>
      <c r="M1263" s="261">
        <v>-9999</v>
      </c>
      <c r="N1263" s="257">
        <v>-9999</v>
      </c>
      <c r="O1263" s="29"/>
      <c r="P1263" s="602">
        <v>0.32</v>
      </c>
      <c r="Q1263" s="257">
        <v>-9999</v>
      </c>
      <c r="R1263" s="261"/>
      <c r="S1263" s="257"/>
      <c r="T1263" s="370">
        <v>0.32</v>
      </c>
      <c r="U1263" s="257">
        <v>-9999</v>
      </c>
      <c r="V1263" s="257"/>
      <c r="W1263" s="609">
        <f t="shared" ref="W1263:W1268" si="136">+P1263-P1262</f>
        <v>0.32</v>
      </c>
      <c r="X1263" s="257">
        <v>-9999</v>
      </c>
      <c r="Y1263" s="257"/>
      <c r="Z1263" s="327" t="s">
        <v>1705</v>
      </c>
      <c r="AA1263" s="605">
        <v>2691</v>
      </c>
      <c r="AB1263" s="611">
        <v>0.85</v>
      </c>
      <c r="AC1263" s="257">
        <v>10.3</v>
      </c>
      <c r="AD1263" s="602">
        <f t="shared" ref="AD1263:AD1287" si="137">0.0966*10000</f>
        <v>966</v>
      </c>
      <c r="AE1263" s="263" t="s">
        <v>97</v>
      </c>
      <c r="AF1263" s="600">
        <v>6</v>
      </c>
      <c r="AG1263" s="257">
        <v>2</v>
      </c>
      <c r="AH1263" s="257" t="s">
        <v>98</v>
      </c>
      <c r="AI1263" s="257" t="s">
        <v>985</v>
      </c>
      <c r="AJ1263" s="257">
        <v>-9999</v>
      </c>
      <c r="AK1263" s="257" t="s">
        <v>99</v>
      </c>
      <c r="AL1263" s="257" t="s">
        <v>828</v>
      </c>
      <c r="AM1263" s="257">
        <v>-9999</v>
      </c>
      <c r="AN1263" s="257" t="s">
        <v>631</v>
      </c>
      <c r="AO1263" s="257">
        <v>-9999</v>
      </c>
      <c r="AP1263" s="257">
        <v>-9999</v>
      </c>
      <c r="AQ1263" s="257" t="s">
        <v>631</v>
      </c>
      <c r="AR1263" s="257">
        <v>0</v>
      </c>
      <c r="AS1263" s="257">
        <v>-9999</v>
      </c>
      <c r="AT1263" s="257">
        <v>-9999</v>
      </c>
      <c r="AU1263" s="257">
        <v>0</v>
      </c>
      <c r="AV1263" s="257">
        <v>-9999</v>
      </c>
      <c r="AW1263" s="257"/>
      <c r="AX1263" s="257">
        <v>0</v>
      </c>
      <c r="AY1263" s="257">
        <v>-9999</v>
      </c>
      <c r="AZ1263" s="257">
        <v>-9999</v>
      </c>
      <c r="BA1263" s="257" t="s">
        <v>100</v>
      </c>
      <c r="BB1263" s="257" t="s">
        <v>626</v>
      </c>
      <c r="BC1263" s="257" t="s">
        <v>101</v>
      </c>
      <c r="BD1263" s="257" t="s">
        <v>102</v>
      </c>
      <c r="BE1263" s="257" t="s">
        <v>103</v>
      </c>
      <c r="BF1263" s="257" t="s">
        <v>104</v>
      </c>
      <c r="BG1263" s="257" t="s">
        <v>105</v>
      </c>
      <c r="BH1263" s="257" t="s">
        <v>106</v>
      </c>
      <c r="BI1263" s="257">
        <v>-9999</v>
      </c>
      <c r="BJ1263" s="257">
        <v>-9999</v>
      </c>
      <c r="BK1263" s="257">
        <v>-9999</v>
      </c>
      <c r="BL1263" s="602">
        <v>1.1000000000000001</v>
      </c>
      <c r="BM1263" s="257">
        <v>-9999</v>
      </c>
      <c r="BN1263" s="602">
        <v>0</v>
      </c>
      <c r="BO1263" s="257">
        <v>-9999</v>
      </c>
      <c r="BP1263" s="257">
        <v>-9999</v>
      </c>
      <c r="BQ1263" s="257">
        <v>-9999</v>
      </c>
      <c r="BR1263" s="257">
        <v>-9999</v>
      </c>
      <c r="BS1263" s="263">
        <v>-9999</v>
      </c>
      <c r="BT1263" s="257">
        <v>-9999</v>
      </c>
      <c r="BU1263" s="257">
        <v>-9999</v>
      </c>
      <c r="BV1263" s="257">
        <v>-9999</v>
      </c>
      <c r="BW1263" s="257"/>
      <c r="BX1263" s="257">
        <v>-9999</v>
      </c>
      <c r="BY1263" s="257">
        <v>-9999</v>
      </c>
      <c r="BZ1263" s="257">
        <v>-9999</v>
      </c>
      <c r="CA1263" s="300" t="s">
        <v>107</v>
      </c>
      <c r="CB1263" s="264" t="s">
        <v>561</v>
      </c>
      <c r="CC1263" s="600">
        <v>1</v>
      </c>
      <c r="CD1263" s="600">
        <v>1</v>
      </c>
      <c r="CE1263" s="168">
        <v>0.32</v>
      </c>
      <c r="CF1263" s="168">
        <v>0.32</v>
      </c>
      <c r="CG1263" s="161">
        <v>1</v>
      </c>
    </row>
    <row r="1264" spans="1:1873" s="149" customFormat="1" ht="12.75" customHeight="1" x14ac:dyDescent="0.25">
      <c r="A1264" s="263" t="s">
        <v>560</v>
      </c>
      <c r="B1264" s="263" t="s">
        <v>1268</v>
      </c>
      <c r="C1264" s="600" t="s">
        <v>117</v>
      </c>
      <c r="D1264" s="263" t="s">
        <v>1257</v>
      </c>
      <c r="E1264" s="599" t="s">
        <v>116</v>
      </c>
      <c r="F1264" s="600">
        <v>1</v>
      </c>
      <c r="G1264" s="600">
        <v>2</v>
      </c>
      <c r="H1264" s="600">
        <v>2</v>
      </c>
      <c r="I1264" s="257" t="s">
        <v>856</v>
      </c>
      <c r="J1264" s="599">
        <v>1982</v>
      </c>
      <c r="K1264" s="257" t="s">
        <v>1211</v>
      </c>
      <c r="L1264" s="608">
        <v>1983</v>
      </c>
      <c r="M1264" s="261">
        <v>-9999</v>
      </c>
      <c r="N1264" s="257">
        <v>-9999</v>
      </c>
      <c r="O1264" s="29"/>
      <c r="P1264" s="602">
        <v>4.1500000000000004</v>
      </c>
      <c r="Q1264" s="257">
        <v>-9999</v>
      </c>
      <c r="R1264" s="261"/>
      <c r="S1264" s="257"/>
      <c r="T1264" s="370">
        <v>1.79</v>
      </c>
      <c r="U1264" s="257">
        <v>-9999</v>
      </c>
      <c r="V1264" s="257"/>
      <c r="W1264" s="609">
        <f t="shared" si="136"/>
        <v>3.8300000000000005</v>
      </c>
      <c r="X1264" s="257">
        <v>-9999</v>
      </c>
      <c r="Y1264" s="257"/>
      <c r="Z1264" s="327" t="s">
        <v>1705</v>
      </c>
      <c r="AA1264" s="605">
        <v>2691</v>
      </c>
      <c r="AB1264" s="611">
        <v>0.88</v>
      </c>
      <c r="AC1264" s="257">
        <v>10.3</v>
      </c>
      <c r="AD1264" s="602">
        <f t="shared" si="137"/>
        <v>966</v>
      </c>
      <c r="AE1264" s="263" t="s">
        <v>97</v>
      </c>
      <c r="AF1264" s="600">
        <v>6</v>
      </c>
      <c r="AG1264" s="257">
        <v>2</v>
      </c>
      <c r="AH1264" s="257" t="s">
        <v>98</v>
      </c>
      <c r="AI1264" s="257" t="s">
        <v>985</v>
      </c>
      <c r="AJ1264" s="257">
        <v>-9999</v>
      </c>
      <c r="AK1264" s="257" t="s">
        <v>99</v>
      </c>
      <c r="AL1264" s="257" t="s">
        <v>828</v>
      </c>
      <c r="AM1264" s="257">
        <v>-9999</v>
      </c>
      <c r="AN1264" s="257" t="s">
        <v>631</v>
      </c>
      <c r="AO1264" s="257">
        <v>-9999</v>
      </c>
      <c r="AP1264" s="257">
        <v>-9999</v>
      </c>
      <c r="AQ1264" s="257" t="s">
        <v>631</v>
      </c>
      <c r="AR1264" s="257">
        <v>0</v>
      </c>
      <c r="AS1264" s="257">
        <v>-9999</v>
      </c>
      <c r="AT1264" s="257">
        <v>-9999</v>
      </c>
      <c r="AU1264" s="257">
        <v>0</v>
      </c>
      <c r="AV1264" s="257">
        <v>-9999</v>
      </c>
      <c r="AW1264" s="257"/>
      <c r="AX1264" s="257">
        <v>0</v>
      </c>
      <c r="AY1264" s="257">
        <v>-9999</v>
      </c>
      <c r="AZ1264" s="257">
        <v>-9999</v>
      </c>
      <c r="BA1264" s="257" t="s">
        <v>100</v>
      </c>
      <c r="BB1264" s="257" t="s">
        <v>626</v>
      </c>
      <c r="BC1264" s="257" t="s">
        <v>101</v>
      </c>
      <c r="BD1264" s="257" t="s">
        <v>102</v>
      </c>
      <c r="BE1264" s="257" t="s">
        <v>103</v>
      </c>
      <c r="BF1264" s="257" t="s">
        <v>104</v>
      </c>
      <c r="BG1264" s="257" t="s">
        <v>105</v>
      </c>
      <c r="BH1264" s="257" t="s">
        <v>106</v>
      </c>
      <c r="BI1264" s="257">
        <v>-9999</v>
      </c>
      <c r="BJ1264" s="257">
        <v>-9999</v>
      </c>
      <c r="BK1264" s="257">
        <v>-9999</v>
      </c>
      <c r="BL1264" s="602">
        <v>2.15</v>
      </c>
      <c r="BM1264" s="257">
        <v>-9999</v>
      </c>
      <c r="BN1264" s="602">
        <v>0</v>
      </c>
      <c r="BO1264" s="257">
        <v>-9999</v>
      </c>
      <c r="BP1264" s="257">
        <v>-9999</v>
      </c>
      <c r="BQ1264" s="257">
        <v>-9999</v>
      </c>
      <c r="BR1264" s="257">
        <v>-9999</v>
      </c>
      <c r="BS1264" s="263">
        <v>-9999</v>
      </c>
      <c r="BT1264" s="257">
        <v>-9999</v>
      </c>
      <c r="BU1264" s="257">
        <v>-9999</v>
      </c>
      <c r="BV1264" s="257">
        <v>-9999</v>
      </c>
      <c r="BW1264" s="257"/>
      <c r="BX1264" s="257">
        <v>-9999</v>
      </c>
      <c r="BY1264" s="257">
        <v>-9999</v>
      </c>
      <c r="BZ1264" s="257">
        <v>-9999</v>
      </c>
      <c r="CA1264" s="300" t="s">
        <v>107</v>
      </c>
      <c r="CB1264" s="264" t="s">
        <v>561</v>
      </c>
      <c r="CC1264" s="600">
        <v>1</v>
      </c>
      <c r="CD1264" s="600">
        <v>2</v>
      </c>
      <c r="CE1264" s="168">
        <v>1.79</v>
      </c>
      <c r="CF1264" s="168">
        <v>3.2600000000000002</v>
      </c>
      <c r="CG1264" s="161">
        <v>2</v>
      </c>
    </row>
    <row r="1265" spans="1:1873" s="149" customFormat="1" ht="12.75" customHeight="1" x14ac:dyDescent="0.25">
      <c r="A1265" s="263" t="s">
        <v>560</v>
      </c>
      <c r="B1265" s="263" t="s">
        <v>1268</v>
      </c>
      <c r="C1265" s="600" t="s">
        <v>117</v>
      </c>
      <c r="D1265" s="263" t="s">
        <v>1257</v>
      </c>
      <c r="E1265" s="599" t="s">
        <v>116</v>
      </c>
      <c r="F1265" s="600">
        <v>1</v>
      </c>
      <c r="G1265" s="600">
        <v>3</v>
      </c>
      <c r="H1265" s="600">
        <v>3</v>
      </c>
      <c r="I1265" s="257" t="s">
        <v>856</v>
      </c>
      <c r="J1265" s="599">
        <v>1982</v>
      </c>
      <c r="K1265" s="257" t="s">
        <v>1211</v>
      </c>
      <c r="L1265" s="608">
        <v>1984</v>
      </c>
      <c r="M1265" s="261">
        <v>-9999</v>
      </c>
      <c r="N1265" s="257">
        <v>-9999</v>
      </c>
      <c r="O1265" s="29"/>
      <c r="P1265" s="602">
        <v>12.05</v>
      </c>
      <c r="Q1265" s="257">
        <v>-9999</v>
      </c>
      <c r="R1265" s="261"/>
      <c r="S1265" s="257"/>
      <c r="T1265" s="370">
        <v>3.5630000000000002</v>
      </c>
      <c r="U1265" s="257">
        <v>-9999</v>
      </c>
      <c r="V1265" s="257"/>
      <c r="W1265" s="609">
        <f t="shared" si="136"/>
        <v>7.9</v>
      </c>
      <c r="X1265" s="257">
        <v>-9999</v>
      </c>
      <c r="Y1265" s="257"/>
      <c r="Z1265" s="327" t="s">
        <v>1705</v>
      </c>
      <c r="AA1265" s="605">
        <v>2691</v>
      </c>
      <c r="AB1265" s="611">
        <v>0.88</v>
      </c>
      <c r="AC1265" s="257">
        <v>10.3</v>
      </c>
      <c r="AD1265" s="602">
        <f t="shared" si="137"/>
        <v>966</v>
      </c>
      <c r="AE1265" s="263" t="s">
        <v>97</v>
      </c>
      <c r="AF1265" s="600">
        <v>6</v>
      </c>
      <c r="AG1265" s="257">
        <v>2</v>
      </c>
      <c r="AH1265" s="257" t="s">
        <v>98</v>
      </c>
      <c r="AI1265" s="257" t="s">
        <v>985</v>
      </c>
      <c r="AJ1265" s="257">
        <v>-9999</v>
      </c>
      <c r="AK1265" s="257" t="s">
        <v>99</v>
      </c>
      <c r="AL1265" s="257" t="s">
        <v>828</v>
      </c>
      <c r="AM1265" s="257">
        <v>-9999</v>
      </c>
      <c r="AN1265" s="257" t="s">
        <v>631</v>
      </c>
      <c r="AO1265" s="257">
        <v>-9999</v>
      </c>
      <c r="AP1265" s="257">
        <v>-9999</v>
      </c>
      <c r="AQ1265" s="257" t="s">
        <v>631</v>
      </c>
      <c r="AR1265" s="257">
        <v>0</v>
      </c>
      <c r="AS1265" s="257">
        <v>-9999</v>
      </c>
      <c r="AT1265" s="257">
        <v>-9999</v>
      </c>
      <c r="AU1265" s="257">
        <v>0</v>
      </c>
      <c r="AV1265" s="257">
        <v>-9999</v>
      </c>
      <c r="AW1265" s="257"/>
      <c r="AX1265" s="257">
        <v>0</v>
      </c>
      <c r="AY1265" s="257">
        <v>-9999</v>
      </c>
      <c r="AZ1265" s="257">
        <v>-9999</v>
      </c>
      <c r="BA1265" s="257" t="s">
        <v>100</v>
      </c>
      <c r="BB1265" s="257" t="s">
        <v>626</v>
      </c>
      <c r="BC1265" s="257" t="s">
        <v>101</v>
      </c>
      <c r="BD1265" s="257" t="s">
        <v>102</v>
      </c>
      <c r="BE1265" s="257" t="s">
        <v>103</v>
      </c>
      <c r="BF1265" s="257" t="s">
        <v>104</v>
      </c>
      <c r="BG1265" s="257" t="s">
        <v>105</v>
      </c>
      <c r="BH1265" s="257" t="s">
        <v>106</v>
      </c>
      <c r="BI1265" s="257">
        <v>-9999</v>
      </c>
      <c r="BJ1265" s="257">
        <v>-9999</v>
      </c>
      <c r="BK1265" s="257">
        <v>-9999</v>
      </c>
      <c r="BL1265" s="602">
        <v>3.78</v>
      </c>
      <c r="BM1265" s="257">
        <v>-9999</v>
      </c>
      <c r="BN1265" s="602">
        <v>0</v>
      </c>
      <c r="BO1265" s="257">
        <v>-9999</v>
      </c>
      <c r="BP1265" s="257">
        <v>-9999</v>
      </c>
      <c r="BQ1265" s="257">
        <v>-9999</v>
      </c>
      <c r="BR1265" s="257">
        <v>-9999</v>
      </c>
      <c r="BS1265" s="263">
        <v>-9999</v>
      </c>
      <c r="BT1265" s="257">
        <v>-9999</v>
      </c>
      <c r="BU1265" s="257">
        <v>-9999</v>
      </c>
      <c r="BV1265" s="257">
        <v>-9999</v>
      </c>
      <c r="BW1265" s="257"/>
      <c r="BX1265" s="257">
        <v>-9999</v>
      </c>
      <c r="BY1265" s="257">
        <v>-9999</v>
      </c>
      <c r="BZ1265" s="257">
        <v>-9999</v>
      </c>
      <c r="CA1265" s="300" t="s">
        <v>107</v>
      </c>
      <c r="CB1265" s="264" t="s">
        <v>561</v>
      </c>
      <c r="CC1265" s="600">
        <v>1</v>
      </c>
      <c r="CD1265" s="600">
        <v>3</v>
      </c>
      <c r="CE1265" s="168">
        <v>3.5630000000000002</v>
      </c>
      <c r="CF1265" s="168">
        <v>7.1099999999999994</v>
      </c>
      <c r="CG1265" s="161">
        <v>3</v>
      </c>
    </row>
    <row r="1266" spans="1:1873" s="23" customFormat="1" ht="12.75" customHeight="1" x14ac:dyDescent="0.25">
      <c r="A1266" s="263" t="s">
        <v>560</v>
      </c>
      <c r="B1266" s="263" t="s">
        <v>1268</v>
      </c>
      <c r="C1266" s="263" t="s">
        <v>117</v>
      </c>
      <c r="D1266" s="263" t="s">
        <v>1257</v>
      </c>
      <c r="E1266" s="257" t="s">
        <v>116</v>
      </c>
      <c r="F1266" s="263">
        <v>1</v>
      </c>
      <c r="G1266" s="263">
        <v>4</v>
      </c>
      <c r="H1266" s="263">
        <v>4</v>
      </c>
      <c r="I1266" s="257" t="s">
        <v>856</v>
      </c>
      <c r="J1266" s="257">
        <v>1982</v>
      </c>
      <c r="K1266" s="257" t="s">
        <v>1211</v>
      </c>
      <c r="L1266" s="595">
        <v>1985</v>
      </c>
      <c r="M1266" s="261">
        <v>-9999</v>
      </c>
      <c r="N1266" s="257">
        <v>-9999</v>
      </c>
      <c r="O1266" s="29"/>
      <c r="P1266" s="261">
        <v>18.55</v>
      </c>
      <c r="Q1266" s="257">
        <v>-9999</v>
      </c>
      <c r="R1266" s="261"/>
      <c r="S1266" s="257"/>
      <c r="T1266" s="370">
        <v>4.6369999999999996</v>
      </c>
      <c r="U1266" s="257">
        <v>-9999</v>
      </c>
      <c r="V1266" s="257"/>
      <c r="W1266" s="609">
        <f t="shared" si="136"/>
        <v>6.5</v>
      </c>
      <c r="X1266" s="257">
        <v>-9999</v>
      </c>
      <c r="Y1266" s="257"/>
      <c r="Z1266" s="327" t="s">
        <v>1705</v>
      </c>
      <c r="AA1266" s="605">
        <v>2691</v>
      </c>
      <c r="AB1266" s="261">
        <v>0.82</v>
      </c>
      <c r="AC1266" s="257">
        <v>10.3</v>
      </c>
      <c r="AD1266" s="602">
        <f t="shared" si="137"/>
        <v>966</v>
      </c>
      <c r="AE1266" s="263" t="s">
        <v>97</v>
      </c>
      <c r="AF1266" s="263">
        <v>6</v>
      </c>
      <c r="AG1266" s="257">
        <v>2</v>
      </c>
      <c r="AH1266" s="257" t="s">
        <v>98</v>
      </c>
      <c r="AI1266" s="257" t="s">
        <v>985</v>
      </c>
      <c r="AJ1266" s="257">
        <v>-9999</v>
      </c>
      <c r="AK1266" s="257" t="s">
        <v>99</v>
      </c>
      <c r="AL1266" s="257" t="s">
        <v>828</v>
      </c>
      <c r="AM1266" s="257">
        <v>-9999</v>
      </c>
      <c r="AN1266" s="257" t="s">
        <v>631</v>
      </c>
      <c r="AO1266" s="257">
        <v>-9999</v>
      </c>
      <c r="AP1266" s="257">
        <v>-9999</v>
      </c>
      <c r="AQ1266" s="257" t="s">
        <v>631</v>
      </c>
      <c r="AR1266" s="257">
        <v>0</v>
      </c>
      <c r="AS1266" s="257">
        <v>-9999</v>
      </c>
      <c r="AT1266" s="257">
        <v>-9999</v>
      </c>
      <c r="AU1266" s="257">
        <v>0</v>
      </c>
      <c r="AV1266" s="257">
        <v>-9999</v>
      </c>
      <c r="AW1266" s="257"/>
      <c r="AX1266" s="257">
        <v>0</v>
      </c>
      <c r="AY1266" s="257">
        <v>-9999</v>
      </c>
      <c r="AZ1266" s="257">
        <v>-9999</v>
      </c>
      <c r="BA1266" s="257" t="s">
        <v>100</v>
      </c>
      <c r="BB1266" s="257" t="s">
        <v>626</v>
      </c>
      <c r="BC1266" s="257" t="s">
        <v>101</v>
      </c>
      <c r="BD1266" s="257" t="s">
        <v>102</v>
      </c>
      <c r="BE1266" s="257" t="s">
        <v>103</v>
      </c>
      <c r="BF1266" s="257" t="s">
        <v>104</v>
      </c>
      <c r="BG1266" s="257" t="s">
        <v>105</v>
      </c>
      <c r="BH1266" s="257" t="s">
        <v>106</v>
      </c>
      <c r="BI1266" s="257">
        <v>-9999</v>
      </c>
      <c r="BJ1266" s="257">
        <v>-9999</v>
      </c>
      <c r="BK1266" s="257">
        <v>-9999</v>
      </c>
      <c r="BL1266" s="602">
        <v>4.92</v>
      </c>
      <c r="BM1266" s="257">
        <v>-9999</v>
      </c>
      <c r="BN1266" s="602">
        <v>4.4000000000000004</v>
      </c>
      <c r="BO1266" s="257">
        <v>-9999</v>
      </c>
      <c r="BP1266" s="257">
        <v>-9999</v>
      </c>
      <c r="BQ1266" s="257">
        <v>-9999</v>
      </c>
      <c r="BR1266" s="257">
        <v>-9999</v>
      </c>
      <c r="BS1266" s="263">
        <v>-9999</v>
      </c>
      <c r="BT1266" s="257">
        <v>-9999</v>
      </c>
      <c r="BU1266" s="257">
        <v>-9999</v>
      </c>
      <c r="BV1266" s="257">
        <v>-9999</v>
      </c>
      <c r="BW1266" s="257"/>
      <c r="BX1266" s="257">
        <v>-9999</v>
      </c>
      <c r="BY1266" s="257">
        <v>-9999</v>
      </c>
      <c r="BZ1266" s="257">
        <v>-9999</v>
      </c>
      <c r="CA1266" s="300" t="s">
        <v>107</v>
      </c>
      <c r="CB1266" s="264" t="s">
        <v>561</v>
      </c>
      <c r="CC1266" s="263">
        <v>1</v>
      </c>
      <c r="CD1266" s="263">
        <v>4</v>
      </c>
      <c r="CE1266" s="292">
        <v>4.6369999999999996</v>
      </c>
      <c r="CF1266" s="292">
        <v>7.8600000000000012</v>
      </c>
      <c r="CG1266" s="44">
        <v>4</v>
      </c>
    </row>
    <row r="1267" spans="1:1873" s="149" customFormat="1" ht="12.75" customHeight="1" x14ac:dyDescent="0.25">
      <c r="A1267" s="263" t="s">
        <v>560</v>
      </c>
      <c r="B1267" s="263" t="s">
        <v>1268</v>
      </c>
      <c r="C1267" s="600" t="s">
        <v>117</v>
      </c>
      <c r="D1267" s="263" t="s">
        <v>1257</v>
      </c>
      <c r="E1267" s="599" t="s">
        <v>116</v>
      </c>
      <c r="F1267" s="600">
        <v>1</v>
      </c>
      <c r="G1267" s="600">
        <v>5</v>
      </c>
      <c r="H1267" s="600">
        <v>5</v>
      </c>
      <c r="I1267" s="257" t="s">
        <v>856</v>
      </c>
      <c r="J1267" s="599">
        <v>1982</v>
      </c>
      <c r="K1267" s="257" t="s">
        <v>1211</v>
      </c>
      <c r="L1267" s="608">
        <v>1986</v>
      </c>
      <c r="M1267" s="261">
        <v>-9999</v>
      </c>
      <c r="N1267" s="257">
        <v>-9999</v>
      </c>
      <c r="O1267" s="29"/>
      <c r="P1267" s="602">
        <v>23.1</v>
      </c>
      <c r="Q1267" s="257">
        <v>-9999</v>
      </c>
      <c r="R1267" s="261"/>
      <c r="S1267" s="257"/>
      <c r="T1267" s="370">
        <v>4.62</v>
      </c>
      <c r="U1267" s="257">
        <v>-9999</v>
      </c>
      <c r="V1267" s="257"/>
      <c r="W1267" s="609">
        <f t="shared" si="136"/>
        <v>4.5500000000000007</v>
      </c>
      <c r="X1267" s="257">
        <v>-9999</v>
      </c>
      <c r="Y1267" s="257"/>
      <c r="Z1267" s="327" t="s">
        <v>1705</v>
      </c>
      <c r="AA1267" s="605">
        <v>2691</v>
      </c>
      <c r="AB1267" s="611">
        <v>0.87</v>
      </c>
      <c r="AC1267" s="257">
        <v>10.3</v>
      </c>
      <c r="AD1267" s="602">
        <f t="shared" si="137"/>
        <v>966</v>
      </c>
      <c r="AE1267" s="263" t="s">
        <v>97</v>
      </c>
      <c r="AF1267" s="600">
        <v>6</v>
      </c>
      <c r="AG1267" s="257">
        <v>2</v>
      </c>
      <c r="AH1267" s="257" t="s">
        <v>98</v>
      </c>
      <c r="AI1267" s="257" t="s">
        <v>985</v>
      </c>
      <c r="AJ1267" s="257">
        <v>-9999</v>
      </c>
      <c r="AK1267" s="257" t="s">
        <v>99</v>
      </c>
      <c r="AL1267" s="257" t="s">
        <v>828</v>
      </c>
      <c r="AM1267" s="257">
        <v>-9999</v>
      </c>
      <c r="AN1267" s="257" t="s">
        <v>631</v>
      </c>
      <c r="AO1267" s="257">
        <v>-9999</v>
      </c>
      <c r="AP1267" s="257">
        <v>-9999</v>
      </c>
      <c r="AQ1267" s="257" t="s">
        <v>631</v>
      </c>
      <c r="AR1267" s="257">
        <v>0</v>
      </c>
      <c r="AS1267" s="257">
        <v>-9999</v>
      </c>
      <c r="AT1267" s="257">
        <v>-9999</v>
      </c>
      <c r="AU1267" s="257">
        <v>0</v>
      </c>
      <c r="AV1267" s="257">
        <v>-9999</v>
      </c>
      <c r="AW1267" s="257"/>
      <c r="AX1267" s="257">
        <v>0</v>
      </c>
      <c r="AY1267" s="257">
        <v>-9999</v>
      </c>
      <c r="AZ1267" s="257">
        <v>-9999</v>
      </c>
      <c r="BA1267" s="257" t="s">
        <v>100</v>
      </c>
      <c r="BB1267" s="257" t="s">
        <v>626</v>
      </c>
      <c r="BC1267" s="257" t="s">
        <v>101</v>
      </c>
      <c r="BD1267" s="257" t="s">
        <v>102</v>
      </c>
      <c r="BE1267" s="257" t="s">
        <v>103</v>
      </c>
      <c r="BF1267" s="257" t="s">
        <v>104</v>
      </c>
      <c r="BG1267" s="257" t="s">
        <v>105</v>
      </c>
      <c r="BH1267" s="257" t="s">
        <v>106</v>
      </c>
      <c r="BI1267" s="257">
        <v>-9999</v>
      </c>
      <c r="BJ1267" s="257">
        <v>-9999</v>
      </c>
      <c r="BK1267" s="257">
        <v>-9999</v>
      </c>
      <c r="BL1267" s="602">
        <v>5.3</v>
      </c>
      <c r="BM1267" s="257">
        <v>-9999</v>
      </c>
      <c r="BN1267" s="602">
        <v>4.4000000000000004</v>
      </c>
      <c r="BO1267" s="257">
        <v>-9999</v>
      </c>
      <c r="BP1267" s="257">
        <v>-9999</v>
      </c>
      <c r="BQ1267" s="257">
        <v>-9999</v>
      </c>
      <c r="BR1267" s="257">
        <v>-9999</v>
      </c>
      <c r="BS1267" s="263">
        <v>-9999</v>
      </c>
      <c r="BT1267" s="257">
        <v>-9999</v>
      </c>
      <c r="BU1267" s="257">
        <v>-9999</v>
      </c>
      <c r="BV1267" s="257">
        <v>-9999</v>
      </c>
      <c r="BW1267" s="257"/>
      <c r="BX1267" s="257">
        <v>-9999</v>
      </c>
      <c r="BY1267" s="257">
        <v>-9999</v>
      </c>
      <c r="BZ1267" s="257">
        <v>-9999</v>
      </c>
      <c r="CA1267" s="300" t="s">
        <v>107</v>
      </c>
      <c r="CB1267" s="264" t="s">
        <v>561</v>
      </c>
      <c r="CC1267" s="600">
        <v>1</v>
      </c>
      <c r="CD1267" s="600">
        <v>5</v>
      </c>
      <c r="CE1267" s="168">
        <v>4.62</v>
      </c>
      <c r="CF1267" s="168">
        <v>4.5500000000000007</v>
      </c>
      <c r="CG1267" s="161">
        <v>5</v>
      </c>
    </row>
    <row r="1268" spans="1:1873" s="218" customFormat="1" ht="12.75" customHeight="1" x14ac:dyDescent="0.25">
      <c r="A1268" s="328" t="s">
        <v>560</v>
      </c>
      <c r="B1268" s="263" t="s">
        <v>1268</v>
      </c>
      <c r="C1268" s="600" t="s">
        <v>117</v>
      </c>
      <c r="D1268" s="263" t="s">
        <v>1257</v>
      </c>
      <c r="E1268" s="599" t="s">
        <v>116</v>
      </c>
      <c r="F1268" s="600">
        <v>1</v>
      </c>
      <c r="G1268" s="600">
        <v>6</v>
      </c>
      <c r="H1268" s="600">
        <v>6</v>
      </c>
      <c r="I1268" s="257" t="s">
        <v>856</v>
      </c>
      <c r="J1268" s="599">
        <v>1982</v>
      </c>
      <c r="K1268" s="257" t="s">
        <v>1211</v>
      </c>
      <c r="L1268" s="608">
        <v>1987</v>
      </c>
      <c r="M1268" s="261">
        <v>-9999</v>
      </c>
      <c r="N1268" s="257">
        <v>-9999</v>
      </c>
      <c r="O1268" s="29"/>
      <c r="P1268" s="602">
        <v>42.29</v>
      </c>
      <c r="Q1268" s="257">
        <v>-9999</v>
      </c>
      <c r="R1268" s="261"/>
      <c r="S1268" s="257"/>
      <c r="T1268" s="370">
        <v>7.048</v>
      </c>
      <c r="U1268" s="257">
        <v>-9999</v>
      </c>
      <c r="V1268" s="257"/>
      <c r="W1268" s="609">
        <f t="shared" si="136"/>
        <v>19.189999999999998</v>
      </c>
      <c r="X1268" s="257">
        <v>-9999</v>
      </c>
      <c r="Y1268" s="257"/>
      <c r="Z1268" s="327" t="s">
        <v>1705</v>
      </c>
      <c r="AA1268" s="605">
        <v>2691</v>
      </c>
      <c r="AB1268" s="611">
        <v>0.84</v>
      </c>
      <c r="AC1268" s="257">
        <v>10.3</v>
      </c>
      <c r="AD1268" s="602">
        <f t="shared" si="137"/>
        <v>966</v>
      </c>
      <c r="AE1268" s="263" t="s">
        <v>97</v>
      </c>
      <c r="AF1268" s="600">
        <v>1</v>
      </c>
      <c r="AG1268" s="257">
        <v>2</v>
      </c>
      <c r="AH1268" s="257" t="s">
        <v>98</v>
      </c>
      <c r="AI1268" s="257" t="s">
        <v>985</v>
      </c>
      <c r="AJ1268" s="257">
        <v>-9999</v>
      </c>
      <c r="AK1268" s="257" t="s">
        <v>99</v>
      </c>
      <c r="AL1268" s="257" t="s">
        <v>828</v>
      </c>
      <c r="AM1268" s="257">
        <v>-9999</v>
      </c>
      <c r="AN1268" s="257" t="s">
        <v>631</v>
      </c>
      <c r="AO1268" s="257">
        <v>-9999</v>
      </c>
      <c r="AP1268" s="257">
        <v>-9999</v>
      </c>
      <c r="AQ1268" s="257" t="s">
        <v>631</v>
      </c>
      <c r="AR1268" s="257">
        <v>0</v>
      </c>
      <c r="AS1268" s="257">
        <v>-9999</v>
      </c>
      <c r="AT1268" s="257">
        <v>-9999</v>
      </c>
      <c r="AU1268" s="257">
        <v>0</v>
      </c>
      <c r="AV1268" s="257">
        <v>-9999</v>
      </c>
      <c r="AW1268" s="257"/>
      <c r="AX1268" s="257">
        <v>0</v>
      </c>
      <c r="AY1268" s="257">
        <v>-9999</v>
      </c>
      <c r="AZ1268" s="257">
        <v>-9999</v>
      </c>
      <c r="BA1268" s="257" t="s">
        <v>100</v>
      </c>
      <c r="BB1268" s="257" t="s">
        <v>626</v>
      </c>
      <c r="BC1268" s="257" t="s">
        <v>101</v>
      </c>
      <c r="BD1268" s="257" t="s">
        <v>102</v>
      </c>
      <c r="BE1268" s="257" t="s">
        <v>103</v>
      </c>
      <c r="BF1268" s="257" t="s">
        <v>104</v>
      </c>
      <c r="BG1268" s="257" t="s">
        <v>105</v>
      </c>
      <c r="BH1268" s="257" t="s">
        <v>106</v>
      </c>
      <c r="BI1268" s="257">
        <v>-9999</v>
      </c>
      <c r="BJ1268" s="257">
        <v>-9999</v>
      </c>
      <c r="BK1268" s="257">
        <v>-9999</v>
      </c>
      <c r="BL1268" s="602">
        <v>7</v>
      </c>
      <c r="BM1268" s="257">
        <v>-9999</v>
      </c>
      <c r="BN1268" s="602">
        <v>6.8</v>
      </c>
      <c r="BO1268" s="257">
        <v>-9999</v>
      </c>
      <c r="BP1268" s="257">
        <v>-9999</v>
      </c>
      <c r="BQ1268" s="257">
        <v>-9999</v>
      </c>
      <c r="BR1268" s="257">
        <v>-9999</v>
      </c>
      <c r="BS1268" s="263">
        <v>-9999</v>
      </c>
      <c r="BT1268" s="257">
        <v>-9999</v>
      </c>
      <c r="BU1268" s="257">
        <v>-9999</v>
      </c>
      <c r="BV1268" s="257">
        <v>-9999</v>
      </c>
      <c r="BW1268" s="257"/>
      <c r="BX1268" s="257">
        <v>-9999</v>
      </c>
      <c r="BY1268" s="257">
        <v>-9999</v>
      </c>
      <c r="BZ1268" s="257">
        <v>-9999</v>
      </c>
      <c r="CA1268" s="300" t="s">
        <v>107</v>
      </c>
      <c r="CB1268" s="264" t="s">
        <v>561</v>
      </c>
      <c r="CC1268" s="600">
        <v>1</v>
      </c>
      <c r="CD1268" s="600">
        <v>6</v>
      </c>
      <c r="CE1268" s="168">
        <v>7.048</v>
      </c>
      <c r="CF1268" s="168">
        <v>19.189999999999998</v>
      </c>
      <c r="CG1268" s="217">
        <v>6</v>
      </c>
      <c r="CH1268" s="301" t="s">
        <v>1757</v>
      </c>
      <c r="CI1268" s="149"/>
      <c r="CJ1268" s="149"/>
      <c r="CK1268" s="149"/>
      <c r="CL1268" s="149"/>
      <c r="CM1268" s="149"/>
      <c r="CN1268" s="149"/>
      <c r="CO1268" s="149"/>
      <c r="CP1268" s="149"/>
      <c r="CQ1268" s="149"/>
      <c r="CR1268" s="149"/>
      <c r="CS1268" s="149"/>
      <c r="CT1268" s="149"/>
      <c r="CU1268" s="149"/>
      <c r="CV1268" s="149"/>
      <c r="CW1268" s="149"/>
      <c r="CX1268" s="149"/>
      <c r="CY1268" s="149"/>
      <c r="CZ1268" s="149"/>
      <c r="DA1268" s="149"/>
      <c r="DB1268" s="149"/>
      <c r="DC1268" s="149"/>
      <c r="DD1268" s="149"/>
      <c r="DE1268" s="149"/>
      <c r="DF1268" s="149"/>
      <c r="DG1268" s="149"/>
      <c r="DH1268" s="149"/>
      <c r="DI1268" s="149"/>
      <c r="DJ1268" s="149"/>
      <c r="DK1268" s="149"/>
      <c r="DL1268" s="149"/>
      <c r="DM1268" s="149"/>
      <c r="DN1268" s="149"/>
      <c r="DO1268" s="149"/>
      <c r="DP1268" s="149"/>
      <c r="DQ1268" s="149"/>
      <c r="DR1268" s="149"/>
      <c r="DS1268" s="149"/>
      <c r="DT1268" s="149"/>
      <c r="DU1268" s="149"/>
      <c r="DV1268" s="149"/>
      <c r="DW1268" s="149"/>
      <c r="DX1268" s="149"/>
      <c r="DY1268" s="149"/>
      <c r="DZ1268" s="149"/>
      <c r="EA1268" s="149"/>
      <c r="EB1268" s="149"/>
      <c r="EC1268" s="149"/>
      <c r="ED1268" s="149"/>
      <c r="EE1268" s="149"/>
      <c r="EF1268" s="149"/>
      <c r="EG1268" s="149"/>
      <c r="EH1268" s="149"/>
      <c r="EI1268" s="149"/>
      <c r="EJ1268" s="149"/>
      <c r="EK1268" s="149"/>
      <c r="EL1268" s="149"/>
      <c r="EM1268" s="149"/>
      <c r="EN1268" s="149"/>
      <c r="EO1268" s="149"/>
      <c r="EP1268" s="149"/>
      <c r="EQ1268" s="149"/>
      <c r="ER1268" s="149"/>
      <c r="ES1268" s="149"/>
      <c r="ET1268" s="149"/>
      <c r="EU1268" s="149"/>
      <c r="EV1268" s="149"/>
      <c r="EW1268" s="149"/>
      <c r="EX1268" s="149"/>
      <c r="EY1268" s="149"/>
      <c r="EZ1268" s="149"/>
      <c r="FA1268" s="149"/>
      <c r="FB1268" s="149"/>
      <c r="FC1268" s="149"/>
      <c r="FD1268" s="149"/>
      <c r="FE1268" s="149"/>
      <c r="FF1268" s="149"/>
      <c r="FG1268" s="149"/>
      <c r="FH1268" s="149"/>
      <c r="FI1268" s="149"/>
      <c r="FJ1268" s="149"/>
      <c r="FK1268" s="149"/>
      <c r="FL1268" s="149"/>
      <c r="FM1268" s="149"/>
      <c r="FN1268" s="149"/>
      <c r="FO1268" s="149"/>
      <c r="FP1268" s="149"/>
      <c r="FQ1268" s="149"/>
      <c r="FR1268" s="149"/>
      <c r="FS1268" s="149"/>
      <c r="FT1268" s="149"/>
      <c r="FU1268" s="149"/>
      <c r="FV1268" s="149"/>
      <c r="FW1268" s="149"/>
      <c r="FX1268" s="149"/>
      <c r="FY1268" s="149"/>
      <c r="FZ1268" s="149"/>
      <c r="GA1268" s="149"/>
      <c r="GB1268" s="149"/>
      <c r="GC1268" s="149"/>
      <c r="GD1268" s="149"/>
      <c r="GE1268" s="149"/>
      <c r="GF1268" s="149"/>
      <c r="GG1268" s="149"/>
      <c r="GH1268" s="149"/>
      <c r="GI1268" s="149"/>
      <c r="GJ1268" s="149"/>
      <c r="GK1268" s="149"/>
      <c r="GL1268" s="149"/>
      <c r="GM1268" s="149"/>
      <c r="GN1268" s="149"/>
      <c r="GO1268" s="149"/>
      <c r="GP1268" s="149"/>
      <c r="GQ1268" s="149"/>
      <c r="GR1268" s="149"/>
      <c r="GS1268" s="149"/>
      <c r="GT1268" s="149"/>
      <c r="GU1268" s="149"/>
      <c r="GV1268" s="149"/>
      <c r="GW1268" s="149"/>
      <c r="GX1268" s="149"/>
      <c r="GY1268" s="149"/>
      <c r="GZ1268" s="149"/>
      <c r="HA1268" s="149"/>
      <c r="HB1268" s="149"/>
      <c r="HC1268" s="149"/>
      <c r="HD1268" s="149"/>
      <c r="HE1268" s="149"/>
      <c r="HF1268" s="149"/>
      <c r="HG1268" s="149"/>
      <c r="HH1268" s="149"/>
      <c r="HI1268" s="149"/>
      <c r="HJ1268" s="149"/>
      <c r="HK1268" s="149"/>
      <c r="HL1268" s="149"/>
      <c r="HM1268" s="149"/>
      <c r="HN1268" s="149"/>
      <c r="HO1268" s="149"/>
      <c r="HP1268" s="149"/>
      <c r="HQ1268" s="149"/>
      <c r="HR1268" s="149"/>
      <c r="HS1268" s="149"/>
      <c r="HT1268" s="149"/>
      <c r="HU1268" s="149"/>
      <c r="HV1268" s="149"/>
      <c r="HW1268" s="149"/>
      <c r="HX1268" s="149"/>
      <c r="HY1268" s="149"/>
      <c r="HZ1268" s="149"/>
      <c r="IA1268" s="149"/>
      <c r="IB1268" s="149"/>
      <c r="IC1268" s="149"/>
      <c r="ID1268" s="149"/>
      <c r="IE1268" s="149"/>
      <c r="IF1268" s="149"/>
      <c r="IG1268" s="149"/>
      <c r="IH1268" s="149"/>
      <c r="II1268" s="149"/>
      <c r="IJ1268" s="149"/>
      <c r="IK1268" s="149"/>
      <c r="IL1268" s="149"/>
      <c r="IM1268" s="149"/>
      <c r="IN1268" s="149"/>
      <c r="IO1268" s="149"/>
      <c r="IP1268" s="149"/>
      <c r="IQ1268" s="149"/>
      <c r="IR1268" s="149"/>
      <c r="IS1268" s="149"/>
      <c r="IT1268" s="149"/>
      <c r="IU1268" s="149"/>
      <c r="IV1268" s="149"/>
      <c r="IW1268" s="149"/>
      <c r="IX1268" s="149"/>
      <c r="IY1268" s="149"/>
      <c r="IZ1268" s="149"/>
      <c r="JA1268" s="149"/>
      <c r="JB1268" s="149"/>
      <c r="JC1268" s="149"/>
      <c r="JD1268" s="149"/>
      <c r="JE1268" s="149"/>
      <c r="JF1268" s="149"/>
      <c r="JG1268" s="149"/>
      <c r="JH1268" s="149"/>
      <c r="JI1268" s="149"/>
      <c r="JJ1268" s="149"/>
      <c r="JK1268" s="149"/>
      <c r="JL1268" s="149"/>
      <c r="JM1268" s="149"/>
      <c r="JN1268" s="149"/>
      <c r="JO1268" s="149"/>
      <c r="JP1268" s="149"/>
      <c r="JQ1268" s="149"/>
      <c r="JR1268" s="149"/>
      <c r="JS1268" s="149"/>
      <c r="JT1268" s="149"/>
      <c r="JU1268" s="149"/>
      <c r="JV1268" s="149"/>
      <c r="JW1268" s="149"/>
      <c r="JX1268" s="149"/>
      <c r="JY1268" s="149"/>
      <c r="JZ1268" s="149"/>
      <c r="KA1268" s="149"/>
      <c r="KB1268" s="149"/>
      <c r="KC1268" s="149"/>
      <c r="KD1268" s="149"/>
      <c r="KE1268" s="149"/>
      <c r="KF1268" s="149"/>
      <c r="KG1268" s="149"/>
      <c r="KH1268" s="149"/>
      <c r="KI1268" s="149"/>
      <c r="KJ1268" s="149"/>
      <c r="KK1268" s="149"/>
      <c r="KL1268" s="149"/>
      <c r="KM1268" s="149"/>
      <c r="KN1268" s="149"/>
      <c r="KO1268" s="149"/>
      <c r="KP1268" s="149"/>
      <c r="KQ1268" s="149"/>
      <c r="KR1268" s="149"/>
      <c r="KS1268" s="149"/>
      <c r="KT1268" s="149"/>
      <c r="KU1268" s="149"/>
      <c r="KV1268" s="149"/>
      <c r="KW1268" s="149"/>
      <c r="KX1268" s="149"/>
      <c r="KY1268" s="149"/>
      <c r="KZ1268" s="149"/>
      <c r="LA1268" s="149"/>
      <c r="LB1268" s="149"/>
      <c r="LC1268" s="149"/>
      <c r="LD1268" s="149"/>
      <c r="LE1268" s="149"/>
      <c r="LF1268" s="149"/>
      <c r="LG1268" s="149"/>
      <c r="LH1268" s="149"/>
      <c r="LI1268" s="149"/>
      <c r="LJ1268" s="149"/>
      <c r="LK1268" s="149"/>
      <c r="LL1268" s="149"/>
      <c r="LM1268" s="149"/>
      <c r="LN1268" s="149"/>
      <c r="LO1268" s="149"/>
      <c r="LP1268" s="149"/>
      <c r="LQ1268" s="149"/>
      <c r="LR1268" s="149"/>
      <c r="LS1268" s="149"/>
      <c r="LT1268" s="149"/>
      <c r="LU1268" s="149"/>
      <c r="LV1268" s="149"/>
      <c r="LW1268" s="149"/>
      <c r="LX1268" s="149"/>
      <c r="LY1268" s="149"/>
      <c r="LZ1268" s="149"/>
      <c r="MA1268" s="149"/>
      <c r="MB1268" s="149"/>
      <c r="MC1268" s="149"/>
      <c r="MD1268" s="149"/>
      <c r="ME1268" s="149"/>
      <c r="MF1268" s="149"/>
      <c r="MG1268" s="149"/>
      <c r="MH1268" s="149"/>
      <c r="MI1268" s="149"/>
      <c r="MJ1268" s="149"/>
      <c r="MK1268" s="149"/>
      <c r="ML1268" s="149"/>
      <c r="MM1268" s="149"/>
      <c r="MN1268" s="149"/>
      <c r="MO1268" s="149"/>
      <c r="MP1268" s="149"/>
      <c r="MQ1268" s="149"/>
      <c r="MR1268" s="149"/>
      <c r="MS1268" s="149"/>
      <c r="MT1268" s="149"/>
      <c r="MU1268" s="149"/>
      <c r="MV1268" s="149"/>
      <c r="MW1268" s="149"/>
      <c r="MX1268" s="149"/>
      <c r="MY1268" s="149"/>
      <c r="MZ1268" s="149"/>
      <c r="NA1268" s="149"/>
      <c r="NB1268" s="149"/>
      <c r="NC1268" s="149"/>
      <c r="ND1268" s="149"/>
      <c r="NE1268" s="149"/>
      <c r="NF1268" s="149"/>
      <c r="NG1268" s="149"/>
      <c r="NH1268" s="149"/>
      <c r="NI1268" s="149"/>
      <c r="NJ1268" s="149"/>
      <c r="NK1268" s="149"/>
      <c r="NL1268" s="149"/>
      <c r="NM1268" s="149"/>
      <c r="NN1268" s="149"/>
      <c r="NO1268" s="149"/>
      <c r="NP1268" s="149"/>
      <c r="NQ1268" s="149"/>
      <c r="NR1268" s="149"/>
      <c r="NS1268" s="149"/>
      <c r="NT1268" s="149"/>
      <c r="NU1268" s="149"/>
      <c r="NV1268" s="149"/>
      <c r="NW1268" s="149"/>
      <c r="NX1268" s="149"/>
      <c r="NY1268" s="149"/>
      <c r="NZ1268" s="149"/>
      <c r="OA1268" s="149"/>
      <c r="OB1268" s="149"/>
      <c r="OC1268" s="149"/>
      <c r="OD1268" s="149"/>
      <c r="OE1268" s="149"/>
      <c r="OF1268" s="149"/>
      <c r="OG1268" s="149"/>
      <c r="OH1268" s="149"/>
      <c r="OI1268" s="149"/>
      <c r="OJ1268" s="149"/>
      <c r="OK1268" s="149"/>
      <c r="OL1268" s="149"/>
      <c r="OM1268" s="149"/>
      <c r="ON1268" s="149"/>
      <c r="OO1268" s="149"/>
      <c r="OP1268" s="149"/>
      <c r="OQ1268" s="149"/>
      <c r="OR1268" s="149"/>
      <c r="OS1268" s="149"/>
      <c r="OT1268" s="149"/>
      <c r="OU1268" s="149"/>
      <c r="OV1268" s="149"/>
      <c r="OW1268" s="149"/>
      <c r="OX1268" s="149"/>
      <c r="OY1268" s="149"/>
      <c r="OZ1268" s="149"/>
      <c r="PA1268" s="149"/>
      <c r="PB1268" s="149"/>
      <c r="PC1268" s="149"/>
      <c r="PD1268" s="149"/>
      <c r="PE1268" s="149"/>
      <c r="PF1268" s="149"/>
      <c r="PG1268" s="149"/>
      <c r="PH1268" s="149"/>
      <c r="PI1268" s="149"/>
      <c r="PJ1268" s="149"/>
      <c r="PK1268" s="149"/>
      <c r="PL1268" s="149"/>
      <c r="PM1268" s="149"/>
      <c r="PN1268" s="149"/>
      <c r="PO1268" s="149"/>
      <c r="PP1268" s="149"/>
      <c r="PQ1268" s="149"/>
      <c r="PR1268" s="149"/>
      <c r="PS1268" s="149"/>
      <c r="PT1268" s="149"/>
      <c r="PU1268" s="149"/>
      <c r="PV1268" s="149"/>
      <c r="PW1268" s="149"/>
      <c r="PX1268" s="149"/>
      <c r="PY1268" s="149"/>
      <c r="PZ1268" s="149"/>
      <c r="QA1268" s="149"/>
      <c r="QB1268" s="149"/>
      <c r="QC1268" s="149"/>
      <c r="QD1268" s="149"/>
      <c r="QE1268" s="149"/>
      <c r="QF1268" s="149"/>
      <c r="QG1268" s="149"/>
      <c r="QH1268" s="149"/>
      <c r="QI1268" s="149"/>
      <c r="QJ1268" s="149"/>
      <c r="QK1268" s="149"/>
      <c r="QL1268" s="149"/>
      <c r="QM1268" s="149"/>
      <c r="QN1268" s="149"/>
      <c r="QO1268" s="149"/>
      <c r="QP1268" s="149"/>
      <c r="QQ1268" s="149"/>
      <c r="QR1268" s="149"/>
      <c r="QS1268" s="149"/>
      <c r="QT1268" s="149"/>
      <c r="QU1268" s="149"/>
      <c r="QV1268" s="149"/>
      <c r="QW1268" s="149"/>
      <c r="QX1268" s="149"/>
      <c r="QY1268" s="149"/>
      <c r="QZ1268" s="149"/>
      <c r="RA1268" s="149"/>
      <c r="RB1268" s="149"/>
      <c r="RC1268" s="149"/>
      <c r="RD1268" s="149"/>
      <c r="RE1268" s="149"/>
      <c r="RF1268" s="149"/>
      <c r="RG1268" s="149"/>
      <c r="RH1268" s="149"/>
      <c r="RI1268" s="149"/>
      <c r="RJ1268" s="149"/>
      <c r="RK1268" s="149"/>
      <c r="RL1268" s="149"/>
      <c r="RM1268" s="149"/>
      <c r="RN1268" s="149"/>
      <c r="RO1268" s="149"/>
      <c r="RP1268" s="149"/>
      <c r="RQ1268" s="149"/>
      <c r="RR1268" s="149"/>
      <c r="RS1268" s="149"/>
      <c r="RT1268" s="149"/>
      <c r="RU1268" s="149"/>
      <c r="RV1268" s="149"/>
      <c r="RW1268" s="149"/>
      <c r="RX1268" s="149"/>
      <c r="RY1268" s="149"/>
      <c r="RZ1268" s="149"/>
      <c r="SA1268" s="149"/>
      <c r="SB1268" s="149"/>
      <c r="SC1268" s="149"/>
      <c r="SD1268" s="149"/>
      <c r="SE1268" s="149"/>
      <c r="SF1268" s="149"/>
      <c r="SG1268" s="149"/>
      <c r="SH1268" s="149"/>
      <c r="SI1268" s="149"/>
      <c r="SJ1268" s="149"/>
      <c r="SK1268" s="149"/>
      <c r="SL1268" s="149"/>
      <c r="SM1268" s="149"/>
      <c r="SN1268" s="149"/>
      <c r="SO1268" s="149"/>
      <c r="SP1268" s="149"/>
      <c r="SQ1268" s="149"/>
      <c r="SR1268" s="149"/>
      <c r="SS1268" s="149"/>
      <c r="ST1268" s="149"/>
      <c r="SU1268" s="149"/>
      <c r="SV1268" s="149"/>
      <c r="SW1268" s="149"/>
      <c r="SX1268" s="149"/>
      <c r="SY1268" s="149"/>
      <c r="SZ1268" s="149"/>
      <c r="TA1268" s="149"/>
      <c r="TB1268" s="149"/>
      <c r="TC1268" s="149"/>
      <c r="TD1268" s="149"/>
      <c r="TE1268" s="149"/>
      <c r="TF1268" s="149"/>
      <c r="TG1268" s="149"/>
      <c r="TH1268" s="149"/>
      <c r="TI1268" s="149"/>
      <c r="TJ1268" s="149"/>
      <c r="TK1268" s="149"/>
      <c r="TL1268" s="149"/>
      <c r="TM1268" s="149"/>
      <c r="TN1268" s="149"/>
      <c r="TO1268" s="149"/>
      <c r="TP1268" s="149"/>
      <c r="TQ1268" s="149"/>
      <c r="TR1268" s="149"/>
      <c r="TS1268" s="149"/>
      <c r="TT1268" s="149"/>
      <c r="TU1268" s="149"/>
      <c r="TV1268" s="149"/>
      <c r="TW1268" s="149"/>
      <c r="TX1268" s="149"/>
      <c r="TY1268" s="149"/>
      <c r="TZ1268" s="149"/>
      <c r="UA1268" s="149"/>
      <c r="UB1268" s="149"/>
      <c r="UC1268" s="149"/>
      <c r="UD1268" s="149"/>
      <c r="UE1268" s="149"/>
      <c r="UF1268" s="149"/>
      <c r="UG1268" s="149"/>
      <c r="UH1268" s="149"/>
      <c r="UI1268" s="149"/>
      <c r="UJ1268" s="149"/>
      <c r="UK1268" s="149"/>
      <c r="UL1268" s="149"/>
      <c r="UM1268" s="149"/>
      <c r="UN1268" s="149"/>
      <c r="UO1268" s="149"/>
      <c r="UP1268" s="149"/>
      <c r="UQ1268" s="149"/>
      <c r="UR1268" s="149"/>
      <c r="US1268" s="149"/>
      <c r="UT1268" s="149"/>
      <c r="UU1268" s="149"/>
      <c r="UV1268" s="149"/>
      <c r="UW1268" s="149"/>
      <c r="UX1268" s="149"/>
      <c r="UY1268" s="149"/>
      <c r="UZ1268" s="149"/>
      <c r="VA1268" s="149"/>
      <c r="VB1268" s="149"/>
      <c r="VC1268" s="149"/>
      <c r="VD1268" s="149"/>
      <c r="VE1268" s="149"/>
      <c r="VF1268" s="149"/>
      <c r="VG1268" s="149"/>
      <c r="VH1268" s="149"/>
      <c r="VI1268" s="149"/>
      <c r="VJ1268" s="149"/>
      <c r="VK1268" s="149"/>
      <c r="VL1268" s="149"/>
      <c r="VM1268" s="149"/>
      <c r="VN1268" s="149"/>
      <c r="VO1268" s="149"/>
      <c r="VP1268" s="149"/>
      <c r="VQ1268" s="149"/>
      <c r="VR1268" s="149"/>
      <c r="VS1268" s="149"/>
      <c r="VT1268" s="149"/>
      <c r="VU1268" s="149"/>
      <c r="VV1268" s="149"/>
      <c r="VW1268" s="149"/>
      <c r="VX1268" s="149"/>
      <c r="VY1268" s="149"/>
      <c r="VZ1268" s="149"/>
      <c r="WA1268" s="149"/>
      <c r="WB1268" s="149"/>
      <c r="WC1268" s="149"/>
      <c r="WD1268" s="149"/>
      <c r="WE1268" s="149"/>
      <c r="WF1268" s="149"/>
      <c r="WG1268" s="149"/>
      <c r="WH1268" s="149"/>
      <c r="WI1268" s="149"/>
      <c r="WJ1268" s="149"/>
      <c r="WK1268" s="149"/>
      <c r="WL1268" s="149"/>
      <c r="WM1268" s="149"/>
      <c r="WN1268" s="149"/>
      <c r="WO1268" s="149"/>
      <c r="WP1268" s="149"/>
      <c r="WQ1268" s="149"/>
      <c r="WR1268" s="149"/>
      <c r="WS1268" s="149"/>
      <c r="WT1268" s="149"/>
      <c r="WU1268" s="149"/>
      <c r="WV1268" s="149"/>
      <c r="WW1268" s="149"/>
      <c r="WX1268" s="149"/>
      <c r="WY1268" s="149"/>
      <c r="WZ1268" s="149"/>
      <c r="XA1268" s="149"/>
      <c r="XB1268" s="149"/>
      <c r="XC1268" s="149"/>
      <c r="XD1268" s="149"/>
      <c r="XE1268" s="149"/>
      <c r="XF1268" s="149"/>
      <c r="XG1268" s="149"/>
      <c r="XH1268" s="149"/>
      <c r="XI1268" s="149"/>
      <c r="XJ1268" s="149"/>
      <c r="XK1268" s="149"/>
      <c r="XL1268" s="149"/>
      <c r="XM1268" s="149"/>
      <c r="XN1268" s="149"/>
      <c r="XO1268" s="149"/>
      <c r="XP1268" s="149"/>
      <c r="XQ1268" s="149"/>
      <c r="XR1268" s="149"/>
      <c r="XS1268" s="149"/>
      <c r="XT1268" s="149"/>
      <c r="XU1268" s="149"/>
      <c r="XV1268" s="149"/>
      <c r="XW1268" s="149"/>
      <c r="XX1268" s="149"/>
      <c r="XY1268" s="149"/>
      <c r="XZ1268" s="149"/>
      <c r="YA1268" s="149"/>
      <c r="YB1268" s="149"/>
      <c r="YC1268" s="149"/>
      <c r="YD1268" s="149"/>
      <c r="YE1268" s="149"/>
      <c r="YF1268" s="149"/>
      <c r="YG1268" s="149"/>
      <c r="YH1268" s="149"/>
      <c r="YI1268" s="149"/>
      <c r="YJ1268" s="149"/>
      <c r="YK1268" s="149"/>
      <c r="YL1268" s="149"/>
      <c r="YM1268" s="149"/>
      <c r="YN1268" s="149"/>
      <c r="YO1268" s="149"/>
      <c r="YP1268" s="149"/>
      <c r="YQ1268" s="149"/>
      <c r="YR1268" s="149"/>
      <c r="YS1268" s="149"/>
      <c r="YT1268" s="149"/>
      <c r="YU1268" s="149"/>
      <c r="YV1268" s="149"/>
      <c r="YW1268" s="149"/>
      <c r="YX1268" s="149"/>
      <c r="YY1268" s="149"/>
      <c r="YZ1268" s="149"/>
      <c r="ZA1268" s="149"/>
      <c r="ZB1268" s="149"/>
      <c r="ZC1268" s="149"/>
      <c r="ZD1268" s="149"/>
      <c r="ZE1268" s="149"/>
      <c r="ZF1268" s="149"/>
      <c r="ZG1268" s="149"/>
      <c r="ZH1268" s="149"/>
      <c r="ZI1268" s="149"/>
      <c r="ZJ1268" s="149"/>
      <c r="ZK1268" s="149"/>
      <c r="ZL1268" s="149"/>
      <c r="ZM1268" s="149"/>
      <c r="ZN1268" s="149"/>
      <c r="ZO1268" s="149"/>
      <c r="ZP1268" s="149"/>
      <c r="ZQ1268" s="149"/>
      <c r="ZR1268" s="149"/>
      <c r="ZS1268" s="149"/>
      <c r="ZT1268" s="149"/>
      <c r="ZU1268" s="149"/>
      <c r="ZV1268" s="149"/>
      <c r="ZW1268" s="149"/>
      <c r="ZX1268" s="149"/>
      <c r="ZY1268" s="149"/>
      <c r="ZZ1268" s="149"/>
      <c r="AAA1268" s="149"/>
      <c r="AAB1268" s="149"/>
      <c r="AAC1268" s="149"/>
      <c r="AAD1268" s="149"/>
      <c r="AAE1268" s="149"/>
      <c r="AAF1268" s="149"/>
      <c r="AAG1268" s="149"/>
      <c r="AAH1268" s="149"/>
      <c r="AAI1268" s="149"/>
      <c r="AAJ1268" s="149"/>
      <c r="AAK1268" s="149"/>
      <c r="AAL1268" s="149"/>
      <c r="AAM1268" s="149"/>
      <c r="AAN1268" s="149"/>
      <c r="AAO1268" s="149"/>
      <c r="AAP1268" s="149"/>
      <c r="AAQ1268" s="149"/>
      <c r="AAR1268" s="149"/>
      <c r="AAS1268" s="149"/>
      <c r="AAT1268" s="149"/>
      <c r="AAU1268" s="149"/>
      <c r="AAV1268" s="149"/>
      <c r="AAW1268" s="149"/>
      <c r="AAX1268" s="149"/>
      <c r="AAY1268" s="149"/>
      <c r="AAZ1268" s="149"/>
      <c r="ABA1268" s="149"/>
      <c r="ABB1268" s="149"/>
      <c r="ABC1268" s="149"/>
      <c r="ABD1268" s="149"/>
      <c r="ABE1268" s="149"/>
      <c r="ABF1268" s="149"/>
      <c r="ABG1268" s="149"/>
      <c r="ABH1268" s="149"/>
      <c r="ABI1268" s="149"/>
      <c r="ABJ1268" s="149"/>
      <c r="ABK1268" s="149"/>
      <c r="ABL1268" s="149"/>
      <c r="ABM1268" s="149"/>
      <c r="ABN1268" s="149"/>
      <c r="ABO1268" s="149"/>
      <c r="ABP1268" s="149"/>
      <c r="ABQ1268" s="149"/>
      <c r="ABR1268" s="149"/>
      <c r="ABS1268" s="149"/>
      <c r="ABT1268" s="149"/>
      <c r="ABU1268" s="149"/>
      <c r="ABV1268" s="149"/>
      <c r="ABW1268" s="149"/>
      <c r="ABX1268" s="149"/>
      <c r="ABY1268" s="149"/>
      <c r="ABZ1268" s="149"/>
      <c r="ACA1268" s="149"/>
      <c r="ACB1268" s="149"/>
      <c r="ACC1268" s="149"/>
      <c r="ACD1268" s="149"/>
      <c r="ACE1268" s="149"/>
      <c r="ACF1268" s="149"/>
      <c r="ACG1268" s="149"/>
      <c r="ACH1268" s="149"/>
      <c r="ACI1268" s="149"/>
      <c r="ACJ1268" s="149"/>
      <c r="ACK1268" s="149"/>
      <c r="ACL1268" s="149"/>
      <c r="ACM1268" s="149"/>
      <c r="ACN1268" s="149"/>
      <c r="ACO1268" s="149"/>
      <c r="ACP1268" s="149"/>
      <c r="ACQ1268" s="149"/>
      <c r="ACR1268" s="149"/>
      <c r="ACS1268" s="149"/>
      <c r="ACT1268" s="149"/>
      <c r="ACU1268" s="149"/>
      <c r="ACV1268" s="149"/>
      <c r="ACW1268" s="149"/>
      <c r="ACX1268" s="149"/>
      <c r="ACY1268" s="149"/>
      <c r="ACZ1268" s="149"/>
      <c r="ADA1268" s="149"/>
      <c r="ADB1268" s="149"/>
      <c r="ADC1268" s="149"/>
      <c r="ADD1268" s="149"/>
      <c r="ADE1268" s="149"/>
      <c r="ADF1268" s="149"/>
      <c r="ADG1268" s="149"/>
      <c r="ADH1268" s="149"/>
      <c r="ADI1268" s="149"/>
      <c r="ADJ1268" s="149"/>
      <c r="ADK1268" s="149"/>
      <c r="ADL1268" s="149"/>
      <c r="ADM1268" s="149"/>
      <c r="ADN1268" s="149"/>
      <c r="ADO1268" s="149"/>
      <c r="ADP1268" s="149"/>
      <c r="ADQ1268" s="149"/>
      <c r="ADR1268" s="149"/>
      <c r="ADS1268" s="149"/>
      <c r="ADT1268" s="149"/>
      <c r="ADU1268" s="149"/>
      <c r="ADV1268" s="149"/>
      <c r="ADW1268" s="149"/>
      <c r="ADX1268" s="149"/>
      <c r="ADY1268" s="149"/>
      <c r="ADZ1268" s="149"/>
      <c r="AEA1268" s="149"/>
      <c r="AEB1268" s="149"/>
      <c r="AEC1268" s="149"/>
      <c r="AED1268" s="149"/>
      <c r="AEE1268" s="149"/>
      <c r="AEF1268" s="149"/>
      <c r="AEG1268" s="149"/>
      <c r="AEH1268" s="149"/>
      <c r="AEI1268" s="149"/>
      <c r="AEJ1268" s="149"/>
      <c r="AEK1268" s="149"/>
      <c r="AEL1268" s="149"/>
      <c r="AEM1268" s="149"/>
      <c r="AEN1268" s="149"/>
      <c r="AEO1268" s="149"/>
      <c r="AEP1268" s="149"/>
      <c r="AEQ1268" s="149"/>
      <c r="AER1268" s="149"/>
      <c r="AES1268" s="149"/>
      <c r="AET1268" s="149"/>
      <c r="AEU1268" s="149"/>
      <c r="AEV1268" s="149"/>
      <c r="AEW1268" s="149"/>
      <c r="AEX1268" s="149"/>
      <c r="AEY1268" s="149"/>
      <c r="AEZ1268" s="149"/>
      <c r="AFA1268" s="149"/>
      <c r="AFB1268" s="149"/>
      <c r="AFC1268" s="149"/>
      <c r="AFD1268" s="149"/>
      <c r="AFE1268" s="149"/>
      <c r="AFF1268" s="149"/>
      <c r="AFG1268" s="149"/>
      <c r="AFH1268" s="149"/>
      <c r="AFI1268" s="149"/>
      <c r="AFJ1268" s="149"/>
      <c r="AFK1268" s="149"/>
      <c r="AFL1268" s="149"/>
      <c r="AFM1268" s="149"/>
      <c r="AFN1268" s="149"/>
      <c r="AFO1268" s="149"/>
      <c r="AFP1268" s="149"/>
      <c r="AFQ1268" s="149"/>
      <c r="AFR1268" s="149"/>
      <c r="AFS1268" s="149"/>
      <c r="AFT1268" s="149"/>
      <c r="AFU1268" s="149"/>
      <c r="AFV1268" s="149"/>
      <c r="AFW1268" s="149"/>
      <c r="AFX1268" s="149"/>
      <c r="AFY1268" s="149"/>
      <c r="AFZ1268" s="149"/>
      <c r="AGA1268" s="149"/>
      <c r="AGB1268" s="149"/>
      <c r="AGC1268" s="149"/>
      <c r="AGD1268" s="149"/>
      <c r="AGE1268" s="149"/>
      <c r="AGF1268" s="149"/>
      <c r="AGG1268" s="149"/>
      <c r="AGH1268" s="149"/>
      <c r="AGI1268" s="149"/>
      <c r="AGJ1268" s="149"/>
      <c r="AGK1268" s="149"/>
      <c r="AGL1268" s="149"/>
      <c r="AGM1268" s="149"/>
      <c r="AGN1268" s="149"/>
      <c r="AGO1268" s="149"/>
      <c r="AGP1268" s="149"/>
      <c r="AGQ1268" s="149"/>
      <c r="AGR1268" s="149"/>
      <c r="AGS1268" s="149"/>
      <c r="AGT1268" s="149"/>
      <c r="AGU1268" s="149"/>
      <c r="AGV1268" s="149"/>
      <c r="AGW1268" s="149"/>
      <c r="AGX1268" s="149"/>
      <c r="AGY1268" s="149"/>
      <c r="AGZ1268" s="149"/>
      <c r="AHA1268" s="149"/>
      <c r="AHB1268" s="149"/>
      <c r="AHC1268" s="149"/>
      <c r="AHD1268" s="149"/>
      <c r="AHE1268" s="149"/>
      <c r="AHF1268" s="149"/>
      <c r="AHG1268" s="149"/>
      <c r="AHH1268" s="149"/>
      <c r="AHI1268" s="149"/>
      <c r="AHJ1268" s="149"/>
      <c r="AHK1268" s="149"/>
      <c r="AHL1268" s="149"/>
      <c r="AHM1268" s="149"/>
      <c r="AHN1268" s="149"/>
      <c r="AHO1268" s="149"/>
      <c r="AHP1268" s="149"/>
      <c r="AHQ1268" s="149"/>
      <c r="AHR1268" s="149"/>
      <c r="AHS1268" s="149"/>
      <c r="AHT1268" s="149"/>
      <c r="AHU1268" s="149"/>
      <c r="AHV1268" s="149"/>
      <c r="AHW1268" s="149"/>
      <c r="AHX1268" s="149"/>
      <c r="AHY1268" s="149"/>
      <c r="AHZ1268" s="149"/>
      <c r="AIA1268" s="149"/>
      <c r="AIB1268" s="149"/>
      <c r="AIC1268" s="149"/>
      <c r="AID1268" s="149"/>
      <c r="AIE1268" s="149"/>
      <c r="AIF1268" s="149"/>
      <c r="AIG1268" s="149"/>
      <c r="AIH1268" s="149"/>
      <c r="AII1268" s="149"/>
      <c r="AIJ1268" s="149"/>
      <c r="AIK1268" s="149"/>
      <c r="AIL1268" s="149"/>
      <c r="AIM1268" s="149"/>
      <c r="AIN1268" s="149"/>
      <c r="AIO1268" s="149"/>
      <c r="AIP1268" s="149"/>
      <c r="AIQ1268" s="149"/>
      <c r="AIR1268" s="149"/>
      <c r="AIS1268" s="149"/>
      <c r="AIT1268" s="149"/>
      <c r="AIU1268" s="149"/>
      <c r="AIV1268" s="149"/>
      <c r="AIW1268" s="149"/>
      <c r="AIX1268" s="149"/>
      <c r="AIY1268" s="149"/>
      <c r="AIZ1268" s="149"/>
      <c r="AJA1268" s="149"/>
      <c r="AJB1268" s="149"/>
      <c r="AJC1268" s="149"/>
      <c r="AJD1268" s="149"/>
      <c r="AJE1268" s="149"/>
      <c r="AJF1268" s="149"/>
      <c r="AJG1268" s="149"/>
      <c r="AJH1268" s="149"/>
      <c r="AJI1268" s="149"/>
      <c r="AJJ1268" s="149"/>
      <c r="AJK1268" s="149"/>
      <c r="AJL1268" s="149"/>
      <c r="AJM1268" s="149"/>
      <c r="AJN1268" s="149"/>
      <c r="AJO1268" s="149"/>
      <c r="AJP1268" s="149"/>
      <c r="AJQ1268" s="149"/>
      <c r="AJR1268" s="149"/>
      <c r="AJS1268" s="149"/>
      <c r="AJT1268" s="149"/>
      <c r="AJU1268" s="149"/>
      <c r="AJV1268" s="149"/>
      <c r="AJW1268" s="149"/>
      <c r="AJX1268" s="149"/>
      <c r="AJY1268" s="149"/>
      <c r="AJZ1268" s="149"/>
      <c r="AKA1268" s="149"/>
      <c r="AKB1268" s="149"/>
      <c r="AKC1268" s="149"/>
      <c r="AKD1268" s="149"/>
      <c r="AKE1268" s="149"/>
      <c r="AKF1268" s="149"/>
      <c r="AKG1268" s="149"/>
      <c r="AKH1268" s="149"/>
      <c r="AKI1268" s="149"/>
      <c r="AKJ1268" s="149"/>
      <c r="AKK1268" s="149"/>
      <c r="AKL1268" s="149"/>
      <c r="AKM1268" s="149"/>
      <c r="AKN1268" s="149"/>
      <c r="AKO1268" s="149"/>
      <c r="AKP1268" s="149"/>
      <c r="AKQ1268" s="149"/>
      <c r="AKR1268" s="149"/>
      <c r="AKS1268" s="149"/>
      <c r="AKT1268" s="149"/>
      <c r="AKU1268" s="149"/>
      <c r="AKV1268" s="149"/>
      <c r="AKW1268" s="149"/>
      <c r="AKX1268" s="149"/>
      <c r="AKY1268" s="149"/>
      <c r="AKZ1268" s="149"/>
      <c r="ALA1268" s="149"/>
      <c r="ALB1268" s="149"/>
      <c r="ALC1268" s="149"/>
      <c r="ALD1268" s="149"/>
      <c r="ALE1268" s="149"/>
      <c r="ALF1268" s="149"/>
      <c r="ALG1268" s="149"/>
      <c r="ALH1268" s="149"/>
      <c r="ALI1268" s="149"/>
      <c r="ALJ1268" s="149"/>
      <c r="ALK1268" s="149"/>
      <c r="ALL1268" s="149"/>
      <c r="ALM1268" s="149"/>
      <c r="ALN1268" s="149"/>
      <c r="ALO1268" s="149"/>
      <c r="ALP1268" s="149"/>
      <c r="ALQ1268" s="149"/>
      <c r="ALR1268" s="149"/>
      <c r="ALS1268" s="149"/>
      <c r="ALT1268" s="149"/>
      <c r="ALU1268" s="149"/>
      <c r="ALV1268" s="149"/>
      <c r="ALW1268" s="149"/>
      <c r="ALX1268" s="149"/>
      <c r="ALY1268" s="149"/>
      <c r="ALZ1268" s="149"/>
      <c r="AMA1268" s="149"/>
      <c r="AMB1268" s="149"/>
      <c r="AMC1268" s="149"/>
      <c r="AMD1268" s="149"/>
      <c r="AME1268" s="149"/>
      <c r="AMF1268" s="149"/>
      <c r="AMG1268" s="149"/>
      <c r="AMH1268" s="149"/>
      <c r="AMI1268" s="149"/>
      <c r="AMJ1268" s="149"/>
      <c r="AMK1268" s="149"/>
      <c r="AML1268" s="149"/>
      <c r="AMM1268" s="149"/>
      <c r="AMN1268" s="149"/>
      <c r="AMO1268" s="149"/>
      <c r="AMP1268" s="149"/>
      <c r="AMQ1268" s="149"/>
      <c r="AMR1268" s="149"/>
      <c r="AMS1268" s="149"/>
      <c r="AMT1268" s="149"/>
      <c r="AMU1268" s="149"/>
      <c r="AMV1268" s="149"/>
      <c r="AMW1268" s="149"/>
      <c r="AMX1268" s="149"/>
      <c r="AMY1268" s="149"/>
      <c r="AMZ1268" s="149"/>
      <c r="ANA1268" s="149"/>
      <c r="ANB1268" s="149"/>
      <c r="ANC1268" s="149"/>
      <c r="AND1268" s="149"/>
      <c r="ANE1268" s="149"/>
      <c r="ANF1268" s="149"/>
      <c r="ANG1268" s="149"/>
      <c r="ANH1268" s="149"/>
      <c r="ANI1268" s="149"/>
      <c r="ANJ1268" s="149"/>
      <c r="ANK1268" s="149"/>
      <c r="ANL1268" s="149"/>
      <c r="ANM1268" s="149"/>
      <c r="ANN1268" s="149"/>
      <c r="ANO1268" s="149"/>
      <c r="ANP1268" s="149"/>
      <c r="ANQ1268" s="149"/>
      <c r="ANR1268" s="149"/>
      <c r="ANS1268" s="149"/>
      <c r="ANT1268" s="149"/>
      <c r="ANU1268" s="149"/>
      <c r="ANV1268" s="149"/>
      <c r="ANW1268" s="149"/>
      <c r="ANX1268" s="149"/>
      <c r="ANY1268" s="149"/>
      <c r="ANZ1268" s="149"/>
      <c r="AOA1268" s="149"/>
      <c r="AOB1268" s="149"/>
      <c r="AOC1268" s="149"/>
      <c r="AOD1268" s="149"/>
      <c r="AOE1268" s="149"/>
      <c r="AOF1268" s="149"/>
      <c r="AOG1268" s="149"/>
      <c r="AOH1268" s="149"/>
      <c r="AOI1268" s="149"/>
      <c r="AOJ1268" s="149"/>
      <c r="AOK1268" s="149"/>
      <c r="AOL1268" s="149"/>
      <c r="AOM1268" s="149"/>
      <c r="AON1268" s="149"/>
      <c r="AOO1268" s="149"/>
      <c r="AOP1268" s="149"/>
      <c r="AOQ1268" s="149"/>
      <c r="AOR1268" s="149"/>
      <c r="AOS1268" s="149"/>
      <c r="AOT1268" s="149"/>
      <c r="AOU1268" s="149"/>
      <c r="AOV1268" s="149"/>
      <c r="AOW1268" s="149"/>
      <c r="AOX1268" s="149"/>
      <c r="AOY1268" s="149"/>
      <c r="AOZ1268" s="149"/>
      <c r="APA1268" s="149"/>
      <c r="APB1268" s="149"/>
      <c r="APC1268" s="149"/>
      <c r="APD1268" s="149"/>
      <c r="APE1268" s="149"/>
      <c r="APF1268" s="149"/>
      <c r="APG1268" s="149"/>
      <c r="APH1268" s="149"/>
      <c r="API1268" s="149"/>
      <c r="APJ1268" s="149"/>
      <c r="APK1268" s="149"/>
      <c r="APL1268" s="149"/>
      <c r="APM1268" s="149"/>
      <c r="APN1268" s="149"/>
      <c r="APO1268" s="149"/>
      <c r="APP1268" s="149"/>
      <c r="APQ1268" s="149"/>
      <c r="APR1268" s="149"/>
      <c r="APS1268" s="149"/>
      <c r="APT1268" s="149"/>
      <c r="APU1268" s="149"/>
      <c r="APV1268" s="149"/>
      <c r="APW1268" s="149"/>
      <c r="APX1268" s="149"/>
      <c r="APY1268" s="149"/>
      <c r="APZ1268" s="149"/>
      <c r="AQA1268" s="149"/>
      <c r="AQB1268" s="149"/>
      <c r="AQC1268" s="149"/>
      <c r="AQD1268" s="149"/>
      <c r="AQE1268" s="149"/>
      <c r="AQF1268" s="149"/>
      <c r="AQG1268" s="149"/>
      <c r="AQH1268" s="149"/>
      <c r="AQI1268" s="149"/>
      <c r="AQJ1268" s="149"/>
      <c r="AQK1268" s="149"/>
      <c r="AQL1268" s="149"/>
      <c r="AQM1268" s="149"/>
      <c r="AQN1268" s="149"/>
      <c r="AQO1268" s="149"/>
      <c r="AQP1268" s="149"/>
      <c r="AQQ1268" s="149"/>
      <c r="AQR1268" s="149"/>
      <c r="AQS1268" s="149"/>
      <c r="AQT1268" s="149"/>
      <c r="AQU1268" s="149"/>
      <c r="AQV1268" s="149"/>
      <c r="AQW1268" s="149"/>
      <c r="AQX1268" s="149"/>
      <c r="AQY1268" s="149"/>
      <c r="AQZ1268" s="149"/>
      <c r="ARA1268" s="149"/>
      <c r="ARB1268" s="149"/>
      <c r="ARC1268" s="149"/>
      <c r="ARD1268" s="149"/>
      <c r="ARE1268" s="149"/>
      <c r="ARF1268" s="149"/>
      <c r="ARG1268" s="149"/>
      <c r="ARH1268" s="149"/>
      <c r="ARI1268" s="149"/>
      <c r="ARJ1268" s="149"/>
      <c r="ARK1268" s="149"/>
      <c r="ARL1268" s="149"/>
      <c r="ARM1268" s="149"/>
      <c r="ARN1268" s="149"/>
      <c r="ARO1268" s="149"/>
      <c r="ARP1268" s="149"/>
      <c r="ARQ1268" s="149"/>
      <c r="ARR1268" s="149"/>
      <c r="ARS1268" s="149"/>
      <c r="ART1268" s="149"/>
      <c r="ARU1268" s="149"/>
      <c r="ARV1268" s="149"/>
      <c r="ARW1268" s="149"/>
      <c r="ARX1268" s="149"/>
      <c r="ARY1268" s="149"/>
      <c r="ARZ1268" s="149"/>
      <c r="ASA1268" s="149"/>
      <c r="ASB1268" s="149"/>
      <c r="ASC1268" s="149"/>
      <c r="ASD1268" s="149"/>
      <c r="ASE1268" s="149"/>
      <c r="ASF1268" s="149"/>
      <c r="ASG1268" s="149"/>
      <c r="ASH1268" s="149"/>
      <c r="ASI1268" s="149"/>
      <c r="ASJ1268" s="149"/>
      <c r="ASK1268" s="149"/>
      <c r="ASL1268" s="149"/>
      <c r="ASM1268" s="149"/>
      <c r="ASN1268" s="149"/>
      <c r="ASO1268" s="149"/>
      <c r="ASP1268" s="149"/>
      <c r="ASQ1268" s="149"/>
      <c r="ASR1268" s="149"/>
      <c r="ASS1268" s="149"/>
      <c r="AST1268" s="149"/>
      <c r="ASU1268" s="149"/>
      <c r="ASV1268" s="149"/>
      <c r="ASW1268" s="149"/>
      <c r="ASX1268" s="149"/>
      <c r="ASY1268" s="149"/>
      <c r="ASZ1268" s="149"/>
      <c r="ATA1268" s="149"/>
      <c r="ATB1268" s="149"/>
      <c r="ATC1268" s="149"/>
      <c r="ATD1268" s="149"/>
      <c r="ATE1268" s="149"/>
      <c r="ATF1268" s="149"/>
      <c r="ATG1268" s="149"/>
      <c r="ATH1268" s="149"/>
      <c r="ATI1268" s="149"/>
      <c r="ATJ1268" s="149"/>
      <c r="ATK1268" s="149"/>
      <c r="ATL1268" s="149"/>
      <c r="ATM1268" s="149"/>
      <c r="ATN1268" s="149"/>
      <c r="ATO1268" s="149"/>
      <c r="ATP1268" s="149"/>
      <c r="ATQ1268" s="149"/>
      <c r="ATR1268" s="149"/>
      <c r="ATS1268" s="149"/>
      <c r="ATT1268" s="149"/>
      <c r="ATU1268" s="149"/>
      <c r="ATV1268" s="149"/>
      <c r="ATW1268" s="149"/>
      <c r="ATX1268" s="149"/>
      <c r="ATY1268" s="149"/>
      <c r="ATZ1268" s="149"/>
      <c r="AUA1268" s="149"/>
      <c r="AUB1268" s="149"/>
      <c r="AUC1268" s="149"/>
      <c r="AUD1268" s="149"/>
      <c r="AUE1268" s="149"/>
      <c r="AUF1268" s="149"/>
      <c r="AUG1268" s="149"/>
      <c r="AUH1268" s="149"/>
      <c r="AUI1268" s="149"/>
      <c r="AUJ1268" s="149"/>
      <c r="AUK1268" s="149"/>
      <c r="AUL1268" s="149"/>
      <c r="AUM1268" s="149"/>
      <c r="AUN1268" s="149"/>
      <c r="AUO1268" s="149"/>
      <c r="AUP1268" s="149"/>
      <c r="AUQ1268" s="149"/>
      <c r="AUR1268" s="149"/>
      <c r="AUS1268" s="149"/>
      <c r="AUT1268" s="149"/>
      <c r="AUU1268" s="149"/>
      <c r="AUV1268" s="149"/>
      <c r="AUW1268" s="149"/>
      <c r="AUX1268" s="149"/>
      <c r="AUY1268" s="149"/>
      <c r="AUZ1268" s="149"/>
      <c r="AVA1268" s="149"/>
      <c r="AVB1268" s="149"/>
      <c r="AVC1268" s="149"/>
      <c r="AVD1268" s="149"/>
      <c r="AVE1268" s="149"/>
      <c r="AVF1268" s="149"/>
      <c r="AVG1268" s="149"/>
      <c r="AVH1268" s="149"/>
      <c r="AVI1268" s="149"/>
      <c r="AVJ1268" s="149"/>
      <c r="AVK1268" s="149"/>
      <c r="AVL1268" s="149"/>
      <c r="AVM1268" s="149"/>
      <c r="AVN1268" s="149"/>
      <c r="AVO1268" s="149"/>
      <c r="AVP1268" s="149"/>
      <c r="AVQ1268" s="149"/>
      <c r="AVR1268" s="149"/>
      <c r="AVS1268" s="149"/>
      <c r="AVT1268" s="149"/>
      <c r="AVU1268" s="149"/>
      <c r="AVV1268" s="149"/>
      <c r="AVW1268" s="149"/>
      <c r="AVX1268" s="149"/>
      <c r="AVY1268" s="149"/>
      <c r="AVZ1268" s="149"/>
      <c r="AWA1268" s="149"/>
      <c r="AWB1268" s="149"/>
      <c r="AWC1268" s="149"/>
      <c r="AWD1268" s="149"/>
      <c r="AWE1268" s="149"/>
      <c r="AWF1268" s="149"/>
      <c r="AWG1268" s="149"/>
      <c r="AWH1268" s="149"/>
      <c r="AWI1268" s="149"/>
      <c r="AWJ1268" s="149"/>
      <c r="AWK1268" s="149"/>
      <c r="AWL1268" s="149"/>
      <c r="AWM1268" s="149"/>
      <c r="AWN1268" s="149"/>
      <c r="AWO1268" s="149"/>
      <c r="AWP1268" s="149"/>
      <c r="AWQ1268" s="149"/>
      <c r="AWR1268" s="149"/>
      <c r="AWS1268" s="149"/>
      <c r="AWT1268" s="149"/>
      <c r="AWU1268" s="149"/>
      <c r="AWV1268" s="149"/>
      <c r="AWW1268" s="149"/>
      <c r="AWX1268" s="149"/>
      <c r="AWY1268" s="149"/>
      <c r="AWZ1268" s="149"/>
      <c r="AXA1268" s="149"/>
      <c r="AXB1268" s="149"/>
      <c r="AXC1268" s="149"/>
      <c r="AXD1268" s="149"/>
      <c r="AXE1268" s="149"/>
      <c r="AXF1268" s="149"/>
      <c r="AXG1268" s="149"/>
      <c r="AXH1268" s="149"/>
      <c r="AXI1268" s="149"/>
      <c r="AXJ1268" s="149"/>
      <c r="AXK1268" s="149"/>
      <c r="AXL1268" s="149"/>
      <c r="AXM1268" s="149"/>
      <c r="AXN1268" s="149"/>
      <c r="AXO1268" s="149"/>
      <c r="AXP1268" s="149"/>
      <c r="AXQ1268" s="149"/>
      <c r="AXR1268" s="149"/>
      <c r="AXS1268" s="149"/>
      <c r="AXT1268" s="149"/>
      <c r="AXU1268" s="149"/>
      <c r="AXV1268" s="149"/>
      <c r="AXW1268" s="149"/>
      <c r="AXX1268" s="149"/>
      <c r="AXY1268" s="149"/>
      <c r="AXZ1268" s="149"/>
      <c r="AYA1268" s="149"/>
      <c r="AYB1268" s="149"/>
      <c r="AYC1268" s="149"/>
      <c r="AYD1268" s="149"/>
      <c r="AYE1268" s="149"/>
      <c r="AYF1268" s="149"/>
      <c r="AYG1268" s="149"/>
      <c r="AYH1268" s="149"/>
      <c r="AYI1268" s="149"/>
      <c r="AYJ1268" s="149"/>
      <c r="AYK1268" s="149"/>
      <c r="AYL1268" s="149"/>
      <c r="AYM1268" s="149"/>
      <c r="AYN1268" s="149"/>
      <c r="AYO1268" s="149"/>
      <c r="AYP1268" s="149"/>
      <c r="AYQ1268" s="149"/>
      <c r="AYR1268" s="149"/>
      <c r="AYS1268" s="149"/>
      <c r="AYT1268" s="149"/>
      <c r="AYU1268" s="149"/>
      <c r="AYV1268" s="149"/>
      <c r="AYW1268" s="149"/>
      <c r="AYX1268" s="149"/>
      <c r="AYY1268" s="149"/>
      <c r="AYZ1268" s="149"/>
      <c r="AZA1268" s="149"/>
      <c r="AZB1268" s="149"/>
      <c r="AZC1268" s="149"/>
      <c r="AZD1268" s="149"/>
      <c r="AZE1268" s="149"/>
      <c r="AZF1268" s="149"/>
      <c r="AZG1268" s="149"/>
      <c r="AZH1268" s="149"/>
      <c r="AZI1268" s="149"/>
      <c r="AZJ1268" s="149"/>
      <c r="AZK1268" s="149"/>
      <c r="AZL1268" s="149"/>
      <c r="AZM1268" s="149"/>
      <c r="AZN1268" s="149"/>
      <c r="AZO1268" s="149"/>
      <c r="AZP1268" s="149"/>
      <c r="AZQ1268" s="149"/>
      <c r="AZR1268" s="149"/>
      <c r="AZS1268" s="149"/>
      <c r="AZT1268" s="149"/>
      <c r="AZU1268" s="149"/>
      <c r="AZV1268" s="149"/>
      <c r="AZW1268" s="149"/>
      <c r="AZX1268" s="149"/>
      <c r="AZY1268" s="149"/>
      <c r="AZZ1268" s="149"/>
      <c r="BAA1268" s="149"/>
      <c r="BAB1268" s="149"/>
      <c r="BAC1268" s="149"/>
      <c r="BAD1268" s="149"/>
      <c r="BAE1268" s="149"/>
      <c r="BAF1268" s="149"/>
      <c r="BAG1268" s="149"/>
      <c r="BAH1268" s="149"/>
      <c r="BAI1268" s="149"/>
      <c r="BAJ1268" s="149"/>
      <c r="BAK1268" s="149"/>
      <c r="BAL1268" s="149"/>
      <c r="BAM1268" s="149"/>
      <c r="BAN1268" s="149"/>
      <c r="BAO1268" s="149"/>
      <c r="BAP1268" s="149"/>
      <c r="BAQ1268" s="149"/>
      <c r="BAR1268" s="149"/>
      <c r="BAS1268" s="149"/>
      <c r="BAT1268" s="149"/>
      <c r="BAU1268" s="149"/>
      <c r="BAV1268" s="149"/>
      <c r="BAW1268" s="149"/>
      <c r="BAX1268" s="149"/>
      <c r="BAY1268" s="149"/>
      <c r="BAZ1268" s="149"/>
      <c r="BBA1268" s="149"/>
      <c r="BBB1268" s="149"/>
      <c r="BBC1268" s="149"/>
      <c r="BBD1268" s="149"/>
      <c r="BBE1268" s="149"/>
      <c r="BBF1268" s="149"/>
      <c r="BBG1268" s="149"/>
      <c r="BBH1268" s="149"/>
      <c r="BBI1268" s="149"/>
      <c r="BBJ1268" s="149"/>
      <c r="BBK1268" s="149"/>
      <c r="BBL1268" s="149"/>
      <c r="BBM1268" s="149"/>
      <c r="BBN1268" s="149"/>
      <c r="BBO1268" s="149"/>
      <c r="BBP1268" s="149"/>
      <c r="BBQ1268" s="149"/>
      <c r="BBR1268" s="149"/>
      <c r="BBS1268" s="149"/>
      <c r="BBT1268" s="149"/>
      <c r="BBU1268" s="149"/>
      <c r="BBV1268" s="149"/>
      <c r="BBW1268" s="149"/>
      <c r="BBX1268" s="149"/>
      <c r="BBY1268" s="149"/>
      <c r="BBZ1268" s="149"/>
      <c r="BCA1268" s="149"/>
      <c r="BCB1268" s="149"/>
      <c r="BCC1268" s="149"/>
      <c r="BCD1268" s="149"/>
      <c r="BCE1268" s="149"/>
      <c r="BCF1268" s="149"/>
      <c r="BCG1268" s="149"/>
      <c r="BCH1268" s="149"/>
      <c r="BCI1268" s="149"/>
      <c r="BCJ1268" s="149"/>
      <c r="BCK1268" s="149"/>
      <c r="BCL1268" s="149"/>
      <c r="BCM1268" s="149"/>
      <c r="BCN1268" s="149"/>
      <c r="BCO1268" s="149"/>
      <c r="BCP1268" s="149"/>
      <c r="BCQ1268" s="149"/>
      <c r="BCR1268" s="149"/>
      <c r="BCS1268" s="149"/>
      <c r="BCT1268" s="149"/>
      <c r="BCU1268" s="149"/>
      <c r="BCV1268" s="149"/>
      <c r="BCW1268" s="149"/>
      <c r="BCX1268" s="149"/>
      <c r="BCY1268" s="149"/>
      <c r="BCZ1268" s="149"/>
      <c r="BDA1268" s="149"/>
      <c r="BDB1268" s="149"/>
      <c r="BDC1268" s="149"/>
      <c r="BDD1268" s="149"/>
      <c r="BDE1268" s="149"/>
      <c r="BDF1268" s="149"/>
      <c r="BDG1268" s="149"/>
      <c r="BDH1268" s="149"/>
      <c r="BDI1268" s="149"/>
      <c r="BDJ1268" s="149"/>
      <c r="BDK1268" s="149"/>
      <c r="BDL1268" s="149"/>
      <c r="BDM1268" s="149"/>
      <c r="BDN1268" s="149"/>
      <c r="BDO1268" s="149"/>
      <c r="BDP1268" s="149"/>
      <c r="BDQ1268" s="149"/>
      <c r="BDR1268" s="149"/>
      <c r="BDS1268" s="149"/>
      <c r="BDT1268" s="149"/>
      <c r="BDU1268" s="149"/>
      <c r="BDV1268" s="149"/>
      <c r="BDW1268" s="149"/>
      <c r="BDX1268" s="149"/>
      <c r="BDY1268" s="149"/>
      <c r="BDZ1268" s="149"/>
      <c r="BEA1268" s="149"/>
      <c r="BEB1268" s="149"/>
      <c r="BEC1268" s="149"/>
      <c r="BED1268" s="149"/>
      <c r="BEE1268" s="149"/>
      <c r="BEF1268" s="149"/>
      <c r="BEG1268" s="149"/>
      <c r="BEH1268" s="149"/>
      <c r="BEI1268" s="149"/>
      <c r="BEJ1268" s="149"/>
      <c r="BEK1268" s="149"/>
      <c r="BEL1268" s="149"/>
      <c r="BEM1268" s="149"/>
      <c r="BEN1268" s="149"/>
      <c r="BEO1268" s="149"/>
      <c r="BEP1268" s="149"/>
      <c r="BEQ1268" s="149"/>
      <c r="BER1268" s="149"/>
      <c r="BES1268" s="149"/>
      <c r="BET1268" s="149"/>
      <c r="BEU1268" s="149"/>
      <c r="BEV1268" s="149"/>
      <c r="BEW1268" s="149"/>
      <c r="BEX1268" s="149"/>
      <c r="BEY1268" s="149"/>
      <c r="BEZ1268" s="149"/>
      <c r="BFA1268" s="149"/>
      <c r="BFB1268" s="149"/>
      <c r="BFC1268" s="149"/>
      <c r="BFD1268" s="149"/>
      <c r="BFE1268" s="149"/>
      <c r="BFF1268" s="149"/>
      <c r="BFG1268" s="149"/>
      <c r="BFH1268" s="149"/>
      <c r="BFI1268" s="149"/>
      <c r="BFJ1268" s="149"/>
      <c r="BFK1268" s="149"/>
      <c r="BFL1268" s="149"/>
      <c r="BFM1268" s="149"/>
      <c r="BFN1268" s="149"/>
      <c r="BFO1268" s="149"/>
      <c r="BFP1268" s="149"/>
      <c r="BFQ1268" s="149"/>
      <c r="BFR1268" s="149"/>
      <c r="BFS1268" s="149"/>
      <c r="BFT1268" s="149"/>
      <c r="BFU1268" s="149"/>
      <c r="BFV1268" s="149"/>
      <c r="BFW1268" s="149"/>
      <c r="BFX1268" s="149"/>
      <c r="BFY1268" s="149"/>
      <c r="BFZ1268" s="149"/>
      <c r="BGA1268" s="149"/>
      <c r="BGB1268" s="149"/>
      <c r="BGC1268" s="149"/>
      <c r="BGD1268" s="149"/>
      <c r="BGE1268" s="149"/>
      <c r="BGF1268" s="149"/>
      <c r="BGG1268" s="149"/>
      <c r="BGH1268" s="149"/>
      <c r="BGI1268" s="149"/>
      <c r="BGJ1268" s="149"/>
      <c r="BGK1268" s="149"/>
      <c r="BGL1268" s="149"/>
      <c r="BGM1268" s="149"/>
      <c r="BGN1268" s="149"/>
      <c r="BGO1268" s="149"/>
      <c r="BGP1268" s="149"/>
      <c r="BGQ1268" s="149"/>
      <c r="BGR1268" s="149"/>
      <c r="BGS1268" s="149"/>
      <c r="BGT1268" s="149"/>
      <c r="BGU1268" s="149"/>
      <c r="BGV1268" s="149"/>
      <c r="BGW1268" s="149"/>
      <c r="BGX1268" s="149"/>
      <c r="BGY1268" s="149"/>
      <c r="BGZ1268" s="149"/>
      <c r="BHA1268" s="149"/>
      <c r="BHB1268" s="149"/>
      <c r="BHC1268" s="149"/>
      <c r="BHD1268" s="149"/>
      <c r="BHE1268" s="149"/>
      <c r="BHF1268" s="149"/>
      <c r="BHG1268" s="149"/>
      <c r="BHH1268" s="149"/>
      <c r="BHI1268" s="149"/>
      <c r="BHJ1268" s="149"/>
      <c r="BHK1268" s="149"/>
      <c r="BHL1268" s="149"/>
      <c r="BHM1268" s="149"/>
      <c r="BHN1268" s="149"/>
      <c r="BHO1268" s="149"/>
      <c r="BHP1268" s="149"/>
      <c r="BHQ1268" s="149"/>
      <c r="BHR1268" s="149"/>
      <c r="BHS1268" s="149"/>
      <c r="BHT1268" s="149"/>
      <c r="BHU1268" s="149"/>
      <c r="BHV1268" s="149"/>
      <c r="BHW1268" s="149"/>
      <c r="BHX1268" s="149"/>
      <c r="BHY1268" s="149"/>
      <c r="BHZ1268" s="149"/>
      <c r="BIA1268" s="149"/>
      <c r="BIB1268" s="149"/>
      <c r="BIC1268" s="149"/>
      <c r="BID1268" s="149"/>
      <c r="BIE1268" s="149"/>
      <c r="BIF1268" s="149"/>
      <c r="BIG1268" s="149"/>
      <c r="BIH1268" s="149"/>
      <c r="BII1268" s="149"/>
      <c r="BIJ1268" s="149"/>
      <c r="BIK1268" s="149"/>
      <c r="BIL1268" s="149"/>
      <c r="BIM1268" s="149"/>
      <c r="BIN1268" s="149"/>
      <c r="BIO1268" s="149"/>
      <c r="BIP1268" s="149"/>
      <c r="BIQ1268" s="149"/>
      <c r="BIR1268" s="149"/>
      <c r="BIS1268" s="149"/>
      <c r="BIT1268" s="149"/>
      <c r="BIU1268" s="149"/>
      <c r="BIV1268" s="149"/>
      <c r="BIW1268" s="149"/>
      <c r="BIX1268" s="149"/>
      <c r="BIY1268" s="149"/>
      <c r="BIZ1268" s="149"/>
      <c r="BJA1268" s="149"/>
      <c r="BJB1268" s="149"/>
      <c r="BJC1268" s="149"/>
      <c r="BJD1268" s="149"/>
      <c r="BJE1268" s="149"/>
      <c r="BJF1268" s="149"/>
      <c r="BJG1268" s="149"/>
      <c r="BJH1268" s="149"/>
      <c r="BJI1268" s="149"/>
      <c r="BJJ1268" s="149"/>
      <c r="BJK1268" s="149"/>
      <c r="BJL1268" s="149"/>
      <c r="BJM1268" s="149"/>
      <c r="BJN1268" s="149"/>
      <c r="BJO1268" s="149"/>
      <c r="BJP1268" s="149"/>
      <c r="BJQ1268" s="149"/>
      <c r="BJR1268" s="149"/>
      <c r="BJS1268" s="149"/>
      <c r="BJT1268" s="149"/>
      <c r="BJU1268" s="149"/>
      <c r="BJV1268" s="149"/>
      <c r="BJW1268" s="149"/>
      <c r="BJX1268" s="149"/>
      <c r="BJY1268" s="149"/>
      <c r="BJZ1268" s="149"/>
      <c r="BKA1268" s="149"/>
      <c r="BKB1268" s="149"/>
      <c r="BKC1268" s="149"/>
      <c r="BKD1268" s="149"/>
      <c r="BKE1268" s="149"/>
      <c r="BKF1268" s="149"/>
      <c r="BKG1268" s="149"/>
      <c r="BKH1268" s="149"/>
      <c r="BKI1268" s="149"/>
      <c r="BKJ1268" s="149"/>
      <c r="BKK1268" s="149"/>
      <c r="BKL1268" s="149"/>
      <c r="BKM1268" s="149"/>
      <c r="BKN1268" s="149"/>
      <c r="BKO1268" s="149"/>
      <c r="BKP1268" s="149"/>
      <c r="BKQ1268" s="149"/>
      <c r="BKR1268" s="149"/>
      <c r="BKS1268" s="149"/>
      <c r="BKT1268" s="149"/>
      <c r="BKU1268" s="149"/>
      <c r="BKV1268" s="149"/>
      <c r="BKW1268" s="149"/>
      <c r="BKX1268" s="149"/>
      <c r="BKY1268" s="149"/>
      <c r="BKZ1268" s="149"/>
      <c r="BLA1268" s="149"/>
      <c r="BLB1268" s="149"/>
      <c r="BLC1268" s="149"/>
      <c r="BLD1268" s="149"/>
      <c r="BLE1268" s="149"/>
      <c r="BLF1268" s="149"/>
      <c r="BLG1268" s="149"/>
      <c r="BLH1268" s="149"/>
      <c r="BLI1268" s="149"/>
      <c r="BLJ1268" s="149"/>
      <c r="BLK1268" s="149"/>
      <c r="BLL1268" s="149"/>
      <c r="BLM1268" s="149"/>
      <c r="BLN1268" s="149"/>
      <c r="BLO1268" s="149"/>
      <c r="BLP1268" s="149"/>
      <c r="BLQ1268" s="149"/>
      <c r="BLR1268" s="149"/>
      <c r="BLS1268" s="149"/>
      <c r="BLT1268" s="149"/>
      <c r="BLU1268" s="149"/>
      <c r="BLV1268" s="149"/>
      <c r="BLW1268" s="149"/>
      <c r="BLX1268" s="149"/>
      <c r="BLY1268" s="149"/>
      <c r="BLZ1268" s="149"/>
      <c r="BMA1268" s="149"/>
      <c r="BMB1268" s="149"/>
      <c r="BMC1268" s="149"/>
      <c r="BMD1268" s="149"/>
      <c r="BME1268" s="149"/>
      <c r="BMF1268" s="149"/>
      <c r="BMG1268" s="149"/>
      <c r="BMH1268" s="149"/>
      <c r="BMI1268" s="149"/>
      <c r="BMJ1268" s="149"/>
      <c r="BMK1268" s="149"/>
      <c r="BML1268" s="149"/>
      <c r="BMM1268" s="149"/>
      <c r="BMN1268" s="149"/>
      <c r="BMO1268" s="149"/>
      <c r="BMP1268" s="149"/>
      <c r="BMQ1268" s="149"/>
      <c r="BMR1268" s="149"/>
      <c r="BMS1268" s="149"/>
      <c r="BMT1268" s="149"/>
      <c r="BMU1268" s="149"/>
      <c r="BMV1268" s="149"/>
      <c r="BMW1268" s="149"/>
      <c r="BMX1268" s="149"/>
      <c r="BMY1268" s="149"/>
      <c r="BMZ1268" s="149"/>
      <c r="BNA1268" s="149"/>
      <c r="BNB1268" s="149"/>
      <c r="BNC1268" s="149"/>
      <c r="BND1268" s="149"/>
      <c r="BNE1268" s="149"/>
      <c r="BNF1268" s="149"/>
      <c r="BNG1268" s="149"/>
      <c r="BNH1268" s="149"/>
      <c r="BNI1268" s="149"/>
      <c r="BNJ1268" s="149"/>
      <c r="BNK1268" s="149"/>
      <c r="BNL1268" s="149"/>
      <c r="BNM1268" s="149"/>
      <c r="BNN1268" s="149"/>
      <c r="BNO1268" s="149"/>
      <c r="BNP1268" s="149"/>
      <c r="BNQ1268" s="149"/>
      <c r="BNR1268" s="149"/>
      <c r="BNS1268" s="149"/>
      <c r="BNT1268" s="149"/>
      <c r="BNU1268" s="149"/>
      <c r="BNV1268" s="149"/>
      <c r="BNW1268" s="149"/>
      <c r="BNX1268" s="149"/>
      <c r="BNY1268" s="149"/>
      <c r="BNZ1268" s="149"/>
      <c r="BOA1268" s="149"/>
      <c r="BOB1268" s="149"/>
      <c r="BOC1268" s="149"/>
      <c r="BOD1268" s="149"/>
      <c r="BOE1268" s="149"/>
      <c r="BOF1268" s="149"/>
      <c r="BOG1268" s="149"/>
      <c r="BOH1268" s="149"/>
      <c r="BOI1268" s="149"/>
      <c r="BOJ1268" s="149"/>
      <c r="BOK1268" s="149"/>
      <c r="BOL1268" s="149"/>
      <c r="BOM1268" s="149"/>
      <c r="BON1268" s="149"/>
      <c r="BOO1268" s="149"/>
      <c r="BOP1268" s="149"/>
      <c r="BOQ1268" s="149"/>
      <c r="BOR1268" s="149"/>
      <c r="BOS1268" s="149"/>
      <c r="BOT1268" s="149"/>
      <c r="BOU1268" s="149"/>
      <c r="BOV1268" s="149"/>
      <c r="BOW1268" s="149"/>
      <c r="BOX1268" s="149"/>
      <c r="BOY1268" s="149"/>
      <c r="BOZ1268" s="149"/>
      <c r="BPA1268" s="149"/>
      <c r="BPB1268" s="149"/>
      <c r="BPC1268" s="149"/>
      <c r="BPD1268" s="149"/>
      <c r="BPE1268" s="149"/>
      <c r="BPF1268" s="149"/>
      <c r="BPG1268" s="149"/>
      <c r="BPH1268" s="149"/>
      <c r="BPI1268" s="149"/>
      <c r="BPJ1268" s="149"/>
      <c r="BPK1268" s="149"/>
      <c r="BPL1268" s="149"/>
      <c r="BPM1268" s="149"/>
      <c r="BPN1268" s="149"/>
      <c r="BPO1268" s="149"/>
      <c r="BPP1268" s="149"/>
      <c r="BPQ1268" s="149"/>
      <c r="BPR1268" s="149"/>
      <c r="BPS1268" s="149"/>
      <c r="BPT1268" s="149"/>
      <c r="BPU1268" s="149"/>
      <c r="BPV1268" s="149"/>
      <c r="BPW1268" s="149"/>
      <c r="BPX1268" s="149"/>
      <c r="BPY1268" s="149"/>
      <c r="BPZ1268" s="149"/>
      <c r="BQA1268" s="149"/>
      <c r="BQB1268" s="149"/>
      <c r="BQC1268" s="149"/>
      <c r="BQD1268" s="149"/>
      <c r="BQE1268" s="149"/>
      <c r="BQF1268" s="149"/>
      <c r="BQG1268" s="149"/>
      <c r="BQH1268" s="149"/>
      <c r="BQI1268" s="149"/>
      <c r="BQJ1268" s="149"/>
      <c r="BQK1268" s="149"/>
      <c r="BQL1268" s="149"/>
      <c r="BQM1268" s="149"/>
      <c r="BQN1268" s="149"/>
      <c r="BQO1268" s="149"/>
      <c r="BQP1268" s="149"/>
      <c r="BQQ1268" s="149"/>
      <c r="BQR1268" s="149"/>
      <c r="BQS1268" s="149"/>
      <c r="BQT1268" s="149"/>
      <c r="BQU1268" s="149"/>
      <c r="BQV1268" s="149"/>
      <c r="BQW1268" s="149"/>
      <c r="BQX1268" s="149"/>
      <c r="BQY1268" s="149"/>
      <c r="BQZ1268" s="149"/>
      <c r="BRA1268" s="149"/>
      <c r="BRB1268" s="149"/>
      <c r="BRC1268" s="149"/>
      <c r="BRD1268" s="149"/>
      <c r="BRE1268" s="149"/>
      <c r="BRF1268" s="149"/>
      <c r="BRG1268" s="149"/>
      <c r="BRH1268" s="149"/>
      <c r="BRI1268" s="149"/>
      <c r="BRJ1268" s="149"/>
      <c r="BRK1268" s="149"/>
      <c r="BRL1268" s="149"/>
      <c r="BRM1268" s="149"/>
      <c r="BRN1268" s="149"/>
      <c r="BRO1268" s="149"/>
      <c r="BRP1268" s="149"/>
      <c r="BRQ1268" s="149"/>
      <c r="BRR1268" s="149"/>
      <c r="BRS1268" s="149"/>
      <c r="BRT1268" s="149"/>
      <c r="BRU1268" s="149"/>
      <c r="BRV1268" s="149"/>
      <c r="BRW1268" s="149"/>
      <c r="BRX1268" s="149"/>
      <c r="BRY1268" s="149"/>
      <c r="BRZ1268" s="149"/>
      <c r="BSA1268" s="149"/>
      <c r="BSB1268" s="149"/>
      <c r="BSC1268" s="149"/>
      <c r="BSD1268" s="149"/>
      <c r="BSE1268" s="149"/>
      <c r="BSF1268" s="149"/>
      <c r="BSG1268" s="149"/>
      <c r="BSH1268" s="149"/>
      <c r="BSI1268" s="149"/>
      <c r="BSJ1268" s="149"/>
      <c r="BSK1268" s="149"/>
      <c r="BSL1268" s="149"/>
      <c r="BSM1268" s="149"/>
      <c r="BSN1268" s="149"/>
      <c r="BSO1268" s="149"/>
      <c r="BSP1268" s="149"/>
      <c r="BSQ1268" s="149"/>
      <c r="BSR1268" s="149"/>
      <c r="BSS1268" s="149"/>
      <c r="BST1268" s="149"/>
      <c r="BSU1268" s="149"/>
      <c r="BSV1268" s="149"/>
      <c r="BSW1268" s="149"/>
      <c r="BSX1268" s="149"/>
      <c r="BSY1268" s="149"/>
      <c r="BSZ1268" s="149"/>
      <c r="BTA1268" s="149"/>
    </row>
    <row r="1269" spans="1:1873" s="149" customFormat="1" ht="12.75" customHeight="1" x14ac:dyDescent="0.25">
      <c r="A1269" s="263"/>
      <c r="B1269" s="263"/>
      <c r="C1269" s="600"/>
      <c r="D1269" s="263"/>
      <c r="E1269" s="599"/>
      <c r="F1269" s="600"/>
      <c r="G1269" s="600"/>
      <c r="H1269" s="600"/>
      <c r="I1269" s="257"/>
      <c r="J1269" s="599"/>
      <c r="K1269" s="257"/>
      <c r="L1269" s="600"/>
      <c r="M1269" s="261"/>
      <c r="N1269" s="257"/>
      <c r="O1269" s="29"/>
      <c r="P1269" s="602"/>
      <c r="Q1269" s="257"/>
      <c r="R1269" s="261"/>
      <c r="S1269" s="257"/>
      <c r="T1269" s="370"/>
      <c r="U1269" s="257"/>
      <c r="V1269" s="257"/>
      <c r="W1269" s="609"/>
      <c r="X1269" s="257"/>
      <c r="Y1269" s="257"/>
      <c r="Z1269" s="327"/>
      <c r="AA1269" s="605"/>
      <c r="AB1269" s="611"/>
      <c r="AC1269" s="257"/>
      <c r="AD1269" s="602"/>
      <c r="AE1269" s="263"/>
      <c r="AF1269" s="600"/>
      <c r="AG1269" s="257"/>
      <c r="AH1269" s="257"/>
      <c r="AI1269" s="257"/>
      <c r="AJ1269" s="257"/>
      <c r="AK1269" s="257"/>
      <c r="AL1269" s="257"/>
      <c r="AM1269" s="257"/>
      <c r="AN1269" s="257"/>
      <c r="AO1269" s="257"/>
      <c r="AP1269" s="257"/>
      <c r="AQ1269" s="257"/>
      <c r="AR1269" s="257"/>
      <c r="AS1269" s="257"/>
      <c r="AT1269" s="257"/>
      <c r="AU1269" s="257"/>
      <c r="AV1269" s="257"/>
      <c r="AW1269" s="257"/>
      <c r="AX1269" s="257"/>
      <c r="AY1269" s="257"/>
      <c r="AZ1269" s="257"/>
      <c r="BA1269" s="257"/>
      <c r="BB1269" s="257"/>
      <c r="BC1269" s="257"/>
      <c r="BD1269" s="257"/>
      <c r="BE1269" s="257"/>
      <c r="BF1269" s="257"/>
      <c r="BG1269" s="257"/>
      <c r="BH1269" s="257"/>
      <c r="BI1269" s="257"/>
      <c r="BJ1269" s="257"/>
      <c r="BK1269" s="257"/>
      <c r="BL1269" s="602"/>
      <c r="BM1269" s="257"/>
      <c r="BN1269" s="602"/>
      <c r="BO1269" s="257"/>
      <c r="BP1269" s="257"/>
      <c r="BQ1269" s="257"/>
      <c r="BR1269" s="257"/>
      <c r="BS1269" s="263"/>
      <c r="BT1269" s="257"/>
      <c r="BU1269" s="257"/>
      <c r="BV1269" s="257"/>
      <c r="BW1269" s="257"/>
      <c r="BX1269" s="257"/>
      <c r="BY1269" s="257"/>
      <c r="BZ1269" s="257"/>
      <c r="CA1269" s="300"/>
      <c r="CB1269" s="264"/>
      <c r="CC1269" s="600"/>
      <c r="CD1269" s="600"/>
      <c r="CE1269" s="168"/>
      <c r="CF1269" s="168"/>
      <c r="CG1269" s="161"/>
    </row>
    <row r="1270" spans="1:1873" s="149" customFormat="1" ht="12.75" customHeight="1" x14ac:dyDescent="0.25">
      <c r="A1270" s="263" t="s">
        <v>560</v>
      </c>
      <c r="B1270" s="263" t="s">
        <v>1268</v>
      </c>
      <c r="C1270" s="600" t="s">
        <v>117</v>
      </c>
      <c r="D1270" s="263" t="s">
        <v>1257</v>
      </c>
      <c r="E1270" s="599" t="s">
        <v>116</v>
      </c>
      <c r="F1270" s="600">
        <v>2</v>
      </c>
      <c r="G1270" s="600">
        <v>1</v>
      </c>
      <c r="H1270" s="600">
        <v>3</v>
      </c>
      <c r="I1270" s="257" t="s">
        <v>856</v>
      </c>
      <c r="J1270" s="599">
        <v>1982</v>
      </c>
      <c r="K1270" s="257" t="s">
        <v>1211</v>
      </c>
      <c r="L1270" s="608">
        <v>1984</v>
      </c>
      <c r="M1270" s="261">
        <v>-9999</v>
      </c>
      <c r="N1270" s="257">
        <v>-9999</v>
      </c>
      <c r="O1270" s="29"/>
      <c r="P1270" s="602">
        <v>1.7</v>
      </c>
      <c r="Q1270" s="257">
        <v>-9999</v>
      </c>
      <c r="R1270" s="261"/>
      <c r="S1270" s="257"/>
      <c r="T1270" s="370">
        <v>1.7</v>
      </c>
      <c r="U1270" s="257">
        <v>-9999</v>
      </c>
      <c r="V1270" s="257"/>
      <c r="W1270" s="609">
        <f>+P1270-P1269</f>
        <v>1.7</v>
      </c>
      <c r="X1270" s="257">
        <v>-9999</v>
      </c>
      <c r="Y1270" s="257"/>
      <c r="Z1270" s="327" t="s">
        <v>1705</v>
      </c>
      <c r="AA1270" s="605">
        <v>2691</v>
      </c>
      <c r="AB1270" s="611">
        <v>0.8</v>
      </c>
      <c r="AC1270" s="257">
        <v>10.3</v>
      </c>
      <c r="AD1270" s="602">
        <f t="shared" si="137"/>
        <v>966</v>
      </c>
      <c r="AE1270" s="263" t="s">
        <v>97</v>
      </c>
      <c r="AF1270" s="600">
        <v>0</v>
      </c>
      <c r="AG1270" s="257">
        <v>2</v>
      </c>
      <c r="AH1270" s="257" t="s">
        <v>98</v>
      </c>
      <c r="AI1270" s="257" t="s">
        <v>985</v>
      </c>
      <c r="AJ1270" s="257">
        <v>-9999</v>
      </c>
      <c r="AK1270" s="257" t="s">
        <v>99</v>
      </c>
      <c r="AL1270" s="257" t="s">
        <v>828</v>
      </c>
      <c r="AM1270" s="257">
        <v>-9999</v>
      </c>
      <c r="AN1270" s="257" t="s">
        <v>631</v>
      </c>
      <c r="AO1270" s="257">
        <v>-9999</v>
      </c>
      <c r="AP1270" s="257">
        <v>-9999</v>
      </c>
      <c r="AQ1270" s="257" t="s">
        <v>631</v>
      </c>
      <c r="AR1270" s="257">
        <v>0</v>
      </c>
      <c r="AS1270" s="257">
        <v>-9999</v>
      </c>
      <c r="AT1270" s="257">
        <v>-9999</v>
      </c>
      <c r="AU1270" s="257">
        <v>0</v>
      </c>
      <c r="AV1270" s="257">
        <v>-9999</v>
      </c>
      <c r="AW1270" s="257"/>
      <c r="AX1270" s="257">
        <v>0</v>
      </c>
      <c r="AY1270" s="257">
        <v>-9999</v>
      </c>
      <c r="AZ1270" s="257">
        <v>-9999</v>
      </c>
      <c r="BA1270" s="257" t="s">
        <v>100</v>
      </c>
      <c r="BB1270" s="257" t="s">
        <v>626</v>
      </c>
      <c r="BC1270" s="257" t="s">
        <v>101</v>
      </c>
      <c r="BD1270" s="257" t="s">
        <v>102</v>
      </c>
      <c r="BE1270" s="257" t="s">
        <v>103</v>
      </c>
      <c r="BF1270" s="257" t="s">
        <v>104</v>
      </c>
      <c r="BG1270" s="257" t="s">
        <v>105</v>
      </c>
      <c r="BH1270" s="257" t="s">
        <v>106</v>
      </c>
      <c r="BI1270" s="257">
        <v>-9999</v>
      </c>
      <c r="BJ1270" s="257">
        <v>-9999</v>
      </c>
      <c r="BK1270" s="257">
        <v>-9999</v>
      </c>
      <c r="BL1270" s="602">
        <v>2.0699999999999998</v>
      </c>
      <c r="BM1270" s="257">
        <v>-9999</v>
      </c>
      <c r="BN1270" s="602">
        <v>0.89</v>
      </c>
      <c r="BO1270" s="257">
        <v>-9999</v>
      </c>
      <c r="BP1270" s="257">
        <v>-9999</v>
      </c>
      <c r="BQ1270" s="257">
        <v>-9999</v>
      </c>
      <c r="BR1270" s="257">
        <v>-9999</v>
      </c>
      <c r="BS1270" s="263">
        <v>-9999</v>
      </c>
      <c r="BT1270" s="257">
        <v>-9999</v>
      </c>
      <c r="BU1270" s="257">
        <v>-9999</v>
      </c>
      <c r="BV1270" s="257">
        <v>-9999</v>
      </c>
      <c r="BW1270" s="257"/>
      <c r="BX1270" s="257">
        <v>-9999</v>
      </c>
      <c r="BY1270" s="257">
        <v>-9999</v>
      </c>
      <c r="BZ1270" s="257">
        <v>-9999</v>
      </c>
      <c r="CA1270" s="300" t="s">
        <v>107</v>
      </c>
      <c r="CB1270" s="264" t="s">
        <v>561</v>
      </c>
      <c r="CC1270" s="600">
        <v>2</v>
      </c>
      <c r="CD1270" s="600">
        <v>1</v>
      </c>
      <c r="CE1270" s="168">
        <v>1.7</v>
      </c>
      <c r="CF1270" s="168">
        <v>1.7</v>
      </c>
      <c r="CG1270" s="161">
        <v>3</v>
      </c>
    </row>
    <row r="1271" spans="1:1873" s="149" customFormat="1" ht="12.75" customHeight="1" x14ac:dyDescent="0.25">
      <c r="A1271" s="263" t="s">
        <v>560</v>
      </c>
      <c r="B1271" s="263" t="s">
        <v>1268</v>
      </c>
      <c r="C1271" s="600" t="s">
        <v>117</v>
      </c>
      <c r="D1271" s="263" t="s">
        <v>1257</v>
      </c>
      <c r="E1271" s="599" t="s">
        <v>116</v>
      </c>
      <c r="F1271" s="600">
        <v>2</v>
      </c>
      <c r="G1271" s="600">
        <v>2</v>
      </c>
      <c r="H1271" s="600">
        <v>4</v>
      </c>
      <c r="I1271" s="257" t="s">
        <v>856</v>
      </c>
      <c r="J1271" s="599">
        <v>1982</v>
      </c>
      <c r="K1271" s="257" t="s">
        <v>1211</v>
      </c>
      <c r="L1271" s="608">
        <v>1985</v>
      </c>
      <c r="M1271" s="261">
        <v>-9999</v>
      </c>
      <c r="N1271" s="257">
        <v>-9999</v>
      </c>
      <c r="O1271" s="29"/>
      <c r="P1271" s="602">
        <v>10.02</v>
      </c>
      <c r="Q1271" s="257">
        <v>-9999</v>
      </c>
      <c r="R1271" s="261"/>
      <c r="S1271" s="257"/>
      <c r="T1271" s="370">
        <v>5.01</v>
      </c>
      <c r="U1271" s="257">
        <v>-9999</v>
      </c>
      <c r="V1271" s="257"/>
      <c r="W1271" s="609">
        <f>+P1271-P1270</f>
        <v>8.32</v>
      </c>
      <c r="X1271" s="257">
        <v>-9999</v>
      </c>
      <c r="Y1271" s="257"/>
      <c r="Z1271" s="327" t="s">
        <v>1705</v>
      </c>
      <c r="AA1271" s="605">
        <v>2691</v>
      </c>
      <c r="AB1271" s="611">
        <v>0.88700000000000001</v>
      </c>
      <c r="AC1271" s="257">
        <v>10.3</v>
      </c>
      <c r="AD1271" s="602">
        <f t="shared" si="137"/>
        <v>966</v>
      </c>
      <c r="AE1271" s="263" t="s">
        <v>97</v>
      </c>
      <c r="AF1271" s="600">
        <v>0</v>
      </c>
      <c r="AG1271" s="257">
        <v>2</v>
      </c>
      <c r="AH1271" s="257" t="s">
        <v>98</v>
      </c>
      <c r="AI1271" s="257" t="s">
        <v>985</v>
      </c>
      <c r="AJ1271" s="257">
        <v>-9999</v>
      </c>
      <c r="AK1271" s="257" t="s">
        <v>99</v>
      </c>
      <c r="AL1271" s="257" t="s">
        <v>828</v>
      </c>
      <c r="AM1271" s="257">
        <v>-9999</v>
      </c>
      <c r="AN1271" s="257" t="s">
        <v>631</v>
      </c>
      <c r="AO1271" s="257">
        <v>-9999</v>
      </c>
      <c r="AP1271" s="257">
        <v>-9999</v>
      </c>
      <c r="AQ1271" s="257" t="s">
        <v>631</v>
      </c>
      <c r="AR1271" s="257">
        <v>0</v>
      </c>
      <c r="AS1271" s="257">
        <v>-9999</v>
      </c>
      <c r="AT1271" s="257">
        <v>-9999</v>
      </c>
      <c r="AU1271" s="257">
        <v>0</v>
      </c>
      <c r="AV1271" s="257">
        <v>-9999</v>
      </c>
      <c r="AW1271" s="257"/>
      <c r="AX1271" s="257">
        <v>0</v>
      </c>
      <c r="AY1271" s="257">
        <v>-9999</v>
      </c>
      <c r="AZ1271" s="257">
        <v>-9999</v>
      </c>
      <c r="BA1271" s="257" t="s">
        <v>100</v>
      </c>
      <c r="BB1271" s="257" t="s">
        <v>626</v>
      </c>
      <c r="BC1271" s="257" t="s">
        <v>101</v>
      </c>
      <c r="BD1271" s="257" t="s">
        <v>102</v>
      </c>
      <c r="BE1271" s="257" t="s">
        <v>103</v>
      </c>
      <c r="BF1271" s="257" t="s">
        <v>104</v>
      </c>
      <c r="BG1271" s="257" t="s">
        <v>105</v>
      </c>
      <c r="BH1271" s="257" t="s">
        <v>106</v>
      </c>
      <c r="BI1271" s="257">
        <v>-9999</v>
      </c>
      <c r="BJ1271" s="257">
        <v>-9999</v>
      </c>
      <c r="BK1271" s="257">
        <v>-9999</v>
      </c>
      <c r="BL1271" s="602">
        <v>3.2</v>
      </c>
      <c r="BM1271" s="257">
        <v>-9999</v>
      </c>
      <c r="BN1271" s="602">
        <v>2.1</v>
      </c>
      <c r="BO1271" s="257">
        <v>-9999</v>
      </c>
      <c r="BP1271" s="257">
        <v>-9999</v>
      </c>
      <c r="BQ1271" s="257">
        <v>-9999</v>
      </c>
      <c r="BR1271" s="257">
        <v>-9999</v>
      </c>
      <c r="BS1271" s="263">
        <v>-9999</v>
      </c>
      <c r="BT1271" s="257">
        <v>-9999</v>
      </c>
      <c r="BU1271" s="257">
        <v>-9999</v>
      </c>
      <c r="BV1271" s="257">
        <v>-9999</v>
      </c>
      <c r="BW1271" s="257"/>
      <c r="BX1271" s="257">
        <v>-9999</v>
      </c>
      <c r="BY1271" s="257">
        <v>-9999</v>
      </c>
      <c r="BZ1271" s="257">
        <v>-9999</v>
      </c>
      <c r="CA1271" s="300" t="s">
        <v>107</v>
      </c>
      <c r="CB1271" s="264" t="s">
        <v>561</v>
      </c>
      <c r="CC1271" s="600">
        <v>2</v>
      </c>
      <c r="CD1271" s="600">
        <v>2</v>
      </c>
      <c r="CE1271" s="168">
        <v>5.01</v>
      </c>
      <c r="CF1271" s="168">
        <v>8.32</v>
      </c>
      <c r="CG1271" s="161">
        <v>4</v>
      </c>
    </row>
    <row r="1272" spans="1:1873" s="149" customFormat="1" ht="12.75" customHeight="1" x14ac:dyDescent="0.25">
      <c r="A1272" s="263"/>
      <c r="B1272" s="263"/>
      <c r="C1272" s="600"/>
      <c r="D1272" s="263"/>
      <c r="E1272" s="599"/>
      <c r="F1272" s="600"/>
      <c r="G1272" s="600"/>
      <c r="H1272" s="600"/>
      <c r="I1272" s="257"/>
      <c r="J1272" s="599"/>
      <c r="K1272" s="257"/>
      <c r="L1272" s="600"/>
      <c r="M1272" s="261"/>
      <c r="N1272" s="257"/>
      <c r="O1272" s="29"/>
      <c r="P1272" s="602"/>
      <c r="Q1272" s="257"/>
      <c r="R1272" s="261"/>
      <c r="S1272" s="257"/>
      <c r="T1272" s="370"/>
      <c r="U1272" s="257"/>
      <c r="V1272" s="257"/>
      <c r="W1272" s="609"/>
      <c r="X1272" s="257"/>
      <c r="Y1272" s="257"/>
      <c r="Z1272" s="327"/>
      <c r="AA1272" s="605"/>
      <c r="AB1272" s="611"/>
      <c r="AC1272" s="257"/>
      <c r="AD1272" s="602"/>
      <c r="AE1272" s="263"/>
      <c r="AF1272" s="600"/>
      <c r="AG1272" s="257"/>
      <c r="AH1272" s="257"/>
      <c r="AI1272" s="257"/>
      <c r="AJ1272" s="257"/>
      <c r="AK1272" s="257"/>
      <c r="AL1272" s="257"/>
      <c r="AM1272" s="257"/>
      <c r="AN1272" s="257"/>
      <c r="AO1272" s="257"/>
      <c r="AP1272" s="257"/>
      <c r="AQ1272" s="257"/>
      <c r="AR1272" s="257"/>
      <c r="AS1272" s="257"/>
      <c r="AT1272" s="257"/>
      <c r="AU1272" s="257"/>
      <c r="AV1272" s="257"/>
      <c r="AW1272" s="257"/>
      <c r="AX1272" s="257"/>
      <c r="AY1272" s="257"/>
      <c r="AZ1272" s="257"/>
      <c r="BA1272" s="257"/>
      <c r="BB1272" s="257"/>
      <c r="BC1272" s="257"/>
      <c r="BD1272" s="257"/>
      <c r="BE1272" s="257"/>
      <c r="BF1272" s="257"/>
      <c r="BG1272" s="257"/>
      <c r="BH1272" s="257"/>
      <c r="BI1272" s="257"/>
      <c r="BJ1272" s="257"/>
      <c r="BK1272" s="257"/>
      <c r="BL1272" s="602"/>
      <c r="BM1272" s="257"/>
      <c r="BN1272" s="602"/>
      <c r="BO1272" s="257"/>
      <c r="BP1272" s="257"/>
      <c r="BQ1272" s="257"/>
      <c r="BR1272" s="257"/>
      <c r="BS1272" s="263"/>
      <c r="BT1272" s="257"/>
      <c r="BU1272" s="257"/>
      <c r="BV1272" s="257"/>
      <c r="BW1272" s="257"/>
      <c r="BX1272" s="257"/>
      <c r="BY1272" s="257"/>
      <c r="BZ1272" s="257"/>
      <c r="CA1272" s="300"/>
      <c r="CB1272" s="264"/>
      <c r="CC1272" s="600"/>
      <c r="CD1272" s="600"/>
      <c r="CE1272" s="168"/>
      <c r="CF1272" s="168"/>
      <c r="CG1272" s="161"/>
    </row>
    <row r="1273" spans="1:1873" s="218" customFormat="1" ht="12.75" customHeight="1" x14ac:dyDescent="0.25">
      <c r="A1273" s="328" t="s">
        <v>560</v>
      </c>
      <c r="B1273" s="263" t="s">
        <v>1268</v>
      </c>
      <c r="C1273" s="600" t="s">
        <v>117</v>
      </c>
      <c r="D1273" s="263" t="s">
        <v>1257</v>
      </c>
      <c r="E1273" s="599" t="s">
        <v>116</v>
      </c>
      <c r="F1273" s="600">
        <v>2</v>
      </c>
      <c r="G1273" s="600">
        <v>2</v>
      </c>
      <c r="H1273" s="600">
        <v>5</v>
      </c>
      <c r="I1273" s="257" t="s">
        <v>856</v>
      </c>
      <c r="J1273" s="599">
        <v>1982</v>
      </c>
      <c r="K1273" s="257" t="s">
        <v>1211</v>
      </c>
      <c r="L1273" s="608">
        <v>1986</v>
      </c>
      <c r="M1273" s="261">
        <v>-9999</v>
      </c>
      <c r="N1273" s="257">
        <v>-9999</v>
      </c>
      <c r="O1273" s="29"/>
      <c r="P1273" s="602">
        <v>13</v>
      </c>
      <c r="Q1273" s="257">
        <v>-9999</v>
      </c>
      <c r="R1273" s="261"/>
      <c r="S1273" s="257"/>
      <c r="T1273" s="370">
        <v>6.5</v>
      </c>
      <c r="U1273" s="257">
        <v>-9999</v>
      </c>
      <c r="V1273" s="257"/>
      <c r="W1273" s="609">
        <f>+P1273-P1272</f>
        <v>13</v>
      </c>
      <c r="X1273" s="257">
        <v>-9999</v>
      </c>
      <c r="Y1273" s="257"/>
      <c r="Z1273" s="327" t="s">
        <v>1705</v>
      </c>
      <c r="AA1273" s="605">
        <v>2691</v>
      </c>
      <c r="AB1273" s="611">
        <v>0.9</v>
      </c>
      <c r="AC1273" s="257">
        <v>10.3</v>
      </c>
      <c r="AD1273" s="602">
        <f t="shared" si="137"/>
        <v>966</v>
      </c>
      <c r="AE1273" s="263" t="s">
        <v>97</v>
      </c>
      <c r="AF1273" s="600">
        <v>0</v>
      </c>
      <c r="AG1273" s="257">
        <v>2</v>
      </c>
      <c r="AH1273" s="257" t="s">
        <v>98</v>
      </c>
      <c r="AI1273" s="257" t="s">
        <v>985</v>
      </c>
      <c r="AJ1273" s="257">
        <v>-9999</v>
      </c>
      <c r="AK1273" s="257" t="s">
        <v>99</v>
      </c>
      <c r="AL1273" s="257" t="s">
        <v>828</v>
      </c>
      <c r="AM1273" s="257">
        <v>-9999</v>
      </c>
      <c r="AN1273" s="257" t="s">
        <v>631</v>
      </c>
      <c r="AO1273" s="257">
        <v>-9999</v>
      </c>
      <c r="AP1273" s="257">
        <v>-9999</v>
      </c>
      <c r="AQ1273" s="257" t="s">
        <v>631</v>
      </c>
      <c r="AR1273" s="257">
        <v>0</v>
      </c>
      <c r="AS1273" s="257">
        <v>-9999</v>
      </c>
      <c r="AT1273" s="257">
        <v>-9999</v>
      </c>
      <c r="AU1273" s="257">
        <v>0</v>
      </c>
      <c r="AV1273" s="257">
        <v>-9999</v>
      </c>
      <c r="AW1273" s="257"/>
      <c r="AX1273" s="257">
        <v>0</v>
      </c>
      <c r="AY1273" s="257">
        <v>-9999</v>
      </c>
      <c r="AZ1273" s="257">
        <v>-9999</v>
      </c>
      <c r="BA1273" s="257" t="s">
        <v>100</v>
      </c>
      <c r="BB1273" s="257" t="s">
        <v>626</v>
      </c>
      <c r="BC1273" s="257" t="s">
        <v>101</v>
      </c>
      <c r="BD1273" s="257" t="s">
        <v>102</v>
      </c>
      <c r="BE1273" s="257" t="s">
        <v>103</v>
      </c>
      <c r="BF1273" s="257" t="s">
        <v>104</v>
      </c>
      <c r="BG1273" s="257" t="s">
        <v>105</v>
      </c>
      <c r="BH1273" s="257" t="s">
        <v>106</v>
      </c>
      <c r="BI1273" s="257">
        <v>-9999</v>
      </c>
      <c r="BJ1273" s="257">
        <v>-9999</v>
      </c>
      <c r="BK1273" s="257">
        <v>-9999</v>
      </c>
      <c r="BL1273" s="602">
        <v>2.9</v>
      </c>
      <c r="BM1273" s="257">
        <v>-9999</v>
      </c>
      <c r="BN1273" s="602">
        <v>1.9</v>
      </c>
      <c r="BO1273" s="257">
        <v>-9999</v>
      </c>
      <c r="BP1273" s="257">
        <v>-9999</v>
      </c>
      <c r="BQ1273" s="257">
        <v>-9999</v>
      </c>
      <c r="BR1273" s="257">
        <v>-9999</v>
      </c>
      <c r="BS1273" s="263">
        <v>-9999</v>
      </c>
      <c r="BT1273" s="257">
        <v>-9999</v>
      </c>
      <c r="BU1273" s="257">
        <v>-9999</v>
      </c>
      <c r="BV1273" s="257">
        <v>-9999</v>
      </c>
      <c r="BW1273" s="257"/>
      <c r="BX1273" s="257">
        <v>-9999</v>
      </c>
      <c r="BY1273" s="257">
        <v>-9999</v>
      </c>
      <c r="BZ1273" s="257">
        <v>-9999</v>
      </c>
      <c r="CA1273" s="300" t="s">
        <v>107</v>
      </c>
      <c r="CB1273" s="264" t="s">
        <v>561</v>
      </c>
      <c r="CC1273" s="600">
        <v>2</v>
      </c>
      <c r="CD1273" s="600">
        <v>2</v>
      </c>
      <c r="CE1273" s="168">
        <v>6.5</v>
      </c>
      <c r="CF1273" s="168">
        <v>13</v>
      </c>
      <c r="CG1273" s="217">
        <v>5</v>
      </c>
      <c r="CH1273" s="301" t="s">
        <v>1757</v>
      </c>
      <c r="CI1273" s="149"/>
      <c r="CJ1273" s="149"/>
      <c r="CK1273" s="149"/>
      <c r="CL1273" s="149"/>
      <c r="CM1273" s="149"/>
      <c r="CN1273" s="149"/>
      <c r="CO1273" s="149"/>
      <c r="CP1273" s="149"/>
      <c r="CQ1273" s="149"/>
      <c r="CR1273" s="149"/>
      <c r="CS1273" s="149"/>
      <c r="CT1273" s="149"/>
      <c r="CU1273" s="149"/>
      <c r="CV1273" s="149"/>
      <c r="CW1273" s="149"/>
      <c r="CX1273" s="149"/>
      <c r="CY1273" s="149"/>
      <c r="CZ1273" s="149"/>
      <c r="DA1273" s="149"/>
      <c r="DB1273" s="149"/>
      <c r="DC1273" s="149"/>
      <c r="DD1273" s="149"/>
      <c r="DE1273" s="149"/>
      <c r="DF1273" s="149"/>
      <c r="DG1273" s="149"/>
      <c r="DH1273" s="149"/>
      <c r="DI1273" s="149"/>
      <c r="DJ1273" s="149"/>
      <c r="DK1273" s="149"/>
      <c r="DL1273" s="149"/>
      <c r="DM1273" s="149"/>
      <c r="DN1273" s="149"/>
      <c r="DO1273" s="149"/>
      <c r="DP1273" s="149"/>
      <c r="DQ1273" s="149"/>
      <c r="DR1273" s="149"/>
      <c r="DS1273" s="149"/>
      <c r="DT1273" s="149"/>
      <c r="DU1273" s="149"/>
      <c r="DV1273" s="149"/>
      <c r="DW1273" s="149"/>
      <c r="DX1273" s="149"/>
      <c r="DY1273" s="149"/>
      <c r="DZ1273" s="149"/>
      <c r="EA1273" s="149"/>
      <c r="EB1273" s="149"/>
      <c r="EC1273" s="149"/>
      <c r="ED1273" s="149"/>
      <c r="EE1273" s="149"/>
      <c r="EF1273" s="149"/>
      <c r="EG1273" s="149"/>
      <c r="EH1273" s="149"/>
      <c r="EI1273" s="149"/>
      <c r="EJ1273" s="149"/>
      <c r="EK1273" s="149"/>
      <c r="EL1273" s="149"/>
      <c r="EM1273" s="149"/>
      <c r="EN1273" s="149"/>
      <c r="EO1273" s="149"/>
      <c r="EP1273" s="149"/>
      <c r="EQ1273" s="149"/>
      <c r="ER1273" s="149"/>
      <c r="ES1273" s="149"/>
      <c r="ET1273" s="149"/>
      <c r="EU1273" s="149"/>
      <c r="EV1273" s="149"/>
      <c r="EW1273" s="149"/>
      <c r="EX1273" s="149"/>
      <c r="EY1273" s="149"/>
      <c r="EZ1273" s="149"/>
      <c r="FA1273" s="149"/>
      <c r="FB1273" s="149"/>
      <c r="FC1273" s="149"/>
      <c r="FD1273" s="149"/>
      <c r="FE1273" s="149"/>
      <c r="FF1273" s="149"/>
      <c r="FG1273" s="149"/>
      <c r="FH1273" s="149"/>
      <c r="FI1273" s="149"/>
      <c r="FJ1273" s="149"/>
      <c r="FK1273" s="149"/>
      <c r="FL1273" s="149"/>
      <c r="FM1273" s="149"/>
      <c r="FN1273" s="149"/>
      <c r="FO1273" s="149"/>
      <c r="FP1273" s="149"/>
      <c r="FQ1273" s="149"/>
      <c r="FR1273" s="149"/>
      <c r="FS1273" s="149"/>
      <c r="FT1273" s="149"/>
      <c r="FU1273" s="149"/>
      <c r="FV1273" s="149"/>
      <c r="FW1273" s="149"/>
      <c r="FX1273" s="149"/>
      <c r="FY1273" s="149"/>
      <c r="FZ1273" s="149"/>
      <c r="GA1273" s="149"/>
      <c r="GB1273" s="149"/>
      <c r="GC1273" s="149"/>
      <c r="GD1273" s="149"/>
      <c r="GE1273" s="149"/>
      <c r="GF1273" s="149"/>
      <c r="GG1273" s="149"/>
      <c r="GH1273" s="149"/>
      <c r="GI1273" s="149"/>
      <c r="GJ1273" s="149"/>
      <c r="GK1273" s="149"/>
      <c r="GL1273" s="149"/>
      <c r="GM1273" s="149"/>
      <c r="GN1273" s="149"/>
      <c r="GO1273" s="149"/>
      <c r="GP1273" s="149"/>
      <c r="GQ1273" s="149"/>
      <c r="GR1273" s="149"/>
      <c r="GS1273" s="149"/>
      <c r="GT1273" s="149"/>
      <c r="GU1273" s="149"/>
      <c r="GV1273" s="149"/>
      <c r="GW1273" s="149"/>
      <c r="GX1273" s="149"/>
      <c r="GY1273" s="149"/>
      <c r="GZ1273" s="149"/>
      <c r="HA1273" s="149"/>
      <c r="HB1273" s="149"/>
      <c r="HC1273" s="149"/>
      <c r="HD1273" s="149"/>
      <c r="HE1273" s="149"/>
      <c r="HF1273" s="149"/>
      <c r="HG1273" s="149"/>
      <c r="HH1273" s="149"/>
      <c r="HI1273" s="149"/>
      <c r="HJ1273" s="149"/>
      <c r="HK1273" s="149"/>
      <c r="HL1273" s="149"/>
      <c r="HM1273" s="149"/>
      <c r="HN1273" s="149"/>
      <c r="HO1273" s="149"/>
      <c r="HP1273" s="149"/>
      <c r="HQ1273" s="149"/>
      <c r="HR1273" s="149"/>
      <c r="HS1273" s="149"/>
      <c r="HT1273" s="149"/>
      <c r="HU1273" s="149"/>
      <c r="HV1273" s="149"/>
      <c r="HW1273" s="149"/>
      <c r="HX1273" s="149"/>
      <c r="HY1273" s="149"/>
      <c r="HZ1273" s="149"/>
      <c r="IA1273" s="149"/>
      <c r="IB1273" s="149"/>
      <c r="IC1273" s="149"/>
      <c r="ID1273" s="149"/>
      <c r="IE1273" s="149"/>
      <c r="IF1273" s="149"/>
      <c r="IG1273" s="149"/>
      <c r="IH1273" s="149"/>
      <c r="II1273" s="149"/>
      <c r="IJ1273" s="149"/>
      <c r="IK1273" s="149"/>
      <c r="IL1273" s="149"/>
      <c r="IM1273" s="149"/>
      <c r="IN1273" s="149"/>
      <c r="IO1273" s="149"/>
      <c r="IP1273" s="149"/>
      <c r="IQ1273" s="149"/>
      <c r="IR1273" s="149"/>
      <c r="IS1273" s="149"/>
      <c r="IT1273" s="149"/>
      <c r="IU1273" s="149"/>
      <c r="IV1273" s="149"/>
      <c r="IW1273" s="149"/>
      <c r="IX1273" s="149"/>
      <c r="IY1273" s="149"/>
      <c r="IZ1273" s="149"/>
      <c r="JA1273" s="149"/>
      <c r="JB1273" s="149"/>
      <c r="JC1273" s="149"/>
      <c r="JD1273" s="149"/>
      <c r="JE1273" s="149"/>
      <c r="JF1273" s="149"/>
      <c r="JG1273" s="149"/>
      <c r="JH1273" s="149"/>
      <c r="JI1273" s="149"/>
      <c r="JJ1273" s="149"/>
      <c r="JK1273" s="149"/>
      <c r="JL1273" s="149"/>
      <c r="JM1273" s="149"/>
      <c r="JN1273" s="149"/>
      <c r="JO1273" s="149"/>
      <c r="JP1273" s="149"/>
      <c r="JQ1273" s="149"/>
      <c r="JR1273" s="149"/>
      <c r="JS1273" s="149"/>
      <c r="JT1273" s="149"/>
      <c r="JU1273" s="149"/>
      <c r="JV1273" s="149"/>
      <c r="JW1273" s="149"/>
      <c r="JX1273" s="149"/>
      <c r="JY1273" s="149"/>
      <c r="JZ1273" s="149"/>
      <c r="KA1273" s="149"/>
      <c r="KB1273" s="149"/>
      <c r="KC1273" s="149"/>
      <c r="KD1273" s="149"/>
      <c r="KE1273" s="149"/>
      <c r="KF1273" s="149"/>
      <c r="KG1273" s="149"/>
      <c r="KH1273" s="149"/>
      <c r="KI1273" s="149"/>
      <c r="KJ1273" s="149"/>
      <c r="KK1273" s="149"/>
      <c r="KL1273" s="149"/>
      <c r="KM1273" s="149"/>
      <c r="KN1273" s="149"/>
      <c r="KO1273" s="149"/>
      <c r="KP1273" s="149"/>
      <c r="KQ1273" s="149"/>
      <c r="KR1273" s="149"/>
      <c r="KS1273" s="149"/>
      <c r="KT1273" s="149"/>
      <c r="KU1273" s="149"/>
      <c r="KV1273" s="149"/>
      <c r="KW1273" s="149"/>
      <c r="KX1273" s="149"/>
      <c r="KY1273" s="149"/>
      <c r="KZ1273" s="149"/>
      <c r="LA1273" s="149"/>
      <c r="LB1273" s="149"/>
      <c r="LC1273" s="149"/>
      <c r="LD1273" s="149"/>
      <c r="LE1273" s="149"/>
      <c r="LF1273" s="149"/>
      <c r="LG1273" s="149"/>
      <c r="LH1273" s="149"/>
      <c r="LI1273" s="149"/>
      <c r="LJ1273" s="149"/>
      <c r="LK1273" s="149"/>
      <c r="LL1273" s="149"/>
      <c r="LM1273" s="149"/>
      <c r="LN1273" s="149"/>
      <c r="LO1273" s="149"/>
      <c r="LP1273" s="149"/>
      <c r="LQ1273" s="149"/>
      <c r="LR1273" s="149"/>
      <c r="LS1273" s="149"/>
      <c r="LT1273" s="149"/>
      <c r="LU1273" s="149"/>
      <c r="LV1273" s="149"/>
      <c r="LW1273" s="149"/>
      <c r="LX1273" s="149"/>
      <c r="LY1273" s="149"/>
      <c r="LZ1273" s="149"/>
      <c r="MA1273" s="149"/>
      <c r="MB1273" s="149"/>
      <c r="MC1273" s="149"/>
      <c r="MD1273" s="149"/>
      <c r="ME1273" s="149"/>
      <c r="MF1273" s="149"/>
      <c r="MG1273" s="149"/>
      <c r="MH1273" s="149"/>
      <c r="MI1273" s="149"/>
      <c r="MJ1273" s="149"/>
      <c r="MK1273" s="149"/>
      <c r="ML1273" s="149"/>
      <c r="MM1273" s="149"/>
      <c r="MN1273" s="149"/>
      <c r="MO1273" s="149"/>
      <c r="MP1273" s="149"/>
      <c r="MQ1273" s="149"/>
      <c r="MR1273" s="149"/>
      <c r="MS1273" s="149"/>
      <c r="MT1273" s="149"/>
      <c r="MU1273" s="149"/>
      <c r="MV1273" s="149"/>
      <c r="MW1273" s="149"/>
      <c r="MX1273" s="149"/>
      <c r="MY1273" s="149"/>
      <c r="MZ1273" s="149"/>
      <c r="NA1273" s="149"/>
      <c r="NB1273" s="149"/>
      <c r="NC1273" s="149"/>
      <c r="ND1273" s="149"/>
      <c r="NE1273" s="149"/>
      <c r="NF1273" s="149"/>
      <c r="NG1273" s="149"/>
      <c r="NH1273" s="149"/>
      <c r="NI1273" s="149"/>
      <c r="NJ1273" s="149"/>
      <c r="NK1273" s="149"/>
      <c r="NL1273" s="149"/>
      <c r="NM1273" s="149"/>
      <c r="NN1273" s="149"/>
      <c r="NO1273" s="149"/>
      <c r="NP1273" s="149"/>
      <c r="NQ1273" s="149"/>
      <c r="NR1273" s="149"/>
      <c r="NS1273" s="149"/>
      <c r="NT1273" s="149"/>
      <c r="NU1273" s="149"/>
      <c r="NV1273" s="149"/>
      <c r="NW1273" s="149"/>
      <c r="NX1273" s="149"/>
      <c r="NY1273" s="149"/>
      <c r="NZ1273" s="149"/>
      <c r="OA1273" s="149"/>
      <c r="OB1273" s="149"/>
      <c r="OC1273" s="149"/>
      <c r="OD1273" s="149"/>
      <c r="OE1273" s="149"/>
      <c r="OF1273" s="149"/>
      <c r="OG1273" s="149"/>
      <c r="OH1273" s="149"/>
      <c r="OI1273" s="149"/>
      <c r="OJ1273" s="149"/>
      <c r="OK1273" s="149"/>
      <c r="OL1273" s="149"/>
      <c r="OM1273" s="149"/>
      <c r="ON1273" s="149"/>
      <c r="OO1273" s="149"/>
      <c r="OP1273" s="149"/>
      <c r="OQ1273" s="149"/>
      <c r="OR1273" s="149"/>
      <c r="OS1273" s="149"/>
      <c r="OT1273" s="149"/>
      <c r="OU1273" s="149"/>
      <c r="OV1273" s="149"/>
      <c r="OW1273" s="149"/>
      <c r="OX1273" s="149"/>
      <c r="OY1273" s="149"/>
      <c r="OZ1273" s="149"/>
      <c r="PA1273" s="149"/>
      <c r="PB1273" s="149"/>
      <c r="PC1273" s="149"/>
      <c r="PD1273" s="149"/>
      <c r="PE1273" s="149"/>
      <c r="PF1273" s="149"/>
      <c r="PG1273" s="149"/>
      <c r="PH1273" s="149"/>
      <c r="PI1273" s="149"/>
      <c r="PJ1273" s="149"/>
      <c r="PK1273" s="149"/>
      <c r="PL1273" s="149"/>
      <c r="PM1273" s="149"/>
      <c r="PN1273" s="149"/>
      <c r="PO1273" s="149"/>
      <c r="PP1273" s="149"/>
      <c r="PQ1273" s="149"/>
      <c r="PR1273" s="149"/>
      <c r="PS1273" s="149"/>
      <c r="PT1273" s="149"/>
      <c r="PU1273" s="149"/>
      <c r="PV1273" s="149"/>
      <c r="PW1273" s="149"/>
      <c r="PX1273" s="149"/>
      <c r="PY1273" s="149"/>
      <c r="PZ1273" s="149"/>
      <c r="QA1273" s="149"/>
      <c r="QB1273" s="149"/>
      <c r="QC1273" s="149"/>
      <c r="QD1273" s="149"/>
      <c r="QE1273" s="149"/>
      <c r="QF1273" s="149"/>
      <c r="QG1273" s="149"/>
      <c r="QH1273" s="149"/>
      <c r="QI1273" s="149"/>
      <c r="QJ1273" s="149"/>
      <c r="QK1273" s="149"/>
      <c r="QL1273" s="149"/>
      <c r="QM1273" s="149"/>
      <c r="QN1273" s="149"/>
      <c r="QO1273" s="149"/>
      <c r="QP1273" s="149"/>
      <c r="QQ1273" s="149"/>
      <c r="QR1273" s="149"/>
      <c r="QS1273" s="149"/>
      <c r="QT1273" s="149"/>
      <c r="QU1273" s="149"/>
      <c r="QV1273" s="149"/>
      <c r="QW1273" s="149"/>
      <c r="QX1273" s="149"/>
      <c r="QY1273" s="149"/>
      <c r="QZ1273" s="149"/>
      <c r="RA1273" s="149"/>
      <c r="RB1273" s="149"/>
      <c r="RC1273" s="149"/>
      <c r="RD1273" s="149"/>
      <c r="RE1273" s="149"/>
      <c r="RF1273" s="149"/>
      <c r="RG1273" s="149"/>
      <c r="RH1273" s="149"/>
      <c r="RI1273" s="149"/>
      <c r="RJ1273" s="149"/>
      <c r="RK1273" s="149"/>
      <c r="RL1273" s="149"/>
      <c r="RM1273" s="149"/>
      <c r="RN1273" s="149"/>
      <c r="RO1273" s="149"/>
      <c r="RP1273" s="149"/>
      <c r="RQ1273" s="149"/>
      <c r="RR1273" s="149"/>
      <c r="RS1273" s="149"/>
      <c r="RT1273" s="149"/>
      <c r="RU1273" s="149"/>
      <c r="RV1273" s="149"/>
      <c r="RW1273" s="149"/>
      <c r="RX1273" s="149"/>
      <c r="RY1273" s="149"/>
      <c r="RZ1273" s="149"/>
      <c r="SA1273" s="149"/>
      <c r="SB1273" s="149"/>
      <c r="SC1273" s="149"/>
      <c r="SD1273" s="149"/>
      <c r="SE1273" s="149"/>
      <c r="SF1273" s="149"/>
      <c r="SG1273" s="149"/>
      <c r="SH1273" s="149"/>
      <c r="SI1273" s="149"/>
      <c r="SJ1273" s="149"/>
      <c r="SK1273" s="149"/>
      <c r="SL1273" s="149"/>
      <c r="SM1273" s="149"/>
      <c r="SN1273" s="149"/>
      <c r="SO1273" s="149"/>
      <c r="SP1273" s="149"/>
      <c r="SQ1273" s="149"/>
      <c r="SR1273" s="149"/>
      <c r="SS1273" s="149"/>
      <c r="ST1273" s="149"/>
      <c r="SU1273" s="149"/>
      <c r="SV1273" s="149"/>
      <c r="SW1273" s="149"/>
      <c r="SX1273" s="149"/>
      <c r="SY1273" s="149"/>
      <c r="SZ1273" s="149"/>
      <c r="TA1273" s="149"/>
      <c r="TB1273" s="149"/>
      <c r="TC1273" s="149"/>
      <c r="TD1273" s="149"/>
      <c r="TE1273" s="149"/>
      <c r="TF1273" s="149"/>
      <c r="TG1273" s="149"/>
      <c r="TH1273" s="149"/>
      <c r="TI1273" s="149"/>
      <c r="TJ1273" s="149"/>
      <c r="TK1273" s="149"/>
      <c r="TL1273" s="149"/>
      <c r="TM1273" s="149"/>
      <c r="TN1273" s="149"/>
      <c r="TO1273" s="149"/>
      <c r="TP1273" s="149"/>
      <c r="TQ1273" s="149"/>
      <c r="TR1273" s="149"/>
      <c r="TS1273" s="149"/>
      <c r="TT1273" s="149"/>
      <c r="TU1273" s="149"/>
      <c r="TV1273" s="149"/>
      <c r="TW1273" s="149"/>
      <c r="TX1273" s="149"/>
      <c r="TY1273" s="149"/>
      <c r="TZ1273" s="149"/>
      <c r="UA1273" s="149"/>
      <c r="UB1273" s="149"/>
      <c r="UC1273" s="149"/>
      <c r="UD1273" s="149"/>
      <c r="UE1273" s="149"/>
      <c r="UF1273" s="149"/>
      <c r="UG1273" s="149"/>
      <c r="UH1273" s="149"/>
      <c r="UI1273" s="149"/>
      <c r="UJ1273" s="149"/>
      <c r="UK1273" s="149"/>
      <c r="UL1273" s="149"/>
      <c r="UM1273" s="149"/>
      <c r="UN1273" s="149"/>
      <c r="UO1273" s="149"/>
      <c r="UP1273" s="149"/>
      <c r="UQ1273" s="149"/>
      <c r="UR1273" s="149"/>
      <c r="US1273" s="149"/>
      <c r="UT1273" s="149"/>
      <c r="UU1273" s="149"/>
      <c r="UV1273" s="149"/>
      <c r="UW1273" s="149"/>
      <c r="UX1273" s="149"/>
      <c r="UY1273" s="149"/>
      <c r="UZ1273" s="149"/>
      <c r="VA1273" s="149"/>
      <c r="VB1273" s="149"/>
      <c r="VC1273" s="149"/>
      <c r="VD1273" s="149"/>
      <c r="VE1273" s="149"/>
      <c r="VF1273" s="149"/>
      <c r="VG1273" s="149"/>
      <c r="VH1273" s="149"/>
      <c r="VI1273" s="149"/>
      <c r="VJ1273" s="149"/>
      <c r="VK1273" s="149"/>
      <c r="VL1273" s="149"/>
      <c r="VM1273" s="149"/>
      <c r="VN1273" s="149"/>
      <c r="VO1273" s="149"/>
      <c r="VP1273" s="149"/>
      <c r="VQ1273" s="149"/>
      <c r="VR1273" s="149"/>
      <c r="VS1273" s="149"/>
      <c r="VT1273" s="149"/>
      <c r="VU1273" s="149"/>
      <c r="VV1273" s="149"/>
      <c r="VW1273" s="149"/>
      <c r="VX1273" s="149"/>
      <c r="VY1273" s="149"/>
      <c r="VZ1273" s="149"/>
      <c r="WA1273" s="149"/>
      <c r="WB1273" s="149"/>
      <c r="WC1273" s="149"/>
      <c r="WD1273" s="149"/>
      <c r="WE1273" s="149"/>
      <c r="WF1273" s="149"/>
      <c r="WG1273" s="149"/>
      <c r="WH1273" s="149"/>
      <c r="WI1273" s="149"/>
      <c r="WJ1273" s="149"/>
      <c r="WK1273" s="149"/>
      <c r="WL1273" s="149"/>
      <c r="WM1273" s="149"/>
      <c r="WN1273" s="149"/>
      <c r="WO1273" s="149"/>
      <c r="WP1273" s="149"/>
      <c r="WQ1273" s="149"/>
      <c r="WR1273" s="149"/>
      <c r="WS1273" s="149"/>
      <c r="WT1273" s="149"/>
      <c r="WU1273" s="149"/>
      <c r="WV1273" s="149"/>
      <c r="WW1273" s="149"/>
      <c r="WX1273" s="149"/>
      <c r="WY1273" s="149"/>
      <c r="WZ1273" s="149"/>
      <c r="XA1273" s="149"/>
      <c r="XB1273" s="149"/>
      <c r="XC1273" s="149"/>
      <c r="XD1273" s="149"/>
      <c r="XE1273" s="149"/>
      <c r="XF1273" s="149"/>
      <c r="XG1273" s="149"/>
      <c r="XH1273" s="149"/>
      <c r="XI1273" s="149"/>
      <c r="XJ1273" s="149"/>
      <c r="XK1273" s="149"/>
      <c r="XL1273" s="149"/>
      <c r="XM1273" s="149"/>
      <c r="XN1273" s="149"/>
      <c r="XO1273" s="149"/>
      <c r="XP1273" s="149"/>
      <c r="XQ1273" s="149"/>
      <c r="XR1273" s="149"/>
      <c r="XS1273" s="149"/>
      <c r="XT1273" s="149"/>
      <c r="XU1273" s="149"/>
      <c r="XV1273" s="149"/>
      <c r="XW1273" s="149"/>
      <c r="XX1273" s="149"/>
      <c r="XY1273" s="149"/>
      <c r="XZ1273" s="149"/>
      <c r="YA1273" s="149"/>
      <c r="YB1273" s="149"/>
      <c r="YC1273" s="149"/>
      <c r="YD1273" s="149"/>
      <c r="YE1273" s="149"/>
      <c r="YF1273" s="149"/>
      <c r="YG1273" s="149"/>
      <c r="YH1273" s="149"/>
      <c r="YI1273" s="149"/>
      <c r="YJ1273" s="149"/>
      <c r="YK1273" s="149"/>
      <c r="YL1273" s="149"/>
      <c r="YM1273" s="149"/>
      <c r="YN1273" s="149"/>
      <c r="YO1273" s="149"/>
      <c r="YP1273" s="149"/>
      <c r="YQ1273" s="149"/>
      <c r="YR1273" s="149"/>
      <c r="YS1273" s="149"/>
      <c r="YT1273" s="149"/>
      <c r="YU1273" s="149"/>
      <c r="YV1273" s="149"/>
      <c r="YW1273" s="149"/>
      <c r="YX1273" s="149"/>
      <c r="YY1273" s="149"/>
      <c r="YZ1273" s="149"/>
      <c r="ZA1273" s="149"/>
      <c r="ZB1273" s="149"/>
      <c r="ZC1273" s="149"/>
      <c r="ZD1273" s="149"/>
      <c r="ZE1273" s="149"/>
      <c r="ZF1273" s="149"/>
      <c r="ZG1273" s="149"/>
      <c r="ZH1273" s="149"/>
      <c r="ZI1273" s="149"/>
      <c r="ZJ1273" s="149"/>
      <c r="ZK1273" s="149"/>
      <c r="ZL1273" s="149"/>
      <c r="ZM1273" s="149"/>
      <c r="ZN1273" s="149"/>
      <c r="ZO1273" s="149"/>
      <c r="ZP1273" s="149"/>
      <c r="ZQ1273" s="149"/>
      <c r="ZR1273" s="149"/>
      <c r="ZS1273" s="149"/>
      <c r="ZT1273" s="149"/>
      <c r="ZU1273" s="149"/>
      <c r="ZV1273" s="149"/>
      <c r="ZW1273" s="149"/>
      <c r="ZX1273" s="149"/>
      <c r="ZY1273" s="149"/>
      <c r="ZZ1273" s="149"/>
      <c r="AAA1273" s="149"/>
      <c r="AAB1273" s="149"/>
      <c r="AAC1273" s="149"/>
      <c r="AAD1273" s="149"/>
      <c r="AAE1273" s="149"/>
      <c r="AAF1273" s="149"/>
      <c r="AAG1273" s="149"/>
      <c r="AAH1273" s="149"/>
      <c r="AAI1273" s="149"/>
      <c r="AAJ1273" s="149"/>
      <c r="AAK1273" s="149"/>
      <c r="AAL1273" s="149"/>
      <c r="AAM1273" s="149"/>
      <c r="AAN1273" s="149"/>
      <c r="AAO1273" s="149"/>
      <c r="AAP1273" s="149"/>
      <c r="AAQ1273" s="149"/>
      <c r="AAR1273" s="149"/>
      <c r="AAS1273" s="149"/>
      <c r="AAT1273" s="149"/>
      <c r="AAU1273" s="149"/>
      <c r="AAV1273" s="149"/>
      <c r="AAW1273" s="149"/>
      <c r="AAX1273" s="149"/>
      <c r="AAY1273" s="149"/>
      <c r="AAZ1273" s="149"/>
      <c r="ABA1273" s="149"/>
      <c r="ABB1273" s="149"/>
      <c r="ABC1273" s="149"/>
      <c r="ABD1273" s="149"/>
      <c r="ABE1273" s="149"/>
      <c r="ABF1273" s="149"/>
      <c r="ABG1273" s="149"/>
      <c r="ABH1273" s="149"/>
      <c r="ABI1273" s="149"/>
      <c r="ABJ1273" s="149"/>
      <c r="ABK1273" s="149"/>
      <c r="ABL1273" s="149"/>
      <c r="ABM1273" s="149"/>
      <c r="ABN1273" s="149"/>
      <c r="ABO1273" s="149"/>
      <c r="ABP1273" s="149"/>
      <c r="ABQ1273" s="149"/>
      <c r="ABR1273" s="149"/>
      <c r="ABS1273" s="149"/>
      <c r="ABT1273" s="149"/>
      <c r="ABU1273" s="149"/>
      <c r="ABV1273" s="149"/>
      <c r="ABW1273" s="149"/>
      <c r="ABX1273" s="149"/>
      <c r="ABY1273" s="149"/>
      <c r="ABZ1273" s="149"/>
      <c r="ACA1273" s="149"/>
      <c r="ACB1273" s="149"/>
      <c r="ACC1273" s="149"/>
      <c r="ACD1273" s="149"/>
      <c r="ACE1273" s="149"/>
      <c r="ACF1273" s="149"/>
      <c r="ACG1273" s="149"/>
      <c r="ACH1273" s="149"/>
      <c r="ACI1273" s="149"/>
      <c r="ACJ1273" s="149"/>
      <c r="ACK1273" s="149"/>
      <c r="ACL1273" s="149"/>
      <c r="ACM1273" s="149"/>
      <c r="ACN1273" s="149"/>
      <c r="ACO1273" s="149"/>
      <c r="ACP1273" s="149"/>
      <c r="ACQ1273" s="149"/>
      <c r="ACR1273" s="149"/>
      <c r="ACS1273" s="149"/>
      <c r="ACT1273" s="149"/>
      <c r="ACU1273" s="149"/>
      <c r="ACV1273" s="149"/>
      <c r="ACW1273" s="149"/>
      <c r="ACX1273" s="149"/>
      <c r="ACY1273" s="149"/>
      <c r="ACZ1273" s="149"/>
      <c r="ADA1273" s="149"/>
      <c r="ADB1273" s="149"/>
      <c r="ADC1273" s="149"/>
      <c r="ADD1273" s="149"/>
      <c r="ADE1273" s="149"/>
      <c r="ADF1273" s="149"/>
      <c r="ADG1273" s="149"/>
      <c r="ADH1273" s="149"/>
      <c r="ADI1273" s="149"/>
      <c r="ADJ1273" s="149"/>
      <c r="ADK1273" s="149"/>
      <c r="ADL1273" s="149"/>
      <c r="ADM1273" s="149"/>
      <c r="ADN1273" s="149"/>
      <c r="ADO1273" s="149"/>
      <c r="ADP1273" s="149"/>
      <c r="ADQ1273" s="149"/>
      <c r="ADR1273" s="149"/>
      <c r="ADS1273" s="149"/>
      <c r="ADT1273" s="149"/>
      <c r="ADU1273" s="149"/>
      <c r="ADV1273" s="149"/>
      <c r="ADW1273" s="149"/>
      <c r="ADX1273" s="149"/>
      <c r="ADY1273" s="149"/>
      <c r="ADZ1273" s="149"/>
      <c r="AEA1273" s="149"/>
      <c r="AEB1273" s="149"/>
      <c r="AEC1273" s="149"/>
      <c r="AED1273" s="149"/>
      <c r="AEE1273" s="149"/>
      <c r="AEF1273" s="149"/>
      <c r="AEG1273" s="149"/>
      <c r="AEH1273" s="149"/>
      <c r="AEI1273" s="149"/>
      <c r="AEJ1273" s="149"/>
      <c r="AEK1273" s="149"/>
      <c r="AEL1273" s="149"/>
      <c r="AEM1273" s="149"/>
      <c r="AEN1273" s="149"/>
      <c r="AEO1273" s="149"/>
      <c r="AEP1273" s="149"/>
      <c r="AEQ1273" s="149"/>
      <c r="AER1273" s="149"/>
      <c r="AES1273" s="149"/>
      <c r="AET1273" s="149"/>
      <c r="AEU1273" s="149"/>
      <c r="AEV1273" s="149"/>
      <c r="AEW1273" s="149"/>
      <c r="AEX1273" s="149"/>
      <c r="AEY1273" s="149"/>
      <c r="AEZ1273" s="149"/>
      <c r="AFA1273" s="149"/>
      <c r="AFB1273" s="149"/>
      <c r="AFC1273" s="149"/>
      <c r="AFD1273" s="149"/>
      <c r="AFE1273" s="149"/>
      <c r="AFF1273" s="149"/>
      <c r="AFG1273" s="149"/>
      <c r="AFH1273" s="149"/>
      <c r="AFI1273" s="149"/>
      <c r="AFJ1273" s="149"/>
      <c r="AFK1273" s="149"/>
      <c r="AFL1273" s="149"/>
      <c r="AFM1273" s="149"/>
      <c r="AFN1273" s="149"/>
      <c r="AFO1273" s="149"/>
      <c r="AFP1273" s="149"/>
      <c r="AFQ1273" s="149"/>
      <c r="AFR1273" s="149"/>
      <c r="AFS1273" s="149"/>
      <c r="AFT1273" s="149"/>
      <c r="AFU1273" s="149"/>
      <c r="AFV1273" s="149"/>
      <c r="AFW1273" s="149"/>
      <c r="AFX1273" s="149"/>
      <c r="AFY1273" s="149"/>
      <c r="AFZ1273" s="149"/>
      <c r="AGA1273" s="149"/>
      <c r="AGB1273" s="149"/>
      <c r="AGC1273" s="149"/>
      <c r="AGD1273" s="149"/>
      <c r="AGE1273" s="149"/>
      <c r="AGF1273" s="149"/>
      <c r="AGG1273" s="149"/>
      <c r="AGH1273" s="149"/>
      <c r="AGI1273" s="149"/>
      <c r="AGJ1273" s="149"/>
      <c r="AGK1273" s="149"/>
      <c r="AGL1273" s="149"/>
      <c r="AGM1273" s="149"/>
      <c r="AGN1273" s="149"/>
      <c r="AGO1273" s="149"/>
      <c r="AGP1273" s="149"/>
      <c r="AGQ1273" s="149"/>
      <c r="AGR1273" s="149"/>
      <c r="AGS1273" s="149"/>
      <c r="AGT1273" s="149"/>
      <c r="AGU1273" s="149"/>
      <c r="AGV1273" s="149"/>
      <c r="AGW1273" s="149"/>
      <c r="AGX1273" s="149"/>
      <c r="AGY1273" s="149"/>
      <c r="AGZ1273" s="149"/>
      <c r="AHA1273" s="149"/>
      <c r="AHB1273" s="149"/>
      <c r="AHC1273" s="149"/>
      <c r="AHD1273" s="149"/>
      <c r="AHE1273" s="149"/>
      <c r="AHF1273" s="149"/>
      <c r="AHG1273" s="149"/>
      <c r="AHH1273" s="149"/>
      <c r="AHI1273" s="149"/>
      <c r="AHJ1273" s="149"/>
      <c r="AHK1273" s="149"/>
      <c r="AHL1273" s="149"/>
      <c r="AHM1273" s="149"/>
      <c r="AHN1273" s="149"/>
      <c r="AHO1273" s="149"/>
      <c r="AHP1273" s="149"/>
      <c r="AHQ1273" s="149"/>
      <c r="AHR1273" s="149"/>
      <c r="AHS1273" s="149"/>
      <c r="AHT1273" s="149"/>
      <c r="AHU1273" s="149"/>
      <c r="AHV1273" s="149"/>
      <c r="AHW1273" s="149"/>
      <c r="AHX1273" s="149"/>
      <c r="AHY1273" s="149"/>
      <c r="AHZ1273" s="149"/>
      <c r="AIA1273" s="149"/>
      <c r="AIB1273" s="149"/>
      <c r="AIC1273" s="149"/>
      <c r="AID1273" s="149"/>
      <c r="AIE1273" s="149"/>
      <c r="AIF1273" s="149"/>
      <c r="AIG1273" s="149"/>
      <c r="AIH1273" s="149"/>
      <c r="AII1273" s="149"/>
      <c r="AIJ1273" s="149"/>
      <c r="AIK1273" s="149"/>
      <c r="AIL1273" s="149"/>
      <c r="AIM1273" s="149"/>
      <c r="AIN1273" s="149"/>
      <c r="AIO1273" s="149"/>
      <c r="AIP1273" s="149"/>
      <c r="AIQ1273" s="149"/>
      <c r="AIR1273" s="149"/>
      <c r="AIS1273" s="149"/>
      <c r="AIT1273" s="149"/>
      <c r="AIU1273" s="149"/>
      <c r="AIV1273" s="149"/>
      <c r="AIW1273" s="149"/>
      <c r="AIX1273" s="149"/>
      <c r="AIY1273" s="149"/>
      <c r="AIZ1273" s="149"/>
      <c r="AJA1273" s="149"/>
      <c r="AJB1273" s="149"/>
      <c r="AJC1273" s="149"/>
      <c r="AJD1273" s="149"/>
      <c r="AJE1273" s="149"/>
      <c r="AJF1273" s="149"/>
      <c r="AJG1273" s="149"/>
      <c r="AJH1273" s="149"/>
      <c r="AJI1273" s="149"/>
      <c r="AJJ1273" s="149"/>
      <c r="AJK1273" s="149"/>
      <c r="AJL1273" s="149"/>
      <c r="AJM1273" s="149"/>
      <c r="AJN1273" s="149"/>
      <c r="AJO1273" s="149"/>
      <c r="AJP1273" s="149"/>
      <c r="AJQ1273" s="149"/>
      <c r="AJR1273" s="149"/>
      <c r="AJS1273" s="149"/>
      <c r="AJT1273" s="149"/>
      <c r="AJU1273" s="149"/>
      <c r="AJV1273" s="149"/>
      <c r="AJW1273" s="149"/>
      <c r="AJX1273" s="149"/>
      <c r="AJY1273" s="149"/>
      <c r="AJZ1273" s="149"/>
      <c r="AKA1273" s="149"/>
      <c r="AKB1273" s="149"/>
      <c r="AKC1273" s="149"/>
      <c r="AKD1273" s="149"/>
      <c r="AKE1273" s="149"/>
      <c r="AKF1273" s="149"/>
      <c r="AKG1273" s="149"/>
      <c r="AKH1273" s="149"/>
      <c r="AKI1273" s="149"/>
      <c r="AKJ1273" s="149"/>
      <c r="AKK1273" s="149"/>
      <c r="AKL1273" s="149"/>
      <c r="AKM1273" s="149"/>
      <c r="AKN1273" s="149"/>
      <c r="AKO1273" s="149"/>
      <c r="AKP1273" s="149"/>
      <c r="AKQ1273" s="149"/>
      <c r="AKR1273" s="149"/>
      <c r="AKS1273" s="149"/>
      <c r="AKT1273" s="149"/>
      <c r="AKU1273" s="149"/>
      <c r="AKV1273" s="149"/>
      <c r="AKW1273" s="149"/>
      <c r="AKX1273" s="149"/>
      <c r="AKY1273" s="149"/>
      <c r="AKZ1273" s="149"/>
      <c r="ALA1273" s="149"/>
      <c r="ALB1273" s="149"/>
      <c r="ALC1273" s="149"/>
      <c r="ALD1273" s="149"/>
      <c r="ALE1273" s="149"/>
      <c r="ALF1273" s="149"/>
      <c r="ALG1273" s="149"/>
      <c r="ALH1273" s="149"/>
      <c r="ALI1273" s="149"/>
      <c r="ALJ1273" s="149"/>
      <c r="ALK1273" s="149"/>
      <c r="ALL1273" s="149"/>
      <c r="ALM1273" s="149"/>
      <c r="ALN1273" s="149"/>
      <c r="ALO1273" s="149"/>
      <c r="ALP1273" s="149"/>
      <c r="ALQ1273" s="149"/>
      <c r="ALR1273" s="149"/>
      <c r="ALS1273" s="149"/>
      <c r="ALT1273" s="149"/>
      <c r="ALU1273" s="149"/>
      <c r="ALV1273" s="149"/>
      <c r="ALW1273" s="149"/>
      <c r="ALX1273" s="149"/>
      <c r="ALY1273" s="149"/>
      <c r="ALZ1273" s="149"/>
      <c r="AMA1273" s="149"/>
      <c r="AMB1273" s="149"/>
      <c r="AMC1273" s="149"/>
      <c r="AMD1273" s="149"/>
      <c r="AME1273" s="149"/>
      <c r="AMF1273" s="149"/>
      <c r="AMG1273" s="149"/>
      <c r="AMH1273" s="149"/>
      <c r="AMI1273" s="149"/>
      <c r="AMJ1273" s="149"/>
      <c r="AMK1273" s="149"/>
      <c r="AML1273" s="149"/>
      <c r="AMM1273" s="149"/>
      <c r="AMN1273" s="149"/>
      <c r="AMO1273" s="149"/>
      <c r="AMP1273" s="149"/>
      <c r="AMQ1273" s="149"/>
      <c r="AMR1273" s="149"/>
      <c r="AMS1273" s="149"/>
      <c r="AMT1273" s="149"/>
      <c r="AMU1273" s="149"/>
      <c r="AMV1273" s="149"/>
      <c r="AMW1273" s="149"/>
      <c r="AMX1273" s="149"/>
      <c r="AMY1273" s="149"/>
      <c r="AMZ1273" s="149"/>
      <c r="ANA1273" s="149"/>
      <c r="ANB1273" s="149"/>
      <c r="ANC1273" s="149"/>
      <c r="AND1273" s="149"/>
      <c r="ANE1273" s="149"/>
      <c r="ANF1273" s="149"/>
      <c r="ANG1273" s="149"/>
      <c r="ANH1273" s="149"/>
      <c r="ANI1273" s="149"/>
      <c r="ANJ1273" s="149"/>
      <c r="ANK1273" s="149"/>
      <c r="ANL1273" s="149"/>
      <c r="ANM1273" s="149"/>
      <c r="ANN1273" s="149"/>
      <c r="ANO1273" s="149"/>
      <c r="ANP1273" s="149"/>
      <c r="ANQ1273" s="149"/>
      <c r="ANR1273" s="149"/>
      <c r="ANS1273" s="149"/>
      <c r="ANT1273" s="149"/>
      <c r="ANU1273" s="149"/>
      <c r="ANV1273" s="149"/>
      <c r="ANW1273" s="149"/>
      <c r="ANX1273" s="149"/>
      <c r="ANY1273" s="149"/>
      <c r="ANZ1273" s="149"/>
      <c r="AOA1273" s="149"/>
      <c r="AOB1273" s="149"/>
      <c r="AOC1273" s="149"/>
      <c r="AOD1273" s="149"/>
      <c r="AOE1273" s="149"/>
      <c r="AOF1273" s="149"/>
      <c r="AOG1273" s="149"/>
      <c r="AOH1273" s="149"/>
      <c r="AOI1273" s="149"/>
      <c r="AOJ1273" s="149"/>
      <c r="AOK1273" s="149"/>
      <c r="AOL1273" s="149"/>
      <c r="AOM1273" s="149"/>
      <c r="AON1273" s="149"/>
      <c r="AOO1273" s="149"/>
      <c r="AOP1273" s="149"/>
      <c r="AOQ1273" s="149"/>
      <c r="AOR1273" s="149"/>
      <c r="AOS1273" s="149"/>
      <c r="AOT1273" s="149"/>
      <c r="AOU1273" s="149"/>
      <c r="AOV1273" s="149"/>
      <c r="AOW1273" s="149"/>
      <c r="AOX1273" s="149"/>
      <c r="AOY1273" s="149"/>
      <c r="AOZ1273" s="149"/>
      <c r="APA1273" s="149"/>
      <c r="APB1273" s="149"/>
      <c r="APC1273" s="149"/>
      <c r="APD1273" s="149"/>
      <c r="APE1273" s="149"/>
      <c r="APF1273" s="149"/>
      <c r="APG1273" s="149"/>
      <c r="APH1273" s="149"/>
      <c r="API1273" s="149"/>
      <c r="APJ1273" s="149"/>
      <c r="APK1273" s="149"/>
      <c r="APL1273" s="149"/>
      <c r="APM1273" s="149"/>
      <c r="APN1273" s="149"/>
      <c r="APO1273" s="149"/>
      <c r="APP1273" s="149"/>
      <c r="APQ1273" s="149"/>
      <c r="APR1273" s="149"/>
      <c r="APS1273" s="149"/>
      <c r="APT1273" s="149"/>
      <c r="APU1273" s="149"/>
      <c r="APV1273" s="149"/>
      <c r="APW1273" s="149"/>
      <c r="APX1273" s="149"/>
      <c r="APY1273" s="149"/>
      <c r="APZ1273" s="149"/>
      <c r="AQA1273" s="149"/>
      <c r="AQB1273" s="149"/>
      <c r="AQC1273" s="149"/>
      <c r="AQD1273" s="149"/>
      <c r="AQE1273" s="149"/>
      <c r="AQF1273" s="149"/>
      <c r="AQG1273" s="149"/>
      <c r="AQH1273" s="149"/>
      <c r="AQI1273" s="149"/>
      <c r="AQJ1273" s="149"/>
      <c r="AQK1273" s="149"/>
      <c r="AQL1273" s="149"/>
      <c r="AQM1273" s="149"/>
      <c r="AQN1273" s="149"/>
      <c r="AQO1273" s="149"/>
      <c r="AQP1273" s="149"/>
      <c r="AQQ1273" s="149"/>
      <c r="AQR1273" s="149"/>
      <c r="AQS1273" s="149"/>
      <c r="AQT1273" s="149"/>
      <c r="AQU1273" s="149"/>
      <c r="AQV1273" s="149"/>
      <c r="AQW1273" s="149"/>
      <c r="AQX1273" s="149"/>
      <c r="AQY1273" s="149"/>
      <c r="AQZ1273" s="149"/>
      <c r="ARA1273" s="149"/>
      <c r="ARB1273" s="149"/>
      <c r="ARC1273" s="149"/>
      <c r="ARD1273" s="149"/>
      <c r="ARE1273" s="149"/>
      <c r="ARF1273" s="149"/>
      <c r="ARG1273" s="149"/>
      <c r="ARH1273" s="149"/>
      <c r="ARI1273" s="149"/>
      <c r="ARJ1273" s="149"/>
      <c r="ARK1273" s="149"/>
      <c r="ARL1273" s="149"/>
      <c r="ARM1273" s="149"/>
      <c r="ARN1273" s="149"/>
      <c r="ARO1273" s="149"/>
      <c r="ARP1273" s="149"/>
      <c r="ARQ1273" s="149"/>
      <c r="ARR1273" s="149"/>
      <c r="ARS1273" s="149"/>
      <c r="ART1273" s="149"/>
      <c r="ARU1273" s="149"/>
      <c r="ARV1273" s="149"/>
      <c r="ARW1273" s="149"/>
      <c r="ARX1273" s="149"/>
      <c r="ARY1273" s="149"/>
      <c r="ARZ1273" s="149"/>
      <c r="ASA1273" s="149"/>
      <c r="ASB1273" s="149"/>
      <c r="ASC1273" s="149"/>
      <c r="ASD1273" s="149"/>
      <c r="ASE1273" s="149"/>
      <c r="ASF1273" s="149"/>
      <c r="ASG1273" s="149"/>
      <c r="ASH1273" s="149"/>
      <c r="ASI1273" s="149"/>
      <c r="ASJ1273" s="149"/>
      <c r="ASK1273" s="149"/>
      <c r="ASL1273" s="149"/>
      <c r="ASM1273" s="149"/>
      <c r="ASN1273" s="149"/>
      <c r="ASO1273" s="149"/>
      <c r="ASP1273" s="149"/>
      <c r="ASQ1273" s="149"/>
      <c r="ASR1273" s="149"/>
      <c r="ASS1273" s="149"/>
      <c r="AST1273" s="149"/>
      <c r="ASU1273" s="149"/>
      <c r="ASV1273" s="149"/>
      <c r="ASW1273" s="149"/>
      <c r="ASX1273" s="149"/>
      <c r="ASY1273" s="149"/>
      <c r="ASZ1273" s="149"/>
      <c r="ATA1273" s="149"/>
      <c r="ATB1273" s="149"/>
      <c r="ATC1273" s="149"/>
      <c r="ATD1273" s="149"/>
      <c r="ATE1273" s="149"/>
      <c r="ATF1273" s="149"/>
      <c r="ATG1273" s="149"/>
      <c r="ATH1273" s="149"/>
      <c r="ATI1273" s="149"/>
      <c r="ATJ1273" s="149"/>
      <c r="ATK1273" s="149"/>
      <c r="ATL1273" s="149"/>
      <c r="ATM1273" s="149"/>
      <c r="ATN1273" s="149"/>
      <c r="ATO1273" s="149"/>
      <c r="ATP1273" s="149"/>
      <c r="ATQ1273" s="149"/>
      <c r="ATR1273" s="149"/>
      <c r="ATS1273" s="149"/>
      <c r="ATT1273" s="149"/>
      <c r="ATU1273" s="149"/>
      <c r="ATV1273" s="149"/>
      <c r="ATW1273" s="149"/>
      <c r="ATX1273" s="149"/>
      <c r="ATY1273" s="149"/>
      <c r="ATZ1273" s="149"/>
      <c r="AUA1273" s="149"/>
      <c r="AUB1273" s="149"/>
      <c r="AUC1273" s="149"/>
      <c r="AUD1273" s="149"/>
      <c r="AUE1273" s="149"/>
      <c r="AUF1273" s="149"/>
      <c r="AUG1273" s="149"/>
      <c r="AUH1273" s="149"/>
      <c r="AUI1273" s="149"/>
      <c r="AUJ1273" s="149"/>
      <c r="AUK1273" s="149"/>
      <c r="AUL1273" s="149"/>
      <c r="AUM1273" s="149"/>
      <c r="AUN1273" s="149"/>
      <c r="AUO1273" s="149"/>
      <c r="AUP1273" s="149"/>
      <c r="AUQ1273" s="149"/>
      <c r="AUR1273" s="149"/>
      <c r="AUS1273" s="149"/>
      <c r="AUT1273" s="149"/>
      <c r="AUU1273" s="149"/>
      <c r="AUV1273" s="149"/>
      <c r="AUW1273" s="149"/>
      <c r="AUX1273" s="149"/>
      <c r="AUY1273" s="149"/>
      <c r="AUZ1273" s="149"/>
      <c r="AVA1273" s="149"/>
      <c r="AVB1273" s="149"/>
      <c r="AVC1273" s="149"/>
      <c r="AVD1273" s="149"/>
      <c r="AVE1273" s="149"/>
      <c r="AVF1273" s="149"/>
      <c r="AVG1273" s="149"/>
      <c r="AVH1273" s="149"/>
      <c r="AVI1273" s="149"/>
      <c r="AVJ1273" s="149"/>
      <c r="AVK1273" s="149"/>
      <c r="AVL1273" s="149"/>
      <c r="AVM1273" s="149"/>
      <c r="AVN1273" s="149"/>
      <c r="AVO1273" s="149"/>
      <c r="AVP1273" s="149"/>
      <c r="AVQ1273" s="149"/>
      <c r="AVR1273" s="149"/>
      <c r="AVS1273" s="149"/>
      <c r="AVT1273" s="149"/>
      <c r="AVU1273" s="149"/>
      <c r="AVV1273" s="149"/>
      <c r="AVW1273" s="149"/>
      <c r="AVX1273" s="149"/>
      <c r="AVY1273" s="149"/>
      <c r="AVZ1273" s="149"/>
      <c r="AWA1273" s="149"/>
      <c r="AWB1273" s="149"/>
      <c r="AWC1273" s="149"/>
      <c r="AWD1273" s="149"/>
      <c r="AWE1273" s="149"/>
      <c r="AWF1273" s="149"/>
      <c r="AWG1273" s="149"/>
      <c r="AWH1273" s="149"/>
      <c r="AWI1273" s="149"/>
      <c r="AWJ1273" s="149"/>
      <c r="AWK1273" s="149"/>
      <c r="AWL1273" s="149"/>
      <c r="AWM1273" s="149"/>
      <c r="AWN1273" s="149"/>
      <c r="AWO1273" s="149"/>
      <c r="AWP1273" s="149"/>
      <c r="AWQ1273" s="149"/>
      <c r="AWR1273" s="149"/>
      <c r="AWS1273" s="149"/>
      <c r="AWT1273" s="149"/>
      <c r="AWU1273" s="149"/>
      <c r="AWV1273" s="149"/>
      <c r="AWW1273" s="149"/>
      <c r="AWX1273" s="149"/>
      <c r="AWY1273" s="149"/>
      <c r="AWZ1273" s="149"/>
      <c r="AXA1273" s="149"/>
      <c r="AXB1273" s="149"/>
      <c r="AXC1273" s="149"/>
      <c r="AXD1273" s="149"/>
      <c r="AXE1273" s="149"/>
      <c r="AXF1273" s="149"/>
      <c r="AXG1273" s="149"/>
      <c r="AXH1273" s="149"/>
      <c r="AXI1273" s="149"/>
      <c r="AXJ1273" s="149"/>
      <c r="AXK1273" s="149"/>
      <c r="AXL1273" s="149"/>
      <c r="AXM1273" s="149"/>
      <c r="AXN1273" s="149"/>
      <c r="AXO1273" s="149"/>
      <c r="AXP1273" s="149"/>
      <c r="AXQ1273" s="149"/>
      <c r="AXR1273" s="149"/>
      <c r="AXS1273" s="149"/>
      <c r="AXT1273" s="149"/>
      <c r="AXU1273" s="149"/>
      <c r="AXV1273" s="149"/>
      <c r="AXW1273" s="149"/>
      <c r="AXX1273" s="149"/>
      <c r="AXY1273" s="149"/>
      <c r="AXZ1273" s="149"/>
      <c r="AYA1273" s="149"/>
      <c r="AYB1273" s="149"/>
      <c r="AYC1273" s="149"/>
      <c r="AYD1273" s="149"/>
      <c r="AYE1273" s="149"/>
      <c r="AYF1273" s="149"/>
      <c r="AYG1273" s="149"/>
      <c r="AYH1273" s="149"/>
      <c r="AYI1273" s="149"/>
      <c r="AYJ1273" s="149"/>
      <c r="AYK1273" s="149"/>
      <c r="AYL1273" s="149"/>
      <c r="AYM1273" s="149"/>
      <c r="AYN1273" s="149"/>
      <c r="AYO1273" s="149"/>
      <c r="AYP1273" s="149"/>
      <c r="AYQ1273" s="149"/>
      <c r="AYR1273" s="149"/>
      <c r="AYS1273" s="149"/>
      <c r="AYT1273" s="149"/>
      <c r="AYU1273" s="149"/>
      <c r="AYV1273" s="149"/>
      <c r="AYW1273" s="149"/>
      <c r="AYX1273" s="149"/>
      <c r="AYY1273" s="149"/>
      <c r="AYZ1273" s="149"/>
      <c r="AZA1273" s="149"/>
      <c r="AZB1273" s="149"/>
      <c r="AZC1273" s="149"/>
      <c r="AZD1273" s="149"/>
      <c r="AZE1273" s="149"/>
      <c r="AZF1273" s="149"/>
      <c r="AZG1273" s="149"/>
      <c r="AZH1273" s="149"/>
      <c r="AZI1273" s="149"/>
      <c r="AZJ1273" s="149"/>
      <c r="AZK1273" s="149"/>
      <c r="AZL1273" s="149"/>
      <c r="AZM1273" s="149"/>
      <c r="AZN1273" s="149"/>
      <c r="AZO1273" s="149"/>
      <c r="AZP1273" s="149"/>
      <c r="AZQ1273" s="149"/>
      <c r="AZR1273" s="149"/>
      <c r="AZS1273" s="149"/>
      <c r="AZT1273" s="149"/>
      <c r="AZU1273" s="149"/>
      <c r="AZV1273" s="149"/>
      <c r="AZW1273" s="149"/>
      <c r="AZX1273" s="149"/>
      <c r="AZY1273" s="149"/>
      <c r="AZZ1273" s="149"/>
      <c r="BAA1273" s="149"/>
      <c r="BAB1273" s="149"/>
      <c r="BAC1273" s="149"/>
      <c r="BAD1273" s="149"/>
      <c r="BAE1273" s="149"/>
      <c r="BAF1273" s="149"/>
      <c r="BAG1273" s="149"/>
      <c r="BAH1273" s="149"/>
      <c r="BAI1273" s="149"/>
      <c r="BAJ1273" s="149"/>
      <c r="BAK1273" s="149"/>
      <c r="BAL1273" s="149"/>
      <c r="BAM1273" s="149"/>
      <c r="BAN1273" s="149"/>
      <c r="BAO1273" s="149"/>
      <c r="BAP1273" s="149"/>
      <c r="BAQ1273" s="149"/>
      <c r="BAR1273" s="149"/>
      <c r="BAS1273" s="149"/>
      <c r="BAT1273" s="149"/>
      <c r="BAU1273" s="149"/>
      <c r="BAV1273" s="149"/>
      <c r="BAW1273" s="149"/>
      <c r="BAX1273" s="149"/>
      <c r="BAY1273" s="149"/>
      <c r="BAZ1273" s="149"/>
      <c r="BBA1273" s="149"/>
      <c r="BBB1273" s="149"/>
      <c r="BBC1273" s="149"/>
      <c r="BBD1273" s="149"/>
      <c r="BBE1273" s="149"/>
      <c r="BBF1273" s="149"/>
      <c r="BBG1273" s="149"/>
      <c r="BBH1273" s="149"/>
      <c r="BBI1273" s="149"/>
      <c r="BBJ1273" s="149"/>
      <c r="BBK1273" s="149"/>
      <c r="BBL1273" s="149"/>
      <c r="BBM1273" s="149"/>
      <c r="BBN1273" s="149"/>
      <c r="BBO1273" s="149"/>
      <c r="BBP1273" s="149"/>
      <c r="BBQ1273" s="149"/>
      <c r="BBR1273" s="149"/>
      <c r="BBS1273" s="149"/>
      <c r="BBT1273" s="149"/>
      <c r="BBU1273" s="149"/>
      <c r="BBV1273" s="149"/>
      <c r="BBW1273" s="149"/>
      <c r="BBX1273" s="149"/>
      <c r="BBY1273" s="149"/>
      <c r="BBZ1273" s="149"/>
      <c r="BCA1273" s="149"/>
      <c r="BCB1273" s="149"/>
      <c r="BCC1273" s="149"/>
      <c r="BCD1273" s="149"/>
      <c r="BCE1273" s="149"/>
      <c r="BCF1273" s="149"/>
      <c r="BCG1273" s="149"/>
      <c r="BCH1273" s="149"/>
      <c r="BCI1273" s="149"/>
      <c r="BCJ1273" s="149"/>
      <c r="BCK1273" s="149"/>
      <c r="BCL1273" s="149"/>
      <c r="BCM1273" s="149"/>
      <c r="BCN1273" s="149"/>
      <c r="BCO1273" s="149"/>
      <c r="BCP1273" s="149"/>
      <c r="BCQ1273" s="149"/>
      <c r="BCR1273" s="149"/>
      <c r="BCS1273" s="149"/>
      <c r="BCT1273" s="149"/>
      <c r="BCU1273" s="149"/>
      <c r="BCV1273" s="149"/>
      <c r="BCW1273" s="149"/>
      <c r="BCX1273" s="149"/>
      <c r="BCY1273" s="149"/>
      <c r="BCZ1273" s="149"/>
      <c r="BDA1273" s="149"/>
      <c r="BDB1273" s="149"/>
      <c r="BDC1273" s="149"/>
      <c r="BDD1273" s="149"/>
      <c r="BDE1273" s="149"/>
      <c r="BDF1273" s="149"/>
      <c r="BDG1273" s="149"/>
      <c r="BDH1273" s="149"/>
      <c r="BDI1273" s="149"/>
      <c r="BDJ1273" s="149"/>
      <c r="BDK1273" s="149"/>
      <c r="BDL1273" s="149"/>
      <c r="BDM1273" s="149"/>
      <c r="BDN1273" s="149"/>
      <c r="BDO1273" s="149"/>
      <c r="BDP1273" s="149"/>
      <c r="BDQ1273" s="149"/>
      <c r="BDR1273" s="149"/>
      <c r="BDS1273" s="149"/>
      <c r="BDT1273" s="149"/>
      <c r="BDU1273" s="149"/>
      <c r="BDV1273" s="149"/>
      <c r="BDW1273" s="149"/>
      <c r="BDX1273" s="149"/>
      <c r="BDY1273" s="149"/>
      <c r="BDZ1273" s="149"/>
      <c r="BEA1273" s="149"/>
      <c r="BEB1273" s="149"/>
      <c r="BEC1273" s="149"/>
      <c r="BED1273" s="149"/>
      <c r="BEE1273" s="149"/>
      <c r="BEF1273" s="149"/>
      <c r="BEG1273" s="149"/>
      <c r="BEH1273" s="149"/>
      <c r="BEI1273" s="149"/>
      <c r="BEJ1273" s="149"/>
      <c r="BEK1273" s="149"/>
      <c r="BEL1273" s="149"/>
      <c r="BEM1273" s="149"/>
      <c r="BEN1273" s="149"/>
      <c r="BEO1273" s="149"/>
      <c r="BEP1273" s="149"/>
      <c r="BEQ1273" s="149"/>
      <c r="BER1273" s="149"/>
      <c r="BES1273" s="149"/>
      <c r="BET1273" s="149"/>
      <c r="BEU1273" s="149"/>
      <c r="BEV1273" s="149"/>
      <c r="BEW1273" s="149"/>
      <c r="BEX1273" s="149"/>
      <c r="BEY1273" s="149"/>
      <c r="BEZ1273" s="149"/>
      <c r="BFA1273" s="149"/>
      <c r="BFB1273" s="149"/>
      <c r="BFC1273" s="149"/>
      <c r="BFD1273" s="149"/>
      <c r="BFE1273" s="149"/>
      <c r="BFF1273" s="149"/>
      <c r="BFG1273" s="149"/>
      <c r="BFH1273" s="149"/>
      <c r="BFI1273" s="149"/>
      <c r="BFJ1273" s="149"/>
      <c r="BFK1273" s="149"/>
      <c r="BFL1273" s="149"/>
      <c r="BFM1273" s="149"/>
      <c r="BFN1273" s="149"/>
      <c r="BFO1273" s="149"/>
      <c r="BFP1273" s="149"/>
      <c r="BFQ1273" s="149"/>
      <c r="BFR1273" s="149"/>
      <c r="BFS1273" s="149"/>
      <c r="BFT1273" s="149"/>
      <c r="BFU1273" s="149"/>
      <c r="BFV1273" s="149"/>
      <c r="BFW1273" s="149"/>
      <c r="BFX1273" s="149"/>
      <c r="BFY1273" s="149"/>
      <c r="BFZ1273" s="149"/>
      <c r="BGA1273" s="149"/>
      <c r="BGB1273" s="149"/>
      <c r="BGC1273" s="149"/>
      <c r="BGD1273" s="149"/>
      <c r="BGE1273" s="149"/>
      <c r="BGF1273" s="149"/>
      <c r="BGG1273" s="149"/>
      <c r="BGH1273" s="149"/>
      <c r="BGI1273" s="149"/>
      <c r="BGJ1273" s="149"/>
      <c r="BGK1273" s="149"/>
      <c r="BGL1273" s="149"/>
      <c r="BGM1273" s="149"/>
      <c r="BGN1273" s="149"/>
      <c r="BGO1273" s="149"/>
      <c r="BGP1273" s="149"/>
      <c r="BGQ1273" s="149"/>
      <c r="BGR1273" s="149"/>
      <c r="BGS1273" s="149"/>
      <c r="BGT1273" s="149"/>
      <c r="BGU1273" s="149"/>
      <c r="BGV1273" s="149"/>
      <c r="BGW1273" s="149"/>
      <c r="BGX1273" s="149"/>
      <c r="BGY1273" s="149"/>
      <c r="BGZ1273" s="149"/>
      <c r="BHA1273" s="149"/>
      <c r="BHB1273" s="149"/>
      <c r="BHC1273" s="149"/>
      <c r="BHD1273" s="149"/>
      <c r="BHE1273" s="149"/>
      <c r="BHF1273" s="149"/>
      <c r="BHG1273" s="149"/>
      <c r="BHH1273" s="149"/>
      <c r="BHI1273" s="149"/>
      <c r="BHJ1273" s="149"/>
      <c r="BHK1273" s="149"/>
      <c r="BHL1273" s="149"/>
      <c r="BHM1273" s="149"/>
      <c r="BHN1273" s="149"/>
      <c r="BHO1273" s="149"/>
      <c r="BHP1273" s="149"/>
      <c r="BHQ1273" s="149"/>
      <c r="BHR1273" s="149"/>
      <c r="BHS1273" s="149"/>
      <c r="BHT1273" s="149"/>
      <c r="BHU1273" s="149"/>
      <c r="BHV1273" s="149"/>
      <c r="BHW1273" s="149"/>
      <c r="BHX1273" s="149"/>
      <c r="BHY1273" s="149"/>
      <c r="BHZ1273" s="149"/>
      <c r="BIA1273" s="149"/>
      <c r="BIB1273" s="149"/>
      <c r="BIC1273" s="149"/>
      <c r="BID1273" s="149"/>
      <c r="BIE1273" s="149"/>
      <c r="BIF1273" s="149"/>
      <c r="BIG1273" s="149"/>
      <c r="BIH1273" s="149"/>
      <c r="BII1273" s="149"/>
      <c r="BIJ1273" s="149"/>
      <c r="BIK1273" s="149"/>
      <c r="BIL1273" s="149"/>
      <c r="BIM1273" s="149"/>
      <c r="BIN1273" s="149"/>
      <c r="BIO1273" s="149"/>
      <c r="BIP1273" s="149"/>
      <c r="BIQ1273" s="149"/>
      <c r="BIR1273" s="149"/>
      <c r="BIS1273" s="149"/>
      <c r="BIT1273" s="149"/>
      <c r="BIU1273" s="149"/>
      <c r="BIV1273" s="149"/>
      <c r="BIW1273" s="149"/>
      <c r="BIX1273" s="149"/>
      <c r="BIY1273" s="149"/>
      <c r="BIZ1273" s="149"/>
      <c r="BJA1273" s="149"/>
      <c r="BJB1273" s="149"/>
      <c r="BJC1273" s="149"/>
      <c r="BJD1273" s="149"/>
      <c r="BJE1273" s="149"/>
      <c r="BJF1273" s="149"/>
      <c r="BJG1273" s="149"/>
      <c r="BJH1273" s="149"/>
      <c r="BJI1273" s="149"/>
      <c r="BJJ1273" s="149"/>
      <c r="BJK1273" s="149"/>
      <c r="BJL1273" s="149"/>
      <c r="BJM1273" s="149"/>
      <c r="BJN1273" s="149"/>
      <c r="BJO1273" s="149"/>
      <c r="BJP1273" s="149"/>
      <c r="BJQ1273" s="149"/>
      <c r="BJR1273" s="149"/>
      <c r="BJS1273" s="149"/>
      <c r="BJT1273" s="149"/>
      <c r="BJU1273" s="149"/>
      <c r="BJV1273" s="149"/>
      <c r="BJW1273" s="149"/>
      <c r="BJX1273" s="149"/>
      <c r="BJY1273" s="149"/>
      <c r="BJZ1273" s="149"/>
      <c r="BKA1273" s="149"/>
      <c r="BKB1273" s="149"/>
      <c r="BKC1273" s="149"/>
      <c r="BKD1273" s="149"/>
      <c r="BKE1273" s="149"/>
      <c r="BKF1273" s="149"/>
      <c r="BKG1273" s="149"/>
      <c r="BKH1273" s="149"/>
      <c r="BKI1273" s="149"/>
      <c r="BKJ1273" s="149"/>
      <c r="BKK1273" s="149"/>
      <c r="BKL1273" s="149"/>
      <c r="BKM1273" s="149"/>
      <c r="BKN1273" s="149"/>
      <c r="BKO1273" s="149"/>
      <c r="BKP1273" s="149"/>
      <c r="BKQ1273" s="149"/>
      <c r="BKR1273" s="149"/>
      <c r="BKS1273" s="149"/>
      <c r="BKT1273" s="149"/>
      <c r="BKU1273" s="149"/>
      <c r="BKV1273" s="149"/>
      <c r="BKW1273" s="149"/>
      <c r="BKX1273" s="149"/>
      <c r="BKY1273" s="149"/>
      <c r="BKZ1273" s="149"/>
      <c r="BLA1273" s="149"/>
      <c r="BLB1273" s="149"/>
      <c r="BLC1273" s="149"/>
      <c r="BLD1273" s="149"/>
      <c r="BLE1273" s="149"/>
      <c r="BLF1273" s="149"/>
      <c r="BLG1273" s="149"/>
      <c r="BLH1273" s="149"/>
      <c r="BLI1273" s="149"/>
      <c r="BLJ1273" s="149"/>
      <c r="BLK1273" s="149"/>
      <c r="BLL1273" s="149"/>
      <c r="BLM1273" s="149"/>
      <c r="BLN1273" s="149"/>
      <c r="BLO1273" s="149"/>
      <c r="BLP1273" s="149"/>
      <c r="BLQ1273" s="149"/>
      <c r="BLR1273" s="149"/>
      <c r="BLS1273" s="149"/>
      <c r="BLT1273" s="149"/>
      <c r="BLU1273" s="149"/>
      <c r="BLV1273" s="149"/>
      <c r="BLW1273" s="149"/>
      <c r="BLX1273" s="149"/>
      <c r="BLY1273" s="149"/>
      <c r="BLZ1273" s="149"/>
      <c r="BMA1273" s="149"/>
      <c r="BMB1273" s="149"/>
      <c r="BMC1273" s="149"/>
      <c r="BMD1273" s="149"/>
      <c r="BME1273" s="149"/>
      <c r="BMF1273" s="149"/>
      <c r="BMG1273" s="149"/>
      <c r="BMH1273" s="149"/>
      <c r="BMI1273" s="149"/>
      <c r="BMJ1273" s="149"/>
      <c r="BMK1273" s="149"/>
      <c r="BML1273" s="149"/>
      <c r="BMM1273" s="149"/>
      <c r="BMN1273" s="149"/>
      <c r="BMO1273" s="149"/>
      <c r="BMP1273" s="149"/>
      <c r="BMQ1273" s="149"/>
      <c r="BMR1273" s="149"/>
      <c r="BMS1273" s="149"/>
      <c r="BMT1273" s="149"/>
      <c r="BMU1273" s="149"/>
      <c r="BMV1273" s="149"/>
      <c r="BMW1273" s="149"/>
      <c r="BMX1273" s="149"/>
      <c r="BMY1273" s="149"/>
      <c r="BMZ1273" s="149"/>
      <c r="BNA1273" s="149"/>
      <c r="BNB1273" s="149"/>
      <c r="BNC1273" s="149"/>
      <c r="BND1273" s="149"/>
      <c r="BNE1273" s="149"/>
      <c r="BNF1273" s="149"/>
      <c r="BNG1273" s="149"/>
      <c r="BNH1273" s="149"/>
      <c r="BNI1273" s="149"/>
      <c r="BNJ1273" s="149"/>
      <c r="BNK1273" s="149"/>
      <c r="BNL1273" s="149"/>
      <c r="BNM1273" s="149"/>
      <c r="BNN1273" s="149"/>
      <c r="BNO1273" s="149"/>
      <c r="BNP1273" s="149"/>
      <c r="BNQ1273" s="149"/>
      <c r="BNR1273" s="149"/>
      <c r="BNS1273" s="149"/>
      <c r="BNT1273" s="149"/>
      <c r="BNU1273" s="149"/>
      <c r="BNV1273" s="149"/>
      <c r="BNW1273" s="149"/>
      <c r="BNX1273" s="149"/>
      <c r="BNY1273" s="149"/>
      <c r="BNZ1273" s="149"/>
      <c r="BOA1273" s="149"/>
      <c r="BOB1273" s="149"/>
      <c r="BOC1273" s="149"/>
      <c r="BOD1273" s="149"/>
      <c r="BOE1273" s="149"/>
      <c r="BOF1273" s="149"/>
      <c r="BOG1273" s="149"/>
      <c r="BOH1273" s="149"/>
      <c r="BOI1273" s="149"/>
      <c r="BOJ1273" s="149"/>
      <c r="BOK1273" s="149"/>
      <c r="BOL1273" s="149"/>
      <c r="BOM1273" s="149"/>
      <c r="BON1273" s="149"/>
      <c r="BOO1273" s="149"/>
      <c r="BOP1273" s="149"/>
      <c r="BOQ1273" s="149"/>
      <c r="BOR1273" s="149"/>
      <c r="BOS1273" s="149"/>
      <c r="BOT1273" s="149"/>
      <c r="BOU1273" s="149"/>
      <c r="BOV1273" s="149"/>
      <c r="BOW1273" s="149"/>
      <c r="BOX1273" s="149"/>
      <c r="BOY1273" s="149"/>
      <c r="BOZ1273" s="149"/>
      <c r="BPA1273" s="149"/>
      <c r="BPB1273" s="149"/>
      <c r="BPC1273" s="149"/>
      <c r="BPD1273" s="149"/>
      <c r="BPE1273" s="149"/>
      <c r="BPF1273" s="149"/>
      <c r="BPG1273" s="149"/>
      <c r="BPH1273" s="149"/>
      <c r="BPI1273" s="149"/>
      <c r="BPJ1273" s="149"/>
      <c r="BPK1273" s="149"/>
      <c r="BPL1273" s="149"/>
      <c r="BPM1273" s="149"/>
      <c r="BPN1273" s="149"/>
      <c r="BPO1273" s="149"/>
      <c r="BPP1273" s="149"/>
      <c r="BPQ1273" s="149"/>
      <c r="BPR1273" s="149"/>
      <c r="BPS1273" s="149"/>
      <c r="BPT1273" s="149"/>
      <c r="BPU1273" s="149"/>
      <c r="BPV1273" s="149"/>
      <c r="BPW1273" s="149"/>
      <c r="BPX1273" s="149"/>
      <c r="BPY1273" s="149"/>
      <c r="BPZ1273" s="149"/>
      <c r="BQA1273" s="149"/>
      <c r="BQB1273" s="149"/>
      <c r="BQC1273" s="149"/>
      <c r="BQD1273" s="149"/>
      <c r="BQE1273" s="149"/>
      <c r="BQF1273" s="149"/>
      <c r="BQG1273" s="149"/>
      <c r="BQH1273" s="149"/>
      <c r="BQI1273" s="149"/>
      <c r="BQJ1273" s="149"/>
      <c r="BQK1273" s="149"/>
      <c r="BQL1273" s="149"/>
      <c r="BQM1273" s="149"/>
      <c r="BQN1273" s="149"/>
      <c r="BQO1273" s="149"/>
      <c r="BQP1273" s="149"/>
      <c r="BQQ1273" s="149"/>
      <c r="BQR1273" s="149"/>
      <c r="BQS1273" s="149"/>
      <c r="BQT1273" s="149"/>
      <c r="BQU1273" s="149"/>
      <c r="BQV1273" s="149"/>
      <c r="BQW1273" s="149"/>
      <c r="BQX1273" s="149"/>
      <c r="BQY1273" s="149"/>
      <c r="BQZ1273" s="149"/>
      <c r="BRA1273" s="149"/>
      <c r="BRB1273" s="149"/>
      <c r="BRC1273" s="149"/>
      <c r="BRD1273" s="149"/>
      <c r="BRE1273" s="149"/>
      <c r="BRF1273" s="149"/>
      <c r="BRG1273" s="149"/>
      <c r="BRH1273" s="149"/>
      <c r="BRI1273" s="149"/>
      <c r="BRJ1273" s="149"/>
      <c r="BRK1273" s="149"/>
      <c r="BRL1273" s="149"/>
      <c r="BRM1273" s="149"/>
      <c r="BRN1273" s="149"/>
      <c r="BRO1273" s="149"/>
      <c r="BRP1273" s="149"/>
      <c r="BRQ1273" s="149"/>
      <c r="BRR1273" s="149"/>
      <c r="BRS1273" s="149"/>
      <c r="BRT1273" s="149"/>
      <c r="BRU1273" s="149"/>
      <c r="BRV1273" s="149"/>
      <c r="BRW1273" s="149"/>
      <c r="BRX1273" s="149"/>
      <c r="BRY1273" s="149"/>
      <c r="BRZ1273" s="149"/>
      <c r="BSA1273" s="149"/>
      <c r="BSB1273" s="149"/>
      <c r="BSC1273" s="149"/>
      <c r="BSD1273" s="149"/>
      <c r="BSE1273" s="149"/>
      <c r="BSF1273" s="149"/>
      <c r="BSG1273" s="149"/>
      <c r="BSH1273" s="149"/>
      <c r="BSI1273" s="149"/>
      <c r="BSJ1273" s="149"/>
      <c r="BSK1273" s="149"/>
      <c r="BSL1273" s="149"/>
      <c r="BSM1273" s="149"/>
      <c r="BSN1273" s="149"/>
      <c r="BSO1273" s="149"/>
      <c r="BSP1273" s="149"/>
      <c r="BSQ1273" s="149"/>
      <c r="BSR1273" s="149"/>
      <c r="BSS1273" s="149"/>
      <c r="BST1273" s="149"/>
      <c r="BSU1273" s="149"/>
      <c r="BSV1273" s="149"/>
      <c r="BSW1273" s="149"/>
      <c r="BSX1273" s="149"/>
      <c r="BSY1273" s="149"/>
      <c r="BSZ1273" s="149"/>
      <c r="BTA1273" s="149"/>
    </row>
    <row r="1274" spans="1:1873" s="149" customFormat="1" ht="12.75" customHeight="1" x14ac:dyDescent="0.25">
      <c r="A1274" s="263" t="s">
        <v>560</v>
      </c>
      <c r="B1274" s="263" t="s">
        <v>1268</v>
      </c>
      <c r="C1274" s="600" t="s">
        <v>117</v>
      </c>
      <c r="D1274" s="263" t="s">
        <v>1257</v>
      </c>
      <c r="E1274" s="599" t="s">
        <v>116</v>
      </c>
      <c r="F1274" s="600">
        <v>2</v>
      </c>
      <c r="G1274" s="600">
        <v>3</v>
      </c>
      <c r="H1274" s="600">
        <v>6</v>
      </c>
      <c r="I1274" s="257" t="s">
        <v>856</v>
      </c>
      <c r="J1274" s="599">
        <v>1982</v>
      </c>
      <c r="K1274" s="257" t="s">
        <v>1211</v>
      </c>
      <c r="L1274" s="608">
        <v>1987</v>
      </c>
      <c r="M1274" s="261">
        <v>-9999</v>
      </c>
      <c r="N1274" s="257">
        <v>-9999</v>
      </c>
      <c r="O1274" s="29"/>
      <c r="P1274" s="602">
        <v>14.14</v>
      </c>
      <c r="Q1274" s="257">
        <v>-9999</v>
      </c>
      <c r="R1274" s="261"/>
      <c r="S1274" s="257"/>
      <c r="T1274" s="370">
        <v>4.7130000000000001</v>
      </c>
      <c r="U1274" s="257">
        <v>-9999</v>
      </c>
      <c r="V1274" s="257"/>
      <c r="W1274" s="609">
        <f>+P1274-P1273</f>
        <v>1.1400000000000006</v>
      </c>
      <c r="X1274" s="257">
        <v>-9999</v>
      </c>
      <c r="Y1274" s="257"/>
      <c r="Z1274" s="327" t="s">
        <v>1705</v>
      </c>
      <c r="AA1274" s="605">
        <v>2691</v>
      </c>
      <c r="AB1274" s="611">
        <v>0.87</v>
      </c>
      <c r="AC1274" s="257">
        <v>10.3</v>
      </c>
      <c r="AD1274" s="602">
        <f t="shared" si="137"/>
        <v>966</v>
      </c>
      <c r="AE1274" s="263" t="s">
        <v>97</v>
      </c>
      <c r="AF1274" s="600">
        <v>1</v>
      </c>
      <c r="AG1274" s="257">
        <v>2</v>
      </c>
      <c r="AH1274" s="257" t="s">
        <v>98</v>
      </c>
      <c r="AI1274" s="257" t="s">
        <v>985</v>
      </c>
      <c r="AJ1274" s="257">
        <v>-9999</v>
      </c>
      <c r="AK1274" s="257" t="s">
        <v>99</v>
      </c>
      <c r="AL1274" s="257" t="s">
        <v>828</v>
      </c>
      <c r="AM1274" s="257">
        <v>-9999</v>
      </c>
      <c r="AN1274" s="257" t="s">
        <v>631</v>
      </c>
      <c r="AO1274" s="257">
        <v>-9999</v>
      </c>
      <c r="AP1274" s="257">
        <v>-9999</v>
      </c>
      <c r="AQ1274" s="257" t="s">
        <v>631</v>
      </c>
      <c r="AR1274" s="257">
        <v>0</v>
      </c>
      <c r="AS1274" s="257">
        <v>-9999</v>
      </c>
      <c r="AT1274" s="257">
        <v>-9999</v>
      </c>
      <c r="AU1274" s="257">
        <v>0</v>
      </c>
      <c r="AV1274" s="257">
        <v>-9999</v>
      </c>
      <c r="AW1274" s="257"/>
      <c r="AX1274" s="257">
        <v>0</v>
      </c>
      <c r="AY1274" s="257">
        <v>-9999</v>
      </c>
      <c r="AZ1274" s="257">
        <v>-9999</v>
      </c>
      <c r="BA1274" s="257" t="s">
        <v>100</v>
      </c>
      <c r="BB1274" s="257" t="s">
        <v>626</v>
      </c>
      <c r="BC1274" s="257" t="s">
        <v>101</v>
      </c>
      <c r="BD1274" s="257" t="s">
        <v>102</v>
      </c>
      <c r="BE1274" s="257" t="s">
        <v>103</v>
      </c>
      <c r="BF1274" s="257" t="s">
        <v>104</v>
      </c>
      <c r="BG1274" s="257" t="s">
        <v>105</v>
      </c>
      <c r="BH1274" s="257" t="s">
        <v>106</v>
      </c>
      <c r="BI1274" s="257">
        <v>-9999</v>
      </c>
      <c r="BJ1274" s="257">
        <v>-9999</v>
      </c>
      <c r="BK1274" s="257">
        <v>-9999</v>
      </c>
      <c r="BL1274" s="602">
        <v>2.5</v>
      </c>
      <c r="BM1274" s="257">
        <v>-9999</v>
      </c>
      <c r="BN1274" s="602">
        <v>2.8</v>
      </c>
      <c r="BO1274" s="257">
        <v>-9999</v>
      </c>
      <c r="BP1274" s="257">
        <v>-9999</v>
      </c>
      <c r="BQ1274" s="257">
        <v>-9999</v>
      </c>
      <c r="BR1274" s="257">
        <v>-9999</v>
      </c>
      <c r="BS1274" s="263">
        <v>-9999</v>
      </c>
      <c r="BT1274" s="257">
        <v>-9999</v>
      </c>
      <c r="BU1274" s="257">
        <v>-9999</v>
      </c>
      <c r="BV1274" s="257">
        <v>-9999</v>
      </c>
      <c r="BW1274" s="257"/>
      <c r="BX1274" s="257">
        <v>-9999</v>
      </c>
      <c r="BY1274" s="257">
        <v>-9999</v>
      </c>
      <c r="BZ1274" s="257">
        <v>-9999</v>
      </c>
      <c r="CA1274" s="300" t="s">
        <v>107</v>
      </c>
      <c r="CB1274" s="264" t="s">
        <v>561</v>
      </c>
      <c r="CC1274" s="600">
        <v>2</v>
      </c>
      <c r="CD1274" s="600">
        <v>3</v>
      </c>
      <c r="CE1274" s="168">
        <v>4.7130000000000001</v>
      </c>
      <c r="CF1274" s="168">
        <v>1.1400000000000006</v>
      </c>
      <c r="CG1274" s="161">
        <v>6</v>
      </c>
    </row>
    <row r="1275" spans="1:1873" s="149" customFormat="1" ht="12.75" customHeight="1" x14ac:dyDescent="0.25">
      <c r="A1275" s="263"/>
      <c r="B1275" s="263"/>
      <c r="C1275" s="600"/>
      <c r="D1275" s="263"/>
      <c r="E1275" s="599"/>
      <c r="F1275" s="599"/>
      <c r="G1275" s="600"/>
      <c r="H1275" s="600"/>
      <c r="I1275" s="257"/>
      <c r="J1275" s="599"/>
      <c r="K1275" s="257"/>
      <c r="L1275" s="600"/>
      <c r="M1275" s="261"/>
      <c r="N1275" s="257"/>
      <c r="O1275" s="29"/>
      <c r="P1275" s="602"/>
      <c r="Q1275" s="257"/>
      <c r="R1275" s="261"/>
      <c r="S1275" s="257"/>
      <c r="T1275" s="370"/>
      <c r="U1275" s="257"/>
      <c r="V1275" s="257"/>
      <c r="W1275" s="609"/>
      <c r="X1275" s="257"/>
      <c r="Y1275" s="257"/>
      <c r="Z1275" s="599"/>
      <c r="AA1275" s="605"/>
      <c r="AB1275" s="611"/>
      <c r="AC1275" s="257"/>
      <c r="AD1275" s="602"/>
      <c r="AE1275" s="263"/>
      <c r="AF1275" s="600"/>
      <c r="AG1275" s="257"/>
      <c r="AH1275" s="257"/>
      <c r="AI1275" s="257"/>
      <c r="AJ1275" s="257"/>
      <c r="AK1275" s="257"/>
      <c r="AL1275" s="257"/>
      <c r="AM1275" s="257"/>
      <c r="AN1275" s="257"/>
      <c r="AO1275" s="257"/>
      <c r="AP1275" s="257"/>
      <c r="AQ1275" s="257"/>
      <c r="AR1275" s="257"/>
      <c r="AS1275" s="257"/>
      <c r="AT1275" s="257"/>
      <c r="AU1275" s="257"/>
      <c r="AV1275" s="257"/>
      <c r="AW1275" s="257"/>
      <c r="AX1275" s="257"/>
      <c r="AY1275" s="257"/>
      <c r="AZ1275" s="257"/>
      <c r="BA1275" s="257"/>
      <c r="BB1275" s="257"/>
      <c r="BC1275" s="257"/>
      <c r="BD1275" s="257"/>
      <c r="BE1275" s="257"/>
      <c r="BF1275" s="257"/>
      <c r="BG1275" s="257"/>
      <c r="BH1275" s="257"/>
      <c r="BI1275" s="257"/>
      <c r="BJ1275" s="257"/>
      <c r="BK1275" s="257"/>
      <c r="BL1275" s="602"/>
      <c r="BM1275" s="257"/>
      <c r="BN1275" s="602"/>
      <c r="BO1275" s="257"/>
      <c r="BP1275" s="257"/>
      <c r="BQ1275" s="257"/>
      <c r="BR1275" s="257"/>
      <c r="BS1275" s="263"/>
      <c r="BT1275" s="257"/>
      <c r="BU1275" s="257"/>
      <c r="BV1275" s="257"/>
      <c r="BW1275" s="257"/>
      <c r="BX1275" s="257"/>
      <c r="BY1275" s="257"/>
      <c r="BZ1275" s="257"/>
      <c r="CA1275" s="300"/>
      <c r="CB1275" s="264"/>
      <c r="CC1275" s="599"/>
      <c r="CD1275" s="600"/>
      <c r="CE1275" s="342" t="s">
        <v>1576</v>
      </c>
      <c r="CF1275" s="342" t="s">
        <v>1575</v>
      </c>
      <c r="CG1275" s="161"/>
    </row>
    <row r="1276" spans="1:1873" s="149" customFormat="1" ht="12.75" customHeight="1" x14ac:dyDescent="0.25">
      <c r="A1276" s="263" t="s">
        <v>560</v>
      </c>
      <c r="B1276" s="263" t="s">
        <v>1268</v>
      </c>
      <c r="C1276" s="600" t="s">
        <v>118</v>
      </c>
      <c r="D1276" s="263" t="s">
        <v>1257</v>
      </c>
      <c r="E1276" s="599" t="s">
        <v>116</v>
      </c>
      <c r="F1276" s="600">
        <v>1</v>
      </c>
      <c r="G1276" s="600">
        <v>1</v>
      </c>
      <c r="H1276" s="600">
        <v>1</v>
      </c>
      <c r="I1276" s="257" t="s">
        <v>856</v>
      </c>
      <c r="J1276" s="599">
        <v>1982</v>
      </c>
      <c r="K1276" s="257" t="s">
        <v>1211</v>
      </c>
      <c r="L1276" s="608">
        <v>1982</v>
      </c>
      <c r="M1276" s="261">
        <v>-9999</v>
      </c>
      <c r="N1276" s="257">
        <v>-9999</v>
      </c>
      <c r="O1276" s="29"/>
      <c r="P1276" s="602">
        <v>0.22</v>
      </c>
      <c r="Q1276" s="257">
        <v>-9999</v>
      </c>
      <c r="R1276" s="261"/>
      <c r="S1276" s="257"/>
      <c r="T1276" s="370">
        <v>0.22</v>
      </c>
      <c r="U1276" s="257">
        <v>-9999</v>
      </c>
      <c r="V1276" s="257"/>
      <c r="W1276" s="609">
        <f t="shared" ref="W1276:W1281" si="138">+P1276-P1275</f>
        <v>0.22</v>
      </c>
      <c r="X1276" s="257">
        <v>-9999</v>
      </c>
      <c r="Y1276" s="257"/>
      <c r="Z1276" s="599" t="s">
        <v>111</v>
      </c>
      <c r="AA1276" s="605">
        <v>1794</v>
      </c>
      <c r="AB1276" s="611">
        <v>0.94</v>
      </c>
      <c r="AC1276" s="257">
        <v>10.3</v>
      </c>
      <c r="AD1276" s="602">
        <f t="shared" si="137"/>
        <v>966</v>
      </c>
      <c r="AE1276" s="263" t="s">
        <v>97</v>
      </c>
      <c r="AF1276" s="600">
        <v>6</v>
      </c>
      <c r="AG1276" s="257">
        <v>2</v>
      </c>
      <c r="AH1276" s="257" t="s">
        <v>98</v>
      </c>
      <c r="AI1276" s="257" t="s">
        <v>985</v>
      </c>
      <c r="AJ1276" s="257">
        <v>-9999</v>
      </c>
      <c r="AK1276" s="257" t="s">
        <v>99</v>
      </c>
      <c r="AL1276" s="257" t="s">
        <v>828</v>
      </c>
      <c r="AM1276" s="257">
        <v>-9999</v>
      </c>
      <c r="AN1276" s="257" t="s">
        <v>631</v>
      </c>
      <c r="AO1276" s="257">
        <v>-9999</v>
      </c>
      <c r="AP1276" s="257">
        <v>-9999</v>
      </c>
      <c r="AQ1276" s="257" t="s">
        <v>631</v>
      </c>
      <c r="AR1276" s="257">
        <v>0</v>
      </c>
      <c r="AS1276" s="257">
        <v>-9999</v>
      </c>
      <c r="AT1276" s="257">
        <v>-9999</v>
      </c>
      <c r="AU1276" s="257">
        <v>0</v>
      </c>
      <c r="AV1276" s="257">
        <v>-9999</v>
      </c>
      <c r="AW1276" s="257"/>
      <c r="AX1276" s="257">
        <v>0</v>
      </c>
      <c r="AY1276" s="257">
        <v>-9999</v>
      </c>
      <c r="AZ1276" s="257">
        <v>-9999</v>
      </c>
      <c r="BA1276" s="257" t="s">
        <v>100</v>
      </c>
      <c r="BB1276" s="257" t="s">
        <v>626</v>
      </c>
      <c r="BC1276" s="257" t="s">
        <v>101</v>
      </c>
      <c r="BD1276" s="257" t="s">
        <v>102</v>
      </c>
      <c r="BE1276" s="257" t="s">
        <v>103</v>
      </c>
      <c r="BF1276" s="257" t="s">
        <v>104</v>
      </c>
      <c r="BG1276" s="257" t="s">
        <v>105</v>
      </c>
      <c r="BH1276" s="257" t="s">
        <v>106</v>
      </c>
      <c r="BI1276" s="257">
        <v>-9999</v>
      </c>
      <c r="BJ1276" s="257">
        <v>-9999</v>
      </c>
      <c r="BK1276" s="257">
        <v>-9999</v>
      </c>
      <c r="BL1276" s="602">
        <v>1.07</v>
      </c>
      <c r="BM1276" s="257">
        <v>-9999</v>
      </c>
      <c r="BN1276" s="602">
        <v>0</v>
      </c>
      <c r="BO1276" s="257">
        <v>-9999</v>
      </c>
      <c r="BP1276" s="257">
        <v>-9999</v>
      </c>
      <c r="BQ1276" s="257">
        <v>-9999</v>
      </c>
      <c r="BR1276" s="257">
        <v>-9999</v>
      </c>
      <c r="BS1276" s="263">
        <v>-9999</v>
      </c>
      <c r="BT1276" s="257">
        <v>-9999</v>
      </c>
      <c r="BU1276" s="257">
        <v>-9999</v>
      </c>
      <c r="BV1276" s="257">
        <v>-9999</v>
      </c>
      <c r="BW1276" s="257"/>
      <c r="BX1276" s="257">
        <v>-9999</v>
      </c>
      <c r="BY1276" s="257">
        <v>-9999</v>
      </c>
      <c r="BZ1276" s="257">
        <v>-9999</v>
      </c>
      <c r="CA1276" s="300" t="s">
        <v>107</v>
      </c>
      <c r="CB1276" s="264" t="s">
        <v>561</v>
      </c>
      <c r="CC1276" s="600">
        <v>1</v>
      </c>
      <c r="CD1276" s="600">
        <v>1</v>
      </c>
      <c r="CE1276" s="168">
        <v>0.22</v>
      </c>
      <c r="CF1276" s="168">
        <v>0.22</v>
      </c>
      <c r="CG1276" s="161">
        <v>1</v>
      </c>
    </row>
    <row r="1277" spans="1:1873" s="149" customFormat="1" ht="12.75" customHeight="1" x14ac:dyDescent="0.25">
      <c r="A1277" s="263" t="s">
        <v>560</v>
      </c>
      <c r="B1277" s="263" t="s">
        <v>1268</v>
      </c>
      <c r="C1277" s="600" t="s">
        <v>118</v>
      </c>
      <c r="D1277" s="263" t="s">
        <v>1257</v>
      </c>
      <c r="E1277" s="599" t="s">
        <v>116</v>
      </c>
      <c r="F1277" s="600">
        <v>1</v>
      </c>
      <c r="G1277" s="600">
        <v>2</v>
      </c>
      <c r="H1277" s="600">
        <v>2</v>
      </c>
      <c r="I1277" s="257" t="s">
        <v>856</v>
      </c>
      <c r="J1277" s="599">
        <v>1982</v>
      </c>
      <c r="K1277" s="257" t="s">
        <v>1211</v>
      </c>
      <c r="L1277" s="608">
        <v>1983</v>
      </c>
      <c r="M1277" s="261">
        <v>-9999</v>
      </c>
      <c r="N1277" s="257">
        <v>-9999</v>
      </c>
      <c r="O1277" s="29"/>
      <c r="P1277" s="602">
        <v>2.99</v>
      </c>
      <c r="Q1277" s="257">
        <v>-9999</v>
      </c>
      <c r="R1277" s="261"/>
      <c r="S1277" s="257"/>
      <c r="T1277" s="370">
        <v>1.4550000000000001</v>
      </c>
      <c r="U1277" s="257">
        <v>-9999</v>
      </c>
      <c r="V1277" s="257"/>
      <c r="W1277" s="609">
        <f t="shared" si="138"/>
        <v>2.77</v>
      </c>
      <c r="X1277" s="257">
        <v>-9999</v>
      </c>
      <c r="Y1277" s="257"/>
      <c r="Z1277" s="599" t="s">
        <v>111</v>
      </c>
      <c r="AA1277" s="605">
        <v>1794</v>
      </c>
      <c r="AB1277" s="611">
        <v>0.85</v>
      </c>
      <c r="AC1277" s="257">
        <v>10.3</v>
      </c>
      <c r="AD1277" s="602">
        <f t="shared" si="137"/>
        <v>966</v>
      </c>
      <c r="AE1277" s="263" t="s">
        <v>97</v>
      </c>
      <c r="AF1277" s="600">
        <v>6</v>
      </c>
      <c r="AG1277" s="257">
        <v>2</v>
      </c>
      <c r="AH1277" s="257" t="s">
        <v>98</v>
      </c>
      <c r="AI1277" s="257" t="s">
        <v>985</v>
      </c>
      <c r="AJ1277" s="257">
        <v>-9999</v>
      </c>
      <c r="AK1277" s="257" t="s">
        <v>99</v>
      </c>
      <c r="AL1277" s="257" t="s">
        <v>828</v>
      </c>
      <c r="AM1277" s="257">
        <v>-9999</v>
      </c>
      <c r="AN1277" s="257" t="s">
        <v>631</v>
      </c>
      <c r="AO1277" s="257">
        <v>-9999</v>
      </c>
      <c r="AP1277" s="257">
        <v>-9999</v>
      </c>
      <c r="AQ1277" s="257" t="s">
        <v>631</v>
      </c>
      <c r="AR1277" s="257">
        <v>0</v>
      </c>
      <c r="AS1277" s="257">
        <v>-9999</v>
      </c>
      <c r="AT1277" s="257">
        <v>-9999</v>
      </c>
      <c r="AU1277" s="257">
        <v>0</v>
      </c>
      <c r="AV1277" s="257">
        <v>-9999</v>
      </c>
      <c r="AW1277" s="257"/>
      <c r="AX1277" s="257">
        <v>0</v>
      </c>
      <c r="AY1277" s="257">
        <v>-9999</v>
      </c>
      <c r="AZ1277" s="257">
        <v>-9999</v>
      </c>
      <c r="BA1277" s="257" t="s">
        <v>100</v>
      </c>
      <c r="BB1277" s="257" t="s">
        <v>626</v>
      </c>
      <c r="BC1277" s="257" t="s">
        <v>101</v>
      </c>
      <c r="BD1277" s="257" t="s">
        <v>102</v>
      </c>
      <c r="BE1277" s="257" t="s">
        <v>103</v>
      </c>
      <c r="BF1277" s="257" t="s">
        <v>104</v>
      </c>
      <c r="BG1277" s="257" t="s">
        <v>105</v>
      </c>
      <c r="BH1277" s="257" t="s">
        <v>106</v>
      </c>
      <c r="BI1277" s="257">
        <v>-9999</v>
      </c>
      <c r="BJ1277" s="257">
        <v>-9999</v>
      </c>
      <c r="BK1277" s="257">
        <v>-9999</v>
      </c>
      <c r="BL1277" s="602">
        <v>2.2000000000000002</v>
      </c>
      <c r="BM1277" s="257">
        <v>-9999</v>
      </c>
      <c r="BN1277" s="602">
        <v>0</v>
      </c>
      <c r="BO1277" s="257">
        <v>-9999</v>
      </c>
      <c r="BP1277" s="257">
        <v>-9999</v>
      </c>
      <c r="BQ1277" s="257">
        <v>-9999</v>
      </c>
      <c r="BR1277" s="257">
        <v>-9999</v>
      </c>
      <c r="BS1277" s="263">
        <v>-9999</v>
      </c>
      <c r="BT1277" s="257">
        <v>-9999</v>
      </c>
      <c r="BU1277" s="257">
        <v>-9999</v>
      </c>
      <c r="BV1277" s="257">
        <v>-9999</v>
      </c>
      <c r="BW1277" s="257"/>
      <c r="BX1277" s="257">
        <v>-9999</v>
      </c>
      <c r="BY1277" s="257">
        <v>-9999</v>
      </c>
      <c r="BZ1277" s="257">
        <v>-9999</v>
      </c>
      <c r="CA1277" s="300" t="s">
        <v>107</v>
      </c>
      <c r="CB1277" s="264" t="s">
        <v>561</v>
      </c>
      <c r="CC1277" s="600">
        <v>1</v>
      </c>
      <c r="CD1277" s="600">
        <v>2</v>
      </c>
      <c r="CE1277" s="168">
        <v>1.4550000000000001</v>
      </c>
      <c r="CF1277" s="168">
        <v>2.69</v>
      </c>
      <c r="CG1277" s="161">
        <v>2</v>
      </c>
    </row>
    <row r="1278" spans="1:1873" s="149" customFormat="1" ht="12.75" customHeight="1" x14ac:dyDescent="0.25">
      <c r="A1278" s="263" t="s">
        <v>560</v>
      </c>
      <c r="B1278" s="263" t="s">
        <v>1268</v>
      </c>
      <c r="C1278" s="600" t="s">
        <v>118</v>
      </c>
      <c r="D1278" s="263" t="s">
        <v>1257</v>
      </c>
      <c r="E1278" s="599" t="s">
        <v>116</v>
      </c>
      <c r="F1278" s="600">
        <v>1</v>
      </c>
      <c r="G1278" s="600">
        <v>3</v>
      </c>
      <c r="H1278" s="600">
        <v>3</v>
      </c>
      <c r="I1278" s="257" t="s">
        <v>856</v>
      </c>
      <c r="J1278" s="599">
        <v>1982</v>
      </c>
      <c r="K1278" s="257" t="s">
        <v>1211</v>
      </c>
      <c r="L1278" s="608">
        <v>1984</v>
      </c>
      <c r="M1278" s="261">
        <v>-9999</v>
      </c>
      <c r="N1278" s="257">
        <v>-9999</v>
      </c>
      <c r="O1278" s="29"/>
      <c r="P1278" s="602">
        <v>9.89</v>
      </c>
      <c r="Q1278" s="257">
        <v>-9999</v>
      </c>
      <c r="R1278" s="261"/>
      <c r="S1278" s="257"/>
      <c r="T1278" s="370">
        <v>3.2370000000000001</v>
      </c>
      <c r="U1278" s="257">
        <v>-9999</v>
      </c>
      <c r="V1278" s="257"/>
      <c r="W1278" s="609">
        <f t="shared" si="138"/>
        <v>6.9</v>
      </c>
      <c r="X1278" s="257">
        <v>-9999</v>
      </c>
      <c r="Y1278" s="257"/>
      <c r="Z1278" s="599" t="s">
        <v>111</v>
      </c>
      <c r="AA1278" s="605">
        <v>1794</v>
      </c>
      <c r="AB1278" s="611">
        <v>0.92</v>
      </c>
      <c r="AC1278" s="257">
        <v>10.3</v>
      </c>
      <c r="AD1278" s="602">
        <f t="shared" si="137"/>
        <v>966</v>
      </c>
      <c r="AE1278" s="263" t="s">
        <v>97</v>
      </c>
      <c r="AF1278" s="600">
        <v>6</v>
      </c>
      <c r="AG1278" s="257">
        <v>2</v>
      </c>
      <c r="AH1278" s="257" t="s">
        <v>98</v>
      </c>
      <c r="AI1278" s="257" t="s">
        <v>985</v>
      </c>
      <c r="AJ1278" s="257">
        <v>-9999</v>
      </c>
      <c r="AK1278" s="257" t="s">
        <v>99</v>
      </c>
      <c r="AL1278" s="257" t="s">
        <v>828</v>
      </c>
      <c r="AM1278" s="257">
        <v>-9999</v>
      </c>
      <c r="AN1278" s="257" t="s">
        <v>631</v>
      </c>
      <c r="AO1278" s="257">
        <v>-9999</v>
      </c>
      <c r="AP1278" s="257">
        <v>-9999</v>
      </c>
      <c r="AQ1278" s="257" t="s">
        <v>631</v>
      </c>
      <c r="AR1278" s="257">
        <v>0</v>
      </c>
      <c r="AS1278" s="257">
        <v>-9999</v>
      </c>
      <c r="AT1278" s="257">
        <v>-9999</v>
      </c>
      <c r="AU1278" s="257">
        <v>0</v>
      </c>
      <c r="AV1278" s="257">
        <v>-9999</v>
      </c>
      <c r="AW1278" s="257"/>
      <c r="AX1278" s="257">
        <v>0</v>
      </c>
      <c r="AY1278" s="257">
        <v>-9999</v>
      </c>
      <c r="AZ1278" s="257">
        <v>-9999</v>
      </c>
      <c r="BA1278" s="257" t="s">
        <v>100</v>
      </c>
      <c r="BB1278" s="257" t="s">
        <v>626</v>
      </c>
      <c r="BC1278" s="257" t="s">
        <v>101</v>
      </c>
      <c r="BD1278" s="257" t="s">
        <v>102</v>
      </c>
      <c r="BE1278" s="257" t="s">
        <v>103</v>
      </c>
      <c r="BF1278" s="257" t="s">
        <v>104</v>
      </c>
      <c r="BG1278" s="257" t="s">
        <v>105</v>
      </c>
      <c r="BH1278" s="257" t="s">
        <v>106</v>
      </c>
      <c r="BI1278" s="257">
        <v>-9999</v>
      </c>
      <c r="BJ1278" s="257">
        <v>-9999</v>
      </c>
      <c r="BK1278" s="257">
        <v>-9999</v>
      </c>
      <c r="BL1278" s="602">
        <v>3.87</v>
      </c>
      <c r="BM1278" s="257">
        <v>-9999</v>
      </c>
      <c r="BN1278" s="602">
        <v>0</v>
      </c>
      <c r="BO1278" s="257">
        <v>-9999</v>
      </c>
      <c r="BP1278" s="257">
        <v>-9999</v>
      </c>
      <c r="BQ1278" s="257">
        <v>-9999</v>
      </c>
      <c r="BR1278" s="257">
        <v>-9999</v>
      </c>
      <c r="BS1278" s="263">
        <v>-9999</v>
      </c>
      <c r="BT1278" s="257">
        <v>-9999</v>
      </c>
      <c r="BU1278" s="257">
        <v>-9999</v>
      </c>
      <c r="BV1278" s="257">
        <v>-9999</v>
      </c>
      <c r="BW1278" s="257"/>
      <c r="BX1278" s="257">
        <v>-9999</v>
      </c>
      <c r="BY1278" s="257">
        <v>-9999</v>
      </c>
      <c r="BZ1278" s="257">
        <v>-9999</v>
      </c>
      <c r="CA1278" s="300" t="s">
        <v>107</v>
      </c>
      <c r="CB1278" s="264" t="s">
        <v>561</v>
      </c>
      <c r="CC1278" s="600">
        <v>1</v>
      </c>
      <c r="CD1278" s="600">
        <v>3</v>
      </c>
      <c r="CE1278" s="168">
        <v>3.2370000000000001</v>
      </c>
      <c r="CF1278" s="168">
        <v>6.8000000000000007</v>
      </c>
      <c r="CG1278" s="161">
        <v>3</v>
      </c>
    </row>
    <row r="1279" spans="1:1873" s="149" customFormat="1" ht="12.75" customHeight="1" x14ac:dyDescent="0.25">
      <c r="A1279" s="263" t="s">
        <v>560</v>
      </c>
      <c r="B1279" s="263" t="s">
        <v>1268</v>
      </c>
      <c r="C1279" s="600" t="s">
        <v>118</v>
      </c>
      <c r="D1279" s="263" t="s">
        <v>1257</v>
      </c>
      <c r="E1279" s="599" t="s">
        <v>116</v>
      </c>
      <c r="F1279" s="600">
        <v>1</v>
      </c>
      <c r="G1279" s="600">
        <v>4</v>
      </c>
      <c r="H1279" s="600">
        <v>4</v>
      </c>
      <c r="I1279" s="257" t="s">
        <v>856</v>
      </c>
      <c r="J1279" s="599">
        <v>1982</v>
      </c>
      <c r="K1279" s="257" t="s">
        <v>1211</v>
      </c>
      <c r="L1279" s="608">
        <v>1985</v>
      </c>
      <c r="M1279" s="261">
        <v>-9999</v>
      </c>
      <c r="N1279" s="257">
        <v>-9999</v>
      </c>
      <c r="O1279" s="29"/>
      <c r="P1279" s="602">
        <v>14.99</v>
      </c>
      <c r="Q1279" s="257">
        <v>-9999</v>
      </c>
      <c r="R1279" s="261"/>
      <c r="S1279" s="257"/>
      <c r="T1279" s="370">
        <v>3.7480000000000002</v>
      </c>
      <c r="U1279" s="257">
        <v>-9999</v>
      </c>
      <c r="V1279" s="257"/>
      <c r="W1279" s="609">
        <f t="shared" si="138"/>
        <v>5.0999999999999996</v>
      </c>
      <c r="X1279" s="257">
        <v>-9999</v>
      </c>
      <c r="Y1279" s="257"/>
      <c r="Z1279" s="599" t="s">
        <v>111</v>
      </c>
      <c r="AA1279" s="605">
        <v>1794</v>
      </c>
      <c r="AB1279" s="611">
        <v>0.88</v>
      </c>
      <c r="AC1279" s="257">
        <v>10.3</v>
      </c>
      <c r="AD1279" s="602">
        <f t="shared" si="137"/>
        <v>966</v>
      </c>
      <c r="AE1279" s="263" t="s">
        <v>97</v>
      </c>
      <c r="AF1279" s="600">
        <v>6</v>
      </c>
      <c r="AG1279" s="257">
        <v>2</v>
      </c>
      <c r="AH1279" s="257" t="s">
        <v>98</v>
      </c>
      <c r="AI1279" s="257" t="s">
        <v>985</v>
      </c>
      <c r="AJ1279" s="257">
        <v>-9999</v>
      </c>
      <c r="AK1279" s="257" t="s">
        <v>99</v>
      </c>
      <c r="AL1279" s="257" t="s">
        <v>828</v>
      </c>
      <c r="AM1279" s="257">
        <v>-9999</v>
      </c>
      <c r="AN1279" s="257" t="s">
        <v>631</v>
      </c>
      <c r="AO1279" s="257">
        <v>-9999</v>
      </c>
      <c r="AP1279" s="257">
        <v>-9999</v>
      </c>
      <c r="AQ1279" s="257" t="s">
        <v>631</v>
      </c>
      <c r="AR1279" s="257">
        <v>0</v>
      </c>
      <c r="AS1279" s="257">
        <v>-9999</v>
      </c>
      <c r="AT1279" s="257">
        <v>-9999</v>
      </c>
      <c r="AU1279" s="257">
        <v>0</v>
      </c>
      <c r="AV1279" s="257">
        <v>-9999</v>
      </c>
      <c r="AW1279" s="257"/>
      <c r="AX1279" s="257">
        <v>0</v>
      </c>
      <c r="AY1279" s="257">
        <v>-9999</v>
      </c>
      <c r="AZ1279" s="257">
        <v>-9999</v>
      </c>
      <c r="BA1279" s="257" t="s">
        <v>100</v>
      </c>
      <c r="BB1279" s="257" t="s">
        <v>626</v>
      </c>
      <c r="BC1279" s="257" t="s">
        <v>101</v>
      </c>
      <c r="BD1279" s="257" t="s">
        <v>102</v>
      </c>
      <c r="BE1279" s="257" t="s">
        <v>103</v>
      </c>
      <c r="BF1279" s="257" t="s">
        <v>104</v>
      </c>
      <c r="BG1279" s="257" t="s">
        <v>105</v>
      </c>
      <c r="BH1279" s="257" t="s">
        <v>106</v>
      </c>
      <c r="BI1279" s="257">
        <v>-9999</v>
      </c>
      <c r="BJ1279" s="257">
        <v>-9999</v>
      </c>
      <c r="BK1279" s="257">
        <v>-9999</v>
      </c>
      <c r="BL1279" s="602">
        <v>4.96</v>
      </c>
      <c r="BM1279" s="257">
        <v>-9999</v>
      </c>
      <c r="BN1279" s="602">
        <v>5.0999999999999996</v>
      </c>
      <c r="BO1279" s="257">
        <v>-9999</v>
      </c>
      <c r="BP1279" s="257">
        <v>-9999</v>
      </c>
      <c r="BQ1279" s="257">
        <v>-9999</v>
      </c>
      <c r="BR1279" s="257">
        <v>-9999</v>
      </c>
      <c r="BS1279" s="263">
        <v>-9999</v>
      </c>
      <c r="BT1279" s="257">
        <v>-9999</v>
      </c>
      <c r="BU1279" s="257">
        <v>-9999</v>
      </c>
      <c r="BV1279" s="257">
        <v>-9999</v>
      </c>
      <c r="BW1279" s="257"/>
      <c r="BX1279" s="257">
        <v>-9999</v>
      </c>
      <c r="BY1279" s="257">
        <v>-9999</v>
      </c>
      <c r="BZ1279" s="257">
        <v>-9999</v>
      </c>
      <c r="CA1279" s="300" t="s">
        <v>107</v>
      </c>
      <c r="CB1279" s="264" t="s">
        <v>561</v>
      </c>
      <c r="CC1279" s="600">
        <v>1</v>
      </c>
      <c r="CD1279" s="600">
        <v>4</v>
      </c>
      <c r="CE1279" s="168">
        <v>3.7480000000000002</v>
      </c>
      <c r="CF1279" s="168">
        <v>5.2799999999999994</v>
      </c>
      <c r="CG1279" s="161">
        <v>4</v>
      </c>
    </row>
    <row r="1280" spans="1:1873" s="149" customFormat="1" ht="12.75" customHeight="1" x14ac:dyDescent="0.25">
      <c r="A1280" s="263" t="s">
        <v>560</v>
      </c>
      <c r="B1280" s="263" t="s">
        <v>1268</v>
      </c>
      <c r="C1280" s="600" t="s">
        <v>118</v>
      </c>
      <c r="D1280" s="263" t="s">
        <v>1257</v>
      </c>
      <c r="E1280" s="599" t="s">
        <v>116</v>
      </c>
      <c r="F1280" s="600">
        <v>1</v>
      </c>
      <c r="G1280" s="600">
        <v>5</v>
      </c>
      <c r="H1280" s="600">
        <v>5</v>
      </c>
      <c r="I1280" s="257" t="s">
        <v>856</v>
      </c>
      <c r="J1280" s="599">
        <v>1982</v>
      </c>
      <c r="K1280" s="257" t="s">
        <v>1211</v>
      </c>
      <c r="L1280" s="608">
        <v>1986</v>
      </c>
      <c r="M1280" s="261">
        <v>-9999</v>
      </c>
      <c r="N1280" s="257">
        <v>-9999</v>
      </c>
      <c r="O1280" s="29"/>
      <c r="P1280" s="602">
        <v>20.2</v>
      </c>
      <c r="Q1280" s="257">
        <v>-9999</v>
      </c>
      <c r="R1280" s="261"/>
      <c r="S1280" s="257"/>
      <c r="T1280" s="370">
        <v>4.04</v>
      </c>
      <c r="U1280" s="257">
        <v>-9999</v>
      </c>
      <c r="V1280" s="257"/>
      <c r="W1280" s="609">
        <f t="shared" si="138"/>
        <v>5.2099999999999991</v>
      </c>
      <c r="X1280" s="257">
        <v>-9999</v>
      </c>
      <c r="Y1280" s="257"/>
      <c r="Z1280" s="599" t="s">
        <v>111</v>
      </c>
      <c r="AA1280" s="605">
        <v>1794</v>
      </c>
      <c r="AB1280" s="611">
        <v>0.87</v>
      </c>
      <c r="AC1280" s="257">
        <v>10.3</v>
      </c>
      <c r="AD1280" s="602">
        <f t="shared" si="137"/>
        <v>966</v>
      </c>
      <c r="AE1280" s="263" t="s">
        <v>97</v>
      </c>
      <c r="AF1280" s="600">
        <v>6</v>
      </c>
      <c r="AG1280" s="257">
        <v>2</v>
      </c>
      <c r="AH1280" s="257" t="s">
        <v>98</v>
      </c>
      <c r="AI1280" s="257" t="s">
        <v>985</v>
      </c>
      <c r="AJ1280" s="257">
        <v>-9999</v>
      </c>
      <c r="AK1280" s="257" t="s">
        <v>99</v>
      </c>
      <c r="AL1280" s="257" t="s">
        <v>828</v>
      </c>
      <c r="AM1280" s="257">
        <v>-9999</v>
      </c>
      <c r="AN1280" s="257" t="s">
        <v>631</v>
      </c>
      <c r="AO1280" s="257">
        <v>-9999</v>
      </c>
      <c r="AP1280" s="257">
        <v>-9999</v>
      </c>
      <c r="AQ1280" s="257" t="s">
        <v>631</v>
      </c>
      <c r="AR1280" s="257">
        <v>0</v>
      </c>
      <c r="AS1280" s="257">
        <v>-9999</v>
      </c>
      <c r="AT1280" s="257">
        <v>-9999</v>
      </c>
      <c r="AU1280" s="257">
        <v>0</v>
      </c>
      <c r="AV1280" s="257">
        <v>-9999</v>
      </c>
      <c r="AW1280" s="257"/>
      <c r="AX1280" s="257">
        <v>0</v>
      </c>
      <c r="AY1280" s="257">
        <v>-9999</v>
      </c>
      <c r="AZ1280" s="257">
        <v>-9999</v>
      </c>
      <c r="BA1280" s="257" t="s">
        <v>100</v>
      </c>
      <c r="BB1280" s="257" t="s">
        <v>626</v>
      </c>
      <c r="BC1280" s="257" t="s">
        <v>101</v>
      </c>
      <c r="BD1280" s="257" t="s">
        <v>102</v>
      </c>
      <c r="BE1280" s="257" t="s">
        <v>103</v>
      </c>
      <c r="BF1280" s="257" t="s">
        <v>104</v>
      </c>
      <c r="BG1280" s="257" t="s">
        <v>105</v>
      </c>
      <c r="BH1280" s="257" t="s">
        <v>106</v>
      </c>
      <c r="BI1280" s="257">
        <v>-9999</v>
      </c>
      <c r="BJ1280" s="257">
        <v>-9999</v>
      </c>
      <c r="BK1280" s="257">
        <v>-9999</v>
      </c>
      <c r="BL1280" s="602">
        <v>5.6</v>
      </c>
      <c r="BM1280" s="257">
        <v>-9999</v>
      </c>
      <c r="BN1280" s="602">
        <v>5</v>
      </c>
      <c r="BO1280" s="257">
        <v>-9999</v>
      </c>
      <c r="BP1280" s="257">
        <v>-9999</v>
      </c>
      <c r="BQ1280" s="257">
        <v>-9999</v>
      </c>
      <c r="BR1280" s="257">
        <v>-9999</v>
      </c>
      <c r="BS1280" s="263">
        <v>-9999</v>
      </c>
      <c r="BT1280" s="257">
        <v>-9999</v>
      </c>
      <c r="BU1280" s="257">
        <v>-9999</v>
      </c>
      <c r="BV1280" s="257">
        <v>-9999</v>
      </c>
      <c r="BW1280" s="257"/>
      <c r="BX1280" s="257">
        <v>-9999</v>
      </c>
      <c r="BY1280" s="257">
        <v>-9999</v>
      </c>
      <c r="BZ1280" s="257">
        <v>-9999</v>
      </c>
      <c r="CA1280" s="300" t="s">
        <v>107</v>
      </c>
      <c r="CB1280" s="264" t="s">
        <v>561</v>
      </c>
      <c r="CC1280" s="600">
        <v>1</v>
      </c>
      <c r="CD1280" s="600">
        <v>5</v>
      </c>
      <c r="CE1280" s="168">
        <v>4.04</v>
      </c>
      <c r="CF1280" s="168">
        <v>5.2099999999999991</v>
      </c>
      <c r="CG1280" s="161">
        <v>5</v>
      </c>
    </row>
    <row r="1281" spans="1:1873" s="149" customFormat="1" ht="12.75" customHeight="1" x14ac:dyDescent="0.25">
      <c r="A1281" s="263" t="s">
        <v>560</v>
      </c>
      <c r="B1281" s="263" t="s">
        <v>1268</v>
      </c>
      <c r="C1281" s="328" t="s">
        <v>118</v>
      </c>
      <c r="D1281" s="263" t="s">
        <v>1257</v>
      </c>
      <c r="E1281" s="599" t="s">
        <v>116</v>
      </c>
      <c r="F1281" s="600">
        <v>1</v>
      </c>
      <c r="G1281" s="600">
        <v>6</v>
      </c>
      <c r="H1281" s="600">
        <v>6</v>
      </c>
      <c r="I1281" s="257" t="s">
        <v>856</v>
      </c>
      <c r="J1281" s="599">
        <v>1982</v>
      </c>
      <c r="K1281" s="257" t="s">
        <v>1211</v>
      </c>
      <c r="L1281" s="608">
        <v>1987</v>
      </c>
      <c r="M1281" s="261">
        <v>-9999</v>
      </c>
      <c r="N1281" s="257">
        <v>-9999</v>
      </c>
      <c r="O1281" s="29"/>
      <c r="P1281" s="602">
        <v>30.77</v>
      </c>
      <c r="Q1281" s="257">
        <v>-9999</v>
      </c>
      <c r="R1281" s="261"/>
      <c r="S1281" s="257"/>
      <c r="T1281" s="370">
        <v>5.1280000000000001</v>
      </c>
      <c r="U1281" s="257">
        <v>-9999</v>
      </c>
      <c r="V1281" s="257"/>
      <c r="W1281" s="609">
        <f t="shared" si="138"/>
        <v>10.57</v>
      </c>
      <c r="X1281" s="257">
        <v>-9999</v>
      </c>
      <c r="Y1281" s="257"/>
      <c r="Z1281" s="599" t="s">
        <v>111</v>
      </c>
      <c r="AA1281" s="605">
        <v>1794</v>
      </c>
      <c r="AB1281" s="611">
        <v>0.84</v>
      </c>
      <c r="AC1281" s="257">
        <v>10.3</v>
      </c>
      <c r="AD1281" s="602">
        <f t="shared" si="137"/>
        <v>966</v>
      </c>
      <c r="AE1281" s="263" t="s">
        <v>97</v>
      </c>
      <c r="AF1281" s="600">
        <v>1</v>
      </c>
      <c r="AG1281" s="257">
        <v>2</v>
      </c>
      <c r="AH1281" s="257" t="s">
        <v>98</v>
      </c>
      <c r="AI1281" s="257" t="s">
        <v>985</v>
      </c>
      <c r="AJ1281" s="257">
        <v>-9999</v>
      </c>
      <c r="AK1281" s="257" t="s">
        <v>99</v>
      </c>
      <c r="AL1281" s="257" t="s">
        <v>828</v>
      </c>
      <c r="AM1281" s="257">
        <v>-9999</v>
      </c>
      <c r="AN1281" s="257" t="s">
        <v>631</v>
      </c>
      <c r="AO1281" s="257">
        <v>-9999</v>
      </c>
      <c r="AP1281" s="257">
        <v>-9999</v>
      </c>
      <c r="AQ1281" s="257" t="s">
        <v>631</v>
      </c>
      <c r="AR1281" s="257">
        <v>0</v>
      </c>
      <c r="AS1281" s="257">
        <v>-9999</v>
      </c>
      <c r="AT1281" s="257">
        <v>-9999</v>
      </c>
      <c r="AU1281" s="257">
        <v>0</v>
      </c>
      <c r="AV1281" s="257">
        <v>-9999</v>
      </c>
      <c r="AW1281" s="257"/>
      <c r="AX1281" s="257">
        <v>0</v>
      </c>
      <c r="AY1281" s="257">
        <v>-9999</v>
      </c>
      <c r="AZ1281" s="257">
        <v>-9999</v>
      </c>
      <c r="BA1281" s="257" t="s">
        <v>100</v>
      </c>
      <c r="BB1281" s="257" t="s">
        <v>626</v>
      </c>
      <c r="BC1281" s="257" t="s">
        <v>101</v>
      </c>
      <c r="BD1281" s="257" t="s">
        <v>102</v>
      </c>
      <c r="BE1281" s="257" t="s">
        <v>103</v>
      </c>
      <c r="BF1281" s="257" t="s">
        <v>104</v>
      </c>
      <c r="BG1281" s="257" t="s">
        <v>105</v>
      </c>
      <c r="BH1281" s="257" t="s">
        <v>106</v>
      </c>
      <c r="BI1281" s="257">
        <v>-9999</v>
      </c>
      <c r="BJ1281" s="257">
        <v>-9999</v>
      </c>
      <c r="BK1281" s="257">
        <v>-9999</v>
      </c>
      <c r="BL1281" s="602">
        <v>6.7</v>
      </c>
      <c r="BM1281" s="257">
        <v>-9999</v>
      </c>
      <c r="BN1281" s="602">
        <v>7.4</v>
      </c>
      <c r="BO1281" s="257">
        <v>-9999</v>
      </c>
      <c r="BP1281" s="257">
        <v>-9999</v>
      </c>
      <c r="BQ1281" s="257">
        <v>-9999</v>
      </c>
      <c r="BR1281" s="257">
        <v>-9999</v>
      </c>
      <c r="BS1281" s="263">
        <v>-9999</v>
      </c>
      <c r="BT1281" s="257">
        <v>-9999</v>
      </c>
      <c r="BU1281" s="257">
        <v>-9999</v>
      </c>
      <c r="BV1281" s="257">
        <v>-9999</v>
      </c>
      <c r="BW1281" s="257"/>
      <c r="BX1281" s="257">
        <v>-9999</v>
      </c>
      <c r="BY1281" s="257">
        <v>-9999</v>
      </c>
      <c r="BZ1281" s="257">
        <v>-9999</v>
      </c>
      <c r="CA1281" s="300" t="s">
        <v>107</v>
      </c>
      <c r="CB1281" s="264" t="s">
        <v>561</v>
      </c>
      <c r="CC1281" s="600">
        <v>1</v>
      </c>
      <c r="CD1281" s="600">
        <v>6</v>
      </c>
      <c r="CE1281" s="168">
        <v>5.1280000000000001</v>
      </c>
      <c r="CF1281" s="168">
        <v>10.57</v>
      </c>
      <c r="CG1281" s="161">
        <v>6</v>
      </c>
    </row>
    <row r="1282" spans="1:1873" s="149" customFormat="1" ht="12.75" customHeight="1" x14ac:dyDescent="0.25">
      <c r="A1282" s="263"/>
      <c r="B1282" s="263"/>
      <c r="C1282" s="600"/>
      <c r="D1282" s="263"/>
      <c r="E1282" s="599"/>
      <c r="F1282" s="600"/>
      <c r="G1282" s="600"/>
      <c r="H1282" s="600"/>
      <c r="I1282" s="257"/>
      <c r="J1282" s="599"/>
      <c r="K1282" s="257"/>
      <c r="L1282" s="600"/>
      <c r="M1282" s="261"/>
      <c r="N1282" s="257"/>
      <c r="O1282" s="29"/>
      <c r="P1282" s="602"/>
      <c r="Q1282" s="257"/>
      <c r="R1282" s="261"/>
      <c r="S1282" s="257"/>
      <c r="T1282" s="370"/>
      <c r="U1282" s="257"/>
      <c r="V1282" s="257"/>
      <c r="W1282" s="609"/>
      <c r="X1282" s="257"/>
      <c r="Y1282" s="257"/>
      <c r="Z1282" s="599"/>
      <c r="AA1282" s="605"/>
      <c r="AB1282" s="611"/>
      <c r="AC1282" s="257"/>
      <c r="AD1282" s="602"/>
      <c r="AE1282" s="263"/>
      <c r="AF1282" s="600"/>
      <c r="AG1282" s="257"/>
      <c r="AH1282" s="257"/>
      <c r="AI1282" s="257"/>
      <c r="AJ1282" s="257"/>
      <c r="AK1282" s="257"/>
      <c r="AL1282" s="257"/>
      <c r="AM1282" s="257"/>
      <c r="AN1282" s="257"/>
      <c r="AO1282" s="257"/>
      <c r="AP1282" s="257"/>
      <c r="AQ1282" s="257"/>
      <c r="AR1282" s="257"/>
      <c r="AS1282" s="257"/>
      <c r="AT1282" s="257"/>
      <c r="AU1282" s="257"/>
      <c r="AV1282" s="257"/>
      <c r="AW1282" s="257"/>
      <c r="AX1282" s="257"/>
      <c r="AY1282" s="257"/>
      <c r="AZ1282" s="257"/>
      <c r="BA1282" s="257"/>
      <c r="BB1282" s="257"/>
      <c r="BC1282" s="257"/>
      <c r="BD1282" s="257"/>
      <c r="BE1282" s="257"/>
      <c r="BF1282" s="257"/>
      <c r="BG1282" s="257"/>
      <c r="BH1282" s="257"/>
      <c r="BI1282" s="257"/>
      <c r="BJ1282" s="257"/>
      <c r="BK1282" s="257"/>
      <c r="BL1282" s="602"/>
      <c r="BM1282" s="257"/>
      <c r="BN1282" s="602"/>
      <c r="BO1282" s="257"/>
      <c r="BP1282" s="257"/>
      <c r="BQ1282" s="257"/>
      <c r="BR1282" s="257"/>
      <c r="BS1282" s="263"/>
      <c r="BT1282" s="257"/>
      <c r="BU1282" s="257"/>
      <c r="BV1282" s="257"/>
      <c r="BW1282" s="257"/>
      <c r="BX1282" s="257"/>
      <c r="BY1282" s="257"/>
      <c r="BZ1282" s="257"/>
      <c r="CA1282" s="300"/>
      <c r="CB1282" s="264"/>
      <c r="CC1282" s="600"/>
      <c r="CD1282" s="600"/>
      <c r="CE1282" s="168"/>
      <c r="CF1282" s="168"/>
      <c r="CG1282" s="161"/>
    </row>
    <row r="1283" spans="1:1873" s="149" customFormat="1" ht="12.75" customHeight="1" x14ac:dyDescent="0.25">
      <c r="A1283" s="263" t="s">
        <v>560</v>
      </c>
      <c r="B1283" s="263" t="s">
        <v>1268</v>
      </c>
      <c r="C1283" s="600" t="s">
        <v>118</v>
      </c>
      <c r="D1283" s="263" t="s">
        <v>1257</v>
      </c>
      <c r="E1283" s="599" t="s">
        <v>116</v>
      </c>
      <c r="F1283" s="600">
        <v>2</v>
      </c>
      <c r="G1283" s="600">
        <v>1</v>
      </c>
      <c r="H1283" s="600">
        <v>3</v>
      </c>
      <c r="I1283" s="257" t="s">
        <v>856</v>
      </c>
      <c r="J1283" s="599">
        <v>1982</v>
      </c>
      <c r="K1283" s="257" t="s">
        <v>1211</v>
      </c>
      <c r="L1283" s="608">
        <v>1984</v>
      </c>
      <c r="M1283" s="261">
        <v>-9999</v>
      </c>
      <c r="N1283" s="257">
        <v>-9999</v>
      </c>
      <c r="O1283" s="29"/>
      <c r="P1283" s="602">
        <v>1.1000000000000001</v>
      </c>
      <c r="Q1283" s="257">
        <v>-9999</v>
      </c>
      <c r="R1283" s="261"/>
      <c r="S1283" s="257"/>
      <c r="T1283" s="370">
        <v>1.1000000000000001</v>
      </c>
      <c r="U1283" s="257">
        <v>-9999</v>
      </c>
      <c r="V1283" s="257"/>
      <c r="W1283" s="609">
        <f>+P1283-P1282</f>
        <v>1.1000000000000001</v>
      </c>
      <c r="X1283" s="257">
        <v>-9999</v>
      </c>
      <c r="Y1283" s="257"/>
      <c r="Z1283" s="599" t="s">
        <v>111</v>
      </c>
      <c r="AA1283" s="605">
        <v>1794</v>
      </c>
      <c r="AB1283" s="611">
        <v>0.82</v>
      </c>
      <c r="AC1283" s="257">
        <v>10.3</v>
      </c>
      <c r="AD1283" s="602">
        <f t="shared" si="137"/>
        <v>966</v>
      </c>
      <c r="AE1283" s="263" t="s">
        <v>97</v>
      </c>
      <c r="AF1283" s="600">
        <v>0</v>
      </c>
      <c r="AG1283" s="257">
        <v>2</v>
      </c>
      <c r="AH1283" s="257" t="s">
        <v>98</v>
      </c>
      <c r="AI1283" s="257" t="s">
        <v>985</v>
      </c>
      <c r="AJ1283" s="257">
        <v>-9999</v>
      </c>
      <c r="AK1283" s="257" t="s">
        <v>99</v>
      </c>
      <c r="AL1283" s="257" t="s">
        <v>828</v>
      </c>
      <c r="AM1283" s="257">
        <v>-9999</v>
      </c>
      <c r="AN1283" s="257" t="s">
        <v>631</v>
      </c>
      <c r="AO1283" s="257">
        <v>-9999</v>
      </c>
      <c r="AP1283" s="257">
        <v>-9999</v>
      </c>
      <c r="AQ1283" s="257" t="s">
        <v>631</v>
      </c>
      <c r="AR1283" s="257">
        <v>0</v>
      </c>
      <c r="AS1283" s="257">
        <v>-9999</v>
      </c>
      <c r="AT1283" s="257">
        <v>-9999</v>
      </c>
      <c r="AU1283" s="257">
        <v>0</v>
      </c>
      <c r="AV1283" s="257">
        <v>-9999</v>
      </c>
      <c r="AW1283" s="257"/>
      <c r="AX1283" s="257">
        <v>0</v>
      </c>
      <c r="AY1283" s="257">
        <v>-9999</v>
      </c>
      <c r="AZ1283" s="257">
        <v>-9999</v>
      </c>
      <c r="BA1283" s="257" t="s">
        <v>100</v>
      </c>
      <c r="BB1283" s="257" t="s">
        <v>626</v>
      </c>
      <c r="BC1283" s="257" t="s">
        <v>101</v>
      </c>
      <c r="BD1283" s="257" t="s">
        <v>102</v>
      </c>
      <c r="BE1283" s="257" t="s">
        <v>103</v>
      </c>
      <c r="BF1283" s="257" t="s">
        <v>104</v>
      </c>
      <c r="BG1283" s="257" t="s">
        <v>105</v>
      </c>
      <c r="BH1283" s="257" t="s">
        <v>106</v>
      </c>
      <c r="BI1283" s="257">
        <v>-9999</v>
      </c>
      <c r="BJ1283" s="257">
        <v>-9999</v>
      </c>
      <c r="BK1283" s="257">
        <v>-9999</v>
      </c>
      <c r="BL1283" s="602">
        <v>1.95</v>
      </c>
      <c r="BM1283" s="257">
        <v>-9999</v>
      </c>
      <c r="BN1283" s="602">
        <v>0.86</v>
      </c>
      <c r="BO1283" s="257">
        <v>-9999</v>
      </c>
      <c r="BP1283" s="257">
        <v>-9999</v>
      </c>
      <c r="BQ1283" s="257">
        <v>-9999</v>
      </c>
      <c r="BR1283" s="257">
        <v>-9999</v>
      </c>
      <c r="BS1283" s="263">
        <v>-9999</v>
      </c>
      <c r="BT1283" s="257">
        <v>-9999</v>
      </c>
      <c r="BU1283" s="257">
        <v>-9999</v>
      </c>
      <c r="BV1283" s="257">
        <v>-9999</v>
      </c>
      <c r="BW1283" s="257"/>
      <c r="BX1283" s="257">
        <v>-9999</v>
      </c>
      <c r="BY1283" s="257">
        <v>-9999</v>
      </c>
      <c r="BZ1283" s="257">
        <v>-9999</v>
      </c>
      <c r="CA1283" s="300" t="s">
        <v>107</v>
      </c>
      <c r="CB1283" s="264" t="s">
        <v>561</v>
      </c>
      <c r="CC1283" s="600">
        <v>2</v>
      </c>
      <c r="CD1283" s="600">
        <v>1</v>
      </c>
      <c r="CE1283" s="168">
        <v>1.1000000000000001</v>
      </c>
      <c r="CF1283" s="168">
        <v>1.1000000000000001</v>
      </c>
      <c r="CG1283" s="161">
        <v>3</v>
      </c>
    </row>
    <row r="1284" spans="1:1873" s="149" customFormat="1" ht="12.75" customHeight="1" x14ac:dyDescent="0.25">
      <c r="A1284" s="263" t="s">
        <v>560</v>
      </c>
      <c r="B1284" s="263" t="s">
        <v>1268</v>
      </c>
      <c r="C1284" s="600" t="s">
        <v>118</v>
      </c>
      <c r="D1284" s="263" t="s">
        <v>1257</v>
      </c>
      <c r="E1284" s="599" t="s">
        <v>116</v>
      </c>
      <c r="F1284" s="600">
        <v>2</v>
      </c>
      <c r="G1284" s="600">
        <v>2</v>
      </c>
      <c r="H1284" s="600">
        <v>4</v>
      </c>
      <c r="I1284" s="257" t="s">
        <v>856</v>
      </c>
      <c r="J1284" s="599">
        <v>1982</v>
      </c>
      <c r="K1284" s="257" t="s">
        <v>1211</v>
      </c>
      <c r="L1284" s="608">
        <v>1985</v>
      </c>
      <c r="M1284" s="261">
        <v>-9999</v>
      </c>
      <c r="N1284" s="257">
        <v>-9999</v>
      </c>
      <c r="O1284" s="29"/>
      <c r="P1284" s="602">
        <v>8.27</v>
      </c>
      <c r="Q1284" s="257">
        <v>-9999</v>
      </c>
      <c r="R1284" s="261"/>
      <c r="S1284" s="257"/>
      <c r="T1284" s="370">
        <v>4.1349999999999998</v>
      </c>
      <c r="U1284" s="257">
        <v>-9999</v>
      </c>
      <c r="V1284" s="257"/>
      <c r="W1284" s="609">
        <f>+P1284-P1283</f>
        <v>7.17</v>
      </c>
      <c r="X1284" s="257">
        <v>-9999</v>
      </c>
      <c r="Y1284" s="257"/>
      <c r="Z1284" s="599" t="s">
        <v>111</v>
      </c>
      <c r="AA1284" s="605">
        <v>1794</v>
      </c>
      <c r="AB1284" s="611">
        <v>0.85299999999999998</v>
      </c>
      <c r="AC1284" s="257">
        <v>10.3</v>
      </c>
      <c r="AD1284" s="602">
        <f t="shared" si="137"/>
        <v>966</v>
      </c>
      <c r="AE1284" s="263" t="s">
        <v>97</v>
      </c>
      <c r="AF1284" s="600">
        <v>0</v>
      </c>
      <c r="AG1284" s="257">
        <v>2</v>
      </c>
      <c r="AH1284" s="257" t="s">
        <v>98</v>
      </c>
      <c r="AI1284" s="257" t="s">
        <v>985</v>
      </c>
      <c r="AJ1284" s="257">
        <v>-9999</v>
      </c>
      <c r="AK1284" s="257" t="s">
        <v>99</v>
      </c>
      <c r="AL1284" s="257" t="s">
        <v>828</v>
      </c>
      <c r="AM1284" s="257">
        <v>-9999</v>
      </c>
      <c r="AN1284" s="257" t="s">
        <v>631</v>
      </c>
      <c r="AO1284" s="257">
        <v>-9999</v>
      </c>
      <c r="AP1284" s="257">
        <v>-9999</v>
      </c>
      <c r="AQ1284" s="257" t="s">
        <v>631</v>
      </c>
      <c r="AR1284" s="257">
        <v>0</v>
      </c>
      <c r="AS1284" s="257">
        <v>-9999</v>
      </c>
      <c r="AT1284" s="257">
        <v>-9999</v>
      </c>
      <c r="AU1284" s="257">
        <v>0</v>
      </c>
      <c r="AV1284" s="257">
        <v>-9999</v>
      </c>
      <c r="AW1284" s="257"/>
      <c r="AX1284" s="257">
        <v>0</v>
      </c>
      <c r="AY1284" s="257">
        <v>-9999</v>
      </c>
      <c r="AZ1284" s="257">
        <v>-9999</v>
      </c>
      <c r="BA1284" s="257" t="s">
        <v>100</v>
      </c>
      <c r="BB1284" s="257" t="s">
        <v>626</v>
      </c>
      <c r="BC1284" s="257" t="s">
        <v>101</v>
      </c>
      <c r="BD1284" s="257" t="s">
        <v>102</v>
      </c>
      <c r="BE1284" s="257" t="s">
        <v>103</v>
      </c>
      <c r="BF1284" s="257" t="s">
        <v>104</v>
      </c>
      <c r="BG1284" s="257" t="s">
        <v>105</v>
      </c>
      <c r="BH1284" s="257" t="s">
        <v>106</v>
      </c>
      <c r="BI1284" s="257">
        <v>-9999</v>
      </c>
      <c r="BJ1284" s="257">
        <v>-9999</v>
      </c>
      <c r="BK1284" s="257">
        <v>-9999</v>
      </c>
      <c r="BL1284" s="602">
        <v>3.35</v>
      </c>
      <c r="BM1284" s="257">
        <v>-9999</v>
      </c>
      <c r="BN1284" s="602">
        <v>2.5</v>
      </c>
      <c r="BO1284" s="257">
        <v>-9999</v>
      </c>
      <c r="BP1284" s="257">
        <v>-9999</v>
      </c>
      <c r="BQ1284" s="257">
        <v>-9999</v>
      </c>
      <c r="BR1284" s="257">
        <v>-9999</v>
      </c>
      <c r="BS1284" s="263">
        <v>-9999</v>
      </c>
      <c r="BT1284" s="257">
        <v>-9999</v>
      </c>
      <c r="BU1284" s="257">
        <v>-9999</v>
      </c>
      <c r="BV1284" s="257">
        <v>-9999</v>
      </c>
      <c r="BW1284" s="257"/>
      <c r="BX1284" s="257">
        <v>-9999</v>
      </c>
      <c r="BY1284" s="257">
        <v>-9999</v>
      </c>
      <c r="BZ1284" s="257">
        <v>-9999</v>
      </c>
      <c r="CA1284" s="300" t="s">
        <v>107</v>
      </c>
      <c r="CB1284" s="264" t="s">
        <v>561</v>
      </c>
      <c r="CC1284" s="600">
        <v>2</v>
      </c>
      <c r="CD1284" s="600">
        <v>2</v>
      </c>
      <c r="CE1284" s="168">
        <v>4.1349999999999998</v>
      </c>
      <c r="CF1284" s="168">
        <v>7.17</v>
      </c>
      <c r="CG1284" s="161">
        <v>4</v>
      </c>
    </row>
    <row r="1285" spans="1:1873" s="149" customFormat="1" ht="12.75" customHeight="1" x14ac:dyDescent="0.25">
      <c r="A1285" s="263"/>
      <c r="B1285" s="263"/>
      <c r="C1285" s="600"/>
      <c r="D1285" s="263"/>
      <c r="E1285" s="599"/>
      <c r="F1285" s="600"/>
      <c r="G1285" s="600"/>
      <c r="H1285" s="600"/>
      <c r="I1285" s="257"/>
      <c r="J1285" s="599"/>
      <c r="K1285" s="257"/>
      <c r="L1285" s="600"/>
      <c r="M1285" s="261"/>
      <c r="N1285" s="257"/>
      <c r="O1285" s="29"/>
      <c r="P1285" s="602"/>
      <c r="Q1285" s="257"/>
      <c r="R1285" s="261"/>
      <c r="S1285" s="257"/>
      <c r="T1285" s="370"/>
      <c r="U1285" s="257"/>
      <c r="V1285" s="257"/>
      <c r="W1285" s="609"/>
      <c r="X1285" s="257"/>
      <c r="Y1285" s="257"/>
      <c r="Z1285" s="599"/>
      <c r="AA1285" s="605"/>
      <c r="AB1285" s="611"/>
      <c r="AC1285" s="257"/>
      <c r="AD1285" s="602"/>
      <c r="AE1285" s="263"/>
      <c r="AF1285" s="600"/>
      <c r="AG1285" s="257"/>
      <c r="AH1285" s="257"/>
      <c r="AI1285" s="257"/>
      <c r="AJ1285" s="257"/>
      <c r="AK1285" s="257"/>
      <c r="AL1285" s="257"/>
      <c r="AM1285" s="257"/>
      <c r="AN1285" s="257"/>
      <c r="AO1285" s="257"/>
      <c r="AP1285" s="257"/>
      <c r="AQ1285" s="257"/>
      <c r="AR1285" s="257"/>
      <c r="AS1285" s="257"/>
      <c r="AT1285" s="257"/>
      <c r="AU1285" s="257"/>
      <c r="AV1285" s="257"/>
      <c r="AW1285" s="257"/>
      <c r="AX1285" s="257"/>
      <c r="AY1285" s="257"/>
      <c r="AZ1285" s="257"/>
      <c r="BA1285" s="257"/>
      <c r="BB1285" s="257"/>
      <c r="BC1285" s="257"/>
      <c r="BD1285" s="257"/>
      <c r="BE1285" s="257"/>
      <c r="BF1285" s="257"/>
      <c r="BG1285" s="257"/>
      <c r="BH1285" s="257"/>
      <c r="BI1285" s="257"/>
      <c r="BJ1285" s="257"/>
      <c r="BK1285" s="257"/>
      <c r="BL1285" s="602"/>
      <c r="BM1285" s="257"/>
      <c r="BN1285" s="602"/>
      <c r="BO1285" s="257"/>
      <c r="BP1285" s="257"/>
      <c r="BQ1285" s="257"/>
      <c r="BR1285" s="257"/>
      <c r="BS1285" s="263"/>
      <c r="BT1285" s="257"/>
      <c r="BU1285" s="257"/>
      <c r="BV1285" s="257"/>
      <c r="BW1285" s="257"/>
      <c r="BX1285" s="257"/>
      <c r="BY1285" s="257"/>
      <c r="BZ1285" s="257"/>
      <c r="CA1285" s="300"/>
      <c r="CB1285" s="264"/>
      <c r="CC1285" s="600"/>
      <c r="CD1285" s="600"/>
      <c r="CE1285" s="168"/>
      <c r="CF1285" s="168"/>
      <c r="CG1285" s="161"/>
    </row>
    <row r="1286" spans="1:1873" s="149" customFormat="1" ht="12.75" customHeight="1" x14ac:dyDescent="0.25">
      <c r="A1286" s="263" t="s">
        <v>560</v>
      </c>
      <c r="B1286" s="263" t="s">
        <v>1268</v>
      </c>
      <c r="C1286" s="600" t="s">
        <v>118</v>
      </c>
      <c r="D1286" s="263" t="s">
        <v>1257</v>
      </c>
      <c r="E1286" s="599" t="s">
        <v>116</v>
      </c>
      <c r="F1286" s="600">
        <v>2</v>
      </c>
      <c r="G1286" s="600">
        <v>2</v>
      </c>
      <c r="H1286" s="600">
        <v>5</v>
      </c>
      <c r="I1286" s="257" t="s">
        <v>856</v>
      </c>
      <c r="J1286" s="599">
        <v>1982</v>
      </c>
      <c r="K1286" s="257" t="s">
        <v>1211</v>
      </c>
      <c r="L1286" s="608">
        <v>1986</v>
      </c>
      <c r="M1286" s="261">
        <v>-9999</v>
      </c>
      <c r="N1286" s="257">
        <v>-9999</v>
      </c>
      <c r="O1286" s="29"/>
      <c r="P1286" s="602">
        <v>11.9</v>
      </c>
      <c r="Q1286" s="257">
        <v>-9999</v>
      </c>
      <c r="R1286" s="261"/>
      <c r="S1286" s="257"/>
      <c r="T1286" s="370">
        <v>5.95</v>
      </c>
      <c r="U1286" s="257">
        <v>-9999</v>
      </c>
      <c r="V1286" s="257"/>
      <c r="W1286" s="609">
        <f>+P1286-P1285</f>
        <v>11.9</v>
      </c>
      <c r="X1286" s="257">
        <v>-9999</v>
      </c>
      <c r="Y1286" s="257"/>
      <c r="Z1286" s="599" t="s">
        <v>111</v>
      </c>
      <c r="AA1286" s="605">
        <v>1794</v>
      </c>
      <c r="AB1286" s="611">
        <v>0.9</v>
      </c>
      <c r="AC1286" s="257">
        <v>10.3</v>
      </c>
      <c r="AD1286" s="602">
        <f t="shared" si="137"/>
        <v>966</v>
      </c>
      <c r="AE1286" s="263" t="s">
        <v>97</v>
      </c>
      <c r="AF1286" s="600">
        <v>0</v>
      </c>
      <c r="AG1286" s="257">
        <v>2</v>
      </c>
      <c r="AH1286" s="257" t="s">
        <v>98</v>
      </c>
      <c r="AI1286" s="257" t="s">
        <v>985</v>
      </c>
      <c r="AJ1286" s="257">
        <v>-9999</v>
      </c>
      <c r="AK1286" s="257" t="s">
        <v>99</v>
      </c>
      <c r="AL1286" s="257" t="s">
        <v>828</v>
      </c>
      <c r="AM1286" s="257">
        <v>-9999</v>
      </c>
      <c r="AN1286" s="257" t="s">
        <v>631</v>
      </c>
      <c r="AO1286" s="257">
        <v>-9999</v>
      </c>
      <c r="AP1286" s="257">
        <v>-9999</v>
      </c>
      <c r="AQ1286" s="257" t="s">
        <v>631</v>
      </c>
      <c r="AR1286" s="257">
        <v>0</v>
      </c>
      <c r="AS1286" s="257">
        <v>-9999</v>
      </c>
      <c r="AT1286" s="257">
        <v>-9999</v>
      </c>
      <c r="AU1286" s="257">
        <v>0</v>
      </c>
      <c r="AV1286" s="257">
        <v>-9999</v>
      </c>
      <c r="AW1286" s="257"/>
      <c r="AX1286" s="257">
        <v>0</v>
      </c>
      <c r="AY1286" s="257">
        <v>-9999</v>
      </c>
      <c r="AZ1286" s="257">
        <v>-9999</v>
      </c>
      <c r="BA1286" s="257" t="s">
        <v>100</v>
      </c>
      <c r="BB1286" s="257" t="s">
        <v>626</v>
      </c>
      <c r="BC1286" s="257" t="s">
        <v>101</v>
      </c>
      <c r="BD1286" s="257" t="s">
        <v>102</v>
      </c>
      <c r="BE1286" s="257" t="s">
        <v>103</v>
      </c>
      <c r="BF1286" s="257" t="s">
        <v>104</v>
      </c>
      <c r="BG1286" s="257" t="s">
        <v>105</v>
      </c>
      <c r="BH1286" s="257" t="s">
        <v>106</v>
      </c>
      <c r="BI1286" s="257">
        <v>-9999</v>
      </c>
      <c r="BJ1286" s="257">
        <v>-9999</v>
      </c>
      <c r="BK1286" s="257">
        <v>-9999</v>
      </c>
      <c r="BL1286" s="602">
        <v>3</v>
      </c>
      <c r="BM1286" s="257">
        <v>-9999</v>
      </c>
      <c r="BN1286" s="602">
        <v>2.1</v>
      </c>
      <c r="BO1286" s="257">
        <v>-9999</v>
      </c>
      <c r="BP1286" s="257">
        <v>-9999</v>
      </c>
      <c r="BQ1286" s="257">
        <v>-9999</v>
      </c>
      <c r="BR1286" s="257">
        <v>-9999</v>
      </c>
      <c r="BS1286" s="263">
        <v>-9999</v>
      </c>
      <c r="BT1286" s="257">
        <v>-9999</v>
      </c>
      <c r="BU1286" s="257">
        <v>-9999</v>
      </c>
      <c r="BV1286" s="257">
        <v>-9999</v>
      </c>
      <c r="BW1286" s="257"/>
      <c r="BX1286" s="257">
        <v>-9999</v>
      </c>
      <c r="BY1286" s="257">
        <v>-9999</v>
      </c>
      <c r="BZ1286" s="257">
        <v>-9999</v>
      </c>
      <c r="CA1286" s="300" t="s">
        <v>107</v>
      </c>
      <c r="CB1286" s="264" t="s">
        <v>561</v>
      </c>
      <c r="CC1286" s="600">
        <v>2</v>
      </c>
      <c r="CD1286" s="600">
        <v>2</v>
      </c>
      <c r="CE1286" s="168">
        <v>5.95</v>
      </c>
      <c r="CF1286" s="168">
        <v>11.9</v>
      </c>
      <c r="CG1286" s="161">
        <v>5</v>
      </c>
    </row>
    <row r="1287" spans="1:1873" s="149" customFormat="1" ht="12.75" customHeight="1" x14ac:dyDescent="0.25">
      <c r="A1287" s="263" t="s">
        <v>560</v>
      </c>
      <c r="B1287" s="263" t="s">
        <v>1268</v>
      </c>
      <c r="C1287" s="600" t="s">
        <v>118</v>
      </c>
      <c r="D1287" s="263" t="s">
        <v>1257</v>
      </c>
      <c r="E1287" s="599" t="s">
        <v>116</v>
      </c>
      <c r="F1287" s="600">
        <v>2</v>
      </c>
      <c r="G1287" s="600">
        <v>3</v>
      </c>
      <c r="H1287" s="600">
        <v>6</v>
      </c>
      <c r="I1287" s="257" t="s">
        <v>856</v>
      </c>
      <c r="J1287" s="599">
        <v>1982</v>
      </c>
      <c r="K1287" s="257" t="s">
        <v>1211</v>
      </c>
      <c r="L1287" s="608">
        <v>1987</v>
      </c>
      <c r="M1287" s="261">
        <v>-9999</v>
      </c>
      <c r="N1287" s="257">
        <v>-9999</v>
      </c>
      <c r="O1287" s="29"/>
      <c r="P1287" s="602">
        <v>15.88</v>
      </c>
      <c r="Q1287" s="257">
        <v>-9999</v>
      </c>
      <c r="R1287" s="261"/>
      <c r="S1287" s="257"/>
      <c r="T1287" s="370">
        <v>5.2930000000000001</v>
      </c>
      <c r="U1287" s="257">
        <v>-9999</v>
      </c>
      <c r="V1287" s="257"/>
      <c r="W1287" s="609">
        <f>+P1287-P1286</f>
        <v>3.9800000000000004</v>
      </c>
      <c r="X1287" s="257">
        <v>-9999</v>
      </c>
      <c r="Y1287" s="257"/>
      <c r="Z1287" s="599" t="s">
        <v>111</v>
      </c>
      <c r="AA1287" s="605">
        <v>1794</v>
      </c>
      <c r="AB1287" s="611">
        <v>0.91</v>
      </c>
      <c r="AC1287" s="257">
        <v>10.3</v>
      </c>
      <c r="AD1287" s="602">
        <f t="shared" si="137"/>
        <v>966</v>
      </c>
      <c r="AE1287" s="263" t="s">
        <v>97</v>
      </c>
      <c r="AF1287" s="600">
        <v>1</v>
      </c>
      <c r="AG1287" s="257">
        <v>2</v>
      </c>
      <c r="AH1287" s="257" t="s">
        <v>98</v>
      </c>
      <c r="AI1287" s="257" t="s">
        <v>985</v>
      </c>
      <c r="AJ1287" s="257">
        <v>-9999</v>
      </c>
      <c r="AK1287" s="257" t="s">
        <v>99</v>
      </c>
      <c r="AL1287" s="257" t="s">
        <v>828</v>
      </c>
      <c r="AM1287" s="257">
        <v>-9999</v>
      </c>
      <c r="AN1287" s="257" t="s">
        <v>631</v>
      </c>
      <c r="AO1287" s="257">
        <v>-9999</v>
      </c>
      <c r="AP1287" s="257">
        <v>-9999</v>
      </c>
      <c r="AQ1287" s="257" t="s">
        <v>631</v>
      </c>
      <c r="AR1287" s="257">
        <v>0</v>
      </c>
      <c r="AS1287" s="257">
        <v>-9999</v>
      </c>
      <c r="AT1287" s="257">
        <v>-9999</v>
      </c>
      <c r="AU1287" s="257">
        <v>0</v>
      </c>
      <c r="AV1287" s="257">
        <v>-9999</v>
      </c>
      <c r="AW1287" s="257"/>
      <c r="AX1287" s="257">
        <v>0</v>
      </c>
      <c r="AY1287" s="257">
        <v>-9999</v>
      </c>
      <c r="AZ1287" s="257">
        <v>-9999</v>
      </c>
      <c r="BA1287" s="257" t="s">
        <v>100</v>
      </c>
      <c r="BB1287" s="257" t="s">
        <v>626</v>
      </c>
      <c r="BC1287" s="257" t="s">
        <v>101</v>
      </c>
      <c r="BD1287" s="257" t="s">
        <v>102</v>
      </c>
      <c r="BE1287" s="257" t="s">
        <v>103</v>
      </c>
      <c r="BF1287" s="257" t="s">
        <v>104</v>
      </c>
      <c r="BG1287" s="257" t="s">
        <v>105</v>
      </c>
      <c r="BH1287" s="257" t="s">
        <v>106</v>
      </c>
      <c r="BI1287" s="257">
        <v>-9999</v>
      </c>
      <c r="BJ1287" s="257">
        <v>-9999</v>
      </c>
      <c r="BK1287" s="257">
        <v>-9999</v>
      </c>
      <c r="BL1287" s="602">
        <v>3.4</v>
      </c>
      <c r="BM1287" s="257">
        <v>-9999</v>
      </c>
      <c r="BN1287" s="602">
        <v>3.3</v>
      </c>
      <c r="BO1287" s="257">
        <v>-9999</v>
      </c>
      <c r="BP1287" s="257">
        <v>-9999</v>
      </c>
      <c r="BQ1287" s="257">
        <v>-9999</v>
      </c>
      <c r="BR1287" s="257">
        <v>-9999</v>
      </c>
      <c r="BS1287" s="263">
        <v>-9999</v>
      </c>
      <c r="BT1287" s="257">
        <v>-9999</v>
      </c>
      <c r="BU1287" s="257">
        <v>-9999</v>
      </c>
      <c r="BV1287" s="257">
        <v>-9999</v>
      </c>
      <c r="BW1287" s="257"/>
      <c r="BX1287" s="257">
        <v>-9999</v>
      </c>
      <c r="BY1287" s="257">
        <v>-9999</v>
      </c>
      <c r="BZ1287" s="257">
        <v>-9999</v>
      </c>
      <c r="CA1287" s="300" t="s">
        <v>107</v>
      </c>
      <c r="CB1287" s="264" t="s">
        <v>561</v>
      </c>
      <c r="CC1287" s="600">
        <v>2</v>
      </c>
      <c r="CD1287" s="600">
        <v>3</v>
      </c>
      <c r="CE1287" s="168">
        <v>5.2930000000000001</v>
      </c>
      <c r="CF1287" s="168">
        <v>3.9800000000000004</v>
      </c>
      <c r="CG1287" s="161">
        <v>6</v>
      </c>
    </row>
    <row r="1288" spans="1:1873" s="149" customFormat="1" ht="15" x14ac:dyDescent="0.25">
      <c r="A1288" s="30"/>
      <c r="B1288" s="30"/>
      <c r="C1288" s="163"/>
      <c r="D1288" s="163"/>
      <c r="E1288" s="162"/>
      <c r="F1288" s="163"/>
      <c r="G1288" s="164"/>
      <c r="H1288" s="164"/>
      <c r="I1288" s="162"/>
      <c r="J1288" s="162"/>
      <c r="K1288" s="162"/>
      <c r="L1288" s="169"/>
      <c r="M1288" s="746"/>
      <c r="N1288" s="170"/>
      <c r="O1288" s="614"/>
      <c r="P1288" s="171"/>
      <c r="Q1288" s="166"/>
      <c r="R1288" s="171"/>
      <c r="S1288" s="166"/>
      <c r="T1288" s="70"/>
      <c r="U1288" s="29"/>
      <c r="V1288" s="29"/>
      <c r="W1288" s="100"/>
      <c r="X1288" s="29"/>
      <c r="Y1288" s="29"/>
      <c r="Z1288" s="162"/>
      <c r="AA1288" s="162"/>
      <c r="AB1288" s="164"/>
      <c r="AC1288" s="29"/>
      <c r="AD1288" s="164"/>
      <c r="AE1288" s="30"/>
      <c r="AF1288" s="163"/>
      <c r="AG1288" s="29"/>
      <c r="AH1288" s="162"/>
      <c r="AI1288" s="162"/>
      <c r="AJ1288" s="162"/>
      <c r="AK1288" s="162"/>
      <c r="AL1288" s="162"/>
      <c r="AM1288" s="162"/>
      <c r="AN1288" s="162"/>
      <c r="AO1288" s="162"/>
      <c r="AP1288" s="162"/>
      <c r="AQ1288" s="162"/>
      <c r="AR1288" s="162"/>
      <c r="AS1288" s="162"/>
      <c r="AT1288" s="162"/>
      <c r="AU1288" s="162"/>
      <c r="AV1288" s="162"/>
      <c r="AW1288" s="162"/>
      <c r="AX1288" s="162"/>
      <c r="AY1288" s="162"/>
      <c r="AZ1288" s="162"/>
      <c r="BA1288" s="162"/>
      <c r="BB1288" s="162"/>
      <c r="BC1288" s="162"/>
      <c r="BD1288" s="162"/>
      <c r="BE1288" s="162"/>
      <c r="BF1288" s="162"/>
      <c r="BG1288" s="162"/>
      <c r="BH1288" s="162"/>
      <c r="BI1288" s="162"/>
      <c r="BJ1288" s="162"/>
      <c r="BK1288" s="162"/>
      <c r="BL1288" s="162"/>
      <c r="BM1288" s="162"/>
      <c r="BN1288" s="162"/>
      <c r="BO1288" s="164"/>
      <c r="BP1288" s="162"/>
      <c r="BQ1288" s="164"/>
      <c r="BR1288" s="162"/>
      <c r="BS1288" s="30"/>
      <c r="BT1288" s="162"/>
      <c r="BU1288" s="162"/>
      <c r="BV1288" s="162"/>
      <c r="BW1288" s="162"/>
      <c r="BX1288" s="162"/>
      <c r="BY1288" s="162"/>
      <c r="BZ1288" s="162"/>
      <c r="CA1288" s="167"/>
      <c r="CC1288" s="163"/>
      <c r="CD1288" s="164"/>
      <c r="CE1288" s="342" t="s">
        <v>1576</v>
      </c>
      <c r="CF1288" s="342" t="s">
        <v>1575</v>
      </c>
      <c r="CG1288" s="164"/>
    </row>
    <row r="1289" spans="1:1873" s="23" customFormat="1" x14ac:dyDescent="0.2">
      <c r="A1289" s="257" t="s">
        <v>569</v>
      </c>
      <c r="B1289" s="257" t="s">
        <v>570</v>
      </c>
      <c r="C1289" s="257" t="s">
        <v>119</v>
      </c>
      <c r="D1289" s="257" t="s">
        <v>1254</v>
      </c>
      <c r="E1289" s="257" t="s">
        <v>882</v>
      </c>
      <c r="F1289" s="257">
        <v>1</v>
      </c>
      <c r="G1289" s="257">
        <v>1</v>
      </c>
      <c r="H1289" s="257">
        <v>1</v>
      </c>
      <c r="I1289" s="257" t="s">
        <v>575</v>
      </c>
      <c r="J1289" s="257">
        <v>1988</v>
      </c>
      <c r="K1289" s="265" t="s">
        <v>575</v>
      </c>
      <c r="L1289" s="257">
        <v>1991</v>
      </c>
      <c r="M1289" s="261">
        <v>-9999</v>
      </c>
      <c r="N1289" s="257">
        <v>-9999</v>
      </c>
      <c r="O1289" s="29"/>
      <c r="P1289" s="261">
        <v>4.58</v>
      </c>
      <c r="Q1289" s="296">
        <v>0.43</v>
      </c>
      <c r="R1289" s="261"/>
      <c r="S1289" s="296"/>
      <c r="T1289" s="370">
        <f>+P1289/H1289</f>
        <v>4.58</v>
      </c>
      <c r="U1289" s="257">
        <v>-9999</v>
      </c>
      <c r="V1289" s="257"/>
      <c r="W1289" s="261">
        <v>-9999</v>
      </c>
      <c r="X1289" s="257">
        <v>-9999</v>
      </c>
      <c r="Y1289" s="257"/>
      <c r="Z1289" s="257" t="s">
        <v>576</v>
      </c>
      <c r="AA1289" s="257">
        <v>3333</v>
      </c>
      <c r="AB1289" s="261">
        <v>-9999</v>
      </c>
      <c r="AC1289" s="261">
        <v>0.94</v>
      </c>
      <c r="AD1289" s="263">
        <v>625</v>
      </c>
      <c r="AE1289" s="327" t="s">
        <v>280</v>
      </c>
      <c r="AF1289" s="257">
        <v>3</v>
      </c>
      <c r="AG1289" s="257">
        <v>2</v>
      </c>
      <c r="AH1289" s="257" t="s">
        <v>876</v>
      </c>
      <c r="AI1289" s="257" t="s">
        <v>985</v>
      </c>
      <c r="AJ1289" s="257">
        <v>-9999</v>
      </c>
      <c r="AK1289" s="257">
        <v>-9999</v>
      </c>
      <c r="AL1289" s="257">
        <v>-9999</v>
      </c>
      <c r="AM1289" s="257">
        <v>-9999</v>
      </c>
      <c r="AN1289" s="257">
        <v>-9999</v>
      </c>
      <c r="AO1289" s="257">
        <v>-9999</v>
      </c>
      <c r="AP1289" s="257">
        <v>-9999</v>
      </c>
      <c r="AQ1289" s="257" t="s">
        <v>626</v>
      </c>
      <c r="AR1289" s="257">
        <v>0</v>
      </c>
      <c r="AS1289" s="257">
        <v>-9999</v>
      </c>
      <c r="AT1289" s="257">
        <v>-9999</v>
      </c>
      <c r="AU1289" s="257">
        <v>50</v>
      </c>
      <c r="AV1289" s="257" t="s">
        <v>1198</v>
      </c>
      <c r="AW1289" s="257" t="s">
        <v>1199</v>
      </c>
      <c r="AX1289" s="257">
        <v>0</v>
      </c>
      <c r="AY1289" s="257">
        <v>-9999</v>
      </c>
      <c r="AZ1289" s="257">
        <v>-9999</v>
      </c>
      <c r="BA1289" s="257">
        <v>-9999</v>
      </c>
      <c r="BB1289" s="257" t="s">
        <v>626</v>
      </c>
      <c r="BC1289" s="257" t="s">
        <v>881</v>
      </c>
      <c r="BD1289" s="257" t="s">
        <v>577</v>
      </c>
      <c r="BE1289" s="257" t="s">
        <v>578</v>
      </c>
      <c r="BF1289" s="257">
        <v>-9999</v>
      </c>
      <c r="BG1289" s="257">
        <v>-9999</v>
      </c>
      <c r="BH1289" s="257">
        <v>-9999</v>
      </c>
      <c r="BI1289" s="257">
        <v>-9999</v>
      </c>
      <c r="BJ1289" s="257">
        <v>-9999</v>
      </c>
      <c r="BK1289" s="257">
        <v>-9999</v>
      </c>
      <c r="BL1289" s="257">
        <v>-9999</v>
      </c>
      <c r="BM1289" s="257">
        <v>-9999</v>
      </c>
      <c r="BN1289" s="257">
        <v>-9999</v>
      </c>
      <c r="BO1289" s="257">
        <v>-9999</v>
      </c>
      <c r="BP1289" s="257">
        <v>-9999</v>
      </c>
      <c r="BQ1289" s="257">
        <v>-9999</v>
      </c>
      <c r="BR1289" s="257">
        <v>-9999</v>
      </c>
      <c r="BS1289" s="263">
        <v>-9999</v>
      </c>
      <c r="BT1289" s="257">
        <v>-9999</v>
      </c>
      <c r="BU1289" s="257">
        <v>-9999</v>
      </c>
      <c r="BV1289" s="257">
        <v>-9999</v>
      </c>
      <c r="BW1289" s="257"/>
      <c r="BX1289" s="257">
        <v>-9999</v>
      </c>
      <c r="BY1289" s="257">
        <v>-9999</v>
      </c>
      <c r="BZ1289" s="257">
        <v>-9999</v>
      </c>
      <c r="CA1289" s="300" t="s">
        <v>895</v>
      </c>
      <c r="CB1289" s="264"/>
      <c r="CC1289" s="257">
        <v>1</v>
      </c>
      <c r="CD1289" s="257">
        <v>1</v>
      </c>
      <c r="CE1289" s="292">
        <v>4.58</v>
      </c>
      <c r="CF1289" s="292"/>
      <c r="CG1289" s="43">
        <v>1</v>
      </c>
    </row>
    <row r="1290" spans="1:1873" s="23" customFormat="1" x14ac:dyDescent="0.2">
      <c r="A1290" s="257" t="s">
        <v>569</v>
      </c>
      <c r="B1290" s="257" t="s">
        <v>570</v>
      </c>
      <c r="C1290" s="257" t="s">
        <v>119</v>
      </c>
      <c r="D1290" s="257" t="s">
        <v>1254</v>
      </c>
      <c r="E1290" s="257" t="s">
        <v>882</v>
      </c>
      <c r="F1290" s="257">
        <v>1</v>
      </c>
      <c r="G1290" s="257">
        <v>2</v>
      </c>
      <c r="H1290" s="257">
        <v>2</v>
      </c>
      <c r="I1290" s="257" t="s">
        <v>575</v>
      </c>
      <c r="J1290" s="257">
        <v>1988</v>
      </c>
      <c r="K1290" s="265" t="s">
        <v>575</v>
      </c>
      <c r="L1290" s="257">
        <v>1991</v>
      </c>
      <c r="M1290" s="261">
        <v>-9999</v>
      </c>
      <c r="N1290" s="257">
        <v>-9999</v>
      </c>
      <c r="O1290" s="29"/>
      <c r="P1290" s="261">
        <v>14.38</v>
      </c>
      <c r="Q1290" s="296">
        <v>2.11</v>
      </c>
      <c r="R1290" s="261"/>
      <c r="S1290" s="296"/>
      <c r="T1290" s="370">
        <f>+P1290/H1290</f>
        <v>7.19</v>
      </c>
      <c r="U1290" s="257">
        <v>-9999</v>
      </c>
      <c r="V1290" s="257"/>
      <c r="W1290" s="370">
        <f>+P1290-P1289</f>
        <v>9.8000000000000007</v>
      </c>
      <c r="X1290" s="257">
        <v>-9999</v>
      </c>
      <c r="Y1290" s="257"/>
      <c r="Z1290" s="257" t="s">
        <v>576</v>
      </c>
      <c r="AA1290" s="257">
        <v>3333</v>
      </c>
      <c r="AB1290" s="261">
        <v>-9999</v>
      </c>
      <c r="AC1290" s="261">
        <v>0.94</v>
      </c>
      <c r="AD1290" s="263">
        <v>625</v>
      </c>
      <c r="AE1290" s="327" t="s">
        <v>280</v>
      </c>
      <c r="AF1290" s="257">
        <v>3</v>
      </c>
      <c r="AG1290" s="257">
        <v>2</v>
      </c>
      <c r="AH1290" s="257" t="s">
        <v>876</v>
      </c>
      <c r="AI1290" s="257" t="s">
        <v>985</v>
      </c>
      <c r="AJ1290" s="257">
        <v>-9999</v>
      </c>
      <c r="AK1290" s="257">
        <v>-9999</v>
      </c>
      <c r="AL1290" s="257">
        <v>-9999</v>
      </c>
      <c r="AM1290" s="257">
        <v>-9999</v>
      </c>
      <c r="AN1290" s="257">
        <v>-9999</v>
      </c>
      <c r="AO1290" s="257">
        <v>-9999</v>
      </c>
      <c r="AP1290" s="257">
        <v>-9999</v>
      </c>
      <c r="AQ1290" s="257" t="s">
        <v>626</v>
      </c>
      <c r="AR1290" s="257">
        <v>0</v>
      </c>
      <c r="AS1290" s="257">
        <v>-9999</v>
      </c>
      <c r="AT1290" s="257">
        <v>-9999</v>
      </c>
      <c r="AU1290" s="257">
        <v>50</v>
      </c>
      <c r="AV1290" s="257" t="s">
        <v>1198</v>
      </c>
      <c r="AW1290" s="257" t="s">
        <v>1199</v>
      </c>
      <c r="AX1290" s="257">
        <v>0</v>
      </c>
      <c r="AY1290" s="257">
        <v>-9999</v>
      </c>
      <c r="AZ1290" s="257">
        <v>-9999</v>
      </c>
      <c r="BA1290" s="257">
        <v>-9999</v>
      </c>
      <c r="BB1290" s="257" t="s">
        <v>626</v>
      </c>
      <c r="BC1290" s="257" t="s">
        <v>881</v>
      </c>
      <c r="BD1290" s="257" t="s">
        <v>577</v>
      </c>
      <c r="BE1290" s="257" t="s">
        <v>578</v>
      </c>
      <c r="BF1290" s="257">
        <v>-9999</v>
      </c>
      <c r="BG1290" s="257">
        <v>-9999</v>
      </c>
      <c r="BH1290" s="257">
        <v>-9999</v>
      </c>
      <c r="BI1290" s="257">
        <v>-9999</v>
      </c>
      <c r="BJ1290" s="257">
        <v>-9999</v>
      </c>
      <c r="BK1290" s="257">
        <v>-9999</v>
      </c>
      <c r="BL1290" s="257">
        <v>-9999</v>
      </c>
      <c r="BM1290" s="257">
        <v>-9999</v>
      </c>
      <c r="BN1290" s="257">
        <v>-9999</v>
      </c>
      <c r="BO1290" s="257">
        <v>-9999</v>
      </c>
      <c r="BP1290" s="257">
        <v>-9999</v>
      </c>
      <c r="BQ1290" s="257">
        <v>-9999</v>
      </c>
      <c r="BR1290" s="257">
        <v>-9999</v>
      </c>
      <c r="BS1290" s="263">
        <v>-9999</v>
      </c>
      <c r="BT1290" s="257">
        <v>-9999</v>
      </c>
      <c r="BU1290" s="257">
        <v>-9999</v>
      </c>
      <c r="BV1290" s="257">
        <v>-9999</v>
      </c>
      <c r="BW1290" s="257"/>
      <c r="BX1290" s="257">
        <v>-9999</v>
      </c>
      <c r="BY1290" s="257">
        <v>-9999</v>
      </c>
      <c r="BZ1290" s="257">
        <v>-9999</v>
      </c>
      <c r="CA1290" s="300" t="s">
        <v>895</v>
      </c>
      <c r="CB1290" s="264"/>
      <c r="CC1290" s="257">
        <v>1</v>
      </c>
      <c r="CD1290" s="257">
        <v>2</v>
      </c>
      <c r="CE1290" s="292">
        <v>7.19</v>
      </c>
      <c r="CF1290" s="292">
        <v>9.8000000000000007</v>
      </c>
      <c r="CG1290" s="43">
        <v>2</v>
      </c>
    </row>
    <row r="1291" spans="1:1873" s="353" customFormat="1" x14ac:dyDescent="0.2">
      <c r="A1291" s="327" t="s">
        <v>569</v>
      </c>
      <c r="B1291" s="327" t="s">
        <v>570</v>
      </c>
      <c r="C1291" s="327" t="s">
        <v>119</v>
      </c>
      <c r="D1291" s="327" t="s">
        <v>1254</v>
      </c>
      <c r="E1291" s="327" t="s">
        <v>882</v>
      </c>
      <c r="F1291" s="327">
        <v>1</v>
      </c>
      <c r="G1291" s="327">
        <v>3</v>
      </c>
      <c r="H1291" s="327">
        <v>3</v>
      </c>
      <c r="I1291" s="327" t="s">
        <v>575</v>
      </c>
      <c r="J1291" s="327">
        <v>1988</v>
      </c>
      <c r="K1291" s="265" t="s">
        <v>575</v>
      </c>
      <c r="L1291" s="327">
        <v>1991</v>
      </c>
      <c r="M1291" s="368">
        <v>-9999</v>
      </c>
      <c r="N1291" s="327">
        <v>-9999</v>
      </c>
      <c r="O1291" s="323"/>
      <c r="P1291" s="368">
        <v>28.44</v>
      </c>
      <c r="Q1291" s="363">
        <v>4.16</v>
      </c>
      <c r="R1291" s="368"/>
      <c r="S1291" s="363"/>
      <c r="T1291" s="370">
        <f>+P1291/H1291</f>
        <v>9.48</v>
      </c>
      <c r="U1291" s="327">
        <v>-9999</v>
      </c>
      <c r="V1291" s="327"/>
      <c r="W1291" s="370">
        <f>+P1291-P1290</f>
        <v>14.06</v>
      </c>
      <c r="X1291" s="327">
        <v>-9999</v>
      </c>
      <c r="Y1291" s="327"/>
      <c r="Z1291" s="327" t="s">
        <v>576</v>
      </c>
      <c r="AA1291" s="327">
        <v>3333</v>
      </c>
      <c r="AB1291" s="368">
        <v>-9999</v>
      </c>
      <c r="AC1291" s="368">
        <v>0.94</v>
      </c>
      <c r="AD1291" s="328">
        <v>625</v>
      </c>
      <c r="AE1291" s="327" t="s">
        <v>280</v>
      </c>
      <c r="AF1291" s="327">
        <v>3</v>
      </c>
      <c r="AG1291" s="327">
        <v>2</v>
      </c>
      <c r="AH1291" s="327" t="s">
        <v>876</v>
      </c>
      <c r="AI1291" s="327" t="s">
        <v>985</v>
      </c>
      <c r="AJ1291" s="327">
        <v>-9999</v>
      </c>
      <c r="AK1291" s="327">
        <v>-9999</v>
      </c>
      <c r="AL1291" s="327">
        <v>-9999</v>
      </c>
      <c r="AM1291" s="327">
        <v>-9999</v>
      </c>
      <c r="AN1291" s="327">
        <v>-9999</v>
      </c>
      <c r="AO1291" s="327">
        <v>-9999</v>
      </c>
      <c r="AP1291" s="327">
        <v>-9999</v>
      </c>
      <c r="AQ1291" s="327" t="s">
        <v>626</v>
      </c>
      <c r="AR1291" s="327">
        <v>0</v>
      </c>
      <c r="AS1291" s="327">
        <v>-9999</v>
      </c>
      <c r="AT1291" s="327">
        <v>-9999</v>
      </c>
      <c r="AU1291" s="327">
        <v>50</v>
      </c>
      <c r="AV1291" s="327" t="s">
        <v>1198</v>
      </c>
      <c r="AW1291" s="327" t="s">
        <v>1199</v>
      </c>
      <c r="AX1291" s="327">
        <v>0</v>
      </c>
      <c r="AY1291" s="327">
        <v>-9999</v>
      </c>
      <c r="AZ1291" s="327">
        <v>-9999</v>
      </c>
      <c r="BA1291" s="327">
        <v>-9999</v>
      </c>
      <c r="BB1291" s="327" t="s">
        <v>626</v>
      </c>
      <c r="BC1291" s="327" t="s">
        <v>881</v>
      </c>
      <c r="BD1291" s="327" t="s">
        <v>577</v>
      </c>
      <c r="BE1291" s="327" t="s">
        <v>578</v>
      </c>
      <c r="BF1291" s="327">
        <v>-9999</v>
      </c>
      <c r="BG1291" s="327">
        <v>-9999</v>
      </c>
      <c r="BH1291" s="327">
        <v>-9999</v>
      </c>
      <c r="BI1291" s="327">
        <v>-9999</v>
      </c>
      <c r="BJ1291" s="327">
        <v>-9999</v>
      </c>
      <c r="BK1291" s="327">
        <v>-9999</v>
      </c>
      <c r="BL1291" s="327">
        <v>-9999</v>
      </c>
      <c r="BM1291" s="327">
        <v>-9999</v>
      </c>
      <c r="BN1291" s="327">
        <v>-9999</v>
      </c>
      <c r="BO1291" s="327">
        <v>-9999</v>
      </c>
      <c r="BP1291" s="327">
        <v>-9999</v>
      </c>
      <c r="BQ1291" s="327">
        <v>-9999</v>
      </c>
      <c r="BR1291" s="327">
        <v>-9999</v>
      </c>
      <c r="BS1291" s="328">
        <v>-9999</v>
      </c>
      <c r="BT1291" s="327">
        <v>-9999</v>
      </c>
      <c r="BU1291" s="327">
        <v>-9999</v>
      </c>
      <c r="BV1291" s="327">
        <v>-9999</v>
      </c>
      <c r="BW1291" s="327"/>
      <c r="BX1291" s="327">
        <v>-9999</v>
      </c>
      <c r="BY1291" s="327">
        <v>-9999</v>
      </c>
      <c r="BZ1291" s="327">
        <v>-9999</v>
      </c>
      <c r="CA1291" s="369" t="s">
        <v>895</v>
      </c>
      <c r="CB1291" s="475"/>
      <c r="CC1291" s="327">
        <v>1</v>
      </c>
      <c r="CD1291" s="327">
        <v>3</v>
      </c>
      <c r="CE1291" s="342">
        <v>9.48</v>
      </c>
      <c r="CF1291" s="342">
        <v>14.06</v>
      </c>
      <c r="CG1291" s="326">
        <v>3</v>
      </c>
      <c r="CH1291" s="301" t="s">
        <v>1757</v>
      </c>
      <c r="CI1291" s="301"/>
      <c r="CJ1291" s="301"/>
      <c r="CK1291" s="301"/>
      <c r="CL1291" s="301"/>
      <c r="CM1291" s="301"/>
      <c r="CN1291" s="301"/>
      <c r="CO1291" s="301"/>
      <c r="CP1291" s="301"/>
      <c r="CQ1291" s="301"/>
      <c r="CR1291" s="301"/>
      <c r="CS1291" s="301"/>
      <c r="CT1291" s="301"/>
      <c r="CU1291" s="301"/>
      <c r="CV1291" s="301"/>
      <c r="CW1291" s="301"/>
      <c r="CX1291" s="301"/>
      <c r="CY1291" s="301"/>
      <c r="CZ1291" s="301"/>
      <c r="DA1291" s="301"/>
      <c r="DB1291" s="301"/>
      <c r="DC1291" s="301"/>
      <c r="DD1291" s="301"/>
      <c r="DE1291" s="301"/>
      <c r="DF1291" s="301"/>
      <c r="DG1291" s="301"/>
      <c r="DH1291" s="301"/>
      <c r="DI1291" s="301"/>
      <c r="DJ1291" s="301"/>
      <c r="DK1291" s="301"/>
      <c r="DL1291" s="301"/>
      <c r="DM1291" s="301"/>
      <c r="DN1291" s="301"/>
      <c r="DO1291" s="301"/>
      <c r="DP1291" s="301"/>
      <c r="DQ1291" s="301"/>
      <c r="DR1291" s="301"/>
      <c r="DS1291" s="301"/>
      <c r="DT1291" s="301"/>
      <c r="DU1291" s="301"/>
      <c r="DV1291" s="301"/>
      <c r="DW1291" s="301"/>
      <c r="DX1291" s="301"/>
      <c r="DY1291" s="301"/>
      <c r="DZ1291" s="301"/>
      <c r="EA1291" s="301"/>
      <c r="EB1291" s="301"/>
      <c r="EC1291" s="301"/>
      <c r="ED1291" s="301"/>
      <c r="EE1291" s="301"/>
      <c r="EF1291" s="301"/>
      <c r="EG1291" s="301"/>
      <c r="EH1291" s="301"/>
      <c r="EI1291" s="301"/>
      <c r="EJ1291" s="301"/>
      <c r="EK1291" s="301"/>
      <c r="EL1291" s="301"/>
      <c r="EM1291" s="301"/>
      <c r="EN1291" s="301"/>
      <c r="EO1291" s="301"/>
      <c r="EP1291" s="301"/>
      <c r="EQ1291" s="301"/>
      <c r="ER1291" s="301"/>
      <c r="ES1291" s="301"/>
      <c r="ET1291" s="301"/>
      <c r="EU1291" s="301"/>
      <c r="EV1291" s="301"/>
      <c r="EW1291" s="301"/>
      <c r="EX1291" s="301"/>
      <c r="EY1291" s="301"/>
      <c r="EZ1291" s="301"/>
      <c r="FA1291" s="301"/>
      <c r="FB1291" s="301"/>
      <c r="FC1291" s="301"/>
      <c r="FD1291" s="301"/>
      <c r="FE1291" s="301"/>
      <c r="FF1291" s="301"/>
      <c r="FG1291" s="301"/>
      <c r="FH1291" s="301"/>
      <c r="FI1291" s="301"/>
      <c r="FJ1291" s="301"/>
      <c r="FK1291" s="301"/>
      <c r="FL1291" s="301"/>
      <c r="FM1291" s="301"/>
      <c r="FN1291" s="301"/>
      <c r="FO1291" s="301"/>
      <c r="FP1291" s="301"/>
      <c r="FQ1291" s="301"/>
      <c r="FR1291" s="301"/>
      <c r="FS1291" s="301"/>
      <c r="FT1291" s="301"/>
      <c r="FU1291" s="301"/>
      <c r="FV1291" s="301"/>
      <c r="FW1291" s="301"/>
      <c r="FX1291" s="301"/>
      <c r="FY1291" s="301"/>
      <c r="FZ1291" s="301"/>
      <c r="GA1291" s="301"/>
      <c r="GB1291" s="301"/>
      <c r="GC1291" s="301"/>
      <c r="GD1291" s="301"/>
      <c r="GE1291" s="301"/>
      <c r="GF1291" s="301"/>
      <c r="GG1291" s="301"/>
      <c r="GH1291" s="301"/>
      <c r="GI1291" s="301"/>
      <c r="GJ1291" s="301"/>
      <c r="GK1291" s="301"/>
      <c r="GL1291" s="301"/>
      <c r="GM1291" s="301"/>
      <c r="GN1291" s="301"/>
      <c r="GO1291" s="301"/>
      <c r="GP1291" s="301"/>
      <c r="GQ1291" s="301"/>
      <c r="GR1291" s="301"/>
      <c r="GS1291" s="301"/>
      <c r="GT1291" s="301"/>
      <c r="GU1291" s="301"/>
      <c r="GV1291" s="301"/>
      <c r="GW1291" s="301"/>
      <c r="GX1291" s="301"/>
      <c r="GY1291" s="301"/>
      <c r="GZ1291" s="301"/>
      <c r="HA1291" s="301"/>
      <c r="HB1291" s="301"/>
      <c r="HC1291" s="301"/>
      <c r="HD1291" s="301"/>
      <c r="HE1291" s="301"/>
      <c r="HF1291" s="301"/>
      <c r="HG1291" s="301"/>
      <c r="HH1291" s="301"/>
      <c r="HI1291" s="301"/>
      <c r="HJ1291" s="301"/>
      <c r="HK1291" s="301"/>
      <c r="HL1291" s="301"/>
      <c r="HM1291" s="301"/>
      <c r="HN1291" s="301"/>
      <c r="HO1291" s="301"/>
      <c r="HP1291" s="301"/>
      <c r="HQ1291" s="301"/>
      <c r="HR1291" s="301"/>
      <c r="HS1291" s="301"/>
      <c r="HT1291" s="301"/>
      <c r="HU1291" s="301"/>
      <c r="HV1291" s="301"/>
      <c r="HW1291" s="301"/>
      <c r="HX1291" s="301"/>
      <c r="HY1291" s="301"/>
      <c r="HZ1291" s="301"/>
      <c r="IA1291" s="301"/>
      <c r="IB1291" s="301"/>
      <c r="IC1291" s="301"/>
      <c r="ID1291" s="301"/>
      <c r="IE1291" s="301"/>
      <c r="IF1291" s="301"/>
      <c r="IG1291" s="301"/>
      <c r="IH1291" s="301"/>
      <c r="II1291" s="301"/>
      <c r="IJ1291" s="301"/>
      <c r="IK1291" s="301"/>
      <c r="IL1291" s="301"/>
      <c r="IM1291" s="301"/>
      <c r="IN1291" s="301"/>
      <c r="IO1291" s="301"/>
      <c r="IP1291" s="301"/>
      <c r="IQ1291" s="301"/>
      <c r="IR1291" s="301"/>
      <c r="IS1291" s="301"/>
      <c r="IT1291" s="301"/>
      <c r="IU1291" s="301"/>
      <c r="IV1291" s="301"/>
      <c r="IW1291" s="301"/>
      <c r="IX1291" s="301"/>
      <c r="IY1291" s="301"/>
      <c r="IZ1291" s="301"/>
      <c r="JA1291" s="301"/>
      <c r="JB1291" s="301"/>
      <c r="JC1291" s="301"/>
      <c r="JD1291" s="301"/>
      <c r="JE1291" s="301"/>
      <c r="JF1291" s="301"/>
      <c r="JG1291" s="301"/>
      <c r="JH1291" s="301"/>
      <c r="JI1291" s="301"/>
      <c r="JJ1291" s="301"/>
      <c r="JK1291" s="301"/>
      <c r="JL1291" s="301"/>
      <c r="JM1291" s="301"/>
      <c r="JN1291" s="301"/>
      <c r="JO1291" s="301"/>
      <c r="JP1291" s="301"/>
      <c r="JQ1291" s="301"/>
      <c r="JR1291" s="301"/>
      <c r="JS1291" s="301"/>
      <c r="JT1291" s="301"/>
      <c r="JU1291" s="301"/>
      <c r="JV1291" s="301"/>
      <c r="JW1291" s="301"/>
      <c r="JX1291" s="301"/>
      <c r="JY1291" s="301"/>
      <c r="JZ1291" s="301"/>
      <c r="KA1291" s="301"/>
      <c r="KB1291" s="301"/>
      <c r="KC1291" s="301"/>
      <c r="KD1291" s="301"/>
      <c r="KE1291" s="301"/>
      <c r="KF1291" s="301"/>
      <c r="KG1291" s="301"/>
      <c r="KH1291" s="301"/>
      <c r="KI1291" s="301"/>
      <c r="KJ1291" s="301"/>
      <c r="KK1291" s="301"/>
      <c r="KL1291" s="301"/>
      <c r="KM1291" s="301"/>
      <c r="KN1291" s="301"/>
      <c r="KO1291" s="301"/>
      <c r="KP1291" s="301"/>
      <c r="KQ1291" s="301"/>
      <c r="KR1291" s="301"/>
      <c r="KS1291" s="301"/>
      <c r="KT1291" s="301"/>
      <c r="KU1291" s="301"/>
      <c r="KV1291" s="301"/>
      <c r="KW1291" s="301"/>
      <c r="KX1291" s="301"/>
      <c r="KY1291" s="301"/>
      <c r="KZ1291" s="301"/>
      <c r="LA1291" s="301"/>
      <c r="LB1291" s="301"/>
      <c r="LC1291" s="301"/>
      <c r="LD1291" s="301"/>
      <c r="LE1291" s="301"/>
      <c r="LF1291" s="301"/>
      <c r="LG1291" s="301"/>
      <c r="LH1291" s="301"/>
      <c r="LI1291" s="301"/>
      <c r="LJ1291" s="301"/>
      <c r="LK1291" s="301"/>
      <c r="LL1291" s="301"/>
      <c r="LM1291" s="301"/>
      <c r="LN1291" s="301"/>
      <c r="LO1291" s="301"/>
      <c r="LP1291" s="301"/>
      <c r="LQ1291" s="301"/>
      <c r="LR1291" s="301"/>
      <c r="LS1291" s="301"/>
      <c r="LT1291" s="301"/>
      <c r="LU1291" s="301"/>
      <c r="LV1291" s="301"/>
      <c r="LW1291" s="301"/>
      <c r="LX1291" s="301"/>
      <c r="LY1291" s="301"/>
      <c r="LZ1291" s="301"/>
      <c r="MA1291" s="301"/>
      <c r="MB1291" s="301"/>
      <c r="MC1291" s="301"/>
      <c r="MD1291" s="301"/>
      <c r="ME1291" s="301"/>
      <c r="MF1291" s="301"/>
      <c r="MG1291" s="301"/>
      <c r="MH1291" s="301"/>
      <c r="MI1291" s="301"/>
      <c r="MJ1291" s="301"/>
      <c r="MK1291" s="301"/>
      <c r="ML1291" s="301"/>
      <c r="MM1291" s="301"/>
      <c r="MN1291" s="301"/>
      <c r="MO1291" s="301"/>
      <c r="MP1291" s="301"/>
      <c r="MQ1291" s="301"/>
      <c r="MR1291" s="301"/>
      <c r="MS1291" s="301"/>
      <c r="MT1291" s="301"/>
      <c r="MU1291" s="301"/>
      <c r="MV1291" s="301"/>
      <c r="MW1291" s="301"/>
      <c r="MX1291" s="301"/>
      <c r="MY1291" s="301"/>
      <c r="MZ1291" s="301"/>
      <c r="NA1291" s="301"/>
      <c r="NB1291" s="301"/>
      <c r="NC1291" s="301"/>
      <c r="ND1291" s="301"/>
      <c r="NE1291" s="301"/>
      <c r="NF1291" s="301"/>
      <c r="NG1291" s="301"/>
      <c r="NH1291" s="301"/>
      <c r="NI1291" s="301"/>
      <c r="NJ1291" s="301"/>
      <c r="NK1291" s="301"/>
      <c r="NL1291" s="301"/>
      <c r="NM1291" s="301"/>
      <c r="NN1291" s="301"/>
      <c r="NO1291" s="301"/>
      <c r="NP1291" s="301"/>
      <c r="NQ1291" s="301"/>
      <c r="NR1291" s="301"/>
      <c r="NS1291" s="301"/>
      <c r="NT1291" s="301"/>
      <c r="NU1291" s="301"/>
      <c r="NV1291" s="301"/>
      <c r="NW1291" s="301"/>
      <c r="NX1291" s="301"/>
      <c r="NY1291" s="301"/>
      <c r="NZ1291" s="301"/>
      <c r="OA1291" s="301"/>
      <c r="OB1291" s="301"/>
      <c r="OC1291" s="301"/>
      <c r="OD1291" s="301"/>
      <c r="OE1291" s="301"/>
      <c r="OF1291" s="301"/>
      <c r="OG1291" s="301"/>
      <c r="OH1291" s="301"/>
      <c r="OI1291" s="301"/>
      <c r="OJ1291" s="301"/>
      <c r="OK1291" s="301"/>
      <c r="OL1291" s="301"/>
      <c r="OM1291" s="301"/>
      <c r="ON1291" s="301"/>
      <c r="OO1291" s="301"/>
      <c r="OP1291" s="301"/>
      <c r="OQ1291" s="301"/>
      <c r="OR1291" s="301"/>
      <c r="OS1291" s="301"/>
      <c r="OT1291" s="301"/>
      <c r="OU1291" s="301"/>
      <c r="OV1291" s="301"/>
      <c r="OW1291" s="301"/>
      <c r="OX1291" s="301"/>
      <c r="OY1291" s="301"/>
      <c r="OZ1291" s="301"/>
      <c r="PA1291" s="301"/>
      <c r="PB1291" s="301"/>
      <c r="PC1291" s="301"/>
      <c r="PD1291" s="301"/>
      <c r="PE1291" s="301"/>
      <c r="PF1291" s="301"/>
      <c r="PG1291" s="301"/>
      <c r="PH1291" s="301"/>
      <c r="PI1291" s="301"/>
      <c r="PJ1291" s="301"/>
      <c r="PK1291" s="301"/>
      <c r="PL1291" s="301"/>
      <c r="PM1291" s="301"/>
      <c r="PN1291" s="301"/>
      <c r="PO1291" s="301"/>
      <c r="PP1291" s="301"/>
      <c r="PQ1291" s="301"/>
      <c r="PR1291" s="301"/>
      <c r="PS1291" s="301"/>
      <c r="PT1291" s="301"/>
      <c r="PU1291" s="301"/>
      <c r="PV1291" s="301"/>
      <c r="PW1291" s="301"/>
      <c r="PX1291" s="301"/>
      <c r="PY1291" s="301"/>
      <c r="PZ1291" s="301"/>
      <c r="QA1291" s="301"/>
      <c r="QB1291" s="301"/>
      <c r="QC1291" s="301"/>
      <c r="QD1291" s="301"/>
      <c r="QE1291" s="301"/>
      <c r="QF1291" s="301"/>
      <c r="QG1291" s="301"/>
      <c r="QH1291" s="301"/>
      <c r="QI1291" s="301"/>
      <c r="QJ1291" s="301"/>
      <c r="QK1291" s="301"/>
      <c r="QL1291" s="301"/>
      <c r="QM1291" s="301"/>
      <c r="QN1291" s="301"/>
      <c r="QO1291" s="301"/>
      <c r="QP1291" s="301"/>
      <c r="QQ1291" s="301"/>
      <c r="QR1291" s="301"/>
      <c r="QS1291" s="301"/>
      <c r="QT1291" s="301"/>
      <c r="QU1291" s="301"/>
      <c r="QV1291" s="301"/>
      <c r="QW1291" s="301"/>
      <c r="QX1291" s="301"/>
      <c r="QY1291" s="301"/>
      <c r="QZ1291" s="301"/>
      <c r="RA1291" s="301"/>
      <c r="RB1291" s="301"/>
      <c r="RC1291" s="301"/>
      <c r="RD1291" s="301"/>
      <c r="RE1291" s="301"/>
      <c r="RF1291" s="301"/>
      <c r="RG1291" s="301"/>
      <c r="RH1291" s="301"/>
      <c r="RI1291" s="301"/>
      <c r="RJ1291" s="301"/>
      <c r="RK1291" s="301"/>
      <c r="RL1291" s="301"/>
      <c r="RM1291" s="301"/>
      <c r="RN1291" s="301"/>
      <c r="RO1291" s="301"/>
      <c r="RP1291" s="301"/>
      <c r="RQ1291" s="301"/>
      <c r="RR1291" s="301"/>
      <c r="RS1291" s="301"/>
      <c r="RT1291" s="301"/>
      <c r="RU1291" s="301"/>
      <c r="RV1291" s="301"/>
      <c r="RW1291" s="301"/>
      <c r="RX1291" s="301"/>
      <c r="RY1291" s="301"/>
      <c r="RZ1291" s="301"/>
      <c r="SA1291" s="301"/>
      <c r="SB1291" s="301"/>
      <c r="SC1291" s="301"/>
      <c r="SD1291" s="301"/>
      <c r="SE1291" s="301"/>
      <c r="SF1291" s="301"/>
      <c r="SG1291" s="301"/>
      <c r="SH1291" s="301"/>
      <c r="SI1291" s="301"/>
      <c r="SJ1291" s="301"/>
      <c r="SK1291" s="301"/>
      <c r="SL1291" s="301"/>
      <c r="SM1291" s="301"/>
      <c r="SN1291" s="301"/>
      <c r="SO1291" s="301"/>
      <c r="SP1291" s="301"/>
      <c r="SQ1291" s="301"/>
      <c r="SR1291" s="301"/>
      <c r="SS1291" s="301"/>
      <c r="ST1291" s="301"/>
      <c r="SU1291" s="301"/>
      <c r="SV1291" s="301"/>
      <c r="SW1291" s="301"/>
      <c r="SX1291" s="301"/>
      <c r="SY1291" s="301"/>
      <c r="SZ1291" s="301"/>
      <c r="TA1291" s="301"/>
      <c r="TB1291" s="301"/>
      <c r="TC1291" s="301"/>
      <c r="TD1291" s="301"/>
      <c r="TE1291" s="301"/>
      <c r="TF1291" s="301"/>
      <c r="TG1291" s="301"/>
      <c r="TH1291" s="301"/>
      <c r="TI1291" s="301"/>
      <c r="TJ1291" s="301"/>
      <c r="TK1291" s="301"/>
      <c r="TL1291" s="301"/>
      <c r="TM1291" s="301"/>
      <c r="TN1291" s="301"/>
      <c r="TO1291" s="301"/>
      <c r="TP1291" s="301"/>
      <c r="TQ1291" s="301"/>
      <c r="TR1291" s="301"/>
      <c r="TS1291" s="301"/>
      <c r="TT1291" s="301"/>
      <c r="TU1291" s="301"/>
      <c r="TV1291" s="301"/>
      <c r="TW1291" s="301"/>
      <c r="TX1291" s="301"/>
      <c r="TY1291" s="301"/>
      <c r="TZ1291" s="301"/>
      <c r="UA1291" s="301"/>
      <c r="UB1291" s="301"/>
      <c r="UC1291" s="301"/>
      <c r="UD1291" s="301"/>
      <c r="UE1291" s="301"/>
      <c r="UF1291" s="301"/>
      <c r="UG1291" s="301"/>
      <c r="UH1291" s="301"/>
      <c r="UI1291" s="301"/>
      <c r="UJ1291" s="301"/>
      <c r="UK1291" s="301"/>
      <c r="UL1291" s="301"/>
      <c r="UM1291" s="301"/>
      <c r="UN1291" s="301"/>
      <c r="UO1291" s="301"/>
      <c r="UP1291" s="301"/>
      <c r="UQ1291" s="301"/>
      <c r="UR1291" s="301"/>
      <c r="US1291" s="301"/>
      <c r="UT1291" s="301"/>
      <c r="UU1291" s="301"/>
      <c r="UV1291" s="301"/>
      <c r="UW1291" s="301"/>
      <c r="UX1291" s="301"/>
      <c r="UY1291" s="301"/>
      <c r="UZ1291" s="301"/>
      <c r="VA1291" s="301"/>
      <c r="VB1291" s="301"/>
      <c r="VC1291" s="301"/>
      <c r="VD1291" s="301"/>
      <c r="VE1291" s="301"/>
      <c r="VF1291" s="301"/>
      <c r="VG1291" s="301"/>
      <c r="VH1291" s="301"/>
      <c r="VI1291" s="301"/>
      <c r="VJ1291" s="301"/>
      <c r="VK1291" s="301"/>
      <c r="VL1291" s="301"/>
      <c r="VM1291" s="301"/>
      <c r="VN1291" s="301"/>
      <c r="VO1291" s="301"/>
      <c r="VP1291" s="301"/>
      <c r="VQ1291" s="301"/>
      <c r="VR1291" s="301"/>
      <c r="VS1291" s="301"/>
      <c r="VT1291" s="301"/>
      <c r="VU1291" s="301"/>
      <c r="VV1291" s="301"/>
      <c r="VW1291" s="301"/>
      <c r="VX1291" s="301"/>
      <c r="VY1291" s="301"/>
      <c r="VZ1291" s="301"/>
      <c r="WA1291" s="301"/>
      <c r="WB1291" s="301"/>
      <c r="WC1291" s="301"/>
      <c r="WD1291" s="301"/>
      <c r="WE1291" s="301"/>
      <c r="WF1291" s="301"/>
      <c r="WG1291" s="301"/>
      <c r="WH1291" s="301"/>
      <c r="WI1291" s="301"/>
      <c r="WJ1291" s="301"/>
      <c r="WK1291" s="301"/>
      <c r="WL1291" s="301"/>
      <c r="WM1291" s="301"/>
      <c r="WN1291" s="301"/>
      <c r="WO1291" s="301"/>
      <c r="WP1291" s="301"/>
      <c r="WQ1291" s="301"/>
      <c r="WR1291" s="301"/>
      <c r="WS1291" s="301"/>
      <c r="WT1291" s="301"/>
      <c r="WU1291" s="301"/>
      <c r="WV1291" s="301"/>
      <c r="WW1291" s="301"/>
      <c r="WX1291" s="301"/>
      <c r="WY1291" s="301"/>
      <c r="WZ1291" s="301"/>
      <c r="XA1291" s="301"/>
      <c r="XB1291" s="301"/>
      <c r="XC1291" s="301"/>
      <c r="XD1291" s="301"/>
      <c r="XE1291" s="301"/>
      <c r="XF1291" s="301"/>
      <c r="XG1291" s="301"/>
      <c r="XH1291" s="301"/>
      <c r="XI1291" s="301"/>
      <c r="XJ1291" s="301"/>
      <c r="XK1291" s="301"/>
      <c r="XL1291" s="301"/>
      <c r="XM1291" s="301"/>
      <c r="XN1291" s="301"/>
      <c r="XO1291" s="301"/>
      <c r="XP1291" s="301"/>
      <c r="XQ1291" s="301"/>
      <c r="XR1291" s="301"/>
      <c r="XS1291" s="301"/>
      <c r="XT1291" s="301"/>
      <c r="XU1291" s="301"/>
      <c r="XV1291" s="301"/>
      <c r="XW1291" s="301"/>
      <c r="XX1291" s="301"/>
      <c r="XY1291" s="301"/>
      <c r="XZ1291" s="301"/>
      <c r="YA1291" s="301"/>
      <c r="YB1291" s="301"/>
      <c r="YC1291" s="301"/>
      <c r="YD1291" s="301"/>
      <c r="YE1291" s="301"/>
      <c r="YF1291" s="301"/>
      <c r="YG1291" s="301"/>
      <c r="YH1291" s="301"/>
      <c r="YI1291" s="301"/>
      <c r="YJ1291" s="301"/>
      <c r="YK1291" s="301"/>
      <c r="YL1291" s="301"/>
      <c r="YM1291" s="301"/>
      <c r="YN1291" s="301"/>
      <c r="YO1291" s="301"/>
      <c r="YP1291" s="301"/>
      <c r="YQ1291" s="301"/>
      <c r="YR1291" s="301"/>
      <c r="YS1291" s="301"/>
      <c r="YT1291" s="301"/>
      <c r="YU1291" s="301"/>
      <c r="YV1291" s="301"/>
      <c r="YW1291" s="301"/>
      <c r="YX1291" s="301"/>
      <c r="YY1291" s="301"/>
      <c r="YZ1291" s="301"/>
      <c r="ZA1291" s="301"/>
      <c r="ZB1291" s="301"/>
      <c r="ZC1291" s="301"/>
      <c r="ZD1291" s="301"/>
      <c r="ZE1291" s="301"/>
      <c r="ZF1291" s="301"/>
      <c r="ZG1291" s="301"/>
      <c r="ZH1291" s="301"/>
      <c r="ZI1291" s="301"/>
      <c r="ZJ1291" s="301"/>
      <c r="ZK1291" s="301"/>
      <c r="ZL1291" s="301"/>
      <c r="ZM1291" s="301"/>
      <c r="ZN1291" s="301"/>
      <c r="ZO1291" s="301"/>
      <c r="ZP1291" s="301"/>
      <c r="ZQ1291" s="301"/>
      <c r="ZR1291" s="301"/>
      <c r="ZS1291" s="301"/>
      <c r="ZT1291" s="301"/>
      <c r="ZU1291" s="301"/>
      <c r="ZV1291" s="301"/>
      <c r="ZW1291" s="301"/>
      <c r="ZX1291" s="301"/>
      <c r="ZY1291" s="301"/>
      <c r="ZZ1291" s="301"/>
      <c r="AAA1291" s="301"/>
      <c r="AAB1291" s="301"/>
      <c r="AAC1291" s="301"/>
      <c r="AAD1291" s="301"/>
      <c r="AAE1291" s="301"/>
      <c r="AAF1291" s="301"/>
      <c r="AAG1291" s="301"/>
      <c r="AAH1291" s="301"/>
      <c r="AAI1291" s="301"/>
      <c r="AAJ1291" s="301"/>
      <c r="AAK1291" s="301"/>
      <c r="AAL1291" s="301"/>
      <c r="AAM1291" s="301"/>
      <c r="AAN1291" s="301"/>
      <c r="AAO1291" s="301"/>
      <c r="AAP1291" s="301"/>
      <c r="AAQ1291" s="301"/>
      <c r="AAR1291" s="301"/>
      <c r="AAS1291" s="301"/>
      <c r="AAT1291" s="301"/>
      <c r="AAU1291" s="301"/>
      <c r="AAV1291" s="301"/>
      <c r="AAW1291" s="301"/>
      <c r="AAX1291" s="301"/>
      <c r="AAY1291" s="301"/>
      <c r="AAZ1291" s="301"/>
      <c r="ABA1291" s="301"/>
      <c r="ABB1291" s="301"/>
      <c r="ABC1291" s="301"/>
      <c r="ABD1291" s="301"/>
      <c r="ABE1291" s="301"/>
      <c r="ABF1291" s="301"/>
      <c r="ABG1291" s="301"/>
      <c r="ABH1291" s="301"/>
      <c r="ABI1291" s="301"/>
      <c r="ABJ1291" s="301"/>
      <c r="ABK1291" s="301"/>
      <c r="ABL1291" s="301"/>
      <c r="ABM1291" s="301"/>
      <c r="ABN1291" s="301"/>
      <c r="ABO1291" s="301"/>
      <c r="ABP1291" s="301"/>
      <c r="ABQ1291" s="301"/>
      <c r="ABR1291" s="301"/>
      <c r="ABS1291" s="301"/>
      <c r="ABT1291" s="301"/>
      <c r="ABU1291" s="301"/>
      <c r="ABV1291" s="301"/>
      <c r="ABW1291" s="301"/>
      <c r="ABX1291" s="301"/>
      <c r="ABY1291" s="301"/>
      <c r="ABZ1291" s="301"/>
      <c r="ACA1291" s="301"/>
      <c r="ACB1291" s="301"/>
      <c r="ACC1291" s="301"/>
      <c r="ACD1291" s="301"/>
      <c r="ACE1291" s="301"/>
      <c r="ACF1291" s="301"/>
      <c r="ACG1291" s="301"/>
      <c r="ACH1291" s="301"/>
      <c r="ACI1291" s="301"/>
      <c r="ACJ1291" s="301"/>
      <c r="ACK1291" s="301"/>
      <c r="ACL1291" s="301"/>
      <c r="ACM1291" s="301"/>
      <c r="ACN1291" s="301"/>
      <c r="ACO1291" s="301"/>
      <c r="ACP1291" s="301"/>
      <c r="ACQ1291" s="301"/>
      <c r="ACR1291" s="301"/>
      <c r="ACS1291" s="301"/>
      <c r="ACT1291" s="301"/>
      <c r="ACU1291" s="301"/>
      <c r="ACV1291" s="301"/>
      <c r="ACW1291" s="301"/>
      <c r="ACX1291" s="301"/>
      <c r="ACY1291" s="301"/>
      <c r="ACZ1291" s="301"/>
      <c r="ADA1291" s="301"/>
      <c r="ADB1291" s="301"/>
      <c r="ADC1291" s="301"/>
      <c r="ADD1291" s="301"/>
      <c r="ADE1291" s="301"/>
      <c r="ADF1291" s="301"/>
      <c r="ADG1291" s="301"/>
      <c r="ADH1291" s="301"/>
      <c r="ADI1291" s="301"/>
      <c r="ADJ1291" s="301"/>
      <c r="ADK1291" s="301"/>
      <c r="ADL1291" s="301"/>
      <c r="ADM1291" s="301"/>
      <c r="ADN1291" s="301"/>
      <c r="ADO1291" s="301"/>
      <c r="ADP1291" s="301"/>
      <c r="ADQ1291" s="301"/>
      <c r="ADR1291" s="301"/>
      <c r="ADS1291" s="301"/>
      <c r="ADT1291" s="301"/>
      <c r="ADU1291" s="301"/>
      <c r="ADV1291" s="301"/>
      <c r="ADW1291" s="301"/>
      <c r="ADX1291" s="301"/>
      <c r="ADY1291" s="301"/>
      <c r="ADZ1291" s="301"/>
      <c r="AEA1291" s="301"/>
      <c r="AEB1291" s="301"/>
      <c r="AEC1291" s="301"/>
      <c r="AED1291" s="301"/>
      <c r="AEE1291" s="301"/>
      <c r="AEF1291" s="301"/>
      <c r="AEG1291" s="301"/>
      <c r="AEH1291" s="301"/>
      <c r="AEI1291" s="301"/>
      <c r="AEJ1291" s="301"/>
      <c r="AEK1291" s="301"/>
      <c r="AEL1291" s="301"/>
      <c r="AEM1291" s="301"/>
      <c r="AEN1291" s="301"/>
      <c r="AEO1291" s="301"/>
      <c r="AEP1291" s="301"/>
      <c r="AEQ1291" s="301"/>
      <c r="AER1291" s="301"/>
      <c r="AES1291" s="301"/>
      <c r="AET1291" s="301"/>
      <c r="AEU1291" s="301"/>
      <c r="AEV1291" s="301"/>
      <c r="AEW1291" s="301"/>
      <c r="AEX1291" s="301"/>
      <c r="AEY1291" s="301"/>
      <c r="AEZ1291" s="301"/>
      <c r="AFA1291" s="301"/>
      <c r="AFB1291" s="301"/>
      <c r="AFC1291" s="301"/>
      <c r="AFD1291" s="301"/>
      <c r="AFE1291" s="301"/>
      <c r="AFF1291" s="301"/>
      <c r="AFG1291" s="301"/>
      <c r="AFH1291" s="301"/>
      <c r="AFI1291" s="301"/>
      <c r="AFJ1291" s="301"/>
      <c r="AFK1291" s="301"/>
      <c r="AFL1291" s="301"/>
      <c r="AFM1291" s="301"/>
      <c r="AFN1291" s="301"/>
      <c r="AFO1291" s="301"/>
      <c r="AFP1291" s="301"/>
      <c r="AFQ1291" s="301"/>
      <c r="AFR1291" s="301"/>
      <c r="AFS1291" s="301"/>
      <c r="AFT1291" s="301"/>
      <c r="AFU1291" s="301"/>
      <c r="AFV1291" s="301"/>
      <c r="AFW1291" s="301"/>
      <c r="AFX1291" s="301"/>
      <c r="AFY1291" s="301"/>
      <c r="AFZ1291" s="301"/>
      <c r="AGA1291" s="301"/>
      <c r="AGB1291" s="301"/>
      <c r="AGC1291" s="301"/>
      <c r="AGD1291" s="301"/>
      <c r="AGE1291" s="301"/>
      <c r="AGF1291" s="301"/>
      <c r="AGG1291" s="301"/>
      <c r="AGH1291" s="301"/>
      <c r="AGI1291" s="301"/>
      <c r="AGJ1291" s="301"/>
      <c r="AGK1291" s="301"/>
      <c r="AGL1291" s="301"/>
      <c r="AGM1291" s="301"/>
      <c r="AGN1291" s="301"/>
      <c r="AGO1291" s="301"/>
      <c r="AGP1291" s="301"/>
      <c r="AGQ1291" s="301"/>
      <c r="AGR1291" s="301"/>
      <c r="AGS1291" s="301"/>
      <c r="AGT1291" s="301"/>
      <c r="AGU1291" s="301"/>
      <c r="AGV1291" s="301"/>
      <c r="AGW1291" s="301"/>
      <c r="AGX1291" s="301"/>
      <c r="AGY1291" s="301"/>
      <c r="AGZ1291" s="301"/>
      <c r="AHA1291" s="301"/>
      <c r="AHB1291" s="301"/>
      <c r="AHC1291" s="301"/>
      <c r="AHD1291" s="301"/>
      <c r="AHE1291" s="301"/>
      <c r="AHF1291" s="301"/>
      <c r="AHG1291" s="301"/>
      <c r="AHH1291" s="301"/>
      <c r="AHI1291" s="301"/>
      <c r="AHJ1291" s="301"/>
      <c r="AHK1291" s="301"/>
      <c r="AHL1291" s="301"/>
      <c r="AHM1291" s="301"/>
      <c r="AHN1291" s="301"/>
      <c r="AHO1291" s="301"/>
      <c r="AHP1291" s="301"/>
      <c r="AHQ1291" s="301"/>
      <c r="AHR1291" s="301"/>
      <c r="AHS1291" s="301"/>
      <c r="AHT1291" s="301"/>
      <c r="AHU1291" s="301"/>
      <c r="AHV1291" s="301"/>
      <c r="AHW1291" s="301"/>
      <c r="AHX1291" s="301"/>
      <c r="AHY1291" s="301"/>
      <c r="AHZ1291" s="301"/>
      <c r="AIA1291" s="301"/>
      <c r="AIB1291" s="301"/>
      <c r="AIC1291" s="301"/>
      <c r="AID1291" s="301"/>
      <c r="AIE1291" s="301"/>
      <c r="AIF1291" s="301"/>
      <c r="AIG1291" s="301"/>
      <c r="AIH1291" s="301"/>
      <c r="AII1291" s="301"/>
      <c r="AIJ1291" s="301"/>
      <c r="AIK1291" s="301"/>
      <c r="AIL1291" s="301"/>
      <c r="AIM1291" s="301"/>
      <c r="AIN1291" s="301"/>
      <c r="AIO1291" s="301"/>
      <c r="AIP1291" s="301"/>
      <c r="AIQ1291" s="301"/>
      <c r="AIR1291" s="301"/>
      <c r="AIS1291" s="301"/>
      <c r="AIT1291" s="301"/>
      <c r="AIU1291" s="301"/>
      <c r="AIV1291" s="301"/>
      <c r="AIW1291" s="301"/>
      <c r="AIX1291" s="301"/>
      <c r="AIY1291" s="301"/>
      <c r="AIZ1291" s="301"/>
      <c r="AJA1291" s="301"/>
      <c r="AJB1291" s="301"/>
      <c r="AJC1291" s="301"/>
      <c r="AJD1291" s="301"/>
      <c r="AJE1291" s="301"/>
      <c r="AJF1291" s="301"/>
      <c r="AJG1291" s="301"/>
      <c r="AJH1291" s="301"/>
      <c r="AJI1291" s="301"/>
      <c r="AJJ1291" s="301"/>
      <c r="AJK1291" s="301"/>
      <c r="AJL1291" s="301"/>
      <c r="AJM1291" s="301"/>
      <c r="AJN1291" s="301"/>
      <c r="AJO1291" s="301"/>
      <c r="AJP1291" s="301"/>
      <c r="AJQ1291" s="301"/>
      <c r="AJR1291" s="301"/>
      <c r="AJS1291" s="301"/>
      <c r="AJT1291" s="301"/>
      <c r="AJU1291" s="301"/>
      <c r="AJV1291" s="301"/>
      <c r="AJW1291" s="301"/>
      <c r="AJX1291" s="301"/>
      <c r="AJY1291" s="301"/>
      <c r="AJZ1291" s="301"/>
      <c r="AKA1291" s="301"/>
      <c r="AKB1291" s="301"/>
      <c r="AKC1291" s="301"/>
      <c r="AKD1291" s="301"/>
      <c r="AKE1291" s="301"/>
      <c r="AKF1291" s="301"/>
      <c r="AKG1291" s="301"/>
      <c r="AKH1291" s="301"/>
      <c r="AKI1291" s="301"/>
      <c r="AKJ1291" s="301"/>
      <c r="AKK1291" s="301"/>
      <c r="AKL1291" s="301"/>
      <c r="AKM1291" s="301"/>
      <c r="AKN1291" s="301"/>
      <c r="AKO1291" s="301"/>
      <c r="AKP1291" s="301"/>
      <c r="AKQ1291" s="301"/>
      <c r="AKR1291" s="301"/>
      <c r="AKS1291" s="301"/>
      <c r="AKT1291" s="301"/>
      <c r="AKU1291" s="301"/>
      <c r="AKV1291" s="301"/>
      <c r="AKW1291" s="301"/>
      <c r="AKX1291" s="301"/>
      <c r="AKY1291" s="301"/>
      <c r="AKZ1291" s="301"/>
      <c r="ALA1291" s="301"/>
      <c r="ALB1291" s="301"/>
      <c r="ALC1291" s="301"/>
      <c r="ALD1291" s="301"/>
      <c r="ALE1291" s="301"/>
      <c r="ALF1291" s="301"/>
      <c r="ALG1291" s="301"/>
      <c r="ALH1291" s="301"/>
      <c r="ALI1291" s="301"/>
      <c r="ALJ1291" s="301"/>
      <c r="ALK1291" s="301"/>
      <c r="ALL1291" s="301"/>
      <c r="ALM1291" s="301"/>
      <c r="ALN1291" s="301"/>
      <c r="ALO1291" s="301"/>
      <c r="ALP1291" s="301"/>
      <c r="ALQ1291" s="301"/>
      <c r="ALR1291" s="301"/>
      <c r="ALS1291" s="301"/>
      <c r="ALT1291" s="301"/>
      <c r="ALU1291" s="301"/>
      <c r="ALV1291" s="301"/>
      <c r="ALW1291" s="301"/>
      <c r="ALX1291" s="301"/>
      <c r="ALY1291" s="301"/>
      <c r="ALZ1291" s="301"/>
      <c r="AMA1291" s="301"/>
      <c r="AMB1291" s="301"/>
      <c r="AMC1291" s="301"/>
      <c r="AMD1291" s="301"/>
      <c r="AME1291" s="301"/>
      <c r="AMF1291" s="301"/>
      <c r="AMG1291" s="301"/>
      <c r="AMH1291" s="301"/>
      <c r="AMI1291" s="301"/>
      <c r="AMJ1291" s="301"/>
      <c r="AMK1291" s="301"/>
      <c r="AML1291" s="301"/>
      <c r="AMM1291" s="301"/>
      <c r="AMN1291" s="301"/>
      <c r="AMO1291" s="301"/>
      <c r="AMP1291" s="301"/>
      <c r="AMQ1291" s="301"/>
      <c r="AMR1291" s="301"/>
      <c r="AMS1291" s="301"/>
      <c r="AMT1291" s="301"/>
      <c r="AMU1291" s="301"/>
      <c r="AMV1291" s="301"/>
      <c r="AMW1291" s="301"/>
      <c r="AMX1291" s="301"/>
      <c r="AMY1291" s="301"/>
      <c r="AMZ1291" s="301"/>
      <c r="ANA1291" s="301"/>
      <c r="ANB1291" s="301"/>
      <c r="ANC1291" s="301"/>
      <c r="AND1291" s="301"/>
      <c r="ANE1291" s="301"/>
      <c r="ANF1291" s="301"/>
      <c r="ANG1291" s="301"/>
      <c r="ANH1291" s="301"/>
      <c r="ANI1291" s="301"/>
      <c r="ANJ1291" s="301"/>
      <c r="ANK1291" s="301"/>
      <c r="ANL1291" s="301"/>
      <c r="ANM1291" s="301"/>
      <c r="ANN1291" s="301"/>
      <c r="ANO1291" s="301"/>
      <c r="ANP1291" s="301"/>
      <c r="ANQ1291" s="301"/>
      <c r="ANR1291" s="301"/>
      <c r="ANS1291" s="301"/>
      <c r="ANT1291" s="301"/>
      <c r="ANU1291" s="301"/>
      <c r="ANV1291" s="301"/>
      <c r="ANW1291" s="301"/>
      <c r="ANX1291" s="301"/>
      <c r="ANY1291" s="301"/>
      <c r="ANZ1291" s="301"/>
      <c r="AOA1291" s="301"/>
      <c r="AOB1291" s="301"/>
      <c r="AOC1291" s="301"/>
      <c r="AOD1291" s="301"/>
      <c r="AOE1291" s="301"/>
      <c r="AOF1291" s="301"/>
      <c r="AOG1291" s="301"/>
      <c r="AOH1291" s="301"/>
      <c r="AOI1291" s="301"/>
      <c r="AOJ1291" s="301"/>
      <c r="AOK1291" s="301"/>
      <c r="AOL1291" s="301"/>
      <c r="AOM1291" s="301"/>
      <c r="AON1291" s="301"/>
      <c r="AOO1291" s="301"/>
      <c r="AOP1291" s="301"/>
      <c r="AOQ1291" s="301"/>
      <c r="AOR1291" s="301"/>
      <c r="AOS1291" s="301"/>
      <c r="AOT1291" s="301"/>
      <c r="AOU1291" s="301"/>
      <c r="AOV1291" s="301"/>
      <c r="AOW1291" s="301"/>
      <c r="AOX1291" s="301"/>
      <c r="AOY1291" s="301"/>
      <c r="AOZ1291" s="301"/>
      <c r="APA1291" s="301"/>
      <c r="APB1291" s="301"/>
      <c r="APC1291" s="301"/>
      <c r="APD1291" s="301"/>
      <c r="APE1291" s="301"/>
      <c r="APF1291" s="301"/>
      <c r="APG1291" s="301"/>
      <c r="APH1291" s="301"/>
      <c r="API1291" s="301"/>
      <c r="APJ1291" s="301"/>
      <c r="APK1291" s="301"/>
      <c r="APL1291" s="301"/>
      <c r="APM1291" s="301"/>
      <c r="APN1291" s="301"/>
      <c r="APO1291" s="301"/>
      <c r="APP1291" s="301"/>
      <c r="APQ1291" s="301"/>
      <c r="APR1291" s="301"/>
      <c r="APS1291" s="301"/>
      <c r="APT1291" s="301"/>
      <c r="APU1291" s="301"/>
      <c r="APV1291" s="301"/>
      <c r="APW1291" s="301"/>
      <c r="APX1291" s="301"/>
      <c r="APY1291" s="301"/>
      <c r="APZ1291" s="301"/>
      <c r="AQA1291" s="301"/>
      <c r="AQB1291" s="301"/>
      <c r="AQC1291" s="301"/>
      <c r="AQD1291" s="301"/>
      <c r="AQE1291" s="301"/>
      <c r="AQF1291" s="301"/>
      <c r="AQG1291" s="301"/>
      <c r="AQH1291" s="301"/>
      <c r="AQI1291" s="301"/>
      <c r="AQJ1291" s="301"/>
      <c r="AQK1291" s="301"/>
      <c r="AQL1291" s="301"/>
      <c r="AQM1291" s="301"/>
      <c r="AQN1291" s="301"/>
      <c r="AQO1291" s="301"/>
      <c r="AQP1291" s="301"/>
      <c r="AQQ1291" s="301"/>
      <c r="AQR1291" s="301"/>
      <c r="AQS1291" s="301"/>
      <c r="AQT1291" s="301"/>
      <c r="AQU1291" s="301"/>
      <c r="AQV1291" s="301"/>
      <c r="AQW1291" s="301"/>
      <c r="AQX1291" s="301"/>
      <c r="AQY1291" s="301"/>
      <c r="AQZ1291" s="301"/>
      <c r="ARA1291" s="301"/>
      <c r="ARB1291" s="301"/>
      <c r="ARC1291" s="301"/>
      <c r="ARD1291" s="301"/>
      <c r="ARE1291" s="301"/>
      <c r="ARF1291" s="301"/>
      <c r="ARG1291" s="301"/>
      <c r="ARH1291" s="301"/>
      <c r="ARI1291" s="301"/>
      <c r="ARJ1291" s="301"/>
      <c r="ARK1291" s="301"/>
      <c r="ARL1291" s="301"/>
      <c r="ARM1291" s="301"/>
      <c r="ARN1291" s="301"/>
      <c r="ARO1291" s="301"/>
      <c r="ARP1291" s="301"/>
      <c r="ARQ1291" s="301"/>
      <c r="ARR1291" s="301"/>
      <c r="ARS1291" s="301"/>
      <c r="ART1291" s="301"/>
      <c r="ARU1291" s="301"/>
      <c r="ARV1291" s="301"/>
      <c r="ARW1291" s="301"/>
      <c r="ARX1291" s="301"/>
      <c r="ARY1291" s="301"/>
      <c r="ARZ1291" s="301"/>
      <c r="ASA1291" s="301"/>
      <c r="ASB1291" s="301"/>
      <c r="ASC1291" s="301"/>
      <c r="ASD1291" s="301"/>
      <c r="ASE1291" s="301"/>
      <c r="ASF1291" s="301"/>
      <c r="ASG1291" s="301"/>
      <c r="ASH1291" s="301"/>
      <c r="ASI1291" s="301"/>
      <c r="ASJ1291" s="301"/>
      <c r="ASK1291" s="301"/>
      <c r="ASL1291" s="301"/>
      <c r="ASM1291" s="301"/>
      <c r="ASN1291" s="301"/>
      <c r="ASO1291" s="301"/>
      <c r="ASP1291" s="301"/>
      <c r="ASQ1291" s="301"/>
      <c r="ASR1291" s="301"/>
      <c r="ASS1291" s="301"/>
      <c r="AST1291" s="301"/>
      <c r="ASU1291" s="301"/>
      <c r="ASV1291" s="301"/>
      <c r="ASW1291" s="301"/>
      <c r="ASX1291" s="301"/>
      <c r="ASY1291" s="301"/>
      <c r="ASZ1291" s="301"/>
      <c r="ATA1291" s="301"/>
      <c r="ATB1291" s="301"/>
      <c r="ATC1291" s="301"/>
      <c r="ATD1291" s="301"/>
      <c r="ATE1291" s="301"/>
      <c r="ATF1291" s="301"/>
      <c r="ATG1291" s="301"/>
      <c r="ATH1291" s="301"/>
      <c r="ATI1291" s="301"/>
      <c r="ATJ1291" s="301"/>
      <c r="ATK1291" s="301"/>
      <c r="ATL1291" s="301"/>
      <c r="ATM1291" s="301"/>
      <c r="ATN1291" s="301"/>
      <c r="ATO1291" s="301"/>
      <c r="ATP1291" s="301"/>
      <c r="ATQ1291" s="301"/>
      <c r="ATR1291" s="301"/>
      <c r="ATS1291" s="301"/>
      <c r="ATT1291" s="301"/>
      <c r="ATU1291" s="301"/>
      <c r="ATV1291" s="301"/>
      <c r="ATW1291" s="301"/>
      <c r="ATX1291" s="301"/>
      <c r="ATY1291" s="301"/>
      <c r="ATZ1291" s="301"/>
      <c r="AUA1291" s="301"/>
      <c r="AUB1291" s="301"/>
      <c r="AUC1291" s="301"/>
      <c r="AUD1291" s="301"/>
      <c r="AUE1291" s="301"/>
      <c r="AUF1291" s="301"/>
      <c r="AUG1291" s="301"/>
      <c r="AUH1291" s="301"/>
      <c r="AUI1291" s="301"/>
      <c r="AUJ1291" s="301"/>
      <c r="AUK1291" s="301"/>
      <c r="AUL1291" s="301"/>
      <c r="AUM1291" s="301"/>
      <c r="AUN1291" s="301"/>
      <c r="AUO1291" s="301"/>
      <c r="AUP1291" s="301"/>
      <c r="AUQ1291" s="301"/>
      <c r="AUR1291" s="301"/>
      <c r="AUS1291" s="301"/>
      <c r="AUT1291" s="301"/>
      <c r="AUU1291" s="301"/>
      <c r="AUV1291" s="301"/>
      <c r="AUW1291" s="301"/>
      <c r="AUX1291" s="301"/>
      <c r="AUY1291" s="301"/>
      <c r="AUZ1291" s="301"/>
      <c r="AVA1291" s="301"/>
      <c r="AVB1291" s="301"/>
      <c r="AVC1291" s="301"/>
      <c r="AVD1291" s="301"/>
      <c r="AVE1291" s="301"/>
      <c r="AVF1291" s="301"/>
      <c r="AVG1291" s="301"/>
      <c r="AVH1291" s="301"/>
      <c r="AVI1291" s="301"/>
      <c r="AVJ1291" s="301"/>
      <c r="AVK1291" s="301"/>
      <c r="AVL1291" s="301"/>
      <c r="AVM1291" s="301"/>
      <c r="AVN1291" s="301"/>
      <c r="AVO1291" s="301"/>
      <c r="AVP1291" s="301"/>
      <c r="AVQ1291" s="301"/>
      <c r="AVR1291" s="301"/>
      <c r="AVS1291" s="301"/>
      <c r="AVT1291" s="301"/>
      <c r="AVU1291" s="301"/>
      <c r="AVV1291" s="301"/>
      <c r="AVW1291" s="301"/>
      <c r="AVX1291" s="301"/>
      <c r="AVY1291" s="301"/>
      <c r="AVZ1291" s="301"/>
      <c r="AWA1291" s="301"/>
      <c r="AWB1291" s="301"/>
      <c r="AWC1291" s="301"/>
      <c r="AWD1291" s="301"/>
      <c r="AWE1291" s="301"/>
      <c r="AWF1291" s="301"/>
      <c r="AWG1291" s="301"/>
      <c r="AWH1291" s="301"/>
      <c r="AWI1291" s="301"/>
      <c r="AWJ1291" s="301"/>
      <c r="AWK1291" s="301"/>
      <c r="AWL1291" s="301"/>
      <c r="AWM1291" s="301"/>
      <c r="AWN1291" s="301"/>
      <c r="AWO1291" s="301"/>
      <c r="AWP1291" s="301"/>
      <c r="AWQ1291" s="301"/>
      <c r="AWR1291" s="301"/>
      <c r="AWS1291" s="301"/>
      <c r="AWT1291" s="301"/>
      <c r="AWU1291" s="301"/>
      <c r="AWV1291" s="301"/>
      <c r="AWW1291" s="301"/>
      <c r="AWX1291" s="301"/>
      <c r="AWY1291" s="301"/>
      <c r="AWZ1291" s="301"/>
      <c r="AXA1291" s="301"/>
      <c r="AXB1291" s="301"/>
      <c r="AXC1291" s="301"/>
      <c r="AXD1291" s="301"/>
      <c r="AXE1291" s="301"/>
      <c r="AXF1291" s="301"/>
      <c r="AXG1291" s="301"/>
      <c r="AXH1291" s="301"/>
      <c r="AXI1291" s="301"/>
      <c r="AXJ1291" s="301"/>
      <c r="AXK1291" s="301"/>
      <c r="AXL1291" s="301"/>
      <c r="AXM1291" s="301"/>
      <c r="AXN1291" s="301"/>
      <c r="AXO1291" s="301"/>
      <c r="AXP1291" s="301"/>
      <c r="AXQ1291" s="301"/>
      <c r="AXR1291" s="301"/>
      <c r="AXS1291" s="301"/>
      <c r="AXT1291" s="301"/>
      <c r="AXU1291" s="301"/>
      <c r="AXV1291" s="301"/>
      <c r="AXW1291" s="301"/>
      <c r="AXX1291" s="301"/>
      <c r="AXY1291" s="301"/>
      <c r="AXZ1291" s="301"/>
      <c r="AYA1291" s="301"/>
      <c r="AYB1291" s="301"/>
      <c r="AYC1291" s="301"/>
      <c r="AYD1291" s="301"/>
      <c r="AYE1291" s="301"/>
      <c r="AYF1291" s="301"/>
      <c r="AYG1291" s="301"/>
      <c r="AYH1291" s="301"/>
      <c r="AYI1291" s="301"/>
      <c r="AYJ1291" s="301"/>
      <c r="AYK1291" s="301"/>
      <c r="AYL1291" s="301"/>
      <c r="AYM1291" s="301"/>
      <c r="AYN1291" s="301"/>
      <c r="AYO1291" s="301"/>
      <c r="AYP1291" s="301"/>
      <c r="AYQ1291" s="301"/>
      <c r="AYR1291" s="301"/>
      <c r="AYS1291" s="301"/>
      <c r="AYT1291" s="301"/>
      <c r="AYU1291" s="301"/>
      <c r="AYV1291" s="301"/>
      <c r="AYW1291" s="301"/>
      <c r="AYX1291" s="301"/>
      <c r="AYY1291" s="301"/>
      <c r="AYZ1291" s="301"/>
      <c r="AZA1291" s="301"/>
      <c r="AZB1291" s="301"/>
      <c r="AZC1291" s="301"/>
      <c r="AZD1291" s="301"/>
      <c r="AZE1291" s="301"/>
      <c r="AZF1291" s="301"/>
      <c r="AZG1291" s="301"/>
      <c r="AZH1291" s="301"/>
      <c r="AZI1291" s="301"/>
      <c r="AZJ1291" s="301"/>
      <c r="AZK1291" s="301"/>
      <c r="AZL1291" s="301"/>
      <c r="AZM1291" s="301"/>
      <c r="AZN1291" s="301"/>
      <c r="AZO1291" s="301"/>
      <c r="AZP1291" s="301"/>
      <c r="AZQ1291" s="301"/>
      <c r="AZR1291" s="301"/>
      <c r="AZS1291" s="301"/>
      <c r="AZT1291" s="301"/>
      <c r="AZU1291" s="301"/>
      <c r="AZV1291" s="301"/>
      <c r="AZW1291" s="301"/>
      <c r="AZX1291" s="301"/>
      <c r="AZY1291" s="301"/>
      <c r="AZZ1291" s="301"/>
      <c r="BAA1291" s="301"/>
      <c r="BAB1291" s="301"/>
      <c r="BAC1291" s="301"/>
      <c r="BAD1291" s="301"/>
      <c r="BAE1291" s="301"/>
      <c r="BAF1291" s="301"/>
      <c r="BAG1291" s="301"/>
      <c r="BAH1291" s="301"/>
      <c r="BAI1291" s="301"/>
      <c r="BAJ1291" s="301"/>
      <c r="BAK1291" s="301"/>
      <c r="BAL1291" s="301"/>
      <c r="BAM1291" s="301"/>
      <c r="BAN1291" s="301"/>
      <c r="BAO1291" s="301"/>
      <c r="BAP1291" s="301"/>
      <c r="BAQ1291" s="301"/>
      <c r="BAR1291" s="301"/>
      <c r="BAS1291" s="301"/>
      <c r="BAT1291" s="301"/>
      <c r="BAU1291" s="301"/>
      <c r="BAV1291" s="301"/>
      <c r="BAW1291" s="301"/>
      <c r="BAX1291" s="301"/>
      <c r="BAY1291" s="301"/>
      <c r="BAZ1291" s="301"/>
      <c r="BBA1291" s="301"/>
      <c r="BBB1291" s="301"/>
      <c r="BBC1291" s="301"/>
      <c r="BBD1291" s="301"/>
      <c r="BBE1291" s="301"/>
      <c r="BBF1291" s="301"/>
      <c r="BBG1291" s="301"/>
      <c r="BBH1291" s="301"/>
      <c r="BBI1291" s="301"/>
      <c r="BBJ1291" s="301"/>
      <c r="BBK1291" s="301"/>
      <c r="BBL1291" s="301"/>
      <c r="BBM1291" s="301"/>
      <c r="BBN1291" s="301"/>
      <c r="BBO1291" s="301"/>
      <c r="BBP1291" s="301"/>
      <c r="BBQ1291" s="301"/>
      <c r="BBR1291" s="301"/>
      <c r="BBS1291" s="301"/>
      <c r="BBT1291" s="301"/>
      <c r="BBU1291" s="301"/>
      <c r="BBV1291" s="301"/>
      <c r="BBW1291" s="301"/>
      <c r="BBX1291" s="301"/>
      <c r="BBY1291" s="301"/>
      <c r="BBZ1291" s="301"/>
      <c r="BCA1291" s="301"/>
      <c r="BCB1291" s="301"/>
      <c r="BCC1291" s="301"/>
      <c r="BCD1291" s="301"/>
      <c r="BCE1291" s="301"/>
      <c r="BCF1291" s="301"/>
      <c r="BCG1291" s="301"/>
      <c r="BCH1291" s="301"/>
      <c r="BCI1291" s="301"/>
      <c r="BCJ1291" s="301"/>
      <c r="BCK1291" s="301"/>
      <c r="BCL1291" s="301"/>
      <c r="BCM1291" s="301"/>
      <c r="BCN1291" s="301"/>
      <c r="BCO1291" s="301"/>
      <c r="BCP1291" s="301"/>
      <c r="BCQ1291" s="301"/>
      <c r="BCR1291" s="301"/>
      <c r="BCS1291" s="301"/>
      <c r="BCT1291" s="301"/>
      <c r="BCU1291" s="301"/>
      <c r="BCV1291" s="301"/>
      <c r="BCW1291" s="301"/>
      <c r="BCX1291" s="301"/>
      <c r="BCY1291" s="301"/>
      <c r="BCZ1291" s="301"/>
      <c r="BDA1291" s="301"/>
      <c r="BDB1291" s="301"/>
      <c r="BDC1291" s="301"/>
      <c r="BDD1291" s="301"/>
      <c r="BDE1291" s="301"/>
      <c r="BDF1291" s="301"/>
      <c r="BDG1291" s="301"/>
      <c r="BDH1291" s="301"/>
      <c r="BDI1291" s="301"/>
      <c r="BDJ1291" s="301"/>
      <c r="BDK1291" s="301"/>
      <c r="BDL1291" s="301"/>
      <c r="BDM1291" s="301"/>
      <c r="BDN1291" s="301"/>
      <c r="BDO1291" s="301"/>
      <c r="BDP1291" s="301"/>
      <c r="BDQ1291" s="301"/>
      <c r="BDR1291" s="301"/>
      <c r="BDS1291" s="301"/>
      <c r="BDT1291" s="301"/>
      <c r="BDU1291" s="301"/>
      <c r="BDV1291" s="301"/>
      <c r="BDW1291" s="301"/>
      <c r="BDX1291" s="301"/>
      <c r="BDY1291" s="301"/>
      <c r="BDZ1291" s="301"/>
      <c r="BEA1291" s="301"/>
      <c r="BEB1291" s="301"/>
      <c r="BEC1291" s="301"/>
      <c r="BED1291" s="301"/>
      <c r="BEE1291" s="301"/>
      <c r="BEF1291" s="301"/>
      <c r="BEG1291" s="301"/>
      <c r="BEH1291" s="301"/>
      <c r="BEI1291" s="301"/>
      <c r="BEJ1291" s="301"/>
      <c r="BEK1291" s="301"/>
      <c r="BEL1291" s="301"/>
      <c r="BEM1291" s="301"/>
      <c r="BEN1291" s="301"/>
      <c r="BEO1291" s="301"/>
      <c r="BEP1291" s="301"/>
      <c r="BEQ1291" s="301"/>
      <c r="BER1291" s="301"/>
      <c r="BES1291" s="301"/>
      <c r="BET1291" s="301"/>
      <c r="BEU1291" s="301"/>
      <c r="BEV1291" s="301"/>
      <c r="BEW1291" s="301"/>
      <c r="BEX1291" s="301"/>
      <c r="BEY1291" s="301"/>
      <c r="BEZ1291" s="301"/>
      <c r="BFA1291" s="301"/>
      <c r="BFB1291" s="301"/>
      <c r="BFC1291" s="301"/>
      <c r="BFD1291" s="301"/>
      <c r="BFE1291" s="301"/>
      <c r="BFF1291" s="301"/>
      <c r="BFG1291" s="301"/>
      <c r="BFH1291" s="301"/>
      <c r="BFI1291" s="301"/>
      <c r="BFJ1291" s="301"/>
      <c r="BFK1291" s="301"/>
      <c r="BFL1291" s="301"/>
      <c r="BFM1291" s="301"/>
      <c r="BFN1291" s="301"/>
      <c r="BFO1291" s="301"/>
      <c r="BFP1291" s="301"/>
      <c r="BFQ1291" s="301"/>
      <c r="BFR1291" s="301"/>
      <c r="BFS1291" s="301"/>
      <c r="BFT1291" s="301"/>
      <c r="BFU1291" s="301"/>
      <c r="BFV1291" s="301"/>
      <c r="BFW1291" s="301"/>
      <c r="BFX1291" s="301"/>
      <c r="BFY1291" s="301"/>
      <c r="BFZ1291" s="301"/>
      <c r="BGA1291" s="301"/>
      <c r="BGB1291" s="301"/>
      <c r="BGC1291" s="301"/>
      <c r="BGD1291" s="301"/>
      <c r="BGE1291" s="301"/>
      <c r="BGF1291" s="301"/>
      <c r="BGG1291" s="301"/>
      <c r="BGH1291" s="301"/>
      <c r="BGI1291" s="301"/>
      <c r="BGJ1291" s="301"/>
      <c r="BGK1291" s="301"/>
      <c r="BGL1291" s="301"/>
      <c r="BGM1291" s="301"/>
      <c r="BGN1291" s="301"/>
      <c r="BGO1291" s="301"/>
      <c r="BGP1291" s="301"/>
      <c r="BGQ1291" s="301"/>
      <c r="BGR1291" s="301"/>
      <c r="BGS1291" s="301"/>
      <c r="BGT1291" s="301"/>
      <c r="BGU1291" s="301"/>
      <c r="BGV1291" s="301"/>
      <c r="BGW1291" s="301"/>
      <c r="BGX1291" s="301"/>
      <c r="BGY1291" s="301"/>
      <c r="BGZ1291" s="301"/>
      <c r="BHA1291" s="301"/>
      <c r="BHB1291" s="301"/>
      <c r="BHC1291" s="301"/>
      <c r="BHD1291" s="301"/>
      <c r="BHE1291" s="301"/>
      <c r="BHF1291" s="301"/>
      <c r="BHG1291" s="301"/>
      <c r="BHH1291" s="301"/>
      <c r="BHI1291" s="301"/>
      <c r="BHJ1291" s="301"/>
      <c r="BHK1291" s="301"/>
      <c r="BHL1291" s="301"/>
      <c r="BHM1291" s="301"/>
      <c r="BHN1291" s="301"/>
      <c r="BHO1291" s="301"/>
      <c r="BHP1291" s="301"/>
      <c r="BHQ1291" s="301"/>
      <c r="BHR1291" s="301"/>
      <c r="BHS1291" s="301"/>
      <c r="BHT1291" s="301"/>
      <c r="BHU1291" s="301"/>
      <c r="BHV1291" s="301"/>
      <c r="BHW1291" s="301"/>
      <c r="BHX1291" s="301"/>
      <c r="BHY1291" s="301"/>
      <c r="BHZ1291" s="301"/>
      <c r="BIA1291" s="301"/>
      <c r="BIB1291" s="301"/>
      <c r="BIC1291" s="301"/>
      <c r="BID1291" s="301"/>
      <c r="BIE1291" s="301"/>
      <c r="BIF1291" s="301"/>
      <c r="BIG1291" s="301"/>
      <c r="BIH1291" s="301"/>
      <c r="BII1291" s="301"/>
      <c r="BIJ1291" s="301"/>
      <c r="BIK1291" s="301"/>
      <c r="BIL1291" s="301"/>
      <c r="BIM1291" s="301"/>
      <c r="BIN1291" s="301"/>
      <c r="BIO1291" s="301"/>
      <c r="BIP1291" s="301"/>
      <c r="BIQ1291" s="301"/>
      <c r="BIR1291" s="301"/>
      <c r="BIS1291" s="301"/>
      <c r="BIT1291" s="301"/>
      <c r="BIU1291" s="301"/>
      <c r="BIV1291" s="301"/>
      <c r="BIW1291" s="301"/>
      <c r="BIX1291" s="301"/>
      <c r="BIY1291" s="301"/>
      <c r="BIZ1291" s="301"/>
      <c r="BJA1291" s="301"/>
      <c r="BJB1291" s="301"/>
      <c r="BJC1291" s="301"/>
      <c r="BJD1291" s="301"/>
      <c r="BJE1291" s="301"/>
      <c r="BJF1291" s="301"/>
      <c r="BJG1291" s="301"/>
      <c r="BJH1291" s="301"/>
      <c r="BJI1291" s="301"/>
      <c r="BJJ1291" s="301"/>
      <c r="BJK1291" s="301"/>
      <c r="BJL1291" s="301"/>
      <c r="BJM1291" s="301"/>
      <c r="BJN1291" s="301"/>
      <c r="BJO1291" s="301"/>
      <c r="BJP1291" s="301"/>
      <c r="BJQ1291" s="301"/>
      <c r="BJR1291" s="301"/>
      <c r="BJS1291" s="301"/>
      <c r="BJT1291" s="301"/>
      <c r="BJU1291" s="301"/>
      <c r="BJV1291" s="301"/>
      <c r="BJW1291" s="301"/>
      <c r="BJX1291" s="301"/>
      <c r="BJY1291" s="301"/>
      <c r="BJZ1291" s="301"/>
      <c r="BKA1291" s="301"/>
      <c r="BKB1291" s="301"/>
      <c r="BKC1291" s="301"/>
      <c r="BKD1291" s="301"/>
      <c r="BKE1291" s="301"/>
      <c r="BKF1291" s="301"/>
      <c r="BKG1291" s="301"/>
      <c r="BKH1291" s="301"/>
      <c r="BKI1291" s="301"/>
      <c r="BKJ1291" s="301"/>
      <c r="BKK1291" s="301"/>
      <c r="BKL1291" s="301"/>
      <c r="BKM1291" s="301"/>
      <c r="BKN1291" s="301"/>
      <c r="BKO1291" s="301"/>
      <c r="BKP1291" s="301"/>
      <c r="BKQ1291" s="301"/>
      <c r="BKR1291" s="301"/>
      <c r="BKS1291" s="301"/>
      <c r="BKT1291" s="301"/>
      <c r="BKU1291" s="301"/>
      <c r="BKV1291" s="301"/>
      <c r="BKW1291" s="301"/>
      <c r="BKX1291" s="301"/>
      <c r="BKY1291" s="301"/>
      <c r="BKZ1291" s="301"/>
      <c r="BLA1291" s="301"/>
      <c r="BLB1291" s="301"/>
      <c r="BLC1291" s="301"/>
      <c r="BLD1291" s="301"/>
      <c r="BLE1291" s="301"/>
      <c r="BLF1291" s="301"/>
      <c r="BLG1291" s="301"/>
      <c r="BLH1291" s="301"/>
      <c r="BLI1291" s="301"/>
      <c r="BLJ1291" s="301"/>
      <c r="BLK1291" s="301"/>
      <c r="BLL1291" s="301"/>
      <c r="BLM1291" s="301"/>
      <c r="BLN1291" s="301"/>
      <c r="BLO1291" s="301"/>
      <c r="BLP1291" s="301"/>
      <c r="BLQ1291" s="301"/>
      <c r="BLR1291" s="301"/>
      <c r="BLS1291" s="301"/>
      <c r="BLT1291" s="301"/>
      <c r="BLU1291" s="301"/>
      <c r="BLV1291" s="301"/>
      <c r="BLW1291" s="301"/>
      <c r="BLX1291" s="301"/>
      <c r="BLY1291" s="301"/>
      <c r="BLZ1291" s="301"/>
      <c r="BMA1291" s="301"/>
      <c r="BMB1291" s="301"/>
      <c r="BMC1291" s="301"/>
      <c r="BMD1291" s="301"/>
      <c r="BME1291" s="301"/>
      <c r="BMF1291" s="301"/>
      <c r="BMG1291" s="301"/>
      <c r="BMH1291" s="301"/>
      <c r="BMI1291" s="301"/>
      <c r="BMJ1291" s="301"/>
      <c r="BMK1291" s="301"/>
      <c r="BML1291" s="301"/>
      <c r="BMM1291" s="301"/>
      <c r="BMN1291" s="301"/>
      <c r="BMO1291" s="301"/>
      <c r="BMP1291" s="301"/>
      <c r="BMQ1291" s="301"/>
      <c r="BMR1291" s="301"/>
      <c r="BMS1291" s="301"/>
      <c r="BMT1291" s="301"/>
      <c r="BMU1291" s="301"/>
      <c r="BMV1291" s="301"/>
      <c r="BMW1291" s="301"/>
      <c r="BMX1291" s="301"/>
      <c r="BMY1291" s="301"/>
      <c r="BMZ1291" s="301"/>
      <c r="BNA1291" s="301"/>
      <c r="BNB1291" s="301"/>
      <c r="BNC1291" s="301"/>
      <c r="BND1291" s="301"/>
      <c r="BNE1291" s="301"/>
      <c r="BNF1291" s="301"/>
      <c r="BNG1291" s="301"/>
      <c r="BNH1291" s="301"/>
      <c r="BNI1291" s="301"/>
      <c r="BNJ1291" s="301"/>
      <c r="BNK1291" s="301"/>
      <c r="BNL1291" s="301"/>
      <c r="BNM1291" s="301"/>
      <c r="BNN1291" s="301"/>
      <c r="BNO1291" s="301"/>
      <c r="BNP1291" s="301"/>
      <c r="BNQ1291" s="301"/>
      <c r="BNR1291" s="301"/>
      <c r="BNS1291" s="301"/>
      <c r="BNT1291" s="301"/>
      <c r="BNU1291" s="301"/>
      <c r="BNV1291" s="301"/>
      <c r="BNW1291" s="301"/>
      <c r="BNX1291" s="301"/>
      <c r="BNY1291" s="301"/>
      <c r="BNZ1291" s="301"/>
      <c r="BOA1291" s="301"/>
      <c r="BOB1291" s="301"/>
      <c r="BOC1291" s="301"/>
      <c r="BOD1291" s="301"/>
      <c r="BOE1291" s="301"/>
      <c r="BOF1291" s="301"/>
      <c r="BOG1291" s="301"/>
      <c r="BOH1291" s="301"/>
      <c r="BOI1291" s="301"/>
      <c r="BOJ1291" s="301"/>
      <c r="BOK1291" s="301"/>
      <c r="BOL1291" s="301"/>
      <c r="BOM1291" s="301"/>
      <c r="BON1291" s="301"/>
      <c r="BOO1291" s="301"/>
      <c r="BOP1291" s="301"/>
      <c r="BOQ1291" s="301"/>
      <c r="BOR1291" s="301"/>
      <c r="BOS1291" s="301"/>
      <c r="BOT1291" s="301"/>
      <c r="BOU1291" s="301"/>
      <c r="BOV1291" s="301"/>
      <c r="BOW1291" s="301"/>
      <c r="BOX1291" s="301"/>
      <c r="BOY1291" s="301"/>
      <c r="BOZ1291" s="301"/>
      <c r="BPA1291" s="301"/>
      <c r="BPB1291" s="301"/>
      <c r="BPC1291" s="301"/>
      <c r="BPD1291" s="301"/>
      <c r="BPE1291" s="301"/>
      <c r="BPF1291" s="301"/>
      <c r="BPG1291" s="301"/>
      <c r="BPH1291" s="301"/>
      <c r="BPI1291" s="301"/>
      <c r="BPJ1291" s="301"/>
      <c r="BPK1291" s="301"/>
      <c r="BPL1291" s="301"/>
      <c r="BPM1291" s="301"/>
      <c r="BPN1291" s="301"/>
      <c r="BPO1291" s="301"/>
      <c r="BPP1291" s="301"/>
      <c r="BPQ1291" s="301"/>
      <c r="BPR1291" s="301"/>
      <c r="BPS1291" s="301"/>
      <c r="BPT1291" s="301"/>
      <c r="BPU1291" s="301"/>
      <c r="BPV1291" s="301"/>
      <c r="BPW1291" s="301"/>
      <c r="BPX1291" s="301"/>
      <c r="BPY1291" s="301"/>
      <c r="BPZ1291" s="301"/>
      <c r="BQA1291" s="301"/>
      <c r="BQB1291" s="301"/>
      <c r="BQC1291" s="301"/>
      <c r="BQD1291" s="301"/>
      <c r="BQE1291" s="301"/>
      <c r="BQF1291" s="301"/>
      <c r="BQG1291" s="301"/>
      <c r="BQH1291" s="301"/>
      <c r="BQI1291" s="301"/>
      <c r="BQJ1291" s="301"/>
      <c r="BQK1291" s="301"/>
      <c r="BQL1291" s="301"/>
      <c r="BQM1291" s="301"/>
      <c r="BQN1291" s="301"/>
      <c r="BQO1291" s="301"/>
      <c r="BQP1291" s="301"/>
      <c r="BQQ1291" s="301"/>
      <c r="BQR1291" s="301"/>
      <c r="BQS1291" s="301"/>
      <c r="BQT1291" s="301"/>
      <c r="BQU1291" s="301"/>
      <c r="BQV1291" s="301"/>
      <c r="BQW1291" s="301"/>
      <c r="BQX1291" s="301"/>
      <c r="BQY1291" s="301"/>
      <c r="BQZ1291" s="301"/>
      <c r="BRA1291" s="301"/>
      <c r="BRB1291" s="301"/>
      <c r="BRC1291" s="301"/>
      <c r="BRD1291" s="301"/>
      <c r="BRE1291" s="301"/>
      <c r="BRF1291" s="301"/>
      <c r="BRG1291" s="301"/>
      <c r="BRH1291" s="301"/>
      <c r="BRI1291" s="301"/>
      <c r="BRJ1291" s="301"/>
      <c r="BRK1291" s="301"/>
      <c r="BRL1291" s="301"/>
      <c r="BRM1291" s="301"/>
      <c r="BRN1291" s="301"/>
      <c r="BRO1291" s="301"/>
      <c r="BRP1291" s="301"/>
      <c r="BRQ1291" s="301"/>
      <c r="BRR1291" s="301"/>
      <c r="BRS1291" s="301"/>
      <c r="BRT1291" s="301"/>
      <c r="BRU1291" s="301"/>
      <c r="BRV1291" s="301"/>
      <c r="BRW1291" s="301"/>
      <c r="BRX1291" s="301"/>
      <c r="BRY1291" s="301"/>
      <c r="BRZ1291" s="301"/>
      <c r="BSA1291" s="301"/>
      <c r="BSB1291" s="301"/>
      <c r="BSC1291" s="301"/>
      <c r="BSD1291" s="301"/>
      <c r="BSE1291" s="301"/>
      <c r="BSF1291" s="301"/>
      <c r="BSG1291" s="301"/>
      <c r="BSH1291" s="301"/>
      <c r="BSI1291" s="301"/>
      <c r="BSJ1291" s="301"/>
      <c r="BSK1291" s="301"/>
      <c r="BSL1291" s="301"/>
      <c r="BSM1291" s="301"/>
      <c r="BSN1291" s="301"/>
      <c r="BSO1291" s="301"/>
      <c r="BSP1291" s="301"/>
      <c r="BSQ1291" s="301"/>
      <c r="BSR1291" s="301"/>
      <c r="BSS1291" s="301"/>
      <c r="BST1291" s="301"/>
      <c r="BSU1291" s="301"/>
      <c r="BSV1291" s="301"/>
      <c r="BSW1291" s="301"/>
      <c r="BSX1291" s="301"/>
      <c r="BSY1291" s="301"/>
      <c r="BSZ1291" s="301"/>
      <c r="BTA1291" s="301"/>
    </row>
    <row r="1292" spans="1:1873" s="13" customFormat="1" x14ac:dyDescent="0.2">
      <c r="A1292" s="259"/>
      <c r="B1292" s="259"/>
      <c r="C1292" s="259"/>
      <c r="D1292" s="257"/>
      <c r="E1292" s="259"/>
      <c r="F1292" s="259"/>
      <c r="G1292" s="259"/>
      <c r="H1292" s="259"/>
      <c r="I1292" s="259"/>
      <c r="J1292" s="259"/>
      <c r="K1292" s="612"/>
      <c r="L1292" s="259"/>
      <c r="M1292" s="288"/>
      <c r="N1292" s="259"/>
      <c r="O1292" s="18"/>
      <c r="P1292" s="288"/>
      <c r="Q1292" s="289"/>
      <c r="R1292" s="288"/>
      <c r="S1292" s="289"/>
      <c r="T1292" s="590"/>
      <c r="U1292" s="259"/>
      <c r="V1292" s="259"/>
      <c r="W1292" s="590"/>
      <c r="X1292" s="259"/>
      <c r="Y1292" s="259"/>
      <c r="Z1292" s="259"/>
      <c r="AA1292" s="259"/>
      <c r="AB1292" s="288"/>
      <c r="AC1292" s="288"/>
      <c r="AD1292" s="260"/>
      <c r="AE1292" s="259"/>
      <c r="AF1292" s="259"/>
      <c r="AG1292" s="259"/>
      <c r="AH1292" s="259"/>
      <c r="AI1292" s="257"/>
      <c r="AJ1292" s="259"/>
      <c r="AK1292" s="259"/>
      <c r="AL1292" s="259"/>
      <c r="AM1292" s="259"/>
      <c r="AN1292" s="259"/>
      <c r="AO1292" s="259"/>
      <c r="AP1292" s="259"/>
      <c r="AQ1292" s="259"/>
      <c r="AR1292" s="259"/>
      <c r="AS1292" s="259"/>
      <c r="AT1292" s="259"/>
      <c r="AU1292" s="259"/>
      <c r="AV1292" s="259"/>
      <c r="AW1292" s="259"/>
      <c r="AX1292" s="259"/>
      <c r="AY1292" s="259"/>
      <c r="AZ1292" s="259"/>
      <c r="BA1292" s="259"/>
      <c r="BB1292" s="259"/>
      <c r="BC1292" s="259"/>
      <c r="BD1292" s="259"/>
      <c r="BE1292" s="259"/>
      <c r="BF1292" s="259"/>
      <c r="BG1292" s="259"/>
      <c r="BH1292" s="259"/>
      <c r="BI1292" s="259"/>
      <c r="BJ1292" s="259"/>
      <c r="BK1292" s="259"/>
      <c r="BL1292" s="259"/>
      <c r="BM1292" s="259"/>
      <c r="BN1292" s="259"/>
      <c r="BO1292" s="259"/>
      <c r="BP1292" s="259"/>
      <c r="BQ1292" s="259"/>
      <c r="BR1292" s="259"/>
      <c r="BS1292" s="263">
        <v>-9999</v>
      </c>
      <c r="BT1292" s="259"/>
      <c r="BU1292" s="259"/>
      <c r="BV1292" s="259"/>
      <c r="BW1292" s="259"/>
      <c r="BX1292" s="259"/>
      <c r="BY1292" s="259"/>
      <c r="BZ1292" s="259"/>
      <c r="CA1292" s="337"/>
      <c r="CB1292" s="592"/>
      <c r="CC1292" s="259"/>
      <c r="CD1292" s="259"/>
      <c r="CE1292" s="342" t="s">
        <v>1576</v>
      </c>
      <c r="CF1292" s="342" t="s">
        <v>1575</v>
      </c>
      <c r="CG1292" s="38"/>
    </row>
    <row r="1293" spans="1:1873" s="23" customFormat="1" x14ac:dyDescent="0.2">
      <c r="A1293" s="257" t="s">
        <v>569</v>
      </c>
      <c r="B1293" s="257" t="s">
        <v>570</v>
      </c>
      <c r="C1293" s="257" t="s">
        <v>571</v>
      </c>
      <c r="D1293" s="257" t="s">
        <v>1254</v>
      </c>
      <c r="E1293" s="257" t="s">
        <v>882</v>
      </c>
      <c r="F1293" s="257">
        <v>1</v>
      </c>
      <c r="G1293" s="257">
        <v>1</v>
      </c>
      <c r="H1293" s="257">
        <v>1</v>
      </c>
      <c r="I1293" s="257" t="s">
        <v>575</v>
      </c>
      <c r="J1293" s="257">
        <v>1988</v>
      </c>
      <c r="K1293" s="604" t="s">
        <v>575</v>
      </c>
      <c r="L1293" s="257">
        <v>1991</v>
      </c>
      <c r="M1293" s="261">
        <v>-9999</v>
      </c>
      <c r="N1293" s="257">
        <v>-9999</v>
      </c>
      <c r="O1293" s="29"/>
      <c r="P1293" s="261">
        <v>6.63</v>
      </c>
      <c r="Q1293" s="296">
        <v>0.88</v>
      </c>
      <c r="R1293" s="261"/>
      <c r="S1293" s="296"/>
      <c r="T1293" s="370">
        <f>+P1293/H1293</f>
        <v>6.63</v>
      </c>
      <c r="U1293" s="257">
        <v>-9999</v>
      </c>
      <c r="V1293" s="257"/>
      <c r="W1293" s="261">
        <v>-9999</v>
      </c>
      <c r="X1293" s="257">
        <v>-9999</v>
      </c>
      <c r="Y1293" s="257"/>
      <c r="Z1293" s="257" t="s">
        <v>576</v>
      </c>
      <c r="AA1293" s="257">
        <v>3333</v>
      </c>
      <c r="AB1293" s="261">
        <v>-9999</v>
      </c>
      <c r="AC1293" s="261">
        <v>0.94</v>
      </c>
      <c r="AD1293" s="263">
        <v>625</v>
      </c>
      <c r="AE1293" s="327" t="s">
        <v>280</v>
      </c>
      <c r="AF1293" s="257">
        <v>3</v>
      </c>
      <c r="AG1293" s="257">
        <v>2</v>
      </c>
      <c r="AH1293" s="257" t="s">
        <v>876</v>
      </c>
      <c r="AI1293" s="257" t="s">
        <v>985</v>
      </c>
      <c r="AJ1293" s="257">
        <v>-9999</v>
      </c>
      <c r="AK1293" s="257">
        <v>-9999</v>
      </c>
      <c r="AL1293" s="257">
        <v>-9999</v>
      </c>
      <c r="AM1293" s="257">
        <v>-9999</v>
      </c>
      <c r="AN1293" s="257">
        <v>-9999</v>
      </c>
      <c r="AO1293" s="257">
        <v>-9999</v>
      </c>
      <c r="AP1293" s="257">
        <v>-9999</v>
      </c>
      <c r="AQ1293" s="257" t="s">
        <v>626</v>
      </c>
      <c r="AR1293" s="257">
        <v>450</v>
      </c>
      <c r="AS1293" s="257" t="s">
        <v>562</v>
      </c>
      <c r="AT1293" s="257" t="s">
        <v>565</v>
      </c>
      <c r="AU1293" s="257">
        <v>50</v>
      </c>
      <c r="AV1293" s="257" t="s">
        <v>1198</v>
      </c>
      <c r="AW1293" s="257" t="s">
        <v>1199</v>
      </c>
      <c r="AX1293" s="257">
        <v>0</v>
      </c>
      <c r="AY1293" s="257">
        <v>-9999</v>
      </c>
      <c r="AZ1293" s="257" t="s">
        <v>565</v>
      </c>
      <c r="BA1293" s="257">
        <v>-9999</v>
      </c>
      <c r="BB1293" s="257" t="s">
        <v>626</v>
      </c>
      <c r="BC1293" s="257" t="s">
        <v>881</v>
      </c>
      <c r="BD1293" s="257" t="s">
        <v>577</v>
      </c>
      <c r="BE1293" s="257" t="s">
        <v>578</v>
      </c>
      <c r="BF1293" s="257">
        <v>-9999</v>
      </c>
      <c r="BG1293" s="257">
        <v>-9999</v>
      </c>
      <c r="BH1293" s="257">
        <v>-9999</v>
      </c>
      <c r="BI1293" s="257">
        <v>-9999</v>
      </c>
      <c r="BJ1293" s="257">
        <v>-9999</v>
      </c>
      <c r="BK1293" s="257">
        <v>-9999</v>
      </c>
      <c r="BL1293" s="257">
        <v>-9999</v>
      </c>
      <c r="BM1293" s="257">
        <v>-9999</v>
      </c>
      <c r="BN1293" s="257">
        <v>-9999</v>
      </c>
      <c r="BO1293" s="257">
        <v>-9999</v>
      </c>
      <c r="BP1293" s="257">
        <v>-9999</v>
      </c>
      <c r="BQ1293" s="257">
        <v>-9999</v>
      </c>
      <c r="BR1293" s="257">
        <v>-9999</v>
      </c>
      <c r="BS1293" s="263">
        <v>-9999</v>
      </c>
      <c r="BT1293" s="257">
        <v>-9999</v>
      </c>
      <c r="BU1293" s="257">
        <v>-9999</v>
      </c>
      <c r="BV1293" s="257">
        <v>-9999</v>
      </c>
      <c r="BW1293" s="257"/>
      <c r="BX1293" s="257">
        <v>-9999</v>
      </c>
      <c r="BY1293" s="257">
        <v>-9999</v>
      </c>
      <c r="BZ1293" s="257">
        <v>-9999</v>
      </c>
      <c r="CA1293" s="300" t="s">
        <v>895</v>
      </c>
      <c r="CB1293" s="264"/>
      <c r="CC1293" s="257">
        <v>1</v>
      </c>
      <c r="CD1293" s="257">
        <v>1</v>
      </c>
      <c r="CE1293" s="292">
        <v>6.63</v>
      </c>
      <c r="CF1293" s="292"/>
      <c r="CG1293" s="43">
        <v>1</v>
      </c>
    </row>
    <row r="1294" spans="1:1873" s="23" customFormat="1" x14ac:dyDescent="0.2">
      <c r="A1294" s="257" t="s">
        <v>569</v>
      </c>
      <c r="B1294" s="257" t="s">
        <v>570</v>
      </c>
      <c r="C1294" s="257" t="s">
        <v>571</v>
      </c>
      <c r="D1294" s="257" t="s">
        <v>1254</v>
      </c>
      <c r="E1294" s="257" t="s">
        <v>882</v>
      </c>
      <c r="F1294" s="257">
        <v>1</v>
      </c>
      <c r="G1294" s="257">
        <v>2</v>
      </c>
      <c r="H1294" s="257">
        <v>2</v>
      </c>
      <c r="I1294" s="257" t="s">
        <v>575</v>
      </c>
      <c r="J1294" s="257">
        <v>1988</v>
      </c>
      <c r="K1294" s="604" t="s">
        <v>575</v>
      </c>
      <c r="L1294" s="257">
        <v>1991</v>
      </c>
      <c r="M1294" s="261">
        <v>-9999</v>
      </c>
      <c r="N1294" s="257">
        <v>-9999</v>
      </c>
      <c r="O1294" s="29"/>
      <c r="P1294" s="261">
        <v>17.89</v>
      </c>
      <c r="Q1294" s="296">
        <v>1.77</v>
      </c>
      <c r="R1294" s="261"/>
      <c r="S1294" s="296"/>
      <c r="T1294" s="370">
        <f>+P1294/H1294</f>
        <v>8.9450000000000003</v>
      </c>
      <c r="U1294" s="257">
        <v>-9999</v>
      </c>
      <c r="V1294" s="257"/>
      <c r="W1294" s="370">
        <f>+P1294-P1293</f>
        <v>11.260000000000002</v>
      </c>
      <c r="X1294" s="257">
        <v>-9999</v>
      </c>
      <c r="Y1294" s="257"/>
      <c r="Z1294" s="257" t="s">
        <v>576</v>
      </c>
      <c r="AA1294" s="257">
        <v>3333</v>
      </c>
      <c r="AB1294" s="261">
        <v>-9999</v>
      </c>
      <c r="AC1294" s="261">
        <v>0.94</v>
      </c>
      <c r="AD1294" s="263">
        <v>625</v>
      </c>
      <c r="AE1294" s="327" t="s">
        <v>280</v>
      </c>
      <c r="AF1294" s="257">
        <v>3</v>
      </c>
      <c r="AG1294" s="257">
        <v>2</v>
      </c>
      <c r="AH1294" s="257" t="s">
        <v>876</v>
      </c>
      <c r="AI1294" s="257" t="s">
        <v>985</v>
      </c>
      <c r="AJ1294" s="257">
        <v>-9999</v>
      </c>
      <c r="AK1294" s="257">
        <v>-9999</v>
      </c>
      <c r="AL1294" s="257">
        <v>-9999</v>
      </c>
      <c r="AM1294" s="257">
        <v>-9999</v>
      </c>
      <c r="AN1294" s="257">
        <v>-9999</v>
      </c>
      <c r="AO1294" s="257">
        <v>-9999</v>
      </c>
      <c r="AP1294" s="257">
        <v>-9999</v>
      </c>
      <c r="AQ1294" s="257" t="s">
        <v>626</v>
      </c>
      <c r="AR1294" s="257">
        <v>450</v>
      </c>
      <c r="AS1294" s="257" t="s">
        <v>562</v>
      </c>
      <c r="AT1294" s="257" t="s">
        <v>565</v>
      </c>
      <c r="AU1294" s="257">
        <v>50</v>
      </c>
      <c r="AV1294" s="257" t="s">
        <v>1198</v>
      </c>
      <c r="AW1294" s="257" t="s">
        <v>1199</v>
      </c>
      <c r="AX1294" s="257">
        <v>0</v>
      </c>
      <c r="AY1294" s="257">
        <v>-9999</v>
      </c>
      <c r="AZ1294" s="257" t="s">
        <v>565</v>
      </c>
      <c r="BA1294" s="257">
        <v>-9999</v>
      </c>
      <c r="BB1294" s="257" t="s">
        <v>626</v>
      </c>
      <c r="BC1294" s="257" t="s">
        <v>881</v>
      </c>
      <c r="BD1294" s="257" t="s">
        <v>577</v>
      </c>
      <c r="BE1294" s="257" t="s">
        <v>578</v>
      </c>
      <c r="BF1294" s="257">
        <v>-9999</v>
      </c>
      <c r="BG1294" s="257">
        <v>-9999</v>
      </c>
      <c r="BH1294" s="257">
        <v>-9999</v>
      </c>
      <c r="BI1294" s="257">
        <v>-9999</v>
      </c>
      <c r="BJ1294" s="257">
        <v>-9999</v>
      </c>
      <c r="BK1294" s="257">
        <v>-9999</v>
      </c>
      <c r="BL1294" s="257">
        <v>-9999</v>
      </c>
      <c r="BM1294" s="257">
        <v>-9999</v>
      </c>
      <c r="BN1294" s="257">
        <v>-9999</v>
      </c>
      <c r="BO1294" s="257">
        <v>-9999</v>
      </c>
      <c r="BP1294" s="257">
        <v>-9999</v>
      </c>
      <c r="BQ1294" s="257">
        <v>-9999</v>
      </c>
      <c r="BR1294" s="257">
        <v>-9999</v>
      </c>
      <c r="BS1294" s="263">
        <v>-9999</v>
      </c>
      <c r="BT1294" s="257">
        <v>-9999</v>
      </c>
      <c r="BU1294" s="257">
        <v>-9999</v>
      </c>
      <c r="BV1294" s="257">
        <v>-9999</v>
      </c>
      <c r="BW1294" s="257"/>
      <c r="BX1294" s="257">
        <v>-9999</v>
      </c>
      <c r="BY1294" s="257">
        <v>-9999</v>
      </c>
      <c r="BZ1294" s="257">
        <v>-9999</v>
      </c>
      <c r="CA1294" s="300" t="s">
        <v>895</v>
      </c>
      <c r="CB1294" s="264"/>
      <c r="CC1294" s="257">
        <v>1</v>
      </c>
      <c r="CD1294" s="257">
        <v>2</v>
      </c>
      <c r="CE1294" s="292">
        <v>8.9450000000000003</v>
      </c>
      <c r="CF1294" s="292">
        <v>11.260000000000002</v>
      </c>
      <c r="CG1294" s="43">
        <v>2</v>
      </c>
    </row>
    <row r="1295" spans="1:1873" s="301" customFormat="1" x14ac:dyDescent="0.2">
      <c r="A1295" s="327" t="s">
        <v>569</v>
      </c>
      <c r="B1295" s="327" t="s">
        <v>570</v>
      </c>
      <c r="C1295" s="327" t="s">
        <v>571</v>
      </c>
      <c r="D1295" s="327" t="s">
        <v>1254</v>
      </c>
      <c r="E1295" s="327" t="s">
        <v>882</v>
      </c>
      <c r="F1295" s="327">
        <v>1</v>
      </c>
      <c r="G1295" s="327">
        <v>3</v>
      </c>
      <c r="H1295" s="327">
        <v>3</v>
      </c>
      <c r="I1295" s="327" t="s">
        <v>575</v>
      </c>
      <c r="J1295" s="327">
        <v>1988</v>
      </c>
      <c r="K1295" s="265" t="s">
        <v>575</v>
      </c>
      <c r="L1295" s="327">
        <v>1991</v>
      </c>
      <c r="M1295" s="368">
        <v>-9999</v>
      </c>
      <c r="N1295" s="327">
        <v>-9999</v>
      </c>
      <c r="O1295" s="323"/>
      <c r="P1295" s="368">
        <v>33.79</v>
      </c>
      <c r="Q1295" s="363">
        <v>4.28</v>
      </c>
      <c r="R1295" s="368"/>
      <c r="S1295" s="363"/>
      <c r="T1295" s="370">
        <f>+P1295/H1295</f>
        <v>11.263333333333334</v>
      </c>
      <c r="U1295" s="327">
        <v>-9999</v>
      </c>
      <c r="V1295" s="327"/>
      <c r="W1295" s="370">
        <f>+P1295-P1294</f>
        <v>15.899999999999999</v>
      </c>
      <c r="X1295" s="327">
        <v>-9999</v>
      </c>
      <c r="Y1295" s="327"/>
      <c r="Z1295" s="327" t="s">
        <v>576</v>
      </c>
      <c r="AA1295" s="327">
        <v>3333</v>
      </c>
      <c r="AB1295" s="368">
        <v>-9999</v>
      </c>
      <c r="AC1295" s="368">
        <v>0.94</v>
      </c>
      <c r="AD1295" s="328">
        <v>625</v>
      </c>
      <c r="AE1295" s="327" t="s">
        <v>280</v>
      </c>
      <c r="AF1295" s="327">
        <v>3</v>
      </c>
      <c r="AG1295" s="327">
        <v>2</v>
      </c>
      <c r="AH1295" s="327" t="s">
        <v>876</v>
      </c>
      <c r="AI1295" s="327" t="s">
        <v>985</v>
      </c>
      <c r="AJ1295" s="327">
        <v>-9999</v>
      </c>
      <c r="AK1295" s="327">
        <v>-9999</v>
      </c>
      <c r="AL1295" s="327">
        <v>-9999</v>
      </c>
      <c r="AM1295" s="327">
        <v>-9999</v>
      </c>
      <c r="AN1295" s="327">
        <v>-9999</v>
      </c>
      <c r="AO1295" s="327">
        <v>-9999</v>
      </c>
      <c r="AP1295" s="327">
        <v>-9999</v>
      </c>
      <c r="AQ1295" s="327" t="s">
        <v>626</v>
      </c>
      <c r="AR1295" s="327">
        <v>450</v>
      </c>
      <c r="AS1295" s="327" t="s">
        <v>562</v>
      </c>
      <c r="AT1295" s="327" t="s">
        <v>565</v>
      </c>
      <c r="AU1295" s="327">
        <v>50</v>
      </c>
      <c r="AV1295" s="327" t="s">
        <v>1198</v>
      </c>
      <c r="AW1295" s="327" t="s">
        <v>1199</v>
      </c>
      <c r="AX1295" s="327">
        <v>0</v>
      </c>
      <c r="AY1295" s="327">
        <v>-9999</v>
      </c>
      <c r="AZ1295" s="327" t="s">
        <v>565</v>
      </c>
      <c r="BA1295" s="327">
        <v>-9999</v>
      </c>
      <c r="BB1295" s="327" t="s">
        <v>626</v>
      </c>
      <c r="BC1295" s="327" t="s">
        <v>881</v>
      </c>
      <c r="BD1295" s="327" t="s">
        <v>577</v>
      </c>
      <c r="BE1295" s="327" t="s">
        <v>578</v>
      </c>
      <c r="BF1295" s="327">
        <v>-9999</v>
      </c>
      <c r="BG1295" s="327">
        <v>-9999</v>
      </c>
      <c r="BH1295" s="327">
        <v>-9999</v>
      </c>
      <c r="BI1295" s="327">
        <v>-9999</v>
      </c>
      <c r="BJ1295" s="327">
        <v>-9999</v>
      </c>
      <c r="BK1295" s="327">
        <v>-9999</v>
      </c>
      <c r="BL1295" s="327">
        <v>-9999</v>
      </c>
      <c r="BM1295" s="327">
        <v>-9999</v>
      </c>
      <c r="BN1295" s="327">
        <v>-9999</v>
      </c>
      <c r="BO1295" s="327">
        <v>-9999</v>
      </c>
      <c r="BP1295" s="327">
        <v>-9999</v>
      </c>
      <c r="BQ1295" s="327">
        <v>-9999</v>
      </c>
      <c r="BR1295" s="327">
        <v>-9999</v>
      </c>
      <c r="BS1295" s="328">
        <v>-9999</v>
      </c>
      <c r="BT1295" s="327">
        <v>-9999</v>
      </c>
      <c r="BU1295" s="327">
        <v>-9999</v>
      </c>
      <c r="BV1295" s="327">
        <v>-9999</v>
      </c>
      <c r="BW1295" s="327"/>
      <c r="BX1295" s="327">
        <v>-9999</v>
      </c>
      <c r="BY1295" s="327">
        <v>-9999</v>
      </c>
      <c r="BZ1295" s="327">
        <v>-9999</v>
      </c>
      <c r="CA1295" s="369" t="s">
        <v>895</v>
      </c>
      <c r="CB1295" s="475"/>
      <c r="CC1295" s="327">
        <v>1</v>
      </c>
      <c r="CD1295" s="327">
        <v>3</v>
      </c>
      <c r="CE1295" s="342">
        <v>11.263333333333334</v>
      </c>
      <c r="CF1295" s="342">
        <v>15.899999999999999</v>
      </c>
      <c r="CG1295" s="143">
        <v>3</v>
      </c>
    </row>
    <row r="1296" spans="1:1873" s="23" customFormat="1" x14ac:dyDescent="0.2">
      <c r="A1296" s="257"/>
      <c r="B1296" s="257"/>
      <c r="C1296" s="257"/>
      <c r="D1296" s="257"/>
      <c r="E1296" s="257"/>
      <c r="F1296" s="257"/>
      <c r="G1296" s="257"/>
      <c r="H1296" s="257"/>
      <c r="I1296" s="257"/>
      <c r="J1296" s="257"/>
      <c r="K1296" s="604"/>
      <c r="L1296" s="257"/>
      <c r="M1296" s="261"/>
      <c r="N1296" s="257"/>
      <c r="O1296" s="29"/>
      <c r="P1296" s="261"/>
      <c r="Q1296" s="296"/>
      <c r="R1296" s="261"/>
      <c r="S1296" s="296"/>
      <c r="T1296" s="370"/>
      <c r="U1296" s="257"/>
      <c r="V1296" s="257"/>
      <c r="W1296" s="370"/>
      <c r="X1296" s="257"/>
      <c r="Y1296" s="257"/>
      <c r="Z1296" s="257"/>
      <c r="AA1296" s="257"/>
      <c r="AB1296" s="261"/>
      <c r="AC1296" s="261"/>
      <c r="AD1296" s="263"/>
      <c r="AE1296" s="257"/>
      <c r="AF1296" s="257"/>
      <c r="AG1296" s="257"/>
      <c r="AH1296" s="257"/>
      <c r="AI1296" s="257"/>
      <c r="AJ1296" s="257"/>
      <c r="AK1296" s="257"/>
      <c r="AL1296" s="257"/>
      <c r="AM1296" s="257"/>
      <c r="AN1296" s="257"/>
      <c r="AO1296" s="257"/>
      <c r="AP1296" s="257"/>
      <c r="AQ1296" s="257"/>
      <c r="AR1296" s="257"/>
      <c r="AS1296" s="257"/>
      <c r="AT1296" s="257"/>
      <c r="AU1296" s="257"/>
      <c r="AV1296" s="257"/>
      <c r="AW1296" s="257"/>
      <c r="AX1296" s="257"/>
      <c r="AY1296" s="257"/>
      <c r="AZ1296" s="257"/>
      <c r="BA1296" s="257"/>
      <c r="BB1296" s="257"/>
      <c r="BC1296" s="257"/>
      <c r="BD1296" s="257"/>
      <c r="BE1296" s="257"/>
      <c r="BF1296" s="257"/>
      <c r="BG1296" s="257"/>
      <c r="BH1296" s="257"/>
      <c r="BI1296" s="257"/>
      <c r="BJ1296" s="257"/>
      <c r="BK1296" s="257"/>
      <c r="BL1296" s="257"/>
      <c r="BM1296" s="257"/>
      <c r="BN1296" s="257"/>
      <c r="BO1296" s="257"/>
      <c r="BP1296" s="257"/>
      <c r="BQ1296" s="257"/>
      <c r="BR1296" s="257"/>
      <c r="BS1296" s="263"/>
      <c r="BT1296" s="257"/>
      <c r="BU1296" s="257"/>
      <c r="BV1296" s="257"/>
      <c r="BW1296" s="257"/>
      <c r="BX1296" s="257"/>
      <c r="BY1296" s="257"/>
      <c r="BZ1296" s="257"/>
      <c r="CA1296" s="300"/>
      <c r="CB1296" s="264"/>
      <c r="CC1296" s="257"/>
      <c r="CD1296" s="257"/>
      <c r="CE1296" s="342" t="s">
        <v>1576</v>
      </c>
      <c r="CF1296" s="342" t="s">
        <v>1575</v>
      </c>
      <c r="CG1296" s="43"/>
    </row>
    <row r="1297" spans="1:1873" s="23" customFormat="1" x14ac:dyDescent="0.2">
      <c r="A1297" s="257" t="s">
        <v>569</v>
      </c>
      <c r="B1297" s="257" t="s">
        <v>570</v>
      </c>
      <c r="C1297" s="257" t="s">
        <v>572</v>
      </c>
      <c r="D1297" s="257" t="s">
        <v>1254</v>
      </c>
      <c r="E1297" s="257" t="s">
        <v>882</v>
      </c>
      <c r="F1297" s="257">
        <v>1</v>
      </c>
      <c r="G1297" s="257">
        <v>1</v>
      </c>
      <c r="H1297" s="257">
        <v>1</v>
      </c>
      <c r="I1297" s="257" t="s">
        <v>575</v>
      </c>
      <c r="J1297" s="257">
        <v>1988</v>
      </c>
      <c r="K1297" s="604" t="s">
        <v>575</v>
      </c>
      <c r="L1297" s="257">
        <v>1991</v>
      </c>
      <c r="M1297" s="261">
        <v>-9999</v>
      </c>
      <c r="N1297" s="257">
        <v>-9999</v>
      </c>
      <c r="O1297" s="29"/>
      <c r="P1297" s="261">
        <v>6.27</v>
      </c>
      <c r="Q1297" s="296">
        <v>1.51</v>
      </c>
      <c r="R1297" s="261"/>
      <c r="S1297" s="296"/>
      <c r="T1297" s="370">
        <f>+P1297/H1297</f>
        <v>6.27</v>
      </c>
      <c r="U1297" s="257">
        <v>-9999</v>
      </c>
      <c r="V1297" s="257"/>
      <c r="W1297" s="261">
        <v>-9999</v>
      </c>
      <c r="X1297" s="257">
        <v>-9999</v>
      </c>
      <c r="Y1297" s="257"/>
      <c r="Z1297" s="257" t="s">
        <v>576</v>
      </c>
      <c r="AA1297" s="257">
        <v>3333</v>
      </c>
      <c r="AB1297" s="261">
        <v>-9999</v>
      </c>
      <c r="AC1297" s="261">
        <v>0.94</v>
      </c>
      <c r="AD1297" s="263">
        <v>625</v>
      </c>
      <c r="AE1297" s="327" t="s">
        <v>280</v>
      </c>
      <c r="AF1297" s="257">
        <v>3</v>
      </c>
      <c r="AG1297" s="257">
        <v>2</v>
      </c>
      <c r="AH1297" s="257" t="s">
        <v>876</v>
      </c>
      <c r="AI1297" s="257" t="s">
        <v>985</v>
      </c>
      <c r="AJ1297" s="257">
        <v>-9999</v>
      </c>
      <c r="AK1297" s="257">
        <v>-9999</v>
      </c>
      <c r="AL1297" s="257">
        <v>-9999</v>
      </c>
      <c r="AM1297" s="257">
        <v>-9999</v>
      </c>
      <c r="AN1297" s="257">
        <v>-9999</v>
      </c>
      <c r="AO1297" s="257">
        <v>-9999</v>
      </c>
      <c r="AP1297" s="257">
        <v>-9999</v>
      </c>
      <c r="AQ1297" s="257" t="s">
        <v>626</v>
      </c>
      <c r="AR1297" s="257">
        <v>150</v>
      </c>
      <c r="AS1297" s="257" t="s">
        <v>562</v>
      </c>
      <c r="AT1297" s="257" t="s">
        <v>940</v>
      </c>
      <c r="AU1297" s="257">
        <v>50</v>
      </c>
      <c r="AV1297" s="257" t="s">
        <v>1198</v>
      </c>
      <c r="AW1297" s="257" t="s">
        <v>1199</v>
      </c>
      <c r="AX1297" s="257">
        <v>0</v>
      </c>
      <c r="AY1297" s="257">
        <v>-9999</v>
      </c>
      <c r="AZ1297" s="257" t="s">
        <v>564</v>
      </c>
      <c r="BA1297" s="257">
        <v>-9999</v>
      </c>
      <c r="BB1297" s="257" t="s">
        <v>626</v>
      </c>
      <c r="BC1297" s="257" t="s">
        <v>881</v>
      </c>
      <c r="BD1297" s="257" t="s">
        <v>577</v>
      </c>
      <c r="BE1297" s="257" t="s">
        <v>578</v>
      </c>
      <c r="BF1297" s="257">
        <v>-9999</v>
      </c>
      <c r="BG1297" s="257">
        <v>-9999</v>
      </c>
      <c r="BH1297" s="257">
        <v>-9999</v>
      </c>
      <c r="BI1297" s="257">
        <v>-9999</v>
      </c>
      <c r="BJ1297" s="257">
        <v>-9999</v>
      </c>
      <c r="BK1297" s="257">
        <v>-9999</v>
      </c>
      <c r="BL1297" s="257">
        <v>-9999</v>
      </c>
      <c r="BM1297" s="257">
        <v>-9999</v>
      </c>
      <c r="BN1297" s="257">
        <v>-9999</v>
      </c>
      <c r="BO1297" s="257">
        <v>-9999</v>
      </c>
      <c r="BP1297" s="257">
        <v>-9999</v>
      </c>
      <c r="BQ1297" s="257">
        <v>-9999</v>
      </c>
      <c r="BR1297" s="257">
        <v>-9999</v>
      </c>
      <c r="BS1297" s="263">
        <v>-9999</v>
      </c>
      <c r="BT1297" s="257">
        <v>-9999</v>
      </c>
      <c r="BU1297" s="257">
        <v>-9999</v>
      </c>
      <c r="BV1297" s="257">
        <v>-9999</v>
      </c>
      <c r="BW1297" s="257"/>
      <c r="BX1297" s="257">
        <v>-9999</v>
      </c>
      <c r="BY1297" s="257">
        <v>-9999</v>
      </c>
      <c r="BZ1297" s="257">
        <v>-9999</v>
      </c>
      <c r="CA1297" s="300" t="s">
        <v>895</v>
      </c>
      <c r="CB1297" s="264"/>
      <c r="CC1297" s="257">
        <v>1</v>
      </c>
      <c r="CD1297" s="257">
        <v>1</v>
      </c>
      <c r="CE1297" s="292">
        <v>6.27</v>
      </c>
      <c r="CF1297" s="292"/>
      <c r="CG1297" s="43">
        <v>1</v>
      </c>
    </row>
    <row r="1298" spans="1:1873" s="23" customFormat="1" x14ac:dyDescent="0.2">
      <c r="A1298" s="257" t="s">
        <v>569</v>
      </c>
      <c r="B1298" s="257" t="s">
        <v>570</v>
      </c>
      <c r="C1298" s="257" t="s">
        <v>572</v>
      </c>
      <c r="D1298" s="257" t="s">
        <v>1254</v>
      </c>
      <c r="E1298" s="257" t="s">
        <v>882</v>
      </c>
      <c r="F1298" s="257">
        <v>1</v>
      </c>
      <c r="G1298" s="257">
        <v>2</v>
      </c>
      <c r="H1298" s="257">
        <v>2</v>
      </c>
      <c r="I1298" s="257" t="s">
        <v>575</v>
      </c>
      <c r="J1298" s="257">
        <v>1988</v>
      </c>
      <c r="K1298" s="604" t="s">
        <v>575</v>
      </c>
      <c r="L1298" s="257">
        <v>1991</v>
      </c>
      <c r="M1298" s="261">
        <v>-9999</v>
      </c>
      <c r="N1298" s="257">
        <v>-9999</v>
      </c>
      <c r="O1298" s="29"/>
      <c r="P1298" s="261">
        <v>19.420000000000002</v>
      </c>
      <c r="Q1298" s="296">
        <v>3.15</v>
      </c>
      <c r="R1298" s="261"/>
      <c r="S1298" s="296"/>
      <c r="T1298" s="370">
        <f>+P1298/H1298</f>
        <v>9.7100000000000009</v>
      </c>
      <c r="U1298" s="257">
        <v>-9999</v>
      </c>
      <c r="V1298" s="257"/>
      <c r="W1298" s="370">
        <f>+P1298-P1297</f>
        <v>13.150000000000002</v>
      </c>
      <c r="X1298" s="257">
        <v>-9999</v>
      </c>
      <c r="Y1298" s="257"/>
      <c r="Z1298" s="257" t="s">
        <v>576</v>
      </c>
      <c r="AA1298" s="257">
        <v>3333</v>
      </c>
      <c r="AB1298" s="261">
        <v>-9999</v>
      </c>
      <c r="AC1298" s="261">
        <v>0.94</v>
      </c>
      <c r="AD1298" s="263">
        <v>625</v>
      </c>
      <c r="AE1298" s="327" t="s">
        <v>280</v>
      </c>
      <c r="AF1298" s="257">
        <v>3</v>
      </c>
      <c r="AG1298" s="257">
        <v>2</v>
      </c>
      <c r="AH1298" s="257" t="s">
        <v>876</v>
      </c>
      <c r="AI1298" s="257" t="s">
        <v>985</v>
      </c>
      <c r="AJ1298" s="257">
        <v>-9999</v>
      </c>
      <c r="AK1298" s="257">
        <v>-9999</v>
      </c>
      <c r="AL1298" s="257">
        <v>-9999</v>
      </c>
      <c r="AM1298" s="257">
        <v>-9999</v>
      </c>
      <c r="AN1298" s="257">
        <v>-9999</v>
      </c>
      <c r="AO1298" s="257">
        <v>-9999</v>
      </c>
      <c r="AP1298" s="257">
        <v>-9999</v>
      </c>
      <c r="AQ1298" s="257" t="s">
        <v>626</v>
      </c>
      <c r="AR1298" s="257">
        <f>+AR1297+150</f>
        <v>300</v>
      </c>
      <c r="AS1298" s="257" t="s">
        <v>562</v>
      </c>
      <c r="AT1298" s="257" t="s">
        <v>940</v>
      </c>
      <c r="AU1298" s="257">
        <v>50</v>
      </c>
      <c r="AV1298" s="257" t="s">
        <v>1198</v>
      </c>
      <c r="AW1298" s="257" t="s">
        <v>1199</v>
      </c>
      <c r="AX1298" s="257">
        <v>0</v>
      </c>
      <c r="AY1298" s="257">
        <v>-9999</v>
      </c>
      <c r="AZ1298" s="257" t="s">
        <v>564</v>
      </c>
      <c r="BA1298" s="257">
        <v>-9999</v>
      </c>
      <c r="BB1298" s="257" t="s">
        <v>626</v>
      </c>
      <c r="BC1298" s="257" t="s">
        <v>881</v>
      </c>
      <c r="BD1298" s="257" t="s">
        <v>577</v>
      </c>
      <c r="BE1298" s="257" t="s">
        <v>578</v>
      </c>
      <c r="BF1298" s="257">
        <v>-9999</v>
      </c>
      <c r="BG1298" s="257">
        <v>-9999</v>
      </c>
      <c r="BH1298" s="257">
        <v>-9999</v>
      </c>
      <c r="BI1298" s="257">
        <v>-9999</v>
      </c>
      <c r="BJ1298" s="257">
        <v>-9999</v>
      </c>
      <c r="BK1298" s="257">
        <v>-9999</v>
      </c>
      <c r="BL1298" s="257">
        <v>-9999</v>
      </c>
      <c r="BM1298" s="257">
        <v>-9999</v>
      </c>
      <c r="BN1298" s="257">
        <v>-9999</v>
      </c>
      <c r="BO1298" s="257">
        <v>-9999</v>
      </c>
      <c r="BP1298" s="257">
        <v>-9999</v>
      </c>
      <c r="BQ1298" s="257">
        <v>-9999</v>
      </c>
      <c r="BR1298" s="257">
        <v>-9999</v>
      </c>
      <c r="BS1298" s="263">
        <v>-9999</v>
      </c>
      <c r="BT1298" s="257">
        <v>-9999</v>
      </c>
      <c r="BU1298" s="257">
        <v>-9999</v>
      </c>
      <c r="BV1298" s="257">
        <v>-9999</v>
      </c>
      <c r="BW1298" s="257"/>
      <c r="BX1298" s="257">
        <v>-9999</v>
      </c>
      <c r="BY1298" s="257">
        <v>-9999</v>
      </c>
      <c r="BZ1298" s="257">
        <v>-9999</v>
      </c>
      <c r="CA1298" s="300" t="s">
        <v>895</v>
      </c>
      <c r="CB1298" s="264"/>
      <c r="CC1298" s="257">
        <v>1</v>
      </c>
      <c r="CD1298" s="257">
        <v>2</v>
      </c>
      <c r="CE1298" s="292">
        <v>9.7100000000000009</v>
      </c>
      <c r="CF1298" s="292">
        <v>13.150000000000002</v>
      </c>
      <c r="CG1298" s="43">
        <v>2</v>
      </c>
    </row>
    <row r="1299" spans="1:1873" s="301" customFormat="1" x14ac:dyDescent="0.2">
      <c r="A1299" s="327" t="s">
        <v>569</v>
      </c>
      <c r="B1299" s="327" t="s">
        <v>570</v>
      </c>
      <c r="C1299" s="327" t="s">
        <v>572</v>
      </c>
      <c r="D1299" s="327" t="s">
        <v>1254</v>
      </c>
      <c r="E1299" s="327" t="s">
        <v>882</v>
      </c>
      <c r="F1299" s="327">
        <v>1</v>
      </c>
      <c r="G1299" s="327">
        <v>3</v>
      </c>
      <c r="H1299" s="327">
        <v>3</v>
      </c>
      <c r="I1299" s="327" t="s">
        <v>575</v>
      </c>
      <c r="J1299" s="327">
        <v>1988</v>
      </c>
      <c r="K1299" s="265" t="s">
        <v>575</v>
      </c>
      <c r="L1299" s="327">
        <v>1991</v>
      </c>
      <c r="M1299" s="368">
        <v>-9999</v>
      </c>
      <c r="N1299" s="327">
        <v>-9999</v>
      </c>
      <c r="O1299" s="323"/>
      <c r="P1299" s="368">
        <v>33.409999999999997</v>
      </c>
      <c r="Q1299" s="363">
        <v>3.19</v>
      </c>
      <c r="R1299" s="368"/>
      <c r="S1299" s="363"/>
      <c r="T1299" s="370">
        <f>+P1299/H1299</f>
        <v>11.136666666666665</v>
      </c>
      <c r="U1299" s="327">
        <v>-9999</v>
      </c>
      <c r="V1299" s="327"/>
      <c r="W1299" s="370">
        <f>+P1299-P1298</f>
        <v>13.989999999999995</v>
      </c>
      <c r="X1299" s="327">
        <v>-9999</v>
      </c>
      <c r="Y1299" s="327"/>
      <c r="Z1299" s="327" t="s">
        <v>576</v>
      </c>
      <c r="AA1299" s="327">
        <v>3333</v>
      </c>
      <c r="AB1299" s="368">
        <v>-9999</v>
      </c>
      <c r="AC1299" s="368">
        <v>0.94</v>
      </c>
      <c r="AD1299" s="328">
        <v>625</v>
      </c>
      <c r="AE1299" s="327" t="s">
        <v>280</v>
      </c>
      <c r="AF1299" s="327">
        <v>3</v>
      </c>
      <c r="AG1299" s="327">
        <v>2</v>
      </c>
      <c r="AH1299" s="327" t="s">
        <v>876</v>
      </c>
      <c r="AI1299" s="327" t="s">
        <v>985</v>
      </c>
      <c r="AJ1299" s="327">
        <v>-9999</v>
      </c>
      <c r="AK1299" s="327">
        <v>-9999</v>
      </c>
      <c r="AL1299" s="327">
        <v>-9999</v>
      </c>
      <c r="AM1299" s="327">
        <v>-9999</v>
      </c>
      <c r="AN1299" s="327">
        <v>-9999</v>
      </c>
      <c r="AO1299" s="327">
        <v>-9999</v>
      </c>
      <c r="AP1299" s="327">
        <v>-9999</v>
      </c>
      <c r="AQ1299" s="327" t="s">
        <v>626</v>
      </c>
      <c r="AR1299" s="327">
        <f>+AR1298+150</f>
        <v>450</v>
      </c>
      <c r="AS1299" s="327" t="s">
        <v>562</v>
      </c>
      <c r="AT1299" s="327" t="s">
        <v>940</v>
      </c>
      <c r="AU1299" s="327">
        <v>50</v>
      </c>
      <c r="AV1299" s="327" t="s">
        <v>1198</v>
      </c>
      <c r="AW1299" s="327" t="s">
        <v>1199</v>
      </c>
      <c r="AX1299" s="327">
        <v>0</v>
      </c>
      <c r="AY1299" s="327">
        <v>-9999</v>
      </c>
      <c r="AZ1299" s="327" t="s">
        <v>564</v>
      </c>
      <c r="BA1299" s="327">
        <v>-9999</v>
      </c>
      <c r="BB1299" s="327" t="s">
        <v>626</v>
      </c>
      <c r="BC1299" s="327" t="s">
        <v>881</v>
      </c>
      <c r="BD1299" s="327" t="s">
        <v>577</v>
      </c>
      <c r="BE1299" s="327" t="s">
        <v>578</v>
      </c>
      <c r="BF1299" s="327">
        <v>-9999</v>
      </c>
      <c r="BG1299" s="327">
        <v>-9999</v>
      </c>
      <c r="BH1299" s="327">
        <v>-9999</v>
      </c>
      <c r="BI1299" s="327">
        <v>-9999</v>
      </c>
      <c r="BJ1299" s="327">
        <v>-9999</v>
      </c>
      <c r="BK1299" s="327">
        <v>-9999</v>
      </c>
      <c r="BL1299" s="327">
        <v>-9999</v>
      </c>
      <c r="BM1299" s="327">
        <v>-9999</v>
      </c>
      <c r="BN1299" s="327">
        <v>-9999</v>
      </c>
      <c r="BO1299" s="327">
        <v>-9999</v>
      </c>
      <c r="BP1299" s="327">
        <v>-9999</v>
      </c>
      <c r="BQ1299" s="327">
        <v>-9999</v>
      </c>
      <c r="BR1299" s="327">
        <v>-9999</v>
      </c>
      <c r="BS1299" s="328">
        <v>-9999</v>
      </c>
      <c r="BT1299" s="327">
        <v>-9999</v>
      </c>
      <c r="BU1299" s="327">
        <v>-9999</v>
      </c>
      <c r="BV1299" s="327">
        <v>-9999</v>
      </c>
      <c r="BW1299" s="327"/>
      <c r="BX1299" s="327">
        <v>-9999</v>
      </c>
      <c r="BY1299" s="327">
        <v>-9999</v>
      </c>
      <c r="BZ1299" s="327">
        <v>-9999</v>
      </c>
      <c r="CA1299" s="369" t="s">
        <v>895</v>
      </c>
      <c r="CB1299" s="475"/>
      <c r="CC1299" s="327">
        <v>1</v>
      </c>
      <c r="CD1299" s="327">
        <v>3</v>
      </c>
      <c r="CE1299" s="342">
        <v>11.136666666666665</v>
      </c>
      <c r="CF1299" s="342">
        <v>13.989999999999995</v>
      </c>
      <c r="CG1299" s="143">
        <v>3</v>
      </c>
    </row>
    <row r="1300" spans="1:1873" s="23" customFormat="1" x14ac:dyDescent="0.2">
      <c r="A1300" s="257"/>
      <c r="B1300" s="257"/>
      <c r="C1300" s="257"/>
      <c r="D1300" s="257"/>
      <c r="E1300" s="257"/>
      <c r="F1300" s="257"/>
      <c r="G1300" s="257"/>
      <c r="H1300" s="257"/>
      <c r="I1300" s="257"/>
      <c r="J1300" s="257"/>
      <c r="K1300" s="604"/>
      <c r="L1300" s="257"/>
      <c r="M1300" s="261"/>
      <c r="N1300" s="257"/>
      <c r="O1300" s="29"/>
      <c r="P1300" s="261"/>
      <c r="Q1300" s="296"/>
      <c r="R1300" s="261"/>
      <c r="S1300" s="296"/>
      <c r="T1300" s="370"/>
      <c r="U1300" s="257"/>
      <c r="V1300" s="257"/>
      <c r="W1300" s="370"/>
      <c r="X1300" s="257"/>
      <c r="Y1300" s="257"/>
      <c r="Z1300" s="257"/>
      <c r="AA1300" s="257"/>
      <c r="AB1300" s="261"/>
      <c r="AC1300" s="261"/>
      <c r="AD1300" s="263"/>
      <c r="AE1300" s="257"/>
      <c r="AF1300" s="257"/>
      <c r="AG1300" s="257"/>
      <c r="AH1300" s="257"/>
      <c r="AI1300" s="257"/>
      <c r="AJ1300" s="257"/>
      <c r="AK1300" s="257"/>
      <c r="AL1300" s="257"/>
      <c r="AM1300" s="257"/>
      <c r="AN1300" s="257"/>
      <c r="AO1300" s="257"/>
      <c r="AP1300" s="257"/>
      <c r="AQ1300" s="257"/>
      <c r="AR1300" s="257"/>
      <c r="AS1300" s="257"/>
      <c r="AT1300" s="257"/>
      <c r="AU1300" s="257"/>
      <c r="AV1300" s="257"/>
      <c r="AW1300" s="257"/>
      <c r="AX1300" s="257"/>
      <c r="AY1300" s="257"/>
      <c r="AZ1300" s="257"/>
      <c r="BA1300" s="257"/>
      <c r="BB1300" s="257"/>
      <c r="BC1300" s="257"/>
      <c r="BD1300" s="257"/>
      <c r="BE1300" s="257"/>
      <c r="BF1300" s="257"/>
      <c r="BG1300" s="257"/>
      <c r="BH1300" s="257"/>
      <c r="BI1300" s="257"/>
      <c r="BJ1300" s="257"/>
      <c r="BK1300" s="257"/>
      <c r="BL1300" s="257"/>
      <c r="BM1300" s="257"/>
      <c r="BN1300" s="257"/>
      <c r="BO1300" s="257"/>
      <c r="BP1300" s="257"/>
      <c r="BQ1300" s="257"/>
      <c r="BR1300" s="257"/>
      <c r="BS1300" s="263"/>
      <c r="BT1300" s="257"/>
      <c r="BU1300" s="257"/>
      <c r="BV1300" s="257"/>
      <c r="BW1300" s="257"/>
      <c r="BX1300" s="257"/>
      <c r="BY1300" s="257"/>
      <c r="BZ1300" s="257"/>
      <c r="CA1300" s="300"/>
      <c r="CB1300" s="264"/>
      <c r="CC1300" s="257"/>
      <c r="CD1300" s="257"/>
      <c r="CE1300" s="342" t="s">
        <v>1576</v>
      </c>
      <c r="CF1300" s="342" t="s">
        <v>1575</v>
      </c>
      <c r="CG1300" s="43"/>
    </row>
    <row r="1301" spans="1:1873" s="23" customFormat="1" x14ac:dyDescent="0.2">
      <c r="A1301" s="257" t="s">
        <v>569</v>
      </c>
      <c r="B1301" s="257" t="s">
        <v>570</v>
      </c>
      <c r="C1301" s="257" t="s">
        <v>573</v>
      </c>
      <c r="D1301" s="257" t="s">
        <v>1254</v>
      </c>
      <c r="E1301" s="257" t="s">
        <v>882</v>
      </c>
      <c r="F1301" s="257">
        <v>1</v>
      </c>
      <c r="G1301" s="257">
        <v>1</v>
      </c>
      <c r="H1301" s="257">
        <v>1</v>
      </c>
      <c r="I1301" s="257" t="s">
        <v>575</v>
      </c>
      <c r="J1301" s="257">
        <v>1988</v>
      </c>
      <c r="K1301" s="604" t="s">
        <v>575</v>
      </c>
      <c r="L1301" s="257">
        <v>1991</v>
      </c>
      <c r="M1301" s="261">
        <v>-9999</v>
      </c>
      <c r="N1301" s="257">
        <v>-9999</v>
      </c>
      <c r="O1301" s="29"/>
      <c r="P1301" s="261">
        <v>5.6</v>
      </c>
      <c r="Q1301" s="296">
        <v>1.01</v>
      </c>
      <c r="R1301" s="261"/>
      <c r="S1301" s="296"/>
      <c r="T1301" s="370">
        <f>+P1301/H1301</f>
        <v>5.6</v>
      </c>
      <c r="U1301" s="257">
        <v>-9999</v>
      </c>
      <c r="V1301" s="257"/>
      <c r="W1301" s="261">
        <v>-9999</v>
      </c>
      <c r="X1301" s="257">
        <v>-9999</v>
      </c>
      <c r="Y1301" s="257"/>
      <c r="Z1301" s="257" t="s">
        <v>576</v>
      </c>
      <c r="AA1301" s="257">
        <v>3333</v>
      </c>
      <c r="AB1301" s="261">
        <v>-9999</v>
      </c>
      <c r="AC1301" s="261">
        <v>0.94</v>
      </c>
      <c r="AD1301" s="263">
        <v>625</v>
      </c>
      <c r="AE1301" s="327" t="s">
        <v>280</v>
      </c>
      <c r="AF1301" s="257">
        <v>3</v>
      </c>
      <c r="AG1301" s="257">
        <v>2</v>
      </c>
      <c r="AH1301" s="257" t="s">
        <v>876</v>
      </c>
      <c r="AI1301" s="257" t="s">
        <v>985</v>
      </c>
      <c r="AJ1301" s="257">
        <v>-9999</v>
      </c>
      <c r="AK1301" s="257">
        <v>-9999</v>
      </c>
      <c r="AL1301" s="257">
        <v>-9999</v>
      </c>
      <c r="AM1301" s="257">
        <v>-9999</v>
      </c>
      <c r="AN1301" s="257">
        <v>-9999</v>
      </c>
      <c r="AO1301" s="257">
        <v>-9999</v>
      </c>
      <c r="AP1301" s="257">
        <v>-9999</v>
      </c>
      <c r="AQ1301" s="257" t="s">
        <v>626</v>
      </c>
      <c r="AR1301" s="257">
        <v>150</v>
      </c>
      <c r="AS1301" s="257" t="s">
        <v>562</v>
      </c>
      <c r="AT1301" s="257" t="s">
        <v>563</v>
      </c>
      <c r="AU1301" s="257">
        <v>50</v>
      </c>
      <c r="AV1301" s="257" t="s">
        <v>1198</v>
      </c>
      <c r="AW1301" s="257" t="s">
        <v>1199</v>
      </c>
      <c r="AX1301" s="257">
        <v>0</v>
      </c>
      <c r="AY1301" s="257">
        <v>-9999</v>
      </c>
      <c r="AZ1301" s="257" t="s">
        <v>563</v>
      </c>
      <c r="BA1301" s="257">
        <v>-9999</v>
      </c>
      <c r="BB1301" s="257" t="s">
        <v>626</v>
      </c>
      <c r="BC1301" s="257" t="s">
        <v>881</v>
      </c>
      <c r="BD1301" s="257" t="s">
        <v>577</v>
      </c>
      <c r="BE1301" s="257" t="s">
        <v>578</v>
      </c>
      <c r="BF1301" s="257">
        <v>-9999</v>
      </c>
      <c r="BG1301" s="257">
        <v>-9999</v>
      </c>
      <c r="BH1301" s="257">
        <v>-9999</v>
      </c>
      <c r="BI1301" s="257">
        <v>-9999</v>
      </c>
      <c r="BJ1301" s="257">
        <v>-9999</v>
      </c>
      <c r="BK1301" s="257">
        <v>-9999</v>
      </c>
      <c r="BL1301" s="257">
        <v>-9999</v>
      </c>
      <c r="BM1301" s="257">
        <v>-9999</v>
      </c>
      <c r="BN1301" s="257">
        <v>-9999</v>
      </c>
      <c r="BO1301" s="257">
        <v>-9999</v>
      </c>
      <c r="BP1301" s="257">
        <v>-9999</v>
      </c>
      <c r="BQ1301" s="257">
        <v>-9999</v>
      </c>
      <c r="BR1301" s="257">
        <v>-9999</v>
      </c>
      <c r="BS1301" s="263">
        <v>-9999</v>
      </c>
      <c r="BT1301" s="257">
        <v>-9999</v>
      </c>
      <c r="BU1301" s="257">
        <v>-9999</v>
      </c>
      <c r="BV1301" s="257">
        <v>-9999</v>
      </c>
      <c r="BW1301" s="257"/>
      <c r="BX1301" s="257">
        <v>-9999</v>
      </c>
      <c r="BY1301" s="257">
        <v>-9999</v>
      </c>
      <c r="BZ1301" s="257">
        <v>-9999</v>
      </c>
      <c r="CA1301" s="300" t="s">
        <v>895</v>
      </c>
      <c r="CB1301" s="264"/>
      <c r="CC1301" s="257">
        <v>1</v>
      </c>
      <c r="CD1301" s="257">
        <v>1</v>
      </c>
      <c r="CE1301" s="292">
        <v>5.6</v>
      </c>
      <c r="CF1301" s="292"/>
      <c r="CG1301" s="43">
        <v>1</v>
      </c>
    </row>
    <row r="1302" spans="1:1873" s="23" customFormat="1" x14ac:dyDescent="0.2">
      <c r="A1302" s="257" t="s">
        <v>569</v>
      </c>
      <c r="B1302" s="257" t="s">
        <v>570</v>
      </c>
      <c r="C1302" s="257" t="s">
        <v>573</v>
      </c>
      <c r="D1302" s="257" t="s">
        <v>1254</v>
      </c>
      <c r="E1302" s="257" t="s">
        <v>882</v>
      </c>
      <c r="F1302" s="257">
        <v>1</v>
      </c>
      <c r="G1302" s="257">
        <v>2</v>
      </c>
      <c r="H1302" s="257">
        <v>2</v>
      </c>
      <c r="I1302" s="257" t="s">
        <v>575</v>
      </c>
      <c r="J1302" s="257">
        <v>1988</v>
      </c>
      <c r="K1302" s="604" t="s">
        <v>575</v>
      </c>
      <c r="L1302" s="257">
        <v>1991</v>
      </c>
      <c r="M1302" s="261">
        <v>-9999</v>
      </c>
      <c r="N1302" s="257">
        <v>-9999</v>
      </c>
      <c r="O1302" s="29"/>
      <c r="P1302" s="261">
        <v>19.62</v>
      </c>
      <c r="Q1302" s="296">
        <v>2.29</v>
      </c>
      <c r="R1302" s="261"/>
      <c r="S1302" s="296"/>
      <c r="T1302" s="370">
        <f>+P1302/H1302</f>
        <v>9.81</v>
      </c>
      <c r="U1302" s="257">
        <v>-9999</v>
      </c>
      <c r="V1302" s="257"/>
      <c r="W1302" s="370">
        <f>+P1302-P1301</f>
        <v>14.020000000000001</v>
      </c>
      <c r="X1302" s="257">
        <v>-9999</v>
      </c>
      <c r="Y1302" s="257"/>
      <c r="Z1302" s="257" t="s">
        <v>576</v>
      </c>
      <c r="AA1302" s="257">
        <v>3333</v>
      </c>
      <c r="AB1302" s="261">
        <v>-9999</v>
      </c>
      <c r="AC1302" s="261">
        <v>0.94</v>
      </c>
      <c r="AD1302" s="263">
        <v>625</v>
      </c>
      <c r="AE1302" s="327" t="s">
        <v>280</v>
      </c>
      <c r="AF1302" s="257">
        <v>3</v>
      </c>
      <c r="AG1302" s="257">
        <v>2</v>
      </c>
      <c r="AH1302" s="257" t="s">
        <v>876</v>
      </c>
      <c r="AI1302" s="257" t="s">
        <v>985</v>
      </c>
      <c r="AJ1302" s="257">
        <v>-9999</v>
      </c>
      <c r="AK1302" s="257">
        <v>-9999</v>
      </c>
      <c r="AL1302" s="257">
        <v>-9999</v>
      </c>
      <c r="AM1302" s="257">
        <v>-9999</v>
      </c>
      <c r="AN1302" s="257">
        <v>-9999</v>
      </c>
      <c r="AO1302" s="257">
        <v>-9999</v>
      </c>
      <c r="AP1302" s="257">
        <v>-9999</v>
      </c>
      <c r="AQ1302" s="257" t="s">
        <v>626</v>
      </c>
      <c r="AR1302" s="257">
        <f>+AR1301+150</f>
        <v>300</v>
      </c>
      <c r="AS1302" s="257" t="s">
        <v>562</v>
      </c>
      <c r="AT1302" s="257" t="s">
        <v>563</v>
      </c>
      <c r="AU1302" s="257">
        <v>50</v>
      </c>
      <c r="AV1302" s="257" t="s">
        <v>1198</v>
      </c>
      <c r="AW1302" s="257" t="s">
        <v>1199</v>
      </c>
      <c r="AX1302" s="257">
        <v>0</v>
      </c>
      <c r="AY1302" s="257">
        <v>-9999</v>
      </c>
      <c r="AZ1302" s="257" t="s">
        <v>563</v>
      </c>
      <c r="BA1302" s="257">
        <v>-9999</v>
      </c>
      <c r="BB1302" s="257" t="s">
        <v>626</v>
      </c>
      <c r="BC1302" s="257" t="s">
        <v>881</v>
      </c>
      <c r="BD1302" s="257" t="s">
        <v>577</v>
      </c>
      <c r="BE1302" s="257" t="s">
        <v>578</v>
      </c>
      <c r="BF1302" s="257">
        <v>-9999</v>
      </c>
      <c r="BG1302" s="257">
        <v>-9999</v>
      </c>
      <c r="BH1302" s="257">
        <v>-9999</v>
      </c>
      <c r="BI1302" s="257">
        <v>-9999</v>
      </c>
      <c r="BJ1302" s="257">
        <v>-9999</v>
      </c>
      <c r="BK1302" s="257">
        <v>-9999</v>
      </c>
      <c r="BL1302" s="257">
        <v>-9999</v>
      </c>
      <c r="BM1302" s="257">
        <v>-9999</v>
      </c>
      <c r="BN1302" s="257">
        <v>-9999</v>
      </c>
      <c r="BO1302" s="257">
        <v>-9999</v>
      </c>
      <c r="BP1302" s="257">
        <v>-9999</v>
      </c>
      <c r="BQ1302" s="257">
        <v>-9999</v>
      </c>
      <c r="BR1302" s="257">
        <v>-9999</v>
      </c>
      <c r="BS1302" s="263">
        <v>-9999</v>
      </c>
      <c r="BT1302" s="257">
        <v>-9999</v>
      </c>
      <c r="BU1302" s="257">
        <v>-9999</v>
      </c>
      <c r="BV1302" s="257">
        <v>-9999</v>
      </c>
      <c r="BW1302" s="257"/>
      <c r="BX1302" s="257">
        <v>-9999</v>
      </c>
      <c r="BY1302" s="257">
        <v>-9999</v>
      </c>
      <c r="BZ1302" s="257">
        <v>-9999</v>
      </c>
      <c r="CA1302" s="300" t="s">
        <v>895</v>
      </c>
      <c r="CB1302" s="264"/>
      <c r="CC1302" s="257">
        <v>1</v>
      </c>
      <c r="CD1302" s="257">
        <v>2</v>
      </c>
      <c r="CE1302" s="292">
        <v>9.81</v>
      </c>
      <c r="CF1302" s="292">
        <v>14.020000000000001</v>
      </c>
      <c r="CG1302" s="43">
        <v>2</v>
      </c>
    </row>
    <row r="1303" spans="1:1873" s="13" customFormat="1" x14ac:dyDescent="0.2">
      <c r="A1303" s="259" t="s">
        <v>569</v>
      </c>
      <c r="B1303" s="259" t="s">
        <v>570</v>
      </c>
      <c r="C1303" s="259" t="s">
        <v>573</v>
      </c>
      <c r="D1303" s="259" t="s">
        <v>1254</v>
      </c>
      <c r="E1303" s="259" t="s">
        <v>882</v>
      </c>
      <c r="F1303" s="259">
        <v>1</v>
      </c>
      <c r="G1303" s="259">
        <v>3</v>
      </c>
      <c r="H1303" s="259">
        <v>3</v>
      </c>
      <c r="I1303" s="259" t="s">
        <v>575</v>
      </c>
      <c r="J1303" s="259">
        <v>1988</v>
      </c>
      <c r="K1303" s="266" t="s">
        <v>575</v>
      </c>
      <c r="L1303" s="259">
        <v>1991</v>
      </c>
      <c r="M1303" s="288">
        <v>-9999</v>
      </c>
      <c r="N1303" s="259">
        <v>-9999</v>
      </c>
      <c r="O1303" s="18"/>
      <c r="P1303" s="288">
        <v>35.93</v>
      </c>
      <c r="Q1303" s="289">
        <v>6.95</v>
      </c>
      <c r="R1303" s="288"/>
      <c r="S1303" s="289"/>
      <c r="T1303" s="590">
        <f>+P1303/H1303</f>
        <v>11.976666666666667</v>
      </c>
      <c r="U1303" s="259">
        <v>-9999</v>
      </c>
      <c r="V1303" s="259"/>
      <c r="W1303" s="590">
        <f>+P1303-P1302</f>
        <v>16.309999999999999</v>
      </c>
      <c r="X1303" s="259">
        <v>-9999</v>
      </c>
      <c r="Y1303" s="259"/>
      <c r="Z1303" s="259" t="s">
        <v>576</v>
      </c>
      <c r="AA1303" s="259">
        <v>3333</v>
      </c>
      <c r="AB1303" s="288">
        <v>-9999</v>
      </c>
      <c r="AC1303" s="288">
        <v>0.94</v>
      </c>
      <c r="AD1303" s="260">
        <v>625</v>
      </c>
      <c r="AE1303" s="259" t="s">
        <v>280</v>
      </c>
      <c r="AF1303" s="259">
        <v>3</v>
      </c>
      <c r="AG1303" s="259">
        <v>2</v>
      </c>
      <c r="AH1303" s="259" t="s">
        <v>876</v>
      </c>
      <c r="AI1303" s="259" t="s">
        <v>985</v>
      </c>
      <c r="AJ1303" s="259">
        <v>-9999</v>
      </c>
      <c r="AK1303" s="259">
        <v>-9999</v>
      </c>
      <c r="AL1303" s="259">
        <v>-9999</v>
      </c>
      <c r="AM1303" s="259">
        <v>-9999</v>
      </c>
      <c r="AN1303" s="259">
        <v>-9999</v>
      </c>
      <c r="AO1303" s="259">
        <v>-9999</v>
      </c>
      <c r="AP1303" s="259">
        <v>-9999</v>
      </c>
      <c r="AQ1303" s="259" t="s">
        <v>626</v>
      </c>
      <c r="AR1303" s="259">
        <f>+AR1302+150</f>
        <v>450</v>
      </c>
      <c r="AS1303" s="259" t="s">
        <v>562</v>
      </c>
      <c r="AT1303" s="259" t="s">
        <v>563</v>
      </c>
      <c r="AU1303" s="259">
        <v>50</v>
      </c>
      <c r="AV1303" s="259" t="s">
        <v>1198</v>
      </c>
      <c r="AW1303" s="259" t="s">
        <v>1199</v>
      </c>
      <c r="AX1303" s="259">
        <v>0</v>
      </c>
      <c r="AY1303" s="259">
        <v>-9999</v>
      </c>
      <c r="AZ1303" s="259" t="s">
        <v>563</v>
      </c>
      <c r="BA1303" s="259">
        <v>-9999</v>
      </c>
      <c r="BB1303" s="259" t="s">
        <v>626</v>
      </c>
      <c r="BC1303" s="259" t="s">
        <v>881</v>
      </c>
      <c r="BD1303" s="259" t="s">
        <v>577</v>
      </c>
      <c r="BE1303" s="259" t="s">
        <v>578</v>
      </c>
      <c r="BF1303" s="259">
        <v>-9999</v>
      </c>
      <c r="BG1303" s="259">
        <v>-9999</v>
      </c>
      <c r="BH1303" s="259">
        <v>-9999</v>
      </c>
      <c r="BI1303" s="259">
        <v>-9999</v>
      </c>
      <c r="BJ1303" s="259">
        <v>-9999</v>
      </c>
      <c r="BK1303" s="259">
        <v>-9999</v>
      </c>
      <c r="BL1303" s="259">
        <v>-9999</v>
      </c>
      <c r="BM1303" s="259">
        <v>-9999</v>
      </c>
      <c r="BN1303" s="259">
        <v>-9999</v>
      </c>
      <c r="BO1303" s="259">
        <v>-9999</v>
      </c>
      <c r="BP1303" s="259">
        <v>-9999</v>
      </c>
      <c r="BQ1303" s="259">
        <v>-9999</v>
      </c>
      <c r="BR1303" s="259">
        <v>-9999</v>
      </c>
      <c r="BS1303" s="260">
        <v>-9999</v>
      </c>
      <c r="BT1303" s="259">
        <v>-9999</v>
      </c>
      <c r="BU1303" s="259">
        <v>-9999</v>
      </c>
      <c r="BV1303" s="259">
        <v>-9999</v>
      </c>
      <c r="BW1303" s="259"/>
      <c r="BX1303" s="259">
        <v>-9999</v>
      </c>
      <c r="BY1303" s="259">
        <v>-9999</v>
      </c>
      <c r="BZ1303" s="259">
        <v>-9999</v>
      </c>
      <c r="CA1303" s="337" t="s">
        <v>895</v>
      </c>
      <c r="CB1303" s="592"/>
      <c r="CC1303" s="259">
        <v>1</v>
      </c>
      <c r="CD1303" s="259">
        <v>3</v>
      </c>
      <c r="CE1303" s="99">
        <v>11.976666666666667</v>
      </c>
      <c r="CF1303" s="99">
        <v>16.309999999999999</v>
      </c>
      <c r="CG1303" s="38">
        <v>3</v>
      </c>
    </row>
    <row r="1304" spans="1:1873" s="23" customFormat="1" x14ac:dyDescent="0.2">
      <c r="A1304" s="257"/>
      <c r="B1304" s="257"/>
      <c r="C1304" s="257"/>
      <c r="D1304" s="257"/>
      <c r="E1304" s="257"/>
      <c r="F1304" s="257"/>
      <c r="G1304" s="257"/>
      <c r="H1304" s="257"/>
      <c r="I1304" s="257"/>
      <c r="J1304" s="257"/>
      <c r="K1304" s="604"/>
      <c r="L1304" s="257"/>
      <c r="M1304" s="261"/>
      <c r="N1304" s="257"/>
      <c r="O1304" s="29"/>
      <c r="P1304" s="261"/>
      <c r="Q1304" s="296"/>
      <c r="R1304" s="261"/>
      <c r="S1304" s="296"/>
      <c r="T1304" s="370"/>
      <c r="U1304" s="257"/>
      <c r="V1304" s="257"/>
      <c r="W1304" s="370"/>
      <c r="X1304" s="257"/>
      <c r="Y1304" s="257"/>
      <c r="Z1304" s="257"/>
      <c r="AA1304" s="257"/>
      <c r="AB1304" s="261"/>
      <c r="AC1304" s="261"/>
      <c r="AD1304" s="263"/>
      <c r="AE1304" s="257"/>
      <c r="AF1304" s="257"/>
      <c r="AG1304" s="257"/>
      <c r="AH1304" s="257"/>
      <c r="AI1304" s="257"/>
      <c r="AJ1304" s="257"/>
      <c r="AK1304" s="257"/>
      <c r="AL1304" s="257"/>
      <c r="AM1304" s="257"/>
      <c r="AN1304" s="257"/>
      <c r="AO1304" s="257"/>
      <c r="AP1304" s="257"/>
      <c r="AQ1304" s="257"/>
      <c r="AR1304" s="257"/>
      <c r="AS1304" s="257"/>
      <c r="AT1304" s="257"/>
      <c r="AU1304" s="257"/>
      <c r="AV1304" s="257"/>
      <c r="AW1304" s="257"/>
      <c r="AX1304" s="257"/>
      <c r="AY1304" s="257"/>
      <c r="AZ1304" s="257"/>
      <c r="BA1304" s="257"/>
      <c r="BB1304" s="257"/>
      <c r="BC1304" s="257"/>
      <c r="BD1304" s="257"/>
      <c r="BE1304" s="257"/>
      <c r="BF1304" s="257"/>
      <c r="BG1304" s="257"/>
      <c r="BH1304" s="257"/>
      <c r="BI1304" s="257"/>
      <c r="BJ1304" s="257"/>
      <c r="BK1304" s="257"/>
      <c r="BL1304" s="257"/>
      <c r="BM1304" s="257"/>
      <c r="BN1304" s="257"/>
      <c r="BO1304" s="257"/>
      <c r="BP1304" s="257"/>
      <c r="BQ1304" s="257"/>
      <c r="BR1304" s="257"/>
      <c r="BS1304" s="263"/>
      <c r="BT1304" s="257"/>
      <c r="BU1304" s="257"/>
      <c r="BV1304" s="257"/>
      <c r="BW1304" s="257"/>
      <c r="BX1304" s="257"/>
      <c r="BY1304" s="257"/>
      <c r="BZ1304" s="257"/>
      <c r="CA1304" s="300"/>
      <c r="CB1304" s="264"/>
      <c r="CC1304" s="257"/>
      <c r="CD1304" s="257"/>
      <c r="CE1304" s="342" t="s">
        <v>1576</v>
      </c>
      <c r="CF1304" s="342" t="s">
        <v>1575</v>
      </c>
      <c r="CG1304" s="43"/>
    </row>
    <row r="1305" spans="1:1873" s="23" customFormat="1" x14ac:dyDescent="0.2">
      <c r="A1305" s="257" t="s">
        <v>569</v>
      </c>
      <c r="B1305" s="257" t="s">
        <v>570</v>
      </c>
      <c r="C1305" s="257" t="s">
        <v>574</v>
      </c>
      <c r="D1305" s="257" t="s">
        <v>1254</v>
      </c>
      <c r="E1305" s="257" t="s">
        <v>882</v>
      </c>
      <c r="F1305" s="257">
        <v>1</v>
      </c>
      <c r="G1305" s="257">
        <v>1</v>
      </c>
      <c r="H1305" s="257">
        <v>1</v>
      </c>
      <c r="I1305" s="257" t="s">
        <v>575</v>
      </c>
      <c r="J1305" s="257">
        <v>1988</v>
      </c>
      <c r="K1305" s="604" t="s">
        <v>575</v>
      </c>
      <c r="L1305" s="257">
        <v>1991</v>
      </c>
      <c r="M1305" s="261">
        <v>-9999</v>
      </c>
      <c r="N1305" s="257">
        <v>-9999</v>
      </c>
      <c r="O1305" s="29"/>
      <c r="P1305" s="261">
        <v>5.93</v>
      </c>
      <c r="Q1305" s="296">
        <v>1.02</v>
      </c>
      <c r="R1305" s="261"/>
      <c r="S1305" s="296"/>
      <c r="T1305" s="370">
        <f>+P1305/H1305</f>
        <v>5.93</v>
      </c>
      <c r="U1305" s="257">
        <v>-9999</v>
      </c>
      <c r="V1305" s="257"/>
      <c r="W1305" s="261">
        <v>-9999</v>
      </c>
      <c r="X1305" s="257">
        <v>-9999</v>
      </c>
      <c r="Y1305" s="257"/>
      <c r="Z1305" s="257" t="s">
        <v>576</v>
      </c>
      <c r="AA1305" s="257">
        <v>3333</v>
      </c>
      <c r="AB1305" s="261">
        <v>-9999</v>
      </c>
      <c r="AC1305" s="261">
        <v>0.94</v>
      </c>
      <c r="AD1305" s="263">
        <v>625</v>
      </c>
      <c r="AE1305" s="327" t="s">
        <v>280</v>
      </c>
      <c r="AF1305" s="257">
        <v>3</v>
      </c>
      <c r="AG1305" s="257">
        <v>2</v>
      </c>
      <c r="AH1305" s="257" t="s">
        <v>876</v>
      </c>
      <c r="AI1305" s="257" t="s">
        <v>985</v>
      </c>
      <c r="AJ1305" s="257">
        <v>-9999</v>
      </c>
      <c r="AK1305" s="257">
        <v>-9999</v>
      </c>
      <c r="AL1305" s="257">
        <v>-9999</v>
      </c>
      <c r="AM1305" s="257">
        <v>-9999</v>
      </c>
      <c r="AN1305" s="257">
        <v>-9999</v>
      </c>
      <c r="AO1305" s="257">
        <v>-9999</v>
      </c>
      <c r="AP1305" s="257">
        <v>-9999</v>
      </c>
      <c r="AQ1305" s="257" t="s">
        <v>626</v>
      </c>
      <c r="AR1305" s="257">
        <v>50</v>
      </c>
      <c r="AS1305" s="257" t="s">
        <v>562</v>
      </c>
      <c r="AT1305" s="257" t="s">
        <v>941</v>
      </c>
      <c r="AU1305" s="257">
        <v>50</v>
      </c>
      <c r="AV1305" s="257" t="s">
        <v>1198</v>
      </c>
      <c r="AW1305" s="257" t="s">
        <v>1199</v>
      </c>
      <c r="AX1305" s="257">
        <v>0</v>
      </c>
      <c r="AY1305" s="257">
        <v>-9999</v>
      </c>
      <c r="AZ1305" s="257" t="s">
        <v>1200</v>
      </c>
      <c r="BA1305" s="257">
        <v>-9999</v>
      </c>
      <c r="BB1305" s="257" t="s">
        <v>626</v>
      </c>
      <c r="BC1305" s="257" t="s">
        <v>881</v>
      </c>
      <c r="BD1305" s="257" t="s">
        <v>577</v>
      </c>
      <c r="BE1305" s="257" t="s">
        <v>578</v>
      </c>
      <c r="BF1305" s="257">
        <v>-9999</v>
      </c>
      <c r="BG1305" s="257">
        <v>-9999</v>
      </c>
      <c r="BH1305" s="257">
        <v>-9999</v>
      </c>
      <c r="BI1305" s="257">
        <v>-9999</v>
      </c>
      <c r="BJ1305" s="257">
        <v>-9999</v>
      </c>
      <c r="BK1305" s="257">
        <v>-9999</v>
      </c>
      <c r="BL1305" s="257">
        <v>-9999</v>
      </c>
      <c r="BM1305" s="257">
        <v>-9999</v>
      </c>
      <c r="BN1305" s="257">
        <v>-9999</v>
      </c>
      <c r="BO1305" s="257">
        <v>-9999</v>
      </c>
      <c r="BP1305" s="257">
        <v>-9999</v>
      </c>
      <c r="BQ1305" s="257">
        <v>-9999</v>
      </c>
      <c r="BR1305" s="257">
        <v>-9999</v>
      </c>
      <c r="BS1305" s="263">
        <v>-9999</v>
      </c>
      <c r="BT1305" s="257">
        <v>-9999</v>
      </c>
      <c r="BU1305" s="257">
        <v>-9999</v>
      </c>
      <c r="BV1305" s="257">
        <v>-9999</v>
      </c>
      <c r="BW1305" s="257"/>
      <c r="BX1305" s="257">
        <v>-9999</v>
      </c>
      <c r="BY1305" s="257">
        <v>-9999</v>
      </c>
      <c r="BZ1305" s="257">
        <v>-9999</v>
      </c>
      <c r="CA1305" s="300" t="s">
        <v>895</v>
      </c>
      <c r="CB1305" s="264"/>
      <c r="CC1305" s="257">
        <v>1</v>
      </c>
      <c r="CD1305" s="257">
        <v>1</v>
      </c>
      <c r="CE1305" s="292">
        <v>5.93</v>
      </c>
      <c r="CF1305" s="292"/>
      <c r="CG1305" s="43">
        <v>1</v>
      </c>
    </row>
    <row r="1306" spans="1:1873" s="23" customFormat="1" x14ac:dyDescent="0.2">
      <c r="A1306" s="257" t="s">
        <v>569</v>
      </c>
      <c r="B1306" s="257" t="s">
        <v>570</v>
      </c>
      <c r="C1306" s="257" t="s">
        <v>574</v>
      </c>
      <c r="D1306" s="257" t="s">
        <v>1254</v>
      </c>
      <c r="E1306" s="257" t="s">
        <v>882</v>
      </c>
      <c r="F1306" s="257">
        <v>1</v>
      </c>
      <c r="G1306" s="257">
        <v>2</v>
      </c>
      <c r="H1306" s="257">
        <v>2</v>
      </c>
      <c r="I1306" s="257" t="s">
        <v>575</v>
      </c>
      <c r="J1306" s="257">
        <v>1988</v>
      </c>
      <c r="K1306" s="604" t="s">
        <v>575</v>
      </c>
      <c r="L1306" s="257">
        <v>1991</v>
      </c>
      <c r="M1306" s="261">
        <v>-9999</v>
      </c>
      <c r="N1306" s="257">
        <v>-9999</v>
      </c>
      <c r="O1306" s="29"/>
      <c r="P1306" s="261">
        <v>23.69</v>
      </c>
      <c r="Q1306" s="296">
        <v>2.4500000000000002</v>
      </c>
      <c r="R1306" s="261"/>
      <c r="S1306" s="296"/>
      <c r="T1306" s="370">
        <f>+P1306/H1306</f>
        <v>11.845000000000001</v>
      </c>
      <c r="U1306" s="257">
        <v>-9999</v>
      </c>
      <c r="V1306" s="257"/>
      <c r="W1306" s="370">
        <f>+P1306-P1305</f>
        <v>17.760000000000002</v>
      </c>
      <c r="X1306" s="257">
        <v>-9999</v>
      </c>
      <c r="Y1306" s="257"/>
      <c r="Z1306" s="257" t="s">
        <v>576</v>
      </c>
      <c r="AA1306" s="257">
        <v>3333</v>
      </c>
      <c r="AB1306" s="261">
        <v>-9999</v>
      </c>
      <c r="AC1306" s="261">
        <v>0.94</v>
      </c>
      <c r="AD1306" s="263">
        <v>625</v>
      </c>
      <c r="AE1306" s="327" t="s">
        <v>280</v>
      </c>
      <c r="AF1306" s="257">
        <v>3</v>
      </c>
      <c r="AG1306" s="257">
        <v>2</v>
      </c>
      <c r="AH1306" s="257" t="s">
        <v>876</v>
      </c>
      <c r="AI1306" s="257" t="s">
        <v>985</v>
      </c>
      <c r="AJ1306" s="257">
        <v>-9999</v>
      </c>
      <c r="AK1306" s="257">
        <v>-9999</v>
      </c>
      <c r="AL1306" s="257">
        <v>-9999</v>
      </c>
      <c r="AM1306" s="257">
        <v>-9999</v>
      </c>
      <c r="AN1306" s="257">
        <v>-9999</v>
      </c>
      <c r="AO1306" s="257">
        <v>-9999</v>
      </c>
      <c r="AP1306" s="257">
        <v>-9999</v>
      </c>
      <c r="AQ1306" s="257" t="s">
        <v>626</v>
      </c>
      <c r="AR1306" s="257">
        <f>+AR1305+150</f>
        <v>200</v>
      </c>
      <c r="AS1306" s="257" t="s">
        <v>562</v>
      </c>
      <c r="AT1306" s="257" t="s">
        <v>942</v>
      </c>
      <c r="AU1306" s="257">
        <v>50</v>
      </c>
      <c r="AV1306" s="257" t="s">
        <v>1198</v>
      </c>
      <c r="AW1306" s="257" t="s">
        <v>1199</v>
      </c>
      <c r="AX1306" s="257">
        <v>0</v>
      </c>
      <c r="AY1306" s="257">
        <v>-9999</v>
      </c>
      <c r="AZ1306" s="257" t="s">
        <v>1200</v>
      </c>
      <c r="BA1306" s="257">
        <v>-9999</v>
      </c>
      <c r="BB1306" s="257" t="s">
        <v>626</v>
      </c>
      <c r="BC1306" s="257" t="s">
        <v>881</v>
      </c>
      <c r="BD1306" s="257" t="s">
        <v>577</v>
      </c>
      <c r="BE1306" s="257" t="s">
        <v>578</v>
      </c>
      <c r="BF1306" s="257">
        <v>-9999</v>
      </c>
      <c r="BG1306" s="257">
        <v>-9999</v>
      </c>
      <c r="BH1306" s="257">
        <v>-9999</v>
      </c>
      <c r="BI1306" s="257">
        <v>-9999</v>
      </c>
      <c r="BJ1306" s="257">
        <v>-9999</v>
      </c>
      <c r="BK1306" s="257">
        <v>-9999</v>
      </c>
      <c r="BL1306" s="257">
        <v>-9999</v>
      </c>
      <c r="BM1306" s="257">
        <v>-9999</v>
      </c>
      <c r="BN1306" s="257">
        <v>-9999</v>
      </c>
      <c r="BO1306" s="257">
        <v>-9999</v>
      </c>
      <c r="BP1306" s="257">
        <v>-9999</v>
      </c>
      <c r="BQ1306" s="257">
        <v>-9999</v>
      </c>
      <c r="BR1306" s="257">
        <v>-9999</v>
      </c>
      <c r="BS1306" s="263">
        <v>-9999</v>
      </c>
      <c r="BT1306" s="257">
        <v>-9999</v>
      </c>
      <c r="BU1306" s="257">
        <v>-9999</v>
      </c>
      <c r="BV1306" s="257">
        <v>-9999</v>
      </c>
      <c r="BW1306" s="257"/>
      <c r="BX1306" s="257">
        <v>-9999</v>
      </c>
      <c r="BY1306" s="257">
        <v>-9999</v>
      </c>
      <c r="BZ1306" s="257">
        <v>-9999</v>
      </c>
      <c r="CA1306" s="300" t="s">
        <v>895</v>
      </c>
      <c r="CB1306" s="264"/>
      <c r="CC1306" s="257">
        <v>1</v>
      </c>
      <c r="CD1306" s="257">
        <v>2</v>
      </c>
      <c r="CE1306" s="292">
        <v>11.845000000000001</v>
      </c>
      <c r="CF1306" s="292">
        <v>17.760000000000002</v>
      </c>
      <c r="CG1306" s="43">
        <v>2</v>
      </c>
    </row>
    <row r="1307" spans="1:1873" s="215" customFormat="1" x14ac:dyDescent="0.2">
      <c r="A1307" s="259" t="s">
        <v>569</v>
      </c>
      <c r="B1307" s="259" t="s">
        <v>570</v>
      </c>
      <c r="C1307" s="259" t="s">
        <v>574</v>
      </c>
      <c r="D1307" s="259" t="s">
        <v>1254</v>
      </c>
      <c r="E1307" s="259" t="s">
        <v>882</v>
      </c>
      <c r="F1307" s="259">
        <v>1</v>
      </c>
      <c r="G1307" s="259">
        <v>3</v>
      </c>
      <c r="H1307" s="259">
        <v>3</v>
      </c>
      <c r="I1307" s="259" t="s">
        <v>575</v>
      </c>
      <c r="J1307" s="259">
        <v>1988</v>
      </c>
      <c r="K1307" s="266" t="s">
        <v>575</v>
      </c>
      <c r="L1307" s="259">
        <v>1991</v>
      </c>
      <c r="M1307" s="288">
        <v>-9999</v>
      </c>
      <c r="N1307" s="259">
        <v>-9999</v>
      </c>
      <c r="O1307" s="18"/>
      <c r="P1307" s="288">
        <v>43.44</v>
      </c>
      <c r="Q1307" s="289">
        <v>5.75</v>
      </c>
      <c r="R1307" s="288"/>
      <c r="S1307" s="289"/>
      <c r="T1307" s="590">
        <f>+P1307/H1307</f>
        <v>14.479999999999999</v>
      </c>
      <c r="U1307" s="259">
        <v>-9999</v>
      </c>
      <c r="V1307" s="259"/>
      <c r="W1307" s="590">
        <f>+P1307-P1306</f>
        <v>19.749999999999996</v>
      </c>
      <c r="X1307" s="259">
        <v>-9999</v>
      </c>
      <c r="Y1307" s="259"/>
      <c r="Z1307" s="259" t="s">
        <v>576</v>
      </c>
      <c r="AA1307" s="259">
        <v>3333</v>
      </c>
      <c r="AB1307" s="288">
        <v>-9999</v>
      </c>
      <c r="AC1307" s="288">
        <v>0.94</v>
      </c>
      <c r="AD1307" s="260">
        <v>625</v>
      </c>
      <c r="AE1307" s="259" t="s">
        <v>280</v>
      </c>
      <c r="AF1307" s="259">
        <v>3</v>
      </c>
      <c r="AG1307" s="259">
        <v>2</v>
      </c>
      <c r="AH1307" s="259" t="s">
        <v>876</v>
      </c>
      <c r="AI1307" s="259" t="s">
        <v>985</v>
      </c>
      <c r="AJ1307" s="259">
        <v>-9999</v>
      </c>
      <c r="AK1307" s="259">
        <v>-9999</v>
      </c>
      <c r="AL1307" s="259">
        <v>-9999</v>
      </c>
      <c r="AM1307" s="259">
        <v>-9999</v>
      </c>
      <c r="AN1307" s="259">
        <v>-9999</v>
      </c>
      <c r="AO1307" s="259">
        <v>-9999</v>
      </c>
      <c r="AP1307" s="259">
        <v>-9999</v>
      </c>
      <c r="AQ1307" s="259" t="s">
        <v>626</v>
      </c>
      <c r="AR1307" s="259">
        <f>+AR1306+250</f>
        <v>450</v>
      </c>
      <c r="AS1307" s="259" t="s">
        <v>562</v>
      </c>
      <c r="AT1307" s="259" t="s">
        <v>943</v>
      </c>
      <c r="AU1307" s="259">
        <v>50</v>
      </c>
      <c r="AV1307" s="259" t="s">
        <v>1198</v>
      </c>
      <c r="AW1307" s="259" t="s">
        <v>1199</v>
      </c>
      <c r="AX1307" s="259">
        <v>0</v>
      </c>
      <c r="AY1307" s="259">
        <v>-9999</v>
      </c>
      <c r="AZ1307" s="259" t="s">
        <v>1200</v>
      </c>
      <c r="BA1307" s="259">
        <v>-9999</v>
      </c>
      <c r="BB1307" s="259" t="s">
        <v>626</v>
      </c>
      <c r="BC1307" s="259" t="s">
        <v>881</v>
      </c>
      <c r="BD1307" s="259" t="s">
        <v>577</v>
      </c>
      <c r="BE1307" s="259" t="s">
        <v>578</v>
      </c>
      <c r="BF1307" s="259">
        <v>-9999</v>
      </c>
      <c r="BG1307" s="259">
        <v>-9999</v>
      </c>
      <c r="BH1307" s="259">
        <v>-9999</v>
      </c>
      <c r="BI1307" s="259">
        <v>-9999</v>
      </c>
      <c r="BJ1307" s="259">
        <v>-9999</v>
      </c>
      <c r="BK1307" s="259">
        <v>-9999</v>
      </c>
      <c r="BL1307" s="259">
        <v>-9999</v>
      </c>
      <c r="BM1307" s="259">
        <v>-9999</v>
      </c>
      <c r="BN1307" s="259">
        <v>-9999</v>
      </c>
      <c r="BO1307" s="259">
        <v>-9999</v>
      </c>
      <c r="BP1307" s="259">
        <v>-9999</v>
      </c>
      <c r="BQ1307" s="259">
        <v>-9999</v>
      </c>
      <c r="BR1307" s="259">
        <v>-9999</v>
      </c>
      <c r="BS1307" s="260">
        <v>-9999</v>
      </c>
      <c r="BT1307" s="259">
        <v>-9999</v>
      </c>
      <c r="BU1307" s="259">
        <v>-9999</v>
      </c>
      <c r="BV1307" s="259">
        <v>-9999</v>
      </c>
      <c r="BW1307" s="259"/>
      <c r="BX1307" s="259">
        <v>-9999</v>
      </c>
      <c r="BY1307" s="259">
        <v>-9999</v>
      </c>
      <c r="BZ1307" s="259">
        <v>-9999</v>
      </c>
      <c r="CA1307" s="337" t="s">
        <v>895</v>
      </c>
      <c r="CB1307" s="592"/>
      <c r="CC1307" s="259">
        <v>1</v>
      </c>
      <c r="CD1307" s="259">
        <v>3</v>
      </c>
      <c r="CE1307" s="99">
        <v>14.479999999999999</v>
      </c>
      <c r="CF1307" s="99">
        <v>19.749999999999996</v>
      </c>
      <c r="CG1307" s="211">
        <v>3</v>
      </c>
      <c r="CH1307" s="13" t="s">
        <v>1757</v>
      </c>
      <c r="CI1307" s="13"/>
      <c r="CJ1307" s="13"/>
      <c r="CK1307" s="13"/>
      <c r="CL1307" s="13"/>
      <c r="CM1307" s="13"/>
      <c r="CN1307" s="13"/>
      <c r="CO1307" s="13"/>
      <c r="CP1307" s="13"/>
      <c r="CQ1307" s="13"/>
      <c r="CR1307" s="13"/>
      <c r="CS1307" s="13"/>
      <c r="CT1307" s="13"/>
      <c r="CU1307" s="13"/>
      <c r="CV1307" s="13"/>
      <c r="CW1307" s="13"/>
      <c r="CX1307" s="13"/>
      <c r="CY1307" s="13"/>
      <c r="CZ1307" s="13"/>
      <c r="DA1307" s="13"/>
      <c r="DB1307" s="13"/>
      <c r="DC1307" s="13"/>
      <c r="DD1307" s="13"/>
      <c r="DE1307" s="13"/>
      <c r="DF1307" s="13"/>
      <c r="DG1307" s="13"/>
      <c r="DH1307" s="13"/>
      <c r="DI1307" s="13"/>
      <c r="DJ1307" s="13"/>
      <c r="DK1307" s="13"/>
      <c r="DL1307" s="13"/>
      <c r="DM1307" s="13"/>
      <c r="DN1307" s="13"/>
      <c r="DO1307" s="13"/>
      <c r="DP1307" s="13"/>
      <c r="DQ1307" s="13"/>
      <c r="DR1307" s="13"/>
      <c r="DS1307" s="13"/>
      <c r="DT1307" s="13"/>
      <c r="DU1307" s="13"/>
      <c r="DV1307" s="13"/>
      <c r="DW1307" s="13"/>
      <c r="DX1307" s="13"/>
      <c r="DY1307" s="13"/>
      <c r="DZ1307" s="13"/>
      <c r="EA1307" s="13"/>
      <c r="EB1307" s="13"/>
      <c r="EC1307" s="13"/>
      <c r="ED1307" s="13"/>
      <c r="EE1307" s="13"/>
      <c r="EF1307" s="13"/>
      <c r="EG1307" s="13"/>
      <c r="EH1307" s="13"/>
      <c r="EI1307" s="13"/>
      <c r="EJ1307" s="13"/>
      <c r="EK1307" s="13"/>
      <c r="EL1307" s="13"/>
      <c r="EM1307" s="13"/>
      <c r="EN1307" s="13"/>
      <c r="EO1307" s="13"/>
      <c r="EP1307" s="13"/>
      <c r="EQ1307" s="13"/>
      <c r="ER1307" s="13"/>
      <c r="ES1307" s="13"/>
      <c r="ET1307" s="13"/>
      <c r="EU1307" s="13"/>
      <c r="EV1307" s="13"/>
      <c r="EW1307" s="13"/>
      <c r="EX1307" s="13"/>
      <c r="EY1307" s="13"/>
      <c r="EZ1307" s="13"/>
      <c r="FA1307" s="13"/>
      <c r="FB1307" s="13"/>
      <c r="FC1307" s="13"/>
      <c r="FD1307" s="13"/>
      <c r="FE1307" s="13"/>
      <c r="FF1307" s="13"/>
      <c r="FG1307" s="13"/>
      <c r="FH1307" s="13"/>
      <c r="FI1307" s="13"/>
      <c r="FJ1307" s="13"/>
      <c r="FK1307" s="13"/>
      <c r="FL1307" s="13"/>
      <c r="FM1307" s="13"/>
      <c r="FN1307" s="13"/>
      <c r="FO1307" s="13"/>
      <c r="FP1307" s="13"/>
      <c r="FQ1307" s="13"/>
      <c r="FR1307" s="13"/>
      <c r="FS1307" s="13"/>
      <c r="FT1307" s="13"/>
      <c r="FU1307" s="13"/>
      <c r="FV1307" s="13"/>
      <c r="FW1307" s="13"/>
      <c r="FX1307" s="13"/>
      <c r="FY1307" s="13"/>
      <c r="FZ1307" s="13"/>
      <c r="GA1307" s="13"/>
      <c r="GB1307" s="13"/>
      <c r="GC1307" s="13"/>
      <c r="GD1307" s="13"/>
      <c r="GE1307" s="13"/>
      <c r="GF1307" s="13"/>
      <c r="GG1307" s="13"/>
      <c r="GH1307" s="13"/>
      <c r="GI1307" s="13"/>
      <c r="GJ1307" s="13"/>
      <c r="GK1307" s="13"/>
      <c r="GL1307" s="13"/>
      <c r="GM1307" s="13"/>
      <c r="GN1307" s="13"/>
      <c r="GO1307" s="13"/>
      <c r="GP1307" s="13"/>
      <c r="GQ1307" s="13"/>
      <c r="GR1307" s="13"/>
      <c r="GS1307" s="13"/>
      <c r="GT1307" s="13"/>
      <c r="GU1307" s="13"/>
      <c r="GV1307" s="13"/>
      <c r="GW1307" s="13"/>
      <c r="GX1307" s="13"/>
      <c r="GY1307" s="13"/>
      <c r="GZ1307" s="13"/>
      <c r="HA1307" s="13"/>
      <c r="HB1307" s="13"/>
      <c r="HC1307" s="13"/>
      <c r="HD1307" s="13"/>
      <c r="HE1307" s="13"/>
      <c r="HF1307" s="13"/>
      <c r="HG1307" s="13"/>
      <c r="HH1307" s="13"/>
      <c r="HI1307" s="13"/>
      <c r="HJ1307" s="13"/>
      <c r="HK1307" s="13"/>
      <c r="HL1307" s="13"/>
      <c r="HM1307" s="13"/>
      <c r="HN1307" s="13"/>
      <c r="HO1307" s="13"/>
      <c r="HP1307" s="13"/>
      <c r="HQ1307" s="13"/>
      <c r="HR1307" s="13"/>
      <c r="HS1307" s="13"/>
      <c r="HT1307" s="13"/>
      <c r="HU1307" s="13"/>
      <c r="HV1307" s="13"/>
      <c r="HW1307" s="13"/>
      <c r="HX1307" s="13"/>
      <c r="HY1307" s="13"/>
      <c r="HZ1307" s="13"/>
      <c r="IA1307" s="13"/>
      <c r="IB1307" s="13"/>
      <c r="IC1307" s="13"/>
      <c r="ID1307" s="13"/>
      <c r="IE1307" s="13"/>
      <c r="IF1307" s="13"/>
      <c r="IG1307" s="13"/>
      <c r="IH1307" s="13"/>
      <c r="II1307" s="13"/>
      <c r="IJ1307" s="13"/>
      <c r="IK1307" s="13"/>
      <c r="IL1307" s="13"/>
      <c r="IM1307" s="13"/>
      <c r="IN1307" s="13"/>
      <c r="IO1307" s="13"/>
      <c r="IP1307" s="13"/>
      <c r="IQ1307" s="13"/>
      <c r="IR1307" s="13"/>
      <c r="IS1307" s="13"/>
      <c r="IT1307" s="13"/>
      <c r="IU1307" s="13"/>
      <c r="IV1307" s="13"/>
      <c r="IW1307" s="13"/>
      <c r="IX1307" s="13"/>
      <c r="IY1307" s="13"/>
      <c r="IZ1307" s="13"/>
      <c r="JA1307" s="13"/>
      <c r="JB1307" s="13"/>
      <c r="JC1307" s="13"/>
      <c r="JD1307" s="13"/>
      <c r="JE1307" s="13"/>
      <c r="JF1307" s="13"/>
      <c r="JG1307" s="13"/>
      <c r="JH1307" s="13"/>
      <c r="JI1307" s="13"/>
      <c r="JJ1307" s="13"/>
      <c r="JK1307" s="13"/>
      <c r="JL1307" s="13"/>
      <c r="JM1307" s="13"/>
      <c r="JN1307" s="13"/>
      <c r="JO1307" s="13"/>
      <c r="JP1307" s="13"/>
      <c r="JQ1307" s="13"/>
      <c r="JR1307" s="13"/>
      <c r="JS1307" s="13"/>
      <c r="JT1307" s="13"/>
      <c r="JU1307" s="13"/>
      <c r="JV1307" s="13"/>
      <c r="JW1307" s="13"/>
      <c r="JX1307" s="13"/>
      <c r="JY1307" s="13"/>
      <c r="JZ1307" s="13"/>
      <c r="KA1307" s="13"/>
      <c r="KB1307" s="13"/>
      <c r="KC1307" s="13"/>
      <c r="KD1307" s="13"/>
      <c r="KE1307" s="13"/>
      <c r="KF1307" s="13"/>
      <c r="KG1307" s="13"/>
      <c r="KH1307" s="13"/>
      <c r="KI1307" s="13"/>
      <c r="KJ1307" s="13"/>
      <c r="KK1307" s="13"/>
      <c r="KL1307" s="13"/>
      <c r="KM1307" s="13"/>
      <c r="KN1307" s="13"/>
      <c r="KO1307" s="13"/>
      <c r="KP1307" s="13"/>
      <c r="KQ1307" s="13"/>
      <c r="KR1307" s="13"/>
      <c r="KS1307" s="13"/>
      <c r="KT1307" s="13"/>
      <c r="KU1307" s="13"/>
      <c r="KV1307" s="13"/>
      <c r="KW1307" s="13"/>
      <c r="KX1307" s="13"/>
      <c r="KY1307" s="13"/>
      <c r="KZ1307" s="13"/>
      <c r="LA1307" s="13"/>
      <c r="LB1307" s="13"/>
      <c r="LC1307" s="13"/>
      <c r="LD1307" s="13"/>
      <c r="LE1307" s="13"/>
      <c r="LF1307" s="13"/>
      <c r="LG1307" s="13"/>
      <c r="LH1307" s="13"/>
      <c r="LI1307" s="13"/>
      <c r="LJ1307" s="13"/>
      <c r="LK1307" s="13"/>
      <c r="LL1307" s="13"/>
      <c r="LM1307" s="13"/>
      <c r="LN1307" s="13"/>
      <c r="LO1307" s="13"/>
      <c r="LP1307" s="13"/>
      <c r="LQ1307" s="13"/>
      <c r="LR1307" s="13"/>
      <c r="LS1307" s="13"/>
      <c r="LT1307" s="13"/>
      <c r="LU1307" s="13"/>
      <c r="LV1307" s="13"/>
      <c r="LW1307" s="13"/>
      <c r="LX1307" s="13"/>
      <c r="LY1307" s="13"/>
      <c r="LZ1307" s="13"/>
      <c r="MA1307" s="13"/>
      <c r="MB1307" s="13"/>
      <c r="MC1307" s="13"/>
      <c r="MD1307" s="13"/>
      <c r="ME1307" s="13"/>
      <c r="MF1307" s="13"/>
      <c r="MG1307" s="13"/>
      <c r="MH1307" s="13"/>
      <c r="MI1307" s="13"/>
      <c r="MJ1307" s="13"/>
      <c r="MK1307" s="13"/>
      <c r="ML1307" s="13"/>
      <c r="MM1307" s="13"/>
      <c r="MN1307" s="13"/>
      <c r="MO1307" s="13"/>
      <c r="MP1307" s="13"/>
      <c r="MQ1307" s="13"/>
      <c r="MR1307" s="13"/>
      <c r="MS1307" s="13"/>
      <c r="MT1307" s="13"/>
      <c r="MU1307" s="13"/>
      <c r="MV1307" s="13"/>
      <c r="MW1307" s="13"/>
      <c r="MX1307" s="13"/>
      <c r="MY1307" s="13"/>
      <c r="MZ1307" s="13"/>
      <c r="NA1307" s="13"/>
      <c r="NB1307" s="13"/>
      <c r="NC1307" s="13"/>
      <c r="ND1307" s="13"/>
      <c r="NE1307" s="13"/>
      <c r="NF1307" s="13"/>
      <c r="NG1307" s="13"/>
      <c r="NH1307" s="13"/>
      <c r="NI1307" s="13"/>
      <c r="NJ1307" s="13"/>
      <c r="NK1307" s="13"/>
      <c r="NL1307" s="13"/>
      <c r="NM1307" s="13"/>
      <c r="NN1307" s="13"/>
      <c r="NO1307" s="13"/>
      <c r="NP1307" s="13"/>
      <c r="NQ1307" s="13"/>
      <c r="NR1307" s="13"/>
      <c r="NS1307" s="13"/>
      <c r="NT1307" s="13"/>
      <c r="NU1307" s="13"/>
      <c r="NV1307" s="13"/>
      <c r="NW1307" s="13"/>
      <c r="NX1307" s="13"/>
      <c r="NY1307" s="13"/>
      <c r="NZ1307" s="13"/>
      <c r="OA1307" s="13"/>
      <c r="OB1307" s="13"/>
      <c r="OC1307" s="13"/>
      <c r="OD1307" s="13"/>
      <c r="OE1307" s="13"/>
      <c r="OF1307" s="13"/>
      <c r="OG1307" s="13"/>
      <c r="OH1307" s="13"/>
      <c r="OI1307" s="13"/>
      <c r="OJ1307" s="13"/>
      <c r="OK1307" s="13"/>
      <c r="OL1307" s="13"/>
      <c r="OM1307" s="13"/>
      <c r="ON1307" s="13"/>
      <c r="OO1307" s="13"/>
      <c r="OP1307" s="13"/>
      <c r="OQ1307" s="13"/>
      <c r="OR1307" s="13"/>
      <c r="OS1307" s="13"/>
      <c r="OT1307" s="13"/>
      <c r="OU1307" s="13"/>
      <c r="OV1307" s="13"/>
      <c r="OW1307" s="13"/>
      <c r="OX1307" s="13"/>
      <c r="OY1307" s="13"/>
      <c r="OZ1307" s="13"/>
      <c r="PA1307" s="13"/>
      <c r="PB1307" s="13"/>
      <c r="PC1307" s="13"/>
      <c r="PD1307" s="13"/>
      <c r="PE1307" s="13"/>
      <c r="PF1307" s="13"/>
      <c r="PG1307" s="13"/>
      <c r="PH1307" s="13"/>
      <c r="PI1307" s="13"/>
      <c r="PJ1307" s="13"/>
      <c r="PK1307" s="13"/>
      <c r="PL1307" s="13"/>
      <c r="PM1307" s="13"/>
      <c r="PN1307" s="13"/>
      <c r="PO1307" s="13"/>
      <c r="PP1307" s="13"/>
      <c r="PQ1307" s="13"/>
      <c r="PR1307" s="13"/>
      <c r="PS1307" s="13"/>
      <c r="PT1307" s="13"/>
      <c r="PU1307" s="13"/>
      <c r="PV1307" s="13"/>
      <c r="PW1307" s="13"/>
      <c r="PX1307" s="13"/>
      <c r="PY1307" s="13"/>
      <c r="PZ1307" s="13"/>
      <c r="QA1307" s="13"/>
      <c r="QB1307" s="13"/>
      <c r="QC1307" s="13"/>
      <c r="QD1307" s="13"/>
      <c r="QE1307" s="13"/>
      <c r="QF1307" s="13"/>
      <c r="QG1307" s="13"/>
      <c r="QH1307" s="13"/>
      <c r="QI1307" s="13"/>
      <c r="QJ1307" s="13"/>
      <c r="QK1307" s="13"/>
      <c r="QL1307" s="13"/>
      <c r="QM1307" s="13"/>
      <c r="QN1307" s="13"/>
      <c r="QO1307" s="13"/>
      <c r="QP1307" s="13"/>
      <c r="QQ1307" s="13"/>
      <c r="QR1307" s="13"/>
      <c r="QS1307" s="13"/>
      <c r="QT1307" s="13"/>
      <c r="QU1307" s="13"/>
      <c r="QV1307" s="13"/>
      <c r="QW1307" s="13"/>
      <c r="QX1307" s="13"/>
      <c r="QY1307" s="13"/>
      <c r="QZ1307" s="13"/>
      <c r="RA1307" s="13"/>
      <c r="RB1307" s="13"/>
      <c r="RC1307" s="13"/>
      <c r="RD1307" s="13"/>
      <c r="RE1307" s="13"/>
      <c r="RF1307" s="13"/>
      <c r="RG1307" s="13"/>
      <c r="RH1307" s="13"/>
      <c r="RI1307" s="13"/>
      <c r="RJ1307" s="13"/>
      <c r="RK1307" s="13"/>
      <c r="RL1307" s="13"/>
      <c r="RM1307" s="13"/>
      <c r="RN1307" s="13"/>
      <c r="RO1307" s="13"/>
      <c r="RP1307" s="13"/>
      <c r="RQ1307" s="13"/>
      <c r="RR1307" s="13"/>
      <c r="RS1307" s="13"/>
      <c r="RT1307" s="13"/>
      <c r="RU1307" s="13"/>
      <c r="RV1307" s="13"/>
      <c r="RW1307" s="13"/>
      <c r="RX1307" s="13"/>
      <c r="RY1307" s="13"/>
      <c r="RZ1307" s="13"/>
      <c r="SA1307" s="13"/>
      <c r="SB1307" s="13"/>
      <c r="SC1307" s="13"/>
      <c r="SD1307" s="13"/>
      <c r="SE1307" s="13"/>
      <c r="SF1307" s="13"/>
      <c r="SG1307" s="13"/>
      <c r="SH1307" s="13"/>
      <c r="SI1307" s="13"/>
      <c r="SJ1307" s="13"/>
      <c r="SK1307" s="13"/>
      <c r="SL1307" s="13"/>
      <c r="SM1307" s="13"/>
      <c r="SN1307" s="13"/>
      <c r="SO1307" s="13"/>
      <c r="SP1307" s="13"/>
      <c r="SQ1307" s="13"/>
      <c r="SR1307" s="13"/>
      <c r="SS1307" s="13"/>
      <c r="ST1307" s="13"/>
      <c r="SU1307" s="13"/>
      <c r="SV1307" s="13"/>
      <c r="SW1307" s="13"/>
      <c r="SX1307" s="13"/>
      <c r="SY1307" s="13"/>
      <c r="SZ1307" s="13"/>
      <c r="TA1307" s="13"/>
      <c r="TB1307" s="13"/>
      <c r="TC1307" s="13"/>
      <c r="TD1307" s="13"/>
      <c r="TE1307" s="13"/>
      <c r="TF1307" s="13"/>
      <c r="TG1307" s="13"/>
      <c r="TH1307" s="13"/>
      <c r="TI1307" s="13"/>
      <c r="TJ1307" s="13"/>
      <c r="TK1307" s="13"/>
      <c r="TL1307" s="13"/>
      <c r="TM1307" s="13"/>
      <c r="TN1307" s="13"/>
      <c r="TO1307" s="13"/>
      <c r="TP1307" s="13"/>
      <c r="TQ1307" s="13"/>
      <c r="TR1307" s="13"/>
      <c r="TS1307" s="13"/>
      <c r="TT1307" s="13"/>
      <c r="TU1307" s="13"/>
      <c r="TV1307" s="13"/>
      <c r="TW1307" s="13"/>
      <c r="TX1307" s="13"/>
      <c r="TY1307" s="13"/>
      <c r="TZ1307" s="13"/>
      <c r="UA1307" s="13"/>
      <c r="UB1307" s="13"/>
      <c r="UC1307" s="13"/>
      <c r="UD1307" s="13"/>
      <c r="UE1307" s="13"/>
      <c r="UF1307" s="13"/>
      <c r="UG1307" s="13"/>
      <c r="UH1307" s="13"/>
      <c r="UI1307" s="13"/>
      <c r="UJ1307" s="13"/>
      <c r="UK1307" s="13"/>
      <c r="UL1307" s="13"/>
      <c r="UM1307" s="13"/>
      <c r="UN1307" s="13"/>
      <c r="UO1307" s="13"/>
      <c r="UP1307" s="13"/>
      <c r="UQ1307" s="13"/>
      <c r="UR1307" s="13"/>
      <c r="US1307" s="13"/>
      <c r="UT1307" s="13"/>
      <c r="UU1307" s="13"/>
      <c r="UV1307" s="13"/>
      <c r="UW1307" s="13"/>
      <c r="UX1307" s="13"/>
      <c r="UY1307" s="13"/>
      <c r="UZ1307" s="13"/>
      <c r="VA1307" s="13"/>
      <c r="VB1307" s="13"/>
      <c r="VC1307" s="13"/>
      <c r="VD1307" s="13"/>
      <c r="VE1307" s="13"/>
      <c r="VF1307" s="13"/>
      <c r="VG1307" s="13"/>
      <c r="VH1307" s="13"/>
      <c r="VI1307" s="13"/>
      <c r="VJ1307" s="13"/>
      <c r="VK1307" s="13"/>
      <c r="VL1307" s="13"/>
      <c r="VM1307" s="13"/>
      <c r="VN1307" s="13"/>
      <c r="VO1307" s="13"/>
      <c r="VP1307" s="13"/>
      <c r="VQ1307" s="13"/>
      <c r="VR1307" s="13"/>
      <c r="VS1307" s="13"/>
      <c r="VT1307" s="13"/>
      <c r="VU1307" s="13"/>
      <c r="VV1307" s="13"/>
      <c r="VW1307" s="13"/>
      <c r="VX1307" s="13"/>
      <c r="VY1307" s="13"/>
      <c r="VZ1307" s="13"/>
      <c r="WA1307" s="13"/>
      <c r="WB1307" s="13"/>
      <c r="WC1307" s="13"/>
      <c r="WD1307" s="13"/>
      <c r="WE1307" s="13"/>
      <c r="WF1307" s="13"/>
      <c r="WG1307" s="13"/>
      <c r="WH1307" s="13"/>
      <c r="WI1307" s="13"/>
      <c r="WJ1307" s="13"/>
      <c r="WK1307" s="13"/>
      <c r="WL1307" s="13"/>
      <c r="WM1307" s="13"/>
      <c r="WN1307" s="13"/>
      <c r="WO1307" s="13"/>
      <c r="WP1307" s="13"/>
      <c r="WQ1307" s="13"/>
      <c r="WR1307" s="13"/>
      <c r="WS1307" s="13"/>
      <c r="WT1307" s="13"/>
      <c r="WU1307" s="13"/>
      <c r="WV1307" s="13"/>
      <c r="WW1307" s="13"/>
      <c r="WX1307" s="13"/>
      <c r="WY1307" s="13"/>
      <c r="WZ1307" s="13"/>
      <c r="XA1307" s="13"/>
      <c r="XB1307" s="13"/>
      <c r="XC1307" s="13"/>
      <c r="XD1307" s="13"/>
      <c r="XE1307" s="13"/>
      <c r="XF1307" s="13"/>
      <c r="XG1307" s="13"/>
      <c r="XH1307" s="13"/>
      <c r="XI1307" s="13"/>
      <c r="XJ1307" s="13"/>
      <c r="XK1307" s="13"/>
      <c r="XL1307" s="13"/>
      <c r="XM1307" s="13"/>
      <c r="XN1307" s="13"/>
      <c r="XO1307" s="13"/>
      <c r="XP1307" s="13"/>
      <c r="XQ1307" s="13"/>
      <c r="XR1307" s="13"/>
      <c r="XS1307" s="13"/>
      <c r="XT1307" s="13"/>
      <c r="XU1307" s="13"/>
      <c r="XV1307" s="13"/>
      <c r="XW1307" s="13"/>
      <c r="XX1307" s="13"/>
      <c r="XY1307" s="13"/>
      <c r="XZ1307" s="13"/>
      <c r="YA1307" s="13"/>
      <c r="YB1307" s="13"/>
      <c r="YC1307" s="13"/>
      <c r="YD1307" s="13"/>
      <c r="YE1307" s="13"/>
      <c r="YF1307" s="13"/>
      <c r="YG1307" s="13"/>
      <c r="YH1307" s="13"/>
      <c r="YI1307" s="13"/>
      <c r="YJ1307" s="13"/>
      <c r="YK1307" s="13"/>
      <c r="YL1307" s="13"/>
      <c r="YM1307" s="13"/>
      <c r="YN1307" s="13"/>
      <c r="YO1307" s="13"/>
      <c r="YP1307" s="13"/>
      <c r="YQ1307" s="13"/>
      <c r="YR1307" s="13"/>
      <c r="YS1307" s="13"/>
      <c r="YT1307" s="13"/>
      <c r="YU1307" s="13"/>
      <c r="YV1307" s="13"/>
      <c r="YW1307" s="13"/>
      <c r="YX1307" s="13"/>
      <c r="YY1307" s="13"/>
      <c r="YZ1307" s="13"/>
      <c r="ZA1307" s="13"/>
      <c r="ZB1307" s="13"/>
      <c r="ZC1307" s="13"/>
      <c r="ZD1307" s="13"/>
      <c r="ZE1307" s="13"/>
      <c r="ZF1307" s="13"/>
      <c r="ZG1307" s="13"/>
      <c r="ZH1307" s="13"/>
      <c r="ZI1307" s="13"/>
      <c r="ZJ1307" s="13"/>
      <c r="ZK1307" s="13"/>
      <c r="ZL1307" s="13"/>
      <c r="ZM1307" s="13"/>
      <c r="ZN1307" s="13"/>
      <c r="ZO1307" s="13"/>
      <c r="ZP1307" s="13"/>
      <c r="ZQ1307" s="13"/>
      <c r="ZR1307" s="13"/>
      <c r="ZS1307" s="13"/>
      <c r="ZT1307" s="13"/>
      <c r="ZU1307" s="13"/>
      <c r="ZV1307" s="13"/>
      <c r="ZW1307" s="13"/>
      <c r="ZX1307" s="13"/>
      <c r="ZY1307" s="13"/>
      <c r="ZZ1307" s="13"/>
      <c r="AAA1307" s="13"/>
      <c r="AAB1307" s="13"/>
      <c r="AAC1307" s="13"/>
      <c r="AAD1307" s="13"/>
      <c r="AAE1307" s="13"/>
      <c r="AAF1307" s="13"/>
      <c r="AAG1307" s="13"/>
      <c r="AAH1307" s="13"/>
      <c r="AAI1307" s="13"/>
      <c r="AAJ1307" s="13"/>
      <c r="AAK1307" s="13"/>
      <c r="AAL1307" s="13"/>
      <c r="AAM1307" s="13"/>
      <c r="AAN1307" s="13"/>
      <c r="AAO1307" s="13"/>
      <c r="AAP1307" s="13"/>
      <c r="AAQ1307" s="13"/>
      <c r="AAR1307" s="13"/>
      <c r="AAS1307" s="13"/>
      <c r="AAT1307" s="13"/>
      <c r="AAU1307" s="13"/>
      <c r="AAV1307" s="13"/>
      <c r="AAW1307" s="13"/>
      <c r="AAX1307" s="13"/>
      <c r="AAY1307" s="13"/>
      <c r="AAZ1307" s="13"/>
      <c r="ABA1307" s="13"/>
      <c r="ABB1307" s="13"/>
      <c r="ABC1307" s="13"/>
      <c r="ABD1307" s="13"/>
      <c r="ABE1307" s="13"/>
      <c r="ABF1307" s="13"/>
      <c r="ABG1307" s="13"/>
      <c r="ABH1307" s="13"/>
      <c r="ABI1307" s="13"/>
      <c r="ABJ1307" s="13"/>
      <c r="ABK1307" s="13"/>
      <c r="ABL1307" s="13"/>
      <c r="ABM1307" s="13"/>
      <c r="ABN1307" s="13"/>
      <c r="ABO1307" s="13"/>
      <c r="ABP1307" s="13"/>
      <c r="ABQ1307" s="13"/>
      <c r="ABR1307" s="13"/>
      <c r="ABS1307" s="13"/>
      <c r="ABT1307" s="13"/>
      <c r="ABU1307" s="13"/>
      <c r="ABV1307" s="13"/>
      <c r="ABW1307" s="13"/>
      <c r="ABX1307" s="13"/>
      <c r="ABY1307" s="13"/>
      <c r="ABZ1307" s="13"/>
      <c r="ACA1307" s="13"/>
      <c r="ACB1307" s="13"/>
      <c r="ACC1307" s="13"/>
      <c r="ACD1307" s="13"/>
      <c r="ACE1307" s="13"/>
      <c r="ACF1307" s="13"/>
      <c r="ACG1307" s="13"/>
      <c r="ACH1307" s="13"/>
      <c r="ACI1307" s="13"/>
      <c r="ACJ1307" s="13"/>
      <c r="ACK1307" s="13"/>
      <c r="ACL1307" s="13"/>
      <c r="ACM1307" s="13"/>
      <c r="ACN1307" s="13"/>
      <c r="ACO1307" s="13"/>
      <c r="ACP1307" s="13"/>
      <c r="ACQ1307" s="13"/>
      <c r="ACR1307" s="13"/>
      <c r="ACS1307" s="13"/>
      <c r="ACT1307" s="13"/>
      <c r="ACU1307" s="13"/>
      <c r="ACV1307" s="13"/>
      <c r="ACW1307" s="13"/>
      <c r="ACX1307" s="13"/>
      <c r="ACY1307" s="13"/>
      <c r="ACZ1307" s="13"/>
      <c r="ADA1307" s="13"/>
      <c r="ADB1307" s="13"/>
      <c r="ADC1307" s="13"/>
      <c r="ADD1307" s="13"/>
      <c r="ADE1307" s="13"/>
      <c r="ADF1307" s="13"/>
      <c r="ADG1307" s="13"/>
      <c r="ADH1307" s="13"/>
      <c r="ADI1307" s="13"/>
      <c r="ADJ1307" s="13"/>
      <c r="ADK1307" s="13"/>
      <c r="ADL1307" s="13"/>
      <c r="ADM1307" s="13"/>
      <c r="ADN1307" s="13"/>
      <c r="ADO1307" s="13"/>
      <c r="ADP1307" s="13"/>
      <c r="ADQ1307" s="13"/>
      <c r="ADR1307" s="13"/>
      <c r="ADS1307" s="13"/>
      <c r="ADT1307" s="13"/>
      <c r="ADU1307" s="13"/>
      <c r="ADV1307" s="13"/>
      <c r="ADW1307" s="13"/>
      <c r="ADX1307" s="13"/>
      <c r="ADY1307" s="13"/>
      <c r="ADZ1307" s="13"/>
      <c r="AEA1307" s="13"/>
      <c r="AEB1307" s="13"/>
      <c r="AEC1307" s="13"/>
      <c r="AED1307" s="13"/>
      <c r="AEE1307" s="13"/>
      <c r="AEF1307" s="13"/>
      <c r="AEG1307" s="13"/>
      <c r="AEH1307" s="13"/>
      <c r="AEI1307" s="13"/>
      <c r="AEJ1307" s="13"/>
      <c r="AEK1307" s="13"/>
      <c r="AEL1307" s="13"/>
      <c r="AEM1307" s="13"/>
      <c r="AEN1307" s="13"/>
      <c r="AEO1307" s="13"/>
      <c r="AEP1307" s="13"/>
      <c r="AEQ1307" s="13"/>
      <c r="AER1307" s="13"/>
      <c r="AES1307" s="13"/>
      <c r="AET1307" s="13"/>
      <c r="AEU1307" s="13"/>
      <c r="AEV1307" s="13"/>
      <c r="AEW1307" s="13"/>
      <c r="AEX1307" s="13"/>
      <c r="AEY1307" s="13"/>
      <c r="AEZ1307" s="13"/>
      <c r="AFA1307" s="13"/>
      <c r="AFB1307" s="13"/>
      <c r="AFC1307" s="13"/>
      <c r="AFD1307" s="13"/>
      <c r="AFE1307" s="13"/>
      <c r="AFF1307" s="13"/>
      <c r="AFG1307" s="13"/>
      <c r="AFH1307" s="13"/>
      <c r="AFI1307" s="13"/>
      <c r="AFJ1307" s="13"/>
      <c r="AFK1307" s="13"/>
      <c r="AFL1307" s="13"/>
      <c r="AFM1307" s="13"/>
      <c r="AFN1307" s="13"/>
      <c r="AFO1307" s="13"/>
      <c r="AFP1307" s="13"/>
      <c r="AFQ1307" s="13"/>
      <c r="AFR1307" s="13"/>
      <c r="AFS1307" s="13"/>
      <c r="AFT1307" s="13"/>
      <c r="AFU1307" s="13"/>
      <c r="AFV1307" s="13"/>
      <c r="AFW1307" s="13"/>
      <c r="AFX1307" s="13"/>
      <c r="AFY1307" s="13"/>
      <c r="AFZ1307" s="13"/>
      <c r="AGA1307" s="13"/>
      <c r="AGB1307" s="13"/>
      <c r="AGC1307" s="13"/>
      <c r="AGD1307" s="13"/>
      <c r="AGE1307" s="13"/>
      <c r="AGF1307" s="13"/>
      <c r="AGG1307" s="13"/>
      <c r="AGH1307" s="13"/>
      <c r="AGI1307" s="13"/>
      <c r="AGJ1307" s="13"/>
      <c r="AGK1307" s="13"/>
      <c r="AGL1307" s="13"/>
      <c r="AGM1307" s="13"/>
      <c r="AGN1307" s="13"/>
      <c r="AGO1307" s="13"/>
      <c r="AGP1307" s="13"/>
      <c r="AGQ1307" s="13"/>
      <c r="AGR1307" s="13"/>
      <c r="AGS1307" s="13"/>
      <c r="AGT1307" s="13"/>
      <c r="AGU1307" s="13"/>
      <c r="AGV1307" s="13"/>
      <c r="AGW1307" s="13"/>
      <c r="AGX1307" s="13"/>
      <c r="AGY1307" s="13"/>
      <c r="AGZ1307" s="13"/>
      <c r="AHA1307" s="13"/>
      <c r="AHB1307" s="13"/>
      <c r="AHC1307" s="13"/>
      <c r="AHD1307" s="13"/>
      <c r="AHE1307" s="13"/>
      <c r="AHF1307" s="13"/>
      <c r="AHG1307" s="13"/>
      <c r="AHH1307" s="13"/>
      <c r="AHI1307" s="13"/>
      <c r="AHJ1307" s="13"/>
      <c r="AHK1307" s="13"/>
      <c r="AHL1307" s="13"/>
      <c r="AHM1307" s="13"/>
      <c r="AHN1307" s="13"/>
      <c r="AHO1307" s="13"/>
      <c r="AHP1307" s="13"/>
      <c r="AHQ1307" s="13"/>
      <c r="AHR1307" s="13"/>
      <c r="AHS1307" s="13"/>
      <c r="AHT1307" s="13"/>
      <c r="AHU1307" s="13"/>
      <c r="AHV1307" s="13"/>
      <c r="AHW1307" s="13"/>
      <c r="AHX1307" s="13"/>
      <c r="AHY1307" s="13"/>
      <c r="AHZ1307" s="13"/>
      <c r="AIA1307" s="13"/>
      <c r="AIB1307" s="13"/>
      <c r="AIC1307" s="13"/>
      <c r="AID1307" s="13"/>
      <c r="AIE1307" s="13"/>
      <c r="AIF1307" s="13"/>
      <c r="AIG1307" s="13"/>
      <c r="AIH1307" s="13"/>
      <c r="AII1307" s="13"/>
      <c r="AIJ1307" s="13"/>
      <c r="AIK1307" s="13"/>
      <c r="AIL1307" s="13"/>
      <c r="AIM1307" s="13"/>
      <c r="AIN1307" s="13"/>
      <c r="AIO1307" s="13"/>
      <c r="AIP1307" s="13"/>
      <c r="AIQ1307" s="13"/>
      <c r="AIR1307" s="13"/>
      <c r="AIS1307" s="13"/>
      <c r="AIT1307" s="13"/>
      <c r="AIU1307" s="13"/>
      <c r="AIV1307" s="13"/>
      <c r="AIW1307" s="13"/>
      <c r="AIX1307" s="13"/>
      <c r="AIY1307" s="13"/>
      <c r="AIZ1307" s="13"/>
      <c r="AJA1307" s="13"/>
      <c r="AJB1307" s="13"/>
      <c r="AJC1307" s="13"/>
      <c r="AJD1307" s="13"/>
      <c r="AJE1307" s="13"/>
      <c r="AJF1307" s="13"/>
      <c r="AJG1307" s="13"/>
      <c r="AJH1307" s="13"/>
      <c r="AJI1307" s="13"/>
      <c r="AJJ1307" s="13"/>
      <c r="AJK1307" s="13"/>
      <c r="AJL1307" s="13"/>
      <c r="AJM1307" s="13"/>
      <c r="AJN1307" s="13"/>
      <c r="AJO1307" s="13"/>
      <c r="AJP1307" s="13"/>
      <c r="AJQ1307" s="13"/>
      <c r="AJR1307" s="13"/>
      <c r="AJS1307" s="13"/>
      <c r="AJT1307" s="13"/>
      <c r="AJU1307" s="13"/>
      <c r="AJV1307" s="13"/>
      <c r="AJW1307" s="13"/>
      <c r="AJX1307" s="13"/>
      <c r="AJY1307" s="13"/>
      <c r="AJZ1307" s="13"/>
      <c r="AKA1307" s="13"/>
      <c r="AKB1307" s="13"/>
      <c r="AKC1307" s="13"/>
      <c r="AKD1307" s="13"/>
      <c r="AKE1307" s="13"/>
      <c r="AKF1307" s="13"/>
      <c r="AKG1307" s="13"/>
      <c r="AKH1307" s="13"/>
      <c r="AKI1307" s="13"/>
      <c r="AKJ1307" s="13"/>
      <c r="AKK1307" s="13"/>
      <c r="AKL1307" s="13"/>
      <c r="AKM1307" s="13"/>
      <c r="AKN1307" s="13"/>
      <c r="AKO1307" s="13"/>
      <c r="AKP1307" s="13"/>
      <c r="AKQ1307" s="13"/>
      <c r="AKR1307" s="13"/>
      <c r="AKS1307" s="13"/>
      <c r="AKT1307" s="13"/>
      <c r="AKU1307" s="13"/>
      <c r="AKV1307" s="13"/>
      <c r="AKW1307" s="13"/>
      <c r="AKX1307" s="13"/>
      <c r="AKY1307" s="13"/>
      <c r="AKZ1307" s="13"/>
      <c r="ALA1307" s="13"/>
      <c r="ALB1307" s="13"/>
      <c r="ALC1307" s="13"/>
      <c r="ALD1307" s="13"/>
      <c r="ALE1307" s="13"/>
      <c r="ALF1307" s="13"/>
      <c r="ALG1307" s="13"/>
      <c r="ALH1307" s="13"/>
      <c r="ALI1307" s="13"/>
      <c r="ALJ1307" s="13"/>
      <c r="ALK1307" s="13"/>
      <c r="ALL1307" s="13"/>
      <c r="ALM1307" s="13"/>
      <c r="ALN1307" s="13"/>
      <c r="ALO1307" s="13"/>
      <c r="ALP1307" s="13"/>
      <c r="ALQ1307" s="13"/>
      <c r="ALR1307" s="13"/>
      <c r="ALS1307" s="13"/>
      <c r="ALT1307" s="13"/>
      <c r="ALU1307" s="13"/>
      <c r="ALV1307" s="13"/>
      <c r="ALW1307" s="13"/>
      <c r="ALX1307" s="13"/>
      <c r="ALY1307" s="13"/>
      <c r="ALZ1307" s="13"/>
      <c r="AMA1307" s="13"/>
      <c r="AMB1307" s="13"/>
      <c r="AMC1307" s="13"/>
      <c r="AMD1307" s="13"/>
      <c r="AME1307" s="13"/>
      <c r="AMF1307" s="13"/>
      <c r="AMG1307" s="13"/>
      <c r="AMH1307" s="13"/>
      <c r="AMI1307" s="13"/>
      <c r="AMJ1307" s="13"/>
      <c r="AMK1307" s="13"/>
      <c r="AML1307" s="13"/>
      <c r="AMM1307" s="13"/>
      <c r="AMN1307" s="13"/>
      <c r="AMO1307" s="13"/>
      <c r="AMP1307" s="13"/>
      <c r="AMQ1307" s="13"/>
      <c r="AMR1307" s="13"/>
      <c r="AMS1307" s="13"/>
      <c r="AMT1307" s="13"/>
      <c r="AMU1307" s="13"/>
      <c r="AMV1307" s="13"/>
      <c r="AMW1307" s="13"/>
      <c r="AMX1307" s="13"/>
      <c r="AMY1307" s="13"/>
      <c r="AMZ1307" s="13"/>
      <c r="ANA1307" s="13"/>
      <c r="ANB1307" s="13"/>
      <c r="ANC1307" s="13"/>
      <c r="AND1307" s="13"/>
      <c r="ANE1307" s="13"/>
      <c r="ANF1307" s="13"/>
      <c r="ANG1307" s="13"/>
      <c r="ANH1307" s="13"/>
      <c r="ANI1307" s="13"/>
      <c r="ANJ1307" s="13"/>
      <c r="ANK1307" s="13"/>
      <c r="ANL1307" s="13"/>
      <c r="ANM1307" s="13"/>
      <c r="ANN1307" s="13"/>
      <c r="ANO1307" s="13"/>
      <c r="ANP1307" s="13"/>
      <c r="ANQ1307" s="13"/>
      <c r="ANR1307" s="13"/>
      <c r="ANS1307" s="13"/>
      <c r="ANT1307" s="13"/>
      <c r="ANU1307" s="13"/>
      <c r="ANV1307" s="13"/>
      <c r="ANW1307" s="13"/>
      <c r="ANX1307" s="13"/>
      <c r="ANY1307" s="13"/>
      <c r="ANZ1307" s="13"/>
      <c r="AOA1307" s="13"/>
      <c r="AOB1307" s="13"/>
      <c r="AOC1307" s="13"/>
      <c r="AOD1307" s="13"/>
      <c r="AOE1307" s="13"/>
      <c r="AOF1307" s="13"/>
      <c r="AOG1307" s="13"/>
      <c r="AOH1307" s="13"/>
      <c r="AOI1307" s="13"/>
      <c r="AOJ1307" s="13"/>
      <c r="AOK1307" s="13"/>
      <c r="AOL1307" s="13"/>
      <c r="AOM1307" s="13"/>
      <c r="AON1307" s="13"/>
      <c r="AOO1307" s="13"/>
      <c r="AOP1307" s="13"/>
      <c r="AOQ1307" s="13"/>
      <c r="AOR1307" s="13"/>
      <c r="AOS1307" s="13"/>
      <c r="AOT1307" s="13"/>
      <c r="AOU1307" s="13"/>
      <c r="AOV1307" s="13"/>
      <c r="AOW1307" s="13"/>
      <c r="AOX1307" s="13"/>
      <c r="AOY1307" s="13"/>
      <c r="AOZ1307" s="13"/>
      <c r="APA1307" s="13"/>
      <c r="APB1307" s="13"/>
      <c r="APC1307" s="13"/>
      <c r="APD1307" s="13"/>
      <c r="APE1307" s="13"/>
      <c r="APF1307" s="13"/>
      <c r="APG1307" s="13"/>
      <c r="APH1307" s="13"/>
      <c r="API1307" s="13"/>
      <c r="APJ1307" s="13"/>
      <c r="APK1307" s="13"/>
      <c r="APL1307" s="13"/>
      <c r="APM1307" s="13"/>
      <c r="APN1307" s="13"/>
      <c r="APO1307" s="13"/>
      <c r="APP1307" s="13"/>
      <c r="APQ1307" s="13"/>
      <c r="APR1307" s="13"/>
      <c r="APS1307" s="13"/>
      <c r="APT1307" s="13"/>
      <c r="APU1307" s="13"/>
      <c r="APV1307" s="13"/>
      <c r="APW1307" s="13"/>
      <c r="APX1307" s="13"/>
      <c r="APY1307" s="13"/>
      <c r="APZ1307" s="13"/>
      <c r="AQA1307" s="13"/>
      <c r="AQB1307" s="13"/>
      <c r="AQC1307" s="13"/>
      <c r="AQD1307" s="13"/>
      <c r="AQE1307" s="13"/>
      <c r="AQF1307" s="13"/>
      <c r="AQG1307" s="13"/>
      <c r="AQH1307" s="13"/>
      <c r="AQI1307" s="13"/>
      <c r="AQJ1307" s="13"/>
      <c r="AQK1307" s="13"/>
      <c r="AQL1307" s="13"/>
      <c r="AQM1307" s="13"/>
      <c r="AQN1307" s="13"/>
      <c r="AQO1307" s="13"/>
      <c r="AQP1307" s="13"/>
      <c r="AQQ1307" s="13"/>
      <c r="AQR1307" s="13"/>
      <c r="AQS1307" s="13"/>
      <c r="AQT1307" s="13"/>
      <c r="AQU1307" s="13"/>
      <c r="AQV1307" s="13"/>
      <c r="AQW1307" s="13"/>
      <c r="AQX1307" s="13"/>
      <c r="AQY1307" s="13"/>
      <c r="AQZ1307" s="13"/>
      <c r="ARA1307" s="13"/>
      <c r="ARB1307" s="13"/>
      <c r="ARC1307" s="13"/>
      <c r="ARD1307" s="13"/>
      <c r="ARE1307" s="13"/>
      <c r="ARF1307" s="13"/>
      <c r="ARG1307" s="13"/>
      <c r="ARH1307" s="13"/>
      <c r="ARI1307" s="13"/>
      <c r="ARJ1307" s="13"/>
      <c r="ARK1307" s="13"/>
      <c r="ARL1307" s="13"/>
      <c r="ARM1307" s="13"/>
      <c r="ARN1307" s="13"/>
      <c r="ARO1307" s="13"/>
      <c r="ARP1307" s="13"/>
      <c r="ARQ1307" s="13"/>
      <c r="ARR1307" s="13"/>
      <c r="ARS1307" s="13"/>
      <c r="ART1307" s="13"/>
      <c r="ARU1307" s="13"/>
      <c r="ARV1307" s="13"/>
      <c r="ARW1307" s="13"/>
      <c r="ARX1307" s="13"/>
      <c r="ARY1307" s="13"/>
      <c r="ARZ1307" s="13"/>
      <c r="ASA1307" s="13"/>
      <c r="ASB1307" s="13"/>
      <c r="ASC1307" s="13"/>
      <c r="ASD1307" s="13"/>
      <c r="ASE1307" s="13"/>
      <c r="ASF1307" s="13"/>
      <c r="ASG1307" s="13"/>
      <c r="ASH1307" s="13"/>
      <c r="ASI1307" s="13"/>
      <c r="ASJ1307" s="13"/>
      <c r="ASK1307" s="13"/>
      <c r="ASL1307" s="13"/>
      <c r="ASM1307" s="13"/>
      <c r="ASN1307" s="13"/>
      <c r="ASO1307" s="13"/>
      <c r="ASP1307" s="13"/>
      <c r="ASQ1307" s="13"/>
      <c r="ASR1307" s="13"/>
      <c r="ASS1307" s="13"/>
      <c r="AST1307" s="13"/>
      <c r="ASU1307" s="13"/>
      <c r="ASV1307" s="13"/>
      <c r="ASW1307" s="13"/>
      <c r="ASX1307" s="13"/>
      <c r="ASY1307" s="13"/>
      <c r="ASZ1307" s="13"/>
      <c r="ATA1307" s="13"/>
      <c r="ATB1307" s="13"/>
      <c r="ATC1307" s="13"/>
      <c r="ATD1307" s="13"/>
      <c r="ATE1307" s="13"/>
      <c r="ATF1307" s="13"/>
      <c r="ATG1307" s="13"/>
      <c r="ATH1307" s="13"/>
      <c r="ATI1307" s="13"/>
      <c r="ATJ1307" s="13"/>
      <c r="ATK1307" s="13"/>
      <c r="ATL1307" s="13"/>
      <c r="ATM1307" s="13"/>
      <c r="ATN1307" s="13"/>
      <c r="ATO1307" s="13"/>
      <c r="ATP1307" s="13"/>
      <c r="ATQ1307" s="13"/>
      <c r="ATR1307" s="13"/>
      <c r="ATS1307" s="13"/>
      <c r="ATT1307" s="13"/>
      <c r="ATU1307" s="13"/>
      <c r="ATV1307" s="13"/>
      <c r="ATW1307" s="13"/>
      <c r="ATX1307" s="13"/>
      <c r="ATY1307" s="13"/>
      <c r="ATZ1307" s="13"/>
      <c r="AUA1307" s="13"/>
      <c r="AUB1307" s="13"/>
      <c r="AUC1307" s="13"/>
      <c r="AUD1307" s="13"/>
      <c r="AUE1307" s="13"/>
      <c r="AUF1307" s="13"/>
      <c r="AUG1307" s="13"/>
      <c r="AUH1307" s="13"/>
      <c r="AUI1307" s="13"/>
      <c r="AUJ1307" s="13"/>
      <c r="AUK1307" s="13"/>
      <c r="AUL1307" s="13"/>
      <c r="AUM1307" s="13"/>
      <c r="AUN1307" s="13"/>
      <c r="AUO1307" s="13"/>
      <c r="AUP1307" s="13"/>
      <c r="AUQ1307" s="13"/>
      <c r="AUR1307" s="13"/>
      <c r="AUS1307" s="13"/>
      <c r="AUT1307" s="13"/>
      <c r="AUU1307" s="13"/>
      <c r="AUV1307" s="13"/>
      <c r="AUW1307" s="13"/>
      <c r="AUX1307" s="13"/>
      <c r="AUY1307" s="13"/>
      <c r="AUZ1307" s="13"/>
      <c r="AVA1307" s="13"/>
      <c r="AVB1307" s="13"/>
      <c r="AVC1307" s="13"/>
      <c r="AVD1307" s="13"/>
      <c r="AVE1307" s="13"/>
      <c r="AVF1307" s="13"/>
      <c r="AVG1307" s="13"/>
      <c r="AVH1307" s="13"/>
      <c r="AVI1307" s="13"/>
      <c r="AVJ1307" s="13"/>
      <c r="AVK1307" s="13"/>
      <c r="AVL1307" s="13"/>
      <c r="AVM1307" s="13"/>
      <c r="AVN1307" s="13"/>
      <c r="AVO1307" s="13"/>
      <c r="AVP1307" s="13"/>
      <c r="AVQ1307" s="13"/>
      <c r="AVR1307" s="13"/>
      <c r="AVS1307" s="13"/>
      <c r="AVT1307" s="13"/>
      <c r="AVU1307" s="13"/>
      <c r="AVV1307" s="13"/>
      <c r="AVW1307" s="13"/>
      <c r="AVX1307" s="13"/>
      <c r="AVY1307" s="13"/>
      <c r="AVZ1307" s="13"/>
      <c r="AWA1307" s="13"/>
      <c r="AWB1307" s="13"/>
      <c r="AWC1307" s="13"/>
      <c r="AWD1307" s="13"/>
      <c r="AWE1307" s="13"/>
      <c r="AWF1307" s="13"/>
      <c r="AWG1307" s="13"/>
      <c r="AWH1307" s="13"/>
      <c r="AWI1307" s="13"/>
      <c r="AWJ1307" s="13"/>
      <c r="AWK1307" s="13"/>
      <c r="AWL1307" s="13"/>
      <c r="AWM1307" s="13"/>
      <c r="AWN1307" s="13"/>
      <c r="AWO1307" s="13"/>
      <c r="AWP1307" s="13"/>
      <c r="AWQ1307" s="13"/>
      <c r="AWR1307" s="13"/>
      <c r="AWS1307" s="13"/>
      <c r="AWT1307" s="13"/>
      <c r="AWU1307" s="13"/>
      <c r="AWV1307" s="13"/>
      <c r="AWW1307" s="13"/>
      <c r="AWX1307" s="13"/>
      <c r="AWY1307" s="13"/>
      <c r="AWZ1307" s="13"/>
      <c r="AXA1307" s="13"/>
      <c r="AXB1307" s="13"/>
      <c r="AXC1307" s="13"/>
      <c r="AXD1307" s="13"/>
      <c r="AXE1307" s="13"/>
      <c r="AXF1307" s="13"/>
      <c r="AXG1307" s="13"/>
      <c r="AXH1307" s="13"/>
      <c r="AXI1307" s="13"/>
      <c r="AXJ1307" s="13"/>
      <c r="AXK1307" s="13"/>
      <c r="AXL1307" s="13"/>
      <c r="AXM1307" s="13"/>
      <c r="AXN1307" s="13"/>
      <c r="AXO1307" s="13"/>
      <c r="AXP1307" s="13"/>
      <c r="AXQ1307" s="13"/>
      <c r="AXR1307" s="13"/>
      <c r="AXS1307" s="13"/>
      <c r="AXT1307" s="13"/>
      <c r="AXU1307" s="13"/>
      <c r="AXV1307" s="13"/>
      <c r="AXW1307" s="13"/>
      <c r="AXX1307" s="13"/>
      <c r="AXY1307" s="13"/>
      <c r="AXZ1307" s="13"/>
      <c r="AYA1307" s="13"/>
      <c r="AYB1307" s="13"/>
      <c r="AYC1307" s="13"/>
      <c r="AYD1307" s="13"/>
      <c r="AYE1307" s="13"/>
      <c r="AYF1307" s="13"/>
      <c r="AYG1307" s="13"/>
      <c r="AYH1307" s="13"/>
      <c r="AYI1307" s="13"/>
      <c r="AYJ1307" s="13"/>
      <c r="AYK1307" s="13"/>
      <c r="AYL1307" s="13"/>
      <c r="AYM1307" s="13"/>
      <c r="AYN1307" s="13"/>
      <c r="AYO1307" s="13"/>
      <c r="AYP1307" s="13"/>
      <c r="AYQ1307" s="13"/>
      <c r="AYR1307" s="13"/>
      <c r="AYS1307" s="13"/>
      <c r="AYT1307" s="13"/>
      <c r="AYU1307" s="13"/>
      <c r="AYV1307" s="13"/>
      <c r="AYW1307" s="13"/>
      <c r="AYX1307" s="13"/>
      <c r="AYY1307" s="13"/>
      <c r="AYZ1307" s="13"/>
      <c r="AZA1307" s="13"/>
      <c r="AZB1307" s="13"/>
      <c r="AZC1307" s="13"/>
      <c r="AZD1307" s="13"/>
      <c r="AZE1307" s="13"/>
      <c r="AZF1307" s="13"/>
      <c r="AZG1307" s="13"/>
      <c r="AZH1307" s="13"/>
      <c r="AZI1307" s="13"/>
      <c r="AZJ1307" s="13"/>
      <c r="AZK1307" s="13"/>
      <c r="AZL1307" s="13"/>
      <c r="AZM1307" s="13"/>
      <c r="AZN1307" s="13"/>
      <c r="AZO1307" s="13"/>
      <c r="AZP1307" s="13"/>
      <c r="AZQ1307" s="13"/>
      <c r="AZR1307" s="13"/>
      <c r="AZS1307" s="13"/>
      <c r="AZT1307" s="13"/>
      <c r="AZU1307" s="13"/>
      <c r="AZV1307" s="13"/>
      <c r="AZW1307" s="13"/>
      <c r="AZX1307" s="13"/>
      <c r="AZY1307" s="13"/>
      <c r="AZZ1307" s="13"/>
      <c r="BAA1307" s="13"/>
      <c r="BAB1307" s="13"/>
      <c r="BAC1307" s="13"/>
      <c r="BAD1307" s="13"/>
      <c r="BAE1307" s="13"/>
      <c r="BAF1307" s="13"/>
      <c r="BAG1307" s="13"/>
      <c r="BAH1307" s="13"/>
      <c r="BAI1307" s="13"/>
      <c r="BAJ1307" s="13"/>
      <c r="BAK1307" s="13"/>
      <c r="BAL1307" s="13"/>
      <c r="BAM1307" s="13"/>
      <c r="BAN1307" s="13"/>
      <c r="BAO1307" s="13"/>
      <c r="BAP1307" s="13"/>
      <c r="BAQ1307" s="13"/>
      <c r="BAR1307" s="13"/>
      <c r="BAS1307" s="13"/>
      <c r="BAT1307" s="13"/>
      <c r="BAU1307" s="13"/>
      <c r="BAV1307" s="13"/>
      <c r="BAW1307" s="13"/>
      <c r="BAX1307" s="13"/>
      <c r="BAY1307" s="13"/>
      <c r="BAZ1307" s="13"/>
      <c r="BBA1307" s="13"/>
      <c r="BBB1307" s="13"/>
      <c r="BBC1307" s="13"/>
      <c r="BBD1307" s="13"/>
      <c r="BBE1307" s="13"/>
      <c r="BBF1307" s="13"/>
      <c r="BBG1307" s="13"/>
      <c r="BBH1307" s="13"/>
      <c r="BBI1307" s="13"/>
      <c r="BBJ1307" s="13"/>
      <c r="BBK1307" s="13"/>
      <c r="BBL1307" s="13"/>
      <c r="BBM1307" s="13"/>
      <c r="BBN1307" s="13"/>
      <c r="BBO1307" s="13"/>
      <c r="BBP1307" s="13"/>
      <c r="BBQ1307" s="13"/>
      <c r="BBR1307" s="13"/>
      <c r="BBS1307" s="13"/>
      <c r="BBT1307" s="13"/>
      <c r="BBU1307" s="13"/>
      <c r="BBV1307" s="13"/>
      <c r="BBW1307" s="13"/>
      <c r="BBX1307" s="13"/>
      <c r="BBY1307" s="13"/>
      <c r="BBZ1307" s="13"/>
      <c r="BCA1307" s="13"/>
      <c r="BCB1307" s="13"/>
      <c r="BCC1307" s="13"/>
      <c r="BCD1307" s="13"/>
      <c r="BCE1307" s="13"/>
      <c r="BCF1307" s="13"/>
      <c r="BCG1307" s="13"/>
      <c r="BCH1307" s="13"/>
      <c r="BCI1307" s="13"/>
      <c r="BCJ1307" s="13"/>
      <c r="BCK1307" s="13"/>
      <c r="BCL1307" s="13"/>
      <c r="BCM1307" s="13"/>
      <c r="BCN1307" s="13"/>
      <c r="BCO1307" s="13"/>
      <c r="BCP1307" s="13"/>
      <c r="BCQ1307" s="13"/>
      <c r="BCR1307" s="13"/>
      <c r="BCS1307" s="13"/>
      <c r="BCT1307" s="13"/>
      <c r="BCU1307" s="13"/>
      <c r="BCV1307" s="13"/>
      <c r="BCW1307" s="13"/>
      <c r="BCX1307" s="13"/>
      <c r="BCY1307" s="13"/>
      <c r="BCZ1307" s="13"/>
      <c r="BDA1307" s="13"/>
      <c r="BDB1307" s="13"/>
      <c r="BDC1307" s="13"/>
      <c r="BDD1307" s="13"/>
      <c r="BDE1307" s="13"/>
      <c r="BDF1307" s="13"/>
      <c r="BDG1307" s="13"/>
      <c r="BDH1307" s="13"/>
      <c r="BDI1307" s="13"/>
      <c r="BDJ1307" s="13"/>
      <c r="BDK1307" s="13"/>
      <c r="BDL1307" s="13"/>
      <c r="BDM1307" s="13"/>
      <c r="BDN1307" s="13"/>
      <c r="BDO1307" s="13"/>
      <c r="BDP1307" s="13"/>
      <c r="BDQ1307" s="13"/>
      <c r="BDR1307" s="13"/>
      <c r="BDS1307" s="13"/>
      <c r="BDT1307" s="13"/>
      <c r="BDU1307" s="13"/>
      <c r="BDV1307" s="13"/>
      <c r="BDW1307" s="13"/>
      <c r="BDX1307" s="13"/>
      <c r="BDY1307" s="13"/>
      <c r="BDZ1307" s="13"/>
      <c r="BEA1307" s="13"/>
      <c r="BEB1307" s="13"/>
      <c r="BEC1307" s="13"/>
      <c r="BED1307" s="13"/>
      <c r="BEE1307" s="13"/>
      <c r="BEF1307" s="13"/>
      <c r="BEG1307" s="13"/>
      <c r="BEH1307" s="13"/>
      <c r="BEI1307" s="13"/>
      <c r="BEJ1307" s="13"/>
      <c r="BEK1307" s="13"/>
      <c r="BEL1307" s="13"/>
      <c r="BEM1307" s="13"/>
      <c r="BEN1307" s="13"/>
      <c r="BEO1307" s="13"/>
      <c r="BEP1307" s="13"/>
      <c r="BEQ1307" s="13"/>
      <c r="BER1307" s="13"/>
      <c r="BES1307" s="13"/>
      <c r="BET1307" s="13"/>
      <c r="BEU1307" s="13"/>
      <c r="BEV1307" s="13"/>
      <c r="BEW1307" s="13"/>
      <c r="BEX1307" s="13"/>
      <c r="BEY1307" s="13"/>
      <c r="BEZ1307" s="13"/>
      <c r="BFA1307" s="13"/>
      <c r="BFB1307" s="13"/>
      <c r="BFC1307" s="13"/>
      <c r="BFD1307" s="13"/>
      <c r="BFE1307" s="13"/>
      <c r="BFF1307" s="13"/>
      <c r="BFG1307" s="13"/>
      <c r="BFH1307" s="13"/>
      <c r="BFI1307" s="13"/>
      <c r="BFJ1307" s="13"/>
      <c r="BFK1307" s="13"/>
      <c r="BFL1307" s="13"/>
      <c r="BFM1307" s="13"/>
      <c r="BFN1307" s="13"/>
      <c r="BFO1307" s="13"/>
      <c r="BFP1307" s="13"/>
      <c r="BFQ1307" s="13"/>
      <c r="BFR1307" s="13"/>
      <c r="BFS1307" s="13"/>
      <c r="BFT1307" s="13"/>
      <c r="BFU1307" s="13"/>
      <c r="BFV1307" s="13"/>
      <c r="BFW1307" s="13"/>
      <c r="BFX1307" s="13"/>
      <c r="BFY1307" s="13"/>
      <c r="BFZ1307" s="13"/>
      <c r="BGA1307" s="13"/>
      <c r="BGB1307" s="13"/>
      <c r="BGC1307" s="13"/>
      <c r="BGD1307" s="13"/>
      <c r="BGE1307" s="13"/>
      <c r="BGF1307" s="13"/>
      <c r="BGG1307" s="13"/>
      <c r="BGH1307" s="13"/>
      <c r="BGI1307" s="13"/>
      <c r="BGJ1307" s="13"/>
      <c r="BGK1307" s="13"/>
      <c r="BGL1307" s="13"/>
      <c r="BGM1307" s="13"/>
      <c r="BGN1307" s="13"/>
      <c r="BGO1307" s="13"/>
      <c r="BGP1307" s="13"/>
      <c r="BGQ1307" s="13"/>
      <c r="BGR1307" s="13"/>
      <c r="BGS1307" s="13"/>
      <c r="BGT1307" s="13"/>
      <c r="BGU1307" s="13"/>
      <c r="BGV1307" s="13"/>
      <c r="BGW1307" s="13"/>
      <c r="BGX1307" s="13"/>
      <c r="BGY1307" s="13"/>
      <c r="BGZ1307" s="13"/>
      <c r="BHA1307" s="13"/>
      <c r="BHB1307" s="13"/>
      <c r="BHC1307" s="13"/>
      <c r="BHD1307" s="13"/>
      <c r="BHE1307" s="13"/>
      <c r="BHF1307" s="13"/>
      <c r="BHG1307" s="13"/>
      <c r="BHH1307" s="13"/>
      <c r="BHI1307" s="13"/>
      <c r="BHJ1307" s="13"/>
      <c r="BHK1307" s="13"/>
      <c r="BHL1307" s="13"/>
      <c r="BHM1307" s="13"/>
      <c r="BHN1307" s="13"/>
      <c r="BHO1307" s="13"/>
      <c r="BHP1307" s="13"/>
      <c r="BHQ1307" s="13"/>
      <c r="BHR1307" s="13"/>
      <c r="BHS1307" s="13"/>
      <c r="BHT1307" s="13"/>
      <c r="BHU1307" s="13"/>
      <c r="BHV1307" s="13"/>
      <c r="BHW1307" s="13"/>
      <c r="BHX1307" s="13"/>
      <c r="BHY1307" s="13"/>
      <c r="BHZ1307" s="13"/>
      <c r="BIA1307" s="13"/>
      <c r="BIB1307" s="13"/>
      <c r="BIC1307" s="13"/>
      <c r="BID1307" s="13"/>
      <c r="BIE1307" s="13"/>
      <c r="BIF1307" s="13"/>
      <c r="BIG1307" s="13"/>
      <c r="BIH1307" s="13"/>
      <c r="BII1307" s="13"/>
      <c r="BIJ1307" s="13"/>
      <c r="BIK1307" s="13"/>
      <c r="BIL1307" s="13"/>
      <c r="BIM1307" s="13"/>
      <c r="BIN1307" s="13"/>
      <c r="BIO1307" s="13"/>
      <c r="BIP1307" s="13"/>
      <c r="BIQ1307" s="13"/>
      <c r="BIR1307" s="13"/>
      <c r="BIS1307" s="13"/>
      <c r="BIT1307" s="13"/>
      <c r="BIU1307" s="13"/>
      <c r="BIV1307" s="13"/>
      <c r="BIW1307" s="13"/>
      <c r="BIX1307" s="13"/>
      <c r="BIY1307" s="13"/>
      <c r="BIZ1307" s="13"/>
      <c r="BJA1307" s="13"/>
      <c r="BJB1307" s="13"/>
      <c r="BJC1307" s="13"/>
      <c r="BJD1307" s="13"/>
      <c r="BJE1307" s="13"/>
      <c r="BJF1307" s="13"/>
      <c r="BJG1307" s="13"/>
      <c r="BJH1307" s="13"/>
      <c r="BJI1307" s="13"/>
      <c r="BJJ1307" s="13"/>
      <c r="BJK1307" s="13"/>
      <c r="BJL1307" s="13"/>
      <c r="BJM1307" s="13"/>
      <c r="BJN1307" s="13"/>
      <c r="BJO1307" s="13"/>
      <c r="BJP1307" s="13"/>
      <c r="BJQ1307" s="13"/>
      <c r="BJR1307" s="13"/>
      <c r="BJS1307" s="13"/>
      <c r="BJT1307" s="13"/>
      <c r="BJU1307" s="13"/>
      <c r="BJV1307" s="13"/>
      <c r="BJW1307" s="13"/>
      <c r="BJX1307" s="13"/>
      <c r="BJY1307" s="13"/>
      <c r="BJZ1307" s="13"/>
      <c r="BKA1307" s="13"/>
      <c r="BKB1307" s="13"/>
      <c r="BKC1307" s="13"/>
      <c r="BKD1307" s="13"/>
      <c r="BKE1307" s="13"/>
      <c r="BKF1307" s="13"/>
      <c r="BKG1307" s="13"/>
      <c r="BKH1307" s="13"/>
      <c r="BKI1307" s="13"/>
      <c r="BKJ1307" s="13"/>
      <c r="BKK1307" s="13"/>
      <c r="BKL1307" s="13"/>
      <c r="BKM1307" s="13"/>
      <c r="BKN1307" s="13"/>
      <c r="BKO1307" s="13"/>
      <c r="BKP1307" s="13"/>
      <c r="BKQ1307" s="13"/>
      <c r="BKR1307" s="13"/>
      <c r="BKS1307" s="13"/>
      <c r="BKT1307" s="13"/>
      <c r="BKU1307" s="13"/>
      <c r="BKV1307" s="13"/>
      <c r="BKW1307" s="13"/>
      <c r="BKX1307" s="13"/>
      <c r="BKY1307" s="13"/>
      <c r="BKZ1307" s="13"/>
      <c r="BLA1307" s="13"/>
      <c r="BLB1307" s="13"/>
      <c r="BLC1307" s="13"/>
      <c r="BLD1307" s="13"/>
      <c r="BLE1307" s="13"/>
      <c r="BLF1307" s="13"/>
      <c r="BLG1307" s="13"/>
      <c r="BLH1307" s="13"/>
      <c r="BLI1307" s="13"/>
      <c r="BLJ1307" s="13"/>
      <c r="BLK1307" s="13"/>
      <c r="BLL1307" s="13"/>
      <c r="BLM1307" s="13"/>
      <c r="BLN1307" s="13"/>
      <c r="BLO1307" s="13"/>
      <c r="BLP1307" s="13"/>
      <c r="BLQ1307" s="13"/>
      <c r="BLR1307" s="13"/>
      <c r="BLS1307" s="13"/>
      <c r="BLT1307" s="13"/>
      <c r="BLU1307" s="13"/>
      <c r="BLV1307" s="13"/>
      <c r="BLW1307" s="13"/>
      <c r="BLX1307" s="13"/>
      <c r="BLY1307" s="13"/>
      <c r="BLZ1307" s="13"/>
      <c r="BMA1307" s="13"/>
      <c r="BMB1307" s="13"/>
      <c r="BMC1307" s="13"/>
      <c r="BMD1307" s="13"/>
      <c r="BME1307" s="13"/>
      <c r="BMF1307" s="13"/>
      <c r="BMG1307" s="13"/>
      <c r="BMH1307" s="13"/>
      <c r="BMI1307" s="13"/>
      <c r="BMJ1307" s="13"/>
      <c r="BMK1307" s="13"/>
      <c r="BML1307" s="13"/>
      <c r="BMM1307" s="13"/>
      <c r="BMN1307" s="13"/>
      <c r="BMO1307" s="13"/>
      <c r="BMP1307" s="13"/>
      <c r="BMQ1307" s="13"/>
      <c r="BMR1307" s="13"/>
      <c r="BMS1307" s="13"/>
      <c r="BMT1307" s="13"/>
      <c r="BMU1307" s="13"/>
      <c r="BMV1307" s="13"/>
      <c r="BMW1307" s="13"/>
      <c r="BMX1307" s="13"/>
      <c r="BMY1307" s="13"/>
      <c r="BMZ1307" s="13"/>
      <c r="BNA1307" s="13"/>
      <c r="BNB1307" s="13"/>
      <c r="BNC1307" s="13"/>
      <c r="BND1307" s="13"/>
      <c r="BNE1307" s="13"/>
      <c r="BNF1307" s="13"/>
      <c r="BNG1307" s="13"/>
      <c r="BNH1307" s="13"/>
      <c r="BNI1307" s="13"/>
      <c r="BNJ1307" s="13"/>
      <c r="BNK1307" s="13"/>
      <c r="BNL1307" s="13"/>
      <c r="BNM1307" s="13"/>
      <c r="BNN1307" s="13"/>
      <c r="BNO1307" s="13"/>
      <c r="BNP1307" s="13"/>
      <c r="BNQ1307" s="13"/>
      <c r="BNR1307" s="13"/>
      <c r="BNS1307" s="13"/>
      <c r="BNT1307" s="13"/>
      <c r="BNU1307" s="13"/>
      <c r="BNV1307" s="13"/>
      <c r="BNW1307" s="13"/>
      <c r="BNX1307" s="13"/>
      <c r="BNY1307" s="13"/>
      <c r="BNZ1307" s="13"/>
      <c r="BOA1307" s="13"/>
      <c r="BOB1307" s="13"/>
      <c r="BOC1307" s="13"/>
      <c r="BOD1307" s="13"/>
      <c r="BOE1307" s="13"/>
      <c r="BOF1307" s="13"/>
      <c r="BOG1307" s="13"/>
      <c r="BOH1307" s="13"/>
      <c r="BOI1307" s="13"/>
      <c r="BOJ1307" s="13"/>
      <c r="BOK1307" s="13"/>
      <c r="BOL1307" s="13"/>
      <c r="BOM1307" s="13"/>
      <c r="BON1307" s="13"/>
      <c r="BOO1307" s="13"/>
      <c r="BOP1307" s="13"/>
      <c r="BOQ1307" s="13"/>
      <c r="BOR1307" s="13"/>
      <c r="BOS1307" s="13"/>
      <c r="BOT1307" s="13"/>
      <c r="BOU1307" s="13"/>
      <c r="BOV1307" s="13"/>
      <c r="BOW1307" s="13"/>
      <c r="BOX1307" s="13"/>
      <c r="BOY1307" s="13"/>
      <c r="BOZ1307" s="13"/>
      <c r="BPA1307" s="13"/>
      <c r="BPB1307" s="13"/>
      <c r="BPC1307" s="13"/>
      <c r="BPD1307" s="13"/>
      <c r="BPE1307" s="13"/>
      <c r="BPF1307" s="13"/>
      <c r="BPG1307" s="13"/>
      <c r="BPH1307" s="13"/>
      <c r="BPI1307" s="13"/>
      <c r="BPJ1307" s="13"/>
      <c r="BPK1307" s="13"/>
      <c r="BPL1307" s="13"/>
      <c r="BPM1307" s="13"/>
      <c r="BPN1307" s="13"/>
      <c r="BPO1307" s="13"/>
      <c r="BPP1307" s="13"/>
      <c r="BPQ1307" s="13"/>
      <c r="BPR1307" s="13"/>
      <c r="BPS1307" s="13"/>
      <c r="BPT1307" s="13"/>
      <c r="BPU1307" s="13"/>
      <c r="BPV1307" s="13"/>
      <c r="BPW1307" s="13"/>
      <c r="BPX1307" s="13"/>
      <c r="BPY1307" s="13"/>
      <c r="BPZ1307" s="13"/>
      <c r="BQA1307" s="13"/>
      <c r="BQB1307" s="13"/>
      <c r="BQC1307" s="13"/>
      <c r="BQD1307" s="13"/>
      <c r="BQE1307" s="13"/>
      <c r="BQF1307" s="13"/>
      <c r="BQG1307" s="13"/>
      <c r="BQH1307" s="13"/>
      <c r="BQI1307" s="13"/>
      <c r="BQJ1307" s="13"/>
      <c r="BQK1307" s="13"/>
      <c r="BQL1307" s="13"/>
      <c r="BQM1307" s="13"/>
      <c r="BQN1307" s="13"/>
      <c r="BQO1307" s="13"/>
      <c r="BQP1307" s="13"/>
      <c r="BQQ1307" s="13"/>
      <c r="BQR1307" s="13"/>
      <c r="BQS1307" s="13"/>
      <c r="BQT1307" s="13"/>
      <c r="BQU1307" s="13"/>
      <c r="BQV1307" s="13"/>
      <c r="BQW1307" s="13"/>
      <c r="BQX1307" s="13"/>
      <c r="BQY1307" s="13"/>
      <c r="BQZ1307" s="13"/>
      <c r="BRA1307" s="13"/>
      <c r="BRB1307" s="13"/>
      <c r="BRC1307" s="13"/>
      <c r="BRD1307" s="13"/>
      <c r="BRE1307" s="13"/>
      <c r="BRF1307" s="13"/>
      <c r="BRG1307" s="13"/>
      <c r="BRH1307" s="13"/>
      <c r="BRI1307" s="13"/>
      <c r="BRJ1307" s="13"/>
      <c r="BRK1307" s="13"/>
      <c r="BRL1307" s="13"/>
      <c r="BRM1307" s="13"/>
      <c r="BRN1307" s="13"/>
      <c r="BRO1307" s="13"/>
      <c r="BRP1307" s="13"/>
      <c r="BRQ1307" s="13"/>
      <c r="BRR1307" s="13"/>
      <c r="BRS1307" s="13"/>
      <c r="BRT1307" s="13"/>
      <c r="BRU1307" s="13"/>
      <c r="BRV1307" s="13"/>
      <c r="BRW1307" s="13"/>
      <c r="BRX1307" s="13"/>
      <c r="BRY1307" s="13"/>
      <c r="BRZ1307" s="13"/>
      <c r="BSA1307" s="13"/>
      <c r="BSB1307" s="13"/>
      <c r="BSC1307" s="13"/>
      <c r="BSD1307" s="13"/>
      <c r="BSE1307" s="13"/>
      <c r="BSF1307" s="13"/>
      <c r="BSG1307" s="13"/>
      <c r="BSH1307" s="13"/>
      <c r="BSI1307" s="13"/>
      <c r="BSJ1307" s="13"/>
      <c r="BSK1307" s="13"/>
      <c r="BSL1307" s="13"/>
      <c r="BSM1307" s="13"/>
      <c r="BSN1307" s="13"/>
      <c r="BSO1307" s="13"/>
      <c r="BSP1307" s="13"/>
      <c r="BSQ1307" s="13"/>
      <c r="BSR1307" s="13"/>
      <c r="BSS1307" s="13"/>
      <c r="BST1307" s="13"/>
      <c r="BSU1307" s="13"/>
      <c r="BSV1307" s="13"/>
      <c r="BSW1307" s="13"/>
      <c r="BSX1307" s="13"/>
      <c r="BSY1307" s="13"/>
      <c r="BSZ1307" s="13"/>
      <c r="BTA1307" s="13"/>
    </row>
    <row r="1308" spans="1:1873" s="13" customFormat="1" x14ac:dyDescent="0.2">
      <c r="A1308" s="18"/>
      <c r="B1308" s="18"/>
      <c r="C1308" s="18"/>
      <c r="D1308" s="18"/>
      <c r="E1308" s="18"/>
      <c r="F1308" s="18"/>
      <c r="G1308" s="18"/>
      <c r="H1308" s="18"/>
      <c r="I1308" s="18"/>
      <c r="J1308" s="18"/>
      <c r="K1308" s="18"/>
      <c r="L1308" s="18"/>
      <c r="M1308" s="21"/>
      <c r="N1308" s="18"/>
      <c r="O1308" s="18"/>
      <c r="P1308" s="21"/>
      <c r="Q1308" s="37"/>
      <c r="R1308" s="21"/>
      <c r="S1308" s="37"/>
      <c r="T1308" s="22"/>
      <c r="U1308" s="18"/>
      <c r="V1308" s="18"/>
      <c r="W1308" s="22"/>
      <c r="X1308" s="18"/>
      <c r="Y1308" s="18"/>
      <c r="Z1308" s="18"/>
      <c r="AA1308" s="18"/>
      <c r="AB1308" s="21"/>
      <c r="AC1308" s="21"/>
      <c r="AD1308" s="20"/>
      <c r="AE1308" s="18"/>
      <c r="AF1308" s="18"/>
      <c r="AG1308" s="18"/>
      <c r="AH1308" s="18"/>
      <c r="AI1308" s="119"/>
      <c r="AJ1308" s="18"/>
      <c r="AK1308" s="18"/>
      <c r="AL1308" s="18"/>
      <c r="AM1308" s="18"/>
      <c r="AN1308" s="18"/>
      <c r="AO1308" s="18"/>
      <c r="AP1308" s="18"/>
      <c r="AQ1308" s="29"/>
      <c r="AR1308" s="29"/>
      <c r="AS1308" s="29"/>
      <c r="AT1308" s="29"/>
      <c r="AU1308" s="29"/>
      <c r="AV1308" s="29"/>
      <c r="AW1308" s="29"/>
      <c r="AX1308" s="18"/>
      <c r="AY1308" s="18"/>
      <c r="AZ1308" s="29"/>
      <c r="BA1308" s="18"/>
      <c r="BB1308" s="29"/>
      <c r="BC1308" s="18"/>
      <c r="BD1308" s="18"/>
      <c r="BE1308" s="18"/>
      <c r="BF1308" s="18"/>
      <c r="BG1308" s="18"/>
      <c r="BH1308" s="18"/>
      <c r="BI1308" s="18"/>
      <c r="BJ1308" s="18"/>
      <c r="BK1308" s="18"/>
      <c r="BL1308" s="18"/>
      <c r="BM1308" s="18"/>
      <c r="BN1308" s="18"/>
      <c r="BO1308" s="18"/>
      <c r="BP1308" s="18"/>
      <c r="BQ1308" s="18"/>
      <c r="BR1308" s="18"/>
      <c r="BS1308" s="30"/>
      <c r="BT1308" s="18"/>
      <c r="BU1308" s="18"/>
      <c r="BV1308" s="18"/>
      <c r="BW1308" s="18"/>
      <c r="BX1308" s="18"/>
      <c r="BY1308" s="18"/>
      <c r="BZ1308" s="18"/>
      <c r="CA1308" s="73"/>
      <c r="CC1308" s="18"/>
      <c r="CD1308" s="323" t="s">
        <v>1018</v>
      </c>
      <c r="CE1308" s="342" t="s">
        <v>1576</v>
      </c>
      <c r="CF1308" s="342"/>
      <c r="CG1308" s="18"/>
    </row>
    <row r="1309" spans="1:1873" s="61" customFormat="1" ht="12.6" customHeight="1" x14ac:dyDescent="0.2">
      <c r="A1309" s="327" t="s">
        <v>1396</v>
      </c>
      <c r="B1309" s="257" t="s">
        <v>538</v>
      </c>
      <c r="C1309" s="255" t="s">
        <v>1618</v>
      </c>
      <c r="D1309" s="255" t="s">
        <v>619</v>
      </c>
      <c r="E1309" s="327" t="s">
        <v>1487</v>
      </c>
      <c r="F1309" s="255">
        <v>1</v>
      </c>
      <c r="G1309" s="255">
        <v>3</v>
      </c>
      <c r="H1309" s="255">
        <v>3</v>
      </c>
      <c r="I1309" s="255" t="s">
        <v>621</v>
      </c>
      <c r="J1309" s="255">
        <v>2000</v>
      </c>
      <c r="K1309" s="613" t="s">
        <v>1211</v>
      </c>
      <c r="L1309" s="255">
        <v>2002</v>
      </c>
      <c r="M1309" s="297">
        <v>-9999</v>
      </c>
      <c r="N1309" s="255">
        <v>-9999</v>
      </c>
      <c r="O1309" s="65"/>
      <c r="P1309" s="287">
        <f>+T1309*G1309</f>
        <v>1.7999999999999998</v>
      </c>
      <c r="Q1309" s="255">
        <v>-9999</v>
      </c>
      <c r="R1309" s="297"/>
      <c r="S1309" s="255"/>
      <c r="T1309" s="297">
        <v>0.6</v>
      </c>
      <c r="U1309" s="255">
        <v>0.1</v>
      </c>
      <c r="V1309" s="255"/>
      <c r="W1309" s="261">
        <v>-9999</v>
      </c>
      <c r="X1309" s="255">
        <v>-9999</v>
      </c>
      <c r="Y1309" s="255"/>
      <c r="Z1309" s="327" t="s">
        <v>1490</v>
      </c>
      <c r="AA1309" s="255">
        <v>1333</v>
      </c>
      <c r="AB1309" s="297">
        <v>-9999</v>
      </c>
      <c r="AC1309" s="255">
        <v>-9999</v>
      </c>
      <c r="AD1309" s="255">
        <f>0.22*10000</f>
        <v>2200</v>
      </c>
      <c r="AE1309" s="327" t="s">
        <v>1969</v>
      </c>
      <c r="AF1309" s="255">
        <v>-9999</v>
      </c>
      <c r="AG1309" s="255">
        <v>2</v>
      </c>
      <c r="AH1309" s="255" t="s">
        <v>567</v>
      </c>
      <c r="AI1309" s="255">
        <v>-9999</v>
      </c>
      <c r="AJ1309" s="255">
        <v>-9999</v>
      </c>
      <c r="AK1309" s="255">
        <v>-9999</v>
      </c>
      <c r="AL1309" s="255">
        <v>-9999</v>
      </c>
      <c r="AM1309" s="255">
        <v>-9999</v>
      </c>
      <c r="AN1309" s="255" t="s">
        <v>626</v>
      </c>
      <c r="AO1309" s="255" t="s">
        <v>826</v>
      </c>
      <c r="AP1309" s="327" t="s">
        <v>1492</v>
      </c>
      <c r="AQ1309" s="255" t="s">
        <v>631</v>
      </c>
      <c r="AR1309" s="255">
        <v>0</v>
      </c>
      <c r="AS1309" s="255">
        <v>-9999</v>
      </c>
      <c r="AT1309" s="255">
        <v>0</v>
      </c>
      <c r="AU1309" s="255">
        <v>0</v>
      </c>
      <c r="AV1309" s="255">
        <v>-9999</v>
      </c>
      <c r="AW1309" s="255">
        <v>-9999</v>
      </c>
      <c r="AX1309" s="255">
        <v>0</v>
      </c>
      <c r="AY1309" s="255">
        <v>-9999</v>
      </c>
      <c r="AZ1309" s="255">
        <v>-9999</v>
      </c>
      <c r="BA1309" s="255" t="s">
        <v>556</v>
      </c>
      <c r="BB1309" s="327" t="s">
        <v>626</v>
      </c>
      <c r="BC1309" s="255">
        <v>-9999</v>
      </c>
      <c r="BD1309" s="255">
        <v>-9999</v>
      </c>
      <c r="BE1309" s="255">
        <v>-9999</v>
      </c>
      <c r="BF1309" s="255">
        <v>-9999</v>
      </c>
      <c r="BG1309" s="255">
        <v>-9999</v>
      </c>
      <c r="BH1309" s="255">
        <v>-9999</v>
      </c>
      <c r="BI1309" s="327" t="s">
        <v>1496</v>
      </c>
      <c r="BJ1309" s="255">
        <v>-9999</v>
      </c>
      <c r="BK1309" s="255">
        <v>-9999</v>
      </c>
      <c r="BL1309" s="255">
        <v>-9999</v>
      </c>
      <c r="BM1309" s="255">
        <v>-9999</v>
      </c>
      <c r="BN1309" s="255">
        <v>2.8</v>
      </c>
      <c r="BO1309" s="255">
        <v>-9999</v>
      </c>
      <c r="BP1309" s="255">
        <v>-9999</v>
      </c>
      <c r="BQ1309" s="255">
        <v>-9999</v>
      </c>
      <c r="BR1309" s="255">
        <v>-9999</v>
      </c>
      <c r="BS1309" s="263">
        <v>-9999</v>
      </c>
      <c r="BT1309" s="255">
        <v>-9999</v>
      </c>
      <c r="BU1309" s="255">
        <v>-9999</v>
      </c>
      <c r="BV1309" s="255">
        <v>-9999</v>
      </c>
      <c r="BW1309" s="255"/>
      <c r="BX1309" s="255">
        <v>-9999</v>
      </c>
      <c r="BY1309" s="255">
        <v>-9999</v>
      </c>
      <c r="BZ1309" s="255">
        <v>-9999</v>
      </c>
      <c r="CA1309" s="371">
        <v>-9999</v>
      </c>
      <c r="CB1309" s="357" t="s">
        <v>568</v>
      </c>
      <c r="CC1309" s="255">
        <v>1</v>
      </c>
      <c r="CD1309" s="255" t="s">
        <v>1618</v>
      </c>
      <c r="CE1309" s="340">
        <v>0.6</v>
      </c>
      <c r="CF1309" s="340"/>
      <c r="CG1309" s="95">
        <v>3</v>
      </c>
    </row>
    <row r="1310" spans="1:1873" s="61" customFormat="1" ht="12.6" customHeight="1" x14ac:dyDescent="0.2">
      <c r="A1310" s="327" t="s">
        <v>1396</v>
      </c>
      <c r="B1310" s="257" t="s">
        <v>538</v>
      </c>
      <c r="C1310" s="327" t="s">
        <v>1619</v>
      </c>
      <c r="D1310" s="255" t="s">
        <v>619</v>
      </c>
      <c r="E1310" s="327" t="s">
        <v>1487</v>
      </c>
      <c r="F1310" s="255">
        <v>1</v>
      </c>
      <c r="G1310" s="255">
        <v>3</v>
      </c>
      <c r="H1310" s="255">
        <v>3</v>
      </c>
      <c r="I1310" s="255" t="s">
        <v>621</v>
      </c>
      <c r="J1310" s="255">
        <v>2000</v>
      </c>
      <c r="K1310" s="613" t="s">
        <v>1211</v>
      </c>
      <c r="L1310" s="255">
        <v>2002</v>
      </c>
      <c r="M1310" s="297">
        <v>-9999</v>
      </c>
      <c r="N1310" s="255">
        <v>-9999</v>
      </c>
      <c r="O1310" s="65"/>
      <c r="P1310" s="287">
        <f>+T1310*G1310</f>
        <v>3.3000000000000003</v>
      </c>
      <c r="Q1310" s="255">
        <v>-9999</v>
      </c>
      <c r="R1310" s="297"/>
      <c r="S1310" s="255"/>
      <c r="T1310" s="297">
        <v>1.1000000000000001</v>
      </c>
      <c r="U1310" s="255">
        <v>0.4</v>
      </c>
      <c r="V1310" s="255"/>
      <c r="W1310" s="261">
        <v>-9999</v>
      </c>
      <c r="X1310" s="255">
        <v>-9999</v>
      </c>
      <c r="Y1310" s="255"/>
      <c r="Z1310" s="327" t="s">
        <v>1490</v>
      </c>
      <c r="AA1310" s="255">
        <v>1333</v>
      </c>
      <c r="AB1310" s="297">
        <v>-9999</v>
      </c>
      <c r="AC1310" s="255">
        <v>-9999</v>
      </c>
      <c r="AD1310" s="255">
        <f t="shared" ref="AD1310:AD1312" si="139">0.22*10000</f>
        <v>2200</v>
      </c>
      <c r="AE1310" s="327" t="s">
        <v>1969</v>
      </c>
      <c r="AF1310" s="255">
        <v>-9999</v>
      </c>
      <c r="AG1310" s="255">
        <v>2</v>
      </c>
      <c r="AH1310" s="255" t="s">
        <v>567</v>
      </c>
      <c r="AI1310" s="255">
        <v>-9999</v>
      </c>
      <c r="AJ1310" s="255">
        <v>-9999</v>
      </c>
      <c r="AK1310" s="255">
        <v>-9999</v>
      </c>
      <c r="AL1310" s="255">
        <v>-9999</v>
      </c>
      <c r="AM1310" s="255">
        <v>-9999</v>
      </c>
      <c r="AN1310" s="255" t="s">
        <v>626</v>
      </c>
      <c r="AO1310" s="255" t="s">
        <v>826</v>
      </c>
      <c r="AP1310" s="327" t="s">
        <v>1491</v>
      </c>
      <c r="AQ1310" s="327" t="s">
        <v>631</v>
      </c>
      <c r="AR1310" s="255">
        <v>0</v>
      </c>
      <c r="AS1310" s="255">
        <v>-9999</v>
      </c>
      <c r="AT1310" s="255">
        <v>0</v>
      </c>
      <c r="AU1310" s="255">
        <v>0</v>
      </c>
      <c r="AV1310" s="255">
        <v>-9999</v>
      </c>
      <c r="AW1310" s="255">
        <v>-9999</v>
      </c>
      <c r="AX1310" s="255">
        <v>0</v>
      </c>
      <c r="AY1310" s="255">
        <v>-9999</v>
      </c>
      <c r="AZ1310" s="255">
        <v>-9999</v>
      </c>
      <c r="BA1310" s="255" t="s">
        <v>556</v>
      </c>
      <c r="BB1310" s="327" t="s">
        <v>626</v>
      </c>
      <c r="BC1310" s="255">
        <v>-9999</v>
      </c>
      <c r="BD1310" s="255">
        <v>-9999</v>
      </c>
      <c r="BE1310" s="255">
        <v>-9999</v>
      </c>
      <c r="BF1310" s="255">
        <v>-9999</v>
      </c>
      <c r="BG1310" s="255">
        <v>-9999</v>
      </c>
      <c r="BH1310" s="255">
        <v>-9999</v>
      </c>
      <c r="BI1310" s="327" t="s">
        <v>1496</v>
      </c>
      <c r="BJ1310" s="255">
        <v>-9999</v>
      </c>
      <c r="BK1310" s="255">
        <v>-9999</v>
      </c>
      <c r="BL1310" s="255">
        <v>-9999</v>
      </c>
      <c r="BM1310" s="255">
        <v>-9999</v>
      </c>
      <c r="BN1310" s="255">
        <v>4</v>
      </c>
      <c r="BO1310" s="255">
        <v>-9999</v>
      </c>
      <c r="BP1310" s="255">
        <v>-9999</v>
      </c>
      <c r="BQ1310" s="255">
        <v>-9999</v>
      </c>
      <c r="BR1310" s="255">
        <v>-9999</v>
      </c>
      <c r="BS1310" s="263">
        <v>-9999</v>
      </c>
      <c r="BT1310" s="255">
        <v>-9999</v>
      </c>
      <c r="BU1310" s="255">
        <v>-9999</v>
      </c>
      <c r="BV1310" s="255">
        <v>-9999</v>
      </c>
      <c r="BW1310" s="255"/>
      <c r="BX1310" s="255">
        <v>-9999</v>
      </c>
      <c r="BY1310" s="255">
        <v>-9999</v>
      </c>
      <c r="BZ1310" s="255">
        <v>-9999</v>
      </c>
      <c r="CA1310" s="371">
        <v>-9999</v>
      </c>
      <c r="CB1310" s="357" t="s">
        <v>568</v>
      </c>
      <c r="CC1310" s="255">
        <v>1</v>
      </c>
      <c r="CD1310" s="327" t="s">
        <v>1619</v>
      </c>
      <c r="CE1310" s="340">
        <v>1.1000000000000001</v>
      </c>
      <c r="CF1310" s="340"/>
      <c r="CG1310" s="95">
        <v>3</v>
      </c>
    </row>
    <row r="1311" spans="1:1873" s="61" customFormat="1" ht="12.6" customHeight="1" x14ac:dyDescent="0.2">
      <c r="A1311" s="327" t="s">
        <v>1396</v>
      </c>
      <c r="B1311" s="257" t="s">
        <v>538</v>
      </c>
      <c r="C1311" s="327" t="s">
        <v>1620</v>
      </c>
      <c r="D1311" s="255" t="s">
        <v>619</v>
      </c>
      <c r="E1311" s="327" t="s">
        <v>1487</v>
      </c>
      <c r="F1311" s="255">
        <v>1</v>
      </c>
      <c r="G1311" s="255">
        <v>3</v>
      </c>
      <c r="H1311" s="255">
        <v>3</v>
      </c>
      <c r="I1311" s="255" t="s">
        <v>621</v>
      </c>
      <c r="J1311" s="255">
        <v>2000</v>
      </c>
      <c r="K1311" s="613" t="s">
        <v>1211</v>
      </c>
      <c r="L1311" s="255">
        <v>2002</v>
      </c>
      <c r="M1311" s="297">
        <v>-9999</v>
      </c>
      <c r="N1311" s="255">
        <v>-9999</v>
      </c>
      <c r="O1311" s="65"/>
      <c r="P1311" s="287">
        <f>+T1311*G1311</f>
        <v>5.4</v>
      </c>
      <c r="Q1311" s="255">
        <v>-9999</v>
      </c>
      <c r="R1311" s="297"/>
      <c r="S1311" s="255"/>
      <c r="T1311" s="297">
        <v>1.8</v>
      </c>
      <c r="U1311" s="255">
        <v>0.4</v>
      </c>
      <c r="V1311" s="255"/>
      <c r="W1311" s="261">
        <v>-9999</v>
      </c>
      <c r="X1311" s="255">
        <v>-9999</v>
      </c>
      <c r="Y1311" s="255"/>
      <c r="Z1311" s="327" t="s">
        <v>1490</v>
      </c>
      <c r="AA1311" s="255">
        <v>1333</v>
      </c>
      <c r="AB1311" s="297">
        <v>-9999</v>
      </c>
      <c r="AC1311" s="255">
        <v>-9999</v>
      </c>
      <c r="AD1311" s="255">
        <f t="shared" si="139"/>
        <v>2200</v>
      </c>
      <c r="AE1311" s="327" t="s">
        <v>1969</v>
      </c>
      <c r="AF1311" s="255">
        <v>-9999</v>
      </c>
      <c r="AG1311" s="255">
        <v>2</v>
      </c>
      <c r="AH1311" s="255" t="s">
        <v>567</v>
      </c>
      <c r="AI1311" s="255">
        <v>-9999</v>
      </c>
      <c r="AJ1311" s="255">
        <v>-9999</v>
      </c>
      <c r="AK1311" s="255">
        <v>-9999</v>
      </c>
      <c r="AL1311" s="255">
        <v>-9999</v>
      </c>
      <c r="AM1311" s="255">
        <v>-9999</v>
      </c>
      <c r="AN1311" s="255" t="s">
        <v>626</v>
      </c>
      <c r="AO1311" s="255" t="s">
        <v>826</v>
      </c>
      <c r="AP1311" s="327" t="s">
        <v>1492</v>
      </c>
      <c r="AQ1311" s="327" t="s">
        <v>626</v>
      </c>
      <c r="AR1311" s="255">
        <v>240</v>
      </c>
      <c r="AS1311" s="327" t="s">
        <v>1493</v>
      </c>
      <c r="AT1311" s="327" t="s">
        <v>1494</v>
      </c>
      <c r="AU1311" s="255">
        <v>0</v>
      </c>
      <c r="AV1311" s="255">
        <v>-9999</v>
      </c>
      <c r="AW1311" s="255">
        <v>-9999</v>
      </c>
      <c r="AX1311" s="255">
        <v>0</v>
      </c>
      <c r="AY1311" s="255">
        <v>-9999</v>
      </c>
      <c r="AZ1311" s="255">
        <v>-9999</v>
      </c>
      <c r="BA1311" s="255" t="s">
        <v>556</v>
      </c>
      <c r="BB1311" s="327" t="s">
        <v>626</v>
      </c>
      <c r="BC1311" s="255">
        <v>-9999</v>
      </c>
      <c r="BD1311" s="255">
        <v>-9999</v>
      </c>
      <c r="BE1311" s="255">
        <v>-9999</v>
      </c>
      <c r="BF1311" s="255">
        <v>-9999</v>
      </c>
      <c r="BG1311" s="255">
        <v>-9999</v>
      </c>
      <c r="BH1311" s="255">
        <v>-9999</v>
      </c>
      <c r="BI1311" s="327" t="s">
        <v>1496</v>
      </c>
      <c r="BJ1311" s="255">
        <v>-9999</v>
      </c>
      <c r="BK1311" s="255">
        <v>-9999</v>
      </c>
      <c r="BL1311" s="255">
        <v>-9999</v>
      </c>
      <c r="BM1311" s="255">
        <v>-9999</v>
      </c>
      <c r="BN1311" s="255">
        <v>5</v>
      </c>
      <c r="BO1311" s="255">
        <v>-9999</v>
      </c>
      <c r="BP1311" s="255">
        <v>-9999</v>
      </c>
      <c r="BQ1311" s="255">
        <v>-9999</v>
      </c>
      <c r="BR1311" s="255">
        <v>-9999</v>
      </c>
      <c r="BS1311" s="263">
        <v>-9999</v>
      </c>
      <c r="BT1311" s="255">
        <v>-9999</v>
      </c>
      <c r="BU1311" s="255">
        <v>-9999</v>
      </c>
      <c r="BV1311" s="255">
        <v>-9999</v>
      </c>
      <c r="BW1311" s="255"/>
      <c r="BX1311" s="255">
        <v>-9999</v>
      </c>
      <c r="BY1311" s="255">
        <v>-9999</v>
      </c>
      <c r="BZ1311" s="255">
        <v>-9999</v>
      </c>
      <c r="CA1311" s="371">
        <v>-9999</v>
      </c>
      <c r="CB1311" s="357" t="s">
        <v>568</v>
      </c>
      <c r="CC1311" s="255">
        <v>1</v>
      </c>
      <c r="CD1311" s="327" t="s">
        <v>1620</v>
      </c>
      <c r="CE1311" s="340">
        <v>1.8</v>
      </c>
      <c r="CF1311" s="340"/>
      <c r="CG1311" s="95">
        <v>3</v>
      </c>
    </row>
    <row r="1312" spans="1:1873" s="61" customFormat="1" ht="12.6" customHeight="1" x14ac:dyDescent="0.2">
      <c r="A1312" s="327" t="s">
        <v>1396</v>
      </c>
      <c r="B1312" s="257" t="s">
        <v>538</v>
      </c>
      <c r="C1312" s="327" t="s">
        <v>1483</v>
      </c>
      <c r="D1312" s="255" t="s">
        <v>619</v>
      </c>
      <c r="E1312" s="327" t="s">
        <v>1487</v>
      </c>
      <c r="F1312" s="255">
        <v>1</v>
      </c>
      <c r="G1312" s="255">
        <v>3</v>
      </c>
      <c r="H1312" s="255">
        <v>3</v>
      </c>
      <c r="I1312" s="255" t="s">
        <v>621</v>
      </c>
      <c r="J1312" s="255">
        <v>2000</v>
      </c>
      <c r="K1312" s="613" t="s">
        <v>1211</v>
      </c>
      <c r="L1312" s="255">
        <v>2002</v>
      </c>
      <c r="M1312" s="297">
        <v>-9999</v>
      </c>
      <c r="N1312" s="255">
        <v>-9999</v>
      </c>
      <c r="O1312" s="65"/>
      <c r="P1312" s="287">
        <f>+T1312*G1312</f>
        <v>9.3000000000000007</v>
      </c>
      <c r="Q1312" s="255">
        <v>-9999</v>
      </c>
      <c r="R1312" s="297"/>
      <c r="S1312" s="255"/>
      <c r="T1312" s="297">
        <v>3.1</v>
      </c>
      <c r="U1312" s="255">
        <v>0.5</v>
      </c>
      <c r="V1312" s="255"/>
      <c r="W1312" s="261">
        <v>-9999</v>
      </c>
      <c r="X1312" s="255">
        <v>-9999</v>
      </c>
      <c r="Y1312" s="255"/>
      <c r="Z1312" s="327" t="s">
        <v>1490</v>
      </c>
      <c r="AA1312" s="255">
        <v>1333</v>
      </c>
      <c r="AB1312" s="297">
        <v>-9999</v>
      </c>
      <c r="AC1312" s="255">
        <v>-9999</v>
      </c>
      <c r="AD1312" s="255">
        <f t="shared" si="139"/>
        <v>2200</v>
      </c>
      <c r="AE1312" s="327" t="s">
        <v>1969</v>
      </c>
      <c r="AF1312" s="255">
        <v>-9999</v>
      </c>
      <c r="AG1312" s="255">
        <v>2</v>
      </c>
      <c r="AH1312" s="255" t="s">
        <v>567</v>
      </c>
      <c r="AI1312" s="255">
        <v>-9999</v>
      </c>
      <c r="AJ1312" s="255">
        <v>-9999</v>
      </c>
      <c r="AK1312" s="255">
        <v>-9999</v>
      </c>
      <c r="AL1312" s="255">
        <v>-9999</v>
      </c>
      <c r="AM1312" s="255">
        <v>-9999</v>
      </c>
      <c r="AN1312" s="255" t="s">
        <v>626</v>
      </c>
      <c r="AO1312" s="255" t="s">
        <v>826</v>
      </c>
      <c r="AP1312" s="327" t="s">
        <v>1491</v>
      </c>
      <c r="AQ1312" s="327" t="s">
        <v>626</v>
      </c>
      <c r="AR1312" s="255">
        <v>240</v>
      </c>
      <c r="AS1312" s="327" t="s">
        <v>1493</v>
      </c>
      <c r="AT1312" s="327" t="s">
        <v>1494</v>
      </c>
      <c r="AU1312" s="255">
        <v>0</v>
      </c>
      <c r="AV1312" s="255">
        <v>-9999</v>
      </c>
      <c r="AW1312" s="255">
        <v>-9999</v>
      </c>
      <c r="AX1312" s="255">
        <v>0</v>
      </c>
      <c r="AY1312" s="255">
        <v>-9999</v>
      </c>
      <c r="AZ1312" s="255">
        <v>-9999</v>
      </c>
      <c r="BA1312" s="255" t="s">
        <v>556</v>
      </c>
      <c r="BB1312" s="327" t="s">
        <v>626</v>
      </c>
      <c r="BC1312" s="255">
        <v>-9999</v>
      </c>
      <c r="BD1312" s="255">
        <v>-9999</v>
      </c>
      <c r="BE1312" s="255">
        <v>-9999</v>
      </c>
      <c r="BF1312" s="255">
        <v>-9999</v>
      </c>
      <c r="BG1312" s="255">
        <v>-9999</v>
      </c>
      <c r="BH1312" s="255">
        <v>-9999</v>
      </c>
      <c r="BI1312" s="327" t="s">
        <v>1496</v>
      </c>
      <c r="BJ1312" s="255">
        <v>-9999</v>
      </c>
      <c r="BK1312" s="255">
        <v>-9999</v>
      </c>
      <c r="BL1312" s="255">
        <v>-9999</v>
      </c>
      <c r="BM1312" s="255">
        <v>-9999</v>
      </c>
      <c r="BN1312" s="255">
        <v>7</v>
      </c>
      <c r="BO1312" s="255">
        <v>-9999</v>
      </c>
      <c r="BP1312" s="255">
        <v>-9999</v>
      </c>
      <c r="BQ1312" s="255">
        <v>-9999</v>
      </c>
      <c r="BR1312" s="255">
        <v>-9999</v>
      </c>
      <c r="BS1312" s="263">
        <v>-9999</v>
      </c>
      <c r="BT1312" s="255">
        <v>-9999</v>
      </c>
      <c r="BU1312" s="255">
        <v>-9999</v>
      </c>
      <c r="BV1312" s="255">
        <v>-9999</v>
      </c>
      <c r="BW1312" s="255"/>
      <c r="BX1312" s="255">
        <v>-9999</v>
      </c>
      <c r="BY1312" s="255">
        <v>-9999</v>
      </c>
      <c r="BZ1312" s="255">
        <v>-9999</v>
      </c>
      <c r="CA1312" s="371">
        <v>-9999</v>
      </c>
      <c r="CB1312" s="357" t="s">
        <v>568</v>
      </c>
      <c r="CC1312" s="255">
        <v>1</v>
      </c>
      <c r="CD1312" s="327" t="s">
        <v>1483</v>
      </c>
      <c r="CE1312" s="340">
        <v>3.1</v>
      </c>
      <c r="CF1312" s="340"/>
      <c r="CG1312" s="95">
        <v>3</v>
      </c>
    </row>
    <row r="1313" spans="1:105" s="61" customFormat="1" ht="12.6" customHeight="1" x14ac:dyDescent="0.2">
      <c r="A1313" s="327"/>
      <c r="B1313" s="257"/>
      <c r="C1313" s="327"/>
      <c r="D1313" s="255"/>
      <c r="E1313" s="327"/>
      <c r="F1313" s="255"/>
      <c r="G1313" s="255"/>
      <c r="H1313" s="255"/>
      <c r="I1313" s="255"/>
      <c r="J1313" s="255"/>
      <c r="K1313" s="613"/>
      <c r="L1313" s="255"/>
      <c r="M1313" s="297"/>
      <c r="N1313" s="255"/>
      <c r="O1313" s="65"/>
      <c r="P1313" s="287"/>
      <c r="Q1313" s="255"/>
      <c r="R1313" s="297"/>
      <c r="S1313" s="255"/>
      <c r="T1313" s="297"/>
      <c r="U1313" s="255"/>
      <c r="V1313" s="255"/>
      <c r="W1313" s="287"/>
      <c r="X1313" s="255"/>
      <c r="Y1313" s="255"/>
      <c r="Z1313" s="327"/>
      <c r="AA1313" s="255"/>
      <c r="AB1313" s="297"/>
      <c r="AC1313" s="255"/>
      <c r="AD1313" s="255"/>
      <c r="AE1313" s="255"/>
      <c r="AF1313" s="255"/>
      <c r="AG1313" s="255"/>
      <c r="AH1313" s="255"/>
      <c r="AI1313" s="255"/>
      <c r="AJ1313" s="255"/>
      <c r="AK1313" s="255"/>
      <c r="AL1313" s="255"/>
      <c r="AM1313" s="255"/>
      <c r="AN1313" s="255"/>
      <c r="AO1313" s="255"/>
      <c r="AP1313" s="327"/>
      <c r="AQ1313" s="327"/>
      <c r="AR1313" s="255"/>
      <c r="AS1313" s="327"/>
      <c r="AT1313" s="327"/>
      <c r="AU1313" s="255"/>
      <c r="AV1313" s="255"/>
      <c r="AW1313" s="255"/>
      <c r="AX1313" s="255"/>
      <c r="AY1313" s="255"/>
      <c r="AZ1313" s="255"/>
      <c r="BA1313" s="255"/>
      <c r="BB1313" s="327"/>
      <c r="BC1313" s="255"/>
      <c r="BD1313" s="255"/>
      <c r="BE1313" s="255"/>
      <c r="BF1313" s="255"/>
      <c r="BG1313" s="255"/>
      <c r="BH1313" s="255"/>
      <c r="BI1313" s="327"/>
      <c r="BJ1313" s="255"/>
      <c r="BK1313" s="255"/>
      <c r="BL1313" s="255"/>
      <c r="BM1313" s="255"/>
      <c r="BN1313" s="255"/>
      <c r="BO1313" s="255"/>
      <c r="BP1313" s="255"/>
      <c r="BQ1313" s="255"/>
      <c r="BR1313" s="255"/>
      <c r="BS1313" s="263"/>
      <c r="BT1313" s="255"/>
      <c r="BU1313" s="255"/>
      <c r="BV1313" s="255"/>
      <c r="BW1313" s="255"/>
      <c r="BX1313" s="255"/>
      <c r="BY1313" s="255"/>
      <c r="BZ1313" s="255"/>
      <c r="CA1313" s="371"/>
      <c r="CB1313" s="357"/>
      <c r="CC1313" s="255"/>
      <c r="CD1313" s="327" t="s">
        <v>1018</v>
      </c>
      <c r="CE1313" s="342" t="s">
        <v>1576</v>
      </c>
      <c r="CF1313" s="342"/>
      <c r="CG1313" s="95"/>
    </row>
    <row r="1314" spans="1:105" s="61" customFormat="1" ht="12.6" customHeight="1" x14ac:dyDescent="0.2">
      <c r="A1314" s="327" t="s">
        <v>1396</v>
      </c>
      <c r="B1314" s="257" t="s">
        <v>538</v>
      </c>
      <c r="C1314" s="327" t="s">
        <v>1621</v>
      </c>
      <c r="D1314" s="255" t="s">
        <v>619</v>
      </c>
      <c r="E1314" s="327" t="s">
        <v>1486</v>
      </c>
      <c r="F1314" s="255">
        <v>1</v>
      </c>
      <c r="G1314" s="255">
        <v>3</v>
      </c>
      <c r="H1314" s="255">
        <v>3</v>
      </c>
      <c r="I1314" s="255" t="s">
        <v>621</v>
      </c>
      <c r="J1314" s="255">
        <v>2000</v>
      </c>
      <c r="K1314" s="613" t="s">
        <v>1211</v>
      </c>
      <c r="L1314" s="255">
        <v>2002</v>
      </c>
      <c r="M1314" s="297">
        <v>-9999</v>
      </c>
      <c r="N1314" s="255">
        <v>-9999</v>
      </c>
      <c r="O1314" s="65"/>
      <c r="P1314" s="287">
        <f>+T1314*G1314</f>
        <v>2.4000000000000004</v>
      </c>
      <c r="Q1314" s="255">
        <v>-9999</v>
      </c>
      <c r="R1314" s="297"/>
      <c r="S1314" s="255"/>
      <c r="T1314" s="297">
        <v>0.8</v>
      </c>
      <c r="U1314" s="255">
        <v>0.1</v>
      </c>
      <c r="V1314" s="255"/>
      <c r="W1314" s="261">
        <v>-9999</v>
      </c>
      <c r="X1314" s="255">
        <v>-9999</v>
      </c>
      <c r="Y1314" s="255"/>
      <c r="Z1314" s="327" t="s">
        <v>1490</v>
      </c>
      <c r="AA1314" s="255">
        <v>1333</v>
      </c>
      <c r="AB1314" s="297">
        <v>-9999</v>
      </c>
      <c r="AC1314" s="255">
        <v>-9999</v>
      </c>
      <c r="AD1314" s="255">
        <f t="shared" ref="AD1314:AD1317" si="140">0.22*10000</f>
        <v>2200</v>
      </c>
      <c r="AE1314" s="327" t="s">
        <v>1969</v>
      </c>
      <c r="AF1314" s="255">
        <v>-9999</v>
      </c>
      <c r="AG1314" s="255">
        <v>2</v>
      </c>
      <c r="AH1314" s="255" t="s">
        <v>567</v>
      </c>
      <c r="AI1314" s="255">
        <v>-9999</v>
      </c>
      <c r="AJ1314" s="255">
        <v>-9999</v>
      </c>
      <c r="AK1314" s="255">
        <v>-9999</v>
      </c>
      <c r="AL1314" s="255">
        <v>-9999</v>
      </c>
      <c r="AM1314" s="255">
        <v>-9999</v>
      </c>
      <c r="AN1314" s="255" t="s">
        <v>626</v>
      </c>
      <c r="AO1314" s="255" t="s">
        <v>826</v>
      </c>
      <c r="AP1314" s="327" t="s">
        <v>1492</v>
      </c>
      <c r="AQ1314" s="255" t="s">
        <v>631</v>
      </c>
      <c r="AR1314" s="255">
        <v>0</v>
      </c>
      <c r="AS1314" s="255">
        <v>-9999</v>
      </c>
      <c r="AT1314" s="255">
        <v>0</v>
      </c>
      <c r="AU1314" s="255">
        <v>0</v>
      </c>
      <c r="AV1314" s="255">
        <v>-9999</v>
      </c>
      <c r="AW1314" s="255">
        <v>-9999</v>
      </c>
      <c r="AX1314" s="255">
        <v>0</v>
      </c>
      <c r="AY1314" s="255">
        <v>-9999</v>
      </c>
      <c r="AZ1314" s="255">
        <v>-9999</v>
      </c>
      <c r="BA1314" s="255" t="s">
        <v>556</v>
      </c>
      <c r="BB1314" s="327" t="s">
        <v>626</v>
      </c>
      <c r="BC1314" s="255">
        <v>-9999</v>
      </c>
      <c r="BD1314" s="255">
        <v>-9999</v>
      </c>
      <c r="BE1314" s="255">
        <v>-9999</v>
      </c>
      <c r="BF1314" s="255">
        <v>-9999</v>
      </c>
      <c r="BG1314" s="255">
        <v>-9999</v>
      </c>
      <c r="BH1314" s="255">
        <v>-9999</v>
      </c>
      <c r="BI1314" s="327" t="s">
        <v>1496</v>
      </c>
      <c r="BJ1314" s="255">
        <v>-9999</v>
      </c>
      <c r="BK1314" s="255">
        <v>-9999</v>
      </c>
      <c r="BL1314" s="255">
        <v>-9999</v>
      </c>
      <c r="BM1314" s="255">
        <v>-9999</v>
      </c>
      <c r="BN1314" s="255">
        <v>3.1</v>
      </c>
      <c r="BO1314" s="255">
        <v>-9999</v>
      </c>
      <c r="BP1314" s="255">
        <v>-9999</v>
      </c>
      <c r="BQ1314" s="255">
        <v>-9999</v>
      </c>
      <c r="BR1314" s="255">
        <v>-9999</v>
      </c>
      <c r="BS1314" s="263">
        <v>-9999</v>
      </c>
      <c r="BT1314" s="255">
        <v>-9999</v>
      </c>
      <c r="BU1314" s="255">
        <v>-9999</v>
      </c>
      <c r="BV1314" s="255">
        <v>-9999</v>
      </c>
      <c r="BW1314" s="255"/>
      <c r="BX1314" s="255">
        <v>-9999</v>
      </c>
      <c r="BY1314" s="255">
        <v>-9999</v>
      </c>
      <c r="BZ1314" s="255">
        <v>-9999</v>
      </c>
      <c r="CA1314" s="371">
        <v>-9999</v>
      </c>
      <c r="CB1314" s="357" t="s">
        <v>568</v>
      </c>
      <c r="CC1314" s="255">
        <v>1</v>
      </c>
      <c r="CD1314" s="327" t="s">
        <v>1621</v>
      </c>
      <c r="CE1314" s="340">
        <v>0.8</v>
      </c>
      <c r="CF1314" s="340"/>
      <c r="CG1314" s="95">
        <v>3</v>
      </c>
    </row>
    <row r="1315" spans="1:105" s="61" customFormat="1" ht="12.6" customHeight="1" x14ac:dyDescent="0.2">
      <c r="A1315" s="327" t="s">
        <v>1396</v>
      </c>
      <c r="B1315" s="257" t="s">
        <v>538</v>
      </c>
      <c r="C1315" s="327" t="s">
        <v>1622</v>
      </c>
      <c r="D1315" s="255" t="s">
        <v>619</v>
      </c>
      <c r="E1315" s="327" t="s">
        <v>1486</v>
      </c>
      <c r="F1315" s="255">
        <v>1</v>
      </c>
      <c r="G1315" s="255">
        <v>3</v>
      </c>
      <c r="H1315" s="255">
        <v>3</v>
      </c>
      <c r="I1315" s="255" t="s">
        <v>621</v>
      </c>
      <c r="J1315" s="255">
        <v>2000</v>
      </c>
      <c r="K1315" s="613" t="s">
        <v>1211</v>
      </c>
      <c r="L1315" s="255">
        <v>2002</v>
      </c>
      <c r="M1315" s="297">
        <v>-9999</v>
      </c>
      <c r="N1315" s="255">
        <v>-9999</v>
      </c>
      <c r="O1315" s="65"/>
      <c r="P1315" s="287">
        <f>+T1315*G1315</f>
        <v>5.0999999999999996</v>
      </c>
      <c r="Q1315" s="255">
        <v>-9999</v>
      </c>
      <c r="R1315" s="297"/>
      <c r="S1315" s="255"/>
      <c r="T1315" s="297">
        <v>1.7</v>
      </c>
      <c r="U1315" s="255">
        <v>0.5</v>
      </c>
      <c r="V1315" s="255"/>
      <c r="W1315" s="261">
        <v>-9999</v>
      </c>
      <c r="X1315" s="255">
        <v>-9999</v>
      </c>
      <c r="Y1315" s="255"/>
      <c r="Z1315" s="327" t="s">
        <v>1490</v>
      </c>
      <c r="AA1315" s="255">
        <v>1333</v>
      </c>
      <c r="AB1315" s="297">
        <v>-9999</v>
      </c>
      <c r="AC1315" s="255">
        <v>-9999</v>
      </c>
      <c r="AD1315" s="255">
        <f t="shared" si="140"/>
        <v>2200</v>
      </c>
      <c r="AE1315" s="327" t="s">
        <v>1969</v>
      </c>
      <c r="AF1315" s="255">
        <v>-9999</v>
      </c>
      <c r="AG1315" s="255">
        <v>2</v>
      </c>
      <c r="AH1315" s="255" t="s">
        <v>567</v>
      </c>
      <c r="AI1315" s="255">
        <v>-9999</v>
      </c>
      <c r="AJ1315" s="255">
        <v>-9999</v>
      </c>
      <c r="AK1315" s="255">
        <v>-9999</v>
      </c>
      <c r="AL1315" s="255">
        <v>-9999</v>
      </c>
      <c r="AM1315" s="255">
        <v>-9999</v>
      </c>
      <c r="AN1315" s="255" t="s">
        <v>626</v>
      </c>
      <c r="AO1315" s="255" t="s">
        <v>826</v>
      </c>
      <c r="AP1315" s="327" t="s">
        <v>1491</v>
      </c>
      <c r="AQ1315" s="255" t="s">
        <v>631</v>
      </c>
      <c r="AR1315" s="255">
        <v>0</v>
      </c>
      <c r="AS1315" s="255">
        <v>-9999</v>
      </c>
      <c r="AT1315" s="255">
        <v>0</v>
      </c>
      <c r="AU1315" s="255">
        <v>0</v>
      </c>
      <c r="AV1315" s="255">
        <v>-9999</v>
      </c>
      <c r="AW1315" s="255">
        <v>-9999</v>
      </c>
      <c r="AX1315" s="255">
        <v>0</v>
      </c>
      <c r="AY1315" s="255">
        <v>-9999</v>
      </c>
      <c r="AZ1315" s="255">
        <v>-9999</v>
      </c>
      <c r="BA1315" s="255" t="s">
        <v>556</v>
      </c>
      <c r="BB1315" s="327" t="s">
        <v>626</v>
      </c>
      <c r="BC1315" s="255">
        <v>-9999</v>
      </c>
      <c r="BD1315" s="255">
        <v>-9999</v>
      </c>
      <c r="BE1315" s="255">
        <v>-9999</v>
      </c>
      <c r="BF1315" s="255">
        <v>-9999</v>
      </c>
      <c r="BG1315" s="255">
        <v>-9999</v>
      </c>
      <c r="BH1315" s="255">
        <v>-9999</v>
      </c>
      <c r="BI1315" s="327" t="s">
        <v>1496</v>
      </c>
      <c r="BJ1315" s="255">
        <v>-9999</v>
      </c>
      <c r="BK1315" s="255">
        <v>-9999</v>
      </c>
      <c r="BL1315" s="255">
        <v>-9999</v>
      </c>
      <c r="BM1315" s="255">
        <v>-9999</v>
      </c>
      <c r="BN1315" s="255">
        <v>4.8</v>
      </c>
      <c r="BO1315" s="255">
        <v>-9999</v>
      </c>
      <c r="BP1315" s="255">
        <v>-9999</v>
      </c>
      <c r="BQ1315" s="255">
        <v>-9999</v>
      </c>
      <c r="BR1315" s="255">
        <v>-9999</v>
      </c>
      <c r="BS1315" s="263">
        <v>-9999</v>
      </c>
      <c r="BT1315" s="255">
        <v>-9999</v>
      </c>
      <c r="BU1315" s="255">
        <v>-9999</v>
      </c>
      <c r="BV1315" s="255">
        <v>-9999</v>
      </c>
      <c r="BW1315" s="255"/>
      <c r="BX1315" s="255">
        <v>-9999</v>
      </c>
      <c r="BY1315" s="255">
        <v>-9999</v>
      </c>
      <c r="BZ1315" s="255">
        <v>-9999</v>
      </c>
      <c r="CA1315" s="371">
        <v>-9999</v>
      </c>
      <c r="CB1315" s="357" t="s">
        <v>568</v>
      </c>
      <c r="CC1315" s="255">
        <v>1</v>
      </c>
      <c r="CD1315" s="327" t="s">
        <v>1622</v>
      </c>
      <c r="CE1315" s="340">
        <v>1.7</v>
      </c>
      <c r="CF1315" s="340"/>
      <c r="CG1315" s="95">
        <v>3</v>
      </c>
    </row>
    <row r="1316" spans="1:105" s="61" customFormat="1" ht="12.6" customHeight="1" x14ac:dyDescent="0.2">
      <c r="A1316" s="327" t="s">
        <v>1396</v>
      </c>
      <c r="B1316" s="257" t="s">
        <v>538</v>
      </c>
      <c r="C1316" s="327" t="s">
        <v>1623</v>
      </c>
      <c r="D1316" s="255" t="s">
        <v>619</v>
      </c>
      <c r="E1316" s="327" t="s">
        <v>1486</v>
      </c>
      <c r="F1316" s="255">
        <v>1</v>
      </c>
      <c r="G1316" s="255">
        <v>3</v>
      </c>
      <c r="H1316" s="255">
        <v>3</v>
      </c>
      <c r="I1316" s="255" t="s">
        <v>621</v>
      </c>
      <c r="J1316" s="255">
        <v>2000</v>
      </c>
      <c r="K1316" s="613" t="s">
        <v>1211</v>
      </c>
      <c r="L1316" s="255">
        <v>2002</v>
      </c>
      <c r="M1316" s="297">
        <v>-9999</v>
      </c>
      <c r="N1316" s="255">
        <v>-9999</v>
      </c>
      <c r="O1316" s="65"/>
      <c r="P1316" s="287">
        <f>+T1316*G1316</f>
        <v>5.4</v>
      </c>
      <c r="Q1316" s="255">
        <v>-9999</v>
      </c>
      <c r="R1316" s="297"/>
      <c r="S1316" s="255"/>
      <c r="T1316" s="297">
        <v>1.8</v>
      </c>
      <c r="U1316" s="255">
        <v>0.2</v>
      </c>
      <c r="V1316" s="255"/>
      <c r="W1316" s="261">
        <v>-9999</v>
      </c>
      <c r="X1316" s="255">
        <v>-9999</v>
      </c>
      <c r="Y1316" s="255"/>
      <c r="Z1316" s="327" t="s">
        <v>1490</v>
      </c>
      <c r="AA1316" s="255">
        <v>1333</v>
      </c>
      <c r="AB1316" s="297">
        <v>-9999</v>
      </c>
      <c r="AC1316" s="255">
        <v>-9999</v>
      </c>
      <c r="AD1316" s="255">
        <f t="shared" si="140"/>
        <v>2200</v>
      </c>
      <c r="AE1316" s="327" t="s">
        <v>1969</v>
      </c>
      <c r="AF1316" s="255">
        <v>-9999</v>
      </c>
      <c r="AG1316" s="255">
        <v>2</v>
      </c>
      <c r="AH1316" s="255" t="s">
        <v>567</v>
      </c>
      <c r="AI1316" s="255">
        <v>-9999</v>
      </c>
      <c r="AJ1316" s="255">
        <v>-9999</v>
      </c>
      <c r="AK1316" s="255">
        <v>-9999</v>
      </c>
      <c r="AL1316" s="255">
        <v>-9999</v>
      </c>
      <c r="AM1316" s="255">
        <v>-9999</v>
      </c>
      <c r="AN1316" s="255" t="s">
        <v>626</v>
      </c>
      <c r="AO1316" s="255" t="s">
        <v>826</v>
      </c>
      <c r="AP1316" s="327" t="s">
        <v>1492</v>
      </c>
      <c r="AQ1316" s="327" t="s">
        <v>626</v>
      </c>
      <c r="AR1316" s="255">
        <v>240</v>
      </c>
      <c r="AS1316" s="327" t="s">
        <v>1493</v>
      </c>
      <c r="AT1316" s="327" t="s">
        <v>1494</v>
      </c>
      <c r="AU1316" s="255">
        <v>0</v>
      </c>
      <c r="AV1316" s="255">
        <v>-9999</v>
      </c>
      <c r="AW1316" s="255">
        <v>-9999</v>
      </c>
      <c r="AX1316" s="255">
        <v>0</v>
      </c>
      <c r="AY1316" s="255">
        <v>-9999</v>
      </c>
      <c r="AZ1316" s="255">
        <v>-9999</v>
      </c>
      <c r="BA1316" s="255" t="s">
        <v>556</v>
      </c>
      <c r="BB1316" s="327" t="s">
        <v>626</v>
      </c>
      <c r="BC1316" s="255">
        <v>-9999</v>
      </c>
      <c r="BD1316" s="255">
        <v>-9999</v>
      </c>
      <c r="BE1316" s="255">
        <v>-9999</v>
      </c>
      <c r="BF1316" s="255">
        <v>-9999</v>
      </c>
      <c r="BG1316" s="255">
        <v>-9999</v>
      </c>
      <c r="BH1316" s="255">
        <v>-9999</v>
      </c>
      <c r="BI1316" s="327" t="s">
        <v>1496</v>
      </c>
      <c r="BJ1316" s="255">
        <v>-9999</v>
      </c>
      <c r="BK1316" s="255">
        <v>-9999</v>
      </c>
      <c r="BL1316" s="255">
        <v>-9999</v>
      </c>
      <c r="BM1316" s="255">
        <v>-9999</v>
      </c>
      <c r="BN1316" s="255">
        <v>5.5</v>
      </c>
      <c r="BO1316" s="255">
        <v>-9999</v>
      </c>
      <c r="BP1316" s="255">
        <v>-9999</v>
      </c>
      <c r="BQ1316" s="255">
        <v>-9999</v>
      </c>
      <c r="BR1316" s="255">
        <v>-9999</v>
      </c>
      <c r="BS1316" s="263">
        <v>-9999</v>
      </c>
      <c r="BT1316" s="255">
        <v>-9999</v>
      </c>
      <c r="BU1316" s="255">
        <v>-9999</v>
      </c>
      <c r="BV1316" s="255">
        <v>-9999</v>
      </c>
      <c r="BW1316" s="255"/>
      <c r="BX1316" s="255">
        <v>-9999</v>
      </c>
      <c r="BY1316" s="255">
        <v>-9999</v>
      </c>
      <c r="BZ1316" s="255">
        <v>-9999</v>
      </c>
      <c r="CA1316" s="371">
        <v>-9999</v>
      </c>
      <c r="CB1316" s="357" t="s">
        <v>568</v>
      </c>
      <c r="CC1316" s="255">
        <v>1</v>
      </c>
      <c r="CD1316" s="327" t="s">
        <v>1623</v>
      </c>
      <c r="CE1316" s="340">
        <v>1.8</v>
      </c>
      <c r="CF1316" s="340"/>
      <c r="CG1316" s="95">
        <v>3</v>
      </c>
    </row>
    <row r="1317" spans="1:105" s="61" customFormat="1" ht="12.6" customHeight="1" x14ac:dyDescent="0.2">
      <c r="A1317" s="327" t="s">
        <v>1396</v>
      </c>
      <c r="B1317" s="257" t="s">
        <v>538</v>
      </c>
      <c r="C1317" s="327" t="s">
        <v>1484</v>
      </c>
      <c r="D1317" s="255" t="s">
        <v>619</v>
      </c>
      <c r="E1317" s="327" t="s">
        <v>1486</v>
      </c>
      <c r="F1317" s="255">
        <v>1</v>
      </c>
      <c r="G1317" s="255">
        <v>3</v>
      </c>
      <c r="H1317" s="255">
        <v>3</v>
      </c>
      <c r="I1317" s="255" t="s">
        <v>621</v>
      </c>
      <c r="J1317" s="255">
        <v>2000</v>
      </c>
      <c r="K1317" s="613" t="s">
        <v>1211</v>
      </c>
      <c r="L1317" s="255">
        <v>2002</v>
      </c>
      <c r="M1317" s="297">
        <v>-9999</v>
      </c>
      <c r="N1317" s="255">
        <v>-9999</v>
      </c>
      <c r="O1317" s="65"/>
      <c r="P1317" s="287">
        <f>+T1317*G1317</f>
        <v>9.6000000000000014</v>
      </c>
      <c r="Q1317" s="255">
        <v>-9999</v>
      </c>
      <c r="R1317" s="297"/>
      <c r="S1317" s="255"/>
      <c r="T1317" s="297">
        <v>3.2</v>
      </c>
      <c r="U1317" s="255">
        <v>0.5</v>
      </c>
      <c r="V1317" s="255"/>
      <c r="W1317" s="261">
        <v>-9999</v>
      </c>
      <c r="X1317" s="255">
        <v>-9999</v>
      </c>
      <c r="Y1317" s="255"/>
      <c r="Z1317" s="327" t="s">
        <v>1490</v>
      </c>
      <c r="AA1317" s="255">
        <v>1333</v>
      </c>
      <c r="AB1317" s="297">
        <v>-9999</v>
      </c>
      <c r="AC1317" s="255">
        <v>-9999</v>
      </c>
      <c r="AD1317" s="255">
        <f t="shared" si="140"/>
        <v>2200</v>
      </c>
      <c r="AE1317" s="327" t="s">
        <v>1969</v>
      </c>
      <c r="AF1317" s="255">
        <v>-9999</v>
      </c>
      <c r="AG1317" s="255">
        <v>2</v>
      </c>
      <c r="AH1317" s="255" t="s">
        <v>567</v>
      </c>
      <c r="AI1317" s="255">
        <v>-9999</v>
      </c>
      <c r="AJ1317" s="255">
        <v>-9999</v>
      </c>
      <c r="AK1317" s="255">
        <v>-9999</v>
      </c>
      <c r="AL1317" s="255">
        <v>-9999</v>
      </c>
      <c r="AM1317" s="255">
        <v>-9999</v>
      </c>
      <c r="AN1317" s="255" t="s">
        <v>626</v>
      </c>
      <c r="AO1317" s="255" t="s">
        <v>826</v>
      </c>
      <c r="AP1317" s="327" t="s">
        <v>1491</v>
      </c>
      <c r="AQ1317" s="327" t="s">
        <v>626</v>
      </c>
      <c r="AR1317" s="255">
        <v>240</v>
      </c>
      <c r="AS1317" s="327" t="s">
        <v>1493</v>
      </c>
      <c r="AT1317" s="327" t="s">
        <v>1494</v>
      </c>
      <c r="AU1317" s="255">
        <v>0</v>
      </c>
      <c r="AV1317" s="255">
        <v>-9999</v>
      </c>
      <c r="AW1317" s="255">
        <v>-9999</v>
      </c>
      <c r="AX1317" s="255">
        <v>0</v>
      </c>
      <c r="AY1317" s="255">
        <v>-9999</v>
      </c>
      <c r="AZ1317" s="255">
        <v>-9999</v>
      </c>
      <c r="BA1317" s="255" t="s">
        <v>556</v>
      </c>
      <c r="BB1317" s="327" t="s">
        <v>626</v>
      </c>
      <c r="BC1317" s="255">
        <v>-9999</v>
      </c>
      <c r="BD1317" s="255">
        <v>-9999</v>
      </c>
      <c r="BE1317" s="255">
        <v>-9999</v>
      </c>
      <c r="BF1317" s="255">
        <v>-9999</v>
      </c>
      <c r="BG1317" s="255">
        <v>-9999</v>
      </c>
      <c r="BH1317" s="255">
        <v>-9999</v>
      </c>
      <c r="BI1317" s="327" t="s">
        <v>1496</v>
      </c>
      <c r="BJ1317" s="255">
        <v>-9999</v>
      </c>
      <c r="BK1317" s="255">
        <v>-9999</v>
      </c>
      <c r="BL1317" s="255">
        <v>-9999</v>
      </c>
      <c r="BM1317" s="255">
        <v>-9999</v>
      </c>
      <c r="BN1317" s="255">
        <v>7.2</v>
      </c>
      <c r="BO1317" s="255">
        <v>-9999</v>
      </c>
      <c r="BP1317" s="255">
        <v>-9999</v>
      </c>
      <c r="BQ1317" s="255">
        <v>-9999</v>
      </c>
      <c r="BR1317" s="255">
        <v>-9999</v>
      </c>
      <c r="BS1317" s="263">
        <v>-9999</v>
      </c>
      <c r="BT1317" s="255">
        <v>-9999</v>
      </c>
      <c r="BU1317" s="255">
        <v>-9999</v>
      </c>
      <c r="BV1317" s="255">
        <v>-9999</v>
      </c>
      <c r="BW1317" s="255"/>
      <c r="BX1317" s="255">
        <v>-9999</v>
      </c>
      <c r="BY1317" s="255">
        <v>-9999</v>
      </c>
      <c r="BZ1317" s="255">
        <v>-9999</v>
      </c>
      <c r="CA1317" s="371">
        <v>-9999</v>
      </c>
      <c r="CB1317" s="357" t="s">
        <v>568</v>
      </c>
      <c r="CC1317" s="255">
        <v>1</v>
      </c>
      <c r="CD1317" s="327" t="s">
        <v>1484</v>
      </c>
      <c r="CE1317" s="340">
        <v>3.2</v>
      </c>
      <c r="CF1317" s="340"/>
      <c r="CG1317" s="95">
        <v>3</v>
      </c>
    </row>
    <row r="1318" spans="1:105" s="61" customFormat="1" ht="12.6" customHeight="1" x14ac:dyDescent="0.2">
      <c r="A1318" s="327"/>
      <c r="B1318" s="257"/>
      <c r="C1318" s="327"/>
      <c r="D1318" s="255"/>
      <c r="E1318" s="327"/>
      <c r="F1318" s="255"/>
      <c r="G1318" s="255"/>
      <c r="H1318" s="255"/>
      <c r="I1318" s="255"/>
      <c r="J1318" s="255"/>
      <c r="K1318" s="613"/>
      <c r="L1318" s="255"/>
      <c r="M1318" s="297"/>
      <c r="N1318" s="255"/>
      <c r="O1318" s="65"/>
      <c r="P1318" s="287"/>
      <c r="Q1318" s="255"/>
      <c r="R1318" s="297"/>
      <c r="S1318" s="255"/>
      <c r="T1318" s="297"/>
      <c r="U1318" s="255"/>
      <c r="V1318" s="255"/>
      <c r="W1318" s="287"/>
      <c r="X1318" s="255"/>
      <c r="Y1318" s="255"/>
      <c r="Z1318" s="327"/>
      <c r="AA1318" s="255"/>
      <c r="AB1318" s="297"/>
      <c r="AC1318" s="255"/>
      <c r="AD1318" s="255"/>
      <c r="AE1318" s="255"/>
      <c r="AF1318" s="255"/>
      <c r="AG1318" s="255"/>
      <c r="AH1318" s="255"/>
      <c r="AI1318" s="255"/>
      <c r="AJ1318" s="255"/>
      <c r="AK1318" s="255"/>
      <c r="AL1318" s="255"/>
      <c r="AM1318" s="255"/>
      <c r="AN1318" s="255"/>
      <c r="AO1318" s="255"/>
      <c r="AP1318" s="327"/>
      <c r="AQ1318" s="327"/>
      <c r="AR1318" s="255"/>
      <c r="AS1318" s="327"/>
      <c r="AT1318" s="327"/>
      <c r="AU1318" s="255"/>
      <c r="AV1318" s="255"/>
      <c r="AW1318" s="255"/>
      <c r="AX1318" s="255"/>
      <c r="AY1318" s="255"/>
      <c r="AZ1318" s="255"/>
      <c r="BA1318" s="255"/>
      <c r="BB1318" s="327"/>
      <c r="BC1318" s="255"/>
      <c r="BD1318" s="255"/>
      <c r="BE1318" s="255"/>
      <c r="BF1318" s="255"/>
      <c r="BG1318" s="255"/>
      <c r="BH1318" s="255"/>
      <c r="BI1318" s="327"/>
      <c r="BJ1318" s="255"/>
      <c r="BK1318" s="255"/>
      <c r="BL1318" s="255"/>
      <c r="BM1318" s="255"/>
      <c r="BN1318" s="255"/>
      <c r="BO1318" s="255"/>
      <c r="BP1318" s="255"/>
      <c r="BQ1318" s="255"/>
      <c r="BR1318" s="255"/>
      <c r="BS1318" s="263"/>
      <c r="BT1318" s="255"/>
      <c r="BU1318" s="255"/>
      <c r="BV1318" s="255"/>
      <c r="BW1318" s="255"/>
      <c r="BX1318" s="255"/>
      <c r="BY1318" s="255"/>
      <c r="BZ1318" s="255"/>
      <c r="CA1318" s="371"/>
      <c r="CB1318" s="357"/>
      <c r="CC1318" s="255"/>
      <c r="CD1318" s="327" t="s">
        <v>1018</v>
      </c>
      <c r="CE1318" s="342" t="s">
        <v>1576</v>
      </c>
      <c r="CF1318" s="342"/>
      <c r="CG1318" s="95"/>
    </row>
    <row r="1319" spans="1:105" s="61" customFormat="1" ht="12.6" customHeight="1" x14ac:dyDescent="0.2">
      <c r="A1319" s="327" t="s">
        <v>1396</v>
      </c>
      <c r="B1319" s="257" t="s">
        <v>538</v>
      </c>
      <c r="C1319" s="327" t="s">
        <v>1624</v>
      </c>
      <c r="D1319" s="255" t="s">
        <v>619</v>
      </c>
      <c r="E1319" s="327" t="s">
        <v>882</v>
      </c>
      <c r="F1319" s="255">
        <v>1</v>
      </c>
      <c r="G1319" s="255">
        <v>3</v>
      </c>
      <c r="H1319" s="255">
        <v>3</v>
      </c>
      <c r="I1319" s="255" t="s">
        <v>621</v>
      </c>
      <c r="J1319" s="255">
        <v>2000</v>
      </c>
      <c r="K1319" s="613" t="s">
        <v>1211</v>
      </c>
      <c r="L1319" s="255">
        <v>2002</v>
      </c>
      <c r="M1319" s="297">
        <v>-9999</v>
      </c>
      <c r="N1319" s="255">
        <v>-9999</v>
      </c>
      <c r="O1319" s="65"/>
      <c r="P1319" s="287">
        <f>+T1319*G1319</f>
        <v>4.5</v>
      </c>
      <c r="Q1319" s="255">
        <v>-9999</v>
      </c>
      <c r="R1319" s="297"/>
      <c r="S1319" s="255"/>
      <c r="T1319" s="297">
        <v>1.5</v>
      </c>
      <c r="U1319" s="255">
        <v>0.1</v>
      </c>
      <c r="V1319" s="255"/>
      <c r="W1319" s="261">
        <v>-9999</v>
      </c>
      <c r="X1319" s="255">
        <v>-9999</v>
      </c>
      <c r="Y1319" s="255"/>
      <c r="Z1319" s="327" t="s">
        <v>1490</v>
      </c>
      <c r="AA1319" s="255">
        <v>1333</v>
      </c>
      <c r="AB1319" s="297">
        <v>-9999</v>
      </c>
      <c r="AC1319" s="255">
        <v>-9999</v>
      </c>
      <c r="AD1319" s="255">
        <f t="shared" ref="AD1319:AD1322" si="141">0.22*10000</f>
        <v>2200</v>
      </c>
      <c r="AE1319" s="327" t="s">
        <v>1969</v>
      </c>
      <c r="AF1319" s="255">
        <v>-9999</v>
      </c>
      <c r="AG1319" s="255">
        <v>2</v>
      </c>
      <c r="AH1319" s="327" t="s">
        <v>1488</v>
      </c>
      <c r="AI1319" s="615" t="s">
        <v>1489</v>
      </c>
      <c r="AJ1319" s="255">
        <v>-9999</v>
      </c>
      <c r="AK1319" s="255">
        <v>-9999</v>
      </c>
      <c r="AL1319" s="255">
        <v>-9999</v>
      </c>
      <c r="AM1319" s="255">
        <v>-9999</v>
      </c>
      <c r="AN1319" s="255" t="s">
        <v>626</v>
      </c>
      <c r="AO1319" s="255" t="s">
        <v>826</v>
      </c>
      <c r="AP1319" s="327" t="s">
        <v>1492</v>
      </c>
      <c r="AQ1319" s="255" t="s">
        <v>631</v>
      </c>
      <c r="AR1319" s="255">
        <v>0</v>
      </c>
      <c r="AS1319" s="255">
        <v>-9999</v>
      </c>
      <c r="AT1319" s="255">
        <v>0</v>
      </c>
      <c r="AU1319" s="255">
        <v>0</v>
      </c>
      <c r="AV1319" s="255">
        <v>-9999</v>
      </c>
      <c r="AW1319" s="255">
        <v>-9999</v>
      </c>
      <c r="AX1319" s="255">
        <v>0</v>
      </c>
      <c r="AY1319" s="255">
        <v>-9999</v>
      </c>
      <c r="AZ1319" s="255">
        <v>-9999</v>
      </c>
      <c r="BA1319" s="255" t="s">
        <v>556</v>
      </c>
      <c r="BB1319" s="327" t="s">
        <v>626</v>
      </c>
      <c r="BC1319" s="255">
        <v>-9999</v>
      </c>
      <c r="BD1319" s="255">
        <v>-9999</v>
      </c>
      <c r="BE1319" s="255">
        <v>-9999</v>
      </c>
      <c r="BF1319" s="255">
        <v>-9999</v>
      </c>
      <c r="BG1319" s="255">
        <v>-9999</v>
      </c>
      <c r="BH1319" s="255">
        <v>-9999</v>
      </c>
      <c r="BI1319" s="327" t="s">
        <v>1496</v>
      </c>
      <c r="BJ1319" s="255">
        <v>-9999</v>
      </c>
      <c r="BK1319" s="255">
        <v>-9999</v>
      </c>
      <c r="BL1319" s="255">
        <v>-9999</v>
      </c>
      <c r="BM1319" s="255">
        <v>-9999</v>
      </c>
      <c r="BN1319" s="255">
        <v>3.9</v>
      </c>
      <c r="BO1319" s="255">
        <v>-9999</v>
      </c>
      <c r="BP1319" s="255">
        <v>-9999</v>
      </c>
      <c r="BQ1319" s="255">
        <v>-9999</v>
      </c>
      <c r="BR1319" s="255">
        <v>-9999</v>
      </c>
      <c r="BS1319" s="263">
        <v>-9999</v>
      </c>
      <c r="BT1319" s="255">
        <v>-9999</v>
      </c>
      <c r="BU1319" s="255">
        <v>-9999</v>
      </c>
      <c r="BV1319" s="255">
        <v>-9999</v>
      </c>
      <c r="BW1319" s="255"/>
      <c r="BX1319" s="255">
        <v>-9999</v>
      </c>
      <c r="BY1319" s="255">
        <v>-9999</v>
      </c>
      <c r="BZ1319" s="255">
        <v>-9999</v>
      </c>
      <c r="CA1319" s="371">
        <v>-9999</v>
      </c>
      <c r="CB1319" s="357" t="s">
        <v>568</v>
      </c>
      <c r="CC1319" s="255">
        <v>1</v>
      </c>
      <c r="CD1319" s="327" t="s">
        <v>1624</v>
      </c>
      <c r="CE1319" s="340">
        <v>1.5</v>
      </c>
      <c r="CF1319" s="340"/>
      <c r="CG1319" s="95">
        <v>3</v>
      </c>
    </row>
    <row r="1320" spans="1:105" s="61" customFormat="1" ht="12.6" customHeight="1" x14ac:dyDescent="0.2">
      <c r="A1320" s="327" t="s">
        <v>1396</v>
      </c>
      <c r="B1320" s="257" t="s">
        <v>538</v>
      </c>
      <c r="C1320" s="327" t="s">
        <v>1625</v>
      </c>
      <c r="D1320" s="255" t="s">
        <v>619</v>
      </c>
      <c r="E1320" s="327" t="s">
        <v>882</v>
      </c>
      <c r="F1320" s="255">
        <v>1</v>
      </c>
      <c r="G1320" s="255">
        <v>3</v>
      </c>
      <c r="H1320" s="255">
        <v>3</v>
      </c>
      <c r="I1320" s="255" t="s">
        <v>621</v>
      </c>
      <c r="J1320" s="255">
        <v>2000</v>
      </c>
      <c r="K1320" s="613" t="s">
        <v>1211</v>
      </c>
      <c r="L1320" s="255">
        <v>2002</v>
      </c>
      <c r="M1320" s="297">
        <v>-9999</v>
      </c>
      <c r="N1320" s="255">
        <v>-9999</v>
      </c>
      <c r="O1320" s="65"/>
      <c r="P1320" s="287">
        <f>+T1320*G1320</f>
        <v>10.5</v>
      </c>
      <c r="Q1320" s="255">
        <v>-9999</v>
      </c>
      <c r="R1320" s="297"/>
      <c r="S1320" s="255"/>
      <c r="T1320" s="297">
        <v>3.5</v>
      </c>
      <c r="U1320" s="255">
        <v>0.4</v>
      </c>
      <c r="V1320" s="255"/>
      <c r="W1320" s="261">
        <v>-9999</v>
      </c>
      <c r="X1320" s="255">
        <v>-9999</v>
      </c>
      <c r="Y1320" s="255"/>
      <c r="Z1320" s="327" t="s">
        <v>1490</v>
      </c>
      <c r="AA1320" s="255">
        <v>1333</v>
      </c>
      <c r="AB1320" s="297">
        <v>-9999</v>
      </c>
      <c r="AC1320" s="255">
        <v>-9999</v>
      </c>
      <c r="AD1320" s="255">
        <f t="shared" si="141"/>
        <v>2200</v>
      </c>
      <c r="AE1320" s="327" t="s">
        <v>1969</v>
      </c>
      <c r="AF1320" s="255">
        <v>-9999</v>
      </c>
      <c r="AG1320" s="255">
        <v>2</v>
      </c>
      <c r="AH1320" s="327" t="s">
        <v>1488</v>
      </c>
      <c r="AI1320" s="615" t="s">
        <v>1489</v>
      </c>
      <c r="AJ1320" s="255">
        <v>-9999</v>
      </c>
      <c r="AK1320" s="255">
        <v>-9999</v>
      </c>
      <c r="AL1320" s="255">
        <v>-9999</v>
      </c>
      <c r="AM1320" s="255">
        <v>-9999</v>
      </c>
      <c r="AN1320" s="255" t="s">
        <v>626</v>
      </c>
      <c r="AO1320" s="255" t="s">
        <v>826</v>
      </c>
      <c r="AP1320" s="327" t="s">
        <v>1491</v>
      </c>
      <c r="AQ1320" s="255" t="s">
        <v>631</v>
      </c>
      <c r="AR1320" s="255">
        <v>0</v>
      </c>
      <c r="AS1320" s="255">
        <v>-9999</v>
      </c>
      <c r="AT1320" s="255">
        <v>0</v>
      </c>
      <c r="AU1320" s="255">
        <v>0</v>
      </c>
      <c r="AV1320" s="255">
        <v>-9999</v>
      </c>
      <c r="AW1320" s="255">
        <v>-9999</v>
      </c>
      <c r="AX1320" s="255">
        <v>0</v>
      </c>
      <c r="AY1320" s="255">
        <v>-9999</v>
      </c>
      <c r="AZ1320" s="255">
        <v>-9999</v>
      </c>
      <c r="BA1320" s="255" t="s">
        <v>556</v>
      </c>
      <c r="BB1320" s="327" t="s">
        <v>626</v>
      </c>
      <c r="BC1320" s="255">
        <v>-9999</v>
      </c>
      <c r="BD1320" s="255">
        <v>-9999</v>
      </c>
      <c r="BE1320" s="255">
        <v>-9999</v>
      </c>
      <c r="BF1320" s="255">
        <v>-9999</v>
      </c>
      <c r="BG1320" s="255">
        <v>-9999</v>
      </c>
      <c r="BH1320" s="255">
        <v>-9999</v>
      </c>
      <c r="BI1320" s="327" t="s">
        <v>1496</v>
      </c>
      <c r="BJ1320" s="255">
        <v>-9999</v>
      </c>
      <c r="BK1320" s="255">
        <v>-9999</v>
      </c>
      <c r="BL1320" s="255">
        <v>-9999</v>
      </c>
      <c r="BM1320" s="255">
        <v>-9999</v>
      </c>
      <c r="BN1320" s="255">
        <v>5.8</v>
      </c>
      <c r="BO1320" s="255">
        <v>-9999</v>
      </c>
      <c r="BP1320" s="255">
        <v>-9999</v>
      </c>
      <c r="BQ1320" s="255">
        <v>-9999</v>
      </c>
      <c r="BR1320" s="255">
        <v>-9999</v>
      </c>
      <c r="BS1320" s="263">
        <v>-9999</v>
      </c>
      <c r="BT1320" s="255">
        <v>-9999</v>
      </c>
      <c r="BU1320" s="255">
        <v>-9999</v>
      </c>
      <c r="BV1320" s="255">
        <v>-9999</v>
      </c>
      <c r="BW1320" s="255"/>
      <c r="BX1320" s="255">
        <v>-9999</v>
      </c>
      <c r="BY1320" s="255">
        <v>-9999</v>
      </c>
      <c r="BZ1320" s="255">
        <v>-9999</v>
      </c>
      <c r="CA1320" s="371">
        <v>-9999</v>
      </c>
      <c r="CB1320" s="357" t="s">
        <v>568</v>
      </c>
      <c r="CC1320" s="255">
        <v>1</v>
      </c>
      <c r="CD1320" s="327" t="s">
        <v>1625</v>
      </c>
      <c r="CE1320" s="340">
        <v>3.5</v>
      </c>
      <c r="CF1320" s="340"/>
      <c r="CG1320" s="95">
        <v>3</v>
      </c>
    </row>
    <row r="1321" spans="1:105" s="61" customFormat="1" ht="12.6" customHeight="1" x14ac:dyDescent="0.2">
      <c r="A1321" s="327" t="s">
        <v>1396</v>
      </c>
      <c r="B1321" s="257" t="s">
        <v>538</v>
      </c>
      <c r="C1321" s="327" t="s">
        <v>1626</v>
      </c>
      <c r="D1321" s="255" t="s">
        <v>619</v>
      </c>
      <c r="E1321" s="327" t="s">
        <v>882</v>
      </c>
      <c r="F1321" s="255">
        <v>1</v>
      </c>
      <c r="G1321" s="255">
        <v>3</v>
      </c>
      <c r="H1321" s="255">
        <v>3</v>
      </c>
      <c r="I1321" s="255" t="s">
        <v>621</v>
      </c>
      <c r="J1321" s="255">
        <v>2000</v>
      </c>
      <c r="K1321" s="613" t="s">
        <v>1211</v>
      </c>
      <c r="L1321" s="255">
        <v>2002</v>
      </c>
      <c r="M1321" s="297">
        <v>-9999</v>
      </c>
      <c r="N1321" s="255">
        <v>-9999</v>
      </c>
      <c r="O1321" s="65"/>
      <c r="P1321" s="287">
        <f>+T1321*G1321</f>
        <v>9.8999999999999986</v>
      </c>
      <c r="Q1321" s="255">
        <v>-9999</v>
      </c>
      <c r="R1321" s="297"/>
      <c r="S1321" s="255"/>
      <c r="T1321" s="297">
        <v>3.3</v>
      </c>
      <c r="U1321" s="255">
        <v>0.2</v>
      </c>
      <c r="V1321" s="255"/>
      <c r="W1321" s="261">
        <v>-9999</v>
      </c>
      <c r="X1321" s="255">
        <v>-9999</v>
      </c>
      <c r="Y1321" s="255"/>
      <c r="Z1321" s="327" t="s">
        <v>1490</v>
      </c>
      <c r="AA1321" s="255">
        <v>1333</v>
      </c>
      <c r="AB1321" s="297">
        <v>-9999</v>
      </c>
      <c r="AC1321" s="255">
        <v>-9999</v>
      </c>
      <c r="AD1321" s="255">
        <f t="shared" si="141"/>
        <v>2200</v>
      </c>
      <c r="AE1321" s="327" t="s">
        <v>1969</v>
      </c>
      <c r="AF1321" s="255">
        <v>-9999</v>
      </c>
      <c r="AG1321" s="255">
        <v>2</v>
      </c>
      <c r="AH1321" s="327" t="s">
        <v>1488</v>
      </c>
      <c r="AI1321" s="615" t="s">
        <v>1489</v>
      </c>
      <c r="AJ1321" s="255">
        <v>-9999</v>
      </c>
      <c r="AK1321" s="255">
        <v>-9999</v>
      </c>
      <c r="AL1321" s="255">
        <v>-9999</v>
      </c>
      <c r="AM1321" s="255">
        <v>-9999</v>
      </c>
      <c r="AN1321" s="255" t="s">
        <v>626</v>
      </c>
      <c r="AO1321" s="255" t="s">
        <v>826</v>
      </c>
      <c r="AP1321" s="327" t="s">
        <v>1492</v>
      </c>
      <c r="AQ1321" s="327" t="s">
        <v>626</v>
      </c>
      <c r="AR1321" s="255">
        <v>240</v>
      </c>
      <c r="AS1321" s="327" t="s">
        <v>1493</v>
      </c>
      <c r="AT1321" s="327" t="s">
        <v>1494</v>
      </c>
      <c r="AU1321" s="255">
        <v>0</v>
      </c>
      <c r="AV1321" s="255">
        <v>-9999</v>
      </c>
      <c r="AW1321" s="255">
        <v>-9999</v>
      </c>
      <c r="AX1321" s="255">
        <v>0</v>
      </c>
      <c r="AY1321" s="255">
        <v>-9999</v>
      </c>
      <c r="AZ1321" s="255">
        <v>-9999</v>
      </c>
      <c r="BA1321" s="255" t="s">
        <v>556</v>
      </c>
      <c r="BB1321" s="327" t="s">
        <v>626</v>
      </c>
      <c r="BC1321" s="255">
        <v>-9999</v>
      </c>
      <c r="BD1321" s="255">
        <v>-9999</v>
      </c>
      <c r="BE1321" s="255">
        <v>-9999</v>
      </c>
      <c r="BF1321" s="255">
        <v>-9999</v>
      </c>
      <c r="BG1321" s="255">
        <v>-9999</v>
      </c>
      <c r="BH1321" s="255">
        <v>-9999</v>
      </c>
      <c r="BI1321" s="327" t="s">
        <v>1496</v>
      </c>
      <c r="BJ1321" s="255">
        <v>-9999</v>
      </c>
      <c r="BK1321" s="255">
        <v>-9999</v>
      </c>
      <c r="BL1321" s="255">
        <v>-9999</v>
      </c>
      <c r="BM1321" s="255">
        <v>-9999</v>
      </c>
      <c r="BN1321" s="255">
        <v>5.8</v>
      </c>
      <c r="BO1321" s="255">
        <v>-9999</v>
      </c>
      <c r="BP1321" s="255">
        <v>-9999</v>
      </c>
      <c r="BQ1321" s="255">
        <v>-9999</v>
      </c>
      <c r="BR1321" s="255">
        <v>-9999</v>
      </c>
      <c r="BS1321" s="263">
        <v>-9999</v>
      </c>
      <c r="BT1321" s="255">
        <v>-9999</v>
      </c>
      <c r="BU1321" s="255">
        <v>-9999</v>
      </c>
      <c r="BV1321" s="255">
        <v>-9999</v>
      </c>
      <c r="BW1321" s="255"/>
      <c r="BX1321" s="255">
        <v>-9999</v>
      </c>
      <c r="BY1321" s="255">
        <v>-9999</v>
      </c>
      <c r="BZ1321" s="255">
        <v>-9999</v>
      </c>
      <c r="CA1321" s="371">
        <v>-9999</v>
      </c>
      <c r="CB1321" s="357" t="s">
        <v>568</v>
      </c>
      <c r="CC1321" s="255">
        <v>1</v>
      </c>
      <c r="CD1321" s="327" t="s">
        <v>1626</v>
      </c>
      <c r="CE1321" s="340">
        <v>3.3</v>
      </c>
      <c r="CF1321" s="340"/>
      <c r="CG1321" s="95">
        <v>3</v>
      </c>
    </row>
    <row r="1322" spans="1:105" s="61" customFormat="1" ht="12.6" customHeight="1" x14ac:dyDescent="0.2">
      <c r="A1322" s="327" t="s">
        <v>1396</v>
      </c>
      <c r="B1322" s="257" t="s">
        <v>538</v>
      </c>
      <c r="C1322" s="327" t="s">
        <v>1485</v>
      </c>
      <c r="D1322" s="255" t="s">
        <v>619</v>
      </c>
      <c r="E1322" s="327" t="s">
        <v>882</v>
      </c>
      <c r="F1322" s="255">
        <v>1</v>
      </c>
      <c r="G1322" s="255">
        <v>3</v>
      </c>
      <c r="H1322" s="255">
        <v>3</v>
      </c>
      <c r="I1322" s="255" t="s">
        <v>621</v>
      </c>
      <c r="J1322" s="255">
        <v>2000</v>
      </c>
      <c r="K1322" s="613" t="s">
        <v>1211</v>
      </c>
      <c r="L1322" s="255">
        <v>2002</v>
      </c>
      <c r="M1322" s="297">
        <v>-9999</v>
      </c>
      <c r="N1322" s="255">
        <v>-9999</v>
      </c>
      <c r="O1322" s="65"/>
      <c r="P1322" s="287">
        <f>+T1322*G1322</f>
        <v>18.899999999999999</v>
      </c>
      <c r="Q1322" s="255">
        <v>-9999</v>
      </c>
      <c r="R1322" s="297"/>
      <c r="S1322" s="255"/>
      <c r="T1322" s="297">
        <v>6.3</v>
      </c>
      <c r="U1322" s="255">
        <v>0.9</v>
      </c>
      <c r="V1322" s="255"/>
      <c r="W1322" s="261">
        <v>-9999</v>
      </c>
      <c r="X1322" s="255">
        <v>-9999</v>
      </c>
      <c r="Y1322" s="255"/>
      <c r="Z1322" s="327" t="s">
        <v>1490</v>
      </c>
      <c r="AA1322" s="255">
        <v>1333</v>
      </c>
      <c r="AB1322" s="297">
        <v>-9999</v>
      </c>
      <c r="AC1322" s="255">
        <v>-9999</v>
      </c>
      <c r="AD1322" s="255">
        <f t="shared" si="141"/>
        <v>2200</v>
      </c>
      <c r="AE1322" s="327" t="s">
        <v>1969</v>
      </c>
      <c r="AF1322" s="255">
        <v>-9999</v>
      </c>
      <c r="AG1322" s="255">
        <v>2</v>
      </c>
      <c r="AH1322" s="327" t="s">
        <v>1488</v>
      </c>
      <c r="AI1322" s="615" t="s">
        <v>1489</v>
      </c>
      <c r="AJ1322" s="255">
        <v>-9999</v>
      </c>
      <c r="AK1322" s="255">
        <v>-9999</v>
      </c>
      <c r="AL1322" s="255">
        <v>-9999</v>
      </c>
      <c r="AM1322" s="255">
        <v>-9999</v>
      </c>
      <c r="AN1322" s="255" t="s">
        <v>626</v>
      </c>
      <c r="AO1322" s="255" t="s">
        <v>826</v>
      </c>
      <c r="AP1322" s="327" t="s">
        <v>1491</v>
      </c>
      <c r="AQ1322" s="327" t="s">
        <v>626</v>
      </c>
      <c r="AR1322" s="255">
        <v>240</v>
      </c>
      <c r="AS1322" s="327" t="s">
        <v>1493</v>
      </c>
      <c r="AT1322" s="327" t="s">
        <v>1494</v>
      </c>
      <c r="AU1322" s="255">
        <v>0</v>
      </c>
      <c r="AV1322" s="255">
        <v>-9999</v>
      </c>
      <c r="AW1322" s="255">
        <v>-9999</v>
      </c>
      <c r="AX1322" s="255">
        <v>0</v>
      </c>
      <c r="AY1322" s="255">
        <v>-9999</v>
      </c>
      <c r="AZ1322" s="255">
        <v>-9999</v>
      </c>
      <c r="BA1322" s="255" t="s">
        <v>556</v>
      </c>
      <c r="BB1322" s="327" t="s">
        <v>626</v>
      </c>
      <c r="BC1322" s="255">
        <v>-9999</v>
      </c>
      <c r="BD1322" s="255">
        <v>-9999</v>
      </c>
      <c r="BE1322" s="255">
        <v>-9999</v>
      </c>
      <c r="BF1322" s="255">
        <v>-9999</v>
      </c>
      <c r="BG1322" s="255">
        <v>-9999</v>
      </c>
      <c r="BH1322" s="255">
        <v>-9999</v>
      </c>
      <c r="BI1322" s="327" t="s">
        <v>1496</v>
      </c>
      <c r="BJ1322" s="255">
        <v>-9999</v>
      </c>
      <c r="BK1322" s="255">
        <v>-9999</v>
      </c>
      <c r="BL1322" s="255">
        <v>-9999</v>
      </c>
      <c r="BM1322" s="255">
        <v>-9999</v>
      </c>
      <c r="BN1322" s="255">
        <v>7.4</v>
      </c>
      <c r="BO1322" s="255">
        <v>-9999</v>
      </c>
      <c r="BP1322" s="255">
        <v>-9999</v>
      </c>
      <c r="BQ1322" s="255">
        <v>-9999</v>
      </c>
      <c r="BR1322" s="255">
        <v>-9999</v>
      </c>
      <c r="BS1322" s="263">
        <v>-9999</v>
      </c>
      <c r="BT1322" s="255">
        <v>-9999</v>
      </c>
      <c r="BU1322" s="255">
        <v>-9999</v>
      </c>
      <c r="BV1322" s="255">
        <v>-9999</v>
      </c>
      <c r="BW1322" s="255"/>
      <c r="BX1322" s="255">
        <v>-9999</v>
      </c>
      <c r="BY1322" s="255">
        <v>-9999</v>
      </c>
      <c r="BZ1322" s="255">
        <v>-9999</v>
      </c>
      <c r="CA1322" s="371">
        <v>-9999</v>
      </c>
      <c r="CB1322" s="357" t="s">
        <v>568</v>
      </c>
      <c r="CC1322" s="255">
        <v>1</v>
      </c>
      <c r="CD1322" s="327" t="s">
        <v>1485</v>
      </c>
      <c r="CE1322" s="340">
        <v>6.3</v>
      </c>
      <c r="CF1322" s="340"/>
      <c r="CG1322" s="95">
        <v>3</v>
      </c>
    </row>
    <row r="1323" spans="1:105" s="13" customFormat="1" x14ac:dyDescent="0.2">
      <c r="A1323" s="18"/>
      <c r="B1323" s="18"/>
      <c r="C1323" s="18"/>
      <c r="D1323" s="18"/>
      <c r="E1323" s="18"/>
      <c r="F1323" s="18"/>
      <c r="G1323" s="18"/>
      <c r="H1323" s="18"/>
      <c r="I1323" s="18"/>
      <c r="J1323" s="18"/>
      <c r="K1323" s="18"/>
      <c r="L1323" s="18"/>
      <c r="M1323" s="21"/>
      <c r="N1323" s="18"/>
      <c r="O1323" s="18"/>
      <c r="P1323" s="21"/>
      <c r="Q1323" s="37"/>
      <c r="R1323" s="21"/>
      <c r="S1323" s="37"/>
      <c r="T1323" s="22"/>
      <c r="U1323" s="18"/>
      <c r="V1323" s="18"/>
      <c r="W1323" s="22"/>
      <c r="X1323" s="18"/>
      <c r="Y1323" s="18"/>
      <c r="Z1323" s="18"/>
      <c r="AA1323" s="18"/>
      <c r="AB1323" s="21"/>
      <c r="AC1323" s="21"/>
      <c r="AD1323" s="20"/>
      <c r="AE1323" s="18"/>
      <c r="AF1323" s="18"/>
      <c r="AG1323" s="18"/>
      <c r="AH1323" s="18"/>
      <c r="AI1323" s="119"/>
      <c r="AJ1323" s="18"/>
      <c r="AK1323" s="18"/>
      <c r="AL1323" s="18"/>
      <c r="AM1323" s="18"/>
      <c r="AN1323" s="18"/>
      <c r="AO1323" s="18"/>
      <c r="AP1323" s="18"/>
      <c r="AQ1323" s="29"/>
      <c r="AR1323" s="29"/>
      <c r="AS1323" s="29"/>
      <c r="AT1323" s="29"/>
      <c r="AU1323" s="29"/>
      <c r="AV1323" s="29"/>
      <c r="AW1323" s="29"/>
      <c r="AX1323" s="18"/>
      <c r="AY1323" s="18"/>
      <c r="AZ1323" s="29"/>
      <c r="BA1323" s="18"/>
      <c r="BB1323" s="29"/>
      <c r="BC1323" s="18"/>
      <c r="BD1323" s="18"/>
      <c r="BE1323" s="18"/>
      <c r="BF1323" s="18"/>
      <c r="BG1323" s="18"/>
      <c r="BH1323" s="18"/>
      <c r="BI1323" s="18"/>
      <c r="BJ1323" s="18"/>
      <c r="BK1323" s="18"/>
      <c r="BL1323" s="18"/>
      <c r="BM1323" s="18"/>
      <c r="BN1323" s="18"/>
      <c r="BO1323" s="18"/>
      <c r="BP1323" s="18"/>
      <c r="BQ1323" s="18"/>
      <c r="BR1323" s="18"/>
      <c r="BS1323" s="20"/>
      <c r="BT1323" s="18"/>
      <c r="BU1323" s="18"/>
      <c r="BV1323" s="18"/>
      <c r="BW1323" s="18"/>
      <c r="BX1323" s="18"/>
      <c r="BY1323" s="18"/>
      <c r="BZ1323" s="18"/>
      <c r="CA1323" s="73"/>
      <c r="CC1323" s="18"/>
      <c r="CD1323" s="18"/>
      <c r="CE1323" s="99"/>
      <c r="CF1323" s="99"/>
      <c r="CG1323" s="18"/>
    </row>
    <row r="1324" spans="1:105" s="13" customFormat="1" x14ac:dyDescent="0.2">
      <c r="A1324" s="18" t="s">
        <v>952</v>
      </c>
      <c r="B1324" s="18"/>
      <c r="C1324" s="18"/>
      <c r="D1324" s="18"/>
      <c r="E1324" s="18"/>
      <c r="F1324" s="18"/>
      <c r="G1324" s="18"/>
      <c r="H1324" s="18"/>
      <c r="I1324" s="18"/>
      <c r="J1324" s="18"/>
      <c r="K1324" s="18"/>
      <c r="L1324" s="18"/>
      <c r="M1324" s="21"/>
      <c r="N1324" s="18"/>
      <c r="O1324" s="18"/>
      <c r="P1324" s="21"/>
      <c r="Q1324" s="37"/>
      <c r="R1324" s="21"/>
      <c r="S1324" s="37"/>
      <c r="T1324" s="22"/>
      <c r="U1324" s="18"/>
      <c r="V1324" s="18"/>
      <c r="W1324" s="22"/>
      <c r="X1324" s="18"/>
      <c r="Y1324" s="18"/>
      <c r="Z1324" s="18"/>
      <c r="AA1324" s="18"/>
      <c r="AB1324" s="21"/>
      <c r="AC1324" s="21"/>
      <c r="AD1324" s="20"/>
      <c r="AE1324" s="18"/>
      <c r="AF1324" s="18"/>
      <c r="AG1324" s="18"/>
      <c r="AH1324" s="18"/>
      <c r="AI1324" s="119"/>
      <c r="AJ1324" s="18"/>
      <c r="AK1324" s="18"/>
      <c r="AL1324" s="18"/>
      <c r="AM1324" s="18"/>
      <c r="AN1324" s="18"/>
      <c r="AO1324" s="18"/>
      <c r="AP1324" s="18"/>
      <c r="AQ1324" s="29"/>
      <c r="AR1324" s="29"/>
      <c r="AS1324" s="29"/>
      <c r="AT1324" s="29"/>
      <c r="AU1324" s="29"/>
      <c r="AV1324" s="29"/>
      <c r="AW1324" s="29"/>
      <c r="AX1324" s="18"/>
      <c r="AY1324" s="18"/>
      <c r="AZ1324" s="29"/>
      <c r="BA1324" s="18"/>
      <c r="BB1324" s="29"/>
      <c r="BC1324" s="18"/>
      <c r="BD1324" s="18"/>
      <c r="BE1324" s="18"/>
      <c r="BF1324" s="18"/>
      <c r="BG1324" s="18"/>
      <c r="BH1324" s="18"/>
      <c r="BI1324" s="18"/>
      <c r="BJ1324" s="18"/>
      <c r="BK1324" s="18"/>
      <c r="BL1324" s="18"/>
      <c r="BM1324" s="18"/>
      <c r="BN1324" s="18"/>
      <c r="BO1324" s="18"/>
      <c r="BP1324" s="18"/>
      <c r="BQ1324" s="18"/>
      <c r="BR1324" s="18"/>
      <c r="BS1324" s="20"/>
      <c r="BT1324" s="18"/>
      <c r="BU1324" s="18"/>
      <c r="BV1324" s="18"/>
      <c r="BW1324" s="18"/>
      <c r="BX1324" s="18"/>
      <c r="BY1324" s="18"/>
      <c r="BZ1324" s="18"/>
      <c r="CA1324" s="73"/>
      <c r="CC1324" s="18"/>
      <c r="CD1324" s="13" t="s">
        <v>1633</v>
      </c>
      <c r="CE1324" s="13" t="s">
        <v>1576</v>
      </c>
      <c r="CF1324" s="13" t="s">
        <v>1575</v>
      </c>
      <c r="CG1324" s="18"/>
    </row>
    <row r="1325" spans="1:105" s="23" customFormat="1" x14ac:dyDescent="0.2">
      <c r="A1325" s="257" t="s">
        <v>887</v>
      </c>
      <c r="B1325" s="257" t="s">
        <v>159</v>
      </c>
      <c r="C1325" s="257" t="s">
        <v>888</v>
      </c>
      <c r="D1325" s="257" t="s">
        <v>317</v>
      </c>
      <c r="E1325" s="616" t="s">
        <v>1497</v>
      </c>
      <c r="F1325" s="257">
        <v>1</v>
      </c>
      <c r="G1325" s="257">
        <v>0.5</v>
      </c>
      <c r="H1325" s="257">
        <v>0.5</v>
      </c>
      <c r="I1325" s="257" t="s">
        <v>807</v>
      </c>
      <c r="J1325" s="257">
        <v>1980</v>
      </c>
      <c r="K1325" s="257" t="s">
        <v>1001</v>
      </c>
      <c r="L1325" s="257">
        <v>1980</v>
      </c>
      <c r="M1325" s="261">
        <v>-9999</v>
      </c>
      <c r="N1325" s="257">
        <v>-9999</v>
      </c>
      <c r="O1325" s="29"/>
      <c r="P1325" s="261">
        <v>0.7</v>
      </c>
      <c r="Q1325" s="257">
        <v>-9999</v>
      </c>
      <c r="R1325" s="261"/>
      <c r="S1325" s="257"/>
      <c r="T1325" s="370">
        <f>+P1325</f>
        <v>0.7</v>
      </c>
      <c r="U1325" s="257">
        <v>-9999</v>
      </c>
      <c r="V1325" s="257"/>
      <c r="W1325" s="287"/>
      <c r="X1325" s="257">
        <v>-9999</v>
      </c>
      <c r="Y1325" s="257"/>
      <c r="Z1325" s="257" t="s">
        <v>889</v>
      </c>
      <c r="AA1325" s="257">
        <v>1600</v>
      </c>
      <c r="AB1325" s="261">
        <v>0.94</v>
      </c>
      <c r="AC1325" s="297">
        <v>2.9</v>
      </c>
      <c r="AD1325" s="358">
        <f>0.063*10000</f>
        <v>630</v>
      </c>
      <c r="AE1325" s="674" t="s">
        <v>1959</v>
      </c>
      <c r="AF1325" s="257">
        <v>5</v>
      </c>
      <c r="AG1325" s="257">
        <v>0</v>
      </c>
      <c r="AH1325" s="257" t="s">
        <v>890</v>
      </c>
      <c r="AI1325" s="257" t="s">
        <v>891</v>
      </c>
      <c r="AJ1325" s="257" t="s">
        <v>892</v>
      </c>
      <c r="AK1325" s="257" t="s">
        <v>893</v>
      </c>
      <c r="AL1325" s="257" t="s">
        <v>828</v>
      </c>
      <c r="AM1325" s="257"/>
      <c r="AN1325" s="257" t="s">
        <v>631</v>
      </c>
      <c r="AO1325" s="257">
        <v>-9999</v>
      </c>
      <c r="AP1325" s="257">
        <v>-9999</v>
      </c>
      <c r="AQ1325" s="257" t="s">
        <v>631</v>
      </c>
      <c r="AR1325" s="257">
        <v>0</v>
      </c>
      <c r="AS1325" s="257">
        <v>-9999</v>
      </c>
      <c r="AT1325" s="257"/>
      <c r="AU1325" s="257">
        <v>0</v>
      </c>
      <c r="AV1325" s="257">
        <v>-9999</v>
      </c>
      <c r="AW1325" s="257">
        <v>-9999</v>
      </c>
      <c r="AX1325" s="257">
        <v>0</v>
      </c>
      <c r="AY1325" s="257">
        <v>-9999</v>
      </c>
      <c r="AZ1325" s="257">
        <v>-9999</v>
      </c>
      <c r="BA1325" s="257">
        <v>-9999</v>
      </c>
      <c r="BB1325" s="257" t="s">
        <v>631</v>
      </c>
      <c r="BC1325" s="257">
        <v>-9999</v>
      </c>
      <c r="BD1325" s="257">
        <v>-9999</v>
      </c>
      <c r="BE1325" s="257">
        <v>-9999</v>
      </c>
      <c r="BF1325" s="257">
        <v>-9999</v>
      </c>
      <c r="BG1325" s="257">
        <v>-9999</v>
      </c>
      <c r="BH1325" s="257">
        <v>-9999</v>
      </c>
      <c r="BI1325" s="257" t="s">
        <v>894</v>
      </c>
      <c r="BJ1325" s="257">
        <v>-9999</v>
      </c>
      <c r="BK1325" s="257">
        <v>-9999</v>
      </c>
      <c r="BL1325" s="297">
        <v>3.9</v>
      </c>
      <c r="BM1325" s="257">
        <v>-9999</v>
      </c>
      <c r="BN1325" s="297">
        <v>3.2</v>
      </c>
      <c r="BO1325" s="257">
        <v>-9999</v>
      </c>
      <c r="BP1325" s="257">
        <v>-9999</v>
      </c>
      <c r="BQ1325" s="257">
        <v>-9999</v>
      </c>
      <c r="BR1325" s="257">
        <v>-9999</v>
      </c>
      <c r="BS1325" s="594">
        <f t="shared" ref="BS1325:BS1332" si="142">+BT1325*14.286</f>
        <v>17.428919999999998</v>
      </c>
      <c r="BT1325" s="257">
        <v>1.22</v>
      </c>
      <c r="BU1325" s="257">
        <v>-9999</v>
      </c>
      <c r="BV1325" s="257">
        <v>-9999</v>
      </c>
      <c r="BW1325" s="257"/>
      <c r="BX1325" s="257">
        <v>-9999</v>
      </c>
      <c r="BY1325" s="257">
        <v>-9999</v>
      </c>
      <c r="BZ1325" s="257">
        <v>-9999</v>
      </c>
      <c r="CA1325" s="300" t="s">
        <v>895</v>
      </c>
      <c r="CB1325" s="475" t="s">
        <v>1573</v>
      </c>
      <c r="CC1325" s="257">
        <v>1</v>
      </c>
      <c r="CD1325" s="257">
        <v>0.5</v>
      </c>
      <c r="CE1325" s="292">
        <v>0.7</v>
      </c>
      <c r="CG1325" s="43">
        <v>0.5</v>
      </c>
      <c r="CY1325" s="323" t="s">
        <v>1631</v>
      </c>
      <c r="CZ1325" s="342" t="s">
        <v>1627</v>
      </c>
      <c r="DA1325" s="342" t="s">
        <v>1628</v>
      </c>
    </row>
    <row r="1326" spans="1:105" s="23" customFormat="1" x14ac:dyDescent="0.2">
      <c r="A1326" s="257" t="s">
        <v>887</v>
      </c>
      <c r="B1326" s="257" t="s">
        <v>159</v>
      </c>
      <c r="C1326" s="257" t="s">
        <v>888</v>
      </c>
      <c r="D1326" s="257" t="s">
        <v>317</v>
      </c>
      <c r="E1326" s="616" t="s">
        <v>1497</v>
      </c>
      <c r="F1326" s="257">
        <v>1</v>
      </c>
      <c r="G1326" s="257">
        <v>1</v>
      </c>
      <c r="H1326" s="257">
        <v>1</v>
      </c>
      <c r="I1326" s="257" t="s">
        <v>807</v>
      </c>
      <c r="J1326" s="257">
        <v>1980</v>
      </c>
      <c r="K1326" s="257" t="s">
        <v>807</v>
      </c>
      <c r="L1326" s="257">
        <v>1981</v>
      </c>
      <c r="M1326" s="261">
        <v>-9999</v>
      </c>
      <c r="N1326" s="257">
        <v>-9999</v>
      </c>
      <c r="O1326" s="29"/>
      <c r="P1326" s="261">
        <v>8.1</v>
      </c>
      <c r="Q1326" s="257">
        <v>-9999</v>
      </c>
      <c r="R1326" s="261"/>
      <c r="S1326" s="257"/>
      <c r="T1326" s="370">
        <f t="shared" ref="T1326:T1332" si="143">+P1326/G1326</f>
        <v>8.1</v>
      </c>
      <c r="U1326" s="257">
        <v>-9999</v>
      </c>
      <c r="V1326" s="257"/>
      <c r="W1326" s="370">
        <f>+P1326</f>
        <v>8.1</v>
      </c>
      <c r="X1326" s="257">
        <v>-9999</v>
      </c>
      <c r="Y1326" s="257"/>
      <c r="Z1326" s="257" t="s">
        <v>889</v>
      </c>
      <c r="AA1326" s="257">
        <v>1600</v>
      </c>
      <c r="AB1326" s="261">
        <v>0.92</v>
      </c>
      <c r="AC1326" s="297">
        <v>2.9</v>
      </c>
      <c r="AD1326" s="358">
        <f t="shared" ref="AD1326:AD1332" si="144">0.063*10000</f>
        <v>630</v>
      </c>
      <c r="AE1326" s="674" t="s">
        <v>1959</v>
      </c>
      <c r="AF1326" s="257">
        <v>5</v>
      </c>
      <c r="AG1326" s="257">
        <v>0</v>
      </c>
      <c r="AH1326" s="257" t="s">
        <v>890</v>
      </c>
      <c r="AI1326" s="257" t="s">
        <v>891</v>
      </c>
      <c r="AJ1326" s="257" t="s">
        <v>892</v>
      </c>
      <c r="AK1326" s="257" t="s">
        <v>893</v>
      </c>
      <c r="AL1326" s="257" t="s">
        <v>828</v>
      </c>
      <c r="AM1326" s="257"/>
      <c r="AN1326" s="257" t="s">
        <v>631</v>
      </c>
      <c r="AO1326" s="257">
        <v>-9999</v>
      </c>
      <c r="AP1326" s="257">
        <v>-9999</v>
      </c>
      <c r="AQ1326" s="257" t="s">
        <v>631</v>
      </c>
      <c r="AR1326" s="257">
        <v>0</v>
      </c>
      <c r="AS1326" s="257">
        <v>-9999</v>
      </c>
      <c r="AT1326" s="257"/>
      <c r="AU1326" s="257">
        <v>0</v>
      </c>
      <c r="AV1326" s="257">
        <v>-9999</v>
      </c>
      <c r="AW1326" s="257">
        <v>-9999</v>
      </c>
      <c r="AX1326" s="257">
        <v>0</v>
      </c>
      <c r="AY1326" s="257">
        <v>-9999</v>
      </c>
      <c r="AZ1326" s="257">
        <v>-9999</v>
      </c>
      <c r="BA1326" s="257">
        <v>-9999</v>
      </c>
      <c r="BB1326" s="257" t="s">
        <v>631</v>
      </c>
      <c r="BC1326" s="257">
        <v>-9999</v>
      </c>
      <c r="BD1326" s="257">
        <v>-9999</v>
      </c>
      <c r="BE1326" s="257">
        <v>-9999</v>
      </c>
      <c r="BF1326" s="257">
        <v>-9999</v>
      </c>
      <c r="BG1326" s="257">
        <v>-9999</v>
      </c>
      <c r="BH1326" s="257">
        <v>-9999</v>
      </c>
      <c r="BI1326" s="257" t="s">
        <v>894</v>
      </c>
      <c r="BJ1326" s="257">
        <v>-9999</v>
      </c>
      <c r="BK1326" s="257">
        <v>-9999</v>
      </c>
      <c r="BL1326" s="297">
        <v>7.2</v>
      </c>
      <c r="BM1326" s="257">
        <v>-9999</v>
      </c>
      <c r="BN1326" s="297">
        <v>7.2</v>
      </c>
      <c r="BO1326" s="257">
        <v>-9999</v>
      </c>
      <c r="BP1326" s="257">
        <v>-9999</v>
      </c>
      <c r="BQ1326" s="257">
        <v>-9999</v>
      </c>
      <c r="BR1326" s="257">
        <v>-9999</v>
      </c>
      <c r="BS1326" s="594">
        <f t="shared" si="142"/>
        <v>212.00423999999998</v>
      </c>
      <c r="BT1326" s="257">
        <v>14.84</v>
      </c>
      <c r="BU1326" s="257">
        <v>-9999</v>
      </c>
      <c r="BV1326" s="257">
        <v>-9999</v>
      </c>
      <c r="BW1326" s="257"/>
      <c r="BX1326" s="257">
        <v>-9999</v>
      </c>
      <c r="BY1326" s="257">
        <v>-9999</v>
      </c>
      <c r="BZ1326" s="257">
        <v>-9999</v>
      </c>
      <c r="CA1326" s="300" t="s">
        <v>895</v>
      </c>
      <c r="CB1326" s="475" t="s">
        <v>1573</v>
      </c>
      <c r="CC1326" s="257">
        <v>1</v>
      </c>
      <c r="CD1326" s="257">
        <v>1</v>
      </c>
      <c r="CE1326" s="292">
        <v>8.1</v>
      </c>
      <c r="CF1326" s="23">
        <v>8.1</v>
      </c>
      <c r="CG1326" s="43">
        <v>1</v>
      </c>
      <c r="CY1326" s="43">
        <v>1</v>
      </c>
      <c r="CZ1326" s="292">
        <f t="shared" ref="CZ1326:CZ1333" si="145">+P1325/CY1326</f>
        <v>0.7</v>
      </c>
      <c r="DA1326" s="292">
        <v>0.7</v>
      </c>
    </row>
    <row r="1327" spans="1:105" s="23" customFormat="1" x14ac:dyDescent="0.2">
      <c r="A1327" s="257" t="s">
        <v>887</v>
      </c>
      <c r="B1327" s="257" t="s">
        <v>159</v>
      </c>
      <c r="C1327" s="257" t="s">
        <v>888</v>
      </c>
      <c r="D1327" s="257" t="s">
        <v>317</v>
      </c>
      <c r="E1327" s="616" t="s">
        <v>1497</v>
      </c>
      <c r="F1327" s="257">
        <v>1</v>
      </c>
      <c r="G1327" s="257">
        <v>1.5</v>
      </c>
      <c r="H1327" s="257">
        <v>1.5</v>
      </c>
      <c r="I1327" s="257" t="s">
        <v>807</v>
      </c>
      <c r="J1327" s="257">
        <v>1980</v>
      </c>
      <c r="K1327" s="327" t="s">
        <v>1001</v>
      </c>
      <c r="L1327" s="257">
        <v>1981</v>
      </c>
      <c r="M1327" s="261">
        <v>-9999</v>
      </c>
      <c r="N1327" s="257">
        <v>-9999</v>
      </c>
      <c r="O1327" s="29"/>
      <c r="P1327" s="261">
        <v>18.5</v>
      </c>
      <c r="Q1327" s="257">
        <v>-9999</v>
      </c>
      <c r="R1327" s="261"/>
      <c r="S1327" s="257"/>
      <c r="T1327" s="370">
        <f t="shared" si="143"/>
        <v>12.333333333333334</v>
      </c>
      <c r="U1327" s="257">
        <v>-9999</v>
      </c>
      <c r="V1327" s="257"/>
      <c r="W1327" s="370"/>
      <c r="X1327" s="257">
        <v>-9999</v>
      </c>
      <c r="Y1327" s="257"/>
      <c r="Z1327" s="257" t="s">
        <v>889</v>
      </c>
      <c r="AA1327" s="257">
        <v>1600</v>
      </c>
      <c r="AB1327" s="261">
        <v>0.89</v>
      </c>
      <c r="AC1327" s="297">
        <v>2.9</v>
      </c>
      <c r="AD1327" s="358">
        <f t="shared" si="144"/>
        <v>630</v>
      </c>
      <c r="AE1327" s="674" t="s">
        <v>1959</v>
      </c>
      <c r="AF1327" s="257">
        <v>5</v>
      </c>
      <c r="AG1327" s="257">
        <v>0</v>
      </c>
      <c r="AH1327" s="257" t="s">
        <v>890</v>
      </c>
      <c r="AI1327" s="257" t="s">
        <v>891</v>
      </c>
      <c r="AJ1327" s="257" t="s">
        <v>892</v>
      </c>
      <c r="AK1327" s="257" t="s">
        <v>893</v>
      </c>
      <c r="AL1327" s="257" t="s">
        <v>828</v>
      </c>
      <c r="AM1327" s="257"/>
      <c r="AN1327" s="257" t="s">
        <v>631</v>
      </c>
      <c r="AO1327" s="257">
        <v>-9999</v>
      </c>
      <c r="AP1327" s="257">
        <v>-9999</v>
      </c>
      <c r="AQ1327" s="257" t="s">
        <v>631</v>
      </c>
      <c r="AR1327" s="257">
        <v>0</v>
      </c>
      <c r="AS1327" s="257">
        <v>-9999</v>
      </c>
      <c r="AT1327" s="257"/>
      <c r="AU1327" s="257">
        <v>0</v>
      </c>
      <c r="AV1327" s="257">
        <v>-9999</v>
      </c>
      <c r="AW1327" s="257">
        <v>-9999</v>
      </c>
      <c r="AX1327" s="257">
        <v>0</v>
      </c>
      <c r="AY1327" s="257">
        <v>-9999</v>
      </c>
      <c r="AZ1327" s="257">
        <v>-9999</v>
      </c>
      <c r="BA1327" s="257">
        <v>-9999</v>
      </c>
      <c r="BB1327" s="257" t="s">
        <v>631</v>
      </c>
      <c r="BC1327" s="257">
        <v>-9999</v>
      </c>
      <c r="BD1327" s="257">
        <v>-9999</v>
      </c>
      <c r="BE1327" s="257">
        <v>-9999</v>
      </c>
      <c r="BF1327" s="257">
        <v>-9999</v>
      </c>
      <c r="BG1327" s="257">
        <v>-9999</v>
      </c>
      <c r="BH1327" s="257">
        <v>-9999</v>
      </c>
      <c r="BI1327" s="257" t="s">
        <v>894</v>
      </c>
      <c r="BJ1327" s="257">
        <v>-9999</v>
      </c>
      <c r="BK1327" s="257">
        <v>-9999</v>
      </c>
      <c r="BL1327" s="297">
        <v>10.5</v>
      </c>
      <c r="BM1327" s="257">
        <v>-9999</v>
      </c>
      <c r="BN1327" s="297">
        <v>10.3</v>
      </c>
      <c r="BO1327" s="257">
        <v>-9999</v>
      </c>
      <c r="BP1327" s="257">
        <v>-9999</v>
      </c>
      <c r="BQ1327" s="257">
        <v>-9999</v>
      </c>
      <c r="BR1327" s="257">
        <v>-9999</v>
      </c>
      <c r="BS1327" s="594">
        <f t="shared" si="142"/>
        <v>487.58118000000002</v>
      </c>
      <c r="BT1327" s="257">
        <v>34.130000000000003</v>
      </c>
      <c r="BU1327" s="257">
        <v>-9999</v>
      </c>
      <c r="BV1327" s="257">
        <v>-9999</v>
      </c>
      <c r="BW1327" s="257"/>
      <c r="BX1327" s="257">
        <v>-9999</v>
      </c>
      <c r="BY1327" s="257">
        <v>-9999</v>
      </c>
      <c r="BZ1327" s="257">
        <v>-9999</v>
      </c>
      <c r="CA1327" s="300" t="s">
        <v>895</v>
      </c>
      <c r="CB1327" s="475" t="s">
        <v>1573</v>
      </c>
      <c r="CC1327" s="257">
        <v>1</v>
      </c>
      <c r="CD1327" s="257">
        <v>1.5</v>
      </c>
      <c r="CE1327" s="292">
        <v>12.333333333333334</v>
      </c>
      <c r="CG1327" s="43">
        <v>1.5</v>
      </c>
      <c r="CY1327" s="43">
        <v>2</v>
      </c>
      <c r="CZ1327" s="292">
        <f t="shared" si="145"/>
        <v>4.05</v>
      </c>
      <c r="DA1327" s="292">
        <v>7.3999999999999995</v>
      </c>
    </row>
    <row r="1328" spans="1:105" s="23" customFormat="1" x14ac:dyDescent="0.2">
      <c r="A1328" s="257" t="s">
        <v>887</v>
      </c>
      <c r="B1328" s="257" t="s">
        <v>159</v>
      </c>
      <c r="C1328" s="257" t="s">
        <v>888</v>
      </c>
      <c r="D1328" s="257" t="s">
        <v>317</v>
      </c>
      <c r="E1328" s="616" t="s">
        <v>1497</v>
      </c>
      <c r="F1328" s="257">
        <v>1</v>
      </c>
      <c r="G1328" s="257">
        <v>2</v>
      </c>
      <c r="H1328" s="257">
        <v>2</v>
      </c>
      <c r="I1328" s="257" t="s">
        <v>807</v>
      </c>
      <c r="J1328" s="257">
        <v>1980</v>
      </c>
      <c r="K1328" s="257" t="s">
        <v>807</v>
      </c>
      <c r="L1328" s="257">
        <v>1982</v>
      </c>
      <c r="M1328" s="261">
        <v>-9999</v>
      </c>
      <c r="N1328" s="257">
        <v>-9999</v>
      </c>
      <c r="O1328" s="29"/>
      <c r="P1328" s="261">
        <v>28.1</v>
      </c>
      <c r="Q1328" s="257">
        <v>-9999</v>
      </c>
      <c r="R1328" s="261"/>
      <c r="S1328" s="257"/>
      <c r="T1328" s="370">
        <f t="shared" si="143"/>
        <v>14.05</v>
      </c>
      <c r="U1328" s="257">
        <v>-9999</v>
      </c>
      <c r="V1328" s="257"/>
      <c r="W1328" s="370">
        <f>+P1328-P1326</f>
        <v>20</v>
      </c>
      <c r="X1328" s="257">
        <v>-9999</v>
      </c>
      <c r="Y1328" s="257"/>
      <c r="Z1328" s="257" t="s">
        <v>889</v>
      </c>
      <c r="AA1328" s="257">
        <v>1600</v>
      </c>
      <c r="AB1328" s="261">
        <v>0.86</v>
      </c>
      <c r="AC1328" s="297">
        <v>2.9</v>
      </c>
      <c r="AD1328" s="358">
        <f t="shared" si="144"/>
        <v>630</v>
      </c>
      <c r="AE1328" s="674" t="s">
        <v>1959</v>
      </c>
      <c r="AF1328" s="257">
        <v>5</v>
      </c>
      <c r="AG1328" s="257">
        <v>0</v>
      </c>
      <c r="AH1328" s="257" t="s">
        <v>890</v>
      </c>
      <c r="AI1328" s="257" t="s">
        <v>891</v>
      </c>
      <c r="AJ1328" s="257" t="s">
        <v>892</v>
      </c>
      <c r="AK1328" s="257" t="s">
        <v>893</v>
      </c>
      <c r="AL1328" s="257" t="s">
        <v>828</v>
      </c>
      <c r="AM1328" s="257"/>
      <c r="AN1328" s="257" t="s">
        <v>631</v>
      </c>
      <c r="AO1328" s="257">
        <v>-9999</v>
      </c>
      <c r="AP1328" s="257">
        <v>-9999</v>
      </c>
      <c r="AQ1328" s="257" t="s">
        <v>631</v>
      </c>
      <c r="AR1328" s="257">
        <v>0</v>
      </c>
      <c r="AS1328" s="257">
        <v>-9999</v>
      </c>
      <c r="AT1328" s="257"/>
      <c r="AU1328" s="257">
        <v>0</v>
      </c>
      <c r="AV1328" s="257">
        <v>-9999</v>
      </c>
      <c r="AW1328" s="257">
        <v>-9999</v>
      </c>
      <c r="AX1328" s="257">
        <v>0</v>
      </c>
      <c r="AY1328" s="257">
        <v>-9999</v>
      </c>
      <c r="AZ1328" s="257">
        <v>-9999</v>
      </c>
      <c r="BA1328" s="257">
        <v>-9999</v>
      </c>
      <c r="BB1328" s="257" t="s">
        <v>631</v>
      </c>
      <c r="BC1328" s="257">
        <v>-9999</v>
      </c>
      <c r="BD1328" s="257">
        <v>-9999</v>
      </c>
      <c r="BE1328" s="257">
        <v>-9999</v>
      </c>
      <c r="BF1328" s="257">
        <v>-9999</v>
      </c>
      <c r="BG1328" s="257">
        <v>-9999</v>
      </c>
      <c r="BH1328" s="257">
        <v>-9999</v>
      </c>
      <c r="BI1328" s="257" t="s">
        <v>894</v>
      </c>
      <c r="BJ1328" s="257">
        <v>-9999</v>
      </c>
      <c r="BK1328" s="257">
        <v>-9999</v>
      </c>
      <c r="BL1328" s="297">
        <v>11.3</v>
      </c>
      <c r="BM1328" s="257">
        <v>-9999</v>
      </c>
      <c r="BN1328" s="297">
        <v>11.6</v>
      </c>
      <c r="BO1328" s="257">
        <v>-9999</v>
      </c>
      <c r="BP1328" s="257">
        <v>-9999</v>
      </c>
      <c r="BQ1328" s="257">
        <v>-9999</v>
      </c>
      <c r="BR1328" s="257">
        <v>-9999</v>
      </c>
      <c r="BS1328" s="594">
        <f t="shared" si="142"/>
        <v>739.58622000000003</v>
      </c>
      <c r="BT1328" s="257">
        <v>51.77</v>
      </c>
      <c r="BU1328" s="257">
        <v>-9999</v>
      </c>
      <c r="BV1328" s="257">
        <v>-9999</v>
      </c>
      <c r="BW1328" s="257"/>
      <c r="BX1328" s="257">
        <v>-9999</v>
      </c>
      <c r="BY1328" s="257">
        <v>-9999</v>
      </c>
      <c r="BZ1328" s="257">
        <v>-9999</v>
      </c>
      <c r="CA1328" s="300" t="s">
        <v>895</v>
      </c>
      <c r="CB1328" s="475" t="s">
        <v>1573</v>
      </c>
      <c r="CC1328" s="257">
        <v>1</v>
      </c>
      <c r="CD1328" s="257">
        <v>2</v>
      </c>
      <c r="CE1328" s="292">
        <v>14.05</v>
      </c>
      <c r="CF1328" s="23">
        <v>20</v>
      </c>
      <c r="CG1328" s="43">
        <v>2</v>
      </c>
      <c r="CY1328" s="43">
        <v>3</v>
      </c>
      <c r="CZ1328" s="292">
        <f t="shared" si="145"/>
        <v>6.166666666666667</v>
      </c>
      <c r="DA1328" s="292">
        <v>10.4</v>
      </c>
    </row>
    <row r="1329" spans="1:107" s="13" customFormat="1" x14ac:dyDescent="0.2">
      <c r="A1329" s="259" t="s">
        <v>887</v>
      </c>
      <c r="B1329" s="259" t="s">
        <v>159</v>
      </c>
      <c r="C1329" s="259" t="s">
        <v>888</v>
      </c>
      <c r="D1329" s="259" t="s">
        <v>317</v>
      </c>
      <c r="E1329" s="617" t="s">
        <v>1497</v>
      </c>
      <c r="F1329" s="259">
        <v>1</v>
      </c>
      <c r="G1329" s="259">
        <v>2.5</v>
      </c>
      <c r="H1329" s="259">
        <v>2.5</v>
      </c>
      <c r="I1329" s="259" t="s">
        <v>807</v>
      </c>
      <c r="J1329" s="259">
        <v>1980</v>
      </c>
      <c r="K1329" s="259" t="s">
        <v>1001</v>
      </c>
      <c r="L1329" s="259">
        <v>1982</v>
      </c>
      <c r="M1329" s="288">
        <v>-9999</v>
      </c>
      <c r="N1329" s="259">
        <v>-9999</v>
      </c>
      <c r="O1329" s="18"/>
      <c r="P1329" s="288">
        <v>36.1</v>
      </c>
      <c r="Q1329" s="259">
        <v>-9999</v>
      </c>
      <c r="R1329" s="288"/>
      <c r="S1329" s="259"/>
      <c r="T1329" s="590">
        <f t="shared" si="143"/>
        <v>14.440000000000001</v>
      </c>
      <c r="U1329" s="259">
        <v>-9999</v>
      </c>
      <c r="V1329" s="259"/>
      <c r="W1329" s="590"/>
      <c r="X1329" s="259">
        <v>-9999</v>
      </c>
      <c r="Y1329" s="259"/>
      <c r="Z1329" s="259" t="s">
        <v>889</v>
      </c>
      <c r="AA1329" s="259">
        <v>1600</v>
      </c>
      <c r="AB1329" s="288">
        <v>0.81</v>
      </c>
      <c r="AC1329" s="288">
        <v>2.9</v>
      </c>
      <c r="AD1329" s="358">
        <f t="shared" si="144"/>
        <v>630</v>
      </c>
      <c r="AE1329" s="674" t="s">
        <v>1959</v>
      </c>
      <c r="AF1329" s="259">
        <v>5</v>
      </c>
      <c r="AG1329" s="259">
        <v>0</v>
      </c>
      <c r="AH1329" s="259" t="s">
        <v>890</v>
      </c>
      <c r="AI1329" s="259" t="s">
        <v>891</v>
      </c>
      <c r="AJ1329" s="259" t="s">
        <v>892</v>
      </c>
      <c r="AK1329" s="259" t="s">
        <v>893</v>
      </c>
      <c r="AL1329" s="259" t="s">
        <v>828</v>
      </c>
      <c r="AM1329" s="259"/>
      <c r="AN1329" s="259" t="s">
        <v>631</v>
      </c>
      <c r="AO1329" s="259">
        <v>-9999</v>
      </c>
      <c r="AP1329" s="259">
        <v>-9999</v>
      </c>
      <c r="AQ1329" s="259" t="s">
        <v>631</v>
      </c>
      <c r="AR1329" s="259">
        <v>0</v>
      </c>
      <c r="AS1329" s="259">
        <v>-9999</v>
      </c>
      <c r="AT1329" s="259"/>
      <c r="AU1329" s="259">
        <v>0</v>
      </c>
      <c r="AV1329" s="259">
        <v>-9999</v>
      </c>
      <c r="AW1329" s="259">
        <v>-9999</v>
      </c>
      <c r="AX1329" s="259">
        <v>0</v>
      </c>
      <c r="AY1329" s="259">
        <v>-9999</v>
      </c>
      <c r="AZ1329" s="259">
        <v>-9999</v>
      </c>
      <c r="BA1329" s="259">
        <v>-9999</v>
      </c>
      <c r="BB1329" s="259" t="s">
        <v>631</v>
      </c>
      <c r="BC1329" s="259">
        <v>-9999</v>
      </c>
      <c r="BD1329" s="259">
        <v>-9999</v>
      </c>
      <c r="BE1329" s="259">
        <v>-9999</v>
      </c>
      <c r="BF1329" s="259">
        <v>-9999</v>
      </c>
      <c r="BG1329" s="259">
        <v>-9999</v>
      </c>
      <c r="BH1329" s="259">
        <v>-9999</v>
      </c>
      <c r="BI1329" s="259" t="s">
        <v>894</v>
      </c>
      <c r="BJ1329" s="259">
        <v>-9999</v>
      </c>
      <c r="BK1329" s="259">
        <v>-9999</v>
      </c>
      <c r="BL1329" s="288">
        <v>13.6</v>
      </c>
      <c r="BM1329" s="259">
        <v>-9999</v>
      </c>
      <c r="BN1329" s="288">
        <v>12.3</v>
      </c>
      <c r="BO1329" s="259">
        <v>-9999</v>
      </c>
      <c r="BP1329" s="259">
        <v>-9999</v>
      </c>
      <c r="BQ1329" s="259">
        <v>-9999</v>
      </c>
      <c r="BR1329" s="259">
        <v>-9999</v>
      </c>
      <c r="BS1329" s="619">
        <f t="shared" si="142"/>
        <v>949.44755999999984</v>
      </c>
      <c r="BT1329" s="259">
        <v>66.459999999999994</v>
      </c>
      <c r="BU1329" s="259">
        <v>-9999</v>
      </c>
      <c r="BV1329" s="259">
        <v>-9999</v>
      </c>
      <c r="BW1329" s="259"/>
      <c r="BX1329" s="259">
        <v>-9999</v>
      </c>
      <c r="BY1329" s="259">
        <v>-9999</v>
      </c>
      <c r="BZ1329" s="259">
        <v>-9999</v>
      </c>
      <c r="CA1329" s="337" t="s">
        <v>895</v>
      </c>
      <c r="CB1329" s="592" t="s">
        <v>1573</v>
      </c>
      <c r="CC1329" s="259">
        <v>1</v>
      </c>
      <c r="CD1329" s="259">
        <v>2.5</v>
      </c>
      <c r="CE1329" s="395">
        <v>14.440000000000001</v>
      </c>
      <c r="CG1329" s="211">
        <v>2.5</v>
      </c>
      <c r="CH1329" s="437" t="s">
        <v>1757</v>
      </c>
      <c r="CY1329" s="38">
        <v>4</v>
      </c>
      <c r="CZ1329" s="99">
        <f t="shared" si="145"/>
        <v>7.0250000000000004</v>
      </c>
      <c r="DA1329" s="99">
        <v>9.6000000000000014</v>
      </c>
    </row>
    <row r="1330" spans="1:107" s="23" customFormat="1" x14ac:dyDescent="0.2">
      <c r="A1330" s="257" t="s">
        <v>887</v>
      </c>
      <c r="B1330" s="257" t="s">
        <v>159</v>
      </c>
      <c r="C1330" s="257" t="s">
        <v>888</v>
      </c>
      <c r="D1330" s="257" t="s">
        <v>317</v>
      </c>
      <c r="E1330" s="616" t="s">
        <v>1497</v>
      </c>
      <c r="F1330" s="257">
        <v>1</v>
      </c>
      <c r="G1330" s="257">
        <v>3</v>
      </c>
      <c r="H1330" s="257">
        <v>3</v>
      </c>
      <c r="I1330" s="257" t="s">
        <v>807</v>
      </c>
      <c r="J1330" s="257">
        <v>1980</v>
      </c>
      <c r="K1330" s="257" t="s">
        <v>807</v>
      </c>
      <c r="L1330" s="257">
        <v>1983</v>
      </c>
      <c r="M1330" s="261">
        <v>-9999</v>
      </c>
      <c r="N1330" s="257">
        <v>-9999</v>
      </c>
      <c r="O1330" s="29"/>
      <c r="P1330" s="261">
        <v>42.7</v>
      </c>
      <c r="Q1330" s="257">
        <v>-9999</v>
      </c>
      <c r="R1330" s="261"/>
      <c r="S1330" s="257"/>
      <c r="T1330" s="370">
        <f t="shared" si="143"/>
        <v>14.233333333333334</v>
      </c>
      <c r="U1330" s="257">
        <v>-9999</v>
      </c>
      <c r="V1330" s="257"/>
      <c r="W1330" s="370">
        <f>+P1330-P1328</f>
        <v>14.600000000000001</v>
      </c>
      <c r="X1330" s="257">
        <v>-9999</v>
      </c>
      <c r="Y1330" s="257"/>
      <c r="Z1330" s="257" t="s">
        <v>889</v>
      </c>
      <c r="AA1330" s="257">
        <v>1600</v>
      </c>
      <c r="AB1330" s="261">
        <v>0.76</v>
      </c>
      <c r="AC1330" s="297">
        <v>2.9</v>
      </c>
      <c r="AD1330" s="358">
        <f t="shared" si="144"/>
        <v>630</v>
      </c>
      <c r="AE1330" s="674" t="s">
        <v>1959</v>
      </c>
      <c r="AF1330" s="257">
        <v>5</v>
      </c>
      <c r="AG1330" s="257">
        <v>0</v>
      </c>
      <c r="AH1330" s="257" t="s">
        <v>890</v>
      </c>
      <c r="AI1330" s="257" t="s">
        <v>891</v>
      </c>
      <c r="AJ1330" s="257" t="s">
        <v>892</v>
      </c>
      <c r="AK1330" s="257" t="s">
        <v>893</v>
      </c>
      <c r="AL1330" s="257" t="s">
        <v>828</v>
      </c>
      <c r="AM1330" s="257"/>
      <c r="AN1330" s="257" t="s">
        <v>631</v>
      </c>
      <c r="AO1330" s="257">
        <v>-9999</v>
      </c>
      <c r="AP1330" s="257">
        <v>-9999</v>
      </c>
      <c r="AQ1330" s="257" t="s">
        <v>631</v>
      </c>
      <c r="AR1330" s="257">
        <v>0</v>
      </c>
      <c r="AS1330" s="257">
        <v>-9999</v>
      </c>
      <c r="AT1330" s="257"/>
      <c r="AU1330" s="257">
        <v>0</v>
      </c>
      <c r="AV1330" s="257">
        <v>-9999</v>
      </c>
      <c r="AW1330" s="257">
        <v>-9999</v>
      </c>
      <c r="AX1330" s="257">
        <v>0</v>
      </c>
      <c r="AY1330" s="257">
        <v>-9999</v>
      </c>
      <c r="AZ1330" s="257">
        <v>-9999</v>
      </c>
      <c r="BA1330" s="257">
        <v>-9999</v>
      </c>
      <c r="BB1330" s="257" t="s">
        <v>631</v>
      </c>
      <c r="BC1330" s="257">
        <v>-9999</v>
      </c>
      <c r="BD1330" s="257">
        <v>-9999</v>
      </c>
      <c r="BE1330" s="257">
        <v>-9999</v>
      </c>
      <c r="BF1330" s="257">
        <v>-9999</v>
      </c>
      <c r="BG1330" s="257">
        <v>-9999</v>
      </c>
      <c r="BH1330" s="257">
        <v>-9999</v>
      </c>
      <c r="BI1330" s="257" t="s">
        <v>894</v>
      </c>
      <c r="BJ1330" s="257">
        <v>-9999</v>
      </c>
      <c r="BK1330" s="257">
        <v>-9999</v>
      </c>
      <c r="BL1330" s="257">
        <v>-9999</v>
      </c>
      <c r="BM1330" s="257">
        <v>-9999</v>
      </c>
      <c r="BN1330" s="257">
        <v>-9999</v>
      </c>
      <c r="BO1330" s="257">
        <v>-9999</v>
      </c>
      <c r="BP1330" s="257">
        <v>-9999</v>
      </c>
      <c r="BQ1330" s="257">
        <v>-9999</v>
      </c>
      <c r="BR1330" s="257">
        <v>-9999</v>
      </c>
      <c r="BS1330" s="594">
        <f t="shared" si="142"/>
        <v>1121.5938599999999</v>
      </c>
      <c r="BT1330" s="257">
        <v>78.510000000000005</v>
      </c>
      <c r="BU1330" s="257">
        <v>-9999</v>
      </c>
      <c r="BV1330" s="257">
        <v>-9999</v>
      </c>
      <c r="BW1330" s="257"/>
      <c r="BX1330" s="257">
        <v>-9999</v>
      </c>
      <c r="BY1330" s="257">
        <v>-9999</v>
      </c>
      <c r="BZ1330" s="257">
        <v>-9999</v>
      </c>
      <c r="CA1330" s="300" t="s">
        <v>895</v>
      </c>
      <c r="CB1330" s="475" t="s">
        <v>1573</v>
      </c>
      <c r="CC1330" s="257">
        <v>1</v>
      </c>
      <c r="CD1330" s="257">
        <v>3</v>
      </c>
      <c r="CE1330" s="292">
        <v>14.233333333333334</v>
      </c>
      <c r="CF1330" s="23">
        <v>14.600000000000001</v>
      </c>
      <c r="CG1330" s="43">
        <v>3</v>
      </c>
      <c r="CY1330" s="211">
        <v>5</v>
      </c>
      <c r="CZ1330" s="292">
        <f t="shared" si="145"/>
        <v>7.2200000000000006</v>
      </c>
      <c r="DA1330" s="99">
        <v>8</v>
      </c>
    </row>
    <row r="1331" spans="1:107" s="23" customFormat="1" x14ac:dyDescent="0.2">
      <c r="A1331" s="257" t="s">
        <v>887</v>
      </c>
      <c r="B1331" s="257" t="s">
        <v>159</v>
      </c>
      <c r="C1331" s="257" t="s">
        <v>888</v>
      </c>
      <c r="D1331" s="257" t="s">
        <v>317</v>
      </c>
      <c r="E1331" s="616" t="s">
        <v>1497</v>
      </c>
      <c r="F1331" s="257">
        <v>1</v>
      </c>
      <c r="G1331" s="257">
        <v>3.5</v>
      </c>
      <c r="H1331" s="257">
        <v>3.5</v>
      </c>
      <c r="I1331" s="257" t="s">
        <v>807</v>
      </c>
      <c r="J1331" s="257">
        <v>1980</v>
      </c>
      <c r="K1331" s="257" t="s">
        <v>1001</v>
      </c>
      <c r="L1331" s="257">
        <v>1983</v>
      </c>
      <c r="M1331" s="261">
        <v>-9999</v>
      </c>
      <c r="N1331" s="257">
        <v>-9999</v>
      </c>
      <c r="O1331" s="29"/>
      <c r="P1331" s="261">
        <v>48.1</v>
      </c>
      <c r="Q1331" s="257">
        <v>-9999</v>
      </c>
      <c r="R1331" s="261"/>
      <c r="S1331" s="257"/>
      <c r="T1331" s="370">
        <f t="shared" si="143"/>
        <v>13.742857142857144</v>
      </c>
      <c r="U1331" s="257">
        <v>-9999</v>
      </c>
      <c r="V1331" s="257"/>
      <c r="W1331" s="370"/>
      <c r="X1331" s="257">
        <v>-9999</v>
      </c>
      <c r="Y1331" s="257"/>
      <c r="Z1331" s="257" t="s">
        <v>889</v>
      </c>
      <c r="AA1331" s="257">
        <v>1600</v>
      </c>
      <c r="AB1331" s="261">
        <v>0.69</v>
      </c>
      <c r="AC1331" s="297">
        <v>2.9</v>
      </c>
      <c r="AD1331" s="358">
        <f t="shared" si="144"/>
        <v>630</v>
      </c>
      <c r="AE1331" s="674" t="s">
        <v>1959</v>
      </c>
      <c r="AF1331" s="257">
        <v>5</v>
      </c>
      <c r="AG1331" s="257">
        <v>0</v>
      </c>
      <c r="AH1331" s="257" t="s">
        <v>890</v>
      </c>
      <c r="AI1331" s="257" t="s">
        <v>891</v>
      </c>
      <c r="AJ1331" s="257" t="s">
        <v>892</v>
      </c>
      <c r="AK1331" s="257" t="s">
        <v>893</v>
      </c>
      <c r="AL1331" s="257" t="s">
        <v>828</v>
      </c>
      <c r="AM1331" s="257"/>
      <c r="AN1331" s="257" t="s">
        <v>631</v>
      </c>
      <c r="AO1331" s="257">
        <v>-9999</v>
      </c>
      <c r="AP1331" s="257">
        <v>-9999</v>
      </c>
      <c r="AQ1331" s="257" t="s">
        <v>631</v>
      </c>
      <c r="AR1331" s="257">
        <v>0</v>
      </c>
      <c r="AS1331" s="257">
        <v>-9999</v>
      </c>
      <c r="AT1331" s="257"/>
      <c r="AU1331" s="257">
        <v>0</v>
      </c>
      <c r="AV1331" s="257">
        <v>-9999</v>
      </c>
      <c r="AW1331" s="257">
        <v>-9999</v>
      </c>
      <c r="AX1331" s="257">
        <v>0</v>
      </c>
      <c r="AY1331" s="257">
        <v>-9999</v>
      </c>
      <c r="AZ1331" s="257">
        <v>-9999</v>
      </c>
      <c r="BA1331" s="257">
        <v>-9999</v>
      </c>
      <c r="BB1331" s="257" t="s">
        <v>631</v>
      </c>
      <c r="BC1331" s="257">
        <v>-9999</v>
      </c>
      <c r="BD1331" s="257">
        <v>-9999</v>
      </c>
      <c r="BE1331" s="257">
        <v>-9999</v>
      </c>
      <c r="BF1331" s="257">
        <v>-9999</v>
      </c>
      <c r="BG1331" s="257">
        <v>-9999</v>
      </c>
      <c r="BH1331" s="257">
        <v>-9999</v>
      </c>
      <c r="BI1331" s="257" t="s">
        <v>894</v>
      </c>
      <c r="BJ1331" s="257">
        <v>-9999</v>
      </c>
      <c r="BK1331" s="257">
        <v>-9999</v>
      </c>
      <c r="BL1331" s="257">
        <v>-9999</v>
      </c>
      <c r="BM1331" s="257">
        <v>-9999</v>
      </c>
      <c r="BN1331" s="257">
        <v>-9999</v>
      </c>
      <c r="BO1331" s="257">
        <v>-9999</v>
      </c>
      <c r="BP1331" s="257">
        <v>-9999</v>
      </c>
      <c r="BQ1331" s="257">
        <v>-9999</v>
      </c>
      <c r="BR1331" s="257">
        <v>-9999</v>
      </c>
      <c r="BS1331" s="594">
        <f t="shared" si="142"/>
        <v>1263.4538399999999</v>
      </c>
      <c r="BT1331" s="257">
        <v>88.44</v>
      </c>
      <c r="BU1331" s="257">
        <v>-9999</v>
      </c>
      <c r="BV1331" s="257">
        <v>-9999</v>
      </c>
      <c r="BW1331" s="257"/>
      <c r="BX1331" s="257">
        <v>-9999</v>
      </c>
      <c r="BY1331" s="257">
        <v>-9999</v>
      </c>
      <c r="BZ1331" s="257">
        <v>-9999</v>
      </c>
      <c r="CA1331" s="300" t="s">
        <v>895</v>
      </c>
      <c r="CB1331" s="475" t="s">
        <v>1573</v>
      </c>
      <c r="CC1331" s="257">
        <v>1</v>
      </c>
      <c r="CD1331" s="257">
        <v>3.5</v>
      </c>
      <c r="CE1331" s="292">
        <v>13.742857142857144</v>
      </c>
      <c r="CG1331" s="43">
        <v>3.5</v>
      </c>
      <c r="CY1331" s="43">
        <v>6</v>
      </c>
      <c r="CZ1331" s="292">
        <f t="shared" si="145"/>
        <v>7.1166666666666671</v>
      </c>
      <c r="DA1331" s="292">
        <v>6.6000000000000014</v>
      </c>
    </row>
    <row r="1332" spans="1:107" s="23" customFormat="1" x14ac:dyDescent="0.2">
      <c r="A1332" s="257" t="s">
        <v>887</v>
      </c>
      <c r="B1332" s="257" t="s">
        <v>159</v>
      </c>
      <c r="C1332" s="257" t="s">
        <v>888</v>
      </c>
      <c r="D1332" s="257" t="s">
        <v>317</v>
      </c>
      <c r="E1332" s="616" t="s">
        <v>1497</v>
      </c>
      <c r="F1332" s="257">
        <v>1</v>
      </c>
      <c r="G1332" s="257">
        <v>4</v>
      </c>
      <c r="H1332" s="257">
        <v>4</v>
      </c>
      <c r="I1332" s="257" t="s">
        <v>807</v>
      </c>
      <c r="J1332" s="257">
        <v>1980</v>
      </c>
      <c r="K1332" s="257" t="s">
        <v>807</v>
      </c>
      <c r="L1332" s="257">
        <v>1984</v>
      </c>
      <c r="M1332" s="261">
        <v>-9999</v>
      </c>
      <c r="N1332" s="257">
        <v>-9999</v>
      </c>
      <c r="O1332" s="29"/>
      <c r="P1332" s="261">
        <v>52.53</v>
      </c>
      <c r="Q1332" s="257">
        <v>-9999</v>
      </c>
      <c r="R1332" s="261"/>
      <c r="S1332" s="257"/>
      <c r="T1332" s="370">
        <f t="shared" si="143"/>
        <v>13.1325</v>
      </c>
      <c r="U1332" s="257">
        <v>-9999</v>
      </c>
      <c r="V1332" s="257"/>
      <c r="W1332" s="370">
        <f>+P1332-P1330</f>
        <v>9.8299999999999983</v>
      </c>
      <c r="X1332" s="257">
        <v>-9999</v>
      </c>
      <c r="Y1332" s="257"/>
      <c r="Z1332" s="257" t="s">
        <v>889</v>
      </c>
      <c r="AA1332" s="257">
        <v>1600</v>
      </c>
      <c r="AB1332" s="261">
        <v>0.69</v>
      </c>
      <c r="AC1332" s="297">
        <v>2.9</v>
      </c>
      <c r="AD1332" s="358">
        <f t="shared" si="144"/>
        <v>630</v>
      </c>
      <c r="AE1332" s="674" t="s">
        <v>1959</v>
      </c>
      <c r="AF1332" s="257">
        <v>5</v>
      </c>
      <c r="AG1332" s="257">
        <v>0</v>
      </c>
      <c r="AH1332" s="257" t="s">
        <v>890</v>
      </c>
      <c r="AI1332" s="257" t="s">
        <v>891</v>
      </c>
      <c r="AJ1332" s="257" t="s">
        <v>892</v>
      </c>
      <c r="AK1332" s="257" t="s">
        <v>893</v>
      </c>
      <c r="AL1332" s="257" t="s">
        <v>828</v>
      </c>
      <c r="AM1332" s="257"/>
      <c r="AN1332" s="257" t="s">
        <v>631</v>
      </c>
      <c r="AO1332" s="257">
        <v>-9999</v>
      </c>
      <c r="AP1332" s="257">
        <v>-9999</v>
      </c>
      <c r="AQ1332" s="257" t="s">
        <v>631</v>
      </c>
      <c r="AR1332" s="257">
        <v>0</v>
      </c>
      <c r="AS1332" s="257">
        <v>-9999</v>
      </c>
      <c r="AT1332" s="257"/>
      <c r="AU1332" s="257">
        <v>0</v>
      </c>
      <c r="AV1332" s="257">
        <v>-9999</v>
      </c>
      <c r="AW1332" s="257">
        <v>-9999</v>
      </c>
      <c r="AX1332" s="257">
        <v>0</v>
      </c>
      <c r="AY1332" s="257">
        <v>-9999</v>
      </c>
      <c r="AZ1332" s="257">
        <v>-9999</v>
      </c>
      <c r="BA1332" s="257">
        <v>-9999</v>
      </c>
      <c r="BB1332" s="257" t="s">
        <v>631</v>
      </c>
      <c r="BC1332" s="257">
        <v>-9999</v>
      </c>
      <c r="BD1332" s="257">
        <v>-9999</v>
      </c>
      <c r="BE1332" s="257">
        <v>-9999</v>
      </c>
      <c r="BF1332" s="257">
        <v>-9999</v>
      </c>
      <c r="BG1332" s="257">
        <v>-9999</v>
      </c>
      <c r="BH1332" s="257">
        <v>-9999</v>
      </c>
      <c r="BI1332" s="257" t="s">
        <v>894</v>
      </c>
      <c r="BJ1332" s="257">
        <v>-9999</v>
      </c>
      <c r="BK1332" s="257">
        <v>-9999</v>
      </c>
      <c r="BL1332" s="257">
        <v>-9999</v>
      </c>
      <c r="BM1332" s="257">
        <v>-9999</v>
      </c>
      <c r="BN1332" s="257">
        <v>-9999</v>
      </c>
      <c r="BO1332" s="257">
        <v>-9999</v>
      </c>
      <c r="BP1332" s="257">
        <v>-9999</v>
      </c>
      <c r="BQ1332" s="257">
        <v>-9999</v>
      </c>
      <c r="BR1332" s="257">
        <v>-9999</v>
      </c>
      <c r="BS1332" s="594">
        <f t="shared" si="142"/>
        <v>1381.3133399999999</v>
      </c>
      <c r="BT1332" s="257">
        <v>96.69</v>
      </c>
      <c r="BU1332" s="257">
        <v>-9999</v>
      </c>
      <c r="BV1332" s="257">
        <v>-9999</v>
      </c>
      <c r="BW1332" s="257"/>
      <c r="BX1332" s="257">
        <v>-9999</v>
      </c>
      <c r="BY1332" s="257">
        <v>-9999</v>
      </c>
      <c r="BZ1332" s="257">
        <v>-9999</v>
      </c>
      <c r="CA1332" s="300" t="s">
        <v>895</v>
      </c>
      <c r="CB1332" s="475" t="s">
        <v>1573</v>
      </c>
      <c r="CC1332" s="257">
        <v>1</v>
      </c>
      <c r="CD1332" s="257">
        <v>4</v>
      </c>
      <c r="CE1332" s="292">
        <v>13.1325</v>
      </c>
      <c r="CF1332" s="23">
        <v>9.8299999999999983</v>
      </c>
      <c r="CG1332" s="43">
        <v>4</v>
      </c>
      <c r="CY1332" s="43">
        <v>7</v>
      </c>
      <c r="CZ1332" s="292">
        <f t="shared" si="145"/>
        <v>6.8714285714285719</v>
      </c>
      <c r="DA1332" s="292">
        <v>5.3999999999999986</v>
      </c>
    </row>
    <row r="1333" spans="1:107" s="23" customFormat="1" x14ac:dyDescent="0.2">
      <c r="A1333" s="257"/>
      <c r="B1333" s="257"/>
      <c r="C1333" s="257"/>
      <c r="D1333" s="257"/>
      <c r="E1333" s="257"/>
      <c r="F1333" s="257"/>
      <c r="G1333" s="257"/>
      <c r="H1333" s="257"/>
      <c r="I1333" s="257"/>
      <c r="J1333" s="257"/>
      <c r="K1333" s="257"/>
      <c r="L1333" s="257"/>
      <c r="M1333" s="261"/>
      <c r="N1333" s="257"/>
      <c r="O1333" s="29"/>
      <c r="P1333" s="261"/>
      <c r="Q1333" s="257"/>
      <c r="R1333" s="261"/>
      <c r="S1333" s="257"/>
      <c r="T1333" s="370"/>
      <c r="U1333" s="257"/>
      <c r="V1333" s="257"/>
      <c r="W1333" s="370"/>
      <c r="X1333" s="257"/>
      <c r="Y1333" s="257"/>
      <c r="Z1333" s="257"/>
      <c r="AA1333" s="257"/>
      <c r="AB1333" s="261"/>
      <c r="AC1333" s="297"/>
      <c r="AD1333" s="298"/>
      <c r="AE1333" s="298"/>
      <c r="AF1333" s="257"/>
      <c r="AG1333" s="257"/>
      <c r="AH1333" s="257"/>
      <c r="AI1333" s="257"/>
      <c r="AJ1333" s="257"/>
      <c r="AK1333" s="257"/>
      <c r="AL1333" s="257"/>
      <c r="AM1333" s="257"/>
      <c r="AN1333" s="257"/>
      <c r="AO1333" s="257"/>
      <c r="AP1333" s="257"/>
      <c r="AQ1333" s="257"/>
      <c r="AR1333" s="257"/>
      <c r="AS1333" s="257"/>
      <c r="AT1333" s="257"/>
      <c r="AU1333" s="257"/>
      <c r="AV1333" s="257"/>
      <c r="AW1333" s="257"/>
      <c r="AX1333" s="257"/>
      <c r="AY1333" s="257"/>
      <c r="AZ1333" s="257"/>
      <c r="BA1333" s="257"/>
      <c r="BB1333" s="257"/>
      <c r="BC1333" s="257"/>
      <c r="BD1333" s="257"/>
      <c r="BE1333" s="257"/>
      <c r="BF1333" s="257"/>
      <c r="BG1333" s="257"/>
      <c r="BH1333" s="257"/>
      <c r="BI1333" s="257"/>
      <c r="BJ1333" s="257"/>
      <c r="BK1333" s="257"/>
      <c r="BL1333" s="257"/>
      <c r="BM1333" s="257"/>
      <c r="BN1333" s="257"/>
      <c r="BO1333" s="257"/>
      <c r="BP1333" s="257"/>
      <c r="BQ1333" s="257"/>
      <c r="BR1333" s="257"/>
      <c r="BS1333" s="594"/>
      <c r="BT1333" s="257"/>
      <c r="BU1333" s="257"/>
      <c r="BV1333" s="257"/>
      <c r="BW1333" s="257"/>
      <c r="BX1333" s="257"/>
      <c r="BY1333" s="257"/>
      <c r="BZ1333" s="257"/>
      <c r="CA1333" s="300"/>
      <c r="CB1333" s="264"/>
      <c r="CC1333" s="257"/>
      <c r="CD1333" s="592" t="s">
        <v>1633</v>
      </c>
      <c r="CE1333" s="99" t="s">
        <v>1576</v>
      </c>
      <c r="CF1333" s="13" t="s">
        <v>1575</v>
      </c>
      <c r="CG1333" s="43"/>
      <c r="CY1333" s="43">
        <v>8</v>
      </c>
      <c r="CZ1333" s="292">
        <f t="shared" si="145"/>
        <v>6.5662500000000001</v>
      </c>
      <c r="DA1333" s="292">
        <v>4.43</v>
      </c>
    </row>
    <row r="1334" spans="1:107" s="23" customFormat="1" x14ac:dyDescent="0.2">
      <c r="A1334" s="257" t="s">
        <v>887</v>
      </c>
      <c r="B1334" s="257" t="s">
        <v>159</v>
      </c>
      <c r="C1334" s="257" t="s">
        <v>896</v>
      </c>
      <c r="D1334" s="257" t="s">
        <v>317</v>
      </c>
      <c r="E1334" s="616" t="s">
        <v>1497</v>
      </c>
      <c r="F1334" s="257">
        <v>1</v>
      </c>
      <c r="G1334" s="257">
        <v>0.5</v>
      </c>
      <c r="H1334" s="257">
        <v>0.5</v>
      </c>
      <c r="I1334" s="257" t="s">
        <v>807</v>
      </c>
      <c r="J1334" s="257">
        <v>1980</v>
      </c>
      <c r="K1334" s="257" t="s">
        <v>1001</v>
      </c>
      <c r="L1334" s="257">
        <v>1980</v>
      </c>
      <c r="M1334" s="261">
        <v>-9999</v>
      </c>
      <c r="N1334" s="257">
        <v>-9999</v>
      </c>
      <c r="O1334" s="29"/>
      <c r="P1334" s="261">
        <v>4.7</v>
      </c>
      <c r="Q1334" s="257">
        <v>-9999</v>
      </c>
      <c r="R1334" s="261"/>
      <c r="S1334" s="257"/>
      <c r="T1334" s="370">
        <f>+P1334</f>
        <v>4.7</v>
      </c>
      <c r="U1334" s="257">
        <v>-9999</v>
      </c>
      <c r="V1334" s="257"/>
      <c r="W1334" s="370"/>
      <c r="X1334" s="257">
        <v>-9999</v>
      </c>
      <c r="Y1334" s="257"/>
      <c r="Z1334" s="257" t="s">
        <v>793</v>
      </c>
      <c r="AA1334" s="257">
        <v>10000</v>
      </c>
      <c r="AB1334" s="261">
        <v>0.94</v>
      </c>
      <c r="AC1334" s="297">
        <v>2.9</v>
      </c>
      <c r="AD1334" s="358">
        <f>0.01*10000</f>
        <v>100</v>
      </c>
      <c r="AE1334" s="674" t="s">
        <v>1959</v>
      </c>
      <c r="AF1334" s="257">
        <v>5</v>
      </c>
      <c r="AG1334" s="257">
        <v>0</v>
      </c>
      <c r="AH1334" s="257" t="s">
        <v>890</v>
      </c>
      <c r="AI1334" s="257" t="s">
        <v>891</v>
      </c>
      <c r="AJ1334" s="257" t="s">
        <v>892</v>
      </c>
      <c r="AK1334" s="257" t="s">
        <v>893</v>
      </c>
      <c r="AL1334" s="257" t="s">
        <v>828</v>
      </c>
      <c r="AM1334" s="257"/>
      <c r="AN1334" s="257" t="s">
        <v>631</v>
      </c>
      <c r="AO1334" s="257">
        <v>-9999</v>
      </c>
      <c r="AP1334" s="257">
        <v>-9999</v>
      </c>
      <c r="AQ1334" s="257" t="s">
        <v>631</v>
      </c>
      <c r="AR1334" s="257">
        <v>0</v>
      </c>
      <c r="AS1334" s="257">
        <v>-9999</v>
      </c>
      <c r="AT1334" s="257"/>
      <c r="AU1334" s="257">
        <v>0</v>
      </c>
      <c r="AV1334" s="257">
        <v>-9999</v>
      </c>
      <c r="AW1334" s="257">
        <v>-9999</v>
      </c>
      <c r="AX1334" s="257">
        <v>0</v>
      </c>
      <c r="AY1334" s="257">
        <v>-9999</v>
      </c>
      <c r="AZ1334" s="257">
        <v>-9999</v>
      </c>
      <c r="BA1334" s="257">
        <v>-9999</v>
      </c>
      <c r="BB1334" s="257" t="s">
        <v>631</v>
      </c>
      <c r="BC1334" s="257">
        <v>-9999</v>
      </c>
      <c r="BD1334" s="257">
        <v>-9999</v>
      </c>
      <c r="BE1334" s="257">
        <v>-9999</v>
      </c>
      <c r="BF1334" s="257">
        <v>-9999</v>
      </c>
      <c r="BG1334" s="257">
        <v>-9999</v>
      </c>
      <c r="BH1334" s="257">
        <v>-9999</v>
      </c>
      <c r="BI1334" s="257" t="s">
        <v>566</v>
      </c>
      <c r="BJ1334" s="257">
        <v>-9999</v>
      </c>
      <c r="BK1334" s="257">
        <v>-9999</v>
      </c>
      <c r="BL1334" s="297">
        <v>4.4000000000000004</v>
      </c>
      <c r="BM1334" s="257">
        <v>-9999</v>
      </c>
      <c r="BN1334" s="297">
        <v>2.7</v>
      </c>
      <c r="BO1334" s="257">
        <v>-9999</v>
      </c>
      <c r="BP1334" s="257">
        <v>-9999</v>
      </c>
      <c r="BQ1334" s="257">
        <v>-9999</v>
      </c>
      <c r="BR1334" s="257">
        <v>-9999</v>
      </c>
      <c r="BS1334" s="594">
        <f t="shared" ref="BS1334:BS1341" si="146">+BT1334*14.286</f>
        <v>138.28847999999999</v>
      </c>
      <c r="BT1334" s="257">
        <v>9.68</v>
      </c>
      <c r="BU1334" s="257">
        <v>-9999</v>
      </c>
      <c r="BV1334" s="257">
        <v>-9999</v>
      </c>
      <c r="BW1334" s="257"/>
      <c r="BX1334" s="257">
        <v>-9999</v>
      </c>
      <c r="BY1334" s="257">
        <v>-9999</v>
      </c>
      <c r="BZ1334" s="257">
        <v>-9999</v>
      </c>
      <c r="CA1334" s="300" t="s">
        <v>895</v>
      </c>
      <c r="CB1334" s="475" t="s">
        <v>1573</v>
      </c>
      <c r="CC1334" s="257">
        <v>1</v>
      </c>
      <c r="CD1334" s="257">
        <v>0.5</v>
      </c>
      <c r="CE1334" s="292">
        <v>4.7</v>
      </c>
      <c r="CG1334" s="43">
        <v>0.5</v>
      </c>
      <c r="CY1334" s="323" t="s">
        <v>1631</v>
      </c>
      <c r="CZ1334" s="342" t="s">
        <v>1627</v>
      </c>
      <c r="DA1334" s="342" t="s">
        <v>1628</v>
      </c>
    </row>
    <row r="1335" spans="1:107" s="23" customFormat="1" x14ac:dyDescent="0.2">
      <c r="A1335" s="257" t="s">
        <v>887</v>
      </c>
      <c r="B1335" s="257" t="s">
        <v>159</v>
      </c>
      <c r="C1335" s="257" t="s">
        <v>896</v>
      </c>
      <c r="D1335" s="257" t="s">
        <v>317</v>
      </c>
      <c r="E1335" s="616" t="s">
        <v>1497</v>
      </c>
      <c r="F1335" s="257">
        <v>1</v>
      </c>
      <c r="G1335" s="257">
        <v>1</v>
      </c>
      <c r="H1335" s="257">
        <v>1</v>
      </c>
      <c r="I1335" s="257" t="s">
        <v>807</v>
      </c>
      <c r="J1335" s="257">
        <v>1980</v>
      </c>
      <c r="K1335" s="257" t="s">
        <v>807</v>
      </c>
      <c r="L1335" s="257">
        <v>1981</v>
      </c>
      <c r="M1335" s="261">
        <v>-9999</v>
      </c>
      <c r="N1335" s="257">
        <v>-9999</v>
      </c>
      <c r="O1335" s="29"/>
      <c r="P1335" s="261">
        <v>21.5</v>
      </c>
      <c r="Q1335" s="257">
        <v>-9999</v>
      </c>
      <c r="R1335" s="261"/>
      <c r="S1335" s="257"/>
      <c r="T1335" s="370">
        <f t="shared" ref="T1335:T1341" si="147">+P1335/G1335</f>
        <v>21.5</v>
      </c>
      <c r="U1335" s="257">
        <v>-9999</v>
      </c>
      <c r="V1335" s="257"/>
      <c r="W1335" s="370">
        <f>+P1335</f>
        <v>21.5</v>
      </c>
      <c r="X1335" s="257">
        <v>-9999</v>
      </c>
      <c r="Y1335" s="257"/>
      <c r="Z1335" s="257" t="s">
        <v>793</v>
      </c>
      <c r="AA1335" s="257">
        <v>10000</v>
      </c>
      <c r="AB1335" s="261">
        <v>0.91</v>
      </c>
      <c r="AC1335" s="297">
        <v>2.9</v>
      </c>
      <c r="AD1335" s="358">
        <f t="shared" ref="AD1335:AD1341" si="148">0.01*10000</f>
        <v>100</v>
      </c>
      <c r="AE1335" s="674" t="s">
        <v>1959</v>
      </c>
      <c r="AF1335" s="257">
        <v>5</v>
      </c>
      <c r="AG1335" s="257">
        <v>0</v>
      </c>
      <c r="AH1335" s="257" t="s">
        <v>890</v>
      </c>
      <c r="AI1335" s="257" t="s">
        <v>891</v>
      </c>
      <c r="AJ1335" s="257" t="s">
        <v>892</v>
      </c>
      <c r="AK1335" s="257" t="s">
        <v>893</v>
      </c>
      <c r="AL1335" s="257" t="s">
        <v>828</v>
      </c>
      <c r="AM1335" s="257"/>
      <c r="AN1335" s="257" t="s">
        <v>631</v>
      </c>
      <c r="AO1335" s="257">
        <v>-9999</v>
      </c>
      <c r="AP1335" s="257">
        <v>-9999</v>
      </c>
      <c r="AQ1335" s="257" t="s">
        <v>631</v>
      </c>
      <c r="AR1335" s="257">
        <v>0</v>
      </c>
      <c r="AS1335" s="257">
        <v>-9999</v>
      </c>
      <c r="AT1335" s="257"/>
      <c r="AU1335" s="257">
        <v>0</v>
      </c>
      <c r="AV1335" s="257">
        <v>-9999</v>
      </c>
      <c r="AW1335" s="257">
        <v>-9999</v>
      </c>
      <c r="AX1335" s="257">
        <v>0</v>
      </c>
      <c r="AY1335" s="257">
        <v>-9999</v>
      </c>
      <c r="AZ1335" s="257">
        <v>-9999</v>
      </c>
      <c r="BA1335" s="257">
        <v>-9999</v>
      </c>
      <c r="BB1335" s="257" t="s">
        <v>631</v>
      </c>
      <c r="BC1335" s="257">
        <v>-9999</v>
      </c>
      <c r="BD1335" s="257">
        <v>-9999</v>
      </c>
      <c r="BE1335" s="257">
        <v>-9999</v>
      </c>
      <c r="BF1335" s="257">
        <v>-9999</v>
      </c>
      <c r="BG1335" s="257">
        <v>-9999</v>
      </c>
      <c r="BH1335" s="257">
        <v>-9999</v>
      </c>
      <c r="BI1335" s="257" t="s">
        <v>566</v>
      </c>
      <c r="BJ1335" s="257">
        <v>-9999</v>
      </c>
      <c r="BK1335" s="257">
        <v>-9999</v>
      </c>
      <c r="BL1335" s="297">
        <v>7.5</v>
      </c>
      <c r="BM1335" s="257">
        <v>-9999</v>
      </c>
      <c r="BN1335" s="297">
        <v>5</v>
      </c>
      <c r="BO1335" s="257">
        <v>-9999</v>
      </c>
      <c r="BP1335" s="257">
        <v>-9999</v>
      </c>
      <c r="BQ1335" s="257">
        <v>-9999</v>
      </c>
      <c r="BR1335" s="257">
        <v>-9999</v>
      </c>
      <c r="BS1335" s="594">
        <f t="shared" si="146"/>
        <v>565.4398799999999</v>
      </c>
      <c r="BT1335" s="257">
        <v>39.58</v>
      </c>
      <c r="BU1335" s="257">
        <v>-9999</v>
      </c>
      <c r="BV1335" s="257">
        <v>-9999</v>
      </c>
      <c r="BW1335" s="257"/>
      <c r="BX1335" s="257">
        <v>-9999</v>
      </c>
      <c r="BY1335" s="257">
        <v>-9999</v>
      </c>
      <c r="BZ1335" s="257">
        <v>-9999</v>
      </c>
      <c r="CA1335" s="300" t="s">
        <v>895</v>
      </c>
      <c r="CB1335" s="475" t="s">
        <v>1573</v>
      </c>
      <c r="CC1335" s="257">
        <v>1</v>
      </c>
      <c r="CD1335" s="257">
        <v>1</v>
      </c>
      <c r="CE1335" s="292">
        <v>21.5</v>
      </c>
      <c r="CF1335" s="23">
        <v>21.5</v>
      </c>
      <c r="CG1335" s="43">
        <v>1</v>
      </c>
      <c r="CY1335" s="43">
        <v>1</v>
      </c>
      <c r="CZ1335" s="292">
        <v>4.7</v>
      </c>
      <c r="DA1335" s="292">
        <v>4.7</v>
      </c>
    </row>
    <row r="1336" spans="1:107" s="13" customFormat="1" x14ac:dyDescent="0.2">
      <c r="A1336" s="259" t="s">
        <v>887</v>
      </c>
      <c r="B1336" s="259" t="s">
        <v>159</v>
      </c>
      <c r="C1336" s="259" t="s">
        <v>896</v>
      </c>
      <c r="D1336" s="259" t="s">
        <v>317</v>
      </c>
      <c r="E1336" s="617" t="s">
        <v>1497</v>
      </c>
      <c r="F1336" s="259">
        <v>1</v>
      </c>
      <c r="G1336" s="259">
        <v>1.5</v>
      </c>
      <c r="H1336" s="259">
        <v>1.5</v>
      </c>
      <c r="I1336" s="259" t="s">
        <v>807</v>
      </c>
      <c r="J1336" s="259">
        <v>1980</v>
      </c>
      <c r="K1336" s="259" t="s">
        <v>1001</v>
      </c>
      <c r="L1336" s="259">
        <v>1981</v>
      </c>
      <c r="M1336" s="288">
        <v>-9999</v>
      </c>
      <c r="N1336" s="259">
        <v>-9999</v>
      </c>
      <c r="O1336" s="18"/>
      <c r="P1336" s="288">
        <v>35.700000000000003</v>
      </c>
      <c r="Q1336" s="259">
        <v>-9999</v>
      </c>
      <c r="R1336" s="288"/>
      <c r="S1336" s="259"/>
      <c r="T1336" s="590">
        <f t="shared" si="147"/>
        <v>23.8</v>
      </c>
      <c r="U1336" s="259">
        <v>-9999</v>
      </c>
      <c r="V1336" s="259"/>
      <c r="W1336" s="590"/>
      <c r="X1336" s="259">
        <v>-9999</v>
      </c>
      <c r="Y1336" s="259"/>
      <c r="Z1336" s="259" t="s">
        <v>793</v>
      </c>
      <c r="AA1336" s="259">
        <v>10000</v>
      </c>
      <c r="AB1336" s="288">
        <v>0.87</v>
      </c>
      <c r="AC1336" s="288">
        <v>2.9</v>
      </c>
      <c r="AD1336" s="358">
        <f t="shared" si="148"/>
        <v>100</v>
      </c>
      <c r="AE1336" s="674" t="s">
        <v>1959</v>
      </c>
      <c r="AF1336" s="259">
        <v>5</v>
      </c>
      <c r="AG1336" s="259">
        <v>0</v>
      </c>
      <c r="AH1336" s="259" t="s">
        <v>890</v>
      </c>
      <c r="AI1336" s="259" t="s">
        <v>891</v>
      </c>
      <c r="AJ1336" s="259" t="s">
        <v>892</v>
      </c>
      <c r="AK1336" s="259" t="s">
        <v>893</v>
      </c>
      <c r="AL1336" s="259" t="s">
        <v>828</v>
      </c>
      <c r="AM1336" s="259"/>
      <c r="AN1336" s="259" t="s">
        <v>631</v>
      </c>
      <c r="AO1336" s="259">
        <v>-9999</v>
      </c>
      <c r="AP1336" s="259">
        <v>-9999</v>
      </c>
      <c r="AQ1336" s="259" t="s">
        <v>631</v>
      </c>
      <c r="AR1336" s="259">
        <v>0</v>
      </c>
      <c r="AS1336" s="259">
        <v>-9999</v>
      </c>
      <c r="AT1336" s="259"/>
      <c r="AU1336" s="259">
        <v>0</v>
      </c>
      <c r="AV1336" s="259">
        <v>-9999</v>
      </c>
      <c r="AW1336" s="259">
        <v>-9999</v>
      </c>
      <c r="AX1336" s="259">
        <v>0</v>
      </c>
      <c r="AY1336" s="259">
        <v>-9999</v>
      </c>
      <c r="AZ1336" s="259">
        <v>-9999</v>
      </c>
      <c r="BA1336" s="259">
        <v>-9999</v>
      </c>
      <c r="BB1336" s="259" t="s">
        <v>631</v>
      </c>
      <c r="BC1336" s="259">
        <v>-9999</v>
      </c>
      <c r="BD1336" s="259">
        <v>-9999</v>
      </c>
      <c r="BE1336" s="259">
        <v>-9999</v>
      </c>
      <c r="BF1336" s="259">
        <v>-9999</v>
      </c>
      <c r="BG1336" s="259">
        <v>-9999</v>
      </c>
      <c r="BH1336" s="259">
        <v>-9999</v>
      </c>
      <c r="BI1336" s="259" t="s">
        <v>566</v>
      </c>
      <c r="BJ1336" s="259">
        <v>-9999</v>
      </c>
      <c r="BK1336" s="259">
        <v>-9999</v>
      </c>
      <c r="BL1336" s="288">
        <v>11.2</v>
      </c>
      <c r="BM1336" s="259">
        <v>-9999</v>
      </c>
      <c r="BN1336" s="288">
        <v>6.5</v>
      </c>
      <c r="BO1336" s="259">
        <v>-9999</v>
      </c>
      <c r="BP1336" s="259">
        <v>-9999</v>
      </c>
      <c r="BQ1336" s="259">
        <v>-9999</v>
      </c>
      <c r="BR1336" s="259">
        <v>-9999</v>
      </c>
      <c r="BS1336" s="619">
        <f t="shared" si="146"/>
        <v>937.8759</v>
      </c>
      <c r="BT1336" s="259">
        <v>65.650000000000006</v>
      </c>
      <c r="BU1336" s="259">
        <v>-9999</v>
      </c>
      <c r="BV1336" s="259">
        <v>-9999</v>
      </c>
      <c r="BW1336" s="259"/>
      <c r="BX1336" s="259">
        <v>-9999</v>
      </c>
      <c r="BY1336" s="259">
        <v>-9999</v>
      </c>
      <c r="BZ1336" s="259">
        <v>-9999</v>
      </c>
      <c r="CA1336" s="337" t="s">
        <v>895</v>
      </c>
      <c r="CB1336" s="592" t="s">
        <v>1573</v>
      </c>
      <c r="CC1336" s="259">
        <v>1</v>
      </c>
      <c r="CD1336" s="259">
        <v>1.5</v>
      </c>
      <c r="CE1336" s="395">
        <v>23.8</v>
      </c>
      <c r="CG1336" s="211">
        <v>1.5</v>
      </c>
      <c r="CH1336" s="437" t="s">
        <v>1757</v>
      </c>
      <c r="CY1336" s="38">
        <v>2</v>
      </c>
      <c r="CZ1336" s="99">
        <v>10.75</v>
      </c>
      <c r="DA1336" s="99">
        <v>16.8</v>
      </c>
    </row>
    <row r="1337" spans="1:107" s="23" customFormat="1" x14ac:dyDescent="0.2">
      <c r="A1337" s="257" t="s">
        <v>887</v>
      </c>
      <c r="B1337" s="257" t="s">
        <v>159</v>
      </c>
      <c r="C1337" s="257" t="s">
        <v>896</v>
      </c>
      <c r="D1337" s="257" t="s">
        <v>317</v>
      </c>
      <c r="E1337" s="616" t="s">
        <v>1497</v>
      </c>
      <c r="F1337" s="257">
        <v>1</v>
      </c>
      <c r="G1337" s="257">
        <v>2</v>
      </c>
      <c r="H1337" s="257">
        <v>2</v>
      </c>
      <c r="I1337" s="257" t="s">
        <v>807</v>
      </c>
      <c r="J1337" s="257">
        <v>1980</v>
      </c>
      <c r="K1337" s="257" t="s">
        <v>807</v>
      </c>
      <c r="L1337" s="257">
        <v>1982</v>
      </c>
      <c r="M1337" s="261">
        <v>-9999</v>
      </c>
      <c r="N1337" s="257">
        <v>-9999</v>
      </c>
      <c r="O1337" s="29"/>
      <c r="P1337" s="261">
        <v>45.9</v>
      </c>
      <c r="Q1337" s="257">
        <v>-9999</v>
      </c>
      <c r="R1337" s="261"/>
      <c r="S1337" s="257"/>
      <c r="T1337" s="370">
        <f t="shared" si="147"/>
        <v>22.95</v>
      </c>
      <c r="U1337" s="257">
        <v>-9999</v>
      </c>
      <c r="V1337" s="257"/>
      <c r="W1337" s="370">
        <f>+P1337-P1335</f>
        <v>24.4</v>
      </c>
      <c r="X1337" s="257">
        <v>-9999</v>
      </c>
      <c r="Y1337" s="257"/>
      <c r="Z1337" s="257" t="s">
        <v>793</v>
      </c>
      <c r="AA1337" s="257">
        <v>10000</v>
      </c>
      <c r="AB1337" s="261">
        <v>0.81</v>
      </c>
      <c r="AC1337" s="297">
        <v>2.9</v>
      </c>
      <c r="AD1337" s="358">
        <f t="shared" si="148"/>
        <v>100</v>
      </c>
      <c r="AE1337" s="674" t="s">
        <v>1959</v>
      </c>
      <c r="AF1337" s="257">
        <v>5</v>
      </c>
      <c r="AG1337" s="257">
        <v>0</v>
      </c>
      <c r="AH1337" s="257" t="s">
        <v>890</v>
      </c>
      <c r="AI1337" s="257" t="s">
        <v>891</v>
      </c>
      <c r="AJ1337" s="257" t="s">
        <v>892</v>
      </c>
      <c r="AK1337" s="257" t="s">
        <v>893</v>
      </c>
      <c r="AL1337" s="257" t="s">
        <v>828</v>
      </c>
      <c r="AM1337" s="257"/>
      <c r="AN1337" s="257" t="s">
        <v>631</v>
      </c>
      <c r="AO1337" s="257">
        <v>-9999</v>
      </c>
      <c r="AP1337" s="257">
        <v>-9999</v>
      </c>
      <c r="AQ1337" s="257" t="s">
        <v>631</v>
      </c>
      <c r="AR1337" s="257">
        <v>0</v>
      </c>
      <c r="AS1337" s="257">
        <v>-9999</v>
      </c>
      <c r="AT1337" s="257"/>
      <c r="AU1337" s="257">
        <v>0</v>
      </c>
      <c r="AV1337" s="257">
        <v>-9999</v>
      </c>
      <c r="AW1337" s="257">
        <v>-9999</v>
      </c>
      <c r="AX1337" s="257">
        <v>0</v>
      </c>
      <c r="AY1337" s="257">
        <v>-9999</v>
      </c>
      <c r="AZ1337" s="257">
        <v>-9999</v>
      </c>
      <c r="BA1337" s="257">
        <v>-9999</v>
      </c>
      <c r="BB1337" s="257" t="s">
        <v>631</v>
      </c>
      <c r="BC1337" s="257">
        <v>-9999</v>
      </c>
      <c r="BD1337" s="257">
        <v>-9999</v>
      </c>
      <c r="BE1337" s="257">
        <v>-9999</v>
      </c>
      <c r="BF1337" s="257">
        <v>-9999</v>
      </c>
      <c r="BG1337" s="257">
        <v>-9999</v>
      </c>
      <c r="BH1337" s="257">
        <v>-9999</v>
      </c>
      <c r="BI1337" s="257" t="s">
        <v>566</v>
      </c>
      <c r="BJ1337" s="257">
        <v>-9999</v>
      </c>
      <c r="BK1337" s="257">
        <v>-9999</v>
      </c>
      <c r="BL1337" s="297">
        <v>11.1</v>
      </c>
      <c r="BM1337" s="257">
        <v>-9999</v>
      </c>
      <c r="BN1337" s="297">
        <v>7.4</v>
      </c>
      <c r="BO1337" s="257">
        <v>-9999</v>
      </c>
      <c r="BP1337" s="257">
        <v>-9999</v>
      </c>
      <c r="BQ1337" s="257">
        <v>-9999</v>
      </c>
      <c r="BR1337" s="257">
        <v>-9999</v>
      </c>
      <c r="BS1337" s="594">
        <f t="shared" si="146"/>
        <v>1207.8813</v>
      </c>
      <c r="BT1337" s="257">
        <v>84.55</v>
      </c>
      <c r="BU1337" s="257">
        <v>-9999</v>
      </c>
      <c r="BV1337" s="257">
        <v>-9999</v>
      </c>
      <c r="BW1337" s="257"/>
      <c r="BX1337" s="257">
        <v>-9999</v>
      </c>
      <c r="BY1337" s="257">
        <v>-9999</v>
      </c>
      <c r="BZ1337" s="257">
        <v>-9999</v>
      </c>
      <c r="CA1337" s="300" t="s">
        <v>895</v>
      </c>
      <c r="CB1337" s="475" t="s">
        <v>1573</v>
      </c>
      <c r="CC1337" s="257">
        <v>1</v>
      </c>
      <c r="CD1337" s="257">
        <v>2</v>
      </c>
      <c r="CE1337" s="292">
        <v>22.95</v>
      </c>
      <c r="CF1337" s="23">
        <v>24.4</v>
      </c>
      <c r="CG1337" s="43">
        <v>2</v>
      </c>
      <c r="CY1337" s="211">
        <v>3</v>
      </c>
      <c r="CZ1337" s="99">
        <v>11.9</v>
      </c>
      <c r="DA1337" s="99">
        <v>14.200000000000003</v>
      </c>
    </row>
    <row r="1338" spans="1:107" s="23" customFormat="1" x14ac:dyDescent="0.2">
      <c r="A1338" s="257" t="s">
        <v>887</v>
      </c>
      <c r="B1338" s="257" t="s">
        <v>159</v>
      </c>
      <c r="C1338" s="257" t="s">
        <v>896</v>
      </c>
      <c r="D1338" s="257" t="s">
        <v>317</v>
      </c>
      <c r="E1338" s="616" t="s">
        <v>1497</v>
      </c>
      <c r="F1338" s="257">
        <v>1</v>
      </c>
      <c r="G1338" s="257">
        <v>2.5</v>
      </c>
      <c r="H1338" s="257">
        <v>2.5</v>
      </c>
      <c r="I1338" s="257" t="s">
        <v>807</v>
      </c>
      <c r="J1338" s="257">
        <v>1980</v>
      </c>
      <c r="K1338" s="257" t="s">
        <v>1001</v>
      </c>
      <c r="L1338" s="257">
        <v>1982</v>
      </c>
      <c r="M1338" s="261">
        <v>-9999</v>
      </c>
      <c r="N1338" s="257">
        <v>-9999</v>
      </c>
      <c r="O1338" s="29"/>
      <c r="P1338" s="261">
        <v>53.5</v>
      </c>
      <c r="Q1338" s="257">
        <v>-9999</v>
      </c>
      <c r="R1338" s="261"/>
      <c r="S1338" s="257"/>
      <c r="T1338" s="370">
        <f t="shared" si="147"/>
        <v>21.4</v>
      </c>
      <c r="U1338" s="257">
        <v>-9999</v>
      </c>
      <c r="V1338" s="257"/>
      <c r="W1338" s="370"/>
      <c r="X1338" s="257">
        <v>-9999</v>
      </c>
      <c r="Y1338" s="257"/>
      <c r="Z1338" s="257" t="s">
        <v>793</v>
      </c>
      <c r="AA1338" s="257">
        <v>10000</v>
      </c>
      <c r="AB1338" s="261">
        <v>0.74</v>
      </c>
      <c r="AC1338" s="297">
        <v>2.9</v>
      </c>
      <c r="AD1338" s="358">
        <f t="shared" si="148"/>
        <v>100</v>
      </c>
      <c r="AE1338" s="674" t="s">
        <v>1959</v>
      </c>
      <c r="AF1338" s="257">
        <v>5</v>
      </c>
      <c r="AG1338" s="257">
        <v>0</v>
      </c>
      <c r="AH1338" s="257" t="s">
        <v>890</v>
      </c>
      <c r="AI1338" s="257" t="s">
        <v>891</v>
      </c>
      <c r="AJ1338" s="257" t="s">
        <v>892</v>
      </c>
      <c r="AK1338" s="257" t="s">
        <v>893</v>
      </c>
      <c r="AL1338" s="257" t="s">
        <v>828</v>
      </c>
      <c r="AM1338" s="257"/>
      <c r="AN1338" s="257" t="s">
        <v>631</v>
      </c>
      <c r="AO1338" s="257">
        <v>-9999</v>
      </c>
      <c r="AP1338" s="257">
        <v>-9999</v>
      </c>
      <c r="AQ1338" s="257" t="s">
        <v>631</v>
      </c>
      <c r="AR1338" s="257">
        <v>0</v>
      </c>
      <c r="AS1338" s="257">
        <v>-9999</v>
      </c>
      <c r="AT1338" s="257"/>
      <c r="AU1338" s="257">
        <v>0</v>
      </c>
      <c r="AV1338" s="257">
        <v>-9999</v>
      </c>
      <c r="AW1338" s="257">
        <v>-9999</v>
      </c>
      <c r="AX1338" s="257">
        <v>0</v>
      </c>
      <c r="AY1338" s="257">
        <v>-9999</v>
      </c>
      <c r="AZ1338" s="257">
        <v>-9999</v>
      </c>
      <c r="BA1338" s="257">
        <v>-9999</v>
      </c>
      <c r="BB1338" s="257" t="s">
        <v>631</v>
      </c>
      <c r="BC1338" s="257">
        <v>-9999</v>
      </c>
      <c r="BD1338" s="257">
        <v>-9999</v>
      </c>
      <c r="BE1338" s="257">
        <v>-9999</v>
      </c>
      <c r="BF1338" s="257">
        <v>-9999</v>
      </c>
      <c r="BG1338" s="257">
        <v>-9999</v>
      </c>
      <c r="BH1338" s="257">
        <v>-9999</v>
      </c>
      <c r="BI1338" s="257" t="s">
        <v>566</v>
      </c>
      <c r="BJ1338" s="257">
        <v>-9999</v>
      </c>
      <c r="BK1338" s="257">
        <v>-9999</v>
      </c>
      <c r="BL1338" s="297">
        <v>10.7</v>
      </c>
      <c r="BM1338" s="257">
        <v>-9999</v>
      </c>
      <c r="BN1338" s="297">
        <v>6.8</v>
      </c>
      <c r="BO1338" s="257">
        <v>-9999</v>
      </c>
      <c r="BP1338" s="257">
        <v>-9999</v>
      </c>
      <c r="BQ1338" s="257">
        <v>-9999</v>
      </c>
      <c r="BR1338" s="257">
        <v>-9999</v>
      </c>
      <c r="BS1338" s="594">
        <f t="shared" si="146"/>
        <v>1405.88526</v>
      </c>
      <c r="BT1338" s="257">
        <v>98.41</v>
      </c>
      <c r="BU1338" s="257">
        <v>-9999</v>
      </c>
      <c r="BV1338" s="257">
        <v>-9999</v>
      </c>
      <c r="BW1338" s="257"/>
      <c r="BX1338" s="257">
        <v>-9999</v>
      </c>
      <c r="BY1338" s="257">
        <v>-9999</v>
      </c>
      <c r="BZ1338" s="257">
        <v>-9999</v>
      </c>
      <c r="CA1338" s="300" t="s">
        <v>895</v>
      </c>
      <c r="CB1338" s="475" t="s">
        <v>1573</v>
      </c>
      <c r="CC1338" s="257">
        <v>1</v>
      </c>
      <c r="CD1338" s="257">
        <v>2.5</v>
      </c>
      <c r="CE1338" s="292">
        <v>21.4</v>
      </c>
      <c r="CG1338" s="43">
        <v>2.5</v>
      </c>
      <c r="CY1338" s="43">
        <v>4</v>
      </c>
      <c r="CZ1338" s="292">
        <v>11.475</v>
      </c>
      <c r="DA1338" s="292">
        <v>10.199999999999996</v>
      </c>
    </row>
    <row r="1339" spans="1:107" s="23" customFormat="1" x14ac:dyDescent="0.2">
      <c r="A1339" s="257" t="s">
        <v>887</v>
      </c>
      <c r="B1339" s="257" t="s">
        <v>159</v>
      </c>
      <c r="C1339" s="257" t="s">
        <v>896</v>
      </c>
      <c r="D1339" s="257" t="s">
        <v>317</v>
      </c>
      <c r="E1339" s="616" t="s">
        <v>1497</v>
      </c>
      <c r="F1339" s="257">
        <v>1</v>
      </c>
      <c r="G1339" s="257">
        <v>3</v>
      </c>
      <c r="H1339" s="257">
        <v>3</v>
      </c>
      <c r="I1339" s="257" t="s">
        <v>807</v>
      </c>
      <c r="J1339" s="257">
        <v>1980</v>
      </c>
      <c r="K1339" s="257" t="s">
        <v>807</v>
      </c>
      <c r="L1339" s="257">
        <v>1983</v>
      </c>
      <c r="M1339" s="261">
        <v>-9999</v>
      </c>
      <c r="N1339" s="257">
        <v>-9999</v>
      </c>
      <c r="O1339" s="29"/>
      <c r="P1339" s="261">
        <v>59.2</v>
      </c>
      <c r="Q1339" s="257">
        <v>-9999</v>
      </c>
      <c r="R1339" s="261"/>
      <c r="S1339" s="257"/>
      <c r="T1339" s="370">
        <f t="shared" si="147"/>
        <v>19.733333333333334</v>
      </c>
      <c r="U1339" s="257">
        <v>-9999</v>
      </c>
      <c r="V1339" s="257"/>
      <c r="W1339" s="370">
        <f>+P1339-P1337</f>
        <v>13.300000000000004</v>
      </c>
      <c r="X1339" s="257">
        <v>-9999</v>
      </c>
      <c r="Y1339" s="257"/>
      <c r="Z1339" s="257" t="s">
        <v>793</v>
      </c>
      <c r="AA1339" s="257">
        <v>10000</v>
      </c>
      <c r="AB1339" s="261">
        <v>0.66</v>
      </c>
      <c r="AC1339" s="297">
        <v>2.9</v>
      </c>
      <c r="AD1339" s="358">
        <f t="shared" si="148"/>
        <v>100</v>
      </c>
      <c r="AE1339" s="674" t="s">
        <v>1959</v>
      </c>
      <c r="AF1339" s="257">
        <v>5</v>
      </c>
      <c r="AG1339" s="257">
        <v>0</v>
      </c>
      <c r="AH1339" s="257" t="s">
        <v>890</v>
      </c>
      <c r="AI1339" s="257" t="s">
        <v>891</v>
      </c>
      <c r="AJ1339" s="257" t="s">
        <v>892</v>
      </c>
      <c r="AK1339" s="257" t="s">
        <v>893</v>
      </c>
      <c r="AL1339" s="257" t="s">
        <v>828</v>
      </c>
      <c r="AM1339" s="257"/>
      <c r="AN1339" s="257" t="s">
        <v>631</v>
      </c>
      <c r="AO1339" s="257">
        <v>-9999</v>
      </c>
      <c r="AP1339" s="257">
        <v>-9999</v>
      </c>
      <c r="AQ1339" s="257" t="s">
        <v>631</v>
      </c>
      <c r="AR1339" s="257">
        <v>0</v>
      </c>
      <c r="AS1339" s="257">
        <v>-9999</v>
      </c>
      <c r="AT1339" s="257"/>
      <c r="AU1339" s="257">
        <v>0</v>
      </c>
      <c r="AV1339" s="257">
        <v>-9999</v>
      </c>
      <c r="AW1339" s="257">
        <v>-9999</v>
      </c>
      <c r="AX1339" s="257">
        <v>0</v>
      </c>
      <c r="AY1339" s="257">
        <v>-9999</v>
      </c>
      <c r="AZ1339" s="257">
        <v>-9999</v>
      </c>
      <c r="BA1339" s="257">
        <v>-9999</v>
      </c>
      <c r="BB1339" s="257" t="s">
        <v>631</v>
      </c>
      <c r="BC1339" s="257">
        <v>-9999</v>
      </c>
      <c r="BD1339" s="257">
        <v>-9999</v>
      </c>
      <c r="BE1339" s="257">
        <v>-9999</v>
      </c>
      <c r="BF1339" s="257">
        <v>-9999</v>
      </c>
      <c r="BG1339" s="257">
        <v>-9999</v>
      </c>
      <c r="BH1339" s="257">
        <v>-9999</v>
      </c>
      <c r="BI1339" s="257" t="s">
        <v>566</v>
      </c>
      <c r="BJ1339" s="257">
        <v>-9999</v>
      </c>
      <c r="BK1339" s="257">
        <v>-9999</v>
      </c>
      <c r="BL1339" s="257">
        <v>-9999</v>
      </c>
      <c r="BM1339" s="257">
        <v>-9999</v>
      </c>
      <c r="BN1339" s="257">
        <v>-9999</v>
      </c>
      <c r="BO1339" s="257">
        <v>-9999</v>
      </c>
      <c r="BP1339" s="257">
        <v>-9999</v>
      </c>
      <c r="BQ1339" s="257">
        <v>-9999</v>
      </c>
      <c r="BR1339" s="257">
        <v>-9999</v>
      </c>
      <c r="BS1339" s="594">
        <f t="shared" si="146"/>
        <v>1555.6025399999999</v>
      </c>
      <c r="BT1339" s="257">
        <v>108.89</v>
      </c>
      <c r="BU1339" s="257">
        <v>-9999</v>
      </c>
      <c r="BV1339" s="257">
        <v>-9999</v>
      </c>
      <c r="BW1339" s="257"/>
      <c r="BX1339" s="257">
        <v>-9999</v>
      </c>
      <c r="BY1339" s="257">
        <v>-9999</v>
      </c>
      <c r="BZ1339" s="257">
        <v>-9999</v>
      </c>
      <c r="CA1339" s="300" t="s">
        <v>895</v>
      </c>
      <c r="CB1339" s="475" t="s">
        <v>1573</v>
      </c>
      <c r="CC1339" s="257">
        <v>1</v>
      </c>
      <c r="CD1339" s="257">
        <v>3</v>
      </c>
      <c r="CE1339" s="292">
        <v>19.733333333333334</v>
      </c>
      <c r="CF1339" s="23">
        <v>13.300000000000004</v>
      </c>
      <c r="CG1339" s="43">
        <v>3</v>
      </c>
      <c r="CY1339" s="43">
        <v>5</v>
      </c>
      <c r="CZ1339" s="292">
        <v>10.7</v>
      </c>
      <c r="DA1339" s="292">
        <v>7.6000000000000014</v>
      </c>
    </row>
    <row r="1340" spans="1:107" s="23" customFormat="1" x14ac:dyDescent="0.2">
      <c r="A1340" s="257" t="s">
        <v>887</v>
      </c>
      <c r="B1340" s="257" t="s">
        <v>159</v>
      </c>
      <c r="C1340" s="257" t="s">
        <v>896</v>
      </c>
      <c r="D1340" s="257" t="s">
        <v>317</v>
      </c>
      <c r="E1340" s="616" t="s">
        <v>1497</v>
      </c>
      <c r="F1340" s="257">
        <v>1</v>
      </c>
      <c r="G1340" s="257">
        <v>3.5</v>
      </c>
      <c r="H1340" s="257">
        <v>3.5</v>
      </c>
      <c r="I1340" s="257" t="s">
        <v>807</v>
      </c>
      <c r="J1340" s="257">
        <v>1980</v>
      </c>
      <c r="K1340" s="257" t="s">
        <v>1001</v>
      </c>
      <c r="L1340" s="257">
        <v>1983</v>
      </c>
      <c r="M1340" s="261">
        <v>-9999</v>
      </c>
      <c r="N1340" s="257">
        <v>-9999</v>
      </c>
      <c r="O1340" s="29"/>
      <c r="P1340" s="261">
        <v>63.6</v>
      </c>
      <c r="Q1340" s="257">
        <v>-9999</v>
      </c>
      <c r="R1340" s="261"/>
      <c r="S1340" s="257"/>
      <c r="T1340" s="370">
        <f t="shared" si="147"/>
        <v>18.171428571428571</v>
      </c>
      <c r="U1340" s="257">
        <v>-9999</v>
      </c>
      <c r="V1340" s="257"/>
      <c r="W1340" s="370"/>
      <c r="X1340" s="257">
        <v>-9999</v>
      </c>
      <c r="Y1340" s="257"/>
      <c r="Z1340" s="257" t="s">
        <v>793</v>
      </c>
      <c r="AA1340" s="257">
        <v>10000</v>
      </c>
      <c r="AB1340" s="261">
        <v>0.56000000000000005</v>
      </c>
      <c r="AC1340" s="297">
        <v>2.9</v>
      </c>
      <c r="AD1340" s="358">
        <f t="shared" si="148"/>
        <v>100</v>
      </c>
      <c r="AE1340" s="674" t="s">
        <v>1959</v>
      </c>
      <c r="AF1340" s="257">
        <v>5</v>
      </c>
      <c r="AG1340" s="257">
        <v>0</v>
      </c>
      <c r="AH1340" s="257" t="s">
        <v>890</v>
      </c>
      <c r="AI1340" s="257" t="s">
        <v>891</v>
      </c>
      <c r="AJ1340" s="257" t="s">
        <v>892</v>
      </c>
      <c r="AK1340" s="257" t="s">
        <v>893</v>
      </c>
      <c r="AL1340" s="257" t="s">
        <v>828</v>
      </c>
      <c r="AM1340" s="257"/>
      <c r="AN1340" s="257" t="s">
        <v>631</v>
      </c>
      <c r="AO1340" s="257">
        <v>-9999</v>
      </c>
      <c r="AP1340" s="257">
        <v>-9999</v>
      </c>
      <c r="AQ1340" s="257" t="s">
        <v>631</v>
      </c>
      <c r="AR1340" s="257">
        <v>0</v>
      </c>
      <c r="AS1340" s="257">
        <v>-9999</v>
      </c>
      <c r="AT1340" s="257"/>
      <c r="AU1340" s="257">
        <v>0</v>
      </c>
      <c r="AV1340" s="257">
        <v>-9999</v>
      </c>
      <c r="AW1340" s="257">
        <v>-9999</v>
      </c>
      <c r="AX1340" s="257">
        <v>0</v>
      </c>
      <c r="AY1340" s="257">
        <v>-9999</v>
      </c>
      <c r="AZ1340" s="257">
        <v>-9999</v>
      </c>
      <c r="BA1340" s="257">
        <v>-9999</v>
      </c>
      <c r="BB1340" s="257" t="s">
        <v>631</v>
      </c>
      <c r="BC1340" s="257">
        <v>-9999</v>
      </c>
      <c r="BD1340" s="257">
        <v>-9999</v>
      </c>
      <c r="BE1340" s="257">
        <v>-9999</v>
      </c>
      <c r="BF1340" s="257">
        <v>-9999</v>
      </c>
      <c r="BG1340" s="257">
        <v>-9999</v>
      </c>
      <c r="BH1340" s="257">
        <v>-9999</v>
      </c>
      <c r="BI1340" s="257" t="s">
        <v>566</v>
      </c>
      <c r="BJ1340" s="257">
        <v>-9999</v>
      </c>
      <c r="BK1340" s="257">
        <v>-9999</v>
      </c>
      <c r="BL1340" s="257">
        <v>-9999</v>
      </c>
      <c r="BM1340" s="257">
        <v>-9999</v>
      </c>
      <c r="BN1340" s="257">
        <v>-9999</v>
      </c>
      <c r="BO1340" s="257">
        <v>-9999</v>
      </c>
      <c r="BP1340" s="257">
        <v>-9999</v>
      </c>
      <c r="BQ1340" s="257">
        <v>-9999</v>
      </c>
      <c r="BR1340" s="257">
        <v>-9999</v>
      </c>
      <c r="BS1340" s="594">
        <f t="shared" si="146"/>
        <v>1672.1762999999999</v>
      </c>
      <c r="BT1340" s="257">
        <v>117.05</v>
      </c>
      <c r="BU1340" s="257">
        <v>-9999</v>
      </c>
      <c r="BV1340" s="257">
        <v>-9999</v>
      </c>
      <c r="BW1340" s="257"/>
      <c r="BX1340" s="257">
        <v>-9999</v>
      </c>
      <c r="BY1340" s="257">
        <v>-9999</v>
      </c>
      <c r="BZ1340" s="257">
        <v>-9999</v>
      </c>
      <c r="CA1340" s="300" t="s">
        <v>895</v>
      </c>
      <c r="CB1340" s="475" t="s">
        <v>1573</v>
      </c>
      <c r="CC1340" s="257">
        <v>1</v>
      </c>
      <c r="CD1340" s="257">
        <v>3.5</v>
      </c>
      <c r="CE1340" s="292">
        <v>18.171428571428571</v>
      </c>
      <c r="CG1340" s="43">
        <v>3.5</v>
      </c>
      <c r="CY1340" s="43">
        <v>6</v>
      </c>
      <c r="CZ1340" s="292">
        <v>9.8666666666666671</v>
      </c>
      <c r="DA1340" s="292">
        <v>5.7000000000000028</v>
      </c>
      <c r="DC1340" s="301" t="s">
        <v>1629</v>
      </c>
    </row>
    <row r="1341" spans="1:107" s="23" customFormat="1" x14ac:dyDescent="0.2">
      <c r="A1341" s="257" t="s">
        <v>887</v>
      </c>
      <c r="B1341" s="257" t="s">
        <v>159</v>
      </c>
      <c r="C1341" s="257" t="s">
        <v>896</v>
      </c>
      <c r="D1341" s="257" t="s">
        <v>317</v>
      </c>
      <c r="E1341" s="616" t="s">
        <v>1497</v>
      </c>
      <c r="F1341" s="257">
        <v>1</v>
      </c>
      <c r="G1341" s="257">
        <v>4</v>
      </c>
      <c r="H1341" s="257">
        <v>4</v>
      </c>
      <c r="I1341" s="257" t="s">
        <v>807</v>
      </c>
      <c r="J1341" s="257">
        <v>1980</v>
      </c>
      <c r="K1341" s="257" t="s">
        <v>807</v>
      </c>
      <c r="L1341" s="257">
        <v>1984</v>
      </c>
      <c r="M1341" s="261">
        <v>-9999</v>
      </c>
      <c r="N1341" s="257">
        <v>-9999</v>
      </c>
      <c r="O1341" s="29"/>
      <c r="P1341" s="261">
        <v>67.14</v>
      </c>
      <c r="Q1341" s="257">
        <v>-9999</v>
      </c>
      <c r="R1341" s="261"/>
      <c r="S1341" s="257"/>
      <c r="T1341" s="370">
        <f t="shared" si="147"/>
        <v>16.785</v>
      </c>
      <c r="U1341" s="257">
        <v>-9999</v>
      </c>
      <c r="V1341" s="257"/>
      <c r="W1341" s="370">
        <f>+P1341-P1339</f>
        <v>7.9399999999999977</v>
      </c>
      <c r="X1341" s="257">
        <v>-9999</v>
      </c>
      <c r="Y1341" s="257"/>
      <c r="Z1341" s="257" t="s">
        <v>793</v>
      </c>
      <c r="AA1341" s="257">
        <v>10000</v>
      </c>
      <c r="AB1341" s="261">
        <v>0.56000000000000005</v>
      </c>
      <c r="AC1341" s="297">
        <v>2.9</v>
      </c>
      <c r="AD1341" s="358">
        <f t="shared" si="148"/>
        <v>100</v>
      </c>
      <c r="AE1341" s="674" t="s">
        <v>1959</v>
      </c>
      <c r="AF1341" s="257">
        <v>5</v>
      </c>
      <c r="AG1341" s="257">
        <v>0</v>
      </c>
      <c r="AH1341" s="257" t="s">
        <v>890</v>
      </c>
      <c r="AI1341" s="257" t="s">
        <v>891</v>
      </c>
      <c r="AJ1341" s="257" t="s">
        <v>892</v>
      </c>
      <c r="AK1341" s="257" t="s">
        <v>893</v>
      </c>
      <c r="AL1341" s="257" t="s">
        <v>828</v>
      </c>
      <c r="AM1341" s="257"/>
      <c r="AN1341" s="257" t="s">
        <v>631</v>
      </c>
      <c r="AO1341" s="257">
        <v>-9999</v>
      </c>
      <c r="AP1341" s="257">
        <v>-9999</v>
      </c>
      <c r="AQ1341" s="257" t="s">
        <v>631</v>
      </c>
      <c r="AR1341" s="257">
        <v>0</v>
      </c>
      <c r="AS1341" s="257">
        <v>-9999</v>
      </c>
      <c r="AT1341" s="257"/>
      <c r="AU1341" s="257">
        <v>0</v>
      </c>
      <c r="AV1341" s="257">
        <v>-9999</v>
      </c>
      <c r="AW1341" s="257">
        <v>-9999</v>
      </c>
      <c r="AX1341" s="257">
        <v>0</v>
      </c>
      <c r="AY1341" s="257">
        <v>-9999</v>
      </c>
      <c r="AZ1341" s="257">
        <v>-9999</v>
      </c>
      <c r="BA1341" s="257">
        <v>-9999</v>
      </c>
      <c r="BB1341" s="257" t="s">
        <v>631</v>
      </c>
      <c r="BC1341" s="257">
        <v>-9999</v>
      </c>
      <c r="BD1341" s="257">
        <v>-9999</v>
      </c>
      <c r="BE1341" s="257">
        <v>-9999</v>
      </c>
      <c r="BF1341" s="257">
        <v>-9999</v>
      </c>
      <c r="BG1341" s="257">
        <v>-9999</v>
      </c>
      <c r="BH1341" s="257">
        <v>-9999</v>
      </c>
      <c r="BI1341" s="257" t="s">
        <v>566</v>
      </c>
      <c r="BJ1341" s="257">
        <v>-9999</v>
      </c>
      <c r="BK1341" s="257">
        <v>-9999</v>
      </c>
      <c r="BL1341" s="257">
        <v>-9999</v>
      </c>
      <c r="BM1341" s="257">
        <v>-9999</v>
      </c>
      <c r="BN1341" s="257">
        <v>-9999</v>
      </c>
      <c r="BO1341" s="257">
        <v>-9999</v>
      </c>
      <c r="BP1341" s="257">
        <v>-9999</v>
      </c>
      <c r="BQ1341" s="257">
        <v>-9999</v>
      </c>
      <c r="BR1341" s="257">
        <v>-9999</v>
      </c>
      <c r="BS1341" s="594">
        <f t="shared" si="146"/>
        <v>1765.3210199999999</v>
      </c>
      <c r="BT1341" s="257">
        <v>123.57</v>
      </c>
      <c r="BU1341" s="257">
        <v>-9999</v>
      </c>
      <c r="BV1341" s="257">
        <v>-9999</v>
      </c>
      <c r="BW1341" s="257"/>
      <c r="BX1341" s="257">
        <v>-9999</v>
      </c>
      <c r="BY1341" s="257">
        <v>-9999</v>
      </c>
      <c r="BZ1341" s="257">
        <v>-9999</v>
      </c>
      <c r="CA1341" s="300" t="s">
        <v>895</v>
      </c>
      <c r="CB1341" s="475" t="s">
        <v>1573</v>
      </c>
      <c r="CC1341" s="257">
        <v>1</v>
      </c>
      <c r="CD1341" s="257">
        <v>4</v>
      </c>
      <c r="CE1341" s="292">
        <v>16.785</v>
      </c>
      <c r="CF1341" s="23">
        <v>7.9399999999999977</v>
      </c>
      <c r="CG1341" s="43">
        <v>4</v>
      </c>
      <c r="CK1341" s="301"/>
      <c r="CY1341" s="43">
        <v>7</v>
      </c>
      <c r="CZ1341" s="292">
        <v>9.0857142857142854</v>
      </c>
      <c r="DA1341" s="292">
        <v>4.3999999999999986</v>
      </c>
    </row>
    <row r="1342" spans="1:107" s="23" customFormat="1" x14ac:dyDescent="0.2">
      <c r="A1342" s="29"/>
      <c r="B1342" s="29"/>
      <c r="C1342" s="29"/>
      <c r="D1342" s="29"/>
      <c r="E1342" s="29"/>
      <c r="F1342" s="29"/>
      <c r="G1342" s="29"/>
      <c r="H1342" s="29"/>
      <c r="I1342" s="29"/>
      <c r="J1342" s="29"/>
      <c r="K1342" s="29"/>
      <c r="L1342" s="29"/>
      <c r="M1342" s="21" t="s">
        <v>1758</v>
      </c>
      <c r="N1342" s="29"/>
      <c r="O1342" s="29"/>
      <c r="P1342" s="31"/>
      <c r="Q1342" s="29"/>
      <c r="R1342" s="31"/>
      <c r="S1342" s="29"/>
      <c r="T1342" s="70"/>
      <c r="U1342" s="29"/>
      <c r="V1342" s="29"/>
      <c r="W1342" s="70"/>
      <c r="X1342" s="29"/>
      <c r="Y1342" s="29"/>
      <c r="Z1342" s="29"/>
      <c r="AA1342" s="29"/>
      <c r="AB1342" s="31"/>
      <c r="AC1342" s="67"/>
      <c r="AD1342" s="622"/>
      <c r="AE1342" s="622"/>
      <c r="AF1342" s="29"/>
      <c r="AG1342" s="29"/>
      <c r="AH1342" s="29"/>
      <c r="AI1342" s="29"/>
      <c r="AJ1342" s="29"/>
      <c r="AK1342" s="29"/>
      <c r="AL1342" s="29"/>
      <c r="AM1342" s="29"/>
      <c r="AN1342" s="29"/>
      <c r="AO1342" s="29"/>
      <c r="AP1342" s="29"/>
      <c r="AQ1342" s="29"/>
      <c r="AR1342" s="29"/>
      <c r="AS1342" s="29"/>
      <c r="AT1342" s="29"/>
      <c r="AU1342" s="29"/>
      <c r="AV1342" s="29"/>
      <c r="AW1342" s="29"/>
      <c r="AX1342" s="29"/>
      <c r="AY1342" s="29"/>
      <c r="AZ1342" s="29"/>
      <c r="BA1342" s="29"/>
      <c r="BB1342" s="29"/>
      <c r="BC1342" s="29"/>
      <c r="BD1342" s="29"/>
      <c r="BE1342" s="29"/>
      <c r="BF1342" s="29"/>
      <c r="BG1342" s="29"/>
      <c r="BH1342" s="29"/>
      <c r="BI1342" s="29"/>
      <c r="BJ1342" s="29"/>
      <c r="BK1342" s="29"/>
      <c r="BL1342" s="29"/>
      <c r="BM1342" s="29"/>
      <c r="BN1342" s="29"/>
      <c r="BO1342" s="29"/>
      <c r="BP1342" s="29"/>
      <c r="BQ1342" s="29"/>
      <c r="BR1342" s="29"/>
      <c r="BS1342" s="30"/>
      <c r="BT1342" s="29"/>
      <c r="BU1342" s="29"/>
      <c r="BV1342" s="29"/>
      <c r="BW1342" s="29"/>
      <c r="BX1342" s="29"/>
      <c r="BY1342" s="29"/>
      <c r="BZ1342" s="29"/>
      <c r="CA1342" s="98"/>
      <c r="CC1342" s="29"/>
      <c r="CD1342" s="323" t="s">
        <v>1632</v>
      </c>
      <c r="CE1342" s="342" t="s">
        <v>1576</v>
      </c>
      <c r="CF1342" s="342" t="s">
        <v>1575</v>
      </c>
      <c r="CG1342" s="29"/>
      <c r="CY1342" s="29">
        <v>8</v>
      </c>
      <c r="CZ1342" s="292">
        <v>8.3925000000000001</v>
      </c>
      <c r="DA1342" s="292">
        <v>3.5399999999999991</v>
      </c>
      <c r="DC1342" s="301" t="s">
        <v>1630</v>
      </c>
    </row>
    <row r="1343" spans="1:107" s="23" customFormat="1" x14ac:dyDescent="0.2">
      <c r="A1343" s="257" t="s">
        <v>1333</v>
      </c>
      <c r="B1343" s="257" t="s">
        <v>659</v>
      </c>
      <c r="C1343" s="257" t="s">
        <v>664</v>
      </c>
      <c r="D1343" s="257" t="s">
        <v>317</v>
      </c>
      <c r="E1343" s="327" t="s">
        <v>1511</v>
      </c>
      <c r="F1343" s="257">
        <v>1</v>
      </c>
      <c r="G1343" s="257">
        <v>1.1000000000000001</v>
      </c>
      <c r="H1343" s="257">
        <v>1.1000000000000001</v>
      </c>
      <c r="I1343" s="257" t="s">
        <v>468</v>
      </c>
      <c r="J1343" s="257">
        <v>2001</v>
      </c>
      <c r="K1343" s="257" t="s">
        <v>672</v>
      </c>
      <c r="L1343" s="257">
        <v>2002</v>
      </c>
      <c r="M1343" s="261">
        <v>8.6</v>
      </c>
      <c r="N1343" s="257">
        <v>-9999</v>
      </c>
      <c r="O1343" s="29">
        <v>1.7</v>
      </c>
      <c r="P1343" s="370">
        <f>+M1343*O1343</f>
        <v>14.62</v>
      </c>
      <c r="Q1343" s="257">
        <v>-9999</v>
      </c>
      <c r="R1343" s="261">
        <v>8.6</v>
      </c>
      <c r="S1343" s="257"/>
      <c r="T1343" s="370">
        <f>+P1343/G1343</f>
        <v>13.290909090909089</v>
      </c>
      <c r="U1343" s="257">
        <v>-9999</v>
      </c>
      <c r="V1343" s="257"/>
      <c r="W1343" s="370">
        <f>+P1343</f>
        <v>14.62</v>
      </c>
      <c r="X1343" s="257">
        <v>-9999</v>
      </c>
      <c r="Y1343" s="257"/>
      <c r="Z1343" s="257" t="s">
        <v>172</v>
      </c>
      <c r="AA1343" s="257">
        <v>8400</v>
      </c>
      <c r="AB1343" s="261">
        <v>1</v>
      </c>
      <c r="AC1343" s="297">
        <v>0.15</v>
      </c>
      <c r="AD1343" s="358">
        <v>225</v>
      </c>
      <c r="AE1343" s="299" t="s">
        <v>280</v>
      </c>
      <c r="AF1343" s="257">
        <v>-9999</v>
      </c>
      <c r="AG1343" s="257">
        <v>-9999</v>
      </c>
      <c r="AH1343" s="257" t="s">
        <v>857</v>
      </c>
      <c r="AI1343" s="257">
        <v>-9999</v>
      </c>
      <c r="AJ1343" s="257">
        <v>10</v>
      </c>
      <c r="AK1343" s="257" t="s">
        <v>671</v>
      </c>
      <c r="AL1343" s="257" t="s">
        <v>828</v>
      </c>
      <c r="AM1343" s="257" t="s">
        <v>262</v>
      </c>
      <c r="AN1343" s="257" t="s">
        <v>631</v>
      </c>
      <c r="AO1343" s="257">
        <v>-9999</v>
      </c>
      <c r="AP1343" s="257">
        <v>-9999</v>
      </c>
      <c r="AQ1343" s="257" t="s">
        <v>631</v>
      </c>
      <c r="AR1343" s="263">
        <v>0</v>
      </c>
      <c r="AS1343" s="257">
        <v>-9999</v>
      </c>
      <c r="AT1343" s="257"/>
      <c r="AU1343" s="257">
        <v>0</v>
      </c>
      <c r="AV1343" s="257">
        <v>-9999</v>
      </c>
      <c r="AW1343" s="257">
        <v>-9999</v>
      </c>
      <c r="AX1343" s="257">
        <v>0</v>
      </c>
      <c r="AY1343" s="257">
        <v>-9999</v>
      </c>
      <c r="AZ1343" s="257">
        <v>-9999</v>
      </c>
      <c r="BA1343" s="257">
        <v>-9999</v>
      </c>
      <c r="BB1343" s="257">
        <v>-9999</v>
      </c>
      <c r="BC1343" s="257">
        <v>-9999</v>
      </c>
      <c r="BD1343" s="257">
        <v>-9999</v>
      </c>
      <c r="BE1343" s="257">
        <v>-9999</v>
      </c>
      <c r="BF1343" s="257">
        <v>-9999</v>
      </c>
      <c r="BG1343" s="257">
        <v>-9999</v>
      </c>
      <c r="BH1343" s="257">
        <v>-9999</v>
      </c>
      <c r="BI1343" s="257">
        <v>-9999</v>
      </c>
      <c r="BJ1343" s="257">
        <v>-9999</v>
      </c>
      <c r="BK1343" s="257">
        <v>-9999</v>
      </c>
      <c r="BL1343" s="257">
        <v>-9999</v>
      </c>
      <c r="BM1343" s="257">
        <v>-9999</v>
      </c>
      <c r="BN1343" s="257">
        <v>-9999</v>
      </c>
      <c r="BO1343" s="257">
        <v>-9999</v>
      </c>
      <c r="BP1343" s="257">
        <v>-9999</v>
      </c>
      <c r="BQ1343" s="257">
        <v>-9999</v>
      </c>
      <c r="BR1343" s="257">
        <v>-9999</v>
      </c>
      <c r="BS1343" s="263">
        <v>-9999</v>
      </c>
      <c r="BT1343" s="257">
        <v>-9999</v>
      </c>
      <c r="BU1343" s="257">
        <v>-9999</v>
      </c>
      <c r="BV1343" s="257">
        <v>-9999</v>
      </c>
      <c r="BW1343" s="257"/>
      <c r="BX1343" s="257">
        <v>-9999</v>
      </c>
      <c r="BY1343" s="257">
        <v>-9999</v>
      </c>
      <c r="BZ1343" s="257">
        <v>-9999</v>
      </c>
      <c r="CA1343" s="300">
        <v>-9999</v>
      </c>
      <c r="CB1343" s="264"/>
      <c r="CC1343" s="257">
        <v>1</v>
      </c>
      <c r="CD1343" s="257">
        <v>1.1000000000000001</v>
      </c>
      <c r="CE1343" s="641">
        <v>13.290909090909089</v>
      </c>
      <c r="CF1343" s="292">
        <v>14.62</v>
      </c>
      <c r="CG1343" s="43">
        <v>1.1000000000000001</v>
      </c>
    </row>
    <row r="1344" spans="1:107" s="23" customFormat="1" x14ac:dyDescent="0.2">
      <c r="A1344" s="257" t="s">
        <v>1333</v>
      </c>
      <c r="B1344" s="257" t="s">
        <v>659</v>
      </c>
      <c r="C1344" s="257" t="s">
        <v>664</v>
      </c>
      <c r="D1344" s="257" t="s">
        <v>317</v>
      </c>
      <c r="E1344" s="327" t="s">
        <v>1511</v>
      </c>
      <c r="F1344" s="257">
        <v>1</v>
      </c>
      <c r="G1344" s="257">
        <v>2</v>
      </c>
      <c r="H1344" s="257">
        <v>2</v>
      </c>
      <c r="I1344" s="257" t="s">
        <v>468</v>
      </c>
      <c r="J1344" s="257">
        <v>2001</v>
      </c>
      <c r="K1344" s="257" t="s">
        <v>468</v>
      </c>
      <c r="L1344" s="257">
        <v>2003</v>
      </c>
      <c r="M1344" s="261">
        <v>26.9</v>
      </c>
      <c r="N1344" s="257">
        <v>-9999</v>
      </c>
      <c r="O1344" s="29">
        <v>1.7</v>
      </c>
      <c r="P1344" s="370">
        <f>+M1344*O1344</f>
        <v>45.73</v>
      </c>
      <c r="Q1344" s="257">
        <v>-9999</v>
      </c>
      <c r="R1344" s="261">
        <v>26.9</v>
      </c>
      <c r="S1344" s="257"/>
      <c r="T1344" s="370">
        <f>+P1344/G1344</f>
        <v>22.864999999999998</v>
      </c>
      <c r="U1344" s="257">
        <v>-9999</v>
      </c>
      <c r="V1344" s="257"/>
      <c r="W1344" s="370">
        <f>+P1344-W1343</f>
        <v>31.11</v>
      </c>
      <c r="X1344" s="257">
        <v>-9999</v>
      </c>
      <c r="Y1344" s="257"/>
      <c r="Z1344" s="257" t="s">
        <v>172</v>
      </c>
      <c r="AA1344" s="257">
        <v>8400</v>
      </c>
      <c r="AB1344" s="261">
        <v>0.88</v>
      </c>
      <c r="AC1344" s="297">
        <v>0.15</v>
      </c>
      <c r="AD1344" s="358">
        <v>225</v>
      </c>
      <c r="AE1344" s="299" t="s">
        <v>280</v>
      </c>
      <c r="AF1344" s="257">
        <v>-9999</v>
      </c>
      <c r="AG1344" s="257">
        <v>-9999</v>
      </c>
      <c r="AH1344" s="257" t="s">
        <v>857</v>
      </c>
      <c r="AI1344" s="257">
        <v>-9999</v>
      </c>
      <c r="AJ1344" s="257">
        <v>10</v>
      </c>
      <c r="AK1344" s="257" t="s">
        <v>671</v>
      </c>
      <c r="AL1344" s="257" t="s">
        <v>828</v>
      </c>
      <c r="AM1344" s="257" t="s">
        <v>262</v>
      </c>
      <c r="AN1344" s="257" t="s">
        <v>631</v>
      </c>
      <c r="AO1344" s="257">
        <v>-9999</v>
      </c>
      <c r="AP1344" s="257">
        <v>-9999</v>
      </c>
      <c r="AQ1344" s="257" t="s">
        <v>631</v>
      </c>
      <c r="AR1344" s="263">
        <v>0</v>
      </c>
      <c r="AS1344" s="257">
        <v>-9999</v>
      </c>
      <c r="AT1344" s="257"/>
      <c r="AU1344" s="257">
        <v>0</v>
      </c>
      <c r="AV1344" s="257">
        <v>-9999</v>
      </c>
      <c r="AW1344" s="257">
        <v>-9999</v>
      </c>
      <c r="AX1344" s="257">
        <v>0</v>
      </c>
      <c r="AY1344" s="257">
        <v>-9999</v>
      </c>
      <c r="AZ1344" s="257">
        <v>-9999</v>
      </c>
      <c r="BA1344" s="257">
        <v>-9999</v>
      </c>
      <c r="BB1344" s="257">
        <v>-9999</v>
      </c>
      <c r="BC1344" s="257">
        <v>-9999</v>
      </c>
      <c r="BD1344" s="257">
        <v>-9999</v>
      </c>
      <c r="BE1344" s="257">
        <v>-9999</v>
      </c>
      <c r="BF1344" s="257">
        <v>-9999</v>
      </c>
      <c r="BG1344" s="257">
        <v>-9999</v>
      </c>
      <c r="BH1344" s="257">
        <v>-9999</v>
      </c>
      <c r="BI1344" s="257">
        <v>-9999</v>
      </c>
      <c r="BJ1344" s="300">
        <v>-9999</v>
      </c>
      <c r="BK1344" s="300">
        <v>-9999</v>
      </c>
      <c r="BL1344" s="300">
        <v>-9999</v>
      </c>
      <c r="BM1344" s="300">
        <v>-9999</v>
      </c>
      <c r="BN1344" s="300">
        <v>-9999</v>
      </c>
      <c r="BO1344" s="300">
        <v>-9999</v>
      </c>
      <c r="BP1344" s="300">
        <v>-9999</v>
      </c>
      <c r="BQ1344" s="300">
        <v>-9999</v>
      </c>
      <c r="BR1344" s="300">
        <v>-9999</v>
      </c>
      <c r="BS1344" s="620">
        <v>-9999</v>
      </c>
      <c r="BT1344" s="300">
        <v>-9999</v>
      </c>
      <c r="BU1344" s="300">
        <v>-9999</v>
      </c>
      <c r="BV1344" s="300">
        <v>-9999</v>
      </c>
      <c r="BW1344" s="300"/>
      <c r="BX1344" s="300">
        <v>-9999</v>
      </c>
      <c r="BY1344" s="300">
        <v>-9999</v>
      </c>
      <c r="BZ1344" s="300">
        <v>-9999</v>
      </c>
      <c r="CA1344" s="300">
        <v>-9999</v>
      </c>
      <c r="CB1344" s="264"/>
      <c r="CC1344" s="257">
        <v>1</v>
      </c>
      <c r="CD1344" s="257">
        <v>2</v>
      </c>
      <c r="CE1344" s="641">
        <v>22.864999999999998</v>
      </c>
      <c r="CF1344" s="292">
        <v>31.11</v>
      </c>
      <c r="CG1344" s="43">
        <v>2</v>
      </c>
    </row>
    <row r="1345" spans="1:86" s="23" customFormat="1" x14ac:dyDescent="0.2">
      <c r="A1345" s="257" t="s">
        <v>1333</v>
      </c>
      <c r="B1345" s="257" t="s">
        <v>659</v>
      </c>
      <c r="C1345" s="257" t="s">
        <v>664</v>
      </c>
      <c r="D1345" s="257" t="s">
        <v>317</v>
      </c>
      <c r="E1345" s="327" t="s">
        <v>1511</v>
      </c>
      <c r="F1345" s="257">
        <v>1</v>
      </c>
      <c r="G1345" s="257">
        <v>2.5</v>
      </c>
      <c r="H1345" s="257">
        <v>2.5</v>
      </c>
      <c r="I1345" s="257" t="s">
        <v>468</v>
      </c>
      <c r="J1345" s="257">
        <v>2001</v>
      </c>
      <c r="K1345" s="257" t="s">
        <v>1211</v>
      </c>
      <c r="L1345" s="257">
        <v>2003</v>
      </c>
      <c r="M1345" s="261">
        <v>35.1</v>
      </c>
      <c r="N1345" s="257">
        <v>-9999</v>
      </c>
      <c r="O1345" s="29">
        <v>1.7</v>
      </c>
      <c r="P1345" s="370">
        <f>+M1345*O1345</f>
        <v>59.67</v>
      </c>
      <c r="Q1345" s="257">
        <v>-9999</v>
      </c>
      <c r="R1345" s="261">
        <v>35.1</v>
      </c>
      <c r="S1345" s="257"/>
      <c r="T1345" s="370">
        <f>+P1345/G1345</f>
        <v>23.868000000000002</v>
      </c>
      <c r="U1345" s="257">
        <v>-9999</v>
      </c>
      <c r="V1345" s="257"/>
      <c r="W1345" s="370">
        <f>+P1345-W1344</f>
        <v>28.560000000000002</v>
      </c>
      <c r="X1345" s="257">
        <v>-9999</v>
      </c>
      <c r="Y1345" s="257"/>
      <c r="Z1345" s="257" t="s">
        <v>172</v>
      </c>
      <c r="AA1345" s="257">
        <v>8400</v>
      </c>
      <c r="AB1345" s="261">
        <v>0.88</v>
      </c>
      <c r="AC1345" s="297">
        <v>0.15</v>
      </c>
      <c r="AD1345" s="358">
        <v>225</v>
      </c>
      <c r="AE1345" s="299" t="s">
        <v>280</v>
      </c>
      <c r="AF1345" s="257">
        <v>-9999</v>
      </c>
      <c r="AG1345" s="257">
        <v>-9999</v>
      </c>
      <c r="AH1345" s="257" t="s">
        <v>857</v>
      </c>
      <c r="AI1345" s="257">
        <v>-9999</v>
      </c>
      <c r="AJ1345" s="257">
        <v>10</v>
      </c>
      <c r="AK1345" s="257" t="s">
        <v>671</v>
      </c>
      <c r="AL1345" s="257" t="s">
        <v>828</v>
      </c>
      <c r="AM1345" s="257" t="s">
        <v>262</v>
      </c>
      <c r="AN1345" s="257" t="s">
        <v>631</v>
      </c>
      <c r="AO1345" s="257">
        <v>-9999</v>
      </c>
      <c r="AP1345" s="257">
        <v>-9999</v>
      </c>
      <c r="AQ1345" s="257" t="s">
        <v>631</v>
      </c>
      <c r="AR1345" s="263">
        <v>0</v>
      </c>
      <c r="AS1345" s="257">
        <v>-9999</v>
      </c>
      <c r="AT1345" s="257"/>
      <c r="AU1345" s="257">
        <v>0</v>
      </c>
      <c r="AV1345" s="257">
        <v>-9999</v>
      </c>
      <c r="AW1345" s="257">
        <v>-9999</v>
      </c>
      <c r="AX1345" s="257">
        <v>0</v>
      </c>
      <c r="AY1345" s="257">
        <v>-9999</v>
      </c>
      <c r="AZ1345" s="257">
        <v>-9999</v>
      </c>
      <c r="BA1345" s="257">
        <v>-9999</v>
      </c>
      <c r="BB1345" s="257">
        <v>-9999</v>
      </c>
      <c r="BC1345" s="257">
        <v>-9999</v>
      </c>
      <c r="BD1345" s="257">
        <v>-9999</v>
      </c>
      <c r="BE1345" s="257">
        <v>-9999</v>
      </c>
      <c r="BF1345" s="257">
        <v>-9999</v>
      </c>
      <c r="BG1345" s="257">
        <v>-9999</v>
      </c>
      <c r="BH1345" s="257">
        <v>-9999</v>
      </c>
      <c r="BI1345" s="257">
        <v>-9999</v>
      </c>
      <c r="BJ1345" s="300">
        <v>-9999</v>
      </c>
      <c r="BK1345" s="300">
        <v>-9999</v>
      </c>
      <c r="BL1345" s="300">
        <v>-9999</v>
      </c>
      <c r="BM1345" s="300">
        <v>-9999</v>
      </c>
      <c r="BN1345" s="300">
        <v>-9999</v>
      </c>
      <c r="BO1345" s="300">
        <v>-9999</v>
      </c>
      <c r="BP1345" s="300">
        <v>-9999</v>
      </c>
      <c r="BQ1345" s="300">
        <v>-9999</v>
      </c>
      <c r="BR1345" s="300">
        <v>-9999</v>
      </c>
      <c r="BS1345" s="620">
        <v>-9999</v>
      </c>
      <c r="BT1345" s="300">
        <v>-9999</v>
      </c>
      <c r="BU1345" s="300">
        <v>-9999</v>
      </c>
      <c r="BV1345" s="300">
        <v>-9999</v>
      </c>
      <c r="BW1345" s="300"/>
      <c r="BX1345" s="300">
        <v>-9999</v>
      </c>
      <c r="BY1345" s="300">
        <v>-9999</v>
      </c>
      <c r="BZ1345" s="300">
        <v>-9999</v>
      </c>
      <c r="CA1345" s="300">
        <v>-9999</v>
      </c>
      <c r="CB1345" s="264"/>
      <c r="CC1345" s="257">
        <v>1</v>
      </c>
      <c r="CD1345" s="257">
        <v>2.5</v>
      </c>
      <c r="CE1345" s="641">
        <v>23.868000000000002</v>
      </c>
      <c r="CF1345" s="292">
        <v>28.560000000000002</v>
      </c>
      <c r="CG1345" s="43">
        <v>2.5</v>
      </c>
    </row>
    <row r="1346" spans="1:86" s="13" customFormat="1" x14ac:dyDescent="0.2">
      <c r="A1346" s="259" t="s">
        <v>1333</v>
      </c>
      <c r="B1346" s="259" t="s">
        <v>659</v>
      </c>
      <c r="C1346" s="259" t="s">
        <v>664</v>
      </c>
      <c r="D1346" s="259" t="s">
        <v>317</v>
      </c>
      <c r="E1346" s="259" t="s">
        <v>1511</v>
      </c>
      <c r="F1346" s="259">
        <v>1</v>
      </c>
      <c r="G1346" s="259">
        <v>3.2</v>
      </c>
      <c r="H1346" s="259">
        <v>3.2</v>
      </c>
      <c r="I1346" s="259" t="s">
        <v>468</v>
      </c>
      <c r="J1346" s="259">
        <v>2001</v>
      </c>
      <c r="K1346" s="259" t="s">
        <v>672</v>
      </c>
      <c r="L1346" s="259">
        <v>2004</v>
      </c>
      <c r="M1346" s="288">
        <v>54.5</v>
      </c>
      <c r="N1346" s="259">
        <v>-9999</v>
      </c>
      <c r="O1346" s="18">
        <v>1.7</v>
      </c>
      <c r="P1346" s="590">
        <f>+M1346*O1346</f>
        <v>92.649999999999991</v>
      </c>
      <c r="Q1346" s="259">
        <v>-9999</v>
      </c>
      <c r="R1346" s="288">
        <v>54.5</v>
      </c>
      <c r="S1346" s="259"/>
      <c r="T1346" s="590">
        <f>+P1346/G1346</f>
        <v>28.953124999999996</v>
      </c>
      <c r="U1346" s="259">
        <v>-9999</v>
      </c>
      <c r="V1346" s="259"/>
      <c r="W1346" s="590">
        <f>+P1346-W1345</f>
        <v>64.089999999999989</v>
      </c>
      <c r="X1346" s="259">
        <v>-9999</v>
      </c>
      <c r="Y1346" s="259"/>
      <c r="Z1346" s="259" t="s">
        <v>172</v>
      </c>
      <c r="AA1346" s="259">
        <v>8400</v>
      </c>
      <c r="AB1346" s="288">
        <v>0.88</v>
      </c>
      <c r="AC1346" s="288">
        <v>0.15</v>
      </c>
      <c r="AD1346" s="260">
        <v>225</v>
      </c>
      <c r="AE1346" s="618" t="s">
        <v>280</v>
      </c>
      <c r="AF1346" s="259">
        <v>-9999</v>
      </c>
      <c r="AG1346" s="259">
        <v>-9999</v>
      </c>
      <c r="AH1346" s="259" t="s">
        <v>857</v>
      </c>
      <c r="AI1346" s="259">
        <v>-9999</v>
      </c>
      <c r="AJ1346" s="259">
        <v>10</v>
      </c>
      <c r="AK1346" s="259" t="s">
        <v>671</v>
      </c>
      <c r="AL1346" s="259" t="s">
        <v>828</v>
      </c>
      <c r="AM1346" s="259" t="s">
        <v>262</v>
      </c>
      <c r="AN1346" s="259" t="s">
        <v>631</v>
      </c>
      <c r="AO1346" s="259">
        <v>-9999</v>
      </c>
      <c r="AP1346" s="259">
        <v>-9999</v>
      </c>
      <c r="AQ1346" s="259" t="s">
        <v>631</v>
      </c>
      <c r="AR1346" s="260">
        <v>0</v>
      </c>
      <c r="AS1346" s="259">
        <v>-9999</v>
      </c>
      <c r="AT1346" s="259"/>
      <c r="AU1346" s="259">
        <v>0</v>
      </c>
      <c r="AV1346" s="259">
        <v>-9999</v>
      </c>
      <c r="AW1346" s="259">
        <v>-9999</v>
      </c>
      <c r="AX1346" s="259">
        <v>0</v>
      </c>
      <c r="AY1346" s="259">
        <v>-9999</v>
      </c>
      <c r="AZ1346" s="259">
        <v>-9999</v>
      </c>
      <c r="BA1346" s="259">
        <v>-9999</v>
      </c>
      <c r="BB1346" s="259">
        <v>-9999</v>
      </c>
      <c r="BC1346" s="259">
        <v>-9999</v>
      </c>
      <c r="BD1346" s="259">
        <v>-9999</v>
      </c>
      <c r="BE1346" s="259">
        <v>-9999</v>
      </c>
      <c r="BF1346" s="259">
        <v>-9999</v>
      </c>
      <c r="BG1346" s="259">
        <v>-9999</v>
      </c>
      <c r="BH1346" s="259">
        <v>-9999</v>
      </c>
      <c r="BI1346" s="259">
        <v>-9999</v>
      </c>
      <c r="BJ1346" s="337">
        <v>-9999</v>
      </c>
      <c r="BK1346" s="337">
        <v>-9999</v>
      </c>
      <c r="BL1346" s="337">
        <v>-9999</v>
      </c>
      <c r="BM1346" s="337">
        <v>-9999</v>
      </c>
      <c r="BN1346" s="337">
        <v>-9999</v>
      </c>
      <c r="BO1346" s="337">
        <v>-9999</v>
      </c>
      <c r="BP1346" s="337">
        <v>-9999</v>
      </c>
      <c r="BQ1346" s="337">
        <v>-9999</v>
      </c>
      <c r="BR1346" s="337">
        <v>-9999</v>
      </c>
      <c r="BS1346" s="621">
        <v>-9999</v>
      </c>
      <c r="BT1346" s="337">
        <v>-9999</v>
      </c>
      <c r="BU1346" s="337">
        <v>-9999</v>
      </c>
      <c r="BV1346" s="337">
        <v>-9999</v>
      </c>
      <c r="BW1346" s="337"/>
      <c r="BX1346" s="337">
        <v>-9999</v>
      </c>
      <c r="BY1346" s="337">
        <v>-9999</v>
      </c>
      <c r="BZ1346" s="337">
        <v>-9999</v>
      </c>
      <c r="CA1346" s="337">
        <v>-9999</v>
      </c>
      <c r="CB1346" s="592"/>
      <c r="CC1346" s="259">
        <v>1</v>
      </c>
      <c r="CD1346" s="259">
        <v>3.2</v>
      </c>
      <c r="CE1346" s="677">
        <v>28.953124999999996</v>
      </c>
      <c r="CF1346" s="99">
        <v>64.089999999999989</v>
      </c>
      <c r="CG1346" s="211">
        <v>3.2</v>
      </c>
      <c r="CH1346" s="437" t="s">
        <v>1757</v>
      </c>
    </row>
    <row r="1347" spans="1:86" s="23" customFormat="1" x14ac:dyDescent="0.2">
      <c r="A1347" s="257" t="s">
        <v>1333</v>
      </c>
      <c r="B1347" s="257" t="s">
        <v>659</v>
      </c>
      <c r="C1347" s="257" t="s">
        <v>664</v>
      </c>
      <c r="D1347" s="257" t="s">
        <v>317</v>
      </c>
      <c r="E1347" s="327" t="s">
        <v>1511</v>
      </c>
      <c r="F1347" s="257">
        <v>1</v>
      </c>
      <c r="G1347" s="257">
        <v>3.5</v>
      </c>
      <c r="H1347" s="257">
        <v>3.5</v>
      </c>
      <c r="I1347" s="257" t="s">
        <v>468</v>
      </c>
      <c r="J1347" s="257">
        <v>2001</v>
      </c>
      <c r="K1347" s="257" t="s">
        <v>856</v>
      </c>
      <c r="L1347" s="257">
        <v>2005</v>
      </c>
      <c r="M1347" s="261">
        <v>52.5</v>
      </c>
      <c r="N1347" s="257">
        <v>-9999</v>
      </c>
      <c r="O1347" s="29">
        <v>1.7</v>
      </c>
      <c r="P1347" s="370">
        <f>+M1347*O1347</f>
        <v>89.25</v>
      </c>
      <c r="Q1347" s="257">
        <v>-9999</v>
      </c>
      <c r="R1347" s="261">
        <v>52.5</v>
      </c>
      <c r="S1347" s="257"/>
      <c r="T1347" s="370">
        <f>+P1347/G1347</f>
        <v>25.5</v>
      </c>
      <c r="U1347" s="257">
        <v>-9999</v>
      </c>
      <c r="V1347" s="257"/>
      <c r="W1347" s="370">
        <f>+P1347-W1346</f>
        <v>25.160000000000011</v>
      </c>
      <c r="X1347" s="257">
        <v>-9999</v>
      </c>
      <c r="Y1347" s="257"/>
      <c r="Z1347" s="257" t="s">
        <v>172</v>
      </c>
      <c r="AA1347" s="257">
        <v>8400</v>
      </c>
      <c r="AB1347" s="261">
        <v>0.88</v>
      </c>
      <c r="AC1347" s="297">
        <v>0.15</v>
      </c>
      <c r="AD1347" s="358">
        <v>225</v>
      </c>
      <c r="AE1347" s="299" t="s">
        <v>280</v>
      </c>
      <c r="AF1347" s="257">
        <v>-9999</v>
      </c>
      <c r="AG1347" s="257">
        <v>-9999</v>
      </c>
      <c r="AH1347" s="257" t="s">
        <v>857</v>
      </c>
      <c r="AI1347" s="257">
        <v>-9999</v>
      </c>
      <c r="AJ1347" s="257">
        <v>10</v>
      </c>
      <c r="AK1347" s="257" t="s">
        <v>671</v>
      </c>
      <c r="AL1347" s="257" t="s">
        <v>828</v>
      </c>
      <c r="AM1347" s="257" t="s">
        <v>262</v>
      </c>
      <c r="AN1347" s="257" t="s">
        <v>631</v>
      </c>
      <c r="AO1347" s="257">
        <v>-9999</v>
      </c>
      <c r="AP1347" s="257">
        <v>-9999</v>
      </c>
      <c r="AQ1347" s="257" t="s">
        <v>631</v>
      </c>
      <c r="AR1347" s="263">
        <v>0</v>
      </c>
      <c r="AS1347" s="257">
        <v>-9999</v>
      </c>
      <c r="AT1347" s="257"/>
      <c r="AU1347" s="257">
        <v>0</v>
      </c>
      <c r="AV1347" s="257">
        <v>-9999</v>
      </c>
      <c r="AW1347" s="257">
        <v>-9999</v>
      </c>
      <c r="AX1347" s="257">
        <v>0</v>
      </c>
      <c r="AY1347" s="257">
        <v>-9999</v>
      </c>
      <c r="AZ1347" s="257">
        <v>-9999</v>
      </c>
      <c r="BA1347" s="257">
        <v>-9999</v>
      </c>
      <c r="BB1347" s="257">
        <v>-9999</v>
      </c>
      <c r="BC1347" s="257">
        <v>-9999</v>
      </c>
      <c r="BD1347" s="257">
        <v>-9999</v>
      </c>
      <c r="BE1347" s="257">
        <v>-9999</v>
      </c>
      <c r="BF1347" s="257">
        <v>-9999</v>
      </c>
      <c r="BG1347" s="257">
        <v>-9999</v>
      </c>
      <c r="BH1347" s="257">
        <v>-9999</v>
      </c>
      <c r="BI1347" s="257">
        <v>-9999</v>
      </c>
      <c r="BJ1347" s="300">
        <v>-9999</v>
      </c>
      <c r="BK1347" s="300">
        <v>-9999</v>
      </c>
      <c r="BL1347" s="300">
        <v>-9999</v>
      </c>
      <c r="BM1347" s="300">
        <v>-9999</v>
      </c>
      <c r="BN1347" s="300">
        <v>-9999</v>
      </c>
      <c r="BO1347" s="300">
        <v>-9999</v>
      </c>
      <c r="BP1347" s="300">
        <v>-9999</v>
      </c>
      <c r="BQ1347" s="300">
        <v>-9999</v>
      </c>
      <c r="BR1347" s="300">
        <v>-9999</v>
      </c>
      <c r="BS1347" s="620">
        <v>-9999</v>
      </c>
      <c r="BT1347" s="300">
        <v>-9999</v>
      </c>
      <c r="BU1347" s="300">
        <v>-9999</v>
      </c>
      <c r="BV1347" s="300">
        <v>-9999</v>
      </c>
      <c r="BW1347" s="300"/>
      <c r="BX1347" s="300">
        <v>-9999</v>
      </c>
      <c r="BY1347" s="300">
        <v>-9999</v>
      </c>
      <c r="BZ1347" s="300">
        <v>-9999</v>
      </c>
      <c r="CA1347" s="300">
        <v>-9999</v>
      </c>
      <c r="CB1347" s="264"/>
      <c r="CC1347" s="257">
        <v>1</v>
      </c>
      <c r="CD1347" s="257">
        <v>3.5</v>
      </c>
      <c r="CE1347" s="641">
        <v>25.5</v>
      </c>
      <c r="CF1347" s="292">
        <v>25.160000000000011</v>
      </c>
      <c r="CG1347" s="257">
        <v>3.5</v>
      </c>
    </row>
    <row r="1348" spans="1:86" s="23" customFormat="1" x14ac:dyDescent="0.2">
      <c r="A1348" s="257"/>
      <c r="B1348" s="257"/>
      <c r="C1348" s="257"/>
      <c r="D1348" s="257"/>
      <c r="E1348" s="257"/>
      <c r="F1348" s="257"/>
      <c r="G1348" s="257"/>
      <c r="H1348" s="257"/>
      <c r="I1348" s="257"/>
      <c r="J1348" s="257"/>
      <c r="K1348" s="257"/>
      <c r="L1348" s="257"/>
      <c r="M1348" s="261"/>
      <c r="N1348" s="257"/>
      <c r="O1348" s="29"/>
      <c r="P1348" s="370"/>
      <c r="Q1348" s="257"/>
      <c r="R1348" s="261"/>
      <c r="S1348" s="257"/>
      <c r="T1348" s="370"/>
      <c r="U1348" s="257"/>
      <c r="V1348" s="257"/>
      <c r="W1348" s="370"/>
      <c r="X1348" s="257"/>
      <c r="Y1348" s="257"/>
      <c r="Z1348" s="257"/>
      <c r="AA1348" s="264"/>
      <c r="AB1348" s="286"/>
      <c r="AC1348" s="297"/>
      <c r="AD1348" s="358"/>
      <c r="AE1348" s="299"/>
      <c r="AF1348" s="257"/>
      <c r="AG1348" s="257"/>
      <c r="AH1348" s="257"/>
      <c r="AI1348" s="257"/>
      <c r="AJ1348" s="257"/>
      <c r="AK1348" s="257"/>
      <c r="AL1348" s="257"/>
      <c r="AM1348" s="257"/>
      <c r="AN1348" s="257"/>
      <c r="AO1348" s="257"/>
      <c r="AP1348" s="257"/>
      <c r="AQ1348" s="257"/>
      <c r="AR1348" s="263"/>
      <c r="AS1348" s="257"/>
      <c r="AT1348" s="257"/>
      <c r="AU1348" s="257"/>
      <c r="AV1348" s="257"/>
      <c r="AW1348" s="257"/>
      <c r="AX1348" s="257"/>
      <c r="AY1348" s="257"/>
      <c r="AZ1348" s="257"/>
      <c r="BA1348" s="257"/>
      <c r="BB1348" s="257"/>
      <c r="BC1348" s="257"/>
      <c r="BD1348" s="257"/>
      <c r="BE1348" s="257"/>
      <c r="BF1348" s="257"/>
      <c r="BG1348" s="257"/>
      <c r="BH1348" s="257"/>
      <c r="BI1348" s="257"/>
      <c r="BJ1348" s="300"/>
      <c r="BK1348" s="300"/>
      <c r="BL1348" s="300"/>
      <c r="BM1348" s="300"/>
      <c r="BN1348" s="300"/>
      <c r="BO1348" s="300"/>
      <c r="BP1348" s="300"/>
      <c r="BQ1348" s="300"/>
      <c r="BR1348" s="300"/>
      <c r="BS1348" s="620"/>
      <c r="BT1348" s="300"/>
      <c r="BU1348" s="300"/>
      <c r="BV1348" s="300"/>
      <c r="BW1348" s="300"/>
      <c r="BX1348" s="300"/>
      <c r="BY1348" s="300"/>
      <c r="BZ1348" s="300"/>
      <c r="CA1348" s="300"/>
      <c r="CB1348" s="264"/>
      <c r="CC1348" s="257"/>
      <c r="CD1348" s="327" t="s">
        <v>1632</v>
      </c>
      <c r="CE1348" s="342" t="s">
        <v>1576</v>
      </c>
      <c r="CF1348" s="342" t="s">
        <v>1575</v>
      </c>
      <c r="CG1348" s="257"/>
    </row>
    <row r="1349" spans="1:86" s="23" customFormat="1" x14ac:dyDescent="0.2">
      <c r="A1349" s="257" t="s">
        <v>1333</v>
      </c>
      <c r="B1349" s="257" t="s">
        <v>659</v>
      </c>
      <c r="C1349" s="257" t="s">
        <v>664</v>
      </c>
      <c r="D1349" s="257" t="s">
        <v>317</v>
      </c>
      <c r="E1349" s="327" t="s">
        <v>1512</v>
      </c>
      <c r="F1349" s="257">
        <v>1</v>
      </c>
      <c r="G1349" s="257">
        <v>1.1000000000000001</v>
      </c>
      <c r="H1349" s="257">
        <v>1.1000000000000001</v>
      </c>
      <c r="I1349" s="257" t="s">
        <v>468</v>
      </c>
      <c r="J1349" s="257">
        <v>2001</v>
      </c>
      <c r="K1349" s="257" t="s">
        <v>672</v>
      </c>
      <c r="L1349" s="257">
        <v>2002</v>
      </c>
      <c r="M1349" s="261">
        <v>8.4</v>
      </c>
      <c r="N1349" s="257">
        <v>-9999</v>
      </c>
      <c r="O1349" s="29">
        <v>1.7</v>
      </c>
      <c r="P1349" s="370">
        <f>+M1349*O1349</f>
        <v>14.28</v>
      </c>
      <c r="Q1349" s="257">
        <v>-9999</v>
      </c>
      <c r="R1349" s="261">
        <v>8.4</v>
      </c>
      <c r="S1349" s="257"/>
      <c r="T1349" s="370">
        <f>+P1349/G1349</f>
        <v>12.981818181818181</v>
      </c>
      <c r="U1349" s="257">
        <v>-9999</v>
      </c>
      <c r="V1349" s="257"/>
      <c r="W1349" s="370">
        <f>+P1349</f>
        <v>14.28</v>
      </c>
      <c r="X1349" s="257">
        <v>-9999</v>
      </c>
      <c r="Y1349" s="257"/>
      <c r="Z1349" s="257" t="s">
        <v>172</v>
      </c>
      <c r="AA1349" s="257">
        <v>8400</v>
      </c>
      <c r="AB1349" s="261">
        <v>1</v>
      </c>
      <c r="AC1349" s="297">
        <v>0.15</v>
      </c>
      <c r="AD1349" s="358">
        <v>225</v>
      </c>
      <c r="AE1349" s="299" t="s">
        <v>280</v>
      </c>
      <c r="AF1349" s="257">
        <v>-9999</v>
      </c>
      <c r="AG1349" s="257">
        <v>-9999</v>
      </c>
      <c r="AH1349" s="257" t="s">
        <v>857</v>
      </c>
      <c r="AI1349" s="257">
        <v>-9999</v>
      </c>
      <c r="AJ1349" s="257">
        <v>10</v>
      </c>
      <c r="AK1349" s="257" t="s">
        <v>671</v>
      </c>
      <c r="AL1349" s="257" t="s">
        <v>828</v>
      </c>
      <c r="AM1349" s="257" t="s">
        <v>262</v>
      </c>
      <c r="AN1349" s="257" t="s">
        <v>631</v>
      </c>
      <c r="AO1349" s="257">
        <v>-9999</v>
      </c>
      <c r="AP1349" s="257">
        <v>-9999</v>
      </c>
      <c r="AQ1349" s="257" t="s">
        <v>631</v>
      </c>
      <c r="AR1349" s="263">
        <v>0</v>
      </c>
      <c r="AS1349" s="257">
        <v>-9999</v>
      </c>
      <c r="AT1349" s="257"/>
      <c r="AU1349" s="257">
        <v>0</v>
      </c>
      <c r="AV1349" s="257">
        <v>-9999</v>
      </c>
      <c r="AW1349" s="257">
        <v>-9999</v>
      </c>
      <c r="AX1349" s="257">
        <v>0</v>
      </c>
      <c r="AY1349" s="257">
        <v>-9999</v>
      </c>
      <c r="AZ1349" s="257">
        <v>-9999</v>
      </c>
      <c r="BA1349" s="257">
        <v>-9999</v>
      </c>
      <c r="BB1349" s="257">
        <v>-9999</v>
      </c>
      <c r="BC1349" s="257">
        <v>-9999</v>
      </c>
      <c r="BD1349" s="257">
        <v>-9999</v>
      </c>
      <c r="BE1349" s="257">
        <v>-9999</v>
      </c>
      <c r="BF1349" s="257">
        <v>-9999</v>
      </c>
      <c r="BG1349" s="257">
        <v>-9999</v>
      </c>
      <c r="BH1349" s="257">
        <v>-9999</v>
      </c>
      <c r="BI1349" s="257">
        <v>-9999</v>
      </c>
      <c r="BJ1349" s="300">
        <v>-9999</v>
      </c>
      <c r="BK1349" s="300">
        <v>-9999</v>
      </c>
      <c r="BL1349" s="300">
        <v>-9999</v>
      </c>
      <c r="BM1349" s="300">
        <v>-9999</v>
      </c>
      <c r="BN1349" s="300">
        <v>-9999</v>
      </c>
      <c r="BO1349" s="300">
        <v>-9999</v>
      </c>
      <c r="BP1349" s="300">
        <v>-9999</v>
      </c>
      <c r="BQ1349" s="300">
        <v>-9999</v>
      </c>
      <c r="BR1349" s="300">
        <v>-9999</v>
      </c>
      <c r="BS1349" s="620">
        <v>-9999</v>
      </c>
      <c r="BT1349" s="300">
        <v>-9999</v>
      </c>
      <c r="BU1349" s="300">
        <v>-9999</v>
      </c>
      <c r="BV1349" s="300">
        <v>-9999</v>
      </c>
      <c r="BW1349" s="300"/>
      <c r="BX1349" s="300">
        <v>-9999</v>
      </c>
      <c r="BY1349" s="300">
        <v>-9999</v>
      </c>
      <c r="BZ1349" s="300">
        <v>-9999</v>
      </c>
      <c r="CA1349" s="300">
        <v>-9999</v>
      </c>
      <c r="CB1349" s="264"/>
      <c r="CC1349" s="257">
        <v>1</v>
      </c>
      <c r="CD1349" s="257">
        <v>1.1000000000000001</v>
      </c>
      <c r="CE1349" s="641">
        <v>12.981818181818181</v>
      </c>
      <c r="CF1349" s="292">
        <v>14.28</v>
      </c>
      <c r="CG1349" s="257">
        <v>1.1000000000000001</v>
      </c>
    </row>
    <row r="1350" spans="1:86" s="23" customFormat="1" x14ac:dyDescent="0.2">
      <c r="A1350" s="257" t="s">
        <v>1333</v>
      </c>
      <c r="B1350" s="257" t="s">
        <v>659</v>
      </c>
      <c r="C1350" s="257" t="s">
        <v>664</v>
      </c>
      <c r="D1350" s="257" t="s">
        <v>317</v>
      </c>
      <c r="E1350" s="327" t="s">
        <v>1512</v>
      </c>
      <c r="F1350" s="257">
        <v>1</v>
      </c>
      <c r="G1350" s="257">
        <v>2</v>
      </c>
      <c r="H1350" s="257">
        <v>2</v>
      </c>
      <c r="I1350" s="257" t="s">
        <v>468</v>
      </c>
      <c r="J1350" s="257">
        <v>2001</v>
      </c>
      <c r="K1350" s="257" t="s">
        <v>468</v>
      </c>
      <c r="L1350" s="257">
        <v>2003</v>
      </c>
      <c r="M1350" s="261">
        <v>23.5</v>
      </c>
      <c r="N1350" s="257">
        <v>-9999</v>
      </c>
      <c r="O1350" s="29">
        <v>1.7</v>
      </c>
      <c r="P1350" s="370">
        <f>+M1350*O1350</f>
        <v>39.949999999999996</v>
      </c>
      <c r="Q1350" s="257">
        <v>-9999</v>
      </c>
      <c r="R1350" s="261">
        <v>23.5</v>
      </c>
      <c r="S1350" s="257"/>
      <c r="T1350" s="370">
        <f>+P1350/G1350</f>
        <v>19.974999999999998</v>
      </c>
      <c r="U1350" s="257">
        <v>-9999</v>
      </c>
      <c r="V1350" s="257"/>
      <c r="W1350" s="370">
        <f>+P1350-W1349</f>
        <v>25.669999999999995</v>
      </c>
      <c r="X1350" s="257">
        <v>-9999</v>
      </c>
      <c r="Y1350" s="257"/>
      <c r="Z1350" s="257" t="s">
        <v>172</v>
      </c>
      <c r="AA1350" s="257">
        <v>8400</v>
      </c>
      <c r="AB1350" s="261">
        <v>0.7</v>
      </c>
      <c r="AC1350" s="297">
        <v>0.15</v>
      </c>
      <c r="AD1350" s="358">
        <v>225</v>
      </c>
      <c r="AE1350" s="299" t="s">
        <v>280</v>
      </c>
      <c r="AF1350" s="257">
        <v>-9999</v>
      </c>
      <c r="AG1350" s="257">
        <v>-9999</v>
      </c>
      <c r="AH1350" s="257" t="s">
        <v>857</v>
      </c>
      <c r="AI1350" s="257">
        <v>-9999</v>
      </c>
      <c r="AJ1350" s="257">
        <v>10</v>
      </c>
      <c r="AK1350" s="257" t="s">
        <v>671</v>
      </c>
      <c r="AL1350" s="257" t="s">
        <v>828</v>
      </c>
      <c r="AM1350" s="257" t="s">
        <v>262</v>
      </c>
      <c r="AN1350" s="257" t="s">
        <v>631</v>
      </c>
      <c r="AO1350" s="257">
        <v>-9999</v>
      </c>
      <c r="AP1350" s="257">
        <v>-9999</v>
      </c>
      <c r="AQ1350" s="257" t="s">
        <v>631</v>
      </c>
      <c r="AR1350" s="263">
        <v>0</v>
      </c>
      <c r="AS1350" s="257">
        <v>-9999</v>
      </c>
      <c r="AT1350" s="257"/>
      <c r="AU1350" s="257">
        <v>0</v>
      </c>
      <c r="AV1350" s="257">
        <v>-9999</v>
      </c>
      <c r="AW1350" s="257">
        <v>-9999</v>
      </c>
      <c r="AX1350" s="257">
        <v>0</v>
      </c>
      <c r="AY1350" s="257">
        <v>-9999</v>
      </c>
      <c r="AZ1350" s="257">
        <v>-9999</v>
      </c>
      <c r="BA1350" s="257">
        <v>-9999</v>
      </c>
      <c r="BB1350" s="257">
        <v>-9999</v>
      </c>
      <c r="BC1350" s="257">
        <v>-9999</v>
      </c>
      <c r="BD1350" s="257">
        <v>-9999</v>
      </c>
      <c r="BE1350" s="257">
        <v>-9999</v>
      </c>
      <c r="BF1350" s="257">
        <v>-9999</v>
      </c>
      <c r="BG1350" s="257">
        <v>-9999</v>
      </c>
      <c r="BH1350" s="257">
        <v>-9999</v>
      </c>
      <c r="BI1350" s="257">
        <v>-9999</v>
      </c>
      <c r="BJ1350" s="300">
        <v>-9999</v>
      </c>
      <c r="BK1350" s="300">
        <v>-9999</v>
      </c>
      <c r="BL1350" s="300">
        <v>-9999</v>
      </c>
      <c r="BM1350" s="300">
        <v>-9999</v>
      </c>
      <c r="BN1350" s="300">
        <v>-9999</v>
      </c>
      <c r="BO1350" s="300">
        <v>-9999</v>
      </c>
      <c r="BP1350" s="300">
        <v>-9999</v>
      </c>
      <c r="BQ1350" s="300">
        <v>-9999</v>
      </c>
      <c r="BR1350" s="300">
        <v>-9999</v>
      </c>
      <c r="BS1350" s="620">
        <v>-9999</v>
      </c>
      <c r="BT1350" s="300">
        <v>-9999</v>
      </c>
      <c r="BU1350" s="300">
        <v>-9999</v>
      </c>
      <c r="BV1350" s="300">
        <v>-9999</v>
      </c>
      <c r="BW1350" s="300"/>
      <c r="BX1350" s="300">
        <v>-9999</v>
      </c>
      <c r="BY1350" s="300">
        <v>-9999</v>
      </c>
      <c r="BZ1350" s="300">
        <v>-9999</v>
      </c>
      <c r="CA1350" s="300">
        <v>-9999</v>
      </c>
      <c r="CB1350" s="264"/>
      <c r="CC1350" s="257">
        <v>1</v>
      </c>
      <c r="CD1350" s="257">
        <v>2</v>
      </c>
      <c r="CE1350" s="641">
        <v>19.974999999999998</v>
      </c>
      <c r="CF1350" s="292">
        <v>25.669999999999995</v>
      </c>
      <c r="CG1350" s="257">
        <v>2</v>
      </c>
    </row>
    <row r="1351" spans="1:86" s="23" customFormat="1" x14ac:dyDescent="0.2">
      <c r="A1351" s="257" t="s">
        <v>1333</v>
      </c>
      <c r="B1351" s="257" t="s">
        <v>659</v>
      </c>
      <c r="C1351" s="257" t="s">
        <v>664</v>
      </c>
      <c r="D1351" s="257" t="s">
        <v>317</v>
      </c>
      <c r="E1351" s="327" t="s">
        <v>1512</v>
      </c>
      <c r="F1351" s="257">
        <v>1</v>
      </c>
      <c r="G1351" s="257">
        <v>2.5</v>
      </c>
      <c r="H1351" s="257">
        <v>2.5</v>
      </c>
      <c r="I1351" s="257" t="s">
        <v>468</v>
      </c>
      <c r="J1351" s="257">
        <v>2001</v>
      </c>
      <c r="K1351" s="257" t="s">
        <v>1211</v>
      </c>
      <c r="L1351" s="257">
        <v>2003</v>
      </c>
      <c r="M1351" s="261">
        <v>31.3</v>
      </c>
      <c r="N1351" s="257">
        <v>-9999</v>
      </c>
      <c r="O1351" s="29">
        <v>1.7</v>
      </c>
      <c r="P1351" s="370">
        <f>+M1351*O1351</f>
        <v>53.21</v>
      </c>
      <c r="Q1351" s="257">
        <v>-9999</v>
      </c>
      <c r="R1351" s="261">
        <v>31.3</v>
      </c>
      <c r="S1351" s="257"/>
      <c r="T1351" s="370">
        <f>+P1351/G1351</f>
        <v>21.283999999999999</v>
      </c>
      <c r="U1351" s="257">
        <v>-9999</v>
      </c>
      <c r="V1351" s="257"/>
      <c r="W1351" s="370">
        <f>+P1351-W1350</f>
        <v>27.540000000000006</v>
      </c>
      <c r="X1351" s="257">
        <v>-9999</v>
      </c>
      <c r="Y1351" s="257"/>
      <c r="Z1351" s="257" t="s">
        <v>172</v>
      </c>
      <c r="AA1351" s="257">
        <v>8400</v>
      </c>
      <c r="AB1351" s="261">
        <v>0.7</v>
      </c>
      <c r="AC1351" s="297">
        <v>0.15</v>
      </c>
      <c r="AD1351" s="358">
        <v>225</v>
      </c>
      <c r="AE1351" s="299" t="s">
        <v>280</v>
      </c>
      <c r="AF1351" s="257">
        <v>-9999</v>
      </c>
      <c r="AG1351" s="257">
        <v>-9999</v>
      </c>
      <c r="AH1351" s="257" t="s">
        <v>857</v>
      </c>
      <c r="AI1351" s="257">
        <v>-9999</v>
      </c>
      <c r="AJ1351" s="257">
        <v>10</v>
      </c>
      <c r="AK1351" s="257" t="s">
        <v>671</v>
      </c>
      <c r="AL1351" s="257" t="s">
        <v>828</v>
      </c>
      <c r="AM1351" s="257" t="s">
        <v>262</v>
      </c>
      <c r="AN1351" s="257" t="s">
        <v>631</v>
      </c>
      <c r="AO1351" s="257">
        <v>-9999</v>
      </c>
      <c r="AP1351" s="257">
        <v>-9999</v>
      </c>
      <c r="AQ1351" s="257" t="s">
        <v>631</v>
      </c>
      <c r="AR1351" s="263">
        <v>0</v>
      </c>
      <c r="AS1351" s="257">
        <v>-9999</v>
      </c>
      <c r="AT1351" s="257"/>
      <c r="AU1351" s="257">
        <v>0</v>
      </c>
      <c r="AV1351" s="257">
        <v>-9999</v>
      </c>
      <c r="AW1351" s="257">
        <v>-9999</v>
      </c>
      <c r="AX1351" s="257">
        <v>0</v>
      </c>
      <c r="AY1351" s="257">
        <v>-9999</v>
      </c>
      <c r="AZ1351" s="257">
        <v>-9999</v>
      </c>
      <c r="BA1351" s="257">
        <v>-9999</v>
      </c>
      <c r="BB1351" s="257">
        <v>-9999</v>
      </c>
      <c r="BC1351" s="257">
        <v>-9999</v>
      </c>
      <c r="BD1351" s="257">
        <v>-9999</v>
      </c>
      <c r="BE1351" s="257">
        <v>-9999</v>
      </c>
      <c r="BF1351" s="257">
        <v>-9999</v>
      </c>
      <c r="BG1351" s="257">
        <v>-9999</v>
      </c>
      <c r="BH1351" s="257">
        <v>-9999</v>
      </c>
      <c r="BI1351" s="257">
        <v>-9999</v>
      </c>
      <c r="BJ1351" s="300">
        <v>-9999</v>
      </c>
      <c r="BK1351" s="300">
        <v>-9999</v>
      </c>
      <c r="BL1351" s="300">
        <v>-9999</v>
      </c>
      <c r="BM1351" s="300">
        <v>-9999</v>
      </c>
      <c r="BN1351" s="300">
        <v>-9999</v>
      </c>
      <c r="BO1351" s="300">
        <v>-9999</v>
      </c>
      <c r="BP1351" s="300">
        <v>-9999</v>
      </c>
      <c r="BQ1351" s="300">
        <v>-9999</v>
      </c>
      <c r="BR1351" s="300">
        <v>-9999</v>
      </c>
      <c r="BS1351" s="620">
        <v>-9999</v>
      </c>
      <c r="BT1351" s="300">
        <v>-9999</v>
      </c>
      <c r="BU1351" s="300">
        <v>-9999</v>
      </c>
      <c r="BV1351" s="300">
        <v>-9999</v>
      </c>
      <c r="BW1351" s="300"/>
      <c r="BX1351" s="300">
        <v>-9999</v>
      </c>
      <c r="BY1351" s="300">
        <v>-9999</v>
      </c>
      <c r="BZ1351" s="300">
        <v>-9999</v>
      </c>
      <c r="CA1351" s="300">
        <v>-9999</v>
      </c>
      <c r="CB1351" s="264"/>
      <c r="CC1351" s="257">
        <v>1</v>
      </c>
      <c r="CD1351" s="257">
        <v>2.5</v>
      </c>
      <c r="CE1351" s="641">
        <v>21.283999999999999</v>
      </c>
      <c r="CF1351" s="292">
        <v>27.540000000000006</v>
      </c>
      <c r="CG1351" s="257">
        <v>2.5</v>
      </c>
    </row>
    <row r="1352" spans="1:86" s="13" customFormat="1" x14ac:dyDescent="0.2">
      <c r="A1352" s="259" t="s">
        <v>1333</v>
      </c>
      <c r="B1352" s="259" t="s">
        <v>659</v>
      </c>
      <c r="C1352" s="259" t="s">
        <v>664</v>
      </c>
      <c r="D1352" s="259" t="s">
        <v>317</v>
      </c>
      <c r="E1352" s="259" t="s">
        <v>1512</v>
      </c>
      <c r="F1352" s="259">
        <v>1</v>
      </c>
      <c r="G1352" s="259">
        <v>3.2</v>
      </c>
      <c r="H1352" s="259">
        <v>3.2</v>
      </c>
      <c r="I1352" s="259" t="s">
        <v>468</v>
      </c>
      <c r="J1352" s="259">
        <v>2001</v>
      </c>
      <c r="K1352" s="259" t="s">
        <v>672</v>
      </c>
      <c r="L1352" s="259">
        <v>2004</v>
      </c>
      <c r="M1352" s="288">
        <v>42.9</v>
      </c>
      <c r="N1352" s="259">
        <v>-9999</v>
      </c>
      <c r="O1352" s="18">
        <v>1.7</v>
      </c>
      <c r="P1352" s="590">
        <f>+M1352*O1352</f>
        <v>72.929999999999993</v>
      </c>
      <c r="Q1352" s="259">
        <v>-9999</v>
      </c>
      <c r="R1352" s="288">
        <v>42.9</v>
      </c>
      <c r="S1352" s="259"/>
      <c r="T1352" s="590">
        <f>+P1352/G1352</f>
        <v>22.790624999999995</v>
      </c>
      <c r="U1352" s="259">
        <v>-9999</v>
      </c>
      <c r="V1352" s="259"/>
      <c r="W1352" s="590">
        <f>+P1352-W1351</f>
        <v>45.389999999999986</v>
      </c>
      <c r="X1352" s="259">
        <v>-9999</v>
      </c>
      <c r="Y1352" s="259"/>
      <c r="Z1352" s="259" t="s">
        <v>172</v>
      </c>
      <c r="AA1352" s="259">
        <v>8400</v>
      </c>
      <c r="AB1352" s="288">
        <v>0.7</v>
      </c>
      <c r="AC1352" s="288">
        <v>0.15</v>
      </c>
      <c r="AD1352" s="260">
        <v>225</v>
      </c>
      <c r="AE1352" s="618" t="s">
        <v>280</v>
      </c>
      <c r="AF1352" s="259">
        <v>-9999</v>
      </c>
      <c r="AG1352" s="259">
        <v>-9999</v>
      </c>
      <c r="AH1352" s="259" t="s">
        <v>857</v>
      </c>
      <c r="AI1352" s="259">
        <v>-9999</v>
      </c>
      <c r="AJ1352" s="259">
        <v>10</v>
      </c>
      <c r="AK1352" s="259" t="s">
        <v>671</v>
      </c>
      <c r="AL1352" s="259" t="s">
        <v>828</v>
      </c>
      <c r="AM1352" s="259" t="s">
        <v>262</v>
      </c>
      <c r="AN1352" s="259" t="s">
        <v>631</v>
      </c>
      <c r="AO1352" s="259">
        <v>-9999</v>
      </c>
      <c r="AP1352" s="259">
        <v>-9999</v>
      </c>
      <c r="AQ1352" s="259" t="s">
        <v>631</v>
      </c>
      <c r="AR1352" s="260">
        <v>0</v>
      </c>
      <c r="AS1352" s="259">
        <v>-9999</v>
      </c>
      <c r="AT1352" s="259"/>
      <c r="AU1352" s="259">
        <v>0</v>
      </c>
      <c r="AV1352" s="259">
        <v>-9999</v>
      </c>
      <c r="AW1352" s="259">
        <v>-9999</v>
      </c>
      <c r="AX1352" s="259">
        <v>0</v>
      </c>
      <c r="AY1352" s="259">
        <v>-9999</v>
      </c>
      <c r="AZ1352" s="259">
        <v>-9999</v>
      </c>
      <c r="BA1352" s="259">
        <v>-9999</v>
      </c>
      <c r="BB1352" s="259">
        <v>-9999</v>
      </c>
      <c r="BC1352" s="259">
        <v>-9999</v>
      </c>
      <c r="BD1352" s="259">
        <v>-9999</v>
      </c>
      <c r="BE1352" s="259">
        <v>-9999</v>
      </c>
      <c r="BF1352" s="259">
        <v>-9999</v>
      </c>
      <c r="BG1352" s="259">
        <v>-9999</v>
      </c>
      <c r="BH1352" s="259">
        <v>-9999</v>
      </c>
      <c r="BI1352" s="259">
        <v>-9999</v>
      </c>
      <c r="BJ1352" s="337">
        <v>-9999</v>
      </c>
      <c r="BK1352" s="337">
        <v>-9999</v>
      </c>
      <c r="BL1352" s="337">
        <v>-9999</v>
      </c>
      <c r="BM1352" s="337">
        <v>-9999</v>
      </c>
      <c r="BN1352" s="337">
        <v>-9999</v>
      </c>
      <c r="BO1352" s="337">
        <v>-9999</v>
      </c>
      <c r="BP1352" s="337">
        <v>-9999</v>
      </c>
      <c r="BQ1352" s="337">
        <v>-9999</v>
      </c>
      <c r="BR1352" s="337">
        <v>-9999</v>
      </c>
      <c r="BS1352" s="621">
        <v>-9999</v>
      </c>
      <c r="BT1352" s="337">
        <v>-9999</v>
      </c>
      <c r="BU1352" s="337">
        <v>-9999</v>
      </c>
      <c r="BV1352" s="337">
        <v>-9999</v>
      </c>
      <c r="BW1352" s="337"/>
      <c r="BX1352" s="337">
        <v>-9999</v>
      </c>
      <c r="BY1352" s="337">
        <v>-9999</v>
      </c>
      <c r="BZ1352" s="337">
        <v>-9999</v>
      </c>
      <c r="CA1352" s="337">
        <v>-9999</v>
      </c>
      <c r="CB1352" s="592"/>
      <c r="CC1352" s="259">
        <v>1</v>
      </c>
      <c r="CD1352" s="259">
        <v>3.2</v>
      </c>
      <c r="CE1352" s="677">
        <v>22.790624999999995</v>
      </c>
      <c r="CF1352" s="99">
        <v>45.389999999999986</v>
      </c>
      <c r="CG1352" s="211">
        <v>3.2</v>
      </c>
      <c r="CH1352" s="437" t="s">
        <v>1757</v>
      </c>
    </row>
    <row r="1353" spans="1:86" s="23" customFormat="1" x14ac:dyDescent="0.2">
      <c r="A1353" s="257" t="s">
        <v>1333</v>
      </c>
      <c r="B1353" s="257" t="s">
        <v>659</v>
      </c>
      <c r="C1353" s="257" t="s">
        <v>664</v>
      </c>
      <c r="D1353" s="257" t="s">
        <v>317</v>
      </c>
      <c r="E1353" s="327" t="s">
        <v>1512</v>
      </c>
      <c r="F1353" s="257">
        <v>1</v>
      </c>
      <c r="G1353" s="257">
        <v>3.5</v>
      </c>
      <c r="H1353" s="257">
        <v>3.5</v>
      </c>
      <c r="I1353" s="257" t="s">
        <v>468</v>
      </c>
      <c r="J1353" s="257">
        <v>2001</v>
      </c>
      <c r="K1353" s="257" t="s">
        <v>856</v>
      </c>
      <c r="L1353" s="257">
        <v>2005</v>
      </c>
      <c r="M1353" s="261">
        <v>45.6</v>
      </c>
      <c r="N1353" s="257">
        <v>-9999</v>
      </c>
      <c r="O1353" s="29">
        <v>1.7</v>
      </c>
      <c r="P1353" s="370">
        <f>+M1353*O1353</f>
        <v>77.52</v>
      </c>
      <c r="Q1353" s="257">
        <v>-9999</v>
      </c>
      <c r="R1353" s="261">
        <v>45.6</v>
      </c>
      <c r="S1353" s="257"/>
      <c r="T1353" s="370">
        <f>+P1353/G1353</f>
        <v>22.148571428571426</v>
      </c>
      <c r="U1353" s="257">
        <v>-9999</v>
      </c>
      <c r="V1353" s="257"/>
      <c r="W1353" s="370">
        <f>+P1353-W1352</f>
        <v>32.13000000000001</v>
      </c>
      <c r="X1353" s="257">
        <v>-9999</v>
      </c>
      <c r="Y1353" s="257"/>
      <c r="Z1353" s="257" t="s">
        <v>172</v>
      </c>
      <c r="AA1353" s="257">
        <v>8400</v>
      </c>
      <c r="AB1353" s="261">
        <v>0.7</v>
      </c>
      <c r="AC1353" s="297">
        <v>0.15</v>
      </c>
      <c r="AD1353" s="358">
        <v>225</v>
      </c>
      <c r="AE1353" s="299" t="s">
        <v>280</v>
      </c>
      <c r="AF1353" s="257">
        <v>-9999</v>
      </c>
      <c r="AG1353" s="257">
        <v>-9999</v>
      </c>
      <c r="AH1353" s="257" t="s">
        <v>857</v>
      </c>
      <c r="AI1353" s="257">
        <v>-9999</v>
      </c>
      <c r="AJ1353" s="257">
        <v>10</v>
      </c>
      <c r="AK1353" s="257" t="s">
        <v>671</v>
      </c>
      <c r="AL1353" s="257" t="s">
        <v>828</v>
      </c>
      <c r="AM1353" s="257" t="s">
        <v>262</v>
      </c>
      <c r="AN1353" s="257" t="s">
        <v>631</v>
      </c>
      <c r="AO1353" s="257">
        <v>-9999</v>
      </c>
      <c r="AP1353" s="257">
        <v>-9999</v>
      </c>
      <c r="AQ1353" s="257" t="s">
        <v>631</v>
      </c>
      <c r="AR1353" s="263">
        <v>0</v>
      </c>
      <c r="AS1353" s="257">
        <v>-9999</v>
      </c>
      <c r="AT1353" s="257"/>
      <c r="AU1353" s="257">
        <v>0</v>
      </c>
      <c r="AV1353" s="257">
        <v>-9999</v>
      </c>
      <c r="AW1353" s="257">
        <v>-9999</v>
      </c>
      <c r="AX1353" s="257">
        <v>0</v>
      </c>
      <c r="AY1353" s="257">
        <v>-9999</v>
      </c>
      <c r="AZ1353" s="257">
        <v>-9999</v>
      </c>
      <c r="BA1353" s="257">
        <v>-9999</v>
      </c>
      <c r="BB1353" s="257">
        <v>-9999</v>
      </c>
      <c r="BC1353" s="257">
        <v>-9999</v>
      </c>
      <c r="BD1353" s="257">
        <v>-9999</v>
      </c>
      <c r="BE1353" s="257">
        <v>-9999</v>
      </c>
      <c r="BF1353" s="257">
        <v>-9999</v>
      </c>
      <c r="BG1353" s="257">
        <v>-9999</v>
      </c>
      <c r="BH1353" s="257">
        <v>-9999</v>
      </c>
      <c r="BI1353" s="257">
        <v>-9999</v>
      </c>
      <c r="BJ1353" s="300">
        <v>-9999</v>
      </c>
      <c r="BK1353" s="300">
        <v>-9999</v>
      </c>
      <c r="BL1353" s="300">
        <v>-9999</v>
      </c>
      <c r="BM1353" s="300">
        <v>-9999</v>
      </c>
      <c r="BN1353" s="300">
        <v>-9999</v>
      </c>
      <c r="BO1353" s="300">
        <v>-9999</v>
      </c>
      <c r="BP1353" s="300">
        <v>-9999</v>
      </c>
      <c r="BQ1353" s="300">
        <v>-9999</v>
      </c>
      <c r="BR1353" s="300">
        <v>-9999</v>
      </c>
      <c r="BS1353" s="620">
        <v>-9999</v>
      </c>
      <c r="BT1353" s="300">
        <v>-9999</v>
      </c>
      <c r="BU1353" s="300">
        <v>-9999</v>
      </c>
      <c r="BV1353" s="300">
        <v>-9999</v>
      </c>
      <c r="BW1353" s="300"/>
      <c r="BX1353" s="300">
        <v>-9999</v>
      </c>
      <c r="BY1353" s="300">
        <v>-9999</v>
      </c>
      <c r="BZ1353" s="300">
        <v>-9999</v>
      </c>
      <c r="CA1353" s="300">
        <v>-9999</v>
      </c>
      <c r="CB1353" s="264"/>
      <c r="CC1353" s="257">
        <v>1</v>
      </c>
      <c r="CD1353" s="257">
        <v>3.5</v>
      </c>
      <c r="CE1353" s="641">
        <v>22.148571428571426</v>
      </c>
      <c r="CF1353" s="292">
        <v>32.13000000000001</v>
      </c>
      <c r="CG1353" s="257">
        <v>3.5</v>
      </c>
    </row>
    <row r="1354" spans="1:86" s="23" customFormat="1" x14ac:dyDescent="0.2">
      <c r="A1354" s="257"/>
      <c r="B1354" s="257"/>
      <c r="C1354" s="257"/>
      <c r="D1354" s="257"/>
      <c r="E1354" s="257"/>
      <c r="F1354" s="257"/>
      <c r="G1354" s="257"/>
      <c r="H1354" s="257"/>
      <c r="I1354" s="257"/>
      <c r="J1354" s="257"/>
      <c r="K1354" s="257"/>
      <c r="L1354" s="257"/>
      <c r="M1354" s="261"/>
      <c r="N1354" s="257"/>
      <c r="O1354" s="29"/>
      <c r="P1354" s="370"/>
      <c r="Q1354" s="257"/>
      <c r="R1354" s="261"/>
      <c r="S1354" s="257"/>
      <c r="T1354" s="370"/>
      <c r="U1354" s="257"/>
      <c r="V1354" s="257"/>
      <c r="W1354" s="370"/>
      <c r="X1354" s="257"/>
      <c r="Y1354" s="257"/>
      <c r="Z1354" s="257"/>
      <c r="AA1354" s="264"/>
      <c r="AB1354" s="286"/>
      <c r="AC1354" s="297"/>
      <c r="AD1354" s="358"/>
      <c r="AE1354" s="299"/>
      <c r="AF1354" s="257"/>
      <c r="AG1354" s="257"/>
      <c r="AH1354" s="257"/>
      <c r="AI1354" s="257"/>
      <c r="AJ1354" s="257"/>
      <c r="AK1354" s="257"/>
      <c r="AL1354" s="257"/>
      <c r="AM1354" s="257"/>
      <c r="AN1354" s="257"/>
      <c r="AO1354" s="257"/>
      <c r="AP1354" s="257"/>
      <c r="AQ1354" s="257"/>
      <c r="AR1354" s="263"/>
      <c r="AS1354" s="257"/>
      <c r="AT1354" s="257"/>
      <c r="AU1354" s="263"/>
      <c r="AV1354" s="257"/>
      <c r="AW1354" s="257"/>
      <c r="AX1354" s="257"/>
      <c r="AY1354" s="257"/>
      <c r="AZ1354" s="257"/>
      <c r="BA1354" s="257"/>
      <c r="BB1354" s="257"/>
      <c r="BC1354" s="257"/>
      <c r="BD1354" s="257"/>
      <c r="BE1354" s="257"/>
      <c r="BF1354" s="257"/>
      <c r="BG1354" s="257"/>
      <c r="BH1354" s="257"/>
      <c r="BI1354" s="257"/>
      <c r="BJ1354" s="300"/>
      <c r="BK1354" s="300"/>
      <c r="BL1354" s="300"/>
      <c r="BM1354" s="300"/>
      <c r="BN1354" s="300"/>
      <c r="BO1354" s="300"/>
      <c r="BP1354" s="300"/>
      <c r="BQ1354" s="300"/>
      <c r="BR1354" s="300"/>
      <c r="BS1354" s="620"/>
      <c r="BT1354" s="300"/>
      <c r="BU1354" s="300"/>
      <c r="BV1354" s="300"/>
      <c r="BW1354" s="300"/>
      <c r="BX1354" s="300"/>
      <c r="BY1354" s="300"/>
      <c r="BZ1354" s="300"/>
      <c r="CA1354" s="300"/>
      <c r="CB1354" s="264"/>
      <c r="CC1354" s="257"/>
      <c r="CD1354" s="327" t="s">
        <v>1632</v>
      </c>
      <c r="CE1354" s="342" t="s">
        <v>1576</v>
      </c>
      <c r="CF1354" s="342" t="s">
        <v>1575</v>
      </c>
      <c r="CG1354" s="257"/>
    </row>
    <row r="1355" spans="1:86" s="23" customFormat="1" x14ac:dyDescent="0.2">
      <c r="A1355" s="257" t="s">
        <v>1333</v>
      </c>
      <c r="B1355" s="257" t="s">
        <v>659</v>
      </c>
      <c r="C1355" s="257" t="s">
        <v>660</v>
      </c>
      <c r="D1355" s="257" t="s">
        <v>317</v>
      </c>
      <c r="E1355" s="327" t="s">
        <v>1513</v>
      </c>
      <c r="F1355" s="257">
        <v>1</v>
      </c>
      <c r="G1355" s="257">
        <v>1.1000000000000001</v>
      </c>
      <c r="H1355" s="257">
        <v>1.1000000000000001</v>
      </c>
      <c r="I1355" s="257" t="s">
        <v>468</v>
      </c>
      <c r="J1355" s="257">
        <v>2001</v>
      </c>
      <c r="K1355" s="257" t="s">
        <v>672</v>
      </c>
      <c r="L1355" s="257">
        <v>2002</v>
      </c>
      <c r="M1355" s="261">
        <v>8.6</v>
      </c>
      <c r="N1355" s="257">
        <v>-9999</v>
      </c>
      <c r="O1355" s="29">
        <v>1.7</v>
      </c>
      <c r="P1355" s="370">
        <f>+M1355*O1355</f>
        <v>14.62</v>
      </c>
      <c r="Q1355" s="257">
        <v>-9999</v>
      </c>
      <c r="R1355" s="261">
        <v>8.6</v>
      </c>
      <c r="S1355" s="257"/>
      <c r="T1355" s="370">
        <f>+P1355/G1355</f>
        <v>13.290909090909089</v>
      </c>
      <c r="U1355" s="257">
        <v>-9999</v>
      </c>
      <c r="V1355" s="257"/>
      <c r="W1355" s="287">
        <v>14.62</v>
      </c>
      <c r="X1355" s="257">
        <v>-9999</v>
      </c>
      <c r="Y1355" s="257"/>
      <c r="Z1355" s="257" t="s">
        <v>172</v>
      </c>
      <c r="AA1355" s="257">
        <v>8400</v>
      </c>
      <c r="AB1355" s="261">
        <v>0.1</v>
      </c>
      <c r="AC1355" s="297">
        <v>0.15</v>
      </c>
      <c r="AD1355" s="358">
        <v>225</v>
      </c>
      <c r="AE1355" s="299" t="s">
        <v>280</v>
      </c>
      <c r="AF1355" s="257">
        <v>-9999</v>
      </c>
      <c r="AG1355" s="257">
        <v>-9999</v>
      </c>
      <c r="AH1355" s="257" t="s">
        <v>857</v>
      </c>
      <c r="AI1355" s="257">
        <v>-9999</v>
      </c>
      <c r="AJ1355" s="257">
        <v>10</v>
      </c>
      <c r="AK1355" s="257" t="s">
        <v>671</v>
      </c>
      <c r="AL1355" s="257" t="s">
        <v>828</v>
      </c>
      <c r="AM1355" s="257" t="s">
        <v>262</v>
      </c>
      <c r="AN1355" s="257" t="s">
        <v>631</v>
      </c>
      <c r="AO1355" s="257">
        <v>-9999</v>
      </c>
      <c r="AP1355" s="257">
        <v>-9999</v>
      </c>
      <c r="AQ1355" s="257" t="s">
        <v>626</v>
      </c>
      <c r="AR1355" s="296">
        <v>52.5</v>
      </c>
      <c r="AS1355" s="257" t="s">
        <v>161</v>
      </c>
      <c r="AT1355" s="257" t="s">
        <v>160</v>
      </c>
      <c r="AU1355" s="257">
        <v>0</v>
      </c>
      <c r="AV1355" s="257">
        <v>-9999</v>
      </c>
      <c r="AW1355" s="257">
        <v>-9999</v>
      </c>
      <c r="AX1355" s="257">
        <v>0</v>
      </c>
      <c r="AY1355" s="257">
        <v>-9999</v>
      </c>
      <c r="AZ1355" s="257">
        <v>-9999</v>
      </c>
      <c r="BA1355" s="257">
        <v>-9999</v>
      </c>
      <c r="BB1355" s="257">
        <v>-9999</v>
      </c>
      <c r="BC1355" s="257">
        <v>-9999</v>
      </c>
      <c r="BD1355" s="257">
        <v>-9999</v>
      </c>
      <c r="BE1355" s="257">
        <v>-9999</v>
      </c>
      <c r="BF1355" s="257">
        <v>-9999</v>
      </c>
      <c r="BG1355" s="257">
        <v>-9999</v>
      </c>
      <c r="BH1355" s="257">
        <v>-9999</v>
      </c>
      <c r="BI1355" s="257">
        <v>-9999</v>
      </c>
      <c r="BJ1355" s="300">
        <v>-9999</v>
      </c>
      <c r="BK1355" s="300">
        <v>-9999</v>
      </c>
      <c r="BL1355" s="300">
        <v>-9999</v>
      </c>
      <c r="BM1355" s="300">
        <v>-9999</v>
      </c>
      <c r="BN1355" s="300">
        <v>-9999</v>
      </c>
      <c r="BO1355" s="300">
        <v>-9999</v>
      </c>
      <c r="BP1355" s="300">
        <v>-9999</v>
      </c>
      <c r="BQ1355" s="300">
        <v>-9999</v>
      </c>
      <c r="BR1355" s="300">
        <v>-9999</v>
      </c>
      <c r="BS1355" s="620">
        <v>-9999</v>
      </c>
      <c r="BT1355" s="300">
        <v>-9999</v>
      </c>
      <c r="BU1355" s="300">
        <v>-9999</v>
      </c>
      <c r="BV1355" s="300">
        <v>-9999</v>
      </c>
      <c r="BW1355" s="300"/>
      <c r="BX1355" s="300">
        <v>-9999</v>
      </c>
      <c r="BY1355" s="300">
        <v>-9999</v>
      </c>
      <c r="BZ1355" s="300">
        <v>-9999</v>
      </c>
      <c r="CA1355" s="300">
        <v>-9999</v>
      </c>
      <c r="CB1355" s="264"/>
      <c r="CC1355" s="257">
        <v>1</v>
      </c>
      <c r="CD1355" s="257">
        <v>1.1000000000000001</v>
      </c>
      <c r="CE1355" s="292">
        <v>13.290909090909089</v>
      </c>
      <c r="CF1355" s="292">
        <v>14.62</v>
      </c>
      <c r="CG1355" s="257">
        <v>1.1000000000000001</v>
      </c>
    </row>
    <row r="1356" spans="1:86" s="23" customFormat="1" x14ac:dyDescent="0.2">
      <c r="A1356" s="257" t="s">
        <v>1333</v>
      </c>
      <c r="B1356" s="257" t="s">
        <v>659</v>
      </c>
      <c r="C1356" s="257" t="s">
        <v>660</v>
      </c>
      <c r="D1356" s="257" t="s">
        <v>317</v>
      </c>
      <c r="E1356" s="327" t="s">
        <v>1513</v>
      </c>
      <c r="F1356" s="257">
        <v>1</v>
      </c>
      <c r="G1356" s="257">
        <v>2</v>
      </c>
      <c r="H1356" s="257">
        <v>2</v>
      </c>
      <c r="I1356" s="257" t="s">
        <v>468</v>
      </c>
      <c r="J1356" s="257">
        <v>2001</v>
      </c>
      <c r="K1356" s="257" t="s">
        <v>468</v>
      </c>
      <c r="L1356" s="257">
        <v>2003</v>
      </c>
      <c r="M1356" s="261">
        <v>32.5</v>
      </c>
      <c r="N1356" s="257">
        <v>-9999</v>
      </c>
      <c r="O1356" s="29">
        <v>1.7</v>
      </c>
      <c r="P1356" s="370">
        <f>+M1356*O1356</f>
        <v>55.25</v>
      </c>
      <c r="Q1356" s="257">
        <v>-9999</v>
      </c>
      <c r="R1356" s="261">
        <v>32.5</v>
      </c>
      <c r="S1356" s="257"/>
      <c r="T1356" s="370">
        <f>+P1356/G1356</f>
        <v>27.625</v>
      </c>
      <c r="U1356" s="257">
        <v>-9999</v>
      </c>
      <c r="V1356" s="257"/>
      <c r="W1356" s="287">
        <v>31.11</v>
      </c>
      <c r="X1356" s="257">
        <v>-9999</v>
      </c>
      <c r="Y1356" s="257"/>
      <c r="Z1356" s="257" t="s">
        <v>172</v>
      </c>
      <c r="AA1356" s="257">
        <v>8400</v>
      </c>
      <c r="AB1356" s="261">
        <v>0.89</v>
      </c>
      <c r="AC1356" s="297">
        <v>0.15</v>
      </c>
      <c r="AD1356" s="358">
        <v>225</v>
      </c>
      <c r="AE1356" s="299" t="s">
        <v>280</v>
      </c>
      <c r="AF1356" s="257">
        <v>-9999</v>
      </c>
      <c r="AG1356" s="257">
        <v>-9999</v>
      </c>
      <c r="AH1356" s="257" t="s">
        <v>857</v>
      </c>
      <c r="AI1356" s="257">
        <v>-9999</v>
      </c>
      <c r="AJ1356" s="257">
        <v>10</v>
      </c>
      <c r="AK1356" s="257" t="s">
        <v>671</v>
      </c>
      <c r="AL1356" s="257" t="s">
        <v>828</v>
      </c>
      <c r="AM1356" s="257" t="s">
        <v>262</v>
      </c>
      <c r="AN1356" s="257" t="s">
        <v>631</v>
      </c>
      <c r="AO1356" s="257">
        <v>-9999</v>
      </c>
      <c r="AP1356" s="257">
        <v>-9999</v>
      </c>
      <c r="AQ1356" s="257" t="s">
        <v>626</v>
      </c>
      <c r="AR1356" s="296">
        <v>52.5</v>
      </c>
      <c r="AS1356" s="257" t="s">
        <v>161</v>
      </c>
      <c r="AT1356" s="257" t="s">
        <v>160</v>
      </c>
      <c r="AU1356" s="257">
        <v>0</v>
      </c>
      <c r="AV1356" s="257">
        <v>-9999</v>
      </c>
      <c r="AW1356" s="257">
        <v>-9999</v>
      </c>
      <c r="AX1356" s="257">
        <v>0</v>
      </c>
      <c r="AY1356" s="257">
        <v>-9999</v>
      </c>
      <c r="AZ1356" s="257">
        <v>-9999</v>
      </c>
      <c r="BA1356" s="257">
        <v>-9999</v>
      </c>
      <c r="BB1356" s="257">
        <v>-9999</v>
      </c>
      <c r="BC1356" s="257">
        <v>-9999</v>
      </c>
      <c r="BD1356" s="257">
        <v>-9999</v>
      </c>
      <c r="BE1356" s="257">
        <v>-9999</v>
      </c>
      <c r="BF1356" s="257">
        <v>-9999</v>
      </c>
      <c r="BG1356" s="257">
        <v>-9999</v>
      </c>
      <c r="BH1356" s="257">
        <v>-9999</v>
      </c>
      <c r="BI1356" s="257">
        <v>-9999</v>
      </c>
      <c r="BJ1356" s="300">
        <v>-9999</v>
      </c>
      <c r="BK1356" s="300">
        <v>-9999</v>
      </c>
      <c r="BL1356" s="300">
        <v>-9999</v>
      </c>
      <c r="BM1356" s="300">
        <v>-9999</v>
      </c>
      <c r="BN1356" s="300">
        <v>-9999</v>
      </c>
      <c r="BO1356" s="300">
        <v>-9999</v>
      </c>
      <c r="BP1356" s="300">
        <v>-9999</v>
      </c>
      <c r="BQ1356" s="300">
        <v>-9999</v>
      </c>
      <c r="BR1356" s="300">
        <v>-9999</v>
      </c>
      <c r="BS1356" s="620">
        <v>-9999</v>
      </c>
      <c r="BT1356" s="300">
        <v>-9999</v>
      </c>
      <c r="BU1356" s="300">
        <v>-9999</v>
      </c>
      <c r="BV1356" s="300">
        <v>-9999</v>
      </c>
      <c r="BW1356" s="300"/>
      <c r="BX1356" s="300">
        <v>-9999</v>
      </c>
      <c r="BY1356" s="300">
        <v>-9999</v>
      </c>
      <c r="BZ1356" s="300">
        <v>-9999</v>
      </c>
      <c r="CA1356" s="300">
        <v>-9999</v>
      </c>
      <c r="CB1356" s="264"/>
      <c r="CC1356" s="257">
        <v>1</v>
      </c>
      <c r="CD1356" s="257">
        <v>2</v>
      </c>
      <c r="CE1356" s="292">
        <v>27.625</v>
      </c>
      <c r="CF1356" s="292">
        <v>31.11</v>
      </c>
      <c r="CG1356" s="257">
        <v>2</v>
      </c>
    </row>
    <row r="1357" spans="1:86" s="23" customFormat="1" x14ac:dyDescent="0.2">
      <c r="A1357" s="257" t="s">
        <v>1333</v>
      </c>
      <c r="B1357" s="257" t="s">
        <v>659</v>
      </c>
      <c r="C1357" s="257" t="s">
        <v>660</v>
      </c>
      <c r="D1357" s="257" t="s">
        <v>317</v>
      </c>
      <c r="E1357" s="327" t="s">
        <v>1513</v>
      </c>
      <c r="F1357" s="257">
        <v>1</v>
      </c>
      <c r="G1357" s="257">
        <v>2.5</v>
      </c>
      <c r="H1357" s="257">
        <v>2.5</v>
      </c>
      <c r="I1357" s="257" t="s">
        <v>468</v>
      </c>
      <c r="J1357" s="257">
        <v>2001</v>
      </c>
      <c r="K1357" s="257" t="s">
        <v>1211</v>
      </c>
      <c r="L1357" s="257">
        <v>2003</v>
      </c>
      <c r="M1357" s="261">
        <v>43.5</v>
      </c>
      <c r="N1357" s="257">
        <v>-9999</v>
      </c>
      <c r="O1357" s="29">
        <v>1.7</v>
      </c>
      <c r="P1357" s="370">
        <f>+M1357*O1357</f>
        <v>73.95</v>
      </c>
      <c r="Q1357" s="257">
        <v>-9999</v>
      </c>
      <c r="R1357" s="261">
        <v>43.5</v>
      </c>
      <c r="S1357" s="257"/>
      <c r="T1357" s="370">
        <f>+P1357/G1357</f>
        <v>29.580000000000002</v>
      </c>
      <c r="U1357" s="257">
        <v>-9999</v>
      </c>
      <c r="V1357" s="257"/>
      <c r="W1357" s="287">
        <v>28.560000000000002</v>
      </c>
      <c r="X1357" s="257">
        <v>-9999</v>
      </c>
      <c r="Y1357" s="257"/>
      <c r="Z1357" s="257" t="s">
        <v>172</v>
      </c>
      <c r="AA1357" s="257">
        <v>8400</v>
      </c>
      <c r="AB1357" s="261">
        <v>0.89</v>
      </c>
      <c r="AC1357" s="297">
        <v>0.15</v>
      </c>
      <c r="AD1357" s="358">
        <v>225</v>
      </c>
      <c r="AE1357" s="299" t="s">
        <v>280</v>
      </c>
      <c r="AF1357" s="257">
        <v>-9999</v>
      </c>
      <c r="AG1357" s="257">
        <v>-9999</v>
      </c>
      <c r="AH1357" s="257" t="s">
        <v>857</v>
      </c>
      <c r="AI1357" s="257">
        <v>-9999</v>
      </c>
      <c r="AJ1357" s="257">
        <v>10</v>
      </c>
      <c r="AK1357" s="257" t="s">
        <v>671</v>
      </c>
      <c r="AL1357" s="257" t="s">
        <v>828</v>
      </c>
      <c r="AM1357" s="257" t="s">
        <v>262</v>
      </c>
      <c r="AN1357" s="257" t="s">
        <v>631</v>
      </c>
      <c r="AO1357" s="257">
        <v>-9999</v>
      </c>
      <c r="AP1357" s="257">
        <v>-9999</v>
      </c>
      <c r="AQ1357" s="257" t="s">
        <v>626</v>
      </c>
      <c r="AR1357" s="296">
        <v>52.5</v>
      </c>
      <c r="AS1357" s="257" t="s">
        <v>161</v>
      </c>
      <c r="AT1357" s="257" t="s">
        <v>160</v>
      </c>
      <c r="AU1357" s="257">
        <v>0</v>
      </c>
      <c r="AV1357" s="257">
        <v>-9999</v>
      </c>
      <c r="AW1357" s="257">
        <v>-9999</v>
      </c>
      <c r="AX1357" s="257">
        <v>0</v>
      </c>
      <c r="AY1357" s="257">
        <v>-9999</v>
      </c>
      <c r="AZ1357" s="257">
        <v>-9999</v>
      </c>
      <c r="BA1357" s="257">
        <v>-9999</v>
      </c>
      <c r="BB1357" s="257">
        <v>-9999</v>
      </c>
      <c r="BC1357" s="257">
        <v>-9999</v>
      </c>
      <c r="BD1357" s="257">
        <v>-9999</v>
      </c>
      <c r="BE1357" s="257">
        <v>-9999</v>
      </c>
      <c r="BF1357" s="257">
        <v>-9999</v>
      </c>
      <c r="BG1357" s="257">
        <v>-9999</v>
      </c>
      <c r="BH1357" s="257">
        <v>-9999</v>
      </c>
      <c r="BI1357" s="257">
        <v>-9999</v>
      </c>
      <c r="BJ1357" s="300">
        <v>-9999</v>
      </c>
      <c r="BK1357" s="300">
        <v>-9999</v>
      </c>
      <c r="BL1357" s="300">
        <v>-9999</v>
      </c>
      <c r="BM1357" s="300">
        <v>-9999</v>
      </c>
      <c r="BN1357" s="300">
        <v>-9999</v>
      </c>
      <c r="BO1357" s="300">
        <v>-9999</v>
      </c>
      <c r="BP1357" s="300">
        <v>-9999</v>
      </c>
      <c r="BQ1357" s="300">
        <v>-9999</v>
      </c>
      <c r="BR1357" s="300">
        <v>-9999</v>
      </c>
      <c r="BS1357" s="620">
        <v>-9999</v>
      </c>
      <c r="BT1357" s="300">
        <v>-9999</v>
      </c>
      <c r="BU1357" s="300">
        <v>-9999</v>
      </c>
      <c r="BV1357" s="300">
        <v>-9999</v>
      </c>
      <c r="BW1357" s="300"/>
      <c r="BX1357" s="300">
        <v>-9999</v>
      </c>
      <c r="BY1357" s="300">
        <v>-9999</v>
      </c>
      <c r="BZ1357" s="300">
        <v>-9999</v>
      </c>
      <c r="CA1357" s="300">
        <v>-9999</v>
      </c>
      <c r="CB1357" s="264"/>
      <c r="CC1357" s="257">
        <v>1</v>
      </c>
      <c r="CD1357" s="257">
        <v>2.5</v>
      </c>
      <c r="CE1357" s="292">
        <v>29.580000000000002</v>
      </c>
      <c r="CF1357" s="292">
        <v>28.560000000000002</v>
      </c>
      <c r="CG1357" s="257">
        <v>2.5</v>
      </c>
    </row>
    <row r="1358" spans="1:86" s="13" customFormat="1" x14ac:dyDescent="0.2">
      <c r="A1358" s="259" t="s">
        <v>1333</v>
      </c>
      <c r="B1358" s="259" t="s">
        <v>659</v>
      </c>
      <c r="C1358" s="259" t="s">
        <v>660</v>
      </c>
      <c r="D1358" s="259" t="s">
        <v>317</v>
      </c>
      <c r="E1358" s="259" t="s">
        <v>1513</v>
      </c>
      <c r="F1358" s="259">
        <v>1</v>
      </c>
      <c r="G1358" s="259">
        <v>3.2</v>
      </c>
      <c r="H1358" s="259">
        <v>3.2</v>
      </c>
      <c r="I1358" s="259" t="s">
        <v>468</v>
      </c>
      <c r="J1358" s="259">
        <v>2001</v>
      </c>
      <c r="K1358" s="259" t="s">
        <v>672</v>
      </c>
      <c r="L1358" s="259">
        <v>2004</v>
      </c>
      <c r="M1358" s="288">
        <v>59.4</v>
      </c>
      <c r="N1358" s="259">
        <v>-9999</v>
      </c>
      <c r="O1358" s="18">
        <v>1.7</v>
      </c>
      <c r="P1358" s="590">
        <f>+M1358*O1358</f>
        <v>100.97999999999999</v>
      </c>
      <c r="Q1358" s="259">
        <v>-9999</v>
      </c>
      <c r="R1358" s="288">
        <v>59.4</v>
      </c>
      <c r="S1358" s="259"/>
      <c r="T1358" s="590">
        <f>+P1358/G1358</f>
        <v>31.556249999999995</v>
      </c>
      <c r="U1358" s="259">
        <v>-9999</v>
      </c>
      <c r="V1358" s="259"/>
      <c r="W1358" s="376">
        <v>64.089999999999989</v>
      </c>
      <c r="X1358" s="259">
        <v>-9999</v>
      </c>
      <c r="Y1358" s="259"/>
      <c r="Z1358" s="259" t="s">
        <v>172</v>
      </c>
      <c r="AA1358" s="259">
        <v>8400</v>
      </c>
      <c r="AB1358" s="288">
        <v>0.89</v>
      </c>
      <c r="AC1358" s="288">
        <v>0.15</v>
      </c>
      <c r="AD1358" s="260">
        <v>225</v>
      </c>
      <c r="AE1358" s="618" t="s">
        <v>280</v>
      </c>
      <c r="AF1358" s="259">
        <v>-9999</v>
      </c>
      <c r="AG1358" s="259">
        <v>-9999</v>
      </c>
      <c r="AH1358" s="259" t="s">
        <v>857</v>
      </c>
      <c r="AI1358" s="259">
        <v>-9999</v>
      </c>
      <c r="AJ1358" s="259">
        <v>10</v>
      </c>
      <c r="AK1358" s="259" t="s">
        <v>671</v>
      </c>
      <c r="AL1358" s="259" t="s">
        <v>828</v>
      </c>
      <c r="AM1358" s="259" t="s">
        <v>262</v>
      </c>
      <c r="AN1358" s="259" t="s">
        <v>631</v>
      </c>
      <c r="AO1358" s="259">
        <v>-9999</v>
      </c>
      <c r="AP1358" s="259">
        <v>-9999</v>
      </c>
      <c r="AQ1358" s="259" t="s">
        <v>626</v>
      </c>
      <c r="AR1358" s="289">
        <v>52.5</v>
      </c>
      <c r="AS1358" s="259" t="s">
        <v>161</v>
      </c>
      <c r="AT1358" s="259" t="s">
        <v>160</v>
      </c>
      <c r="AU1358" s="259">
        <v>0</v>
      </c>
      <c r="AV1358" s="259">
        <v>-9999</v>
      </c>
      <c r="AW1358" s="259">
        <v>-9999</v>
      </c>
      <c r="AX1358" s="259">
        <v>0</v>
      </c>
      <c r="AY1358" s="259">
        <v>-9999</v>
      </c>
      <c r="AZ1358" s="259">
        <v>-9999</v>
      </c>
      <c r="BA1358" s="259">
        <v>-9999</v>
      </c>
      <c r="BB1358" s="259">
        <v>-9999</v>
      </c>
      <c r="BC1358" s="259">
        <v>-9999</v>
      </c>
      <c r="BD1358" s="259">
        <v>-9999</v>
      </c>
      <c r="BE1358" s="259">
        <v>-9999</v>
      </c>
      <c r="BF1358" s="259">
        <v>-9999</v>
      </c>
      <c r="BG1358" s="259">
        <v>-9999</v>
      </c>
      <c r="BH1358" s="259">
        <v>-9999</v>
      </c>
      <c r="BI1358" s="259">
        <v>-9999</v>
      </c>
      <c r="BJ1358" s="337">
        <v>-9999</v>
      </c>
      <c r="BK1358" s="337">
        <v>-9999</v>
      </c>
      <c r="BL1358" s="337">
        <v>-9999</v>
      </c>
      <c r="BM1358" s="337">
        <v>-9999</v>
      </c>
      <c r="BN1358" s="337">
        <v>-9999</v>
      </c>
      <c r="BO1358" s="337">
        <v>-9999</v>
      </c>
      <c r="BP1358" s="337">
        <v>-9999</v>
      </c>
      <c r="BQ1358" s="337">
        <v>-9999</v>
      </c>
      <c r="BR1358" s="337">
        <v>-9999</v>
      </c>
      <c r="BS1358" s="621">
        <v>-9999</v>
      </c>
      <c r="BT1358" s="337">
        <v>-9999</v>
      </c>
      <c r="BU1358" s="337">
        <v>-9999</v>
      </c>
      <c r="BV1358" s="337">
        <v>-9999</v>
      </c>
      <c r="BW1358" s="337"/>
      <c r="BX1358" s="337">
        <v>-9999</v>
      </c>
      <c r="BY1358" s="337">
        <v>-9999</v>
      </c>
      <c r="BZ1358" s="337">
        <v>-9999</v>
      </c>
      <c r="CA1358" s="337">
        <v>-9999</v>
      </c>
      <c r="CB1358" s="592"/>
      <c r="CC1358" s="259">
        <v>1</v>
      </c>
      <c r="CD1358" s="259">
        <v>3.2</v>
      </c>
      <c r="CE1358" s="395">
        <v>31.556249999999995</v>
      </c>
      <c r="CF1358" s="99">
        <v>64.089999999999989</v>
      </c>
      <c r="CG1358" s="211">
        <v>3.2</v>
      </c>
      <c r="CH1358" s="437" t="s">
        <v>1757</v>
      </c>
    </row>
    <row r="1359" spans="1:86" s="23" customFormat="1" x14ac:dyDescent="0.2">
      <c r="A1359" s="257" t="s">
        <v>1333</v>
      </c>
      <c r="B1359" s="257" t="s">
        <v>659</v>
      </c>
      <c r="C1359" s="257" t="s">
        <v>660</v>
      </c>
      <c r="D1359" s="257" t="s">
        <v>317</v>
      </c>
      <c r="E1359" s="327" t="s">
        <v>1513</v>
      </c>
      <c r="F1359" s="257">
        <v>1</v>
      </c>
      <c r="G1359" s="257">
        <v>3.5</v>
      </c>
      <c r="H1359" s="257">
        <v>3.5</v>
      </c>
      <c r="I1359" s="257" t="s">
        <v>468</v>
      </c>
      <c r="J1359" s="257">
        <v>2001</v>
      </c>
      <c r="K1359" s="257" t="s">
        <v>856</v>
      </c>
      <c r="L1359" s="257">
        <v>2005</v>
      </c>
      <c r="M1359" s="261">
        <v>62.1</v>
      </c>
      <c r="N1359" s="257">
        <v>-9999</v>
      </c>
      <c r="O1359" s="29">
        <v>1.7</v>
      </c>
      <c r="P1359" s="370">
        <f>+M1359*O1359</f>
        <v>105.57</v>
      </c>
      <c r="Q1359" s="257">
        <v>-9999</v>
      </c>
      <c r="R1359" s="261">
        <v>62.1</v>
      </c>
      <c r="S1359" s="257"/>
      <c r="T1359" s="370">
        <f>+P1359/G1359</f>
        <v>30.162857142857142</v>
      </c>
      <c r="U1359" s="257">
        <v>-9999</v>
      </c>
      <c r="V1359" s="257"/>
      <c r="W1359" s="287">
        <v>25.160000000000011</v>
      </c>
      <c r="X1359" s="257">
        <v>-9999</v>
      </c>
      <c r="Y1359" s="257"/>
      <c r="Z1359" s="257" t="s">
        <v>172</v>
      </c>
      <c r="AA1359" s="257">
        <v>8400</v>
      </c>
      <c r="AB1359" s="261">
        <v>0.89</v>
      </c>
      <c r="AC1359" s="297">
        <v>0.15</v>
      </c>
      <c r="AD1359" s="358">
        <v>225</v>
      </c>
      <c r="AE1359" s="299" t="s">
        <v>280</v>
      </c>
      <c r="AF1359" s="257">
        <v>-9999</v>
      </c>
      <c r="AG1359" s="257">
        <v>-9999</v>
      </c>
      <c r="AH1359" s="257" t="s">
        <v>857</v>
      </c>
      <c r="AI1359" s="257">
        <v>-9999</v>
      </c>
      <c r="AJ1359" s="257">
        <v>10</v>
      </c>
      <c r="AK1359" s="257" t="s">
        <v>671</v>
      </c>
      <c r="AL1359" s="257" t="s">
        <v>828</v>
      </c>
      <c r="AM1359" s="257" t="s">
        <v>262</v>
      </c>
      <c r="AN1359" s="257" t="s">
        <v>631</v>
      </c>
      <c r="AO1359" s="257">
        <v>-9999</v>
      </c>
      <c r="AP1359" s="257">
        <v>-9999</v>
      </c>
      <c r="AQ1359" s="257" t="s">
        <v>626</v>
      </c>
      <c r="AR1359" s="296">
        <v>52.5</v>
      </c>
      <c r="AS1359" s="257" t="s">
        <v>161</v>
      </c>
      <c r="AT1359" s="257" t="s">
        <v>160</v>
      </c>
      <c r="AU1359" s="257">
        <v>0</v>
      </c>
      <c r="AV1359" s="257">
        <v>-9999</v>
      </c>
      <c r="AW1359" s="257">
        <v>-9999</v>
      </c>
      <c r="AX1359" s="257">
        <v>0</v>
      </c>
      <c r="AY1359" s="257">
        <v>-9999</v>
      </c>
      <c r="AZ1359" s="257">
        <v>-9999</v>
      </c>
      <c r="BA1359" s="257">
        <v>-9999</v>
      </c>
      <c r="BB1359" s="257">
        <v>-9999</v>
      </c>
      <c r="BC1359" s="257">
        <v>-9999</v>
      </c>
      <c r="BD1359" s="257">
        <v>-9999</v>
      </c>
      <c r="BE1359" s="257">
        <v>-9999</v>
      </c>
      <c r="BF1359" s="257">
        <v>-9999</v>
      </c>
      <c r="BG1359" s="257">
        <v>-9999</v>
      </c>
      <c r="BH1359" s="257">
        <v>-9999</v>
      </c>
      <c r="BI1359" s="257">
        <v>-9999</v>
      </c>
      <c r="BJ1359" s="300">
        <v>-9999</v>
      </c>
      <c r="BK1359" s="300">
        <v>-9999</v>
      </c>
      <c r="BL1359" s="300">
        <v>-9999</v>
      </c>
      <c r="BM1359" s="300">
        <v>-9999</v>
      </c>
      <c r="BN1359" s="300">
        <v>-9999</v>
      </c>
      <c r="BO1359" s="300">
        <v>-9999</v>
      </c>
      <c r="BP1359" s="300">
        <v>-9999</v>
      </c>
      <c r="BQ1359" s="300">
        <v>-9999</v>
      </c>
      <c r="BR1359" s="300">
        <v>-9999</v>
      </c>
      <c r="BS1359" s="620">
        <v>-9999</v>
      </c>
      <c r="BT1359" s="300">
        <v>-9999</v>
      </c>
      <c r="BU1359" s="300">
        <v>-9999</v>
      </c>
      <c r="BV1359" s="300">
        <v>-9999</v>
      </c>
      <c r="BW1359" s="300"/>
      <c r="BX1359" s="300">
        <v>-9999</v>
      </c>
      <c r="BY1359" s="300">
        <v>-9999</v>
      </c>
      <c r="BZ1359" s="300">
        <v>-9999</v>
      </c>
      <c r="CA1359" s="300">
        <v>-9999</v>
      </c>
      <c r="CB1359" s="264"/>
      <c r="CC1359" s="257">
        <v>1</v>
      </c>
      <c r="CD1359" s="257">
        <v>3.5</v>
      </c>
      <c r="CE1359" s="292">
        <v>30.162857142857142</v>
      </c>
      <c r="CF1359" s="292">
        <v>25.160000000000011</v>
      </c>
      <c r="CG1359" s="257">
        <v>3.5</v>
      </c>
    </row>
    <row r="1360" spans="1:86" s="23" customFormat="1" x14ac:dyDescent="0.2">
      <c r="A1360" s="257"/>
      <c r="B1360" s="257"/>
      <c r="C1360" s="257"/>
      <c r="D1360" s="257"/>
      <c r="E1360" s="257"/>
      <c r="F1360" s="257"/>
      <c r="G1360" s="257"/>
      <c r="H1360" s="257"/>
      <c r="I1360" s="257"/>
      <c r="J1360" s="257"/>
      <c r="K1360" s="257"/>
      <c r="L1360" s="257"/>
      <c r="M1360" s="261"/>
      <c r="N1360" s="257"/>
      <c r="O1360" s="29"/>
      <c r="P1360" s="370"/>
      <c r="Q1360" s="257"/>
      <c r="R1360" s="261"/>
      <c r="S1360" s="257"/>
      <c r="T1360" s="370"/>
      <c r="U1360" s="257"/>
      <c r="V1360" s="257"/>
      <c r="W1360" s="370"/>
      <c r="X1360" s="257"/>
      <c r="Y1360" s="257"/>
      <c r="Z1360" s="257"/>
      <c r="AA1360" s="264"/>
      <c r="AB1360" s="286"/>
      <c r="AC1360" s="297"/>
      <c r="AD1360" s="358"/>
      <c r="AE1360" s="299"/>
      <c r="AF1360" s="257"/>
      <c r="AG1360" s="257"/>
      <c r="AH1360" s="257"/>
      <c r="AI1360" s="257"/>
      <c r="AJ1360" s="257"/>
      <c r="AK1360" s="257"/>
      <c r="AL1360" s="257"/>
      <c r="AM1360" s="257"/>
      <c r="AN1360" s="257"/>
      <c r="AO1360" s="257"/>
      <c r="AP1360" s="257"/>
      <c r="AQ1360" s="257"/>
      <c r="AR1360" s="296"/>
      <c r="AS1360" s="257"/>
      <c r="AT1360" s="257"/>
      <c r="AU1360" s="257"/>
      <c r="AV1360" s="257"/>
      <c r="AW1360" s="257"/>
      <c r="AX1360" s="257"/>
      <c r="AY1360" s="257"/>
      <c r="AZ1360" s="257"/>
      <c r="BA1360" s="257"/>
      <c r="BB1360" s="257"/>
      <c r="BC1360" s="257"/>
      <c r="BD1360" s="257"/>
      <c r="BE1360" s="257"/>
      <c r="BF1360" s="257"/>
      <c r="BG1360" s="257"/>
      <c r="BH1360" s="257"/>
      <c r="BI1360" s="257"/>
      <c r="BJ1360" s="300"/>
      <c r="BK1360" s="300"/>
      <c r="BL1360" s="300"/>
      <c r="BM1360" s="300"/>
      <c r="BN1360" s="300"/>
      <c r="BO1360" s="300"/>
      <c r="BP1360" s="300"/>
      <c r="BQ1360" s="300"/>
      <c r="BR1360" s="300"/>
      <c r="BS1360" s="620"/>
      <c r="BT1360" s="300"/>
      <c r="BU1360" s="300"/>
      <c r="BV1360" s="300"/>
      <c r="BW1360" s="300"/>
      <c r="BX1360" s="300"/>
      <c r="BY1360" s="300"/>
      <c r="BZ1360" s="300"/>
      <c r="CA1360" s="300"/>
      <c r="CB1360" s="264"/>
      <c r="CC1360" s="257"/>
      <c r="CD1360" s="327" t="s">
        <v>1632</v>
      </c>
      <c r="CE1360" s="342" t="s">
        <v>1576</v>
      </c>
      <c r="CF1360" s="342" t="s">
        <v>1575</v>
      </c>
      <c r="CG1360" s="257"/>
    </row>
    <row r="1361" spans="1:86" s="23" customFormat="1" x14ac:dyDescent="0.2">
      <c r="A1361" s="257" t="s">
        <v>1333</v>
      </c>
      <c r="B1361" s="257" t="s">
        <v>659</v>
      </c>
      <c r="C1361" s="257" t="s">
        <v>660</v>
      </c>
      <c r="D1361" s="257" t="s">
        <v>317</v>
      </c>
      <c r="E1361" s="327" t="s">
        <v>1514</v>
      </c>
      <c r="F1361" s="257">
        <v>1</v>
      </c>
      <c r="G1361" s="257">
        <v>1.1000000000000001</v>
      </c>
      <c r="H1361" s="257">
        <v>1.1000000000000001</v>
      </c>
      <c r="I1361" s="257" t="s">
        <v>468</v>
      </c>
      <c r="J1361" s="257">
        <v>2001</v>
      </c>
      <c r="K1361" s="257" t="s">
        <v>672</v>
      </c>
      <c r="L1361" s="257">
        <v>2002</v>
      </c>
      <c r="M1361" s="261">
        <v>8.6</v>
      </c>
      <c r="N1361" s="257">
        <v>-9999</v>
      </c>
      <c r="O1361" s="29">
        <v>1.7</v>
      </c>
      <c r="P1361" s="370">
        <f>+M1361*O1361</f>
        <v>14.62</v>
      </c>
      <c r="Q1361" s="257">
        <v>-9999</v>
      </c>
      <c r="R1361" s="261">
        <v>8.6</v>
      </c>
      <c r="S1361" s="257"/>
      <c r="T1361" s="370">
        <f>+P1361/G1361</f>
        <v>13.290909090909089</v>
      </c>
      <c r="U1361" s="257">
        <v>-9999</v>
      </c>
      <c r="V1361" s="257"/>
      <c r="W1361" s="287">
        <v>14.62</v>
      </c>
      <c r="X1361" s="257">
        <v>-9999</v>
      </c>
      <c r="Y1361" s="257"/>
      <c r="Z1361" s="257" t="s">
        <v>172</v>
      </c>
      <c r="AA1361" s="257">
        <v>8400</v>
      </c>
      <c r="AB1361" s="261">
        <v>1</v>
      </c>
      <c r="AC1361" s="297">
        <v>0.15</v>
      </c>
      <c r="AD1361" s="358">
        <v>225</v>
      </c>
      <c r="AE1361" s="299" t="s">
        <v>280</v>
      </c>
      <c r="AF1361" s="257">
        <v>-9999</v>
      </c>
      <c r="AG1361" s="257">
        <v>-9999</v>
      </c>
      <c r="AH1361" s="257" t="s">
        <v>857</v>
      </c>
      <c r="AI1361" s="257">
        <v>-9999</v>
      </c>
      <c r="AJ1361" s="257">
        <v>10</v>
      </c>
      <c r="AK1361" s="257" t="s">
        <v>671</v>
      </c>
      <c r="AL1361" s="257" t="s">
        <v>828</v>
      </c>
      <c r="AM1361" s="257" t="s">
        <v>262</v>
      </c>
      <c r="AN1361" s="257" t="s">
        <v>631</v>
      </c>
      <c r="AO1361" s="257">
        <v>-9999</v>
      </c>
      <c r="AP1361" s="257">
        <v>-9999</v>
      </c>
      <c r="AQ1361" s="257" t="s">
        <v>626</v>
      </c>
      <c r="AR1361" s="296">
        <v>52.5</v>
      </c>
      <c r="AS1361" s="257" t="s">
        <v>161</v>
      </c>
      <c r="AT1361" s="257" t="s">
        <v>160</v>
      </c>
      <c r="AU1361" s="257">
        <v>0</v>
      </c>
      <c r="AV1361" s="257">
        <v>-9999</v>
      </c>
      <c r="AW1361" s="257">
        <v>-9999</v>
      </c>
      <c r="AX1361" s="257">
        <v>0</v>
      </c>
      <c r="AY1361" s="257">
        <v>-9999</v>
      </c>
      <c r="AZ1361" s="257">
        <v>-9999</v>
      </c>
      <c r="BA1361" s="257">
        <v>-9999</v>
      </c>
      <c r="BB1361" s="257">
        <v>-9999</v>
      </c>
      <c r="BC1361" s="257">
        <v>-9999</v>
      </c>
      <c r="BD1361" s="257">
        <v>-9999</v>
      </c>
      <c r="BE1361" s="257">
        <v>-9999</v>
      </c>
      <c r="BF1361" s="257">
        <v>-9999</v>
      </c>
      <c r="BG1361" s="257">
        <v>-9999</v>
      </c>
      <c r="BH1361" s="257">
        <v>-9999</v>
      </c>
      <c r="BI1361" s="257">
        <v>-9999</v>
      </c>
      <c r="BJ1361" s="300">
        <v>-9999</v>
      </c>
      <c r="BK1361" s="300">
        <v>-9999</v>
      </c>
      <c r="BL1361" s="300">
        <v>-9999</v>
      </c>
      <c r="BM1361" s="300">
        <v>-9999</v>
      </c>
      <c r="BN1361" s="300">
        <v>-9999</v>
      </c>
      <c r="BO1361" s="300">
        <v>-9999</v>
      </c>
      <c r="BP1361" s="300">
        <v>-9999</v>
      </c>
      <c r="BQ1361" s="300">
        <v>-9999</v>
      </c>
      <c r="BR1361" s="300">
        <v>-9999</v>
      </c>
      <c r="BS1361" s="620">
        <v>-9999</v>
      </c>
      <c r="BT1361" s="300">
        <v>-9999</v>
      </c>
      <c r="BU1361" s="300">
        <v>-9999</v>
      </c>
      <c r="BV1361" s="300">
        <v>-9999</v>
      </c>
      <c r="BW1361" s="300"/>
      <c r="BX1361" s="300">
        <v>-9999</v>
      </c>
      <c r="BY1361" s="300">
        <v>-9999</v>
      </c>
      <c r="BZ1361" s="300">
        <v>-9999</v>
      </c>
      <c r="CA1361" s="300">
        <v>-9999</v>
      </c>
      <c r="CB1361" s="264"/>
      <c r="CC1361" s="257">
        <v>1</v>
      </c>
      <c r="CD1361" s="257">
        <v>1.1000000000000001</v>
      </c>
      <c r="CE1361" s="292">
        <v>13.290909090909089</v>
      </c>
      <c r="CF1361" s="292">
        <v>14.62</v>
      </c>
      <c r="CG1361" s="257">
        <v>1.1000000000000001</v>
      </c>
    </row>
    <row r="1362" spans="1:86" s="23" customFormat="1" x14ac:dyDescent="0.2">
      <c r="A1362" s="257" t="s">
        <v>1333</v>
      </c>
      <c r="B1362" s="257" t="s">
        <v>659</v>
      </c>
      <c r="C1362" s="257" t="s">
        <v>660</v>
      </c>
      <c r="D1362" s="257" t="s">
        <v>317</v>
      </c>
      <c r="E1362" s="327" t="s">
        <v>1514</v>
      </c>
      <c r="F1362" s="257">
        <v>1</v>
      </c>
      <c r="G1362" s="257">
        <v>2</v>
      </c>
      <c r="H1362" s="257">
        <v>2</v>
      </c>
      <c r="I1362" s="257" t="s">
        <v>468</v>
      </c>
      <c r="J1362" s="257">
        <v>2001</v>
      </c>
      <c r="K1362" s="257" t="s">
        <v>468</v>
      </c>
      <c r="L1362" s="257">
        <v>2003</v>
      </c>
      <c r="M1362" s="261">
        <v>31.4</v>
      </c>
      <c r="N1362" s="257">
        <v>-9999</v>
      </c>
      <c r="O1362" s="29">
        <v>1.7</v>
      </c>
      <c r="P1362" s="370">
        <f>+M1362*O1362</f>
        <v>53.379999999999995</v>
      </c>
      <c r="Q1362" s="257">
        <v>-9999</v>
      </c>
      <c r="R1362" s="261">
        <v>31.4</v>
      </c>
      <c r="S1362" s="257"/>
      <c r="T1362" s="370">
        <f>+P1362/G1362</f>
        <v>26.689999999999998</v>
      </c>
      <c r="U1362" s="257">
        <v>-9999</v>
      </c>
      <c r="V1362" s="257"/>
      <c r="W1362" s="287">
        <v>31.11</v>
      </c>
      <c r="X1362" s="257">
        <v>-9999</v>
      </c>
      <c r="Y1362" s="257"/>
      <c r="Z1362" s="257" t="s">
        <v>172</v>
      </c>
      <c r="AA1362" s="257">
        <v>8400</v>
      </c>
      <c r="AB1362" s="261">
        <v>0.56000000000000005</v>
      </c>
      <c r="AC1362" s="297">
        <v>0.15</v>
      </c>
      <c r="AD1362" s="358">
        <v>225</v>
      </c>
      <c r="AE1362" s="299" t="s">
        <v>280</v>
      </c>
      <c r="AF1362" s="257">
        <v>-9999</v>
      </c>
      <c r="AG1362" s="257">
        <v>-9999</v>
      </c>
      <c r="AH1362" s="257" t="s">
        <v>857</v>
      </c>
      <c r="AI1362" s="257">
        <v>-9999</v>
      </c>
      <c r="AJ1362" s="257">
        <v>10</v>
      </c>
      <c r="AK1362" s="257" t="s">
        <v>671</v>
      </c>
      <c r="AL1362" s="257" t="s">
        <v>828</v>
      </c>
      <c r="AM1362" s="257" t="s">
        <v>262</v>
      </c>
      <c r="AN1362" s="257" t="s">
        <v>631</v>
      </c>
      <c r="AO1362" s="257">
        <v>-9999</v>
      </c>
      <c r="AP1362" s="257">
        <v>-9999</v>
      </c>
      <c r="AQ1362" s="257" t="s">
        <v>626</v>
      </c>
      <c r="AR1362" s="296">
        <v>52.5</v>
      </c>
      <c r="AS1362" s="257" t="s">
        <v>161</v>
      </c>
      <c r="AT1362" s="257" t="s">
        <v>160</v>
      </c>
      <c r="AU1362" s="257">
        <v>0</v>
      </c>
      <c r="AV1362" s="257">
        <v>-9999</v>
      </c>
      <c r="AW1362" s="257">
        <v>-9999</v>
      </c>
      <c r="AX1362" s="257">
        <v>0</v>
      </c>
      <c r="AY1362" s="257">
        <v>-9999</v>
      </c>
      <c r="AZ1362" s="257">
        <v>-9999</v>
      </c>
      <c r="BA1362" s="257">
        <v>-9999</v>
      </c>
      <c r="BB1362" s="257">
        <v>-9999</v>
      </c>
      <c r="BC1362" s="257">
        <v>-9999</v>
      </c>
      <c r="BD1362" s="257">
        <v>-9999</v>
      </c>
      <c r="BE1362" s="257">
        <v>-9999</v>
      </c>
      <c r="BF1362" s="257">
        <v>-9999</v>
      </c>
      <c r="BG1362" s="257">
        <v>-9999</v>
      </c>
      <c r="BH1362" s="257">
        <v>-9999</v>
      </c>
      <c r="BI1362" s="257">
        <v>-9999</v>
      </c>
      <c r="BJ1362" s="300">
        <v>-9999</v>
      </c>
      <c r="BK1362" s="300">
        <v>-9999</v>
      </c>
      <c r="BL1362" s="300">
        <v>-9999</v>
      </c>
      <c r="BM1362" s="300">
        <v>-9999</v>
      </c>
      <c r="BN1362" s="300">
        <v>-9999</v>
      </c>
      <c r="BO1362" s="300">
        <v>-9999</v>
      </c>
      <c r="BP1362" s="300">
        <v>-9999</v>
      </c>
      <c r="BQ1362" s="300">
        <v>-9999</v>
      </c>
      <c r="BR1362" s="300">
        <v>-9999</v>
      </c>
      <c r="BS1362" s="620">
        <v>-9999</v>
      </c>
      <c r="BT1362" s="300">
        <v>-9999</v>
      </c>
      <c r="BU1362" s="300">
        <v>-9999</v>
      </c>
      <c r="BV1362" s="300">
        <v>-9999</v>
      </c>
      <c r="BW1362" s="300"/>
      <c r="BX1362" s="300">
        <v>-9999</v>
      </c>
      <c r="BY1362" s="300">
        <v>-9999</v>
      </c>
      <c r="BZ1362" s="300">
        <v>-9999</v>
      </c>
      <c r="CA1362" s="300">
        <v>-9999</v>
      </c>
      <c r="CB1362" s="264"/>
      <c r="CC1362" s="257">
        <v>1</v>
      </c>
      <c r="CD1362" s="257">
        <v>2</v>
      </c>
      <c r="CE1362" s="292">
        <v>26.689999999999998</v>
      </c>
      <c r="CF1362" s="292">
        <v>31.11</v>
      </c>
      <c r="CG1362" s="257">
        <v>2</v>
      </c>
    </row>
    <row r="1363" spans="1:86" s="23" customFormat="1" x14ac:dyDescent="0.2">
      <c r="A1363" s="257" t="s">
        <v>1333</v>
      </c>
      <c r="B1363" s="257" t="s">
        <v>659</v>
      </c>
      <c r="C1363" s="257" t="s">
        <v>660</v>
      </c>
      <c r="D1363" s="257" t="s">
        <v>317</v>
      </c>
      <c r="E1363" s="327" t="s">
        <v>1514</v>
      </c>
      <c r="F1363" s="257">
        <v>1</v>
      </c>
      <c r="G1363" s="257">
        <v>2.5</v>
      </c>
      <c r="H1363" s="257">
        <v>2.5</v>
      </c>
      <c r="I1363" s="257" t="s">
        <v>468</v>
      </c>
      <c r="J1363" s="257">
        <v>2001</v>
      </c>
      <c r="K1363" s="257" t="s">
        <v>1211</v>
      </c>
      <c r="L1363" s="257">
        <v>2003</v>
      </c>
      <c r="M1363" s="261">
        <v>41.6</v>
      </c>
      <c r="N1363" s="257">
        <v>-9999</v>
      </c>
      <c r="O1363" s="29">
        <v>1.7</v>
      </c>
      <c r="P1363" s="370">
        <f>+M1363*O1363</f>
        <v>70.72</v>
      </c>
      <c r="Q1363" s="257">
        <v>-9999</v>
      </c>
      <c r="R1363" s="261">
        <v>41.6</v>
      </c>
      <c r="S1363" s="257"/>
      <c r="T1363" s="370">
        <f>+P1363/G1363</f>
        <v>28.288</v>
      </c>
      <c r="U1363" s="257">
        <v>-9999</v>
      </c>
      <c r="V1363" s="257"/>
      <c r="W1363" s="287">
        <v>28.560000000000002</v>
      </c>
      <c r="X1363" s="257">
        <v>-9999</v>
      </c>
      <c r="Y1363" s="257"/>
      <c r="Z1363" s="257" t="s">
        <v>172</v>
      </c>
      <c r="AA1363" s="257">
        <v>8400</v>
      </c>
      <c r="AB1363" s="261">
        <v>0.56000000000000005</v>
      </c>
      <c r="AC1363" s="297">
        <v>0.15</v>
      </c>
      <c r="AD1363" s="358">
        <v>225</v>
      </c>
      <c r="AE1363" s="299" t="s">
        <v>280</v>
      </c>
      <c r="AF1363" s="257">
        <v>-9999</v>
      </c>
      <c r="AG1363" s="257">
        <v>-9999</v>
      </c>
      <c r="AH1363" s="257" t="s">
        <v>857</v>
      </c>
      <c r="AI1363" s="257">
        <v>-9999</v>
      </c>
      <c r="AJ1363" s="257">
        <v>10</v>
      </c>
      <c r="AK1363" s="257" t="s">
        <v>671</v>
      </c>
      <c r="AL1363" s="257" t="s">
        <v>828</v>
      </c>
      <c r="AM1363" s="257" t="s">
        <v>262</v>
      </c>
      <c r="AN1363" s="257" t="s">
        <v>631</v>
      </c>
      <c r="AO1363" s="257">
        <v>-9999</v>
      </c>
      <c r="AP1363" s="257">
        <v>-9999</v>
      </c>
      <c r="AQ1363" s="257" t="s">
        <v>626</v>
      </c>
      <c r="AR1363" s="296">
        <v>52.5</v>
      </c>
      <c r="AS1363" s="257" t="s">
        <v>161</v>
      </c>
      <c r="AT1363" s="257" t="s">
        <v>160</v>
      </c>
      <c r="AU1363" s="257">
        <v>0</v>
      </c>
      <c r="AV1363" s="257">
        <v>-9999</v>
      </c>
      <c r="AW1363" s="257">
        <v>-9999</v>
      </c>
      <c r="AX1363" s="257">
        <v>0</v>
      </c>
      <c r="AY1363" s="257">
        <v>-9999</v>
      </c>
      <c r="AZ1363" s="257">
        <v>-9999</v>
      </c>
      <c r="BA1363" s="257">
        <v>-9999</v>
      </c>
      <c r="BB1363" s="257">
        <v>-9999</v>
      </c>
      <c r="BC1363" s="257">
        <v>-9999</v>
      </c>
      <c r="BD1363" s="257">
        <v>-9999</v>
      </c>
      <c r="BE1363" s="257">
        <v>-9999</v>
      </c>
      <c r="BF1363" s="257">
        <v>-9999</v>
      </c>
      <c r="BG1363" s="257">
        <v>-9999</v>
      </c>
      <c r="BH1363" s="257">
        <v>-9999</v>
      </c>
      <c r="BI1363" s="257">
        <v>-9999</v>
      </c>
      <c r="BJ1363" s="300">
        <v>-9999</v>
      </c>
      <c r="BK1363" s="300">
        <v>-9999</v>
      </c>
      <c r="BL1363" s="300">
        <v>-9999</v>
      </c>
      <c r="BM1363" s="300">
        <v>-9999</v>
      </c>
      <c r="BN1363" s="300">
        <v>-9999</v>
      </c>
      <c r="BO1363" s="300">
        <v>-9999</v>
      </c>
      <c r="BP1363" s="300">
        <v>-9999</v>
      </c>
      <c r="BQ1363" s="300">
        <v>-9999</v>
      </c>
      <c r="BR1363" s="300">
        <v>-9999</v>
      </c>
      <c r="BS1363" s="620">
        <v>-9999</v>
      </c>
      <c r="BT1363" s="300">
        <v>-9999</v>
      </c>
      <c r="BU1363" s="300">
        <v>-9999</v>
      </c>
      <c r="BV1363" s="300">
        <v>-9999</v>
      </c>
      <c r="BW1363" s="300"/>
      <c r="BX1363" s="300">
        <v>-9999</v>
      </c>
      <c r="BY1363" s="300">
        <v>-9999</v>
      </c>
      <c r="BZ1363" s="300">
        <v>-9999</v>
      </c>
      <c r="CA1363" s="300">
        <v>-9999</v>
      </c>
      <c r="CB1363" s="264"/>
      <c r="CC1363" s="257">
        <v>1</v>
      </c>
      <c r="CD1363" s="257">
        <v>2.5</v>
      </c>
      <c r="CE1363" s="292">
        <v>28.288</v>
      </c>
      <c r="CF1363" s="292">
        <v>28.560000000000002</v>
      </c>
      <c r="CG1363" s="257">
        <v>2.5</v>
      </c>
    </row>
    <row r="1364" spans="1:86" s="13" customFormat="1" x14ac:dyDescent="0.2">
      <c r="A1364" s="259" t="s">
        <v>1333</v>
      </c>
      <c r="B1364" s="259" t="s">
        <v>659</v>
      </c>
      <c r="C1364" s="259" t="s">
        <v>660</v>
      </c>
      <c r="D1364" s="259" t="s">
        <v>317</v>
      </c>
      <c r="E1364" s="259" t="s">
        <v>1514</v>
      </c>
      <c r="F1364" s="259">
        <v>1</v>
      </c>
      <c r="G1364" s="259">
        <v>3.2</v>
      </c>
      <c r="H1364" s="259">
        <v>3.2</v>
      </c>
      <c r="I1364" s="259" t="s">
        <v>468</v>
      </c>
      <c r="J1364" s="259">
        <v>2001</v>
      </c>
      <c r="K1364" s="259" t="s">
        <v>672</v>
      </c>
      <c r="L1364" s="259">
        <v>2004</v>
      </c>
      <c r="M1364" s="288">
        <v>53.7</v>
      </c>
      <c r="N1364" s="259">
        <v>-9999</v>
      </c>
      <c r="O1364" s="18">
        <v>1.7</v>
      </c>
      <c r="P1364" s="590">
        <f>+M1364*O1364</f>
        <v>91.29</v>
      </c>
      <c r="Q1364" s="259">
        <v>-9999</v>
      </c>
      <c r="R1364" s="288">
        <v>53.7</v>
      </c>
      <c r="S1364" s="259"/>
      <c r="T1364" s="590">
        <f>+P1364/G1364</f>
        <v>28.528124999999999</v>
      </c>
      <c r="U1364" s="259">
        <v>-9999</v>
      </c>
      <c r="V1364" s="259"/>
      <c r="W1364" s="376">
        <v>64.089999999999989</v>
      </c>
      <c r="X1364" s="259">
        <v>-9999</v>
      </c>
      <c r="Y1364" s="259"/>
      <c r="Z1364" s="259" t="s">
        <v>172</v>
      </c>
      <c r="AA1364" s="259">
        <v>8400</v>
      </c>
      <c r="AB1364" s="288">
        <v>0.56000000000000005</v>
      </c>
      <c r="AC1364" s="288">
        <v>0.15</v>
      </c>
      <c r="AD1364" s="260">
        <v>225</v>
      </c>
      <c r="AE1364" s="618" t="s">
        <v>280</v>
      </c>
      <c r="AF1364" s="259">
        <v>-9999</v>
      </c>
      <c r="AG1364" s="259">
        <v>-9999</v>
      </c>
      <c r="AH1364" s="259" t="s">
        <v>857</v>
      </c>
      <c r="AI1364" s="259">
        <v>-9999</v>
      </c>
      <c r="AJ1364" s="259">
        <v>10</v>
      </c>
      <c r="AK1364" s="259" t="s">
        <v>671</v>
      </c>
      <c r="AL1364" s="259" t="s">
        <v>828</v>
      </c>
      <c r="AM1364" s="259" t="s">
        <v>262</v>
      </c>
      <c r="AN1364" s="259" t="s">
        <v>631</v>
      </c>
      <c r="AO1364" s="259">
        <v>-9999</v>
      </c>
      <c r="AP1364" s="259">
        <v>-9999</v>
      </c>
      <c r="AQ1364" s="259" t="s">
        <v>626</v>
      </c>
      <c r="AR1364" s="289">
        <v>52.5</v>
      </c>
      <c r="AS1364" s="259" t="s">
        <v>161</v>
      </c>
      <c r="AT1364" s="259" t="s">
        <v>160</v>
      </c>
      <c r="AU1364" s="259">
        <v>0</v>
      </c>
      <c r="AV1364" s="259">
        <v>-9999</v>
      </c>
      <c r="AW1364" s="259">
        <v>-9999</v>
      </c>
      <c r="AX1364" s="259">
        <v>0</v>
      </c>
      <c r="AY1364" s="259">
        <v>-9999</v>
      </c>
      <c r="AZ1364" s="259">
        <v>-9999</v>
      </c>
      <c r="BA1364" s="259">
        <v>-9999</v>
      </c>
      <c r="BB1364" s="259">
        <v>-9999</v>
      </c>
      <c r="BC1364" s="259">
        <v>-9999</v>
      </c>
      <c r="BD1364" s="259">
        <v>-9999</v>
      </c>
      <c r="BE1364" s="259">
        <v>-9999</v>
      </c>
      <c r="BF1364" s="259">
        <v>-9999</v>
      </c>
      <c r="BG1364" s="259">
        <v>-9999</v>
      </c>
      <c r="BH1364" s="259">
        <v>-9999</v>
      </c>
      <c r="BI1364" s="259">
        <v>-9999</v>
      </c>
      <c r="BJ1364" s="337">
        <v>-9999</v>
      </c>
      <c r="BK1364" s="337">
        <v>-9999</v>
      </c>
      <c r="BL1364" s="337">
        <v>-9999</v>
      </c>
      <c r="BM1364" s="337">
        <v>-9999</v>
      </c>
      <c r="BN1364" s="337">
        <v>-9999</v>
      </c>
      <c r="BO1364" s="337">
        <v>-9999</v>
      </c>
      <c r="BP1364" s="337">
        <v>-9999</v>
      </c>
      <c r="BQ1364" s="337">
        <v>-9999</v>
      </c>
      <c r="BR1364" s="337">
        <v>-9999</v>
      </c>
      <c r="BS1364" s="621">
        <v>-9999</v>
      </c>
      <c r="BT1364" s="337">
        <v>-9999</v>
      </c>
      <c r="BU1364" s="337">
        <v>-9999</v>
      </c>
      <c r="BV1364" s="337">
        <v>-9999</v>
      </c>
      <c r="BW1364" s="337"/>
      <c r="BX1364" s="337">
        <v>-9999</v>
      </c>
      <c r="BY1364" s="337">
        <v>-9999</v>
      </c>
      <c r="BZ1364" s="337">
        <v>-9999</v>
      </c>
      <c r="CA1364" s="337">
        <v>-9999</v>
      </c>
      <c r="CB1364" s="592"/>
      <c r="CC1364" s="259">
        <v>1</v>
      </c>
      <c r="CD1364" s="259">
        <v>3.2</v>
      </c>
      <c r="CE1364" s="395">
        <v>28.528124999999999</v>
      </c>
      <c r="CF1364" s="99">
        <v>64.089999999999989</v>
      </c>
      <c r="CG1364" s="211">
        <v>3.2</v>
      </c>
      <c r="CH1364" s="437" t="s">
        <v>1757</v>
      </c>
    </row>
    <row r="1365" spans="1:86" s="23" customFormat="1" x14ac:dyDescent="0.2">
      <c r="A1365" s="257" t="s">
        <v>1333</v>
      </c>
      <c r="B1365" s="257" t="s">
        <v>659</v>
      </c>
      <c r="C1365" s="257" t="s">
        <v>660</v>
      </c>
      <c r="D1365" s="257" t="s">
        <v>317</v>
      </c>
      <c r="E1365" s="327" t="s">
        <v>1514</v>
      </c>
      <c r="F1365" s="257">
        <v>1</v>
      </c>
      <c r="G1365" s="257">
        <v>3.5</v>
      </c>
      <c r="H1365" s="257">
        <v>3.5</v>
      </c>
      <c r="I1365" s="257" t="s">
        <v>468</v>
      </c>
      <c r="J1365" s="257">
        <v>2001</v>
      </c>
      <c r="K1365" s="257" t="s">
        <v>856</v>
      </c>
      <c r="L1365" s="257">
        <v>2005</v>
      </c>
      <c r="M1365" s="261">
        <v>56.1</v>
      </c>
      <c r="N1365" s="257">
        <v>-9999</v>
      </c>
      <c r="O1365" s="29">
        <v>1.7</v>
      </c>
      <c r="P1365" s="370">
        <f>+M1365*O1365</f>
        <v>95.37</v>
      </c>
      <c r="Q1365" s="257">
        <v>-9999</v>
      </c>
      <c r="R1365" s="261">
        <v>56.1</v>
      </c>
      <c r="S1365" s="257"/>
      <c r="T1365" s="370">
        <f>+P1365/G1365</f>
        <v>27.248571428571431</v>
      </c>
      <c r="U1365" s="257">
        <v>-9999</v>
      </c>
      <c r="V1365" s="257"/>
      <c r="W1365" s="287">
        <v>25.160000000000011</v>
      </c>
      <c r="X1365" s="257">
        <v>-9999</v>
      </c>
      <c r="Y1365" s="257"/>
      <c r="Z1365" s="257" t="s">
        <v>172</v>
      </c>
      <c r="AA1365" s="257">
        <v>8400</v>
      </c>
      <c r="AB1365" s="261">
        <v>0.56000000000000005</v>
      </c>
      <c r="AC1365" s="297">
        <v>0.15</v>
      </c>
      <c r="AD1365" s="358">
        <v>225</v>
      </c>
      <c r="AE1365" s="299" t="s">
        <v>280</v>
      </c>
      <c r="AF1365" s="257">
        <v>-9999</v>
      </c>
      <c r="AG1365" s="257">
        <v>-9999</v>
      </c>
      <c r="AH1365" s="257" t="s">
        <v>857</v>
      </c>
      <c r="AI1365" s="257">
        <v>-9999</v>
      </c>
      <c r="AJ1365" s="257">
        <v>10</v>
      </c>
      <c r="AK1365" s="257" t="s">
        <v>671</v>
      </c>
      <c r="AL1365" s="257" t="s">
        <v>828</v>
      </c>
      <c r="AM1365" s="257" t="s">
        <v>262</v>
      </c>
      <c r="AN1365" s="257" t="s">
        <v>631</v>
      </c>
      <c r="AO1365" s="257">
        <v>-9999</v>
      </c>
      <c r="AP1365" s="257">
        <v>-9999</v>
      </c>
      <c r="AQ1365" s="257" t="s">
        <v>626</v>
      </c>
      <c r="AR1365" s="296">
        <v>52.5</v>
      </c>
      <c r="AS1365" s="257" t="s">
        <v>161</v>
      </c>
      <c r="AT1365" s="257" t="s">
        <v>160</v>
      </c>
      <c r="AU1365" s="257">
        <v>0</v>
      </c>
      <c r="AV1365" s="257">
        <v>-9999</v>
      </c>
      <c r="AW1365" s="257">
        <v>-9999</v>
      </c>
      <c r="AX1365" s="257">
        <v>0</v>
      </c>
      <c r="AY1365" s="257">
        <v>-9999</v>
      </c>
      <c r="AZ1365" s="257">
        <v>-9999</v>
      </c>
      <c r="BA1365" s="257">
        <v>-9999</v>
      </c>
      <c r="BB1365" s="257">
        <v>-9999</v>
      </c>
      <c r="BC1365" s="257">
        <v>-9999</v>
      </c>
      <c r="BD1365" s="257">
        <v>-9999</v>
      </c>
      <c r="BE1365" s="257">
        <v>-9999</v>
      </c>
      <c r="BF1365" s="257">
        <v>-9999</v>
      </c>
      <c r="BG1365" s="257">
        <v>-9999</v>
      </c>
      <c r="BH1365" s="257">
        <v>-9999</v>
      </c>
      <c r="BI1365" s="257">
        <v>-9999</v>
      </c>
      <c r="BJ1365" s="300">
        <v>-9999</v>
      </c>
      <c r="BK1365" s="300">
        <v>-9999</v>
      </c>
      <c r="BL1365" s="300">
        <v>-9999</v>
      </c>
      <c r="BM1365" s="300">
        <v>-9999</v>
      </c>
      <c r="BN1365" s="300">
        <v>-9999</v>
      </c>
      <c r="BO1365" s="300">
        <v>-9999</v>
      </c>
      <c r="BP1365" s="300">
        <v>-9999</v>
      </c>
      <c r="BQ1365" s="300">
        <v>-9999</v>
      </c>
      <c r="BR1365" s="300">
        <v>-9999</v>
      </c>
      <c r="BS1365" s="620">
        <v>-9999</v>
      </c>
      <c r="BT1365" s="300">
        <v>-9999</v>
      </c>
      <c r="BU1365" s="300">
        <v>-9999</v>
      </c>
      <c r="BV1365" s="300">
        <v>-9999</v>
      </c>
      <c r="BW1365" s="300"/>
      <c r="BX1365" s="300">
        <v>-9999</v>
      </c>
      <c r="BY1365" s="300">
        <v>-9999</v>
      </c>
      <c r="BZ1365" s="300">
        <v>-9999</v>
      </c>
      <c r="CA1365" s="300">
        <v>-9999</v>
      </c>
      <c r="CB1365" s="264"/>
      <c r="CC1365" s="257">
        <v>1</v>
      </c>
      <c r="CD1365" s="257">
        <v>3.5</v>
      </c>
      <c r="CE1365" s="292">
        <v>27.248571428571431</v>
      </c>
      <c r="CF1365" s="292">
        <v>25.160000000000011</v>
      </c>
      <c r="CG1365" s="43">
        <v>3.5</v>
      </c>
    </row>
    <row r="1366" spans="1:86" s="23" customFormat="1" x14ac:dyDescent="0.2">
      <c r="A1366" s="257"/>
      <c r="B1366" s="257"/>
      <c r="C1366" s="257"/>
      <c r="D1366" s="257"/>
      <c r="E1366" s="257"/>
      <c r="F1366" s="257"/>
      <c r="G1366" s="257"/>
      <c r="H1366" s="257"/>
      <c r="I1366" s="257"/>
      <c r="J1366" s="257"/>
      <c r="K1366" s="257"/>
      <c r="L1366" s="257"/>
      <c r="M1366" s="261"/>
      <c r="N1366" s="257"/>
      <c r="O1366" s="29"/>
      <c r="P1366" s="370"/>
      <c r="Q1366" s="257"/>
      <c r="R1366" s="261"/>
      <c r="S1366" s="257"/>
      <c r="T1366" s="370"/>
      <c r="U1366" s="257"/>
      <c r="V1366" s="257"/>
      <c r="W1366" s="370"/>
      <c r="X1366" s="257"/>
      <c r="Y1366" s="257"/>
      <c r="Z1366" s="257"/>
      <c r="AA1366" s="264"/>
      <c r="AB1366" s="286"/>
      <c r="AC1366" s="297"/>
      <c r="AD1366" s="358"/>
      <c r="AE1366" s="299"/>
      <c r="AF1366" s="257"/>
      <c r="AG1366" s="257"/>
      <c r="AH1366" s="257"/>
      <c r="AI1366" s="257"/>
      <c r="AJ1366" s="257"/>
      <c r="AK1366" s="257"/>
      <c r="AL1366" s="257"/>
      <c r="AM1366" s="257"/>
      <c r="AN1366" s="257"/>
      <c r="AO1366" s="257"/>
      <c r="AP1366" s="257"/>
      <c r="AQ1366" s="257"/>
      <c r="AR1366" s="296"/>
      <c r="AS1366" s="257"/>
      <c r="AT1366" s="257"/>
      <c r="AU1366" s="257"/>
      <c r="AV1366" s="257"/>
      <c r="AW1366" s="257"/>
      <c r="AX1366" s="257"/>
      <c r="AY1366" s="257"/>
      <c r="AZ1366" s="257"/>
      <c r="BA1366" s="257"/>
      <c r="BB1366" s="257"/>
      <c r="BC1366" s="257"/>
      <c r="BD1366" s="257"/>
      <c r="BE1366" s="257"/>
      <c r="BF1366" s="257"/>
      <c r="BG1366" s="257"/>
      <c r="BH1366" s="257"/>
      <c r="BI1366" s="257"/>
      <c r="BJ1366" s="300"/>
      <c r="BK1366" s="300"/>
      <c r="BL1366" s="300"/>
      <c r="BM1366" s="300"/>
      <c r="BN1366" s="300"/>
      <c r="BO1366" s="300"/>
      <c r="BP1366" s="300"/>
      <c r="BQ1366" s="300"/>
      <c r="BR1366" s="300"/>
      <c r="BS1366" s="620"/>
      <c r="BT1366" s="300"/>
      <c r="BU1366" s="300"/>
      <c r="BV1366" s="300"/>
      <c r="BW1366" s="300"/>
      <c r="BX1366" s="300"/>
      <c r="BY1366" s="300"/>
      <c r="BZ1366" s="300"/>
      <c r="CA1366" s="300"/>
      <c r="CB1366" s="264"/>
      <c r="CC1366" s="257"/>
      <c r="CD1366" s="327" t="s">
        <v>1632</v>
      </c>
      <c r="CE1366" s="342" t="s">
        <v>1576</v>
      </c>
      <c r="CF1366" s="342" t="s">
        <v>1575</v>
      </c>
      <c r="CG1366" s="43"/>
    </row>
    <row r="1367" spans="1:86" s="23" customFormat="1" x14ac:dyDescent="0.2">
      <c r="A1367" s="257" t="s">
        <v>1333</v>
      </c>
      <c r="B1367" s="257" t="s">
        <v>659</v>
      </c>
      <c r="C1367" s="257" t="s">
        <v>662</v>
      </c>
      <c r="D1367" s="257" t="s">
        <v>317</v>
      </c>
      <c r="E1367" s="327" t="s">
        <v>1542</v>
      </c>
      <c r="F1367" s="257">
        <v>1</v>
      </c>
      <c r="G1367" s="257">
        <v>1.1000000000000001</v>
      </c>
      <c r="H1367" s="257">
        <v>1.1000000000000001</v>
      </c>
      <c r="I1367" s="257" t="s">
        <v>468</v>
      </c>
      <c r="J1367" s="257">
        <v>2001</v>
      </c>
      <c r="K1367" s="257" t="s">
        <v>672</v>
      </c>
      <c r="L1367" s="257">
        <v>2002</v>
      </c>
      <c r="M1367" s="261">
        <v>5.2</v>
      </c>
      <c r="N1367" s="257">
        <v>-9999</v>
      </c>
      <c r="O1367" s="29">
        <v>1.7</v>
      </c>
      <c r="P1367" s="370">
        <f>+M1367*O1367</f>
        <v>8.84</v>
      </c>
      <c r="Q1367" s="257">
        <v>-9999</v>
      </c>
      <c r="R1367" s="261">
        <v>5.2</v>
      </c>
      <c r="S1367" s="257"/>
      <c r="T1367" s="370">
        <f>+P1367/G1367</f>
        <v>8.0363636363636353</v>
      </c>
      <c r="U1367" s="257">
        <v>-9999</v>
      </c>
      <c r="V1367" s="257"/>
      <c r="W1367" s="370">
        <f>+P1367</f>
        <v>8.84</v>
      </c>
      <c r="X1367" s="257">
        <v>-9999</v>
      </c>
      <c r="Y1367" s="257"/>
      <c r="Z1367" s="257" t="s">
        <v>173</v>
      </c>
      <c r="AA1367" s="257">
        <v>4200</v>
      </c>
      <c r="AB1367" s="261">
        <v>1</v>
      </c>
      <c r="AC1367" s="297">
        <v>0.15</v>
      </c>
      <c r="AD1367" s="358">
        <v>225</v>
      </c>
      <c r="AE1367" s="299" t="s">
        <v>280</v>
      </c>
      <c r="AF1367" s="257">
        <v>-9999</v>
      </c>
      <c r="AG1367" s="257">
        <v>-9999</v>
      </c>
      <c r="AH1367" s="257" t="s">
        <v>857</v>
      </c>
      <c r="AI1367" s="257">
        <v>-9999</v>
      </c>
      <c r="AJ1367" s="257">
        <v>10</v>
      </c>
      <c r="AK1367" s="257" t="s">
        <v>671</v>
      </c>
      <c r="AL1367" s="257" t="s">
        <v>828</v>
      </c>
      <c r="AM1367" s="257" t="s">
        <v>262</v>
      </c>
      <c r="AN1367" s="257" t="s">
        <v>631</v>
      </c>
      <c r="AO1367" s="257">
        <v>-9999</v>
      </c>
      <c r="AP1367" s="257">
        <v>-9999</v>
      </c>
      <c r="AQ1367" s="257" t="s">
        <v>626</v>
      </c>
      <c r="AR1367" s="296">
        <v>52.5</v>
      </c>
      <c r="AS1367" s="257" t="s">
        <v>161</v>
      </c>
      <c r="AT1367" s="257" t="s">
        <v>160</v>
      </c>
      <c r="AU1367" s="257">
        <v>0</v>
      </c>
      <c r="AV1367" s="257">
        <v>-9999</v>
      </c>
      <c r="AW1367" s="257">
        <v>-9999</v>
      </c>
      <c r="AX1367" s="257">
        <v>0</v>
      </c>
      <c r="AY1367" s="257">
        <v>-9999</v>
      </c>
      <c r="AZ1367" s="257">
        <v>-9999</v>
      </c>
      <c r="BA1367" s="257">
        <v>-9999</v>
      </c>
      <c r="BB1367" s="257">
        <v>-9999</v>
      </c>
      <c r="BC1367" s="257">
        <v>-9999</v>
      </c>
      <c r="BD1367" s="257">
        <v>-9999</v>
      </c>
      <c r="BE1367" s="257">
        <v>-9999</v>
      </c>
      <c r="BF1367" s="257">
        <v>-9999</v>
      </c>
      <c r="BG1367" s="257">
        <v>-9999</v>
      </c>
      <c r="BH1367" s="257">
        <v>-9999</v>
      </c>
      <c r="BI1367" s="257">
        <v>-9999</v>
      </c>
      <c r="BJ1367" s="300">
        <v>-9999</v>
      </c>
      <c r="BK1367" s="300">
        <v>-9999</v>
      </c>
      <c r="BL1367" s="300">
        <v>-9999</v>
      </c>
      <c r="BM1367" s="300">
        <v>-9999</v>
      </c>
      <c r="BN1367" s="300">
        <v>-9999</v>
      </c>
      <c r="BO1367" s="300">
        <v>-9999</v>
      </c>
      <c r="BP1367" s="300">
        <v>-9999</v>
      </c>
      <c r="BQ1367" s="300">
        <v>-9999</v>
      </c>
      <c r="BR1367" s="300">
        <v>-9999</v>
      </c>
      <c r="BS1367" s="620">
        <v>-9999</v>
      </c>
      <c r="BT1367" s="300">
        <v>-9999</v>
      </c>
      <c r="BU1367" s="300">
        <v>-9999</v>
      </c>
      <c r="BV1367" s="300">
        <v>-9999</v>
      </c>
      <c r="BW1367" s="300"/>
      <c r="BX1367" s="300">
        <v>-9999</v>
      </c>
      <c r="BY1367" s="300">
        <v>-9999</v>
      </c>
      <c r="BZ1367" s="300">
        <v>-9999</v>
      </c>
      <c r="CA1367" s="300">
        <v>-9999</v>
      </c>
      <c r="CB1367" s="264"/>
      <c r="CC1367" s="257">
        <v>1</v>
      </c>
      <c r="CD1367" s="257">
        <v>1.1000000000000001</v>
      </c>
      <c r="CE1367" s="292">
        <v>8.0363636363636353</v>
      </c>
      <c r="CF1367" s="292">
        <v>8.84</v>
      </c>
      <c r="CG1367" s="43">
        <v>1.1000000000000001</v>
      </c>
    </row>
    <row r="1368" spans="1:86" s="23" customFormat="1" x14ac:dyDescent="0.2">
      <c r="A1368" s="257" t="s">
        <v>1333</v>
      </c>
      <c r="B1368" s="257" t="s">
        <v>659</v>
      </c>
      <c r="C1368" s="257" t="s">
        <v>662</v>
      </c>
      <c r="D1368" s="257" t="s">
        <v>317</v>
      </c>
      <c r="E1368" s="327" t="s">
        <v>1542</v>
      </c>
      <c r="F1368" s="257">
        <v>1</v>
      </c>
      <c r="G1368" s="257">
        <v>2</v>
      </c>
      <c r="H1368" s="257">
        <v>2</v>
      </c>
      <c r="I1368" s="257" t="s">
        <v>468</v>
      </c>
      <c r="J1368" s="257">
        <v>2001</v>
      </c>
      <c r="K1368" s="257" t="s">
        <v>468</v>
      </c>
      <c r="L1368" s="257">
        <v>2003</v>
      </c>
      <c r="M1368" s="261">
        <v>19.399999999999999</v>
      </c>
      <c r="N1368" s="257">
        <v>-9999</v>
      </c>
      <c r="O1368" s="29">
        <v>1.7</v>
      </c>
      <c r="P1368" s="370">
        <f>+M1368*O1368</f>
        <v>32.979999999999997</v>
      </c>
      <c r="Q1368" s="257">
        <v>-9999</v>
      </c>
      <c r="R1368" s="261">
        <v>19.399999999999999</v>
      </c>
      <c r="S1368" s="257"/>
      <c r="T1368" s="370">
        <f>+P1368/G1368</f>
        <v>16.489999999999998</v>
      </c>
      <c r="U1368" s="257">
        <v>-9999</v>
      </c>
      <c r="V1368" s="257"/>
      <c r="W1368" s="370">
        <f>+P1368-W1367</f>
        <v>24.139999999999997</v>
      </c>
      <c r="X1368" s="257">
        <v>-9999</v>
      </c>
      <c r="Y1368" s="257"/>
      <c r="Z1368" s="257" t="s">
        <v>173</v>
      </c>
      <c r="AA1368" s="257">
        <v>4200</v>
      </c>
      <c r="AB1368" s="261">
        <v>0.95</v>
      </c>
      <c r="AC1368" s="297">
        <v>0.15</v>
      </c>
      <c r="AD1368" s="358">
        <v>225</v>
      </c>
      <c r="AE1368" s="299" t="s">
        <v>280</v>
      </c>
      <c r="AF1368" s="257">
        <v>-9999</v>
      </c>
      <c r="AG1368" s="257">
        <v>-9999</v>
      </c>
      <c r="AH1368" s="257" t="s">
        <v>857</v>
      </c>
      <c r="AI1368" s="257">
        <v>-9999</v>
      </c>
      <c r="AJ1368" s="257">
        <v>10</v>
      </c>
      <c r="AK1368" s="257" t="s">
        <v>671</v>
      </c>
      <c r="AL1368" s="257" t="s">
        <v>828</v>
      </c>
      <c r="AM1368" s="257" t="s">
        <v>262</v>
      </c>
      <c r="AN1368" s="257" t="s">
        <v>631</v>
      </c>
      <c r="AO1368" s="257">
        <v>-9999</v>
      </c>
      <c r="AP1368" s="257">
        <v>-9999</v>
      </c>
      <c r="AQ1368" s="257" t="s">
        <v>626</v>
      </c>
      <c r="AR1368" s="296">
        <v>52.5</v>
      </c>
      <c r="AS1368" s="257" t="s">
        <v>161</v>
      </c>
      <c r="AT1368" s="257" t="s">
        <v>160</v>
      </c>
      <c r="AU1368" s="257">
        <v>0</v>
      </c>
      <c r="AV1368" s="257">
        <v>-9999</v>
      </c>
      <c r="AW1368" s="257">
        <v>-9999</v>
      </c>
      <c r="AX1368" s="257">
        <v>0</v>
      </c>
      <c r="AY1368" s="257">
        <v>-9999</v>
      </c>
      <c r="AZ1368" s="257">
        <v>-9999</v>
      </c>
      <c r="BA1368" s="257">
        <v>-9999</v>
      </c>
      <c r="BB1368" s="257">
        <v>-9999</v>
      </c>
      <c r="BC1368" s="257">
        <v>-9999</v>
      </c>
      <c r="BD1368" s="257">
        <v>-9999</v>
      </c>
      <c r="BE1368" s="257">
        <v>-9999</v>
      </c>
      <c r="BF1368" s="257">
        <v>-9999</v>
      </c>
      <c r="BG1368" s="257">
        <v>-9999</v>
      </c>
      <c r="BH1368" s="257">
        <v>-9999</v>
      </c>
      <c r="BI1368" s="257">
        <v>-9999</v>
      </c>
      <c r="BJ1368" s="300">
        <v>-9999</v>
      </c>
      <c r="BK1368" s="300">
        <v>-9999</v>
      </c>
      <c r="BL1368" s="300">
        <v>-9999</v>
      </c>
      <c r="BM1368" s="300">
        <v>-9999</v>
      </c>
      <c r="BN1368" s="300">
        <v>-9999</v>
      </c>
      <c r="BO1368" s="300">
        <v>-9999</v>
      </c>
      <c r="BP1368" s="300">
        <v>-9999</v>
      </c>
      <c r="BQ1368" s="300">
        <v>-9999</v>
      </c>
      <c r="BR1368" s="300">
        <v>-9999</v>
      </c>
      <c r="BS1368" s="620">
        <v>-9999</v>
      </c>
      <c r="BT1368" s="300">
        <v>-9999</v>
      </c>
      <c r="BU1368" s="300">
        <v>-9999</v>
      </c>
      <c r="BV1368" s="300">
        <v>-9999</v>
      </c>
      <c r="BW1368" s="300"/>
      <c r="BX1368" s="300">
        <v>-9999</v>
      </c>
      <c r="BY1368" s="300">
        <v>-9999</v>
      </c>
      <c r="BZ1368" s="300">
        <v>-9999</v>
      </c>
      <c r="CA1368" s="300">
        <v>-9999</v>
      </c>
      <c r="CB1368" s="264"/>
      <c r="CC1368" s="257">
        <v>1</v>
      </c>
      <c r="CD1368" s="257">
        <v>2</v>
      </c>
      <c r="CE1368" s="292">
        <v>16.489999999999998</v>
      </c>
      <c r="CF1368" s="292">
        <v>24.139999999999997</v>
      </c>
      <c r="CG1368" s="43">
        <v>2</v>
      </c>
    </row>
    <row r="1369" spans="1:86" s="23" customFormat="1" x14ac:dyDescent="0.2">
      <c r="A1369" s="257" t="s">
        <v>1333</v>
      </c>
      <c r="B1369" s="257" t="s">
        <v>659</v>
      </c>
      <c r="C1369" s="257" t="s">
        <v>662</v>
      </c>
      <c r="D1369" s="257" t="s">
        <v>317</v>
      </c>
      <c r="E1369" s="327" t="s">
        <v>1542</v>
      </c>
      <c r="F1369" s="257">
        <v>1</v>
      </c>
      <c r="G1369" s="257">
        <v>2.5</v>
      </c>
      <c r="H1369" s="257">
        <v>2.5</v>
      </c>
      <c r="I1369" s="257" t="s">
        <v>468</v>
      </c>
      <c r="J1369" s="257">
        <v>2001</v>
      </c>
      <c r="K1369" s="257" t="s">
        <v>1211</v>
      </c>
      <c r="L1369" s="257">
        <v>2003</v>
      </c>
      <c r="M1369" s="261">
        <v>24.6</v>
      </c>
      <c r="N1369" s="257">
        <v>-9999</v>
      </c>
      <c r="O1369" s="29">
        <v>1.7</v>
      </c>
      <c r="P1369" s="370">
        <f>+M1369*O1369</f>
        <v>41.82</v>
      </c>
      <c r="Q1369" s="257">
        <v>-9999</v>
      </c>
      <c r="R1369" s="261">
        <v>24.6</v>
      </c>
      <c r="S1369" s="257"/>
      <c r="T1369" s="370">
        <f>+P1369/G1369</f>
        <v>16.728000000000002</v>
      </c>
      <c r="U1369" s="257">
        <v>-9999</v>
      </c>
      <c r="V1369" s="257"/>
      <c r="W1369" s="370">
        <f>+P1369-W1368</f>
        <v>17.680000000000003</v>
      </c>
      <c r="X1369" s="257">
        <v>-9999</v>
      </c>
      <c r="Y1369" s="257"/>
      <c r="Z1369" s="257" t="s">
        <v>173</v>
      </c>
      <c r="AA1369" s="257">
        <v>4200</v>
      </c>
      <c r="AB1369" s="261">
        <v>0.95</v>
      </c>
      <c r="AC1369" s="297">
        <v>0.15</v>
      </c>
      <c r="AD1369" s="358">
        <v>225</v>
      </c>
      <c r="AE1369" s="299" t="s">
        <v>280</v>
      </c>
      <c r="AF1369" s="257">
        <v>-9999</v>
      </c>
      <c r="AG1369" s="257">
        <v>-9999</v>
      </c>
      <c r="AH1369" s="257" t="s">
        <v>857</v>
      </c>
      <c r="AI1369" s="257">
        <v>-9999</v>
      </c>
      <c r="AJ1369" s="257">
        <v>10</v>
      </c>
      <c r="AK1369" s="257" t="s">
        <v>671</v>
      </c>
      <c r="AL1369" s="257" t="s">
        <v>828</v>
      </c>
      <c r="AM1369" s="257" t="s">
        <v>262</v>
      </c>
      <c r="AN1369" s="257" t="s">
        <v>631</v>
      </c>
      <c r="AO1369" s="257">
        <v>-9999</v>
      </c>
      <c r="AP1369" s="257">
        <v>-9999</v>
      </c>
      <c r="AQ1369" s="257" t="s">
        <v>626</v>
      </c>
      <c r="AR1369" s="296">
        <v>52.5</v>
      </c>
      <c r="AS1369" s="257" t="s">
        <v>161</v>
      </c>
      <c r="AT1369" s="257" t="s">
        <v>160</v>
      </c>
      <c r="AU1369" s="257">
        <v>0</v>
      </c>
      <c r="AV1369" s="257">
        <v>-9999</v>
      </c>
      <c r="AW1369" s="257">
        <v>-9999</v>
      </c>
      <c r="AX1369" s="257">
        <v>0</v>
      </c>
      <c r="AY1369" s="257">
        <v>-9999</v>
      </c>
      <c r="AZ1369" s="257">
        <v>-9999</v>
      </c>
      <c r="BA1369" s="257">
        <v>-9999</v>
      </c>
      <c r="BB1369" s="257">
        <v>-9999</v>
      </c>
      <c r="BC1369" s="257">
        <v>-9999</v>
      </c>
      <c r="BD1369" s="257">
        <v>-9999</v>
      </c>
      <c r="BE1369" s="257">
        <v>-9999</v>
      </c>
      <c r="BF1369" s="257">
        <v>-9999</v>
      </c>
      <c r="BG1369" s="257">
        <v>-9999</v>
      </c>
      <c r="BH1369" s="257">
        <v>-9999</v>
      </c>
      <c r="BI1369" s="257">
        <v>-9999</v>
      </c>
      <c r="BJ1369" s="300">
        <v>-9999</v>
      </c>
      <c r="BK1369" s="300">
        <v>-9999</v>
      </c>
      <c r="BL1369" s="300">
        <v>-9999</v>
      </c>
      <c r="BM1369" s="300">
        <v>-9999</v>
      </c>
      <c r="BN1369" s="300">
        <v>-9999</v>
      </c>
      <c r="BO1369" s="300">
        <v>-9999</v>
      </c>
      <c r="BP1369" s="300">
        <v>-9999</v>
      </c>
      <c r="BQ1369" s="300">
        <v>-9999</v>
      </c>
      <c r="BR1369" s="300">
        <v>-9999</v>
      </c>
      <c r="BS1369" s="620">
        <v>-9999</v>
      </c>
      <c r="BT1369" s="300">
        <v>-9999</v>
      </c>
      <c r="BU1369" s="300">
        <v>-9999</v>
      </c>
      <c r="BV1369" s="300">
        <v>-9999</v>
      </c>
      <c r="BW1369" s="300"/>
      <c r="BX1369" s="300">
        <v>-9999</v>
      </c>
      <c r="BY1369" s="300">
        <v>-9999</v>
      </c>
      <c r="BZ1369" s="300">
        <v>-9999</v>
      </c>
      <c r="CA1369" s="300">
        <v>-9999</v>
      </c>
      <c r="CB1369" s="264"/>
      <c r="CC1369" s="257">
        <v>1</v>
      </c>
      <c r="CD1369" s="257">
        <v>2.5</v>
      </c>
      <c r="CE1369" s="394">
        <v>16.728000000000002</v>
      </c>
      <c r="CF1369" s="292">
        <v>17.680000000000003</v>
      </c>
      <c r="CG1369" s="43">
        <v>2.5</v>
      </c>
      <c r="CH1369" s="477"/>
    </row>
    <row r="1370" spans="1:86" s="23" customFormat="1" x14ac:dyDescent="0.2">
      <c r="A1370" s="257" t="s">
        <v>1333</v>
      </c>
      <c r="B1370" s="257" t="s">
        <v>659</v>
      </c>
      <c r="C1370" s="257" t="s">
        <v>662</v>
      </c>
      <c r="D1370" s="257" t="s">
        <v>317</v>
      </c>
      <c r="E1370" s="327" t="s">
        <v>1542</v>
      </c>
      <c r="F1370" s="257">
        <v>1</v>
      </c>
      <c r="G1370" s="257">
        <v>3.2</v>
      </c>
      <c r="H1370" s="257">
        <v>3.2</v>
      </c>
      <c r="I1370" s="257" t="s">
        <v>468</v>
      </c>
      <c r="J1370" s="257">
        <v>2001</v>
      </c>
      <c r="K1370" s="257" t="s">
        <v>672</v>
      </c>
      <c r="L1370" s="257">
        <v>2004</v>
      </c>
      <c r="M1370" s="261">
        <v>28.7</v>
      </c>
      <c r="N1370" s="257">
        <v>-9999</v>
      </c>
      <c r="O1370" s="29">
        <v>1.7</v>
      </c>
      <c r="P1370" s="370">
        <f>+M1370*O1370</f>
        <v>48.79</v>
      </c>
      <c r="Q1370" s="257">
        <v>-9999</v>
      </c>
      <c r="R1370" s="261">
        <v>28.7</v>
      </c>
      <c r="S1370" s="257"/>
      <c r="T1370" s="370">
        <f>+P1370/G1370</f>
        <v>15.246874999999999</v>
      </c>
      <c r="U1370" s="257">
        <v>-9999</v>
      </c>
      <c r="V1370" s="257"/>
      <c r="W1370" s="370">
        <f>+P1370-W1369</f>
        <v>31.109999999999996</v>
      </c>
      <c r="X1370" s="257">
        <v>-9999</v>
      </c>
      <c r="Y1370" s="257"/>
      <c r="Z1370" s="257" t="s">
        <v>173</v>
      </c>
      <c r="AA1370" s="257">
        <v>4200</v>
      </c>
      <c r="AB1370" s="261">
        <v>0.95</v>
      </c>
      <c r="AC1370" s="297">
        <v>0.15</v>
      </c>
      <c r="AD1370" s="358">
        <v>225</v>
      </c>
      <c r="AE1370" s="299" t="s">
        <v>280</v>
      </c>
      <c r="AF1370" s="257">
        <v>-9999</v>
      </c>
      <c r="AG1370" s="257">
        <v>-9999</v>
      </c>
      <c r="AH1370" s="257" t="s">
        <v>857</v>
      </c>
      <c r="AI1370" s="257">
        <v>-9999</v>
      </c>
      <c r="AJ1370" s="257">
        <v>10</v>
      </c>
      <c r="AK1370" s="257" t="s">
        <v>671</v>
      </c>
      <c r="AL1370" s="257" t="s">
        <v>828</v>
      </c>
      <c r="AM1370" s="257" t="s">
        <v>262</v>
      </c>
      <c r="AN1370" s="257" t="s">
        <v>631</v>
      </c>
      <c r="AO1370" s="257">
        <v>-9999</v>
      </c>
      <c r="AP1370" s="257">
        <v>-9999</v>
      </c>
      <c r="AQ1370" s="257" t="s">
        <v>626</v>
      </c>
      <c r="AR1370" s="296">
        <v>52.5</v>
      </c>
      <c r="AS1370" s="257" t="s">
        <v>161</v>
      </c>
      <c r="AT1370" s="257" t="s">
        <v>160</v>
      </c>
      <c r="AU1370" s="257">
        <v>0</v>
      </c>
      <c r="AV1370" s="257">
        <v>-9999</v>
      </c>
      <c r="AW1370" s="257">
        <v>-9999</v>
      </c>
      <c r="AX1370" s="257">
        <v>0</v>
      </c>
      <c r="AY1370" s="257">
        <v>-9999</v>
      </c>
      <c r="AZ1370" s="257">
        <v>-9999</v>
      </c>
      <c r="BA1370" s="257">
        <v>-9999</v>
      </c>
      <c r="BB1370" s="257">
        <v>-9999</v>
      </c>
      <c r="BC1370" s="257">
        <v>-9999</v>
      </c>
      <c r="BD1370" s="257">
        <v>-9999</v>
      </c>
      <c r="BE1370" s="257">
        <v>-9999</v>
      </c>
      <c r="BF1370" s="257">
        <v>-9999</v>
      </c>
      <c r="BG1370" s="257">
        <v>-9999</v>
      </c>
      <c r="BH1370" s="257">
        <v>-9999</v>
      </c>
      <c r="BI1370" s="257">
        <v>-9999</v>
      </c>
      <c r="BJ1370" s="300">
        <v>-9999</v>
      </c>
      <c r="BK1370" s="300">
        <v>-9999</v>
      </c>
      <c r="BL1370" s="300">
        <v>-9999</v>
      </c>
      <c r="BM1370" s="300">
        <v>-9999</v>
      </c>
      <c r="BN1370" s="300">
        <v>-9999</v>
      </c>
      <c r="BO1370" s="300">
        <v>-9999</v>
      </c>
      <c r="BP1370" s="300">
        <v>-9999</v>
      </c>
      <c r="BQ1370" s="300">
        <v>-9999</v>
      </c>
      <c r="BR1370" s="300">
        <v>-9999</v>
      </c>
      <c r="BS1370" s="620">
        <v>-9999</v>
      </c>
      <c r="BT1370" s="300">
        <v>-9999</v>
      </c>
      <c r="BU1370" s="300">
        <v>-9999</v>
      </c>
      <c r="BV1370" s="300">
        <v>-9999</v>
      </c>
      <c r="BW1370" s="300"/>
      <c r="BX1370" s="300">
        <v>-9999</v>
      </c>
      <c r="BY1370" s="300">
        <v>-9999</v>
      </c>
      <c r="BZ1370" s="300">
        <v>-9999</v>
      </c>
      <c r="CA1370" s="300">
        <v>-9999</v>
      </c>
      <c r="CB1370" s="264"/>
      <c r="CC1370" s="257">
        <v>1</v>
      </c>
      <c r="CD1370" s="257">
        <v>3.2</v>
      </c>
      <c r="CE1370" s="292">
        <v>15.246874999999999</v>
      </c>
      <c r="CF1370" s="292">
        <v>31.109999999999996</v>
      </c>
      <c r="CG1370" s="43">
        <v>3.2</v>
      </c>
    </row>
    <row r="1371" spans="1:86" s="23" customFormat="1" x14ac:dyDescent="0.2">
      <c r="A1371" s="257" t="s">
        <v>1333</v>
      </c>
      <c r="B1371" s="257" t="s">
        <v>659</v>
      </c>
      <c r="C1371" s="257" t="s">
        <v>662</v>
      </c>
      <c r="D1371" s="257" t="s">
        <v>317</v>
      </c>
      <c r="E1371" s="327" t="s">
        <v>1542</v>
      </c>
      <c r="F1371" s="257">
        <v>1</v>
      </c>
      <c r="G1371" s="257">
        <v>3.5</v>
      </c>
      <c r="H1371" s="257">
        <v>3.5</v>
      </c>
      <c r="I1371" s="257" t="s">
        <v>468</v>
      </c>
      <c r="J1371" s="257">
        <v>2001</v>
      </c>
      <c r="K1371" s="257" t="s">
        <v>856</v>
      </c>
      <c r="L1371" s="257">
        <v>2005</v>
      </c>
      <c r="M1371" s="261">
        <v>29.8</v>
      </c>
      <c r="N1371" s="257">
        <v>-9999</v>
      </c>
      <c r="O1371" s="29">
        <v>1.7</v>
      </c>
      <c r="P1371" s="370">
        <f>+M1371*O1371</f>
        <v>50.66</v>
      </c>
      <c r="Q1371" s="257">
        <v>-9999</v>
      </c>
      <c r="R1371" s="261">
        <v>29.8</v>
      </c>
      <c r="S1371" s="257"/>
      <c r="T1371" s="370">
        <f>+P1371/G1371</f>
        <v>14.474285714285713</v>
      </c>
      <c r="U1371" s="257">
        <v>-9999</v>
      </c>
      <c r="V1371" s="257"/>
      <c r="W1371" s="370">
        <f>+P1371-W1370</f>
        <v>19.55</v>
      </c>
      <c r="X1371" s="257">
        <v>-9999</v>
      </c>
      <c r="Y1371" s="257"/>
      <c r="Z1371" s="257" t="s">
        <v>173</v>
      </c>
      <c r="AA1371" s="257">
        <v>4200</v>
      </c>
      <c r="AB1371" s="261">
        <v>0.95</v>
      </c>
      <c r="AC1371" s="297">
        <v>0.15</v>
      </c>
      <c r="AD1371" s="358">
        <v>225</v>
      </c>
      <c r="AE1371" s="299" t="s">
        <v>280</v>
      </c>
      <c r="AF1371" s="257">
        <v>-9999</v>
      </c>
      <c r="AG1371" s="257">
        <v>-9999</v>
      </c>
      <c r="AH1371" s="257" t="s">
        <v>857</v>
      </c>
      <c r="AI1371" s="257">
        <v>-9999</v>
      </c>
      <c r="AJ1371" s="257">
        <v>10</v>
      </c>
      <c r="AK1371" s="257" t="s">
        <v>671</v>
      </c>
      <c r="AL1371" s="257" t="s">
        <v>828</v>
      </c>
      <c r="AM1371" s="257" t="s">
        <v>262</v>
      </c>
      <c r="AN1371" s="257" t="s">
        <v>631</v>
      </c>
      <c r="AO1371" s="257">
        <v>-9999</v>
      </c>
      <c r="AP1371" s="257">
        <v>-9999</v>
      </c>
      <c r="AQ1371" s="257" t="s">
        <v>626</v>
      </c>
      <c r="AR1371" s="296">
        <v>52.5</v>
      </c>
      <c r="AS1371" s="257" t="s">
        <v>161</v>
      </c>
      <c r="AT1371" s="257" t="s">
        <v>160</v>
      </c>
      <c r="AU1371" s="257">
        <v>0</v>
      </c>
      <c r="AV1371" s="257">
        <v>-9999</v>
      </c>
      <c r="AW1371" s="257">
        <v>-9999</v>
      </c>
      <c r="AX1371" s="257">
        <v>0</v>
      </c>
      <c r="AY1371" s="257">
        <v>-9999</v>
      </c>
      <c r="AZ1371" s="257">
        <v>-9999</v>
      </c>
      <c r="BA1371" s="257">
        <v>-9999</v>
      </c>
      <c r="BB1371" s="257">
        <v>-9999</v>
      </c>
      <c r="BC1371" s="257">
        <v>-9999</v>
      </c>
      <c r="BD1371" s="257">
        <v>-9999</v>
      </c>
      <c r="BE1371" s="257">
        <v>-9999</v>
      </c>
      <c r="BF1371" s="257">
        <v>-9999</v>
      </c>
      <c r="BG1371" s="257">
        <v>-9999</v>
      </c>
      <c r="BH1371" s="257">
        <v>-9999</v>
      </c>
      <c r="BI1371" s="257">
        <v>-9999</v>
      </c>
      <c r="BJ1371" s="300">
        <v>-9999</v>
      </c>
      <c r="BK1371" s="300">
        <v>-9999</v>
      </c>
      <c r="BL1371" s="300">
        <v>-9999</v>
      </c>
      <c r="BM1371" s="300">
        <v>-9999</v>
      </c>
      <c r="BN1371" s="300">
        <v>-9999</v>
      </c>
      <c r="BO1371" s="300">
        <v>-9999</v>
      </c>
      <c r="BP1371" s="300">
        <v>-9999</v>
      </c>
      <c r="BQ1371" s="300">
        <v>-9999</v>
      </c>
      <c r="BR1371" s="300">
        <v>-9999</v>
      </c>
      <c r="BS1371" s="620">
        <v>-9999</v>
      </c>
      <c r="BT1371" s="300">
        <v>-9999</v>
      </c>
      <c r="BU1371" s="300">
        <v>-9999</v>
      </c>
      <c r="BV1371" s="300">
        <v>-9999</v>
      </c>
      <c r="BW1371" s="300"/>
      <c r="BX1371" s="300">
        <v>-9999</v>
      </c>
      <c r="BY1371" s="300">
        <v>-9999</v>
      </c>
      <c r="BZ1371" s="300">
        <v>-9999</v>
      </c>
      <c r="CA1371" s="300">
        <v>-9999</v>
      </c>
      <c r="CB1371" s="264"/>
      <c r="CC1371" s="257">
        <v>1</v>
      </c>
      <c r="CD1371" s="257">
        <v>3.5</v>
      </c>
      <c r="CE1371" s="292">
        <v>14.474285714285713</v>
      </c>
      <c r="CF1371" s="292">
        <v>19.55</v>
      </c>
      <c r="CG1371" s="43">
        <v>3.5</v>
      </c>
    </row>
    <row r="1372" spans="1:86" s="23" customFormat="1" x14ac:dyDescent="0.2">
      <c r="A1372" s="257"/>
      <c r="B1372" s="257"/>
      <c r="C1372" s="257"/>
      <c r="D1372" s="257"/>
      <c r="E1372" s="257"/>
      <c r="F1372" s="257"/>
      <c r="G1372" s="257"/>
      <c r="H1372" s="257"/>
      <c r="I1372" s="257"/>
      <c r="J1372" s="257"/>
      <c r="K1372" s="257"/>
      <c r="L1372" s="257"/>
      <c r="M1372" s="261"/>
      <c r="N1372" s="257"/>
      <c r="O1372" s="29"/>
      <c r="P1372" s="370"/>
      <c r="Q1372" s="257"/>
      <c r="R1372" s="261"/>
      <c r="S1372" s="257"/>
      <c r="T1372" s="370"/>
      <c r="U1372" s="257"/>
      <c r="V1372" s="257"/>
      <c r="W1372" s="370"/>
      <c r="X1372" s="257"/>
      <c r="Y1372" s="257"/>
      <c r="Z1372" s="257"/>
      <c r="AA1372" s="264"/>
      <c r="AB1372" s="286"/>
      <c r="AC1372" s="297"/>
      <c r="AD1372" s="358"/>
      <c r="AE1372" s="299"/>
      <c r="AF1372" s="257"/>
      <c r="AG1372" s="257"/>
      <c r="AH1372" s="257"/>
      <c r="AI1372" s="257"/>
      <c r="AJ1372" s="257"/>
      <c r="AK1372" s="257"/>
      <c r="AL1372" s="257"/>
      <c r="AM1372" s="257"/>
      <c r="AN1372" s="257"/>
      <c r="AO1372" s="257"/>
      <c r="AP1372" s="257"/>
      <c r="AQ1372" s="257"/>
      <c r="AR1372" s="296"/>
      <c r="AS1372" s="257"/>
      <c r="AT1372" s="257"/>
      <c r="AU1372" s="257"/>
      <c r="AV1372" s="257"/>
      <c r="AW1372" s="257"/>
      <c r="AX1372" s="257"/>
      <c r="AY1372" s="257"/>
      <c r="AZ1372" s="257"/>
      <c r="BA1372" s="257"/>
      <c r="BB1372" s="257"/>
      <c r="BC1372" s="257"/>
      <c r="BD1372" s="257"/>
      <c r="BE1372" s="257"/>
      <c r="BF1372" s="257"/>
      <c r="BG1372" s="257"/>
      <c r="BH1372" s="257"/>
      <c r="BI1372" s="257"/>
      <c r="BJ1372" s="300"/>
      <c r="BK1372" s="300"/>
      <c r="BL1372" s="300"/>
      <c r="BM1372" s="300"/>
      <c r="BN1372" s="300"/>
      <c r="BO1372" s="300"/>
      <c r="BP1372" s="300"/>
      <c r="BQ1372" s="300"/>
      <c r="BR1372" s="300"/>
      <c r="BS1372" s="620"/>
      <c r="BT1372" s="300"/>
      <c r="BU1372" s="300"/>
      <c r="BV1372" s="300"/>
      <c r="BW1372" s="300"/>
      <c r="BX1372" s="300"/>
      <c r="BY1372" s="300"/>
      <c r="BZ1372" s="300"/>
      <c r="CA1372" s="300"/>
      <c r="CB1372" s="264"/>
      <c r="CC1372" s="257"/>
      <c r="CD1372" s="327" t="s">
        <v>1632</v>
      </c>
      <c r="CE1372" s="342" t="s">
        <v>1576</v>
      </c>
      <c r="CF1372" s="342" t="s">
        <v>1575</v>
      </c>
      <c r="CG1372" s="43"/>
    </row>
    <row r="1373" spans="1:86" s="23" customFormat="1" x14ac:dyDescent="0.2">
      <c r="A1373" s="257" t="s">
        <v>1333</v>
      </c>
      <c r="B1373" s="257" t="s">
        <v>659</v>
      </c>
      <c r="C1373" s="257" t="s">
        <v>662</v>
      </c>
      <c r="D1373" s="257" t="s">
        <v>317</v>
      </c>
      <c r="E1373" s="327" t="s">
        <v>1543</v>
      </c>
      <c r="F1373" s="257">
        <v>1</v>
      </c>
      <c r="G1373" s="257">
        <v>1.1000000000000001</v>
      </c>
      <c r="H1373" s="257">
        <v>1.1000000000000001</v>
      </c>
      <c r="I1373" s="257" t="s">
        <v>468</v>
      </c>
      <c r="J1373" s="257">
        <v>2001</v>
      </c>
      <c r="K1373" s="257" t="s">
        <v>672</v>
      </c>
      <c r="L1373" s="257">
        <v>2002</v>
      </c>
      <c r="M1373" s="261">
        <v>2.5</v>
      </c>
      <c r="N1373" s="257">
        <v>-9999</v>
      </c>
      <c r="O1373" s="29">
        <v>1.7</v>
      </c>
      <c r="P1373" s="370">
        <f>+M1373*O1373</f>
        <v>4.25</v>
      </c>
      <c r="Q1373" s="257">
        <v>-9999</v>
      </c>
      <c r="R1373" s="261">
        <v>2.5</v>
      </c>
      <c r="S1373" s="257"/>
      <c r="T1373" s="370">
        <f>+P1373/G1373</f>
        <v>3.8636363636363633</v>
      </c>
      <c r="U1373" s="257">
        <v>-9999</v>
      </c>
      <c r="V1373" s="257"/>
      <c r="W1373" s="370">
        <f>+P1373</f>
        <v>4.25</v>
      </c>
      <c r="X1373" s="257">
        <v>-9999</v>
      </c>
      <c r="Y1373" s="257"/>
      <c r="Z1373" s="257" t="s">
        <v>173</v>
      </c>
      <c r="AA1373" s="257">
        <v>4200</v>
      </c>
      <c r="AB1373" s="261">
        <v>1</v>
      </c>
      <c r="AC1373" s="297">
        <v>0.15</v>
      </c>
      <c r="AD1373" s="358">
        <v>225</v>
      </c>
      <c r="AE1373" s="299" t="s">
        <v>280</v>
      </c>
      <c r="AF1373" s="257">
        <v>-9999</v>
      </c>
      <c r="AG1373" s="257">
        <v>-9999</v>
      </c>
      <c r="AH1373" s="257" t="s">
        <v>857</v>
      </c>
      <c r="AI1373" s="257">
        <v>-9999</v>
      </c>
      <c r="AJ1373" s="257">
        <v>10</v>
      </c>
      <c r="AK1373" s="257" t="s">
        <v>671</v>
      </c>
      <c r="AL1373" s="257" t="s">
        <v>828</v>
      </c>
      <c r="AM1373" s="257" t="s">
        <v>262</v>
      </c>
      <c r="AN1373" s="257" t="s">
        <v>631</v>
      </c>
      <c r="AO1373" s="257">
        <v>-9999</v>
      </c>
      <c r="AP1373" s="257">
        <v>-9999</v>
      </c>
      <c r="AQ1373" s="257" t="s">
        <v>626</v>
      </c>
      <c r="AR1373" s="296">
        <v>52.5</v>
      </c>
      <c r="AS1373" s="257" t="s">
        <v>161</v>
      </c>
      <c r="AT1373" s="257" t="s">
        <v>160</v>
      </c>
      <c r="AU1373" s="257">
        <v>0</v>
      </c>
      <c r="AV1373" s="257">
        <v>-9999</v>
      </c>
      <c r="AW1373" s="257">
        <v>-9999</v>
      </c>
      <c r="AX1373" s="257">
        <v>0</v>
      </c>
      <c r="AY1373" s="257">
        <v>-9999</v>
      </c>
      <c r="AZ1373" s="257">
        <v>-9999</v>
      </c>
      <c r="BA1373" s="257">
        <v>-9999</v>
      </c>
      <c r="BB1373" s="257">
        <v>-9999</v>
      </c>
      <c r="BC1373" s="257">
        <v>-9999</v>
      </c>
      <c r="BD1373" s="257">
        <v>-9999</v>
      </c>
      <c r="BE1373" s="257">
        <v>-9999</v>
      </c>
      <c r="BF1373" s="257">
        <v>-9999</v>
      </c>
      <c r="BG1373" s="257">
        <v>-9999</v>
      </c>
      <c r="BH1373" s="257">
        <v>-9999</v>
      </c>
      <c r="BI1373" s="257">
        <v>-9999</v>
      </c>
      <c r="BJ1373" s="300">
        <v>-9999</v>
      </c>
      <c r="BK1373" s="300">
        <v>-9999</v>
      </c>
      <c r="BL1373" s="300">
        <v>-9999</v>
      </c>
      <c r="BM1373" s="300">
        <v>-9999</v>
      </c>
      <c r="BN1373" s="300">
        <v>-9999</v>
      </c>
      <c r="BO1373" s="300">
        <v>-9999</v>
      </c>
      <c r="BP1373" s="300">
        <v>-9999</v>
      </c>
      <c r="BQ1373" s="300">
        <v>-9999</v>
      </c>
      <c r="BR1373" s="300">
        <v>-9999</v>
      </c>
      <c r="BS1373" s="620">
        <v>-9999</v>
      </c>
      <c r="BT1373" s="300">
        <v>-9999</v>
      </c>
      <c r="BU1373" s="300">
        <v>-9999</v>
      </c>
      <c r="BV1373" s="300">
        <v>-9999</v>
      </c>
      <c r="BW1373" s="300"/>
      <c r="BX1373" s="300">
        <v>-9999</v>
      </c>
      <c r="BY1373" s="300">
        <v>-9999</v>
      </c>
      <c r="BZ1373" s="300">
        <v>-9999</v>
      </c>
      <c r="CA1373" s="300">
        <v>-9999</v>
      </c>
      <c r="CB1373" s="264"/>
      <c r="CC1373" s="257">
        <v>1</v>
      </c>
      <c r="CD1373" s="257">
        <v>1.1000000000000001</v>
      </c>
      <c r="CE1373" s="292">
        <v>3.8636363636363633</v>
      </c>
      <c r="CF1373" s="292">
        <v>4.25</v>
      </c>
      <c r="CG1373" s="43">
        <v>1.1000000000000001</v>
      </c>
    </row>
    <row r="1374" spans="1:86" s="23" customFormat="1" x14ac:dyDescent="0.2">
      <c r="A1374" s="257" t="s">
        <v>1333</v>
      </c>
      <c r="B1374" s="257" t="s">
        <v>659</v>
      </c>
      <c r="C1374" s="257" t="s">
        <v>662</v>
      </c>
      <c r="D1374" s="257" t="s">
        <v>317</v>
      </c>
      <c r="E1374" s="327" t="s">
        <v>1543</v>
      </c>
      <c r="F1374" s="257">
        <v>1</v>
      </c>
      <c r="G1374" s="257">
        <v>2</v>
      </c>
      <c r="H1374" s="257">
        <v>2</v>
      </c>
      <c r="I1374" s="257" t="s">
        <v>468</v>
      </c>
      <c r="J1374" s="257">
        <v>2001</v>
      </c>
      <c r="K1374" s="257" t="s">
        <v>468</v>
      </c>
      <c r="L1374" s="257">
        <v>2003</v>
      </c>
      <c r="M1374" s="261">
        <v>14.4</v>
      </c>
      <c r="N1374" s="257">
        <v>-9999</v>
      </c>
      <c r="O1374" s="29">
        <v>1.7</v>
      </c>
      <c r="P1374" s="370">
        <f>+M1374*O1374</f>
        <v>24.48</v>
      </c>
      <c r="Q1374" s="257">
        <v>-9999</v>
      </c>
      <c r="R1374" s="261">
        <v>14.4</v>
      </c>
      <c r="S1374" s="257"/>
      <c r="T1374" s="370">
        <f>+P1374/G1374</f>
        <v>12.24</v>
      </c>
      <c r="U1374" s="257">
        <v>-9999</v>
      </c>
      <c r="V1374" s="257"/>
      <c r="W1374" s="370">
        <f>+P1374-W1373</f>
        <v>20.23</v>
      </c>
      <c r="X1374" s="257">
        <v>-9999</v>
      </c>
      <c r="Y1374" s="257"/>
      <c r="Z1374" s="257" t="s">
        <v>173</v>
      </c>
      <c r="AA1374" s="257">
        <v>4200</v>
      </c>
      <c r="AB1374" s="261">
        <v>0.87</v>
      </c>
      <c r="AC1374" s="297">
        <v>0.15</v>
      </c>
      <c r="AD1374" s="358">
        <v>225</v>
      </c>
      <c r="AE1374" s="299" t="s">
        <v>280</v>
      </c>
      <c r="AF1374" s="257">
        <v>-9999</v>
      </c>
      <c r="AG1374" s="257">
        <v>-9999</v>
      </c>
      <c r="AH1374" s="257" t="s">
        <v>857</v>
      </c>
      <c r="AI1374" s="257">
        <v>-9999</v>
      </c>
      <c r="AJ1374" s="257">
        <v>10</v>
      </c>
      <c r="AK1374" s="257" t="s">
        <v>671</v>
      </c>
      <c r="AL1374" s="257" t="s">
        <v>828</v>
      </c>
      <c r="AM1374" s="257" t="s">
        <v>262</v>
      </c>
      <c r="AN1374" s="257" t="s">
        <v>631</v>
      </c>
      <c r="AO1374" s="257">
        <v>-9999</v>
      </c>
      <c r="AP1374" s="257">
        <v>-9999</v>
      </c>
      <c r="AQ1374" s="257" t="s">
        <v>626</v>
      </c>
      <c r="AR1374" s="296">
        <v>52.5</v>
      </c>
      <c r="AS1374" s="257" t="s">
        <v>161</v>
      </c>
      <c r="AT1374" s="257" t="s">
        <v>160</v>
      </c>
      <c r="AU1374" s="257">
        <v>0</v>
      </c>
      <c r="AV1374" s="257">
        <v>-9999</v>
      </c>
      <c r="AW1374" s="257">
        <v>-9999</v>
      </c>
      <c r="AX1374" s="257">
        <v>0</v>
      </c>
      <c r="AY1374" s="257">
        <v>-9999</v>
      </c>
      <c r="AZ1374" s="257">
        <v>-9999</v>
      </c>
      <c r="BA1374" s="257">
        <v>-9999</v>
      </c>
      <c r="BB1374" s="257">
        <v>-9999</v>
      </c>
      <c r="BC1374" s="257">
        <v>-9999</v>
      </c>
      <c r="BD1374" s="257">
        <v>-9999</v>
      </c>
      <c r="BE1374" s="257">
        <v>-9999</v>
      </c>
      <c r="BF1374" s="257">
        <v>-9999</v>
      </c>
      <c r="BG1374" s="257">
        <v>-9999</v>
      </c>
      <c r="BH1374" s="257">
        <v>-9999</v>
      </c>
      <c r="BI1374" s="257">
        <v>-9999</v>
      </c>
      <c r="BJ1374" s="300">
        <v>-9999</v>
      </c>
      <c r="BK1374" s="300">
        <v>-9999</v>
      </c>
      <c r="BL1374" s="300">
        <v>-9999</v>
      </c>
      <c r="BM1374" s="300">
        <v>-9999</v>
      </c>
      <c r="BN1374" s="300">
        <v>-9999</v>
      </c>
      <c r="BO1374" s="300">
        <v>-9999</v>
      </c>
      <c r="BP1374" s="300">
        <v>-9999</v>
      </c>
      <c r="BQ1374" s="300">
        <v>-9999</v>
      </c>
      <c r="BR1374" s="300">
        <v>-9999</v>
      </c>
      <c r="BS1374" s="620">
        <v>-9999</v>
      </c>
      <c r="BT1374" s="300">
        <v>-9999</v>
      </c>
      <c r="BU1374" s="300">
        <v>-9999</v>
      </c>
      <c r="BV1374" s="300">
        <v>-9999</v>
      </c>
      <c r="BW1374" s="300"/>
      <c r="BX1374" s="300">
        <v>-9999</v>
      </c>
      <c r="BY1374" s="300">
        <v>-9999</v>
      </c>
      <c r="BZ1374" s="300">
        <v>-9999</v>
      </c>
      <c r="CA1374" s="300">
        <v>-9999</v>
      </c>
      <c r="CB1374" s="264"/>
      <c r="CC1374" s="257">
        <v>1</v>
      </c>
      <c r="CD1374" s="257">
        <v>2</v>
      </c>
      <c r="CE1374" s="292">
        <v>12.24</v>
      </c>
      <c r="CF1374" s="292">
        <v>20.23</v>
      </c>
      <c r="CG1374" s="43">
        <v>2</v>
      </c>
    </row>
    <row r="1375" spans="1:86" s="23" customFormat="1" x14ac:dyDescent="0.2">
      <c r="A1375" s="257" t="s">
        <v>1333</v>
      </c>
      <c r="B1375" s="257" t="s">
        <v>659</v>
      </c>
      <c r="C1375" s="257" t="s">
        <v>662</v>
      </c>
      <c r="D1375" s="257" t="s">
        <v>317</v>
      </c>
      <c r="E1375" s="327" t="s">
        <v>1543</v>
      </c>
      <c r="F1375" s="257">
        <v>1</v>
      </c>
      <c r="G1375" s="257">
        <v>2.5</v>
      </c>
      <c r="H1375" s="257">
        <v>2.5</v>
      </c>
      <c r="I1375" s="257" t="s">
        <v>468</v>
      </c>
      <c r="J1375" s="257">
        <v>2001</v>
      </c>
      <c r="K1375" s="257" t="s">
        <v>1211</v>
      </c>
      <c r="L1375" s="257">
        <v>2003</v>
      </c>
      <c r="M1375" s="261">
        <v>19.7</v>
      </c>
      <c r="N1375" s="257">
        <v>-9999</v>
      </c>
      <c r="O1375" s="29">
        <v>1.7</v>
      </c>
      <c r="P1375" s="370">
        <f>+M1375*O1375</f>
        <v>33.489999999999995</v>
      </c>
      <c r="Q1375" s="257">
        <v>-9999</v>
      </c>
      <c r="R1375" s="261">
        <v>19.7</v>
      </c>
      <c r="S1375" s="257"/>
      <c r="T1375" s="370">
        <f>+P1375/G1375</f>
        <v>13.395999999999997</v>
      </c>
      <c r="U1375" s="257">
        <v>-9999</v>
      </c>
      <c r="V1375" s="257"/>
      <c r="W1375" s="370">
        <f>+P1375-W1374</f>
        <v>13.259999999999994</v>
      </c>
      <c r="X1375" s="257">
        <v>-9999</v>
      </c>
      <c r="Y1375" s="257"/>
      <c r="Z1375" s="257" t="s">
        <v>173</v>
      </c>
      <c r="AA1375" s="257">
        <v>4200</v>
      </c>
      <c r="AB1375" s="261">
        <v>0.79</v>
      </c>
      <c r="AC1375" s="297">
        <v>0.15</v>
      </c>
      <c r="AD1375" s="358">
        <v>225</v>
      </c>
      <c r="AE1375" s="299" t="s">
        <v>280</v>
      </c>
      <c r="AF1375" s="257">
        <v>-9999</v>
      </c>
      <c r="AG1375" s="257">
        <v>-9999</v>
      </c>
      <c r="AH1375" s="257" t="s">
        <v>857</v>
      </c>
      <c r="AI1375" s="257">
        <v>-9999</v>
      </c>
      <c r="AJ1375" s="257">
        <v>10</v>
      </c>
      <c r="AK1375" s="257" t="s">
        <v>671</v>
      </c>
      <c r="AL1375" s="257" t="s">
        <v>828</v>
      </c>
      <c r="AM1375" s="257" t="s">
        <v>262</v>
      </c>
      <c r="AN1375" s="257" t="s">
        <v>631</v>
      </c>
      <c r="AO1375" s="257">
        <v>-9999</v>
      </c>
      <c r="AP1375" s="257">
        <v>-9999</v>
      </c>
      <c r="AQ1375" s="257" t="s">
        <v>626</v>
      </c>
      <c r="AR1375" s="296">
        <v>52.5</v>
      </c>
      <c r="AS1375" s="257" t="s">
        <v>161</v>
      </c>
      <c r="AT1375" s="257" t="s">
        <v>160</v>
      </c>
      <c r="AU1375" s="257">
        <v>0</v>
      </c>
      <c r="AV1375" s="257">
        <v>-9999</v>
      </c>
      <c r="AW1375" s="257">
        <v>-9999</v>
      </c>
      <c r="AX1375" s="257">
        <v>0</v>
      </c>
      <c r="AY1375" s="257">
        <v>-9999</v>
      </c>
      <c r="AZ1375" s="257">
        <v>-9999</v>
      </c>
      <c r="BA1375" s="257">
        <v>-9999</v>
      </c>
      <c r="BB1375" s="257">
        <v>-9999</v>
      </c>
      <c r="BC1375" s="257">
        <v>-9999</v>
      </c>
      <c r="BD1375" s="257">
        <v>-9999</v>
      </c>
      <c r="BE1375" s="257">
        <v>-9999</v>
      </c>
      <c r="BF1375" s="257">
        <v>-9999</v>
      </c>
      <c r="BG1375" s="257">
        <v>-9999</v>
      </c>
      <c r="BH1375" s="257">
        <v>-9999</v>
      </c>
      <c r="BI1375" s="257">
        <v>-9999</v>
      </c>
      <c r="BJ1375" s="300">
        <v>-9999</v>
      </c>
      <c r="BK1375" s="300">
        <v>-9999</v>
      </c>
      <c r="BL1375" s="300">
        <v>-9999</v>
      </c>
      <c r="BM1375" s="300">
        <v>-9999</v>
      </c>
      <c r="BN1375" s="300">
        <v>-9999</v>
      </c>
      <c r="BO1375" s="300">
        <v>-9999</v>
      </c>
      <c r="BP1375" s="300">
        <v>-9999</v>
      </c>
      <c r="BQ1375" s="300">
        <v>-9999</v>
      </c>
      <c r="BR1375" s="300">
        <v>-9999</v>
      </c>
      <c r="BS1375" s="620">
        <v>-9999</v>
      </c>
      <c r="BT1375" s="300">
        <v>-9999</v>
      </c>
      <c r="BU1375" s="300">
        <v>-9999</v>
      </c>
      <c r="BV1375" s="300">
        <v>-9999</v>
      </c>
      <c r="BW1375" s="300"/>
      <c r="BX1375" s="300">
        <v>-9999</v>
      </c>
      <c r="BY1375" s="300">
        <v>-9999</v>
      </c>
      <c r="BZ1375" s="300">
        <v>-9999</v>
      </c>
      <c r="CA1375" s="300">
        <v>-9999</v>
      </c>
      <c r="CB1375" s="264"/>
      <c r="CC1375" s="257">
        <v>1</v>
      </c>
      <c r="CD1375" s="257">
        <v>2.5</v>
      </c>
      <c r="CE1375" s="394">
        <v>13.395999999999997</v>
      </c>
      <c r="CF1375" s="292">
        <v>13.259999999999994</v>
      </c>
      <c r="CG1375" s="43">
        <v>2.5</v>
      </c>
      <c r="CH1375" s="477"/>
    </row>
    <row r="1376" spans="1:86" s="23" customFormat="1" x14ac:dyDescent="0.2">
      <c r="A1376" s="257" t="s">
        <v>1333</v>
      </c>
      <c r="B1376" s="257" t="s">
        <v>659</v>
      </c>
      <c r="C1376" s="257" t="s">
        <v>662</v>
      </c>
      <c r="D1376" s="257" t="s">
        <v>317</v>
      </c>
      <c r="E1376" s="327" t="s">
        <v>1543</v>
      </c>
      <c r="F1376" s="257">
        <v>1</v>
      </c>
      <c r="G1376" s="257">
        <v>3.2</v>
      </c>
      <c r="H1376" s="257">
        <v>3.2</v>
      </c>
      <c r="I1376" s="257" t="s">
        <v>468</v>
      </c>
      <c r="J1376" s="257">
        <v>2001</v>
      </c>
      <c r="K1376" s="257" t="s">
        <v>672</v>
      </c>
      <c r="L1376" s="257">
        <v>2004</v>
      </c>
      <c r="M1376" s="261">
        <v>24.3</v>
      </c>
      <c r="N1376" s="257">
        <v>-9999</v>
      </c>
      <c r="O1376" s="29">
        <v>1.7</v>
      </c>
      <c r="P1376" s="370">
        <f>+M1376*O1376</f>
        <v>41.31</v>
      </c>
      <c r="Q1376" s="257">
        <v>-9999</v>
      </c>
      <c r="R1376" s="261">
        <v>24.3</v>
      </c>
      <c r="S1376" s="257"/>
      <c r="T1376" s="370">
        <f>+P1376/G1376</f>
        <v>12.909375000000001</v>
      </c>
      <c r="U1376" s="257">
        <v>-9999</v>
      </c>
      <c r="V1376" s="257"/>
      <c r="W1376" s="370">
        <f>+P1376-W1375</f>
        <v>28.050000000000008</v>
      </c>
      <c r="X1376" s="257">
        <v>-9999</v>
      </c>
      <c r="Y1376" s="257"/>
      <c r="Z1376" s="257" t="s">
        <v>173</v>
      </c>
      <c r="AA1376" s="257">
        <v>4200</v>
      </c>
      <c r="AB1376" s="261">
        <v>0.79</v>
      </c>
      <c r="AC1376" s="297">
        <v>0.15</v>
      </c>
      <c r="AD1376" s="358">
        <v>225</v>
      </c>
      <c r="AE1376" s="299" t="s">
        <v>280</v>
      </c>
      <c r="AF1376" s="257">
        <v>-9999</v>
      </c>
      <c r="AG1376" s="257">
        <v>-9999</v>
      </c>
      <c r="AH1376" s="257" t="s">
        <v>857</v>
      </c>
      <c r="AI1376" s="257">
        <v>-9999</v>
      </c>
      <c r="AJ1376" s="257">
        <v>10</v>
      </c>
      <c r="AK1376" s="257" t="s">
        <v>671</v>
      </c>
      <c r="AL1376" s="257" t="s">
        <v>828</v>
      </c>
      <c r="AM1376" s="257" t="s">
        <v>262</v>
      </c>
      <c r="AN1376" s="257" t="s">
        <v>631</v>
      </c>
      <c r="AO1376" s="257">
        <v>-9999</v>
      </c>
      <c r="AP1376" s="257">
        <v>-9999</v>
      </c>
      <c r="AQ1376" s="257" t="s">
        <v>626</v>
      </c>
      <c r="AR1376" s="296">
        <v>52.5</v>
      </c>
      <c r="AS1376" s="257" t="s">
        <v>161</v>
      </c>
      <c r="AT1376" s="257" t="s">
        <v>160</v>
      </c>
      <c r="AU1376" s="257">
        <v>0</v>
      </c>
      <c r="AV1376" s="257">
        <v>-9999</v>
      </c>
      <c r="AW1376" s="257">
        <v>-9999</v>
      </c>
      <c r="AX1376" s="257">
        <v>0</v>
      </c>
      <c r="AY1376" s="257">
        <v>-9999</v>
      </c>
      <c r="AZ1376" s="257">
        <v>-9999</v>
      </c>
      <c r="BA1376" s="257">
        <v>-9999</v>
      </c>
      <c r="BB1376" s="257">
        <v>-9999</v>
      </c>
      <c r="BC1376" s="257">
        <v>-9999</v>
      </c>
      <c r="BD1376" s="257">
        <v>-9999</v>
      </c>
      <c r="BE1376" s="257">
        <v>-9999</v>
      </c>
      <c r="BF1376" s="257">
        <v>-9999</v>
      </c>
      <c r="BG1376" s="257">
        <v>-9999</v>
      </c>
      <c r="BH1376" s="257">
        <v>-9999</v>
      </c>
      <c r="BI1376" s="257">
        <v>-9999</v>
      </c>
      <c r="BJ1376" s="300">
        <v>-9999</v>
      </c>
      <c r="BK1376" s="300">
        <v>-9999</v>
      </c>
      <c r="BL1376" s="300">
        <v>-9999</v>
      </c>
      <c r="BM1376" s="300">
        <v>-9999</v>
      </c>
      <c r="BN1376" s="300">
        <v>-9999</v>
      </c>
      <c r="BO1376" s="300">
        <v>-9999</v>
      </c>
      <c r="BP1376" s="300">
        <v>-9999</v>
      </c>
      <c r="BQ1376" s="300">
        <v>-9999</v>
      </c>
      <c r="BR1376" s="300">
        <v>-9999</v>
      </c>
      <c r="BS1376" s="620">
        <v>-9999</v>
      </c>
      <c r="BT1376" s="300">
        <v>-9999</v>
      </c>
      <c r="BU1376" s="300">
        <v>-9999</v>
      </c>
      <c r="BV1376" s="300">
        <v>-9999</v>
      </c>
      <c r="BW1376" s="300"/>
      <c r="BX1376" s="300">
        <v>-9999</v>
      </c>
      <c r="BY1376" s="300">
        <v>-9999</v>
      </c>
      <c r="BZ1376" s="300">
        <v>-9999</v>
      </c>
      <c r="CA1376" s="300">
        <v>-9999</v>
      </c>
      <c r="CB1376" s="264"/>
      <c r="CC1376" s="257">
        <v>1</v>
      </c>
      <c r="CD1376" s="257">
        <v>3.2</v>
      </c>
      <c r="CE1376" s="292">
        <v>12.909375000000001</v>
      </c>
      <c r="CF1376" s="292">
        <v>28.050000000000008</v>
      </c>
      <c r="CG1376" s="43">
        <v>3.2</v>
      </c>
    </row>
    <row r="1377" spans="1:86" s="23" customFormat="1" x14ac:dyDescent="0.2">
      <c r="A1377" s="257" t="s">
        <v>1333</v>
      </c>
      <c r="B1377" s="257" t="s">
        <v>659</v>
      </c>
      <c r="C1377" s="257" t="s">
        <v>662</v>
      </c>
      <c r="D1377" s="257" t="s">
        <v>317</v>
      </c>
      <c r="E1377" s="327" t="s">
        <v>1543</v>
      </c>
      <c r="F1377" s="257">
        <v>1</v>
      </c>
      <c r="G1377" s="257">
        <v>3.5</v>
      </c>
      <c r="H1377" s="257">
        <v>3.5</v>
      </c>
      <c r="I1377" s="257" t="s">
        <v>468</v>
      </c>
      <c r="J1377" s="257">
        <v>2001</v>
      </c>
      <c r="K1377" s="257" t="s">
        <v>856</v>
      </c>
      <c r="L1377" s="257">
        <v>2005</v>
      </c>
      <c r="M1377" s="261">
        <v>26</v>
      </c>
      <c r="N1377" s="257">
        <v>-9999</v>
      </c>
      <c r="O1377" s="29">
        <v>1.7</v>
      </c>
      <c r="P1377" s="370">
        <f>+M1377*O1377</f>
        <v>44.199999999999996</v>
      </c>
      <c r="Q1377" s="257">
        <v>-9999</v>
      </c>
      <c r="R1377" s="261">
        <v>26</v>
      </c>
      <c r="S1377" s="257"/>
      <c r="T1377" s="370">
        <f>+P1377/G1377</f>
        <v>12.628571428571428</v>
      </c>
      <c r="U1377" s="257">
        <v>-9999</v>
      </c>
      <c r="V1377" s="257"/>
      <c r="W1377" s="370">
        <f>+P1377-W1376</f>
        <v>16.149999999999988</v>
      </c>
      <c r="X1377" s="257">
        <v>-9999</v>
      </c>
      <c r="Y1377" s="257"/>
      <c r="Z1377" s="257" t="s">
        <v>173</v>
      </c>
      <c r="AA1377" s="257">
        <v>4200</v>
      </c>
      <c r="AB1377" s="261">
        <v>0.79</v>
      </c>
      <c r="AC1377" s="297">
        <v>0.15</v>
      </c>
      <c r="AD1377" s="358">
        <v>225</v>
      </c>
      <c r="AE1377" s="299" t="s">
        <v>280</v>
      </c>
      <c r="AF1377" s="257">
        <v>-9999</v>
      </c>
      <c r="AG1377" s="257">
        <v>-9999</v>
      </c>
      <c r="AH1377" s="257" t="s">
        <v>857</v>
      </c>
      <c r="AI1377" s="257">
        <v>-9999</v>
      </c>
      <c r="AJ1377" s="257">
        <v>10</v>
      </c>
      <c r="AK1377" s="257" t="s">
        <v>671</v>
      </c>
      <c r="AL1377" s="257" t="s">
        <v>828</v>
      </c>
      <c r="AM1377" s="257" t="s">
        <v>262</v>
      </c>
      <c r="AN1377" s="257" t="s">
        <v>631</v>
      </c>
      <c r="AO1377" s="257">
        <v>-9999</v>
      </c>
      <c r="AP1377" s="257">
        <v>-9999</v>
      </c>
      <c r="AQ1377" s="257" t="s">
        <v>626</v>
      </c>
      <c r="AR1377" s="296">
        <v>52.5</v>
      </c>
      <c r="AS1377" s="257" t="s">
        <v>161</v>
      </c>
      <c r="AT1377" s="257" t="s">
        <v>160</v>
      </c>
      <c r="AU1377" s="257">
        <v>0</v>
      </c>
      <c r="AV1377" s="257">
        <v>-9999</v>
      </c>
      <c r="AW1377" s="257">
        <v>-9999</v>
      </c>
      <c r="AX1377" s="257">
        <v>0</v>
      </c>
      <c r="AY1377" s="257">
        <v>-9999</v>
      </c>
      <c r="AZ1377" s="257">
        <v>-9999</v>
      </c>
      <c r="BA1377" s="257">
        <v>-9999</v>
      </c>
      <c r="BB1377" s="257">
        <v>-9999</v>
      </c>
      <c r="BC1377" s="257">
        <v>-9999</v>
      </c>
      <c r="BD1377" s="257">
        <v>-9999</v>
      </c>
      <c r="BE1377" s="257">
        <v>-9999</v>
      </c>
      <c r="BF1377" s="257">
        <v>-9999</v>
      </c>
      <c r="BG1377" s="257">
        <v>-9999</v>
      </c>
      <c r="BH1377" s="257">
        <v>-9999</v>
      </c>
      <c r="BI1377" s="257">
        <v>-9999</v>
      </c>
      <c r="BJ1377" s="300">
        <v>-9999</v>
      </c>
      <c r="BK1377" s="300">
        <v>-9999</v>
      </c>
      <c r="BL1377" s="300">
        <v>-9999</v>
      </c>
      <c r="BM1377" s="300">
        <v>-9999</v>
      </c>
      <c r="BN1377" s="300">
        <v>-9999</v>
      </c>
      <c r="BO1377" s="300">
        <v>-9999</v>
      </c>
      <c r="BP1377" s="300">
        <v>-9999</v>
      </c>
      <c r="BQ1377" s="300">
        <v>-9999</v>
      </c>
      <c r="BR1377" s="300">
        <v>-9999</v>
      </c>
      <c r="BS1377" s="620">
        <v>-9999</v>
      </c>
      <c r="BT1377" s="300">
        <v>-9999</v>
      </c>
      <c r="BU1377" s="300">
        <v>-9999</v>
      </c>
      <c r="BV1377" s="300">
        <v>-9999</v>
      </c>
      <c r="BW1377" s="300"/>
      <c r="BX1377" s="300">
        <v>-9999</v>
      </c>
      <c r="BY1377" s="300">
        <v>-9999</v>
      </c>
      <c r="BZ1377" s="300">
        <v>-9999</v>
      </c>
      <c r="CA1377" s="300">
        <v>-9999</v>
      </c>
      <c r="CB1377" s="264"/>
      <c r="CC1377" s="257">
        <v>1</v>
      </c>
      <c r="CD1377" s="257">
        <v>3.5</v>
      </c>
      <c r="CE1377" s="292">
        <v>12.628571428571428</v>
      </c>
      <c r="CF1377" s="292">
        <v>16.149999999999988</v>
      </c>
      <c r="CG1377" s="43">
        <v>3.5</v>
      </c>
    </row>
    <row r="1378" spans="1:86" s="23" customFormat="1" x14ac:dyDescent="0.2">
      <c r="A1378" s="257"/>
      <c r="B1378" s="257"/>
      <c r="C1378" s="257"/>
      <c r="D1378" s="257"/>
      <c r="E1378" s="257"/>
      <c r="F1378" s="257"/>
      <c r="G1378" s="257"/>
      <c r="H1378" s="257"/>
      <c r="I1378" s="257"/>
      <c r="J1378" s="257"/>
      <c r="K1378" s="257"/>
      <c r="L1378" s="257"/>
      <c r="M1378" s="261"/>
      <c r="N1378" s="257"/>
      <c r="O1378" s="29"/>
      <c r="P1378" s="370"/>
      <c r="Q1378" s="257"/>
      <c r="R1378" s="261"/>
      <c r="S1378" s="257"/>
      <c r="T1378" s="370"/>
      <c r="U1378" s="257"/>
      <c r="V1378" s="257"/>
      <c r="W1378" s="370"/>
      <c r="X1378" s="257"/>
      <c r="Y1378" s="257"/>
      <c r="Z1378" s="257"/>
      <c r="AA1378" s="264"/>
      <c r="AB1378" s="286"/>
      <c r="AC1378" s="297"/>
      <c r="AD1378" s="358"/>
      <c r="AE1378" s="299"/>
      <c r="AF1378" s="257"/>
      <c r="AG1378" s="257"/>
      <c r="AH1378" s="257"/>
      <c r="AI1378" s="257"/>
      <c r="AJ1378" s="257"/>
      <c r="AK1378" s="257"/>
      <c r="AL1378" s="257"/>
      <c r="AM1378" s="257"/>
      <c r="AN1378" s="257"/>
      <c r="AO1378" s="257"/>
      <c r="AP1378" s="257"/>
      <c r="AQ1378" s="257"/>
      <c r="AR1378" s="257"/>
      <c r="AS1378" s="257"/>
      <c r="AT1378" s="257"/>
      <c r="AU1378" s="263"/>
      <c r="AV1378" s="257"/>
      <c r="AW1378" s="257"/>
      <c r="AX1378" s="257"/>
      <c r="AY1378" s="257"/>
      <c r="AZ1378" s="257"/>
      <c r="BA1378" s="257"/>
      <c r="BB1378" s="257"/>
      <c r="BC1378" s="257"/>
      <c r="BD1378" s="257"/>
      <c r="BE1378" s="257"/>
      <c r="BF1378" s="257"/>
      <c r="BG1378" s="257"/>
      <c r="BH1378" s="257"/>
      <c r="BI1378" s="257"/>
      <c r="BJ1378" s="300"/>
      <c r="BK1378" s="300"/>
      <c r="BL1378" s="300"/>
      <c r="BM1378" s="300"/>
      <c r="BN1378" s="300"/>
      <c r="BO1378" s="300"/>
      <c r="BP1378" s="300"/>
      <c r="BQ1378" s="300"/>
      <c r="BR1378" s="300"/>
      <c r="BS1378" s="620"/>
      <c r="BT1378" s="300"/>
      <c r="BU1378" s="300"/>
      <c r="BV1378" s="300"/>
      <c r="BW1378" s="300"/>
      <c r="BX1378" s="300"/>
      <c r="BY1378" s="300"/>
      <c r="BZ1378" s="300"/>
      <c r="CA1378" s="300"/>
      <c r="CB1378" s="264"/>
      <c r="CC1378" s="257"/>
      <c r="CD1378" s="327" t="s">
        <v>1632</v>
      </c>
      <c r="CE1378" s="342" t="s">
        <v>1576</v>
      </c>
      <c r="CF1378" s="342" t="s">
        <v>1575</v>
      </c>
      <c r="CG1378" s="43"/>
    </row>
    <row r="1379" spans="1:86" s="23" customFormat="1" x14ac:dyDescent="0.2">
      <c r="A1379" s="257" t="s">
        <v>1333</v>
      </c>
      <c r="B1379" s="257" t="s">
        <v>659</v>
      </c>
      <c r="C1379" s="257" t="s">
        <v>661</v>
      </c>
      <c r="D1379" s="257" t="s">
        <v>317</v>
      </c>
      <c r="E1379" s="327" t="s">
        <v>1545</v>
      </c>
      <c r="F1379" s="257">
        <v>1</v>
      </c>
      <c r="G1379" s="257">
        <v>1.1000000000000001</v>
      </c>
      <c r="H1379" s="257">
        <v>1.1000000000000001</v>
      </c>
      <c r="I1379" s="257" t="s">
        <v>468</v>
      </c>
      <c r="J1379" s="257">
        <v>2001</v>
      </c>
      <c r="K1379" s="257" t="s">
        <v>672</v>
      </c>
      <c r="L1379" s="257">
        <v>2002</v>
      </c>
      <c r="M1379" s="261">
        <v>2.2999999999999998</v>
      </c>
      <c r="N1379" s="257">
        <v>-9999</v>
      </c>
      <c r="O1379" s="29">
        <v>1.7</v>
      </c>
      <c r="P1379" s="370">
        <f>+M1379*O1379</f>
        <v>3.9099999999999997</v>
      </c>
      <c r="Q1379" s="257">
        <v>-9999</v>
      </c>
      <c r="R1379" s="261">
        <v>2.2999999999999998</v>
      </c>
      <c r="S1379" s="257"/>
      <c r="T1379" s="370">
        <f>+P1379/G1379</f>
        <v>3.5545454545454538</v>
      </c>
      <c r="U1379" s="257">
        <v>-9999</v>
      </c>
      <c r="V1379" s="257"/>
      <c r="W1379" s="370">
        <f>+P1379</f>
        <v>3.9099999999999997</v>
      </c>
      <c r="X1379" s="257">
        <v>-9999</v>
      </c>
      <c r="Y1379" s="257"/>
      <c r="Z1379" s="257" t="s">
        <v>172</v>
      </c>
      <c r="AA1379" s="257">
        <v>8400</v>
      </c>
      <c r="AB1379" s="261">
        <v>1</v>
      </c>
      <c r="AC1379" s="297">
        <v>0.15</v>
      </c>
      <c r="AD1379" s="358">
        <v>225</v>
      </c>
      <c r="AE1379" s="299" t="s">
        <v>280</v>
      </c>
      <c r="AF1379" s="257">
        <v>-9999</v>
      </c>
      <c r="AG1379" s="257">
        <v>-9999</v>
      </c>
      <c r="AH1379" s="257" t="s">
        <v>857</v>
      </c>
      <c r="AI1379" s="257">
        <v>-9999</v>
      </c>
      <c r="AJ1379" s="257">
        <v>10</v>
      </c>
      <c r="AK1379" s="257" t="s">
        <v>671</v>
      </c>
      <c r="AL1379" s="257" t="s">
        <v>828</v>
      </c>
      <c r="AM1379" s="257" t="s">
        <v>262</v>
      </c>
      <c r="AN1379" s="257" t="s">
        <v>631</v>
      </c>
      <c r="AO1379" s="257">
        <v>-9999</v>
      </c>
      <c r="AP1379" s="257">
        <v>-9999</v>
      </c>
      <c r="AQ1379" s="257" t="s">
        <v>631</v>
      </c>
      <c r="AR1379" s="263">
        <v>0</v>
      </c>
      <c r="AS1379" s="257">
        <v>-9999</v>
      </c>
      <c r="AT1379" s="257">
        <v>-9999</v>
      </c>
      <c r="AU1379" s="263">
        <v>0</v>
      </c>
      <c r="AV1379" s="257">
        <v>-9999</v>
      </c>
      <c r="AW1379" s="257">
        <v>-9999</v>
      </c>
      <c r="AX1379" s="257">
        <v>0</v>
      </c>
      <c r="AY1379" s="257">
        <v>-9999</v>
      </c>
      <c r="AZ1379" s="257">
        <v>-9999</v>
      </c>
      <c r="BA1379" s="257">
        <v>-9999</v>
      </c>
      <c r="BB1379" s="257">
        <v>-9999</v>
      </c>
      <c r="BC1379" s="257">
        <v>-9999</v>
      </c>
      <c r="BD1379" s="257">
        <v>-9999</v>
      </c>
      <c r="BE1379" s="257">
        <v>-9999</v>
      </c>
      <c r="BF1379" s="257">
        <v>-9999</v>
      </c>
      <c r="BG1379" s="257">
        <v>-9999</v>
      </c>
      <c r="BH1379" s="257">
        <v>-9999</v>
      </c>
      <c r="BI1379" s="257">
        <v>-9999</v>
      </c>
      <c r="BJ1379" s="300">
        <v>-9999</v>
      </c>
      <c r="BK1379" s="300">
        <v>-9999</v>
      </c>
      <c r="BL1379" s="300">
        <v>-9999</v>
      </c>
      <c r="BM1379" s="300">
        <v>-9999</v>
      </c>
      <c r="BN1379" s="300">
        <v>-9999</v>
      </c>
      <c r="BO1379" s="300">
        <v>-9999</v>
      </c>
      <c r="BP1379" s="300">
        <v>-9999</v>
      </c>
      <c r="BQ1379" s="300">
        <v>-9999</v>
      </c>
      <c r="BR1379" s="300">
        <v>-9999</v>
      </c>
      <c r="BS1379" s="620">
        <v>-9999</v>
      </c>
      <c r="BT1379" s="300">
        <v>-9999</v>
      </c>
      <c r="BU1379" s="300">
        <v>-9999</v>
      </c>
      <c r="BV1379" s="300">
        <v>-9999</v>
      </c>
      <c r="BW1379" s="300"/>
      <c r="BX1379" s="300">
        <v>-9999</v>
      </c>
      <c r="BY1379" s="300">
        <v>-9999</v>
      </c>
      <c r="BZ1379" s="300">
        <v>-9999</v>
      </c>
      <c r="CA1379" s="300">
        <v>-9999</v>
      </c>
      <c r="CB1379" s="264"/>
      <c r="CC1379" s="257">
        <v>1</v>
      </c>
      <c r="CD1379" s="257">
        <v>1.1000000000000001</v>
      </c>
      <c r="CE1379" s="292">
        <v>3.5545454545454538</v>
      </c>
      <c r="CF1379" s="292">
        <v>3.9099999999999997</v>
      </c>
      <c r="CG1379" s="43">
        <v>1.1000000000000001</v>
      </c>
    </row>
    <row r="1380" spans="1:86" s="23" customFormat="1" x14ac:dyDescent="0.2">
      <c r="A1380" s="257" t="s">
        <v>1333</v>
      </c>
      <c r="B1380" s="257" t="s">
        <v>659</v>
      </c>
      <c r="C1380" s="257" t="s">
        <v>661</v>
      </c>
      <c r="D1380" s="257" t="s">
        <v>317</v>
      </c>
      <c r="E1380" s="327" t="s">
        <v>1545</v>
      </c>
      <c r="F1380" s="257">
        <v>1</v>
      </c>
      <c r="G1380" s="257">
        <v>2</v>
      </c>
      <c r="H1380" s="257">
        <v>2</v>
      </c>
      <c r="I1380" s="257" t="s">
        <v>468</v>
      </c>
      <c r="J1380" s="257">
        <v>2001</v>
      </c>
      <c r="K1380" s="257" t="s">
        <v>468</v>
      </c>
      <c r="L1380" s="257">
        <v>2003</v>
      </c>
      <c r="M1380" s="261">
        <v>5.9</v>
      </c>
      <c r="N1380" s="257">
        <v>-9999</v>
      </c>
      <c r="O1380" s="29">
        <v>1.7</v>
      </c>
      <c r="P1380" s="370">
        <f>+M1380*O1380</f>
        <v>10.030000000000001</v>
      </c>
      <c r="Q1380" s="257">
        <v>-9999</v>
      </c>
      <c r="R1380" s="261">
        <v>5.9</v>
      </c>
      <c r="S1380" s="257"/>
      <c r="T1380" s="370">
        <f>+P1380/G1380</f>
        <v>5.0150000000000006</v>
      </c>
      <c r="U1380" s="257">
        <v>-9999</v>
      </c>
      <c r="V1380" s="257"/>
      <c r="W1380" s="370">
        <f>+P1380-W1379</f>
        <v>6.120000000000001</v>
      </c>
      <c r="X1380" s="257">
        <v>-9999</v>
      </c>
      <c r="Y1380" s="257"/>
      <c r="Z1380" s="257" t="s">
        <v>172</v>
      </c>
      <c r="AA1380" s="257">
        <v>8400</v>
      </c>
      <c r="AB1380" s="261">
        <v>0.92</v>
      </c>
      <c r="AC1380" s="297">
        <v>0.15</v>
      </c>
      <c r="AD1380" s="358">
        <v>225</v>
      </c>
      <c r="AE1380" s="299" t="s">
        <v>280</v>
      </c>
      <c r="AF1380" s="257">
        <v>-9999</v>
      </c>
      <c r="AG1380" s="257">
        <v>-9999</v>
      </c>
      <c r="AH1380" s="257" t="s">
        <v>857</v>
      </c>
      <c r="AI1380" s="257">
        <v>-9999</v>
      </c>
      <c r="AJ1380" s="257">
        <v>10</v>
      </c>
      <c r="AK1380" s="257" t="s">
        <v>671</v>
      </c>
      <c r="AL1380" s="257" t="s">
        <v>828</v>
      </c>
      <c r="AM1380" s="257" t="s">
        <v>262</v>
      </c>
      <c r="AN1380" s="257" t="s">
        <v>631</v>
      </c>
      <c r="AO1380" s="257">
        <v>-9999</v>
      </c>
      <c r="AP1380" s="257">
        <v>-9999</v>
      </c>
      <c r="AQ1380" s="257" t="s">
        <v>631</v>
      </c>
      <c r="AR1380" s="263">
        <v>0</v>
      </c>
      <c r="AS1380" s="257">
        <v>-9999</v>
      </c>
      <c r="AT1380" s="257">
        <v>-9999</v>
      </c>
      <c r="AU1380" s="263">
        <v>0</v>
      </c>
      <c r="AV1380" s="257">
        <v>-9999</v>
      </c>
      <c r="AW1380" s="257">
        <v>-9999</v>
      </c>
      <c r="AX1380" s="257">
        <v>0</v>
      </c>
      <c r="AY1380" s="257">
        <v>-9999</v>
      </c>
      <c r="AZ1380" s="257">
        <v>-9999</v>
      </c>
      <c r="BA1380" s="257">
        <v>-9999</v>
      </c>
      <c r="BB1380" s="257">
        <v>-9999</v>
      </c>
      <c r="BC1380" s="257">
        <v>-9999</v>
      </c>
      <c r="BD1380" s="257">
        <v>-9999</v>
      </c>
      <c r="BE1380" s="257">
        <v>-9999</v>
      </c>
      <c r="BF1380" s="257">
        <v>-9999</v>
      </c>
      <c r="BG1380" s="257">
        <v>-9999</v>
      </c>
      <c r="BH1380" s="257">
        <v>-9999</v>
      </c>
      <c r="BI1380" s="257">
        <v>-9999</v>
      </c>
      <c r="BJ1380" s="300">
        <v>-9999</v>
      </c>
      <c r="BK1380" s="300">
        <v>-9999</v>
      </c>
      <c r="BL1380" s="300">
        <v>-9999</v>
      </c>
      <c r="BM1380" s="300">
        <v>-9999</v>
      </c>
      <c r="BN1380" s="300">
        <v>-9999</v>
      </c>
      <c r="BO1380" s="300">
        <v>-9999</v>
      </c>
      <c r="BP1380" s="300">
        <v>-9999</v>
      </c>
      <c r="BQ1380" s="300">
        <v>-9999</v>
      </c>
      <c r="BR1380" s="300">
        <v>-9999</v>
      </c>
      <c r="BS1380" s="620">
        <v>-9999</v>
      </c>
      <c r="BT1380" s="300">
        <v>-9999</v>
      </c>
      <c r="BU1380" s="300">
        <v>-9999</v>
      </c>
      <c r="BV1380" s="300">
        <v>-9999</v>
      </c>
      <c r="BW1380" s="300"/>
      <c r="BX1380" s="300">
        <v>-9999</v>
      </c>
      <c r="BY1380" s="300">
        <v>-9999</v>
      </c>
      <c r="BZ1380" s="300">
        <v>-9999</v>
      </c>
      <c r="CA1380" s="300">
        <v>-9999</v>
      </c>
      <c r="CB1380" s="264"/>
      <c r="CC1380" s="257">
        <v>1</v>
      </c>
      <c r="CD1380" s="257">
        <v>2</v>
      </c>
      <c r="CE1380" s="394">
        <v>5.0150000000000006</v>
      </c>
      <c r="CF1380" s="292">
        <v>6.120000000000001</v>
      </c>
      <c r="CG1380" s="43">
        <v>2</v>
      </c>
      <c r="CH1380" s="477"/>
    </row>
    <row r="1381" spans="1:86" s="23" customFormat="1" x14ac:dyDescent="0.2">
      <c r="A1381" s="257" t="s">
        <v>1333</v>
      </c>
      <c r="B1381" s="257" t="s">
        <v>659</v>
      </c>
      <c r="C1381" s="257" t="s">
        <v>661</v>
      </c>
      <c r="D1381" s="257" t="s">
        <v>317</v>
      </c>
      <c r="E1381" s="327" t="s">
        <v>1545</v>
      </c>
      <c r="F1381" s="257">
        <v>1</v>
      </c>
      <c r="G1381" s="257">
        <v>2.5</v>
      </c>
      <c r="H1381" s="257">
        <v>2.5</v>
      </c>
      <c r="I1381" s="257" t="s">
        <v>468</v>
      </c>
      <c r="J1381" s="257">
        <v>2001</v>
      </c>
      <c r="K1381" s="257" t="s">
        <v>1211</v>
      </c>
      <c r="L1381" s="257">
        <v>2003</v>
      </c>
      <c r="M1381" s="261">
        <v>7.2</v>
      </c>
      <c r="N1381" s="257">
        <v>-9999</v>
      </c>
      <c r="O1381" s="29">
        <v>1.7</v>
      </c>
      <c r="P1381" s="370">
        <f>+M1381*O1381</f>
        <v>12.24</v>
      </c>
      <c r="Q1381" s="257">
        <v>-9999</v>
      </c>
      <c r="R1381" s="261">
        <v>7.2</v>
      </c>
      <c r="S1381" s="257"/>
      <c r="T1381" s="370">
        <f>+P1381/G1381</f>
        <v>4.8959999999999999</v>
      </c>
      <c r="U1381" s="257">
        <v>-9999</v>
      </c>
      <c r="V1381" s="257"/>
      <c r="W1381" s="370">
        <f>+P1381-W1380</f>
        <v>6.1199999999999992</v>
      </c>
      <c r="X1381" s="257">
        <v>-9999</v>
      </c>
      <c r="Y1381" s="257"/>
      <c r="Z1381" s="257" t="s">
        <v>172</v>
      </c>
      <c r="AA1381" s="257">
        <v>8400</v>
      </c>
      <c r="AB1381" s="261">
        <v>0.92</v>
      </c>
      <c r="AC1381" s="297">
        <v>0.15</v>
      </c>
      <c r="AD1381" s="358">
        <v>225</v>
      </c>
      <c r="AE1381" s="299" t="s">
        <v>280</v>
      </c>
      <c r="AF1381" s="257">
        <v>-9999</v>
      </c>
      <c r="AG1381" s="257">
        <v>-9999</v>
      </c>
      <c r="AH1381" s="257" t="s">
        <v>857</v>
      </c>
      <c r="AI1381" s="257">
        <v>-9999</v>
      </c>
      <c r="AJ1381" s="257">
        <v>10</v>
      </c>
      <c r="AK1381" s="257" t="s">
        <v>671</v>
      </c>
      <c r="AL1381" s="257" t="s">
        <v>828</v>
      </c>
      <c r="AM1381" s="257" t="s">
        <v>262</v>
      </c>
      <c r="AN1381" s="257" t="s">
        <v>631</v>
      </c>
      <c r="AO1381" s="257">
        <v>-9999</v>
      </c>
      <c r="AP1381" s="257">
        <v>-9999</v>
      </c>
      <c r="AQ1381" s="257" t="s">
        <v>631</v>
      </c>
      <c r="AR1381" s="263">
        <v>0</v>
      </c>
      <c r="AS1381" s="257">
        <v>-9999</v>
      </c>
      <c r="AT1381" s="257">
        <v>-9999</v>
      </c>
      <c r="AU1381" s="263">
        <v>0</v>
      </c>
      <c r="AV1381" s="257">
        <v>-9999</v>
      </c>
      <c r="AW1381" s="257">
        <v>-9999</v>
      </c>
      <c r="AX1381" s="257">
        <v>0</v>
      </c>
      <c r="AY1381" s="257">
        <v>-9999</v>
      </c>
      <c r="AZ1381" s="257">
        <v>-9999</v>
      </c>
      <c r="BA1381" s="257">
        <v>-9999</v>
      </c>
      <c r="BB1381" s="257">
        <v>-9999</v>
      </c>
      <c r="BC1381" s="257">
        <v>-9999</v>
      </c>
      <c r="BD1381" s="257">
        <v>-9999</v>
      </c>
      <c r="BE1381" s="257">
        <v>-9999</v>
      </c>
      <c r="BF1381" s="257">
        <v>-9999</v>
      </c>
      <c r="BG1381" s="257">
        <v>-9999</v>
      </c>
      <c r="BH1381" s="257">
        <v>-9999</v>
      </c>
      <c r="BI1381" s="257">
        <v>-9999</v>
      </c>
      <c r="BJ1381" s="300">
        <v>-9999</v>
      </c>
      <c r="BK1381" s="300">
        <v>-9999</v>
      </c>
      <c r="BL1381" s="300">
        <v>-9999</v>
      </c>
      <c r="BM1381" s="300">
        <v>-9999</v>
      </c>
      <c r="BN1381" s="300">
        <v>-9999</v>
      </c>
      <c r="BO1381" s="300">
        <v>-9999</v>
      </c>
      <c r="BP1381" s="300">
        <v>-9999</v>
      </c>
      <c r="BQ1381" s="300">
        <v>-9999</v>
      </c>
      <c r="BR1381" s="300">
        <v>-9999</v>
      </c>
      <c r="BS1381" s="620">
        <v>-9999</v>
      </c>
      <c r="BT1381" s="300">
        <v>-9999</v>
      </c>
      <c r="BU1381" s="300">
        <v>-9999</v>
      </c>
      <c r="BV1381" s="300">
        <v>-9999</v>
      </c>
      <c r="BW1381" s="300"/>
      <c r="BX1381" s="300">
        <v>-9999</v>
      </c>
      <c r="BY1381" s="300">
        <v>-9999</v>
      </c>
      <c r="BZ1381" s="300">
        <v>-9999</v>
      </c>
      <c r="CA1381" s="300">
        <v>-9999</v>
      </c>
      <c r="CB1381" s="264"/>
      <c r="CC1381" s="257">
        <v>1</v>
      </c>
      <c r="CD1381" s="257">
        <v>2.5</v>
      </c>
      <c r="CE1381" s="292">
        <v>4.8959999999999999</v>
      </c>
      <c r="CF1381" s="292">
        <v>6.1199999999999992</v>
      </c>
      <c r="CG1381" s="43">
        <v>2.5</v>
      </c>
    </row>
    <row r="1382" spans="1:86" s="23" customFormat="1" x14ac:dyDescent="0.2">
      <c r="A1382" s="257" t="s">
        <v>1333</v>
      </c>
      <c r="B1382" s="257" t="s">
        <v>659</v>
      </c>
      <c r="C1382" s="257" t="s">
        <v>661</v>
      </c>
      <c r="D1382" s="257" t="s">
        <v>317</v>
      </c>
      <c r="E1382" s="327" t="s">
        <v>1545</v>
      </c>
      <c r="F1382" s="257">
        <v>1</v>
      </c>
      <c r="G1382" s="257">
        <v>3.2</v>
      </c>
      <c r="H1382" s="257">
        <v>3.2</v>
      </c>
      <c r="I1382" s="257" t="s">
        <v>468</v>
      </c>
      <c r="J1382" s="257">
        <v>2001</v>
      </c>
      <c r="K1382" s="257" t="s">
        <v>672</v>
      </c>
      <c r="L1382" s="257">
        <v>2004</v>
      </c>
      <c r="M1382" s="261">
        <v>8.8000000000000007</v>
      </c>
      <c r="N1382" s="257">
        <v>-9999</v>
      </c>
      <c r="O1382" s="29">
        <v>1.7</v>
      </c>
      <c r="P1382" s="370">
        <f>+M1382*O1382</f>
        <v>14.96</v>
      </c>
      <c r="Q1382" s="257">
        <v>-9999</v>
      </c>
      <c r="R1382" s="261">
        <v>8.8000000000000007</v>
      </c>
      <c r="S1382" s="257"/>
      <c r="T1382" s="370">
        <f>+P1382/G1382</f>
        <v>4.6749999999999998</v>
      </c>
      <c r="U1382" s="257">
        <v>-9999</v>
      </c>
      <c r="V1382" s="257"/>
      <c r="W1382" s="370">
        <f>+P1382-W1381</f>
        <v>8.8400000000000016</v>
      </c>
      <c r="X1382" s="257">
        <v>-9999</v>
      </c>
      <c r="Y1382" s="257"/>
      <c r="Z1382" s="257" t="s">
        <v>172</v>
      </c>
      <c r="AA1382" s="257">
        <v>8400</v>
      </c>
      <c r="AB1382" s="261">
        <v>0.92</v>
      </c>
      <c r="AC1382" s="297">
        <v>0.15</v>
      </c>
      <c r="AD1382" s="358">
        <v>225</v>
      </c>
      <c r="AE1382" s="299" t="s">
        <v>280</v>
      </c>
      <c r="AF1382" s="257">
        <v>-9999</v>
      </c>
      <c r="AG1382" s="257">
        <v>-9999</v>
      </c>
      <c r="AH1382" s="257" t="s">
        <v>857</v>
      </c>
      <c r="AI1382" s="257">
        <v>-9999</v>
      </c>
      <c r="AJ1382" s="257">
        <v>10</v>
      </c>
      <c r="AK1382" s="257" t="s">
        <v>671</v>
      </c>
      <c r="AL1382" s="257" t="s">
        <v>828</v>
      </c>
      <c r="AM1382" s="257" t="s">
        <v>262</v>
      </c>
      <c r="AN1382" s="257" t="s">
        <v>631</v>
      </c>
      <c r="AO1382" s="257">
        <v>-9999</v>
      </c>
      <c r="AP1382" s="257">
        <v>-9999</v>
      </c>
      <c r="AQ1382" s="257" t="s">
        <v>631</v>
      </c>
      <c r="AR1382" s="263">
        <v>0</v>
      </c>
      <c r="AS1382" s="257">
        <v>-9999</v>
      </c>
      <c r="AT1382" s="257">
        <v>-9999</v>
      </c>
      <c r="AU1382" s="263">
        <v>0</v>
      </c>
      <c r="AV1382" s="257">
        <v>-9999</v>
      </c>
      <c r="AW1382" s="257">
        <v>-9999</v>
      </c>
      <c r="AX1382" s="257">
        <v>0</v>
      </c>
      <c r="AY1382" s="257">
        <v>-9999</v>
      </c>
      <c r="AZ1382" s="257">
        <v>-9999</v>
      </c>
      <c r="BA1382" s="257">
        <v>-9999</v>
      </c>
      <c r="BB1382" s="257">
        <v>-9999</v>
      </c>
      <c r="BC1382" s="257">
        <v>-9999</v>
      </c>
      <c r="BD1382" s="257">
        <v>-9999</v>
      </c>
      <c r="BE1382" s="257">
        <v>-9999</v>
      </c>
      <c r="BF1382" s="257">
        <v>-9999</v>
      </c>
      <c r="BG1382" s="257">
        <v>-9999</v>
      </c>
      <c r="BH1382" s="257">
        <v>-9999</v>
      </c>
      <c r="BI1382" s="257">
        <v>-9999</v>
      </c>
      <c r="BJ1382" s="300">
        <v>-9999</v>
      </c>
      <c r="BK1382" s="300">
        <v>-9999</v>
      </c>
      <c r="BL1382" s="300">
        <v>-9999</v>
      </c>
      <c r="BM1382" s="300">
        <v>-9999</v>
      </c>
      <c r="BN1382" s="300">
        <v>-9999</v>
      </c>
      <c r="BO1382" s="300">
        <v>-9999</v>
      </c>
      <c r="BP1382" s="300">
        <v>-9999</v>
      </c>
      <c r="BQ1382" s="300">
        <v>-9999</v>
      </c>
      <c r="BR1382" s="300">
        <v>-9999</v>
      </c>
      <c r="BS1382" s="620">
        <v>-9999</v>
      </c>
      <c r="BT1382" s="300">
        <v>-9999</v>
      </c>
      <c r="BU1382" s="300">
        <v>-9999</v>
      </c>
      <c r="BV1382" s="300">
        <v>-9999</v>
      </c>
      <c r="BW1382" s="300"/>
      <c r="BX1382" s="300">
        <v>-9999</v>
      </c>
      <c r="BY1382" s="300">
        <v>-9999</v>
      </c>
      <c r="BZ1382" s="300">
        <v>-9999</v>
      </c>
      <c r="CA1382" s="300">
        <v>-9999</v>
      </c>
      <c r="CB1382" s="264"/>
      <c r="CC1382" s="257">
        <v>1</v>
      </c>
      <c r="CD1382" s="257">
        <v>3.2</v>
      </c>
      <c r="CE1382" s="292">
        <v>4.6749999999999998</v>
      </c>
      <c r="CF1382" s="292">
        <v>8.8400000000000016</v>
      </c>
      <c r="CG1382" s="43">
        <v>3.2</v>
      </c>
    </row>
    <row r="1383" spans="1:86" s="23" customFormat="1" x14ac:dyDescent="0.2">
      <c r="A1383" s="257" t="s">
        <v>1333</v>
      </c>
      <c r="B1383" s="257" t="s">
        <v>659</v>
      </c>
      <c r="C1383" s="257" t="s">
        <v>661</v>
      </c>
      <c r="D1383" s="257" t="s">
        <v>317</v>
      </c>
      <c r="E1383" s="327" t="s">
        <v>1545</v>
      </c>
      <c r="F1383" s="257">
        <v>1</v>
      </c>
      <c r="G1383" s="257">
        <v>3.5</v>
      </c>
      <c r="H1383" s="257">
        <v>3.5</v>
      </c>
      <c r="I1383" s="257" t="s">
        <v>468</v>
      </c>
      <c r="J1383" s="257">
        <v>2001</v>
      </c>
      <c r="K1383" s="257" t="s">
        <v>856</v>
      </c>
      <c r="L1383" s="257">
        <v>2005</v>
      </c>
      <c r="M1383" s="261">
        <v>9.1</v>
      </c>
      <c r="N1383" s="257">
        <v>-9999</v>
      </c>
      <c r="O1383" s="29">
        <v>1.7</v>
      </c>
      <c r="P1383" s="370">
        <f>+M1383*O1383</f>
        <v>15.469999999999999</v>
      </c>
      <c r="Q1383" s="257">
        <v>-9999</v>
      </c>
      <c r="R1383" s="261">
        <v>9.1</v>
      </c>
      <c r="S1383" s="257"/>
      <c r="T1383" s="370">
        <f>+P1383/G1383</f>
        <v>4.42</v>
      </c>
      <c r="U1383" s="257">
        <v>-9999</v>
      </c>
      <c r="V1383" s="257"/>
      <c r="W1383" s="370">
        <f>+P1383-W1382</f>
        <v>6.6299999999999972</v>
      </c>
      <c r="X1383" s="257">
        <v>-9999</v>
      </c>
      <c r="Y1383" s="257"/>
      <c r="Z1383" s="257" t="s">
        <v>172</v>
      </c>
      <c r="AA1383" s="257">
        <v>8400</v>
      </c>
      <c r="AB1383" s="261">
        <v>0.92</v>
      </c>
      <c r="AC1383" s="297">
        <v>0.15</v>
      </c>
      <c r="AD1383" s="358">
        <v>225</v>
      </c>
      <c r="AE1383" s="299" t="s">
        <v>280</v>
      </c>
      <c r="AF1383" s="257">
        <v>-9999</v>
      </c>
      <c r="AG1383" s="257">
        <v>-9999</v>
      </c>
      <c r="AH1383" s="257" t="s">
        <v>857</v>
      </c>
      <c r="AI1383" s="257">
        <v>-9999</v>
      </c>
      <c r="AJ1383" s="257">
        <v>10</v>
      </c>
      <c r="AK1383" s="257" t="s">
        <v>671</v>
      </c>
      <c r="AL1383" s="257" t="s">
        <v>828</v>
      </c>
      <c r="AM1383" s="257" t="s">
        <v>262</v>
      </c>
      <c r="AN1383" s="257" t="s">
        <v>631</v>
      </c>
      <c r="AO1383" s="257">
        <v>-9999</v>
      </c>
      <c r="AP1383" s="257">
        <v>-9999</v>
      </c>
      <c r="AQ1383" s="257" t="s">
        <v>631</v>
      </c>
      <c r="AR1383" s="263">
        <v>0</v>
      </c>
      <c r="AS1383" s="257">
        <v>-9999</v>
      </c>
      <c r="AT1383" s="257">
        <v>-9999</v>
      </c>
      <c r="AU1383" s="263">
        <v>0</v>
      </c>
      <c r="AV1383" s="257">
        <v>-9999</v>
      </c>
      <c r="AW1383" s="257">
        <v>-9999</v>
      </c>
      <c r="AX1383" s="257">
        <v>0</v>
      </c>
      <c r="AY1383" s="257">
        <v>-9999</v>
      </c>
      <c r="AZ1383" s="257">
        <v>-9999</v>
      </c>
      <c r="BA1383" s="257">
        <v>-9999</v>
      </c>
      <c r="BB1383" s="257">
        <v>-9999</v>
      </c>
      <c r="BC1383" s="257">
        <v>-9999</v>
      </c>
      <c r="BD1383" s="257">
        <v>-9999</v>
      </c>
      <c r="BE1383" s="257">
        <v>-9999</v>
      </c>
      <c r="BF1383" s="257">
        <v>-9999</v>
      </c>
      <c r="BG1383" s="257">
        <v>-9999</v>
      </c>
      <c r="BH1383" s="257">
        <v>-9999</v>
      </c>
      <c r="BI1383" s="257">
        <v>-9999</v>
      </c>
      <c r="BJ1383" s="300">
        <v>-9999</v>
      </c>
      <c r="BK1383" s="300">
        <v>-9999</v>
      </c>
      <c r="BL1383" s="300">
        <v>-9999</v>
      </c>
      <c r="BM1383" s="300">
        <v>-9999</v>
      </c>
      <c r="BN1383" s="300">
        <v>-9999</v>
      </c>
      <c r="BO1383" s="300">
        <v>-9999</v>
      </c>
      <c r="BP1383" s="300">
        <v>-9999</v>
      </c>
      <c r="BQ1383" s="300">
        <v>-9999</v>
      </c>
      <c r="BR1383" s="300">
        <v>-9999</v>
      </c>
      <c r="BS1383" s="620">
        <v>-9999</v>
      </c>
      <c r="BT1383" s="300">
        <v>-9999</v>
      </c>
      <c r="BU1383" s="300">
        <v>-9999</v>
      </c>
      <c r="BV1383" s="300">
        <v>-9999</v>
      </c>
      <c r="BW1383" s="300"/>
      <c r="BX1383" s="300">
        <v>-9999</v>
      </c>
      <c r="BY1383" s="300">
        <v>-9999</v>
      </c>
      <c r="BZ1383" s="300">
        <v>-9999</v>
      </c>
      <c r="CA1383" s="300">
        <v>-9999</v>
      </c>
      <c r="CB1383" s="264"/>
      <c r="CC1383" s="257">
        <v>1</v>
      </c>
      <c r="CD1383" s="257">
        <v>3.5</v>
      </c>
      <c r="CE1383" s="292">
        <v>4.42</v>
      </c>
      <c r="CF1383" s="292">
        <v>6.6299999999999972</v>
      </c>
      <c r="CG1383" s="43">
        <v>3.5</v>
      </c>
    </row>
    <row r="1384" spans="1:86" s="23" customFormat="1" x14ac:dyDescent="0.2">
      <c r="A1384" s="257"/>
      <c r="B1384" s="257"/>
      <c r="C1384" s="257"/>
      <c r="D1384" s="257"/>
      <c r="E1384" s="257"/>
      <c r="F1384" s="257"/>
      <c r="G1384" s="257"/>
      <c r="H1384" s="257"/>
      <c r="I1384" s="257"/>
      <c r="J1384" s="257"/>
      <c r="K1384" s="257"/>
      <c r="L1384" s="257"/>
      <c r="M1384" s="261"/>
      <c r="N1384" s="257"/>
      <c r="O1384" s="29"/>
      <c r="P1384" s="370"/>
      <c r="Q1384" s="257"/>
      <c r="R1384" s="261"/>
      <c r="S1384" s="257"/>
      <c r="T1384" s="370"/>
      <c r="U1384" s="257"/>
      <c r="V1384" s="257"/>
      <c r="W1384" s="370"/>
      <c r="X1384" s="257"/>
      <c r="Y1384" s="257"/>
      <c r="Z1384" s="257"/>
      <c r="AA1384" s="264"/>
      <c r="AB1384" s="286"/>
      <c r="AC1384" s="297"/>
      <c r="AD1384" s="358"/>
      <c r="AE1384" s="299"/>
      <c r="AF1384" s="257"/>
      <c r="AG1384" s="257"/>
      <c r="AH1384" s="257"/>
      <c r="AI1384" s="257"/>
      <c r="AJ1384" s="257"/>
      <c r="AK1384" s="257"/>
      <c r="AL1384" s="257"/>
      <c r="AM1384" s="257"/>
      <c r="AN1384" s="257"/>
      <c r="AO1384" s="257"/>
      <c r="AP1384" s="257"/>
      <c r="AQ1384" s="257"/>
      <c r="AR1384" s="263"/>
      <c r="AS1384" s="257"/>
      <c r="AT1384" s="257"/>
      <c r="AU1384" s="263"/>
      <c r="AV1384" s="257"/>
      <c r="AW1384" s="257"/>
      <c r="AX1384" s="257"/>
      <c r="AY1384" s="257"/>
      <c r="AZ1384" s="257"/>
      <c r="BA1384" s="257"/>
      <c r="BB1384" s="257"/>
      <c r="BC1384" s="257"/>
      <c r="BD1384" s="257"/>
      <c r="BE1384" s="257"/>
      <c r="BF1384" s="257"/>
      <c r="BG1384" s="257"/>
      <c r="BH1384" s="257"/>
      <c r="BI1384" s="257"/>
      <c r="BJ1384" s="300"/>
      <c r="BK1384" s="300"/>
      <c r="BL1384" s="300"/>
      <c r="BM1384" s="300"/>
      <c r="BN1384" s="300"/>
      <c r="BO1384" s="300"/>
      <c r="BP1384" s="300"/>
      <c r="BQ1384" s="300"/>
      <c r="BR1384" s="300"/>
      <c r="BS1384" s="620"/>
      <c r="BT1384" s="300"/>
      <c r="BU1384" s="300"/>
      <c r="BV1384" s="300"/>
      <c r="BW1384" s="300"/>
      <c r="BX1384" s="300"/>
      <c r="BY1384" s="300"/>
      <c r="BZ1384" s="300"/>
      <c r="CA1384" s="300"/>
      <c r="CB1384" s="264"/>
      <c r="CC1384" s="257"/>
      <c r="CD1384" s="327" t="s">
        <v>1632</v>
      </c>
      <c r="CE1384" s="342" t="s">
        <v>1576</v>
      </c>
      <c r="CF1384" s="342" t="s">
        <v>1575</v>
      </c>
      <c r="CG1384" s="43"/>
    </row>
    <row r="1385" spans="1:86" s="23" customFormat="1" x14ac:dyDescent="0.2">
      <c r="A1385" s="257" t="s">
        <v>1333</v>
      </c>
      <c r="B1385" s="257" t="s">
        <v>659</v>
      </c>
      <c r="C1385" s="257" t="s">
        <v>661</v>
      </c>
      <c r="D1385" s="257" t="s">
        <v>317</v>
      </c>
      <c r="E1385" s="327" t="s">
        <v>1544</v>
      </c>
      <c r="F1385" s="257">
        <v>1</v>
      </c>
      <c r="G1385" s="257">
        <v>1.1000000000000001</v>
      </c>
      <c r="H1385" s="257">
        <v>1.1000000000000001</v>
      </c>
      <c r="I1385" s="257" t="s">
        <v>468</v>
      </c>
      <c r="J1385" s="257">
        <v>2001</v>
      </c>
      <c r="K1385" s="257" t="s">
        <v>672</v>
      </c>
      <c r="L1385" s="257">
        <v>2002</v>
      </c>
      <c r="M1385" s="261">
        <v>2.5</v>
      </c>
      <c r="N1385" s="257">
        <v>-9999</v>
      </c>
      <c r="O1385" s="29">
        <v>1.7</v>
      </c>
      <c r="P1385" s="370">
        <f>+M1385*O1385</f>
        <v>4.25</v>
      </c>
      <c r="Q1385" s="257">
        <v>-9999</v>
      </c>
      <c r="R1385" s="261">
        <v>2.5</v>
      </c>
      <c r="S1385" s="257"/>
      <c r="T1385" s="370">
        <f>+P1385/G1385</f>
        <v>3.8636363636363633</v>
      </c>
      <c r="U1385" s="257">
        <v>-9999</v>
      </c>
      <c r="V1385" s="257"/>
      <c r="W1385" s="370">
        <f>+P1385</f>
        <v>4.25</v>
      </c>
      <c r="X1385" s="257">
        <v>-9999</v>
      </c>
      <c r="Y1385" s="257"/>
      <c r="Z1385" s="257" t="s">
        <v>172</v>
      </c>
      <c r="AA1385" s="257">
        <v>8400</v>
      </c>
      <c r="AB1385" s="261">
        <v>1</v>
      </c>
      <c r="AC1385" s="297">
        <v>0.15</v>
      </c>
      <c r="AD1385" s="358">
        <v>225</v>
      </c>
      <c r="AE1385" s="299" t="s">
        <v>280</v>
      </c>
      <c r="AF1385" s="257">
        <v>-9999</v>
      </c>
      <c r="AG1385" s="257">
        <v>-9999</v>
      </c>
      <c r="AH1385" s="257" t="s">
        <v>857</v>
      </c>
      <c r="AI1385" s="257">
        <v>-9999</v>
      </c>
      <c r="AJ1385" s="257">
        <v>10</v>
      </c>
      <c r="AK1385" s="257" t="s">
        <v>671</v>
      </c>
      <c r="AL1385" s="257" t="s">
        <v>828</v>
      </c>
      <c r="AM1385" s="257" t="s">
        <v>262</v>
      </c>
      <c r="AN1385" s="257" t="s">
        <v>631</v>
      </c>
      <c r="AO1385" s="257">
        <v>-9999</v>
      </c>
      <c r="AP1385" s="257">
        <v>-9999</v>
      </c>
      <c r="AQ1385" s="257" t="s">
        <v>631</v>
      </c>
      <c r="AR1385" s="263">
        <v>0</v>
      </c>
      <c r="AS1385" s="257">
        <v>-9999</v>
      </c>
      <c r="AT1385" s="257">
        <v>-9999</v>
      </c>
      <c r="AU1385" s="263">
        <v>0</v>
      </c>
      <c r="AV1385" s="257">
        <v>-9999</v>
      </c>
      <c r="AW1385" s="257">
        <v>-9999</v>
      </c>
      <c r="AX1385" s="257">
        <v>0</v>
      </c>
      <c r="AY1385" s="257">
        <v>-9999</v>
      </c>
      <c r="AZ1385" s="257">
        <v>-9999</v>
      </c>
      <c r="BA1385" s="257">
        <v>-9999</v>
      </c>
      <c r="BB1385" s="257">
        <v>-9999</v>
      </c>
      <c r="BC1385" s="257">
        <v>-9999</v>
      </c>
      <c r="BD1385" s="257">
        <v>-9999</v>
      </c>
      <c r="BE1385" s="257">
        <v>-9999</v>
      </c>
      <c r="BF1385" s="257">
        <v>-9999</v>
      </c>
      <c r="BG1385" s="257">
        <v>-9999</v>
      </c>
      <c r="BH1385" s="257">
        <v>-9999</v>
      </c>
      <c r="BI1385" s="257">
        <v>-9999</v>
      </c>
      <c r="BJ1385" s="300">
        <v>-9999</v>
      </c>
      <c r="BK1385" s="300">
        <v>-9999</v>
      </c>
      <c r="BL1385" s="300">
        <v>-9999</v>
      </c>
      <c r="BM1385" s="300">
        <v>-9999</v>
      </c>
      <c r="BN1385" s="300">
        <v>-9999</v>
      </c>
      <c r="BO1385" s="300">
        <v>-9999</v>
      </c>
      <c r="BP1385" s="300">
        <v>-9999</v>
      </c>
      <c r="BQ1385" s="300">
        <v>-9999</v>
      </c>
      <c r="BR1385" s="300">
        <v>-9999</v>
      </c>
      <c r="BS1385" s="620">
        <v>-9999</v>
      </c>
      <c r="BT1385" s="300">
        <v>-9999</v>
      </c>
      <c r="BU1385" s="300">
        <v>-9999</v>
      </c>
      <c r="BV1385" s="300">
        <v>-9999</v>
      </c>
      <c r="BW1385" s="300"/>
      <c r="BX1385" s="300">
        <v>-9999</v>
      </c>
      <c r="BY1385" s="300">
        <v>-9999</v>
      </c>
      <c r="BZ1385" s="300">
        <v>-9999</v>
      </c>
      <c r="CA1385" s="300">
        <v>-9999</v>
      </c>
      <c r="CB1385" s="264"/>
      <c r="CC1385" s="257">
        <v>1</v>
      </c>
      <c r="CD1385" s="257">
        <v>1.1000000000000001</v>
      </c>
      <c r="CE1385" s="292">
        <v>3.8636363636363633</v>
      </c>
      <c r="CF1385" s="292">
        <v>4.25</v>
      </c>
      <c r="CG1385" s="43">
        <v>1.1000000000000001</v>
      </c>
    </row>
    <row r="1386" spans="1:86" s="23" customFormat="1" x14ac:dyDescent="0.2">
      <c r="A1386" s="257" t="s">
        <v>1333</v>
      </c>
      <c r="B1386" s="257" t="s">
        <v>659</v>
      </c>
      <c r="C1386" s="257" t="s">
        <v>661</v>
      </c>
      <c r="D1386" s="257" t="s">
        <v>317</v>
      </c>
      <c r="E1386" s="327" t="s">
        <v>1544</v>
      </c>
      <c r="F1386" s="257">
        <v>1</v>
      </c>
      <c r="G1386" s="257">
        <v>2</v>
      </c>
      <c r="H1386" s="257">
        <v>2</v>
      </c>
      <c r="I1386" s="257" t="s">
        <v>468</v>
      </c>
      <c r="J1386" s="257">
        <v>2001</v>
      </c>
      <c r="K1386" s="257" t="s">
        <v>468</v>
      </c>
      <c r="L1386" s="257">
        <v>2003</v>
      </c>
      <c r="M1386" s="261">
        <v>10.5</v>
      </c>
      <c r="N1386" s="257">
        <v>-9999</v>
      </c>
      <c r="O1386" s="29">
        <v>1.7</v>
      </c>
      <c r="P1386" s="370">
        <f>+M1386*O1386</f>
        <v>17.849999999999998</v>
      </c>
      <c r="Q1386" s="257">
        <v>-9999</v>
      </c>
      <c r="R1386" s="261">
        <v>10.5</v>
      </c>
      <c r="S1386" s="257"/>
      <c r="T1386" s="370">
        <f>+P1386/G1386</f>
        <v>8.9249999999999989</v>
      </c>
      <c r="U1386" s="257">
        <v>-9999</v>
      </c>
      <c r="V1386" s="257"/>
      <c r="W1386" s="370">
        <f>+P1386-W1385</f>
        <v>13.599999999999998</v>
      </c>
      <c r="X1386" s="257">
        <v>-9999</v>
      </c>
      <c r="Y1386" s="257"/>
      <c r="Z1386" s="257" t="s">
        <v>172</v>
      </c>
      <c r="AA1386" s="257">
        <v>8400</v>
      </c>
      <c r="AB1386" s="261">
        <v>0.92</v>
      </c>
      <c r="AC1386" s="297">
        <v>0.15</v>
      </c>
      <c r="AD1386" s="358">
        <v>225</v>
      </c>
      <c r="AE1386" s="299" t="s">
        <v>280</v>
      </c>
      <c r="AF1386" s="257">
        <v>-9999</v>
      </c>
      <c r="AG1386" s="257">
        <v>-9999</v>
      </c>
      <c r="AH1386" s="257" t="s">
        <v>857</v>
      </c>
      <c r="AI1386" s="257">
        <v>-9999</v>
      </c>
      <c r="AJ1386" s="257">
        <v>10</v>
      </c>
      <c r="AK1386" s="257" t="s">
        <v>671</v>
      </c>
      <c r="AL1386" s="257" t="s">
        <v>828</v>
      </c>
      <c r="AM1386" s="257" t="s">
        <v>262</v>
      </c>
      <c r="AN1386" s="257" t="s">
        <v>631</v>
      </c>
      <c r="AO1386" s="257">
        <v>-9999</v>
      </c>
      <c r="AP1386" s="257">
        <v>-9999</v>
      </c>
      <c r="AQ1386" s="257" t="s">
        <v>631</v>
      </c>
      <c r="AR1386" s="263">
        <v>0</v>
      </c>
      <c r="AS1386" s="257">
        <v>-9999</v>
      </c>
      <c r="AT1386" s="257">
        <v>-9999</v>
      </c>
      <c r="AU1386" s="263">
        <v>0</v>
      </c>
      <c r="AV1386" s="257">
        <v>-9999</v>
      </c>
      <c r="AW1386" s="257">
        <v>-9999</v>
      </c>
      <c r="AX1386" s="257">
        <v>0</v>
      </c>
      <c r="AY1386" s="257">
        <v>-9999</v>
      </c>
      <c r="AZ1386" s="257">
        <v>-9999</v>
      </c>
      <c r="BA1386" s="257">
        <v>-9999</v>
      </c>
      <c r="BB1386" s="257">
        <v>-9999</v>
      </c>
      <c r="BC1386" s="257">
        <v>-9999</v>
      </c>
      <c r="BD1386" s="257">
        <v>-9999</v>
      </c>
      <c r="BE1386" s="257">
        <v>-9999</v>
      </c>
      <c r="BF1386" s="257">
        <v>-9999</v>
      </c>
      <c r="BG1386" s="257">
        <v>-9999</v>
      </c>
      <c r="BH1386" s="257">
        <v>-9999</v>
      </c>
      <c r="BI1386" s="257">
        <v>-9999</v>
      </c>
      <c r="BJ1386" s="300">
        <v>-9999</v>
      </c>
      <c r="BK1386" s="300">
        <v>-9999</v>
      </c>
      <c r="BL1386" s="300">
        <v>-9999</v>
      </c>
      <c r="BM1386" s="300">
        <v>-9999</v>
      </c>
      <c r="BN1386" s="300">
        <v>-9999</v>
      </c>
      <c r="BO1386" s="300">
        <v>-9999</v>
      </c>
      <c r="BP1386" s="300">
        <v>-9999</v>
      </c>
      <c r="BQ1386" s="300">
        <v>-9999</v>
      </c>
      <c r="BR1386" s="300">
        <v>-9999</v>
      </c>
      <c r="BS1386" s="620">
        <v>-9999</v>
      </c>
      <c r="BT1386" s="300">
        <v>-9999</v>
      </c>
      <c r="BU1386" s="300">
        <v>-9999</v>
      </c>
      <c r="BV1386" s="300">
        <v>-9999</v>
      </c>
      <c r="BW1386" s="300"/>
      <c r="BX1386" s="300">
        <v>-9999</v>
      </c>
      <c r="BY1386" s="300">
        <v>-9999</v>
      </c>
      <c r="BZ1386" s="300">
        <v>-9999</v>
      </c>
      <c r="CA1386" s="300">
        <v>-9999</v>
      </c>
      <c r="CB1386" s="264"/>
      <c r="CC1386" s="257">
        <v>1</v>
      </c>
      <c r="CD1386" s="257">
        <v>2</v>
      </c>
      <c r="CE1386" s="292">
        <v>8.9249999999999989</v>
      </c>
      <c r="CF1386" s="292">
        <v>13.599999999999998</v>
      </c>
      <c r="CG1386" s="43">
        <v>2</v>
      </c>
    </row>
    <row r="1387" spans="1:86" s="23" customFormat="1" x14ac:dyDescent="0.2">
      <c r="A1387" s="257" t="s">
        <v>1333</v>
      </c>
      <c r="B1387" s="257" t="s">
        <v>659</v>
      </c>
      <c r="C1387" s="257" t="s">
        <v>661</v>
      </c>
      <c r="D1387" s="257" t="s">
        <v>317</v>
      </c>
      <c r="E1387" s="327" t="s">
        <v>1544</v>
      </c>
      <c r="F1387" s="257">
        <v>1</v>
      </c>
      <c r="G1387" s="257">
        <v>2.5</v>
      </c>
      <c r="H1387" s="257">
        <v>2.5</v>
      </c>
      <c r="I1387" s="257" t="s">
        <v>468</v>
      </c>
      <c r="J1387" s="257">
        <v>2001</v>
      </c>
      <c r="K1387" s="257" t="s">
        <v>1211</v>
      </c>
      <c r="L1387" s="257">
        <v>2003</v>
      </c>
      <c r="M1387" s="261">
        <v>13.2</v>
      </c>
      <c r="N1387" s="257">
        <v>-9999</v>
      </c>
      <c r="O1387" s="29">
        <v>1.7</v>
      </c>
      <c r="P1387" s="370">
        <f>+M1387*O1387</f>
        <v>22.439999999999998</v>
      </c>
      <c r="Q1387" s="257">
        <v>-9999</v>
      </c>
      <c r="R1387" s="261">
        <v>13.2</v>
      </c>
      <c r="S1387" s="257"/>
      <c r="T1387" s="370">
        <f>+P1387/G1387</f>
        <v>8.9759999999999991</v>
      </c>
      <c r="U1387" s="257">
        <v>-9999</v>
      </c>
      <c r="V1387" s="257"/>
      <c r="W1387" s="370">
        <f>+P1387-W1386</f>
        <v>8.84</v>
      </c>
      <c r="X1387" s="257">
        <v>-9999</v>
      </c>
      <c r="Y1387" s="257"/>
      <c r="Z1387" s="257" t="s">
        <v>172</v>
      </c>
      <c r="AA1387" s="257">
        <v>8400</v>
      </c>
      <c r="AB1387" s="261">
        <v>0.87</v>
      </c>
      <c r="AC1387" s="297">
        <v>0.15</v>
      </c>
      <c r="AD1387" s="358">
        <v>225</v>
      </c>
      <c r="AE1387" s="299" t="s">
        <v>280</v>
      </c>
      <c r="AF1387" s="257">
        <v>-9999</v>
      </c>
      <c r="AG1387" s="257">
        <v>-9999</v>
      </c>
      <c r="AH1387" s="257" t="s">
        <v>857</v>
      </c>
      <c r="AI1387" s="257">
        <v>-9999</v>
      </c>
      <c r="AJ1387" s="257">
        <v>10</v>
      </c>
      <c r="AK1387" s="257" t="s">
        <v>671</v>
      </c>
      <c r="AL1387" s="257" t="s">
        <v>828</v>
      </c>
      <c r="AM1387" s="257" t="s">
        <v>262</v>
      </c>
      <c r="AN1387" s="257" t="s">
        <v>631</v>
      </c>
      <c r="AO1387" s="257">
        <v>-9999</v>
      </c>
      <c r="AP1387" s="257">
        <v>-9999</v>
      </c>
      <c r="AQ1387" s="257" t="s">
        <v>631</v>
      </c>
      <c r="AR1387" s="263">
        <v>0</v>
      </c>
      <c r="AS1387" s="257">
        <v>-9999</v>
      </c>
      <c r="AT1387" s="257">
        <v>-9999</v>
      </c>
      <c r="AU1387" s="263">
        <v>0</v>
      </c>
      <c r="AV1387" s="257">
        <v>-9999</v>
      </c>
      <c r="AW1387" s="257">
        <v>-9999</v>
      </c>
      <c r="AX1387" s="257">
        <v>0</v>
      </c>
      <c r="AY1387" s="257">
        <v>-9999</v>
      </c>
      <c r="AZ1387" s="257">
        <v>-9999</v>
      </c>
      <c r="BA1387" s="257">
        <v>-9999</v>
      </c>
      <c r="BB1387" s="257">
        <v>-9999</v>
      </c>
      <c r="BC1387" s="257">
        <v>-9999</v>
      </c>
      <c r="BD1387" s="257">
        <v>-9999</v>
      </c>
      <c r="BE1387" s="257">
        <v>-9999</v>
      </c>
      <c r="BF1387" s="257">
        <v>-9999</v>
      </c>
      <c r="BG1387" s="257">
        <v>-9999</v>
      </c>
      <c r="BH1387" s="257">
        <v>-9999</v>
      </c>
      <c r="BI1387" s="257">
        <v>-9999</v>
      </c>
      <c r="BJ1387" s="300">
        <v>-9999</v>
      </c>
      <c r="BK1387" s="300">
        <v>-9999</v>
      </c>
      <c r="BL1387" s="300">
        <v>-9999</v>
      </c>
      <c r="BM1387" s="300">
        <v>-9999</v>
      </c>
      <c r="BN1387" s="300">
        <v>-9999</v>
      </c>
      <c r="BO1387" s="300">
        <v>-9999</v>
      </c>
      <c r="BP1387" s="300">
        <v>-9999</v>
      </c>
      <c r="BQ1387" s="300">
        <v>-9999</v>
      </c>
      <c r="BR1387" s="300">
        <v>-9999</v>
      </c>
      <c r="BS1387" s="620">
        <v>-9999</v>
      </c>
      <c r="BT1387" s="300">
        <v>-9999</v>
      </c>
      <c r="BU1387" s="300">
        <v>-9999</v>
      </c>
      <c r="BV1387" s="300">
        <v>-9999</v>
      </c>
      <c r="BW1387" s="300"/>
      <c r="BX1387" s="300">
        <v>-9999</v>
      </c>
      <c r="BY1387" s="300">
        <v>-9999</v>
      </c>
      <c r="BZ1387" s="300">
        <v>-9999</v>
      </c>
      <c r="CA1387" s="300">
        <v>-9999</v>
      </c>
      <c r="CB1387" s="264"/>
      <c r="CC1387" s="257">
        <v>1</v>
      </c>
      <c r="CD1387" s="257">
        <v>2.5</v>
      </c>
      <c r="CE1387" s="292">
        <v>8.9759999999999991</v>
      </c>
      <c r="CF1387" s="292">
        <v>8.84</v>
      </c>
      <c r="CG1387" s="43">
        <v>2.5</v>
      </c>
    </row>
    <row r="1388" spans="1:86" s="23" customFormat="1" x14ac:dyDescent="0.2">
      <c r="A1388" s="257" t="s">
        <v>1333</v>
      </c>
      <c r="B1388" s="257" t="s">
        <v>659</v>
      </c>
      <c r="C1388" s="257" t="s">
        <v>661</v>
      </c>
      <c r="D1388" s="257" t="s">
        <v>317</v>
      </c>
      <c r="E1388" s="327" t="s">
        <v>1544</v>
      </c>
      <c r="F1388" s="257">
        <v>1</v>
      </c>
      <c r="G1388" s="257">
        <v>3.2</v>
      </c>
      <c r="H1388" s="257">
        <v>3.2</v>
      </c>
      <c r="I1388" s="257" t="s">
        <v>468</v>
      </c>
      <c r="J1388" s="257">
        <v>2001</v>
      </c>
      <c r="K1388" s="257" t="s">
        <v>672</v>
      </c>
      <c r="L1388" s="257">
        <v>2004</v>
      </c>
      <c r="M1388" s="261">
        <v>17.5</v>
      </c>
      <c r="N1388" s="257">
        <v>-9999</v>
      </c>
      <c r="O1388" s="29">
        <v>1.7</v>
      </c>
      <c r="P1388" s="370">
        <f>+M1388*O1388</f>
        <v>29.75</v>
      </c>
      <c r="Q1388" s="257">
        <v>-9999</v>
      </c>
      <c r="R1388" s="261">
        <v>17.5</v>
      </c>
      <c r="S1388" s="257"/>
      <c r="T1388" s="370">
        <f>+P1388/G1388</f>
        <v>9.296875</v>
      </c>
      <c r="U1388" s="257">
        <v>-9999</v>
      </c>
      <c r="V1388" s="257"/>
      <c r="W1388" s="370">
        <f>+P1388-W1387</f>
        <v>20.91</v>
      </c>
      <c r="X1388" s="257">
        <v>-9999</v>
      </c>
      <c r="Y1388" s="257"/>
      <c r="Z1388" s="257" t="s">
        <v>172</v>
      </c>
      <c r="AA1388" s="257">
        <v>8400</v>
      </c>
      <c r="AB1388" s="261">
        <v>0.87</v>
      </c>
      <c r="AC1388" s="297">
        <v>0.15</v>
      </c>
      <c r="AD1388" s="358">
        <v>225</v>
      </c>
      <c r="AE1388" s="299" t="s">
        <v>280</v>
      </c>
      <c r="AF1388" s="257">
        <v>-9999</v>
      </c>
      <c r="AG1388" s="257">
        <v>-9999</v>
      </c>
      <c r="AH1388" s="257" t="s">
        <v>857</v>
      </c>
      <c r="AI1388" s="257">
        <v>-9999</v>
      </c>
      <c r="AJ1388" s="257">
        <v>10</v>
      </c>
      <c r="AK1388" s="257" t="s">
        <v>671</v>
      </c>
      <c r="AL1388" s="257" t="s">
        <v>828</v>
      </c>
      <c r="AM1388" s="257" t="s">
        <v>262</v>
      </c>
      <c r="AN1388" s="257" t="s">
        <v>631</v>
      </c>
      <c r="AO1388" s="257">
        <v>-9999</v>
      </c>
      <c r="AP1388" s="257">
        <v>-9999</v>
      </c>
      <c r="AQ1388" s="257" t="s">
        <v>631</v>
      </c>
      <c r="AR1388" s="263">
        <v>0</v>
      </c>
      <c r="AS1388" s="257">
        <v>-9999</v>
      </c>
      <c r="AT1388" s="257">
        <v>-9999</v>
      </c>
      <c r="AU1388" s="263">
        <v>0</v>
      </c>
      <c r="AV1388" s="257">
        <v>-9999</v>
      </c>
      <c r="AW1388" s="257">
        <v>-9999</v>
      </c>
      <c r="AX1388" s="257">
        <v>0</v>
      </c>
      <c r="AY1388" s="257">
        <v>-9999</v>
      </c>
      <c r="AZ1388" s="257">
        <v>-9999</v>
      </c>
      <c r="BA1388" s="257">
        <v>-9999</v>
      </c>
      <c r="BB1388" s="257">
        <v>-9999</v>
      </c>
      <c r="BC1388" s="257">
        <v>-9999</v>
      </c>
      <c r="BD1388" s="257">
        <v>-9999</v>
      </c>
      <c r="BE1388" s="257">
        <v>-9999</v>
      </c>
      <c r="BF1388" s="257">
        <v>-9999</v>
      </c>
      <c r="BG1388" s="257">
        <v>-9999</v>
      </c>
      <c r="BH1388" s="257">
        <v>-9999</v>
      </c>
      <c r="BI1388" s="257">
        <v>-9999</v>
      </c>
      <c r="BJ1388" s="300">
        <v>-9999</v>
      </c>
      <c r="BK1388" s="300">
        <v>-9999</v>
      </c>
      <c r="BL1388" s="300">
        <v>-9999</v>
      </c>
      <c r="BM1388" s="300">
        <v>-9999</v>
      </c>
      <c r="BN1388" s="300">
        <v>-9999</v>
      </c>
      <c r="BO1388" s="300">
        <v>-9999</v>
      </c>
      <c r="BP1388" s="300">
        <v>-9999</v>
      </c>
      <c r="BQ1388" s="300">
        <v>-9999</v>
      </c>
      <c r="BR1388" s="300">
        <v>-9999</v>
      </c>
      <c r="BS1388" s="620">
        <v>-9999</v>
      </c>
      <c r="BT1388" s="300">
        <v>-9999</v>
      </c>
      <c r="BU1388" s="300">
        <v>-9999</v>
      </c>
      <c r="BV1388" s="300">
        <v>-9999</v>
      </c>
      <c r="BW1388" s="300"/>
      <c r="BX1388" s="300">
        <v>-9999</v>
      </c>
      <c r="BY1388" s="300">
        <v>-9999</v>
      </c>
      <c r="BZ1388" s="300">
        <v>-9999</v>
      </c>
      <c r="CA1388" s="300">
        <v>-9999</v>
      </c>
      <c r="CB1388" s="264"/>
      <c r="CC1388" s="257">
        <v>1</v>
      </c>
      <c r="CD1388" s="257">
        <v>3.2</v>
      </c>
      <c r="CE1388" s="394">
        <v>9.296875</v>
      </c>
      <c r="CF1388" s="292">
        <v>20.91</v>
      </c>
      <c r="CG1388" s="43">
        <v>3.2</v>
      </c>
      <c r="CH1388" s="477"/>
    </row>
    <row r="1389" spans="1:86" s="23" customFormat="1" x14ac:dyDescent="0.2">
      <c r="A1389" s="257" t="s">
        <v>1333</v>
      </c>
      <c r="B1389" s="257" t="s">
        <v>659</v>
      </c>
      <c r="C1389" s="257" t="s">
        <v>661</v>
      </c>
      <c r="D1389" s="257" t="s">
        <v>317</v>
      </c>
      <c r="E1389" s="327" t="s">
        <v>1544</v>
      </c>
      <c r="F1389" s="257">
        <v>1</v>
      </c>
      <c r="G1389" s="257">
        <v>3.5</v>
      </c>
      <c r="H1389" s="257">
        <v>3.5</v>
      </c>
      <c r="I1389" s="257" t="s">
        <v>468</v>
      </c>
      <c r="J1389" s="257">
        <v>2001</v>
      </c>
      <c r="K1389" s="257" t="s">
        <v>856</v>
      </c>
      <c r="L1389" s="257">
        <v>2005</v>
      </c>
      <c r="M1389" s="261">
        <v>18.100000000000001</v>
      </c>
      <c r="N1389" s="257">
        <v>-9999</v>
      </c>
      <c r="O1389" s="29">
        <v>1.7</v>
      </c>
      <c r="P1389" s="370">
        <f>+M1389*O1389</f>
        <v>30.770000000000003</v>
      </c>
      <c r="Q1389" s="257">
        <v>-9999</v>
      </c>
      <c r="R1389" s="261">
        <v>18.100000000000001</v>
      </c>
      <c r="S1389" s="257"/>
      <c r="T1389" s="370">
        <f>+P1389/G1389</f>
        <v>8.7914285714285718</v>
      </c>
      <c r="U1389" s="257">
        <v>-9999</v>
      </c>
      <c r="V1389" s="257"/>
      <c r="W1389" s="370">
        <f>+P1389-W1388</f>
        <v>9.860000000000003</v>
      </c>
      <c r="X1389" s="257">
        <v>-9999</v>
      </c>
      <c r="Y1389" s="257"/>
      <c r="Z1389" s="257" t="s">
        <v>172</v>
      </c>
      <c r="AA1389" s="257">
        <v>8400</v>
      </c>
      <c r="AB1389" s="261">
        <v>0.87</v>
      </c>
      <c r="AC1389" s="297">
        <v>0.15</v>
      </c>
      <c r="AD1389" s="358">
        <v>225</v>
      </c>
      <c r="AE1389" s="299" t="s">
        <v>280</v>
      </c>
      <c r="AF1389" s="257">
        <v>-9999</v>
      </c>
      <c r="AG1389" s="257">
        <v>-9999</v>
      </c>
      <c r="AH1389" s="257" t="s">
        <v>857</v>
      </c>
      <c r="AI1389" s="257">
        <v>-9999</v>
      </c>
      <c r="AJ1389" s="257">
        <v>10</v>
      </c>
      <c r="AK1389" s="257" t="s">
        <v>671</v>
      </c>
      <c r="AL1389" s="257" t="s">
        <v>828</v>
      </c>
      <c r="AM1389" s="257" t="s">
        <v>262</v>
      </c>
      <c r="AN1389" s="257" t="s">
        <v>631</v>
      </c>
      <c r="AO1389" s="257">
        <v>-9999</v>
      </c>
      <c r="AP1389" s="257">
        <v>-9999</v>
      </c>
      <c r="AQ1389" s="257" t="s">
        <v>631</v>
      </c>
      <c r="AR1389" s="263">
        <v>0</v>
      </c>
      <c r="AS1389" s="257">
        <v>-9999</v>
      </c>
      <c r="AT1389" s="257">
        <v>-9999</v>
      </c>
      <c r="AU1389" s="263">
        <v>0</v>
      </c>
      <c r="AV1389" s="257">
        <v>-9999</v>
      </c>
      <c r="AW1389" s="257">
        <v>-9999</v>
      </c>
      <c r="AX1389" s="257">
        <v>0</v>
      </c>
      <c r="AY1389" s="257">
        <v>-9999</v>
      </c>
      <c r="AZ1389" s="257">
        <v>-9999</v>
      </c>
      <c r="BA1389" s="257">
        <v>-9999</v>
      </c>
      <c r="BB1389" s="257">
        <v>-9999</v>
      </c>
      <c r="BC1389" s="257">
        <v>-9999</v>
      </c>
      <c r="BD1389" s="257">
        <v>-9999</v>
      </c>
      <c r="BE1389" s="257">
        <v>-9999</v>
      </c>
      <c r="BF1389" s="257">
        <v>-9999</v>
      </c>
      <c r="BG1389" s="257">
        <v>-9999</v>
      </c>
      <c r="BH1389" s="257">
        <v>-9999</v>
      </c>
      <c r="BI1389" s="257">
        <v>-9999</v>
      </c>
      <c r="BJ1389" s="300">
        <v>-9999</v>
      </c>
      <c r="BK1389" s="300">
        <v>-9999</v>
      </c>
      <c r="BL1389" s="300">
        <v>-9999</v>
      </c>
      <c r="BM1389" s="300">
        <v>-9999</v>
      </c>
      <c r="BN1389" s="300">
        <v>-9999</v>
      </c>
      <c r="BO1389" s="300">
        <v>-9999</v>
      </c>
      <c r="BP1389" s="300">
        <v>-9999</v>
      </c>
      <c r="BQ1389" s="300">
        <v>-9999</v>
      </c>
      <c r="BR1389" s="300">
        <v>-9999</v>
      </c>
      <c r="BS1389" s="620">
        <v>-9999</v>
      </c>
      <c r="BT1389" s="300">
        <v>-9999</v>
      </c>
      <c r="BU1389" s="300">
        <v>-9999</v>
      </c>
      <c r="BV1389" s="300">
        <v>-9999</v>
      </c>
      <c r="BW1389" s="300"/>
      <c r="BX1389" s="300">
        <v>-9999</v>
      </c>
      <c r="BY1389" s="300">
        <v>-9999</v>
      </c>
      <c r="BZ1389" s="300">
        <v>-9999</v>
      </c>
      <c r="CA1389" s="300">
        <v>-9999</v>
      </c>
      <c r="CB1389" s="264"/>
      <c r="CC1389" s="257">
        <v>1</v>
      </c>
      <c r="CD1389" s="257">
        <v>3.5</v>
      </c>
      <c r="CE1389" s="292">
        <v>8.7914285714285718</v>
      </c>
      <c r="CF1389" s="292">
        <v>9.860000000000003</v>
      </c>
      <c r="CG1389" s="43">
        <v>3.5</v>
      </c>
    </row>
    <row r="1390" spans="1:86" s="23" customFormat="1" x14ac:dyDescent="0.2">
      <c r="A1390" s="257"/>
      <c r="B1390" s="257"/>
      <c r="C1390" s="257"/>
      <c r="D1390" s="257"/>
      <c r="E1390" s="257"/>
      <c r="F1390" s="257"/>
      <c r="G1390" s="257"/>
      <c r="H1390" s="257"/>
      <c r="I1390" s="257"/>
      <c r="J1390" s="257"/>
      <c r="K1390" s="257"/>
      <c r="L1390" s="257"/>
      <c r="M1390" s="261"/>
      <c r="N1390" s="257"/>
      <c r="O1390" s="29"/>
      <c r="P1390" s="370"/>
      <c r="Q1390" s="257"/>
      <c r="R1390" s="261"/>
      <c r="S1390" s="257"/>
      <c r="T1390" s="370"/>
      <c r="U1390" s="257"/>
      <c r="V1390" s="257"/>
      <c r="W1390" s="370"/>
      <c r="X1390" s="257"/>
      <c r="Y1390" s="257"/>
      <c r="Z1390" s="257"/>
      <c r="AA1390" s="264"/>
      <c r="AB1390" s="286"/>
      <c r="AC1390" s="297"/>
      <c r="AD1390" s="358"/>
      <c r="AE1390" s="299"/>
      <c r="AF1390" s="257"/>
      <c r="AG1390" s="257"/>
      <c r="AH1390" s="257"/>
      <c r="AI1390" s="257"/>
      <c r="AJ1390" s="257"/>
      <c r="AK1390" s="257"/>
      <c r="AL1390" s="257"/>
      <c r="AM1390" s="257"/>
      <c r="AN1390" s="257"/>
      <c r="AO1390" s="257"/>
      <c r="AP1390" s="257"/>
      <c r="AQ1390" s="257"/>
      <c r="AR1390" s="263"/>
      <c r="AS1390" s="257"/>
      <c r="AT1390" s="257"/>
      <c r="AU1390" s="263"/>
      <c r="AV1390" s="257"/>
      <c r="AW1390" s="257"/>
      <c r="AX1390" s="257"/>
      <c r="AY1390" s="257"/>
      <c r="AZ1390" s="257"/>
      <c r="BA1390" s="257"/>
      <c r="BB1390" s="257"/>
      <c r="BC1390" s="257"/>
      <c r="BD1390" s="257"/>
      <c r="BE1390" s="257"/>
      <c r="BF1390" s="257"/>
      <c r="BG1390" s="257"/>
      <c r="BH1390" s="257"/>
      <c r="BI1390" s="257"/>
      <c r="BJ1390" s="300"/>
      <c r="BK1390" s="300"/>
      <c r="BL1390" s="300"/>
      <c r="BM1390" s="300"/>
      <c r="BN1390" s="300"/>
      <c r="BO1390" s="300"/>
      <c r="BP1390" s="300"/>
      <c r="BQ1390" s="300"/>
      <c r="BR1390" s="300"/>
      <c r="BS1390" s="620"/>
      <c r="BT1390" s="300"/>
      <c r="BU1390" s="300"/>
      <c r="BV1390" s="300"/>
      <c r="BW1390" s="300"/>
      <c r="BX1390" s="300"/>
      <c r="BY1390" s="300"/>
      <c r="BZ1390" s="300"/>
      <c r="CA1390" s="300"/>
      <c r="CB1390" s="264"/>
      <c r="CC1390" s="257"/>
      <c r="CD1390" s="327" t="s">
        <v>1632</v>
      </c>
      <c r="CE1390" s="342" t="s">
        <v>1576</v>
      </c>
      <c r="CF1390" s="342" t="s">
        <v>1575</v>
      </c>
      <c r="CG1390" s="43"/>
    </row>
    <row r="1391" spans="1:86" s="23" customFormat="1" x14ac:dyDescent="0.2">
      <c r="A1391" s="257" t="s">
        <v>1333</v>
      </c>
      <c r="B1391" s="257" t="s">
        <v>659</v>
      </c>
      <c r="C1391" s="257" t="s">
        <v>663</v>
      </c>
      <c r="D1391" s="257" t="s">
        <v>317</v>
      </c>
      <c r="E1391" s="327" t="s">
        <v>1546</v>
      </c>
      <c r="F1391" s="257">
        <v>1</v>
      </c>
      <c r="G1391" s="257">
        <v>1.1000000000000001</v>
      </c>
      <c r="H1391" s="257">
        <v>1.1000000000000001</v>
      </c>
      <c r="I1391" s="257" t="s">
        <v>468</v>
      </c>
      <c r="J1391" s="257">
        <v>2001</v>
      </c>
      <c r="K1391" s="257" t="s">
        <v>672</v>
      </c>
      <c r="L1391" s="257">
        <v>2002</v>
      </c>
      <c r="M1391" s="261">
        <v>1.4</v>
      </c>
      <c r="N1391" s="257">
        <v>-9999</v>
      </c>
      <c r="O1391" s="29">
        <v>1.7</v>
      </c>
      <c r="P1391" s="370">
        <f>+M1391*O1391</f>
        <v>2.38</v>
      </c>
      <c r="Q1391" s="257">
        <v>-9999</v>
      </c>
      <c r="R1391" s="261">
        <v>1.4</v>
      </c>
      <c r="S1391" s="257"/>
      <c r="T1391" s="370">
        <f>+P1391/G1391</f>
        <v>2.1636363636363636</v>
      </c>
      <c r="U1391" s="257">
        <v>-9999</v>
      </c>
      <c r="V1391" s="257"/>
      <c r="W1391" s="370">
        <f>+P1391</f>
        <v>2.38</v>
      </c>
      <c r="X1391" s="257">
        <v>-9999</v>
      </c>
      <c r="Y1391" s="257"/>
      <c r="Z1391" s="257" t="s">
        <v>173</v>
      </c>
      <c r="AA1391" s="257">
        <v>4200</v>
      </c>
      <c r="AB1391" s="261">
        <v>1</v>
      </c>
      <c r="AC1391" s="297">
        <v>0.15</v>
      </c>
      <c r="AD1391" s="358">
        <v>225</v>
      </c>
      <c r="AE1391" s="299" t="s">
        <v>280</v>
      </c>
      <c r="AF1391" s="257">
        <v>-9999</v>
      </c>
      <c r="AG1391" s="257">
        <v>-9999</v>
      </c>
      <c r="AH1391" s="257" t="s">
        <v>857</v>
      </c>
      <c r="AI1391" s="257">
        <v>-9999</v>
      </c>
      <c r="AJ1391" s="257">
        <v>10</v>
      </c>
      <c r="AK1391" s="257" t="s">
        <v>671</v>
      </c>
      <c r="AL1391" s="257" t="s">
        <v>828</v>
      </c>
      <c r="AM1391" s="257" t="s">
        <v>262</v>
      </c>
      <c r="AN1391" s="257" t="s">
        <v>631</v>
      </c>
      <c r="AO1391" s="257">
        <v>-9999</v>
      </c>
      <c r="AP1391" s="257">
        <v>-9999</v>
      </c>
      <c r="AQ1391" s="257" t="s">
        <v>631</v>
      </c>
      <c r="AR1391" s="263">
        <v>0</v>
      </c>
      <c r="AS1391" s="257">
        <v>-9999</v>
      </c>
      <c r="AT1391" s="257">
        <v>-9999</v>
      </c>
      <c r="AU1391" s="263">
        <v>0</v>
      </c>
      <c r="AV1391" s="257">
        <v>-9999</v>
      </c>
      <c r="AW1391" s="257">
        <v>-9999</v>
      </c>
      <c r="AX1391" s="257">
        <v>0</v>
      </c>
      <c r="AY1391" s="257">
        <v>-9999</v>
      </c>
      <c r="AZ1391" s="257">
        <v>-9999</v>
      </c>
      <c r="BA1391" s="257">
        <v>-9999</v>
      </c>
      <c r="BB1391" s="257">
        <v>-9999</v>
      </c>
      <c r="BC1391" s="257">
        <v>-9999</v>
      </c>
      <c r="BD1391" s="257">
        <v>-9999</v>
      </c>
      <c r="BE1391" s="257">
        <v>-9999</v>
      </c>
      <c r="BF1391" s="257">
        <v>-9999</v>
      </c>
      <c r="BG1391" s="257">
        <v>-9999</v>
      </c>
      <c r="BH1391" s="257">
        <v>-9999</v>
      </c>
      <c r="BI1391" s="257">
        <v>-9999</v>
      </c>
      <c r="BJ1391" s="300">
        <v>-9999</v>
      </c>
      <c r="BK1391" s="300">
        <v>-9999</v>
      </c>
      <c r="BL1391" s="300">
        <v>-9999</v>
      </c>
      <c r="BM1391" s="300">
        <v>-9999</v>
      </c>
      <c r="BN1391" s="300">
        <v>-9999</v>
      </c>
      <c r="BO1391" s="300">
        <v>-9999</v>
      </c>
      <c r="BP1391" s="300">
        <v>-9999</v>
      </c>
      <c r="BQ1391" s="300">
        <v>-9999</v>
      </c>
      <c r="BR1391" s="300">
        <v>-9999</v>
      </c>
      <c r="BS1391" s="620">
        <v>-9999</v>
      </c>
      <c r="BT1391" s="300">
        <v>-9999</v>
      </c>
      <c r="BU1391" s="300">
        <v>-9999</v>
      </c>
      <c r="BV1391" s="300">
        <v>-9999</v>
      </c>
      <c r="BW1391" s="300"/>
      <c r="BX1391" s="300">
        <v>-9999</v>
      </c>
      <c r="BY1391" s="300">
        <v>-9999</v>
      </c>
      <c r="BZ1391" s="300">
        <v>-9999</v>
      </c>
      <c r="CA1391" s="300">
        <v>-9999</v>
      </c>
      <c r="CB1391" s="264"/>
      <c r="CC1391" s="257">
        <v>1</v>
      </c>
      <c r="CD1391" s="257">
        <v>1.1000000000000001</v>
      </c>
      <c r="CE1391" s="292">
        <v>2.1636363636363636</v>
      </c>
      <c r="CF1391" s="292">
        <v>2.38</v>
      </c>
      <c r="CG1391" s="43">
        <v>1.1000000000000001</v>
      </c>
    </row>
    <row r="1392" spans="1:86" s="23" customFormat="1" x14ac:dyDescent="0.2">
      <c r="A1392" s="257" t="s">
        <v>1333</v>
      </c>
      <c r="B1392" s="257" t="s">
        <v>659</v>
      </c>
      <c r="C1392" s="257" t="s">
        <v>663</v>
      </c>
      <c r="D1392" s="257" t="s">
        <v>317</v>
      </c>
      <c r="E1392" s="327" t="s">
        <v>1546</v>
      </c>
      <c r="F1392" s="257">
        <v>1</v>
      </c>
      <c r="G1392" s="257">
        <v>2</v>
      </c>
      <c r="H1392" s="257">
        <v>2</v>
      </c>
      <c r="I1392" s="257" t="s">
        <v>468</v>
      </c>
      <c r="J1392" s="257">
        <v>2001</v>
      </c>
      <c r="K1392" s="257" t="s">
        <v>468</v>
      </c>
      <c r="L1392" s="257">
        <v>2003</v>
      </c>
      <c r="M1392" s="261">
        <v>5.0999999999999996</v>
      </c>
      <c r="N1392" s="257">
        <v>-9999</v>
      </c>
      <c r="O1392" s="29">
        <v>1.7</v>
      </c>
      <c r="P1392" s="370">
        <f>+M1392*O1392</f>
        <v>8.67</v>
      </c>
      <c r="Q1392" s="257">
        <v>-9999</v>
      </c>
      <c r="R1392" s="261">
        <v>5.0999999999999996</v>
      </c>
      <c r="S1392" s="257"/>
      <c r="T1392" s="370">
        <f>+P1392/G1392</f>
        <v>4.335</v>
      </c>
      <c r="U1392" s="257">
        <v>-9999</v>
      </c>
      <c r="V1392" s="257"/>
      <c r="W1392" s="370">
        <f>+P1392-W1391</f>
        <v>6.29</v>
      </c>
      <c r="X1392" s="257">
        <v>-9999</v>
      </c>
      <c r="Y1392" s="257"/>
      <c r="Z1392" s="257" t="s">
        <v>173</v>
      </c>
      <c r="AA1392" s="257">
        <v>4200</v>
      </c>
      <c r="AB1392" s="261">
        <v>0.92</v>
      </c>
      <c r="AC1392" s="297">
        <v>0.15</v>
      </c>
      <c r="AD1392" s="358">
        <v>225</v>
      </c>
      <c r="AE1392" s="299" t="s">
        <v>280</v>
      </c>
      <c r="AF1392" s="257">
        <v>-9999</v>
      </c>
      <c r="AG1392" s="257">
        <v>-9999</v>
      </c>
      <c r="AH1392" s="257" t="s">
        <v>857</v>
      </c>
      <c r="AI1392" s="257">
        <v>-9999</v>
      </c>
      <c r="AJ1392" s="257">
        <v>10</v>
      </c>
      <c r="AK1392" s="257" t="s">
        <v>671</v>
      </c>
      <c r="AL1392" s="257" t="s">
        <v>828</v>
      </c>
      <c r="AM1392" s="257" t="s">
        <v>262</v>
      </c>
      <c r="AN1392" s="257" t="s">
        <v>631</v>
      </c>
      <c r="AO1392" s="257">
        <v>-9999</v>
      </c>
      <c r="AP1392" s="257">
        <v>-9999</v>
      </c>
      <c r="AQ1392" s="257" t="s">
        <v>631</v>
      </c>
      <c r="AR1392" s="263">
        <v>0</v>
      </c>
      <c r="AS1392" s="257">
        <v>-9999</v>
      </c>
      <c r="AT1392" s="257">
        <v>-9999</v>
      </c>
      <c r="AU1392" s="263">
        <v>0</v>
      </c>
      <c r="AV1392" s="257">
        <v>-9999</v>
      </c>
      <c r="AW1392" s="257">
        <v>-9999</v>
      </c>
      <c r="AX1392" s="257">
        <v>0</v>
      </c>
      <c r="AY1392" s="257">
        <v>-9999</v>
      </c>
      <c r="AZ1392" s="257">
        <v>-9999</v>
      </c>
      <c r="BA1392" s="257">
        <v>-9999</v>
      </c>
      <c r="BB1392" s="257">
        <v>-9999</v>
      </c>
      <c r="BC1392" s="257">
        <v>-9999</v>
      </c>
      <c r="BD1392" s="257">
        <v>-9999</v>
      </c>
      <c r="BE1392" s="257">
        <v>-9999</v>
      </c>
      <c r="BF1392" s="257">
        <v>-9999</v>
      </c>
      <c r="BG1392" s="257">
        <v>-9999</v>
      </c>
      <c r="BH1392" s="257">
        <v>-9999</v>
      </c>
      <c r="BI1392" s="257">
        <v>-9999</v>
      </c>
      <c r="BJ1392" s="300">
        <v>-9999</v>
      </c>
      <c r="BK1392" s="300">
        <v>-9999</v>
      </c>
      <c r="BL1392" s="300">
        <v>-9999</v>
      </c>
      <c r="BM1392" s="300">
        <v>-9999</v>
      </c>
      <c r="BN1392" s="300">
        <v>-9999</v>
      </c>
      <c r="BO1392" s="300">
        <v>-9999</v>
      </c>
      <c r="BP1392" s="300">
        <v>-9999</v>
      </c>
      <c r="BQ1392" s="300">
        <v>-9999</v>
      </c>
      <c r="BR1392" s="300">
        <v>-9999</v>
      </c>
      <c r="BS1392" s="620">
        <v>-9999</v>
      </c>
      <c r="BT1392" s="300">
        <v>-9999</v>
      </c>
      <c r="BU1392" s="300">
        <v>-9999</v>
      </c>
      <c r="BV1392" s="300">
        <v>-9999</v>
      </c>
      <c r="BW1392" s="300"/>
      <c r="BX1392" s="300">
        <v>-9999</v>
      </c>
      <c r="BY1392" s="300">
        <v>-9999</v>
      </c>
      <c r="BZ1392" s="300">
        <v>-9999</v>
      </c>
      <c r="CA1392" s="300">
        <v>-9999</v>
      </c>
      <c r="CB1392" s="264"/>
      <c r="CC1392" s="257">
        <v>1</v>
      </c>
      <c r="CD1392" s="257">
        <v>2</v>
      </c>
      <c r="CE1392" s="292">
        <v>4.335</v>
      </c>
      <c r="CF1392" s="292">
        <v>6.29</v>
      </c>
      <c r="CG1392" s="43">
        <v>2</v>
      </c>
    </row>
    <row r="1393" spans="1:86" s="23" customFormat="1" x14ac:dyDescent="0.2">
      <c r="A1393" s="327" t="s">
        <v>1333</v>
      </c>
      <c r="B1393" s="257" t="s">
        <v>659</v>
      </c>
      <c r="C1393" s="257" t="s">
        <v>663</v>
      </c>
      <c r="D1393" s="257" t="s">
        <v>317</v>
      </c>
      <c r="E1393" s="327" t="s">
        <v>1546</v>
      </c>
      <c r="F1393" s="257">
        <v>1</v>
      </c>
      <c r="G1393" s="257">
        <v>2.5</v>
      </c>
      <c r="H1393" s="257">
        <v>2.5</v>
      </c>
      <c r="I1393" s="257" t="s">
        <v>468</v>
      </c>
      <c r="J1393" s="257">
        <v>2001</v>
      </c>
      <c r="K1393" s="257" t="s">
        <v>1211</v>
      </c>
      <c r="L1393" s="257">
        <v>2003</v>
      </c>
      <c r="M1393" s="261">
        <v>8.6</v>
      </c>
      <c r="N1393" s="257">
        <v>-9999</v>
      </c>
      <c r="O1393" s="29">
        <v>1.7</v>
      </c>
      <c r="P1393" s="370">
        <f>+M1393*O1393</f>
        <v>14.62</v>
      </c>
      <c r="Q1393" s="257">
        <v>-9999</v>
      </c>
      <c r="R1393" s="261">
        <v>8.6</v>
      </c>
      <c r="S1393" s="257"/>
      <c r="T1393" s="370">
        <f>+P1393/G1393</f>
        <v>5.8479999999999999</v>
      </c>
      <c r="U1393" s="257">
        <v>-9999</v>
      </c>
      <c r="V1393" s="257"/>
      <c r="W1393" s="370">
        <f>+P1393-W1392</f>
        <v>8.3299999999999983</v>
      </c>
      <c r="X1393" s="257">
        <v>-9999</v>
      </c>
      <c r="Y1393" s="257"/>
      <c r="Z1393" s="257" t="s">
        <v>173</v>
      </c>
      <c r="AA1393" s="257">
        <v>4200</v>
      </c>
      <c r="AB1393" s="261">
        <v>0.87</v>
      </c>
      <c r="AC1393" s="297">
        <v>0.15</v>
      </c>
      <c r="AD1393" s="358">
        <v>225</v>
      </c>
      <c r="AE1393" s="299" t="s">
        <v>280</v>
      </c>
      <c r="AF1393" s="257">
        <v>-9999</v>
      </c>
      <c r="AG1393" s="257">
        <v>-9999</v>
      </c>
      <c r="AH1393" s="257" t="s">
        <v>857</v>
      </c>
      <c r="AI1393" s="257">
        <v>-9999</v>
      </c>
      <c r="AJ1393" s="257">
        <v>10</v>
      </c>
      <c r="AK1393" s="257" t="s">
        <v>671</v>
      </c>
      <c r="AL1393" s="257" t="s">
        <v>828</v>
      </c>
      <c r="AM1393" s="257" t="s">
        <v>262</v>
      </c>
      <c r="AN1393" s="257" t="s">
        <v>631</v>
      </c>
      <c r="AO1393" s="257">
        <v>-9999</v>
      </c>
      <c r="AP1393" s="257">
        <v>-9999</v>
      </c>
      <c r="AQ1393" s="257" t="s">
        <v>631</v>
      </c>
      <c r="AR1393" s="263">
        <v>0</v>
      </c>
      <c r="AS1393" s="257">
        <v>-9999</v>
      </c>
      <c r="AT1393" s="257">
        <v>-9999</v>
      </c>
      <c r="AU1393" s="263">
        <v>0</v>
      </c>
      <c r="AV1393" s="257">
        <v>-9999</v>
      </c>
      <c r="AW1393" s="257">
        <v>-9999</v>
      </c>
      <c r="AX1393" s="257">
        <v>0</v>
      </c>
      <c r="AY1393" s="257">
        <v>-9999</v>
      </c>
      <c r="AZ1393" s="257">
        <v>-9999</v>
      </c>
      <c r="BA1393" s="257">
        <v>-9999</v>
      </c>
      <c r="BB1393" s="257">
        <v>-9999</v>
      </c>
      <c r="BC1393" s="257">
        <v>-9999</v>
      </c>
      <c r="BD1393" s="257">
        <v>-9999</v>
      </c>
      <c r="BE1393" s="257">
        <v>-9999</v>
      </c>
      <c r="BF1393" s="257">
        <v>-9999</v>
      </c>
      <c r="BG1393" s="257">
        <v>-9999</v>
      </c>
      <c r="BH1393" s="257">
        <v>-9999</v>
      </c>
      <c r="BI1393" s="257">
        <v>-9999</v>
      </c>
      <c r="BJ1393" s="300">
        <v>-9999</v>
      </c>
      <c r="BK1393" s="300">
        <v>-9999</v>
      </c>
      <c r="BL1393" s="300">
        <v>-9999</v>
      </c>
      <c r="BM1393" s="300">
        <v>-9999</v>
      </c>
      <c r="BN1393" s="300">
        <v>-9999</v>
      </c>
      <c r="BO1393" s="300">
        <v>-9999</v>
      </c>
      <c r="BP1393" s="300">
        <v>-9999</v>
      </c>
      <c r="BQ1393" s="300">
        <v>-9999</v>
      </c>
      <c r="BR1393" s="300">
        <v>-9999</v>
      </c>
      <c r="BS1393" s="620">
        <v>-9999</v>
      </c>
      <c r="BT1393" s="300">
        <v>-9999</v>
      </c>
      <c r="BU1393" s="300">
        <v>-9999</v>
      </c>
      <c r="BV1393" s="300">
        <v>-9999</v>
      </c>
      <c r="BW1393" s="300"/>
      <c r="BX1393" s="300">
        <v>-9999</v>
      </c>
      <c r="BY1393" s="300">
        <v>-9999</v>
      </c>
      <c r="BZ1393" s="300">
        <v>-9999</v>
      </c>
      <c r="CA1393" s="300">
        <v>-9999</v>
      </c>
      <c r="CB1393" s="264"/>
      <c r="CC1393" s="257">
        <v>1</v>
      </c>
      <c r="CD1393" s="257">
        <v>2.5</v>
      </c>
      <c r="CE1393" s="394">
        <v>5.8479999999999999</v>
      </c>
      <c r="CF1393" s="292">
        <v>8.3299999999999983</v>
      </c>
      <c r="CG1393" s="213">
        <v>2.5</v>
      </c>
      <c r="CH1393" s="438" t="s">
        <v>1757</v>
      </c>
    </row>
    <row r="1394" spans="1:86" s="23" customFormat="1" x14ac:dyDescent="0.2">
      <c r="A1394" s="257" t="s">
        <v>1333</v>
      </c>
      <c r="B1394" s="257" t="s">
        <v>659</v>
      </c>
      <c r="C1394" s="257" t="s">
        <v>663</v>
      </c>
      <c r="D1394" s="257" t="s">
        <v>317</v>
      </c>
      <c r="E1394" s="327" t="s">
        <v>1546</v>
      </c>
      <c r="F1394" s="257">
        <v>1</v>
      </c>
      <c r="G1394" s="257">
        <v>3.2</v>
      </c>
      <c r="H1394" s="257">
        <v>3.2</v>
      </c>
      <c r="I1394" s="257" t="s">
        <v>468</v>
      </c>
      <c r="J1394" s="257">
        <v>2001</v>
      </c>
      <c r="K1394" s="257" t="s">
        <v>672</v>
      </c>
      <c r="L1394" s="257">
        <v>2004</v>
      </c>
      <c r="M1394" s="261">
        <v>10.3</v>
      </c>
      <c r="N1394" s="257">
        <v>-9999</v>
      </c>
      <c r="O1394" s="29">
        <v>1.7</v>
      </c>
      <c r="P1394" s="370">
        <f>+M1394*O1394</f>
        <v>17.510000000000002</v>
      </c>
      <c r="Q1394" s="257">
        <v>-9999</v>
      </c>
      <c r="R1394" s="261">
        <v>10.3</v>
      </c>
      <c r="S1394" s="257"/>
      <c r="T1394" s="370">
        <f>+P1394/G1394</f>
        <v>5.4718749999999998</v>
      </c>
      <c r="U1394" s="257">
        <v>-9999</v>
      </c>
      <c r="V1394" s="257"/>
      <c r="W1394" s="370">
        <f>+P1394-W1393</f>
        <v>9.1800000000000033</v>
      </c>
      <c r="X1394" s="257">
        <v>-9999</v>
      </c>
      <c r="Y1394" s="257"/>
      <c r="Z1394" s="257" t="s">
        <v>173</v>
      </c>
      <c r="AA1394" s="257">
        <v>4200</v>
      </c>
      <c r="AB1394" s="261">
        <v>0.87</v>
      </c>
      <c r="AC1394" s="297">
        <v>0.15</v>
      </c>
      <c r="AD1394" s="358">
        <v>225</v>
      </c>
      <c r="AE1394" s="299" t="s">
        <v>280</v>
      </c>
      <c r="AF1394" s="257">
        <v>-9999</v>
      </c>
      <c r="AG1394" s="257">
        <v>-9999</v>
      </c>
      <c r="AH1394" s="257" t="s">
        <v>857</v>
      </c>
      <c r="AI1394" s="257">
        <v>-9999</v>
      </c>
      <c r="AJ1394" s="257">
        <v>10</v>
      </c>
      <c r="AK1394" s="257" t="s">
        <v>671</v>
      </c>
      <c r="AL1394" s="257" t="s">
        <v>828</v>
      </c>
      <c r="AM1394" s="257" t="s">
        <v>262</v>
      </c>
      <c r="AN1394" s="257" t="s">
        <v>631</v>
      </c>
      <c r="AO1394" s="257">
        <v>-9999</v>
      </c>
      <c r="AP1394" s="257">
        <v>-9999</v>
      </c>
      <c r="AQ1394" s="257" t="s">
        <v>631</v>
      </c>
      <c r="AR1394" s="263">
        <v>0</v>
      </c>
      <c r="AS1394" s="257">
        <v>-9999</v>
      </c>
      <c r="AT1394" s="257">
        <v>-9999</v>
      </c>
      <c r="AU1394" s="263">
        <v>0</v>
      </c>
      <c r="AV1394" s="257">
        <v>-9999</v>
      </c>
      <c r="AW1394" s="257">
        <v>-9999</v>
      </c>
      <c r="AX1394" s="257">
        <v>0</v>
      </c>
      <c r="AY1394" s="257">
        <v>-9999</v>
      </c>
      <c r="AZ1394" s="257">
        <v>-9999</v>
      </c>
      <c r="BA1394" s="257">
        <v>-9999</v>
      </c>
      <c r="BB1394" s="257">
        <v>-9999</v>
      </c>
      <c r="BC1394" s="257">
        <v>-9999</v>
      </c>
      <c r="BD1394" s="257">
        <v>-9999</v>
      </c>
      <c r="BE1394" s="257">
        <v>-9999</v>
      </c>
      <c r="BF1394" s="257">
        <v>-9999</v>
      </c>
      <c r="BG1394" s="257">
        <v>-9999</v>
      </c>
      <c r="BH1394" s="257">
        <v>-9999</v>
      </c>
      <c r="BI1394" s="257">
        <v>-9999</v>
      </c>
      <c r="BJ1394" s="300">
        <v>-9999</v>
      </c>
      <c r="BK1394" s="300">
        <v>-9999</v>
      </c>
      <c r="BL1394" s="300">
        <v>-9999</v>
      </c>
      <c r="BM1394" s="300">
        <v>-9999</v>
      </c>
      <c r="BN1394" s="300">
        <v>-9999</v>
      </c>
      <c r="BO1394" s="300">
        <v>-9999</v>
      </c>
      <c r="BP1394" s="300">
        <v>-9999</v>
      </c>
      <c r="BQ1394" s="300">
        <v>-9999</v>
      </c>
      <c r="BR1394" s="300">
        <v>-9999</v>
      </c>
      <c r="BS1394" s="620">
        <v>-9999</v>
      </c>
      <c r="BT1394" s="300">
        <v>-9999</v>
      </c>
      <c r="BU1394" s="300">
        <v>-9999</v>
      </c>
      <c r="BV1394" s="300">
        <v>-9999</v>
      </c>
      <c r="BW1394" s="300"/>
      <c r="BX1394" s="300">
        <v>-9999</v>
      </c>
      <c r="BY1394" s="300">
        <v>-9999</v>
      </c>
      <c r="BZ1394" s="300">
        <v>-9999</v>
      </c>
      <c r="CA1394" s="300">
        <v>-9999</v>
      </c>
      <c r="CB1394" s="264"/>
      <c r="CC1394" s="257">
        <v>1</v>
      </c>
      <c r="CD1394" s="257">
        <v>3.2</v>
      </c>
      <c r="CE1394" s="292">
        <v>5.4718749999999998</v>
      </c>
      <c r="CF1394" s="292">
        <v>9.1800000000000033</v>
      </c>
      <c r="CG1394" s="43">
        <v>3.2</v>
      </c>
    </row>
    <row r="1395" spans="1:86" s="23" customFormat="1" x14ac:dyDescent="0.2">
      <c r="A1395" s="257" t="s">
        <v>1333</v>
      </c>
      <c r="B1395" s="257" t="s">
        <v>659</v>
      </c>
      <c r="C1395" s="257" t="s">
        <v>663</v>
      </c>
      <c r="D1395" s="257" t="s">
        <v>317</v>
      </c>
      <c r="E1395" s="327" t="s">
        <v>1546</v>
      </c>
      <c r="F1395" s="257">
        <v>1</v>
      </c>
      <c r="G1395" s="257">
        <v>3.5</v>
      </c>
      <c r="H1395" s="257">
        <v>3.5</v>
      </c>
      <c r="I1395" s="257" t="s">
        <v>468</v>
      </c>
      <c r="J1395" s="257">
        <v>2001</v>
      </c>
      <c r="K1395" s="257" t="s">
        <v>856</v>
      </c>
      <c r="L1395" s="257">
        <v>2005</v>
      </c>
      <c r="M1395" s="261">
        <v>11.2</v>
      </c>
      <c r="N1395" s="257">
        <v>-9999</v>
      </c>
      <c r="O1395" s="29">
        <v>1.7</v>
      </c>
      <c r="P1395" s="370">
        <f>+M1395*O1395</f>
        <v>19.04</v>
      </c>
      <c r="Q1395" s="257">
        <v>-9999</v>
      </c>
      <c r="R1395" s="261">
        <v>11.2</v>
      </c>
      <c r="S1395" s="257"/>
      <c r="T1395" s="370">
        <f>+P1395/G1395</f>
        <v>5.4399999999999995</v>
      </c>
      <c r="U1395" s="257">
        <v>-9999</v>
      </c>
      <c r="V1395" s="257"/>
      <c r="W1395" s="370">
        <f>+P1395-W1394</f>
        <v>9.8599999999999959</v>
      </c>
      <c r="X1395" s="257">
        <v>-9999</v>
      </c>
      <c r="Y1395" s="257"/>
      <c r="Z1395" s="257" t="s">
        <v>173</v>
      </c>
      <c r="AA1395" s="257">
        <v>4200</v>
      </c>
      <c r="AB1395" s="261">
        <v>0.87</v>
      </c>
      <c r="AC1395" s="297">
        <v>0.15</v>
      </c>
      <c r="AD1395" s="358">
        <v>225</v>
      </c>
      <c r="AE1395" s="299" t="s">
        <v>280</v>
      </c>
      <c r="AF1395" s="257">
        <v>-9999</v>
      </c>
      <c r="AG1395" s="257">
        <v>-9999</v>
      </c>
      <c r="AH1395" s="257" t="s">
        <v>857</v>
      </c>
      <c r="AI1395" s="257">
        <v>-9999</v>
      </c>
      <c r="AJ1395" s="257">
        <v>10</v>
      </c>
      <c r="AK1395" s="257" t="s">
        <v>671</v>
      </c>
      <c r="AL1395" s="257" t="s">
        <v>828</v>
      </c>
      <c r="AM1395" s="257" t="s">
        <v>262</v>
      </c>
      <c r="AN1395" s="257" t="s">
        <v>631</v>
      </c>
      <c r="AO1395" s="257">
        <v>-9999</v>
      </c>
      <c r="AP1395" s="257">
        <v>-9999</v>
      </c>
      <c r="AQ1395" s="257" t="s">
        <v>631</v>
      </c>
      <c r="AR1395" s="263">
        <v>0</v>
      </c>
      <c r="AS1395" s="257">
        <v>-9999</v>
      </c>
      <c r="AT1395" s="257">
        <v>-9999</v>
      </c>
      <c r="AU1395" s="263">
        <v>0</v>
      </c>
      <c r="AV1395" s="257">
        <v>-9999</v>
      </c>
      <c r="AW1395" s="257">
        <v>-9999</v>
      </c>
      <c r="AX1395" s="257">
        <v>0</v>
      </c>
      <c r="AY1395" s="257">
        <v>-9999</v>
      </c>
      <c r="AZ1395" s="257">
        <v>-9999</v>
      </c>
      <c r="BA1395" s="257">
        <v>-9999</v>
      </c>
      <c r="BB1395" s="257">
        <v>-9999</v>
      </c>
      <c r="BC1395" s="257">
        <v>-9999</v>
      </c>
      <c r="BD1395" s="257">
        <v>-9999</v>
      </c>
      <c r="BE1395" s="257">
        <v>-9999</v>
      </c>
      <c r="BF1395" s="257">
        <v>-9999</v>
      </c>
      <c r="BG1395" s="257">
        <v>-9999</v>
      </c>
      <c r="BH1395" s="257">
        <v>-9999</v>
      </c>
      <c r="BI1395" s="257">
        <v>-9999</v>
      </c>
      <c r="BJ1395" s="300">
        <v>-9999</v>
      </c>
      <c r="BK1395" s="300">
        <v>-9999</v>
      </c>
      <c r="BL1395" s="300">
        <v>-9999</v>
      </c>
      <c r="BM1395" s="300">
        <v>-9999</v>
      </c>
      <c r="BN1395" s="300">
        <v>-9999</v>
      </c>
      <c r="BO1395" s="300">
        <v>-9999</v>
      </c>
      <c r="BP1395" s="300">
        <v>-9999</v>
      </c>
      <c r="BQ1395" s="300">
        <v>-9999</v>
      </c>
      <c r="BR1395" s="300">
        <v>-9999</v>
      </c>
      <c r="BS1395" s="620">
        <v>-9999</v>
      </c>
      <c r="BT1395" s="300">
        <v>-9999</v>
      </c>
      <c r="BU1395" s="300">
        <v>-9999</v>
      </c>
      <c r="BV1395" s="300">
        <v>-9999</v>
      </c>
      <c r="BW1395" s="300"/>
      <c r="BX1395" s="300">
        <v>-9999</v>
      </c>
      <c r="BY1395" s="300">
        <v>-9999</v>
      </c>
      <c r="BZ1395" s="300">
        <v>-9999</v>
      </c>
      <c r="CA1395" s="300">
        <v>-9999</v>
      </c>
      <c r="CB1395" s="264"/>
      <c r="CC1395" s="257">
        <v>1</v>
      </c>
      <c r="CD1395" s="257">
        <v>3.5</v>
      </c>
      <c r="CE1395" s="292">
        <v>5.4399999999999995</v>
      </c>
      <c r="CF1395" s="292">
        <v>9.8599999999999959</v>
      </c>
      <c r="CG1395" s="43">
        <v>3.5</v>
      </c>
    </row>
    <row r="1396" spans="1:86" s="23" customFormat="1" x14ac:dyDescent="0.2">
      <c r="A1396" s="257"/>
      <c r="B1396" s="257"/>
      <c r="C1396" s="257"/>
      <c r="D1396" s="257"/>
      <c r="E1396" s="257"/>
      <c r="F1396" s="257"/>
      <c r="G1396" s="257"/>
      <c r="H1396" s="257"/>
      <c r="I1396" s="257"/>
      <c r="J1396" s="257"/>
      <c r="K1396" s="257"/>
      <c r="L1396" s="257"/>
      <c r="M1396" s="261"/>
      <c r="N1396" s="257"/>
      <c r="O1396" s="29"/>
      <c r="P1396" s="370"/>
      <c r="Q1396" s="257"/>
      <c r="R1396" s="261"/>
      <c r="S1396" s="257"/>
      <c r="T1396" s="370"/>
      <c r="U1396" s="257"/>
      <c r="V1396" s="257"/>
      <c r="W1396" s="370"/>
      <c r="X1396" s="257"/>
      <c r="Y1396" s="257"/>
      <c r="Z1396" s="257"/>
      <c r="AA1396" s="264"/>
      <c r="AB1396" s="286"/>
      <c r="AC1396" s="297"/>
      <c r="AD1396" s="358"/>
      <c r="AE1396" s="299"/>
      <c r="AF1396" s="257"/>
      <c r="AG1396" s="257"/>
      <c r="AH1396" s="257"/>
      <c r="AI1396" s="257"/>
      <c r="AJ1396" s="257"/>
      <c r="AK1396" s="257"/>
      <c r="AL1396" s="257"/>
      <c r="AM1396" s="257"/>
      <c r="AN1396" s="257"/>
      <c r="AO1396" s="257"/>
      <c r="AP1396" s="257"/>
      <c r="AQ1396" s="257"/>
      <c r="AR1396" s="263"/>
      <c r="AS1396" s="257"/>
      <c r="AT1396" s="257"/>
      <c r="AU1396" s="263"/>
      <c r="AV1396" s="257"/>
      <c r="AW1396" s="257"/>
      <c r="AX1396" s="257"/>
      <c r="AY1396" s="257"/>
      <c r="AZ1396" s="257"/>
      <c r="BA1396" s="257"/>
      <c r="BB1396" s="257"/>
      <c r="BC1396" s="257"/>
      <c r="BD1396" s="257"/>
      <c r="BE1396" s="257"/>
      <c r="BF1396" s="257"/>
      <c r="BG1396" s="257"/>
      <c r="BH1396" s="257"/>
      <c r="BI1396" s="257"/>
      <c r="BJ1396" s="300"/>
      <c r="BK1396" s="300"/>
      <c r="BL1396" s="300"/>
      <c r="BM1396" s="300"/>
      <c r="BN1396" s="300"/>
      <c r="BO1396" s="300"/>
      <c r="BP1396" s="300"/>
      <c r="BQ1396" s="300"/>
      <c r="BR1396" s="300"/>
      <c r="BS1396" s="620"/>
      <c r="BT1396" s="300"/>
      <c r="BU1396" s="300"/>
      <c r="BV1396" s="300"/>
      <c r="BW1396" s="300"/>
      <c r="BX1396" s="300"/>
      <c r="BY1396" s="300"/>
      <c r="BZ1396" s="300"/>
      <c r="CA1396" s="300"/>
      <c r="CB1396" s="264"/>
      <c r="CC1396" s="257"/>
      <c r="CD1396" s="327" t="s">
        <v>1632</v>
      </c>
      <c r="CE1396" s="342" t="s">
        <v>1576</v>
      </c>
      <c r="CF1396" s="342" t="s">
        <v>1575</v>
      </c>
      <c r="CG1396" s="43"/>
    </row>
    <row r="1397" spans="1:86" s="23" customFormat="1" x14ac:dyDescent="0.2">
      <c r="A1397" s="257" t="s">
        <v>1333</v>
      </c>
      <c r="B1397" s="257" t="s">
        <v>659</v>
      </c>
      <c r="C1397" s="257" t="s">
        <v>663</v>
      </c>
      <c r="D1397" s="257" t="s">
        <v>317</v>
      </c>
      <c r="E1397" s="327" t="s">
        <v>1547</v>
      </c>
      <c r="F1397" s="257">
        <v>1</v>
      </c>
      <c r="G1397" s="257">
        <v>1.1000000000000001</v>
      </c>
      <c r="H1397" s="257">
        <v>1.1000000000000001</v>
      </c>
      <c r="I1397" s="257" t="s">
        <v>468</v>
      </c>
      <c r="J1397" s="257">
        <v>2001</v>
      </c>
      <c r="K1397" s="257" t="s">
        <v>672</v>
      </c>
      <c r="L1397" s="257">
        <v>2002</v>
      </c>
      <c r="M1397" s="261">
        <v>1.3</v>
      </c>
      <c r="N1397" s="257">
        <v>-9999</v>
      </c>
      <c r="O1397" s="29">
        <v>1.7</v>
      </c>
      <c r="P1397" s="370">
        <f>+M1397*O1397</f>
        <v>2.21</v>
      </c>
      <c r="Q1397" s="257">
        <v>-9999</v>
      </c>
      <c r="R1397" s="261">
        <v>1.3</v>
      </c>
      <c r="S1397" s="257"/>
      <c r="T1397" s="370">
        <f>+P1397/G1397</f>
        <v>2.0090909090909088</v>
      </c>
      <c r="U1397" s="257">
        <v>-9999</v>
      </c>
      <c r="V1397" s="257"/>
      <c r="W1397" s="370">
        <f>+P1397</f>
        <v>2.21</v>
      </c>
      <c r="X1397" s="257">
        <v>-9999</v>
      </c>
      <c r="Y1397" s="257"/>
      <c r="Z1397" s="257" t="s">
        <v>173</v>
      </c>
      <c r="AA1397" s="257">
        <v>4200</v>
      </c>
      <c r="AB1397" s="261">
        <v>1</v>
      </c>
      <c r="AC1397" s="297">
        <v>0.15</v>
      </c>
      <c r="AD1397" s="358">
        <v>225</v>
      </c>
      <c r="AE1397" s="299" t="s">
        <v>280</v>
      </c>
      <c r="AF1397" s="257">
        <v>-9999</v>
      </c>
      <c r="AG1397" s="257">
        <v>-9999</v>
      </c>
      <c r="AH1397" s="257" t="s">
        <v>857</v>
      </c>
      <c r="AI1397" s="257">
        <v>-9999</v>
      </c>
      <c r="AJ1397" s="257">
        <v>10</v>
      </c>
      <c r="AK1397" s="257" t="s">
        <v>671</v>
      </c>
      <c r="AL1397" s="257" t="s">
        <v>828</v>
      </c>
      <c r="AM1397" s="257" t="s">
        <v>262</v>
      </c>
      <c r="AN1397" s="257" t="s">
        <v>631</v>
      </c>
      <c r="AO1397" s="257">
        <v>-9999</v>
      </c>
      <c r="AP1397" s="257">
        <v>-9999</v>
      </c>
      <c r="AQ1397" s="257" t="s">
        <v>631</v>
      </c>
      <c r="AR1397" s="263">
        <v>0</v>
      </c>
      <c r="AS1397" s="257">
        <v>-9999</v>
      </c>
      <c r="AT1397" s="257">
        <v>-9999</v>
      </c>
      <c r="AU1397" s="263">
        <v>0</v>
      </c>
      <c r="AV1397" s="257">
        <v>-9999</v>
      </c>
      <c r="AW1397" s="257">
        <v>-9999</v>
      </c>
      <c r="AX1397" s="257">
        <v>0</v>
      </c>
      <c r="AY1397" s="257">
        <v>-9999</v>
      </c>
      <c r="AZ1397" s="257">
        <v>-9999</v>
      </c>
      <c r="BA1397" s="257">
        <v>-9999</v>
      </c>
      <c r="BB1397" s="257">
        <v>-9999</v>
      </c>
      <c r="BC1397" s="257">
        <v>-9999</v>
      </c>
      <c r="BD1397" s="257">
        <v>-9999</v>
      </c>
      <c r="BE1397" s="257">
        <v>-9999</v>
      </c>
      <c r="BF1397" s="257">
        <v>-9999</v>
      </c>
      <c r="BG1397" s="257">
        <v>-9999</v>
      </c>
      <c r="BH1397" s="257">
        <v>-9999</v>
      </c>
      <c r="BI1397" s="257">
        <v>-9999</v>
      </c>
      <c r="BJ1397" s="300">
        <v>-9999</v>
      </c>
      <c r="BK1397" s="300">
        <v>-9999</v>
      </c>
      <c r="BL1397" s="300">
        <v>-9999</v>
      </c>
      <c r="BM1397" s="300">
        <v>-9999</v>
      </c>
      <c r="BN1397" s="300">
        <v>-9999</v>
      </c>
      <c r="BO1397" s="300">
        <v>-9999</v>
      </c>
      <c r="BP1397" s="300">
        <v>-9999</v>
      </c>
      <c r="BQ1397" s="300">
        <v>-9999</v>
      </c>
      <c r="BR1397" s="300">
        <v>-9999</v>
      </c>
      <c r="BS1397" s="620">
        <v>-9999</v>
      </c>
      <c r="BT1397" s="300">
        <v>-9999</v>
      </c>
      <c r="BU1397" s="300">
        <v>-9999</v>
      </c>
      <c r="BV1397" s="300">
        <v>-9999</v>
      </c>
      <c r="BW1397" s="300"/>
      <c r="BX1397" s="300">
        <v>-9999</v>
      </c>
      <c r="BY1397" s="300">
        <v>-9999</v>
      </c>
      <c r="BZ1397" s="300">
        <v>-9999</v>
      </c>
      <c r="CA1397" s="300">
        <v>-9999</v>
      </c>
      <c r="CB1397" s="264"/>
      <c r="CC1397" s="257">
        <v>1</v>
      </c>
      <c r="CD1397" s="257">
        <v>1.1000000000000001</v>
      </c>
      <c r="CE1397" s="292">
        <v>2.0090909090909088</v>
      </c>
      <c r="CF1397" s="292">
        <v>2.21</v>
      </c>
      <c r="CG1397" s="43">
        <v>1.1000000000000001</v>
      </c>
    </row>
    <row r="1398" spans="1:86" s="23" customFormat="1" x14ac:dyDescent="0.2">
      <c r="A1398" s="257" t="s">
        <v>1333</v>
      </c>
      <c r="B1398" s="257" t="s">
        <v>659</v>
      </c>
      <c r="C1398" s="257" t="s">
        <v>663</v>
      </c>
      <c r="D1398" s="257" t="s">
        <v>317</v>
      </c>
      <c r="E1398" s="327" t="s">
        <v>1547</v>
      </c>
      <c r="F1398" s="257">
        <v>1</v>
      </c>
      <c r="G1398" s="257">
        <v>2</v>
      </c>
      <c r="H1398" s="257">
        <v>2</v>
      </c>
      <c r="I1398" s="257" t="s">
        <v>468</v>
      </c>
      <c r="J1398" s="257">
        <v>2001</v>
      </c>
      <c r="K1398" s="257" t="s">
        <v>468</v>
      </c>
      <c r="L1398" s="257">
        <v>2003</v>
      </c>
      <c r="M1398" s="261">
        <v>9.6999999999999993</v>
      </c>
      <c r="N1398" s="257">
        <v>-9999</v>
      </c>
      <c r="O1398" s="29">
        <v>1.7</v>
      </c>
      <c r="P1398" s="370">
        <f>+M1398*O1398</f>
        <v>16.489999999999998</v>
      </c>
      <c r="Q1398" s="257">
        <v>-9999</v>
      </c>
      <c r="R1398" s="261">
        <v>9.6999999999999993</v>
      </c>
      <c r="S1398" s="257"/>
      <c r="T1398" s="370">
        <f>+P1398/G1398</f>
        <v>8.2449999999999992</v>
      </c>
      <c r="U1398" s="257">
        <v>-9999</v>
      </c>
      <c r="V1398" s="257"/>
      <c r="W1398" s="370">
        <f>+P1398-W1397</f>
        <v>14.279999999999998</v>
      </c>
      <c r="X1398" s="257">
        <v>-9999</v>
      </c>
      <c r="Y1398" s="257"/>
      <c r="Z1398" s="257" t="s">
        <v>173</v>
      </c>
      <c r="AA1398" s="257">
        <v>4200</v>
      </c>
      <c r="AB1398" s="261">
        <v>0.92</v>
      </c>
      <c r="AC1398" s="297">
        <v>0.15</v>
      </c>
      <c r="AD1398" s="358">
        <v>225</v>
      </c>
      <c r="AE1398" s="299" t="s">
        <v>280</v>
      </c>
      <c r="AF1398" s="257">
        <v>-9999</v>
      </c>
      <c r="AG1398" s="257">
        <v>-9999</v>
      </c>
      <c r="AH1398" s="257" t="s">
        <v>857</v>
      </c>
      <c r="AI1398" s="257">
        <v>-9999</v>
      </c>
      <c r="AJ1398" s="257">
        <v>10</v>
      </c>
      <c r="AK1398" s="257" t="s">
        <v>671</v>
      </c>
      <c r="AL1398" s="257" t="s">
        <v>828</v>
      </c>
      <c r="AM1398" s="257" t="s">
        <v>262</v>
      </c>
      <c r="AN1398" s="257" t="s">
        <v>631</v>
      </c>
      <c r="AO1398" s="257">
        <v>-9999</v>
      </c>
      <c r="AP1398" s="257">
        <v>-9999</v>
      </c>
      <c r="AQ1398" s="257" t="s">
        <v>631</v>
      </c>
      <c r="AR1398" s="263">
        <v>0</v>
      </c>
      <c r="AS1398" s="257">
        <v>-9999</v>
      </c>
      <c r="AT1398" s="257">
        <v>-9999</v>
      </c>
      <c r="AU1398" s="263">
        <v>0</v>
      </c>
      <c r="AV1398" s="257">
        <v>-9999</v>
      </c>
      <c r="AW1398" s="257">
        <v>-9999</v>
      </c>
      <c r="AX1398" s="257">
        <v>0</v>
      </c>
      <c r="AY1398" s="257">
        <v>-9999</v>
      </c>
      <c r="AZ1398" s="257">
        <v>-9999</v>
      </c>
      <c r="BA1398" s="257">
        <v>-9999</v>
      </c>
      <c r="BB1398" s="257">
        <v>-9999</v>
      </c>
      <c r="BC1398" s="257">
        <v>-9999</v>
      </c>
      <c r="BD1398" s="257">
        <v>-9999</v>
      </c>
      <c r="BE1398" s="257">
        <v>-9999</v>
      </c>
      <c r="BF1398" s="257">
        <v>-9999</v>
      </c>
      <c r="BG1398" s="257">
        <v>-9999</v>
      </c>
      <c r="BH1398" s="257">
        <v>-9999</v>
      </c>
      <c r="BI1398" s="257">
        <v>-9999</v>
      </c>
      <c r="BJ1398" s="300">
        <v>-9999</v>
      </c>
      <c r="BK1398" s="300">
        <v>-9999</v>
      </c>
      <c r="BL1398" s="300">
        <v>-9999</v>
      </c>
      <c r="BM1398" s="300">
        <v>-9999</v>
      </c>
      <c r="BN1398" s="300">
        <v>-9999</v>
      </c>
      <c r="BO1398" s="300">
        <v>-9999</v>
      </c>
      <c r="BP1398" s="300">
        <v>-9999</v>
      </c>
      <c r="BQ1398" s="300">
        <v>-9999</v>
      </c>
      <c r="BR1398" s="300">
        <v>-9999</v>
      </c>
      <c r="BS1398" s="620">
        <v>-9999</v>
      </c>
      <c r="BT1398" s="300">
        <v>-9999</v>
      </c>
      <c r="BU1398" s="300">
        <v>-9999</v>
      </c>
      <c r="BV1398" s="300">
        <v>-9999</v>
      </c>
      <c r="BW1398" s="300"/>
      <c r="BX1398" s="300">
        <v>-9999</v>
      </c>
      <c r="BY1398" s="300">
        <v>-9999</v>
      </c>
      <c r="BZ1398" s="300">
        <v>-9999</v>
      </c>
      <c r="CA1398" s="300">
        <v>-9999</v>
      </c>
      <c r="CB1398" s="264"/>
      <c r="CC1398" s="257">
        <v>1</v>
      </c>
      <c r="CD1398" s="257">
        <v>2</v>
      </c>
      <c r="CE1398" s="292">
        <v>8.2449999999999992</v>
      </c>
      <c r="CF1398" s="292">
        <v>14.279999999999998</v>
      </c>
      <c r="CG1398" s="43">
        <v>2</v>
      </c>
    </row>
    <row r="1399" spans="1:86" s="23" customFormat="1" x14ac:dyDescent="0.2">
      <c r="A1399" s="257" t="s">
        <v>1333</v>
      </c>
      <c r="B1399" s="257" t="s">
        <v>659</v>
      </c>
      <c r="C1399" s="257" t="s">
        <v>663</v>
      </c>
      <c r="D1399" s="257" t="s">
        <v>317</v>
      </c>
      <c r="E1399" s="327" t="s">
        <v>1547</v>
      </c>
      <c r="F1399" s="257">
        <v>1</v>
      </c>
      <c r="G1399" s="257">
        <v>2.5</v>
      </c>
      <c r="H1399" s="257">
        <v>2.5</v>
      </c>
      <c r="I1399" s="257" t="s">
        <v>468</v>
      </c>
      <c r="J1399" s="257">
        <v>2001</v>
      </c>
      <c r="K1399" s="257" t="s">
        <v>1211</v>
      </c>
      <c r="L1399" s="257">
        <v>2003</v>
      </c>
      <c r="M1399" s="261">
        <v>16.8</v>
      </c>
      <c r="N1399" s="257">
        <v>-9999</v>
      </c>
      <c r="O1399" s="29">
        <v>1.7</v>
      </c>
      <c r="P1399" s="370">
        <f>+M1399*O1399</f>
        <v>28.56</v>
      </c>
      <c r="Q1399" s="257">
        <v>-9999</v>
      </c>
      <c r="R1399" s="261">
        <v>16.8</v>
      </c>
      <c r="S1399" s="257"/>
      <c r="T1399" s="370">
        <f>+P1399/G1399</f>
        <v>11.423999999999999</v>
      </c>
      <c r="U1399" s="257">
        <v>-9999</v>
      </c>
      <c r="V1399" s="257"/>
      <c r="W1399" s="370">
        <f>+P1399-W1398</f>
        <v>14.280000000000001</v>
      </c>
      <c r="X1399" s="257">
        <v>-9999</v>
      </c>
      <c r="Y1399" s="257"/>
      <c r="Z1399" s="257" t="s">
        <v>173</v>
      </c>
      <c r="AA1399" s="257">
        <v>4200</v>
      </c>
      <c r="AB1399" s="261">
        <v>0.87</v>
      </c>
      <c r="AC1399" s="297">
        <v>0.15</v>
      </c>
      <c r="AD1399" s="358">
        <v>225</v>
      </c>
      <c r="AE1399" s="299" t="s">
        <v>280</v>
      </c>
      <c r="AF1399" s="257">
        <v>-9999</v>
      </c>
      <c r="AG1399" s="257">
        <v>-9999</v>
      </c>
      <c r="AH1399" s="257" t="s">
        <v>857</v>
      </c>
      <c r="AI1399" s="257">
        <v>-9999</v>
      </c>
      <c r="AJ1399" s="257">
        <v>10</v>
      </c>
      <c r="AK1399" s="257" t="s">
        <v>671</v>
      </c>
      <c r="AL1399" s="257" t="s">
        <v>828</v>
      </c>
      <c r="AM1399" s="257" t="s">
        <v>262</v>
      </c>
      <c r="AN1399" s="257" t="s">
        <v>631</v>
      </c>
      <c r="AO1399" s="257">
        <v>-9999</v>
      </c>
      <c r="AP1399" s="257">
        <v>-9999</v>
      </c>
      <c r="AQ1399" s="257" t="s">
        <v>631</v>
      </c>
      <c r="AR1399" s="263">
        <v>0</v>
      </c>
      <c r="AS1399" s="257">
        <v>-9999</v>
      </c>
      <c r="AT1399" s="257">
        <v>-9999</v>
      </c>
      <c r="AU1399" s="263">
        <v>0</v>
      </c>
      <c r="AV1399" s="257">
        <v>-9999</v>
      </c>
      <c r="AW1399" s="257">
        <v>-9999</v>
      </c>
      <c r="AX1399" s="257">
        <v>0</v>
      </c>
      <c r="AY1399" s="257">
        <v>-9999</v>
      </c>
      <c r="AZ1399" s="257">
        <v>-9999</v>
      </c>
      <c r="BA1399" s="257">
        <v>-9999</v>
      </c>
      <c r="BB1399" s="257">
        <v>-9999</v>
      </c>
      <c r="BC1399" s="257">
        <v>-9999</v>
      </c>
      <c r="BD1399" s="257">
        <v>-9999</v>
      </c>
      <c r="BE1399" s="257">
        <v>-9999</v>
      </c>
      <c r="BF1399" s="257">
        <v>-9999</v>
      </c>
      <c r="BG1399" s="257">
        <v>-9999</v>
      </c>
      <c r="BH1399" s="257">
        <v>-9999</v>
      </c>
      <c r="BI1399" s="257">
        <v>-9999</v>
      </c>
      <c r="BJ1399" s="300">
        <v>-9999</v>
      </c>
      <c r="BK1399" s="300">
        <v>-9999</v>
      </c>
      <c r="BL1399" s="300">
        <v>-9999</v>
      </c>
      <c r="BM1399" s="300">
        <v>-9999</v>
      </c>
      <c r="BN1399" s="300">
        <v>-9999</v>
      </c>
      <c r="BO1399" s="300">
        <v>-9999</v>
      </c>
      <c r="BP1399" s="300">
        <v>-9999</v>
      </c>
      <c r="BQ1399" s="300">
        <v>-9999</v>
      </c>
      <c r="BR1399" s="300">
        <v>-9999</v>
      </c>
      <c r="BS1399" s="620">
        <v>-9999</v>
      </c>
      <c r="BT1399" s="300">
        <v>-9999</v>
      </c>
      <c r="BU1399" s="300">
        <v>-9999</v>
      </c>
      <c r="BV1399" s="300">
        <v>-9999</v>
      </c>
      <c r="BW1399" s="300"/>
      <c r="BX1399" s="300">
        <v>-9999</v>
      </c>
      <c r="BY1399" s="300">
        <v>-9999</v>
      </c>
      <c r="BZ1399" s="300">
        <v>-9999</v>
      </c>
      <c r="CA1399" s="300">
        <v>-9999</v>
      </c>
      <c r="CB1399" s="264"/>
      <c r="CC1399" s="257">
        <v>1</v>
      </c>
      <c r="CD1399" s="257">
        <v>2.5</v>
      </c>
      <c r="CE1399" s="292">
        <v>11.423999999999999</v>
      </c>
      <c r="CF1399" s="292">
        <v>14.280000000000001</v>
      </c>
      <c r="CG1399" s="43">
        <v>2.5</v>
      </c>
    </row>
    <row r="1400" spans="1:86" s="23" customFormat="1" x14ac:dyDescent="0.2">
      <c r="A1400" s="327" t="s">
        <v>1333</v>
      </c>
      <c r="B1400" s="257" t="s">
        <v>659</v>
      </c>
      <c r="C1400" s="257" t="s">
        <v>663</v>
      </c>
      <c r="D1400" s="257" t="s">
        <v>317</v>
      </c>
      <c r="E1400" s="327" t="s">
        <v>1547</v>
      </c>
      <c r="F1400" s="257">
        <v>1</v>
      </c>
      <c r="G1400" s="257">
        <v>3.2</v>
      </c>
      <c r="H1400" s="257">
        <v>3.2</v>
      </c>
      <c r="I1400" s="257" t="s">
        <v>468</v>
      </c>
      <c r="J1400" s="257">
        <v>2001</v>
      </c>
      <c r="K1400" s="257" t="s">
        <v>672</v>
      </c>
      <c r="L1400" s="257">
        <v>2004</v>
      </c>
      <c r="M1400" s="261">
        <v>23.6</v>
      </c>
      <c r="N1400" s="257">
        <v>-9999</v>
      </c>
      <c r="O1400" s="29">
        <v>1.7</v>
      </c>
      <c r="P1400" s="370">
        <f>+M1400*O1400</f>
        <v>40.120000000000005</v>
      </c>
      <c r="Q1400" s="257">
        <v>-9999</v>
      </c>
      <c r="R1400" s="261">
        <v>23.6</v>
      </c>
      <c r="S1400" s="257"/>
      <c r="T1400" s="370">
        <f>+P1400/G1400</f>
        <v>12.537500000000001</v>
      </c>
      <c r="U1400" s="257">
        <v>-9999</v>
      </c>
      <c r="V1400" s="257"/>
      <c r="W1400" s="370">
        <f>+P1400-W1399</f>
        <v>25.840000000000003</v>
      </c>
      <c r="X1400" s="257">
        <v>-9999</v>
      </c>
      <c r="Y1400" s="257"/>
      <c r="Z1400" s="257" t="s">
        <v>173</v>
      </c>
      <c r="AA1400" s="257">
        <v>4200</v>
      </c>
      <c r="AB1400" s="261">
        <v>0.87</v>
      </c>
      <c r="AC1400" s="297">
        <v>0.15</v>
      </c>
      <c r="AD1400" s="358">
        <v>225</v>
      </c>
      <c r="AE1400" s="299" t="s">
        <v>280</v>
      </c>
      <c r="AF1400" s="257">
        <v>-9999</v>
      </c>
      <c r="AG1400" s="257">
        <v>-9999</v>
      </c>
      <c r="AH1400" s="257" t="s">
        <v>857</v>
      </c>
      <c r="AI1400" s="257">
        <v>-9999</v>
      </c>
      <c r="AJ1400" s="257">
        <v>10</v>
      </c>
      <c r="AK1400" s="257" t="s">
        <v>671</v>
      </c>
      <c r="AL1400" s="257" t="s">
        <v>828</v>
      </c>
      <c r="AM1400" s="257" t="s">
        <v>262</v>
      </c>
      <c r="AN1400" s="257" t="s">
        <v>631</v>
      </c>
      <c r="AO1400" s="257">
        <v>-9999</v>
      </c>
      <c r="AP1400" s="257">
        <v>-9999</v>
      </c>
      <c r="AQ1400" s="257" t="s">
        <v>631</v>
      </c>
      <c r="AR1400" s="263">
        <v>0</v>
      </c>
      <c r="AS1400" s="257">
        <v>-9999</v>
      </c>
      <c r="AT1400" s="257">
        <v>-9999</v>
      </c>
      <c r="AU1400" s="263">
        <v>0</v>
      </c>
      <c r="AV1400" s="257">
        <v>-9999</v>
      </c>
      <c r="AW1400" s="257">
        <v>-9999</v>
      </c>
      <c r="AX1400" s="257">
        <v>0</v>
      </c>
      <c r="AY1400" s="257">
        <v>-9999</v>
      </c>
      <c r="AZ1400" s="257">
        <v>-9999</v>
      </c>
      <c r="BA1400" s="257">
        <v>-9999</v>
      </c>
      <c r="BB1400" s="257">
        <v>-9999</v>
      </c>
      <c r="BC1400" s="257">
        <v>-9999</v>
      </c>
      <c r="BD1400" s="257">
        <v>-9999</v>
      </c>
      <c r="BE1400" s="257">
        <v>-9999</v>
      </c>
      <c r="BF1400" s="257">
        <v>-9999</v>
      </c>
      <c r="BG1400" s="257">
        <v>-9999</v>
      </c>
      <c r="BH1400" s="257">
        <v>-9999</v>
      </c>
      <c r="BI1400" s="257">
        <v>-9999</v>
      </c>
      <c r="BJ1400" s="300">
        <v>-9999</v>
      </c>
      <c r="BK1400" s="300">
        <v>-9999</v>
      </c>
      <c r="BL1400" s="300">
        <v>-9999</v>
      </c>
      <c r="BM1400" s="300">
        <v>-9999</v>
      </c>
      <c r="BN1400" s="300">
        <v>-9999</v>
      </c>
      <c r="BO1400" s="300">
        <v>-9999</v>
      </c>
      <c r="BP1400" s="300">
        <v>-9999</v>
      </c>
      <c r="BQ1400" s="300">
        <v>-9999</v>
      </c>
      <c r="BR1400" s="300">
        <v>-9999</v>
      </c>
      <c r="BS1400" s="620">
        <v>-9999</v>
      </c>
      <c r="BT1400" s="300">
        <v>-9999</v>
      </c>
      <c r="BU1400" s="300">
        <v>-9999</v>
      </c>
      <c r="BV1400" s="300">
        <v>-9999</v>
      </c>
      <c r="BW1400" s="300"/>
      <c r="BX1400" s="300">
        <v>-9999</v>
      </c>
      <c r="BY1400" s="300">
        <v>-9999</v>
      </c>
      <c r="BZ1400" s="300">
        <v>-9999</v>
      </c>
      <c r="CA1400" s="300">
        <v>-9999</v>
      </c>
      <c r="CB1400" s="264"/>
      <c r="CC1400" s="257">
        <v>1</v>
      </c>
      <c r="CD1400" s="257">
        <v>3.2</v>
      </c>
      <c r="CE1400" s="394">
        <v>12.537500000000001</v>
      </c>
      <c r="CF1400" s="292">
        <v>25.840000000000003</v>
      </c>
      <c r="CG1400" s="213">
        <v>3.2</v>
      </c>
      <c r="CH1400" s="438" t="s">
        <v>1757</v>
      </c>
    </row>
    <row r="1401" spans="1:86" s="23" customFormat="1" x14ac:dyDescent="0.2">
      <c r="A1401" s="257" t="s">
        <v>1333</v>
      </c>
      <c r="B1401" s="257" t="s">
        <v>659</v>
      </c>
      <c r="C1401" s="257" t="s">
        <v>663</v>
      </c>
      <c r="D1401" s="257" t="s">
        <v>317</v>
      </c>
      <c r="E1401" s="327" t="s">
        <v>1547</v>
      </c>
      <c r="F1401" s="257">
        <v>1</v>
      </c>
      <c r="G1401" s="257">
        <v>3.5</v>
      </c>
      <c r="H1401" s="257">
        <v>3.5</v>
      </c>
      <c r="I1401" s="257" t="s">
        <v>468</v>
      </c>
      <c r="J1401" s="257">
        <v>2001</v>
      </c>
      <c r="K1401" s="257" t="s">
        <v>856</v>
      </c>
      <c r="L1401" s="257">
        <v>2005</v>
      </c>
      <c r="M1401" s="261">
        <v>24.9</v>
      </c>
      <c r="N1401" s="257">
        <v>-9999</v>
      </c>
      <c r="O1401" s="29">
        <v>1.7</v>
      </c>
      <c r="P1401" s="370">
        <f>+M1401*O1401</f>
        <v>42.33</v>
      </c>
      <c r="Q1401" s="257">
        <v>-9999</v>
      </c>
      <c r="R1401" s="261">
        <v>24.9</v>
      </c>
      <c r="S1401" s="257"/>
      <c r="T1401" s="370">
        <f>+P1401/G1401</f>
        <v>12.094285714285714</v>
      </c>
      <c r="U1401" s="257">
        <v>-9999</v>
      </c>
      <c r="V1401" s="257"/>
      <c r="W1401" s="370">
        <f>+P1401-W1400</f>
        <v>16.489999999999995</v>
      </c>
      <c r="X1401" s="257">
        <v>-9999</v>
      </c>
      <c r="Y1401" s="257"/>
      <c r="Z1401" s="257" t="s">
        <v>173</v>
      </c>
      <c r="AA1401" s="257">
        <v>4200</v>
      </c>
      <c r="AB1401" s="261">
        <v>0.87</v>
      </c>
      <c r="AC1401" s="297">
        <v>0.15</v>
      </c>
      <c r="AD1401" s="358">
        <v>225</v>
      </c>
      <c r="AE1401" s="299" t="s">
        <v>280</v>
      </c>
      <c r="AF1401" s="257">
        <v>-9999</v>
      </c>
      <c r="AG1401" s="257">
        <v>-9999</v>
      </c>
      <c r="AH1401" s="257" t="s">
        <v>857</v>
      </c>
      <c r="AI1401" s="257">
        <v>-9999</v>
      </c>
      <c r="AJ1401" s="257">
        <v>10</v>
      </c>
      <c r="AK1401" s="257" t="s">
        <v>671</v>
      </c>
      <c r="AL1401" s="257" t="s">
        <v>828</v>
      </c>
      <c r="AM1401" s="257" t="s">
        <v>262</v>
      </c>
      <c r="AN1401" s="257" t="s">
        <v>631</v>
      </c>
      <c r="AO1401" s="257">
        <v>-9999</v>
      </c>
      <c r="AP1401" s="257">
        <v>-9999</v>
      </c>
      <c r="AQ1401" s="257" t="s">
        <v>631</v>
      </c>
      <c r="AR1401" s="263">
        <v>0</v>
      </c>
      <c r="AS1401" s="257">
        <v>-9999</v>
      </c>
      <c r="AT1401" s="257">
        <v>-9999</v>
      </c>
      <c r="AU1401" s="263">
        <v>0</v>
      </c>
      <c r="AV1401" s="257">
        <v>-9999</v>
      </c>
      <c r="AW1401" s="257">
        <v>-9999</v>
      </c>
      <c r="AX1401" s="257">
        <v>0</v>
      </c>
      <c r="AY1401" s="257">
        <v>-9999</v>
      </c>
      <c r="AZ1401" s="257">
        <v>-9999</v>
      </c>
      <c r="BA1401" s="257">
        <v>-9999</v>
      </c>
      <c r="BB1401" s="257">
        <v>-9999</v>
      </c>
      <c r="BC1401" s="257">
        <v>-9999</v>
      </c>
      <c r="BD1401" s="257">
        <v>-9999</v>
      </c>
      <c r="BE1401" s="257">
        <v>-9999</v>
      </c>
      <c r="BF1401" s="257">
        <v>-9999</v>
      </c>
      <c r="BG1401" s="257">
        <v>-9999</v>
      </c>
      <c r="BH1401" s="257">
        <v>-9999</v>
      </c>
      <c r="BI1401" s="257">
        <v>-9999</v>
      </c>
      <c r="BJ1401" s="300">
        <v>-9999</v>
      </c>
      <c r="BK1401" s="300">
        <v>-9999</v>
      </c>
      <c r="BL1401" s="300">
        <v>-9999</v>
      </c>
      <c r="BM1401" s="300">
        <v>-9999</v>
      </c>
      <c r="BN1401" s="300">
        <v>-9999</v>
      </c>
      <c r="BO1401" s="300">
        <v>-9999</v>
      </c>
      <c r="BP1401" s="300">
        <v>-9999</v>
      </c>
      <c r="BQ1401" s="300">
        <v>-9999</v>
      </c>
      <c r="BR1401" s="300">
        <v>-9999</v>
      </c>
      <c r="BS1401" s="620">
        <v>-9999</v>
      </c>
      <c r="BT1401" s="300">
        <v>-9999</v>
      </c>
      <c r="BU1401" s="300">
        <v>-9999</v>
      </c>
      <c r="BV1401" s="300">
        <v>-9999</v>
      </c>
      <c r="BW1401" s="300"/>
      <c r="BX1401" s="300">
        <v>-9999</v>
      </c>
      <c r="BY1401" s="300">
        <v>-9999</v>
      </c>
      <c r="BZ1401" s="300">
        <v>-9999</v>
      </c>
      <c r="CA1401" s="300">
        <v>-9999</v>
      </c>
      <c r="CB1401" s="264"/>
      <c r="CC1401" s="257">
        <v>1</v>
      </c>
      <c r="CD1401" s="257">
        <v>3.5</v>
      </c>
      <c r="CE1401" s="292">
        <v>12.094285714285714</v>
      </c>
      <c r="CF1401" s="292">
        <v>16.489999999999995</v>
      </c>
      <c r="CG1401" s="43">
        <v>3.5</v>
      </c>
    </row>
    <row r="1402" spans="1:86" s="61" customFormat="1" x14ac:dyDescent="0.2">
      <c r="A1402" s="114"/>
      <c r="B1402" s="29"/>
      <c r="C1402" s="114"/>
      <c r="D1402" s="114"/>
      <c r="E1402" s="150"/>
      <c r="F1402" s="114"/>
      <c r="G1402" s="114"/>
      <c r="H1402" s="114"/>
      <c r="I1402" s="114"/>
      <c r="J1402" s="114"/>
      <c r="K1402" s="114"/>
      <c r="L1402" s="114"/>
      <c r="M1402" s="740"/>
      <c r="N1402" s="65"/>
      <c r="O1402" s="65"/>
      <c r="P1402" s="70"/>
      <c r="Q1402" s="113"/>
      <c r="R1402" s="740"/>
      <c r="S1402" s="113"/>
      <c r="T1402" s="151"/>
      <c r="U1402" s="114"/>
      <c r="V1402" s="114"/>
      <c r="W1402" s="740"/>
      <c r="X1402" s="114"/>
      <c r="Y1402" s="114"/>
      <c r="Z1402" s="114"/>
      <c r="AA1402" s="114"/>
      <c r="AB1402" s="67"/>
      <c r="AC1402" s="114"/>
      <c r="AD1402" s="114"/>
      <c r="AE1402" s="65"/>
      <c r="AF1402" s="65"/>
      <c r="AG1402" s="65"/>
      <c r="AH1402" s="114"/>
      <c r="AI1402" s="114"/>
      <c r="AJ1402" s="114"/>
      <c r="AK1402" s="114"/>
      <c r="AL1402" s="114"/>
      <c r="AM1402" s="114"/>
      <c r="AN1402" s="114"/>
      <c r="AO1402" s="114"/>
      <c r="AP1402" s="114"/>
      <c r="AQ1402" s="114"/>
      <c r="AR1402" s="114"/>
      <c r="AS1402" s="114"/>
      <c r="AT1402" s="114"/>
      <c r="AU1402" s="114"/>
      <c r="AV1402" s="114"/>
      <c r="AW1402" s="114"/>
      <c r="AX1402" s="114"/>
      <c r="AY1402" s="114"/>
      <c r="AZ1402" s="114"/>
      <c r="BA1402" s="114"/>
      <c r="BB1402" s="114"/>
      <c r="BC1402" s="114"/>
      <c r="BD1402" s="114"/>
      <c r="BE1402" s="65"/>
      <c r="BF1402" s="65"/>
      <c r="BG1402" s="65"/>
      <c r="BH1402" s="65"/>
      <c r="BI1402" s="65"/>
      <c r="BJ1402" s="65"/>
      <c r="BK1402" s="65"/>
      <c r="BL1402" s="114"/>
      <c r="BM1402" s="114"/>
      <c r="BN1402" s="114"/>
      <c r="BO1402" s="114"/>
      <c r="BP1402" s="114"/>
      <c r="BQ1402" s="114"/>
      <c r="BR1402" s="114"/>
      <c r="BS1402" s="30"/>
      <c r="BT1402" s="114"/>
      <c r="BU1402" s="114"/>
      <c r="BV1402" s="113"/>
      <c r="BW1402" s="113"/>
      <c r="BX1402" s="114"/>
      <c r="BY1402" s="114"/>
      <c r="BZ1402" s="114"/>
      <c r="CA1402" s="336"/>
      <c r="CC1402" s="114"/>
      <c r="CD1402" s="114"/>
      <c r="CE1402" s="340"/>
      <c r="CF1402" s="340"/>
      <c r="CG1402" s="114"/>
    </row>
    <row r="1403" spans="1:86" s="23" customFormat="1" x14ac:dyDescent="0.2">
      <c r="A1403" s="36" t="s">
        <v>897</v>
      </c>
      <c r="B1403" s="29"/>
      <c r="C1403" s="65"/>
      <c r="D1403" s="29"/>
      <c r="E1403" s="29"/>
      <c r="F1403" s="29"/>
      <c r="G1403" s="29"/>
      <c r="H1403" s="30"/>
      <c r="I1403" s="29"/>
      <c r="J1403" s="29"/>
      <c r="K1403" s="29"/>
      <c r="L1403" s="29"/>
      <c r="M1403" s="31"/>
      <c r="N1403" s="29"/>
      <c r="O1403" s="29"/>
      <c r="P1403" s="31"/>
      <c r="Q1403" s="29"/>
      <c r="R1403" s="31"/>
      <c r="S1403" s="29"/>
      <c r="T1403" s="70"/>
      <c r="U1403" s="29"/>
      <c r="V1403" s="29"/>
      <c r="W1403" s="31"/>
      <c r="X1403" s="29"/>
      <c r="Y1403" s="29"/>
      <c r="Z1403" s="29"/>
      <c r="AA1403" s="29"/>
      <c r="AB1403" s="67"/>
      <c r="AC1403" s="29"/>
      <c r="AD1403" s="18"/>
      <c r="AE1403" s="18"/>
      <c r="AF1403" s="29"/>
      <c r="AG1403" s="65"/>
      <c r="AH1403" s="29"/>
      <c r="AI1403" s="29"/>
      <c r="AJ1403" s="18"/>
      <c r="AK1403" s="29"/>
      <c r="AL1403" s="29"/>
      <c r="AM1403" s="29"/>
      <c r="AN1403" s="29"/>
      <c r="AO1403" s="29"/>
      <c r="AP1403" s="29"/>
      <c r="AQ1403" s="29"/>
      <c r="AR1403" s="29"/>
      <c r="AS1403" s="29"/>
      <c r="AT1403" s="29"/>
      <c r="AU1403" s="29"/>
      <c r="AV1403" s="29"/>
      <c r="AW1403" s="29"/>
      <c r="AX1403" s="29"/>
      <c r="AY1403" s="29"/>
      <c r="AZ1403" s="29"/>
      <c r="BA1403" s="29"/>
      <c r="BB1403" s="29"/>
      <c r="BC1403" s="29"/>
      <c r="BD1403" s="29"/>
      <c r="BE1403" s="29"/>
      <c r="BF1403" s="29"/>
      <c r="BG1403" s="29"/>
      <c r="BH1403" s="29"/>
      <c r="BI1403" s="29"/>
      <c r="BJ1403" s="29"/>
      <c r="BK1403" s="29"/>
      <c r="BL1403" s="29"/>
      <c r="BM1403" s="29"/>
      <c r="BN1403" s="29"/>
      <c r="BO1403" s="29"/>
      <c r="BP1403" s="29"/>
      <c r="BQ1403" s="29"/>
      <c r="BR1403" s="29"/>
      <c r="BS1403" s="30"/>
      <c r="BT1403" s="29"/>
      <c r="BU1403" s="29"/>
      <c r="BV1403" s="29"/>
      <c r="BW1403" s="29"/>
      <c r="BX1403" s="29"/>
      <c r="BY1403" s="29"/>
      <c r="BZ1403" s="29"/>
      <c r="CA1403" s="98"/>
      <c r="CC1403" s="29"/>
      <c r="CD1403" s="29"/>
      <c r="CE1403" s="292"/>
      <c r="CF1403" s="292"/>
      <c r="CG1403" s="30"/>
    </row>
    <row r="1404" spans="1:86" s="61" customFormat="1" x14ac:dyDescent="0.2">
      <c r="A1404" s="259" t="s">
        <v>127</v>
      </c>
      <c r="B1404" s="327"/>
      <c r="C1404" s="255"/>
      <c r="D1404" s="255"/>
      <c r="E1404" s="255"/>
      <c r="F1404" s="255"/>
      <c r="G1404" s="255"/>
      <c r="H1404" s="358"/>
      <c r="I1404" s="255"/>
      <c r="J1404" s="255"/>
      <c r="K1404" s="255"/>
      <c r="L1404" s="255"/>
      <c r="M1404" s="297"/>
      <c r="N1404" s="255"/>
      <c r="O1404" s="65"/>
      <c r="P1404" s="297"/>
      <c r="Q1404" s="255"/>
      <c r="R1404" s="297"/>
      <c r="S1404" s="255"/>
      <c r="T1404" s="287"/>
      <c r="U1404" s="255"/>
      <c r="V1404" s="255"/>
      <c r="W1404" s="297"/>
      <c r="X1404" s="255"/>
      <c r="Y1404" s="255"/>
      <c r="Z1404" s="255"/>
      <c r="AA1404" s="255"/>
      <c r="AB1404" s="297"/>
      <c r="AC1404" s="255"/>
      <c r="AD1404" s="255"/>
      <c r="AE1404" s="255"/>
      <c r="AF1404" s="255"/>
      <c r="AG1404" s="255"/>
      <c r="AH1404" s="255"/>
      <c r="AI1404" s="255"/>
      <c r="AJ1404" s="255"/>
      <c r="AK1404" s="255"/>
      <c r="AL1404" s="255"/>
      <c r="AM1404" s="255"/>
      <c r="AN1404" s="255"/>
      <c r="AO1404" s="255"/>
      <c r="AP1404" s="255"/>
      <c r="AQ1404" s="255"/>
      <c r="AR1404" s="255"/>
      <c r="AS1404" s="255"/>
      <c r="AT1404" s="255"/>
      <c r="AU1404" s="255"/>
      <c r="AV1404" s="255"/>
      <c r="AW1404" s="255"/>
      <c r="AX1404" s="255"/>
      <c r="AY1404" s="255"/>
      <c r="AZ1404" s="255"/>
      <c r="BA1404" s="255"/>
      <c r="BB1404" s="255"/>
      <c r="BC1404" s="255"/>
      <c r="BD1404" s="255"/>
      <c r="BE1404" s="255"/>
      <c r="BF1404" s="255"/>
      <c r="BG1404" s="255"/>
      <c r="BH1404" s="255"/>
      <c r="BI1404" s="255"/>
      <c r="BJ1404" s="255"/>
      <c r="BK1404" s="255"/>
      <c r="BL1404" s="255"/>
      <c r="BM1404" s="255"/>
      <c r="BN1404" s="255"/>
      <c r="BO1404" s="255"/>
      <c r="BP1404" s="255"/>
      <c r="BQ1404" s="255"/>
      <c r="BR1404" s="255"/>
      <c r="BS1404" s="328"/>
      <c r="BT1404" s="255"/>
      <c r="BU1404" s="255"/>
      <c r="BV1404" s="255"/>
      <c r="BW1404" s="255"/>
      <c r="BX1404" s="255"/>
      <c r="BY1404" s="255"/>
      <c r="BZ1404" s="255"/>
      <c r="CA1404" s="369" t="s">
        <v>974</v>
      </c>
      <c r="CB1404" s="357"/>
      <c r="CC1404" s="255"/>
      <c r="CD1404" s="327" t="s">
        <v>1634</v>
      </c>
      <c r="CE1404" s="342" t="s">
        <v>1576</v>
      </c>
      <c r="CF1404" s="342" t="s">
        <v>1575</v>
      </c>
      <c r="CG1404" s="97"/>
    </row>
    <row r="1405" spans="1:86" s="301" customFormat="1" x14ac:dyDescent="0.2">
      <c r="A1405" s="327" t="s">
        <v>898</v>
      </c>
      <c r="B1405" s="327" t="s">
        <v>899</v>
      </c>
      <c r="C1405" s="327" t="s">
        <v>900</v>
      </c>
      <c r="D1405" s="327" t="s">
        <v>553</v>
      </c>
      <c r="E1405" s="327" t="s">
        <v>901</v>
      </c>
      <c r="F1405" s="327">
        <v>1</v>
      </c>
      <c r="G1405" s="623">
        <v>1</v>
      </c>
      <c r="H1405" s="623">
        <v>1</v>
      </c>
      <c r="I1405" s="327" t="s">
        <v>856</v>
      </c>
      <c r="J1405" s="327">
        <v>2000</v>
      </c>
      <c r="K1405" s="265" t="s">
        <v>856</v>
      </c>
      <c r="L1405" s="265">
        <v>2001</v>
      </c>
      <c r="M1405" s="368">
        <v>-9999</v>
      </c>
      <c r="N1405" s="327">
        <v>-9999</v>
      </c>
      <c r="O1405" s="323"/>
      <c r="P1405" s="368">
        <v>-9999</v>
      </c>
      <c r="Q1405" s="327">
        <v>-9999</v>
      </c>
      <c r="R1405" s="368"/>
      <c r="S1405" s="327"/>
      <c r="T1405" s="287">
        <v>-9999</v>
      </c>
      <c r="U1405" s="327">
        <v>-9999</v>
      </c>
      <c r="V1405" s="327"/>
      <c r="W1405" s="368">
        <v>-9999</v>
      </c>
      <c r="X1405" s="327">
        <v>-9999</v>
      </c>
      <c r="Y1405" s="327"/>
      <c r="Z1405" s="327" t="s">
        <v>902</v>
      </c>
      <c r="AA1405" s="327">
        <v>2990</v>
      </c>
      <c r="AB1405" s="368">
        <v>0.92</v>
      </c>
      <c r="AC1405" s="327">
        <v>-9999</v>
      </c>
      <c r="AD1405" s="327">
        <v>429.4</v>
      </c>
      <c r="AE1405" s="327" t="s">
        <v>1950</v>
      </c>
      <c r="AF1405" s="327">
        <v>8</v>
      </c>
      <c r="AG1405" s="327">
        <v>2</v>
      </c>
      <c r="AH1405" s="327" t="s">
        <v>809</v>
      </c>
      <c r="AI1405" s="255">
        <v>-9999</v>
      </c>
      <c r="AJ1405" s="255">
        <v>-9999</v>
      </c>
      <c r="AK1405" s="327" t="s">
        <v>172</v>
      </c>
      <c r="AL1405" s="327" t="s">
        <v>828</v>
      </c>
      <c r="AM1405" s="327" t="s">
        <v>871</v>
      </c>
      <c r="AN1405" s="327" t="s">
        <v>631</v>
      </c>
      <c r="AO1405" s="255">
        <v>-9999</v>
      </c>
      <c r="AP1405" s="255">
        <v>-9999</v>
      </c>
      <c r="AQ1405" s="327" t="s">
        <v>626</v>
      </c>
      <c r="AR1405" s="327">
        <f>660*0.1</f>
        <v>66</v>
      </c>
      <c r="AS1405" s="327" t="s">
        <v>1498</v>
      </c>
      <c r="AT1405" s="327" t="s">
        <v>905</v>
      </c>
      <c r="AU1405" s="328">
        <f>66/2.3</f>
        <v>28.695652173913047</v>
      </c>
      <c r="AV1405" s="327" t="s">
        <v>1498</v>
      </c>
      <c r="AW1405" s="327" t="s">
        <v>905</v>
      </c>
      <c r="AX1405" s="328">
        <f>66*0.83</f>
        <v>54.779999999999994</v>
      </c>
      <c r="AY1405" s="327" t="s">
        <v>1498</v>
      </c>
      <c r="AZ1405" s="327" t="s">
        <v>905</v>
      </c>
      <c r="BA1405" s="327" t="s">
        <v>767</v>
      </c>
      <c r="BB1405" s="327" t="s">
        <v>626</v>
      </c>
      <c r="BC1405" s="327" t="s">
        <v>906</v>
      </c>
      <c r="BD1405" s="327" t="s">
        <v>907</v>
      </c>
      <c r="BE1405" s="327" t="s">
        <v>908</v>
      </c>
      <c r="BF1405" s="327" t="s">
        <v>909</v>
      </c>
      <c r="BG1405" s="327" t="s">
        <v>910</v>
      </c>
      <c r="BH1405" s="327" t="s">
        <v>911</v>
      </c>
      <c r="BI1405" s="327" t="s">
        <v>912</v>
      </c>
      <c r="BJ1405" s="255">
        <v>-9999</v>
      </c>
      <c r="BK1405" s="255">
        <v>-9999</v>
      </c>
      <c r="BL1405" s="255">
        <v>-9999</v>
      </c>
      <c r="BM1405" s="255">
        <v>-9999</v>
      </c>
      <c r="BN1405" s="255">
        <v>-9999</v>
      </c>
      <c r="BO1405" s="255">
        <v>-9999</v>
      </c>
      <c r="BP1405" s="255">
        <v>-9999</v>
      </c>
      <c r="BQ1405" s="255">
        <v>-9999</v>
      </c>
      <c r="BR1405" s="255">
        <v>-9999</v>
      </c>
      <c r="BS1405" s="328">
        <v>-9999</v>
      </c>
      <c r="BT1405" s="327" t="s">
        <v>1130</v>
      </c>
      <c r="BU1405" s="255">
        <v>-9999</v>
      </c>
      <c r="BV1405" s="255">
        <v>-9999</v>
      </c>
      <c r="BW1405" s="255"/>
      <c r="BX1405" s="255">
        <v>-9999</v>
      </c>
      <c r="BY1405" s="255">
        <v>-9999</v>
      </c>
      <c r="BZ1405" s="255">
        <v>-9999</v>
      </c>
      <c r="CA1405" s="369" t="s">
        <v>974</v>
      </c>
      <c r="CB1405" s="475"/>
      <c r="CC1405" s="327">
        <v>1</v>
      </c>
      <c r="CD1405" s="623">
        <v>1</v>
      </c>
      <c r="CE1405" s="342"/>
      <c r="CF1405" s="342">
        <v>-9999</v>
      </c>
      <c r="CG1405" s="144">
        <v>1</v>
      </c>
    </row>
    <row r="1406" spans="1:86" s="301" customFormat="1" x14ac:dyDescent="0.2">
      <c r="A1406" s="327" t="s">
        <v>898</v>
      </c>
      <c r="B1406" s="327" t="s">
        <v>899</v>
      </c>
      <c r="C1406" s="327" t="s">
        <v>900</v>
      </c>
      <c r="D1406" s="327" t="s">
        <v>553</v>
      </c>
      <c r="E1406" s="327" t="s">
        <v>901</v>
      </c>
      <c r="F1406" s="327">
        <v>1</v>
      </c>
      <c r="G1406" s="623">
        <v>2</v>
      </c>
      <c r="H1406" s="623">
        <v>2</v>
      </c>
      <c r="I1406" s="327" t="s">
        <v>856</v>
      </c>
      <c r="J1406" s="327">
        <v>2000</v>
      </c>
      <c r="K1406" s="265" t="s">
        <v>856</v>
      </c>
      <c r="L1406" s="265">
        <v>2002</v>
      </c>
      <c r="M1406" s="368">
        <v>-9999</v>
      </c>
      <c r="N1406" s="327">
        <v>-9999</v>
      </c>
      <c r="O1406" s="323"/>
      <c r="P1406" s="297">
        <v>10.6723</v>
      </c>
      <c r="Q1406" s="327">
        <v>-9999</v>
      </c>
      <c r="R1406" s="368"/>
      <c r="S1406" s="327"/>
      <c r="T1406" s="287">
        <f>+P1406/H1406</f>
        <v>5.3361499999999999</v>
      </c>
      <c r="U1406" s="327">
        <v>-9999</v>
      </c>
      <c r="V1406" s="327"/>
      <c r="W1406" s="368">
        <v>-9999</v>
      </c>
      <c r="X1406" s="327">
        <v>-9999</v>
      </c>
      <c r="Y1406" s="327"/>
      <c r="Z1406" s="327" t="s">
        <v>902</v>
      </c>
      <c r="AA1406" s="327">
        <v>2990</v>
      </c>
      <c r="AB1406" s="368">
        <v>0.92</v>
      </c>
      <c r="AC1406" s="327">
        <v>-9999</v>
      </c>
      <c r="AD1406" s="327">
        <v>429.4</v>
      </c>
      <c r="AE1406" s="327" t="s">
        <v>1950</v>
      </c>
      <c r="AF1406" s="327">
        <v>8</v>
      </c>
      <c r="AG1406" s="327">
        <v>2</v>
      </c>
      <c r="AH1406" s="327" t="s">
        <v>809</v>
      </c>
      <c r="AI1406" s="255">
        <v>-9999</v>
      </c>
      <c r="AJ1406" s="255">
        <v>-9999</v>
      </c>
      <c r="AK1406" s="327" t="s">
        <v>172</v>
      </c>
      <c r="AL1406" s="327" t="s">
        <v>828</v>
      </c>
      <c r="AM1406" s="327" t="s">
        <v>871</v>
      </c>
      <c r="AN1406" s="327" t="s">
        <v>631</v>
      </c>
      <c r="AO1406" s="255">
        <v>-9999</v>
      </c>
      <c r="AP1406" s="255">
        <v>-9999</v>
      </c>
      <c r="AQ1406" s="327" t="s">
        <v>626</v>
      </c>
      <c r="AR1406" s="328">
        <f>+AR1405+76</f>
        <v>142</v>
      </c>
      <c r="AS1406" s="327" t="s">
        <v>1498</v>
      </c>
      <c r="AT1406" s="327" t="s">
        <v>689</v>
      </c>
      <c r="AU1406" s="328">
        <f>+((128-29)/4)+AU1405</f>
        <v>53.445652173913047</v>
      </c>
      <c r="AV1406" s="327" t="s">
        <v>1498</v>
      </c>
      <c r="AW1406" s="327" t="s">
        <v>766</v>
      </c>
      <c r="AX1406" s="328">
        <f>+AX1405+16</f>
        <v>70.78</v>
      </c>
      <c r="AY1406" s="327" t="s">
        <v>1498</v>
      </c>
      <c r="AZ1406" s="327" t="s">
        <v>766</v>
      </c>
      <c r="BA1406" s="327" t="s">
        <v>767</v>
      </c>
      <c r="BB1406" s="327" t="s">
        <v>626</v>
      </c>
      <c r="BC1406" s="327" t="s">
        <v>906</v>
      </c>
      <c r="BD1406" s="327" t="s">
        <v>907</v>
      </c>
      <c r="BE1406" s="327" t="s">
        <v>908</v>
      </c>
      <c r="BF1406" s="327" t="s">
        <v>909</v>
      </c>
      <c r="BG1406" s="327" t="s">
        <v>910</v>
      </c>
      <c r="BH1406" s="327" t="s">
        <v>911</v>
      </c>
      <c r="BI1406" s="327" t="s">
        <v>912</v>
      </c>
      <c r="BJ1406" s="255">
        <v>-9999</v>
      </c>
      <c r="BK1406" s="255">
        <v>-9999</v>
      </c>
      <c r="BL1406" s="255">
        <v>-9999</v>
      </c>
      <c r="BM1406" s="255">
        <v>-9999</v>
      </c>
      <c r="BN1406" s="255">
        <v>-9999</v>
      </c>
      <c r="BO1406" s="255">
        <v>-9999</v>
      </c>
      <c r="BP1406" s="255">
        <v>-9999</v>
      </c>
      <c r="BQ1406" s="255">
        <v>-9999</v>
      </c>
      <c r="BR1406" s="255">
        <v>-9999</v>
      </c>
      <c r="BS1406" s="328">
        <v>-9999</v>
      </c>
      <c r="BT1406" s="327" t="s">
        <v>1130</v>
      </c>
      <c r="BU1406" s="255">
        <v>-9999</v>
      </c>
      <c r="BV1406" s="255">
        <v>-9999</v>
      </c>
      <c r="BW1406" s="255"/>
      <c r="BX1406" s="255">
        <v>-9999</v>
      </c>
      <c r="BY1406" s="255">
        <v>-9999</v>
      </c>
      <c r="BZ1406" s="255">
        <v>-9999</v>
      </c>
      <c r="CA1406" s="369" t="s">
        <v>974</v>
      </c>
      <c r="CB1406" s="475"/>
      <c r="CC1406" s="327">
        <v>1</v>
      </c>
      <c r="CD1406" s="623">
        <v>2</v>
      </c>
      <c r="CE1406" s="342">
        <v>5.3361499999999999</v>
      </c>
      <c r="CF1406" s="342">
        <v>-9999</v>
      </c>
      <c r="CG1406" s="144">
        <v>2</v>
      </c>
    </row>
    <row r="1407" spans="1:86" s="301" customFormat="1" x14ac:dyDescent="0.2">
      <c r="A1407" s="327" t="s">
        <v>898</v>
      </c>
      <c r="B1407" s="327" t="s">
        <v>899</v>
      </c>
      <c r="C1407" s="327" t="s">
        <v>900</v>
      </c>
      <c r="D1407" s="327" t="s">
        <v>553</v>
      </c>
      <c r="E1407" s="327" t="s">
        <v>901</v>
      </c>
      <c r="F1407" s="327">
        <v>1</v>
      </c>
      <c r="G1407" s="623">
        <v>3</v>
      </c>
      <c r="H1407" s="623">
        <v>3</v>
      </c>
      <c r="I1407" s="327" t="s">
        <v>856</v>
      </c>
      <c r="J1407" s="327">
        <v>2000</v>
      </c>
      <c r="K1407" s="265" t="s">
        <v>856</v>
      </c>
      <c r="L1407" s="265">
        <v>2003</v>
      </c>
      <c r="M1407" s="368">
        <v>-9999</v>
      </c>
      <c r="N1407" s="327">
        <v>-9999</v>
      </c>
      <c r="O1407" s="323"/>
      <c r="P1407" s="297">
        <v>38.0702</v>
      </c>
      <c r="Q1407" s="327">
        <v>-9999</v>
      </c>
      <c r="R1407" s="368"/>
      <c r="S1407" s="327"/>
      <c r="T1407" s="287">
        <f>+P1407/H1407</f>
        <v>12.690066666666667</v>
      </c>
      <c r="U1407" s="327">
        <v>-9999</v>
      </c>
      <c r="V1407" s="327"/>
      <c r="W1407" s="368">
        <v>-9999</v>
      </c>
      <c r="X1407" s="327">
        <v>-9999</v>
      </c>
      <c r="Y1407" s="327"/>
      <c r="Z1407" s="327" t="s">
        <v>902</v>
      </c>
      <c r="AA1407" s="327">
        <v>2990</v>
      </c>
      <c r="AB1407" s="368">
        <v>0.92</v>
      </c>
      <c r="AC1407" s="327">
        <v>-9999</v>
      </c>
      <c r="AD1407" s="327">
        <v>429.4</v>
      </c>
      <c r="AE1407" s="327" t="s">
        <v>1950</v>
      </c>
      <c r="AF1407" s="327">
        <v>8</v>
      </c>
      <c r="AG1407" s="327">
        <v>2</v>
      </c>
      <c r="AH1407" s="327" t="s">
        <v>809</v>
      </c>
      <c r="AI1407" s="255">
        <v>-9999</v>
      </c>
      <c r="AJ1407" s="255">
        <v>-9999</v>
      </c>
      <c r="AK1407" s="327" t="s">
        <v>172</v>
      </c>
      <c r="AL1407" s="327" t="s">
        <v>828</v>
      </c>
      <c r="AM1407" s="327" t="s">
        <v>871</v>
      </c>
      <c r="AN1407" s="259" t="s">
        <v>631</v>
      </c>
      <c r="AO1407" s="255">
        <v>-9999</v>
      </c>
      <c r="AP1407" s="255">
        <v>-9999</v>
      </c>
      <c r="AQ1407" s="327" t="s">
        <v>626</v>
      </c>
      <c r="AR1407" s="328">
        <f>+AR1406+76</f>
        <v>218</v>
      </c>
      <c r="AS1407" s="327" t="s">
        <v>1498</v>
      </c>
      <c r="AT1407" s="327" t="s">
        <v>766</v>
      </c>
      <c r="AU1407" s="328">
        <f>+AU1406+25</f>
        <v>78.445652173913047</v>
      </c>
      <c r="AV1407" s="327" t="s">
        <v>1498</v>
      </c>
      <c r="AW1407" s="327" t="s">
        <v>766</v>
      </c>
      <c r="AX1407" s="328">
        <f>+AX1406+16</f>
        <v>86.78</v>
      </c>
      <c r="AY1407" s="327" t="s">
        <v>1498</v>
      </c>
      <c r="AZ1407" s="327" t="s">
        <v>766</v>
      </c>
      <c r="BA1407" s="327" t="s">
        <v>767</v>
      </c>
      <c r="BB1407" s="327" t="s">
        <v>626</v>
      </c>
      <c r="BC1407" s="327" t="s">
        <v>906</v>
      </c>
      <c r="BD1407" s="327" t="s">
        <v>907</v>
      </c>
      <c r="BE1407" s="327" t="s">
        <v>908</v>
      </c>
      <c r="BF1407" s="327" t="s">
        <v>909</v>
      </c>
      <c r="BG1407" s="327" t="s">
        <v>910</v>
      </c>
      <c r="BH1407" s="327" t="s">
        <v>911</v>
      </c>
      <c r="BI1407" s="327" t="s">
        <v>912</v>
      </c>
      <c r="BJ1407" s="255">
        <v>-9999</v>
      </c>
      <c r="BK1407" s="255">
        <v>-9999</v>
      </c>
      <c r="BL1407" s="255">
        <v>-9999</v>
      </c>
      <c r="BM1407" s="255">
        <v>-9999</v>
      </c>
      <c r="BN1407" s="255">
        <v>-9999</v>
      </c>
      <c r="BO1407" s="255">
        <v>-9999</v>
      </c>
      <c r="BP1407" s="255">
        <v>-9999</v>
      </c>
      <c r="BQ1407" s="255">
        <v>-9999</v>
      </c>
      <c r="BR1407" s="255">
        <v>-9999</v>
      </c>
      <c r="BS1407" s="328">
        <v>-9999</v>
      </c>
      <c r="BT1407" s="327" t="s">
        <v>1130</v>
      </c>
      <c r="BU1407" s="255">
        <v>-9999</v>
      </c>
      <c r="BV1407" s="255">
        <v>-9999</v>
      </c>
      <c r="BW1407" s="255"/>
      <c r="BX1407" s="255">
        <v>-9999</v>
      </c>
      <c r="BY1407" s="255">
        <v>-9999</v>
      </c>
      <c r="BZ1407" s="255">
        <v>-9999</v>
      </c>
      <c r="CA1407" s="369" t="s">
        <v>974</v>
      </c>
      <c r="CB1407" s="475" t="s">
        <v>1685</v>
      </c>
      <c r="CC1407" s="327">
        <v>1</v>
      </c>
      <c r="CD1407" s="623">
        <v>3</v>
      </c>
      <c r="CE1407" s="342">
        <v>12.690066666666667</v>
      </c>
      <c r="CF1407" s="342">
        <v>-9999</v>
      </c>
      <c r="CG1407" s="144">
        <v>3</v>
      </c>
    </row>
    <row r="1408" spans="1:86" s="301" customFormat="1" x14ac:dyDescent="0.2">
      <c r="A1408" s="327" t="s">
        <v>898</v>
      </c>
      <c r="B1408" s="327" t="s">
        <v>899</v>
      </c>
      <c r="C1408" s="327" t="s">
        <v>900</v>
      </c>
      <c r="D1408" s="327" t="s">
        <v>553</v>
      </c>
      <c r="E1408" s="327" t="s">
        <v>901</v>
      </c>
      <c r="F1408" s="327">
        <v>1</v>
      </c>
      <c r="G1408" s="623">
        <v>4</v>
      </c>
      <c r="H1408" s="623">
        <v>4</v>
      </c>
      <c r="I1408" s="327" t="s">
        <v>856</v>
      </c>
      <c r="J1408" s="327">
        <v>2000</v>
      </c>
      <c r="K1408" s="265" t="s">
        <v>856</v>
      </c>
      <c r="L1408" s="624">
        <v>2004</v>
      </c>
      <c r="M1408" s="368">
        <v>-9999</v>
      </c>
      <c r="N1408" s="327">
        <v>-9999</v>
      </c>
      <c r="O1408" s="323"/>
      <c r="P1408" s="368">
        <v>-9999</v>
      </c>
      <c r="Q1408" s="327">
        <v>-9999</v>
      </c>
      <c r="R1408" s="368"/>
      <c r="S1408" s="327"/>
      <c r="T1408" s="287">
        <v>-9999</v>
      </c>
      <c r="U1408" s="327">
        <v>-9999</v>
      </c>
      <c r="V1408" s="327"/>
      <c r="W1408" s="368">
        <v>-9999</v>
      </c>
      <c r="X1408" s="327">
        <v>-9999</v>
      </c>
      <c r="Y1408" s="327"/>
      <c r="Z1408" s="327" t="s">
        <v>902</v>
      </c>
      <c r="AA1408" s="327">
        <v>2990</v>
      </c>
      <c r="AB1408" s="368">
        <v>0.92</v>
      </c>
      <c r="AC1408" s="327">
        <v>-9999</v>
      </c>
      <c r="AD1408" s="327">
        <v>429.4</v>
      </c>
      <c r="AE1408" s="327" t="s">
        <v>1950</v>
      </c>
      <c r="AF1408" s="327">
        <v>8</v>
      </c>
      <c r="AG1408" s="327">
        <v>2</v>
      </c>
      <c r="AH1408" s="327" t="s">
        <v>809</v>
      </c>
      <c r="AI1408" s="255">
        <v>-9999</v>
      </c>
      <c r="AJ1408" s="255">
        <v>-9999</v>
      </c>
      <c r="AK1408" s="327" t="s">
        <v>172</v>
      </c>
      <c r="AL1408" s="327" t="s">
        <v>828</v>
      </c>
      <c r="AM1408" s="327" t="s">
        <v>871</v>
      </c>
      <c r="AN1408" s="259" t="s">
        <v>631</v>
      </c>
      <c r="AO1408" s="255">
        <v>-9999</v>
      </c>
      <c r="AP1408" s="255">
        <v>-9999</v>
      </c>
      <c r="AQ1408" s="327" t="s">
        <v>626</v>
      </c>
      <c r="AR1408" s="328">
        <f>+AR1407+76</f>
        <v>294</v>
      </c>
      <c r="AS1408" s="327" t="s">
        <v>1498</v>
      </c>
      <c r="AT1408" s="327" t="s">
        <v>766</v>
      </c>
      <c r="AU1408" s="328">
        <f>+AU1407+25</f>
        <v>103.44565217391305</v>
      </c>
      <c r="AV1408" s="327" t="s">
        <v>1498</v>
      </c>
      <c r="AW1408" s="327" t="s">
        <v>766</v>
      </c>
      <c r="AX1408" s="328">
        <f>+AX1407+17</f>
        <v>103.78</v>
      </c>
      <c r="AY1408" s="327" t="s">
        <v>1498</v>
      </c>
      <c r="AZ1408" s="327" t="s">
        <v>766</v>
      </c>
      <c r="BA1408" s="327" t="s">
        <v>767</v>
      </c>
      <c r="BB1408" s="327" t="s">
        <v>626</v>
      </c>
      <c r="BC1408" s="327" t="s">
        <v>906</v>
      </c>
      <c r="BD1408" s="327" t="s">
        <v>907</v>
      </c>
      <c r="BE1408" s="327" t="s">
        <v>908</v>
      </c>
      <c r="BF1408" s="327" t="s">
        <v>909</v>
      </c>
      <c r="BG1408" s="327" t="s">
        <v>910</v>
      </c>
      <c r="BH1408" s="327" t="s">
        <v>911</v>
      </c>
      <c r="BI1408" s="327" t="s">
        <v>912</v>
      </c>
      <c r="BJ1408" s="255">
        <v>-9999</v>
      </c>
      <c r="BK1408" s="255">
        <v>-9999</v>
      </c>
      <c r="BL1408" s="255">
        <v>-9999</v>
      </c>
      <c r="BM1408" s="255">
        <v>-9999</v>
      </c>
      <c r="BN1408" s="255">
        <v>-9999</v>
      </c>
      <c r="BO1408" s="255">
        <v>-9999</v>
      </c>
      <c r="BP1408" s="255">
        <v>-9999</v>
      </c>
      <c r="BQ1408" s="255">
        <v>-9999</v>
      </c>
      <c r="BR1408" s="255">
        <v>-9999</v>
      </c>
      <c r="BS1408" s="328">
        <v>-9999</v>
      </c>
      <c r="BT1408" s="327" t="s">
        <v>1130</v>
      </c>
      <c r="BU1408" s="255">
        <v>-9999</v>
      </c>
      <c r="BV1408" s="255">
        <v>-9999</v>
      </c>
      <c r="BW1408" s="255"/>
      <c r="BX1408" s="255">
        <v>-9999</v>
      </c>
      <c r="BY1408" s="255">
        <v>-9999</v>
      </c>
      <c r="BZ1408" s="255">
        <v>-9999</v>
      </c>
      <c r="CA1408" s="369" t="s">
        <v>974</v>
      </c>
      <c r="CB1408" s="475" t="s">
        <v>1686</v>
      </c>
      <c r="CC1408" s="327">
        <v>1</v>
      </c>
      <c r="CD1408" s="623">
        <v>4</v>
      </c>
      <c r="CE1408" s="342"/>
      <c r="CF1408" s="342">
        <v>-9999</v>
      </c>
      <c r="CG1408" s="144">
        <v>4</v>
      </c>
    </row>
    <row r="1409" spans="1:86" s="13" customFormat="1" x14ac:dyDescent="0.2">
      <c r="A1409" s="259" t="s">
        <v>898</v>
      </c>
      <c r="B1409" s="259" t="s">
        <v>899</v>
      </c>
      <c r="C1409" s="259" t="s">
        <v>900</v>
      </c>
      <c r="D1409" s="259" t="s">
        <v>553</v>
      </c>
      <c r="E1409" s="259" t="s">
        <v>901</v>
      </c>
      <c r="F1409" s="259">
        <v>1</v>
      </c>
      <c r="G1409" s="625">
        <v>5</v>
      </c>
      <c r="H1409" s="625">
        <v>5</v>
      </c>
      <c r="I1409" s="259" t="s">
        <v>856</v>
      </c>
      <c r="J1409" s="259">
        <v>2000</v>
      </c>
      <c r="K1409" s="266" t="s">
        <v>856</v>
      </c>
      <c r="L1409" s="266">
        <v>2005</v>
      </c>
      <c r="M1409" s="288">
        <v>-9999</v>
      </c>
      <c r="N1409" s="259">
        <v>-9999</v>
      </c>
      <c r="O1409" s="18"/>
      <c r="P1409" s="288">
        <v>69.237799999999993</v>
      </c>
      <c r="Q1409" s="259">
        <v>-9999</v>
      </c>
      <c r="R1409" s="288"/>
      <c r="S1409" s="259"/>
      <c r="T1409" s="376">
        <f>+P1409/H1409</f>
        <v>13.847559999999998</v>
      </c>
      <c r="U1409" s="259">
        <v>-9999</v>
      </c>
      <c r="V1409" s="259"/>
      <c r="W1409" s="288">
        <v>-9999</v>
      </c>
      <c r="X1409" s="259">
        <v>-9999</v>
      </c>
      <c r="Y1409" s="259"/>
      <c r="Z1409" s="259" t="s">
        <v>902</v>
      </c>
      <c r="AA1409" s="259">
        <v>2990</v>
      </c>
      <c r="AB1409" s="288">
        <v>0.92</v>
      </c>
      <c r="AC1409" s="259">
        <v>-9999</v>
      </c>
      <c r="AD1409" s="259">
        <v>429.4</v>
      </c>
      <c r="AE1409" s="259" t="s">
        <v>1950</v>
      </c>
      <c r="AF1409" s="259">
        <v>8</v>
      </c>
      <c r="AG1409" s="259">
        <v>2</v>
      </c>
      <c r="AH1409" s="259" t="s">
        <v>809</v>
      </c>
      <c r="AI1409" s="259">
        <v>-9999</v>
      </c>
      <c r="AJ1409" s="259">
        <v>-9999</v>
      </c>
      <c r="AK1409" s="259" t="s">
        <v>172</v>
      </c>
      <c r="AL1409" s="259" t="s">
        <v>828</v>
      </c>
      <c r="AM1409" s="259" t="s">
        <v>871</v>
      </c>
      <c r="AN1409" s="259" t="s">
        <v>631</v>
      </c>
      <c r="AO1409" s="259">
        <v>-9999</v>
      </c>
      <c r="AP1409" s="259">
        <v>-9999</v>
      </c>
      <c r="AQ1409" s="259" t="s">
        <v>626</v>
      </c>
      <c r="AR1409" s="260">
        <f>+AR1408+76</f>
        <v>370</v>
      </c>
      <c r="AS1409" s="259" t="s">
        <v>1498</v>
      </c>
      <c r="AT1409" s="259" t="s">
        <v>766</v>
      </c>
      <c r="AU1409" s="260">
        <f>+AU1408+25</f>
        <v>128.44565217391306</v>
      </c>
      <c r="AV1409" s="259" t="s">
        <v>1498</v>
      </c>
      <c r="AW1409" s="259" t="s">
        <v>766</v>
      </c>
      <c r="AX1409" s="260">
        <f>+AX1408+17</f>
        <v>120.78</v>
      </c>
      <c r="AY1409" s="259" t="s">
        <v>1498</v>
      </c>
      <c r="AZ1409" s="259" t="s">
        <v>766</v>
      </c>
      <c r="BA1409" s="259" t="s">
        <v>767</v>
      </c>
      <c r="BB1409" s="259" t="s">
        <v>626</v>
      </c>
      <c r="BC1409" s="259" t="s">
        <v>906</v>
      </c>
      <c r="BD1409" s="259" t="s">
        <v>907</v>
      </c>
      <c r="BE1409" s="259" t="s">
        <v>908</v>
      </c>
      <c r="BF1409" s="259" t="s">
        <v>909</v>
      </c>
      <c r="BG1409" s="259" t="s">
        <v>910</v>
      </c>
      <c r="BH1409" s="259" t="s">
        <v>911</v>
      </c>
      <c r="BI1409" s="259" t="s">
        <v>912</v>
      </c>
      <c r="BJ1409" s="259">
        <v>-9999</v>
      </c>
      <c r="BK1409" s="259">
        <v>-9999</v>
      </c>
      <c r="BL1409" s="259">
        <v>-9999</v>
      </c>
      <c r="BM1409" s="259">
        <v>-9999</v>
      </c>
      <c r="BN1409" s="259">
        <v>-9999</v>
      </c>
      <c r="BO1409" s="259">
        <v>-9999</v>
      </c>
      <c r="BP1409" s="259">
        <v>-9999</v>
      </c>
      <c r="BQ1409" s="259">
        <v>-9999</v>
      </c>
      <c r="BR1409" s="259">
        <v>-9999</v>
      </c>
      <c r="BS1409" s="260">
        <v>-9999</v>
      </c>
      <c r="BT1409" s="259" t="s">
        <v>1130</v>
      </c>
      <c r="BU1409" s="259">
        <v>-9999</v>
      </c>
      <c r="BV1409" s="259">
        <v>-9999</v>
      </c>
      <c r="BW1409" s="259"/>
      <c r="BX1409" s="259">
        <v>-9999</v>
      </c>
      <c r="BY1409" s="259">
        <v>-9999</v>
      </c>
      <c r="BZ1409" s="259">
        <v>-9999</v>
      </c>
      <c r="CA1409" s="337" t="s">
        <v>974</v>
      </c>
      <c r="CB1409" s="592" t="s">
        <v>1687</v>
      </c>
      <c r="CC1409" s="259">
        <v>1</v>
      </c>
      <c r="CD1409" s="625">
        <v>5</v>
      </c>
      <c r="CE1409" s="393">
        <v>13.847559999999998</v>
      </c>
      <c r="CF1409" s="99">
        <v>-9999</v>
      </c>
      <c r="CG1409" s="219">
        <v>5</v>
      </c>
      <c r="CH1409" s="436" t="s">
        <v>1757</v>
      </c>
    </row>
    <row r="1410" spans="1:86" s="13" customFormat="1" x14ac:dyDescent="0.2">
      <c r="A1410" s="259"/>
      <c r="B1410" s="259"/>
      <c r="C1410" s="259"/>
      <c r="D1410" s="327"/>
      <c r="E1410" s="259"/>
      <c r="F1410" s="259"/>
      <c r="G1410" s="625"/>
      <c r="H1410" s="625"/>
      <c r="I1410" s="259"/>
      <c r="J1410" s="259"/>
      <c r="K1410" s="259"/>
      <c r="L1410" s="259"/>
      <c r="M1410" s="368"/>
      <c r="N1410" s="259"/>
      <c r="O1410" s="18"/>
      <c r="P1410" s="288"/>
      <c r="Q1410" s="259"/>
      <c r="R1410" s="288"/>
      <c r="S1410" s="259"/>
      <c r="T1410" s="376"/>
      <c r="U1410" s="259"/>
      <c r="V1410" s="259"/>
      <c r="W1410" s="288"/>
      <c r="X1410" s="259"/>
      <c r="Y1410" s="259"/>
      <c r="Z1410" s="259"/>
      <c r="AA1410" s="259"/>
      <c r="AB1410" s="288"/>
      <c r="AC1410" s="259"/>
      <c r="AD1410" s="259"/>
      <c r="AE1410" s="327"/>
      <c r="AF1410" s="259"/>
      <c r="AG1410" s="259"/>
      <c r="AH1410" s="259"/>
      <c r="AI1410" s="259"/>
      <c r="AJ1410" s="259"/>
      <c r="AK1410" s="327"/>
      <c r="AL1410" s="259"/>
      <c r="AM1410" s="327"/>
      <c r="AN1410" s="259"/>
      <c r="AO1410" s="259"/>
      <c r="AP1410" s="259"/>
      <c r="AQ1410" s="259"/>
      <c r="AR1410" s="259"/>
      <c r="AS1410" s="259"/>
      <c r="AT1410" s="259"/>
      <c r="AU1410" s="259"/>
      <c r="AV1410" s="259"/>
      <c r="AW1410" s="259"/>
      <c r="AX1410" s="259"/>
      <c r="AY1410" s="327"/>
      <c r="AZ1410" s="259"/>
      <c r="BA1410" s="259"/>
      <c r="BB1410" s="259"/>
      <c r="BC1410" s="259"/>
      <c r="BD1410" s="259"/>
      <c r="BE1410" s="259"/>
      <c r="BF1410" s="259"/>
      <c r="BG1410" s="259"/>
      <c r="BH1410" s="259"/>
      <c r="BI1410" s="259"/>
      <c r="BJ1410" s="259"/>
      <c r="BK1410" s="259"/>
      <c r="BL1410" s="259"/>
      <c r="BM1410" s="259"/>
      <c r="BN1410" s="259"/>
      <c r="BO1410" s="259"/>
      <c r="BP1410" s="259"/>
      <c r="BQ1410" s="259"/>
      <c r="BR1410" s="259"/>
      <c r="BS1410" s="328"/>
      <c r="BT1410" s="327"/>
      <c r="BU1410" s="259"/>
      <c r="BV1410" s="259"/>
      <c r="BW1410" s="259"/>
      <c r="BX1410" s="259"/>
      <c r="BY1410" s="259"/>
      <c r="BZ1410" s="259"/>
      <c r="CA1410" s="369"/>
      <c r="CB1410" s="592"/>
      <c r="CC1410" s="259"/>
      <c r="CD1410" s="623"/>
      <c r="CE1410" s="342" t="s">
        <v>1576</v>
      </c>
      <c r="CF1410" s="342" t="s">
        <v>1575</v>
      </c>
      <c r="CG1410" s="39"/>
    </row>
    <row r="1411" spans="1:86" s="301" customFormat="1" x14ac:dyDescent="0.2">
      <c r="A1411" s="327" t="s">
        <v>898</v>
      </c>
      <c r="B1411" s="327" t="s">
        <v>899</v>
      </c>
      <c r="C1411" s="327" t="s">
        <v>913</v>
      </c>
      <c r="D1411" s="327" t="s">
        <v>553</v>
      </c>
      <c r="E1411" s="327" t="s">
        <v>901</v>
      </c>
      <c r="F1411" s="327">
        <v>1</v>
      </c>
      <c r="G1411" s="623">
        <v>1</v>
      </c>
      <c r="H1411" s="623">
        <v>1</v>
      </c>
      <c r="I1411" s="327" t="s">
        <v>856</v>
      </c>
      <c r="J1411" s="327">
        <v>2000</v>
      </c>
      <c r="K1411" s="265" t="s">
        <v>856</v>
      </c>
      <c r="L1411" s="265">
        <v>2001</v>
      </c>
      <c r="M1411" s="368">
        <v>-9999</v>
      </c>
      <c r="N1411" s="327">
        <v>-9999</v>
      </c>
      <c r="O1411" s="323"/>
      <c r="P1411" s="368">
        <v>-9999</v>
      </c>
      <c r="Q1411" s="327">
        <v>-9999</v>
      </c>
      <c r="R1411" s="368"/>
      <c r="S1411" s="327"/>
      <c r="T1411" s="287">
        <v>-9999</v>
      </c>
      <c r="U1411" s="327">
        <v>-9999</v>
      </c>
      <c r="V1411" s="327"/>
      <c r="W1411" s="368">
        <v>-9999</v>
      </c>
      <c r="X1411" s="327">
        <v>-9999</v>
      </c>
      <c r="Y1411" s="327"/>
      <c r="Z1411" s="327" t="s">
        <v>902</v>
      </c>
      <c r="AA1411" s="327">
        <v>2990</v>
      </c>
      <c r="AB1411" s="368">
        <v>0.93</v>
      </c>
      <c r="AC1411" s="327">
        <v>-9999</v>
      </c>
      <c r="AD1411" s="327">
        <v>429.4</v>
      </c>
      <c r="AE1411" s="327" t="s">
        <v>1950</v>
      </c>
      <c r="AF1411" s="327">
        <v>8</v>
      </c>
      <c r="AG1411" s="327">
        <v>2</v>
      </c>
      <c r="AH1411" s="327" t="s">
        <v>809</v>
      </c>
      <c r="AI1411" s="255">
        <v>-9999</v>
      </c>
      <c r="AJ1411" s="255">
        <v>-9999</v>
      </c>
      <c r="AK1411" s="327" t="s">
        <v>172</v>
      </c>
      <c r="AL1411" s="327" t="s">
        <v>828</v>
      </c>
      <c r="AM1411" s="327" t="s">
        <v>871</v>
      </c>
      <c r="AN1411" s="327" t="s">
        <v>631</v>
      </c>
      <c r="AO1411" s="255">
        <v>-9999</v>
      </c>
      <c r="AP1411" s="255">
        <v>-9999</v>
      </c>
      <c r="AQ1411" s="327" t="s">
        <v>626</v>
      </c>
      <c r="AR1411" s="255">
        <v>50</v>
      </c>
      <c r="AS1411" s="327" t="s">
        <v>765</v>
      </c>
      <c r="AT1411" s="327" t="s">
        <v>905</v>
      </c>
      <c r="AU1411" s="327">
        <v>56</v>
      </c>
      <c r="AV1411" s="327" t="s">
        <v>765</v>
      </c>
      <c r="AW1411" s="327" t="s">
        <v>905</v>
      </c>
      <c r="AX1411" s="327">
        <v>0</v>
      </c>
      <c r="AY1411" s="327">
        <v>-9999</v>
      </c>
      <c r="AZ1411" s="327">
        <v>-9999</v>
      </c>
      <c r="BA1411" s="259"/>
      <c r="BB1411" s="259" t="s">
        <v>626</v>
      </c>
      <c r="BC1411" s="259" t="s">
        <v>906</v>
      </c>
      <c r="BD1411" s="259" t="s">
        <v>907</v>
      </c>
      <c r="BE1411" s="259" t="s">
        <v>908</v>
      </c>
      <c r="BF1411" s="327">
        <v>-9999</v>
      </c>
      <c r="BG1411" s="327">
        <v>-9999</v>
      </c>
      <c r="BH1411" s="327">
        <v>-9999</v>
      </c>
      <c r="BI1411" s="259" t="s">
        <v>968</v>
      </c>
      <c r="BJ1411" s="255">
        <v>-9999</v>
      </c>
      <c r="BK1411" s="255">
        <v>-9999</v>
      </c>
      <c r="BL1411" s="255">
        <v>-9999</v>
      </c>
      <c r="BM1411" s="255">
        <v>-9999</v>
      </c>
      <c r="BN1411" s="255">
        <v>-9999</v>
      </c>
      <c r="BO1411" s="255">
        <v>-9999</v>
      </c>
      <c r="BP1411" s="255">
        <v>-9999</v>
      </c>
      <c r="BQ1411" s="255">
        <v>-9999</v>
      </c>
      <c r="BR1411" s="255">
        <v>-9999</v>
      </c>
      <c r="BS1411" s="328">
        <v>-9999</v>
      </c>
      <c r="BT1411" s="327" t="s">
        <v>1130</v>
      </c>
      <c r="BU1411" s="255">
        <v>-9999</v>
      </c>
      <c r="BV1411" s="255">
        <v>-9999</v>
      </c>
      <c r="BW1411" s="255"/>
      <c r="BX1411" s="255">
        <v>-9999</v>
      </c>
      <c r="BY1411" s="255">
        <v>-9999</v>
      </c>
      <c r="BZ1411" s="255">
        <v>-9999</v>
      </c>
      <c r="CA1411" s="369" t="s">
        <v>974</v>
      </c>
      <c r="CB1411" s="475"/>
      <c r="CC1411" s="327">
        <v>1</v>
      </c>
      <c r="CD1411" s="623">
        <v>1</v>
      </c>
      <c r="CE1411" s="342"/>
      <c r="CF1411" s="342">
        <v>-9999</v>
      </c>
      <c r="CG1411" s="144">
        <v>1</v>
      </c>
    </row>
    <row r="1412" spans="1:86" s="301" customFormat="1" x14ac:dyDescent="0.2">
      <c r="A1412" s="327" t="s">
        <v>898</v>
      </c>
      <c r="B1412" s="327" t="s">
        <v>899</v>
      </c>
      <c r="C1412" s="327" t="s">
        <v>913</v>
      </c>
      <c r="D1412" s="327" t="s">
        <v>553</v>
      </c>
      <c r="E1412" s="327" t="s">
        <v>901</v>
      </c>
      <c r="F1412" s="327">
        <v>1</v>
      </c>
      <c r="G1412" s="623">
        <v>2</v>
      </c>
      <c r="H1412" s="623">
        <v>2</v>
      </c>
      <c r="I1412" s="327" t="s">
        <v>856</v>
      </c>
      <c r="J1412" s="327">
        <v>2000</v>
      </c>
      <c r="K1412" s="265" t="s">
        <v>856</v>
      </c>
      <c r="L1412" s="265">
        <v>2002</v>
      </c>
      <c r="M1412" s="368">
        <v>-9999</v>
      </c>
      <c r="N1412" s="327">
        <v>-9999</v>
      </c>
      <c r="O1412" s="323"/>
      <c r="P1412" s="297">
        <v>9.14696</v>
      </c>
      <c r="Q1412" s="327">
        <v>-9999</v>
      </c>
      <c r="R1412" s="368"/>
      <c r="S1412" s="327"/>
      <c r="T1412" s="287">
        <f>+P1412/H1412</f>
        <v>4.57348</v>
      </c>
      <c r="U1412" s="327">
        <v>-9999</v>
      </c>
      <c r="V1412" s="327"/>
      <c r="W1412" s="368">
        <v>-9999</v>
      </c>
      <c r="X1412" s="327">
        <v>-9999</v>
      </c>
      <c r="Y1412" s="327"/>
      <c r="Z1412" s="327" t="s">
        <v>902</v>
      </c>
      <c r="AA1412" s="327">
        <v>2990</v>
      </c>
      <c r="AB1412" s="368">
        <v>0.93</v>
      </c>
      <c r="AC1412" s="327">
        <v>-9999</v>
      </c>
      <c r="AD1412" s="327">
        <v>429.4</v>
      </c>
      <c r="AE1412" s="327" t="s">
        <v>1950</v>
      </c>
      <c r="AF1412" s="327">
        <v>8</v>
      </c>
      <c r="AG1412" s="327">
        <v>2</v>
      </c>
      <c r="AH1412" s="327" t="s">
        <v>809</v>
      </c>
      <c r="AI1412" s="255">
        <v>-9999</v>
      </c>
      <c r="AJ1412" s="255">
        <v>-9999</v>
      </c>
      <c r="AK1412" s="327" t="s">
        <v>172</v>
      </c>
      <c r="AL1412" s="327" t="s">
        <v>828</v>
      </c>
      <c r="AM1412" s="327" t="s">
        <v>871</v>
      </c>
      <c r="AN1412" s="327" t="s">
        <v>631</v>
      </c>
      <c r="AO1412" s="255">
        <v>-9999</v>
      </c>
      <c r="AP1412" s="255">
        <v>-9999</v>
      </c>
      <c r="AQ1412" s="327" t="s">
        <v>626</v>
      </c>
      <c r="AR1412" s="255">
        <v>50</v>
      </c>
      <c r="AS1412" s="327" t="s">
        <v>765</v>
      </c>
      <c r="AT1412" s="327" t="s">
        <v>905</v>
      </c>
      <c r="AU1412" s="327">
        <v>56</v>
      </c>
      <c r="AV1412" s="327" t="s">
        <v>765</v>
      </c>
      <c r="AW1412" s="327" t="s">
        <v>905</v>
      </c>
      <c r="AX1412" s="327">
        <v>0</v>
      </c>
      <c r="AY1412" s="327">
        <v>-9999</v>
      </c>
      <c r="AZ1412" s="327">
        <v>-9999</v>
      </c>
      <c r="BA1412" s="259"/>
      <c r="BB1412" s="259" t="s">
        <v>626</v>
      </c>
      <c r="BC1412" s="259" t="s">
        <v>906</v>
      </c>
      <c r="BD1412" s="259" t="s">
        <v>907</v>
      </c>
      <c r="BE1412" s="259" t="s">
        <v>908</v>
      </c>
      <c r="BF1412" s="327">
        <v>-9999</v>
      </c>
      <c r="BG1412" s="327">
        <v>-9999</v>
      </c>
      <c r="BH1412" s="327">
        <v>-9999</v>
      </c>
      <c r="BI1412" s="259" t="s">
        <v>968</v>
      </c>
      <c r="BJ1412" s="255">
        <v>-9999</v>
      </c>
      <c r="BK1412" s="255">
        <v>-9999</v>
      </c>
      <c r="BL1412" s="255">
        <v>-9999</v>
      </c>
      <c r="BM1412" s="255">
        <v>-9999</v>
      </c>
      <c r="BN1412" s="255">
        <v>-9999</v>
      </c>
      <c r="BO1412" s="255">
        <v>-9999</v>
      </c>
      <c r="BP1412" s="255">
        <v>-9999</v>
      </c>
      <c r="BQ1412" s="255">
        <v>-9999</v>
      </c>
      <c r="BR1412" s="255">
        <v>-9999</v>
      </c>
      <c r="BS1412" s="328">
        <v>-9999</v>
      </c>
      <c r="BT1412" s="327" t="s">
        <v>1130</v>
      </c>
      <c r="BU1412" s="255">
        <v>-9999</v>
      </c>
      <c r="BV1412" s="255">
        <v>-9999</v>
      </c>
      <c r="BW1412" s="255"/>
      <c r="BX1412" s="255">
        <v>-9999</v>
      </c>
      <c r="BY1412" s="255">
        <v>-9999</v>
      </c>
      <c r="BZ1412" s="255">
        <v>-9999</v>
      </c>
      <c r="CA1412" s="369" t="s">
        <v>974</v>
      </c>
      <c r="CB1412" s="475"/>
      <c r="CC1412" s="327">
        <v>1</v>
      </c>
      <c r="CD1412" s="623">
        <v>2</v>
      </c>
      <c r="CE1412" s="342">
        <v>4.57348</v>
      </c>
      <c r="CF1412" s="342">
        <v>-9999</v>
      </c>
      <c r="CG1412" s="144">
        <v>2</v>
      </c>
    </row>
    <row r="1413" spans="1:86" s="301" customFormat="1" x14ac:dyDescent="0.2">
      <c r="A1413" s="327" t="s">
        <v>898</v>
      </c>
      <c r="B1413" s="327" t="s">
        <v>899</v>
      </c>
      <c r="C1413" s="327" t="s">
        <v>913</v>
      </c>
      <c r="D1413" s="327" t="s">
        <v>553</v>
      </c>
      <c r="E1413" s="327" t="s">
        <v>901</v>
      </c>
      <c r="F1413" s="327">
        <v>1</v>
      </c>
      <c r="G1413" s="623">
        <v>3</v>
      </c>
      <c r="H1413" s="623">
        <v>3</v>
      </c>
      <c r="I1413" s="327" t="s">
        <v>856</v>
      </c>
      <c r="J1413" s="327">
        <v>2000</v>
      </c>
      <c r="K1413" s="265" t="s">
        <v>856</v>
      </c>
      <c r="L1413" s="265">
        <v>2003</v>
      </c>
      <c r="M1413" s="368">
        <v>-9999</v>
      </c>
      <c r="N1413" s="327">
        <v>-9999</v>
      </c>
      <c r="O1413" s="323"/>
      <c r="P1413" s="297">
        <v>31.208600000000001</v>
      </c>
      <c r="Q1413" s="327">
        <v>-9999</v>
      </c>
      <c r="R1413" s="368"/>
      <c r="S1413" s="327"/>
      <c r="T1413" s="287">
        <f>+P1413/H1413</f>
        <v>10.402866666666666</v>
      </c>
      <c r="U1413" s="327">
        <v>-9999</v>
      </c>
      <c r="V1413" s="327"/>
      <c r="W1413" s="368">
        <v>-9999</v>
      </c>
      <c r="X1413" s="327">
        <v>-9999</v>
      </c>
      <c r="Y1413" s="327"/>
      <c r="Z1413" s="327" t="s">
        <v>902</v>
      </c>
      <c r="AA1413" s="327">
        <v>2990</v>
      </c>
      <c r="AB1413" s="368">
        <v>0.93</v>
      </c>
      <c r="AC1413" s="327">
        <v>-9999</v>
      </c>
      <c r="AD1413" s="327">
        <v>429.4</v>
      </c>
      <c r="AE1413" s="327" t="s">
        <v>1950</v>
      </c>
      <c r="AF1413" s="327">
        <v>8</v>
      </c>
      <c r="AG1413" s="327">
        <v>2</v>
      </c>
      <c r="AH1413" s="327" t="s">
        <v>809</v>
      </c>
      <c r="AI1413" s="255">
        <v>-9999</v>
      </c>
      <c r="AJ1413" s="255">
        <v>-9999</v>
      </c>
      <c r="AK1413" s="327" t="s">
        <v>172</v>
      </c>
      <c r="AL1413" s="327" t="s">
        <v>828</v>
      </c>
      <c r="AM1413" s="327" t="s">
        <v>871</v>
      </c>
      <c r="AN1413" s="259" t="s">
        <v>631</v>
      </c>
      <c r="AO1413" s="255">
        <v>-9999</v>
      </c>
      <c r="AP1413" s="255">
        <v>-9999</v>
      </c>
      <c r="AQ1413" s="327" t="s">
        <v>626</v>
      </c>
      <c r="AR1413" s="255">
        <v>50</v>
      </c>
      <c r="AS1413" s="327" t="s">
        <v>765</v>
      </c>
      <c r="AT1413" s="327" t="s">
        <v>905</v>
      </c>
      <c r="AU1413" s="327">
        <v>56</v>
      </c>
      <c r="AV1413" s="327" t="s">
        <v>765</v>
      </c>
      <c r="AW1413" s="327" t="s">
        <v>905</v>
      </c>
      <c r="AX1413" s="327">
        <v>0</v>
      </c>
      <c r="AY1413" s="327">
        <v>-9999</v>
      </c>
      <c r="AZ1413" s="327">
        <v>-9999</v>
      </c>
      <c r="BA1413" s="259"/>
      <c r="BB1413" s="259" t="s">
        <v>626</v>
      </c>
      <c r="BC1413" s="259" t="s">
        <v>906</v>
      </c>
      <c r="BD1413" s="259" t="s">
        <v>907</v>
      </c>
      <c r="BE1413" s="259" t="s">
        <v>908</v>
      </c>
      <c r="BF1413" s="327">
        <v>-9999</v>
      </c>
      <c r="BG1413" s="327">
        <v>-9999</v>
      </c>
      <c r="BH1413" s="327">
        <v>-9999</v>
      </c>
      <c r="BI1413" s="259" t="s">
        <v>968</v>
      </c>
      <c r="BJ1413" s="255">
        <v>-9999</v>
      </c>
      <c r="BK1413" s="255">
        <v>-9999</v>
      </c>
      <c r="BL1413" s="255">
        <v>-9999</v>
      </c>
      <c r="BM1413" s="255">
        <v>-9999</v>
      </c>
      <c r="BN1413" s="255">
        <v>-9999</v>
      </c>
      <c r="BO1413" s="255">
        <v>-9999</v>
      </c>
      <c r="BP1413" s="255">
        <v>-9999</v>
      </c>
      <c r="BQ1413" s="255">
        <v>-9999</v>
      </c>
      <c r="BR1413" s="255">
        <v>-9999</v>
      </c>
      <c r="BS1413" s="328">
        <v>-9999</v>
      </c>
      <c r="BT1413" s="327" t="s">
        <v>1130</v>
      </c>
      <c r="BU1413" s="255">
        <v>-9999</v>
      </c>
      <c r="BV1413" s="255">
        <v>-9999</v>
      </c>
      <c r="BW1413" s="255"/>
      <c r="BX1413" s="255">
        <v>-9999</v>
      </c>
      <c r="BY1413" s="255">
        <v>-9999</v>
      </c>
      <c r="BZ1413" s="255">
        <v>-9999</v>
      </c>
      <c r="CA1413" s="369" t="s">
        <v>974</v>
      </c>
      <c r="CB1413" s="475" t="s">
        <v>1685</v>
      </c>
      <c r="CC1413" s="327">
        <v>1</v>
      </c>
      <c r="CD1413" s="623">
        <v>3</v>
      </c>
      <c r="CE1413" s="342">
        <v>10.402866666666666</v>
      </c>
      <c r="CF1413" s="342">
        <v>-9999</v>
      </c>
      <c r="CG1413" s="144">
        <v>3</v>
      </c>
    </row>
    <row r="1414" spans="1:86" s="301" customFormat="1" x14ac:dyDescent="0.2">
      <c r="A1414" s="327" t="s">
        <v>898</v>
      </c>
      <c r="B1414" s="327" t="s">
        <v>899</v>
      </c>
      <c r="C1414" s="327" t="s">
        <v>913</v>
      </c>
      <c r="D1414" s="327" t="s">
        <v>553</v>
      </c>
      <c r="E1414" s="327" t="s">
        <v>901</v>
      </c>
      <c r="F1414" s="327">
        <v>1</v>
      </c>
      <c r="G1414" s="623">
        <v>4</v>
      </c>
      <c r="H1414" s="623">
        <v>4</v>
      </c>
      <c r="I1414" s="327" t="s">
        <v>856</v>
      </c>
      <c r="J1414" s="327">
        <v>2000</v>
      </c>
      <c r="K1414" s="265" t="s">
        <v>856</v>
      </c>
      <c r="L1414" s="624">
        <v>2004</v>
      </c>
      <c r="M1414" s="368">
        <v>-9999</v>
      </c>
      <c r="N1414" s="327">
        <v>-9999</v>
      </c>
      <c r="O1414" s="323"/>
      <c r="P1414" s="368">
        <v>-9999</v>
      </c>
      <c r="Q1414" s="327">
        <v>-9999</v>
      </c>
      <c r="R1414" s="368"/>
      <c r="S1414" s="327"/>
      <c r="T1414" s="287">
        <v>-9999</v>
      </c>
      <c r="U1414" s="327">
        <v>-9999</v>
      </c>
      <c r="V1414" s="327"/>
      <c r="W1414" s="368">
        <v>-9999</v>
      </c>
      <c r="X1414" s="327">
        <v>-9999</v>
      </c>
      <c r="Y1414" s="327"/>
      <c r="Z1414" s="327" t="s">
        <v>902</v>
      </c>
      <c r="AA1414" s="327">
        <v>2990</v>
      </c>
      <c r="AB1414" s="368">
        <v>0.93</v>
      </c>
      <c r="AC1414" s="327">
        <v>-9999</v>
      </c>
      <c r="AD1414" s="327">
        <v>429.4</v>
      </c>
      <c r="AE1414" s="327" t="s">
        <v>1950</v>
      </c>
      <c r="AF1414" s="327">
        <v>8</v>
      </c>
      <c r="AG1414" s="327">
        <v>2</v>
      </c>
      <c r="AH1414" s="327" t="s">
        <v>809</v>
      </c>
      <c r="AI1414" s="327">
        <v>-9999</v>
      </c>
      <c r="AJ1414" s="327">
        <v>-9999</v>
      </c>
      <c r="AK1414" s="327" t="s">
        <v>172</v>
      </c>
      <c r="AL1414" s="327" t="s">
        <v>828</v>
      </c>
      <c r="AM1414" s="327" t="s">
        <v>871</v>
      </c>
      <c r="AN1414" s="259" t="s">
        <v>631</v>
      </c>
      <c r="AO1414" s="327">
        <v>-9999</v>
      </c>
      <c r="AP1414" s="327">
        <v>-9999</v>
      </c>
      <c r="AQ1414" s="327" t="s">
        <v>626</v>
      </c>
      <c r="AR1414" s="255">
        <v>50</v>
      </c>
      <c r="AS1414" s="327" t="s">
        <v>765</v>
      </c>
      <c r="AT1414" s="327" t="s">
        <v>905</v>
      </c>
      <c r="AU1414" s="327">
        <v>56</v>
      </c>
      <c r="AV1414" s="327" t="s">
        <v>765</v>
      </c>
      <c r="AW1414" s="327" t="s">
        <v>905</v>
      </c>
      <c r="AX1414" s="327">
        <v>0</v>
      </c>
      <c r="AY1414" s="327">
        <v>-9999</v>
      </c>
      <c r="AZ1414" s="327">
        <v>-9999</v>
      </c>
      <c r="BA1414" s="259"/>
      <c r="BB1414" s="259" t="s">
        <v>626</v>
      </c>
      <c r="BC1414" s="259" t="s">
        <v>906</v>
      </c>
      <c r="BD1414" s="259" t="s">
        <v>907</v>
      </c>
      <c r="BE1414" s="259" t="s">
        <v>908</v>
      </c>
      <c r="BF1414" s="327">
        <v>-9999</v>
      </c>
      <c r="BG1414" s="327">
        <v>-9999</v>
      </c>
      <c r="BH1414" s="327">
        <v>-9999</v>
      </c>
      <c r="BI1414" s="259" t="s">
        <v>968</v>
      </c>
      <c r="BJ1414" s="327">
        <v>-9999</v>
      </c>
      <c r="BK1414" s="327">
        <v>-9999</v>
      </c>
      <c r="BL1414" s="327">
        <v>-9999</v>
      </c>
      <c r="BM1414" s="327">
        <v>-9999</v>
      </c>
      <c r="BN1414" s="327">
        <v>-9999</v>
      </c>
      <c r="BO1414" s="327">
        <v>-9999</v>
      </c>
      <c r="BP1414" s="327">
        <v>-9999</v>
      </c>
      <c r="BQ1414" s="327">
        <v>-9999</v>
      </c>
      <c r="BR1414" s="327">
        <v>-9999</v>
      </c>
      <c r="BS1414" s="328">
        <v>-9999</v>
      </c>
      <c r="BT1414" s="327" t="s">
        <v>1130</v>
      </c>
      <c r="BU1414" s="327">
        <v>-9999</v>
      </c>
      <c r="BV1414" s="327">
        <v>-9999</v>
      </c>
      <c r="BW1414" s="327"/>
      <c r="BX1414" s="327">
        <v>-9999</v>
      </c>
      <c r="BY1414" s="327">
        <v>-9999</v>
      </c>
      <c r="BZ1414" s="327">
        <v>-9999</v>
      </c>
      <c r="CA1414" s="369" t="s">
        <v>974</v>
      </c>
      <c r="CB1414" s="475" t="s">
        <v>1686</v>
      </c>
      <c r="CC1414" s="327">
        <v>1</v>
      </c>
      <c r="CD1414" s="623">
        <v>4</v>
      </c>
      <c r="CE1414" s="342"/>
      <c r="CF1414" s="342">
        <v>-9999</v>
      </c>
      <c r="CG1414" s="144">
        <v>4</v>
      </c>
    </row>
    <row r="1415" spans="1:86" s="13" customFormat="1" x14ac:dyDescent="0.2">
      <c r="A1415" s="259" t="s">
        <v>898</v>
      </c>
      <c r="B1415" s="259" t="s">
        <v>899</v>
      </c>
      <c r="C1415" s="259" t="s">
        <v>913</v>
      </c>
      <c r="D1415" s="259" t="s">
        <v>553</v>
      </c>
      <c r="E1415" s="259" t="s">
        <v>901</v>
      </c>
      <c r="F1415" s="259">
        <v>1</v>
      </c>
      <c r="G1415" s="625">
        <v>5</v>
      </c>
      <c r="H1415" s="625">
        <v>5</v>
      </c>
      <c r="I1415" s="259" t="s">
        <v>856</v>
      </c>
      <c r="J1415" s="259">
        <v>2000</v>
      </c>
      <c r="K1415" s="266" t="s">
        <v>856</v>
      </c>
      <c r="L1415" s="266">
        <v>2005</v>
      </c>
      <c r="M1415" s="288">
        <v>-9999</v>
      </c>
      <c r="N1415" s="259">
        <v>-9999</v>
      </c>
      <c r="O1415" s="18"/>
      <c r="P1415" s="288">
        <v>57.425400000000003</v>
      </c>
      <c r="Q1415" s="259">
        <v>-9999</v>
      </c>
      <c r="R1415" s="288"/>
      <c r="S1415" s="259"/>
      <c r="T1415" s="376">
        <f>+P1415/H1415</f>
        <v>11.48508</v>
      </c>
      <c r="U1415" s="259">
        <v>-9999</v>
      </c>
      <c r="V1415" s="259"/>
      <c r="W1415" s="288">
        <v>-9999</v>
      </c>
      <c r="X1415" s="259">
        <v>-9999</v>
      </c>
      <c r="Y1415" s="259"/>
      <c r="Z1415" s="259" t="s">
        <v>902</v>
      </c>
      <c r="AA1415" s="259">
        <v>2990</v>
      </c>
      <c r="AB1415" s="288">
        <v>0.93</v>
      </c>
      <c r="AC1415" s="259">
        <v>-9999</v>
      </c>
      <c r="AD1415" s="259">
        <v>429.4</v>
      </c>
      <c r="AE1415" s="259" t="s">
        <v>1950</v>
      </c>
      <c r="AF1415" s="259">
        <v>8</v>
      </c>
      <c r="AG1415" s="259">
        <v>2</v>
      </c>
      <c r="AH1415" s="259" t="s">
        <v>809</v>
      </c>
      <c r="AI1415" s="259">
        <v>-9999</v>
      </c>
      <c r="AJ1415" s="259">
        <v>-9999</v>
      </c>
      <c r="AK1415" s="259" t="s">
        <v>172</v>
      </c>
      <c r="AL1415" s="259" t="s">
        <v>828</v>
      </c>
      <c r="AM1415" s="259" t="s">
        <v>871</v>
      </c>
      <c r="AN1415" s="259" t="s">
        <v>631</v>
      </c>
      <c r="AO1415" s="259">
        <v>-9999</v>
      </c>
      <c r="AP1415" s="259">
        <v>-9999</v>
      </c>
      <c r="AQ1415" s="259" t="s">
        <v>626</v>
      </c>
      <c r="AR1415" s="259">
        <v>50</v>
      </c>
      <c r="AS1415" s="259" t="s">
        <v>765</v>
      </c>
      <c r="AT1415" s="259" t="s">
        <v>905</v>
      </c>
      <c r="AU1415" s="259">
        <v>56</v>
      </c>
      <c r="AV1415" s="259" t="s">
        <v>765</v>
      </c>
      <c r="AW1415" s="259" t="s">
        <v>905</v>
      </c>
      <c r="AX1415" s="259">
        <v>0</v>
      </c>
      <c r="AY1415" s="259">
        <v>-9999</v>
      </c>
      <c r="AZ1415" s="259">
        <v>-9999</v>
      </c>
      <c r="BA1415" s="259"/>
      <c r="BB1415" s="259" t="s">
        <v>626</v>
      </c>
      <c r="BC1415" s="259" t="s">
        <v>906</v>
      </c>
      <c r="BD1415" s="259" t="s">
        <v>907</v>
      </c>
      <c r="BE1415" s="259" t="s">
        <v>908</v>
      </c>
      <c r="BF1415" s="259">
        <v>-9999</v>
      </c>
      <c r="BG1415" s="259">
        <v>-9999</v>
      </c>
      <c r="BH1415" s="259">
        <v>-9999</v>
      </c>
      <c r="BI1415" s="259" t="s">
        <v>968</v>
      </c>
      <c r="BJ1415" s="259">
        <v>-9999</v>
      </c>
      <c r="BK1415" s="259">
        <v>-9999</v>
      </c>
      <c r="BL1415" s="259">
        <v>-9999</v>
      </c>
      <c r="BM1415" s="259">
        <v>-9999</v>
      </c>
      <c r="BN1415" s="259">
        <v>-9999</v>
      </c>
      <c r="BO1415" s="259">
        <v>-9999</v>
      </c>
      <c r="BP1415" s="259">
        <v>-9999</v>
      </c>
      <c r="BQ1415" s="259">
        <v>-9999</v>
      </c>
      <c r="BR1415" s="259">
        <v>-9999</v>
      </c>
      <c r="BS1415" s="260">
        <v>-9999</v>
      </c>
      <c r="BT1415" s="259" t="s">
        <v>1130</v>
      </c>
      <c r="BU1415" s="259">
        <v>-9999</v>
      </c>
      <c r="BV1415" s="259">
        <v>-9999</v>
      </c>
      <c r="BW1415" s="259"/>
      <c r="BX1415" s="259">
        <v>-9999</v>
      </c>
      <c r="BY1415" s="259">
        <v>-9999</v>
      </c>
      <c r="BZ1415" s="259">
        <v>-9999</v>
      </c>
      <c r="CA1415" s="337" t="s">
        <v>974</v>
      </c>
      <c r="CB1415" s="592" t="s">
        <v>1687</v>
      </c>
      <c r="CC1415" s="259">
        <v>1</v>
      </c>
      <c r="CD1415" s="625">
        <v>5</v>
      </c>
      <c r="CE1415" s="393">
        <v>11.48508</v>
      </c>
      <c r="CF1415" s="99">
        <v>-9999</v>
      </c>
      <c r="CG1415" s="219">
        <v>5</v>
      </c>
      <c r="CH1415" s="436"/>
    </row>
    <row r="1416" spans="1:86" s="13" customFormat="1" x14ac:dyDescent="0.2">
      <c r="A1416" s="259"/>
      <c r="B1416" s="259"/>
      <c r="C1416" s="259"/>
      <c r="D1416" s="327"/>
      <c r="E1416" s="259"/>
      <c r="F1416" s="259"/>
      <c r="G1416" s="260"/>
      <c r="H1416" s="260"/>
      <c r="I1416" s="259"/>
      <c r="J1416" s="259"/>
      <c r="K1416" s="259"/>
      <c r="L1416" s="259"/>
      <c r="M1416" s="368"/>
      <c r="N1416" s="259"/>
      <c r="O1416" s="18"/>
      <c r="P1416" s="288"/>
      <c r="Q1416" s="259"/>
      <c r="R1416" s="288"/>
      <c r="S1416" s="259"/>
      <c r="T1416" s="376"/>
      <c r="U1416" s="259"/>
      <c r="V1416" s="259"/>
      <c r="W1416" s="288"/>
      <c r="X1416" s="259"/>
      <c r="Y1416" s="259"/>
      <c r="Z1416" s="259"/>
      <c r="AA1416" s="259"/>
      <c r="AB1416" s="288"/>
      <c r="AC1416" s="259"/>
      <c r="AD1416" s="259"/>
      <c r="AE1416" s="327"/>
      <c r="AF1416" s="259"/>
      <c r="AG1416" s="259"/>
      <c r="AH1416" s="259"/>
      <c r="AI1416" s="259"/>
      <c r="AJ1416" s="259"/>
      <c r="AK1416" s="327"/>
      <c r="AL1416" s="259"/>
      <c r="AM1416" s="327"/>
      <c r="AN1416" s="259"/>
      <c r="AO1416" s="259"/>
      <c r="AP1416" s="259"/>
      <c r="AQ1416" s="259"/>
      <c r="AR1416" s="255"/>
      <c r="AS1416" s="327"/>
      <c r="AT1416" s="327"/>
      <c r="AU1416" s="327"/>
      <c r="AV1416" s="327"/>
      <c r="AW1416" s="327"/>
      <c r="AX1416" s="327"/>
      <c r="AY1416" s="327"/>
      <c r="AZ1416" s="259"/>
      <c r="BA1416" s="259"/>
      <c r="BB1416" s="259"/>
      <c r="BC1416" s="259"/>
      <c r="BD1416" s="259"/>
      <c r="BE1416" s="259"/>
      <c r="BF1416" s="259"/>
      <c r="BG1416" s="259"/>
      <c r="BH1416" s="259"/>
      <c r="BI1416" s="259"/>
      <c r="BJ1416" s="259"/>
      <c r="BK1416" s="259"/>
      <c r="BL1416" s="259"/>
      <c r="BM1416" s="259"/>
      <c r="BN1416" s="259"/>
      <c r="BO1416" s="259"/>
      <c r="BP1416" s="259"/>
      <c r="BQ1416" s="259"/>
      <c r="BR1416" s="259"/>
      <c r="BS1416" s="328"/>
      <c r="BT1416" s="327"/>
      <c r="BU1416" s="259"/>
      <c r="BV1416" s="259"/>
      <c r="BW1416" s="259"/>
      <c r="BX1416" s="259"/>
      <c r="BY1416" s="259"/>
      <c r="BZ1416" s="259"/>
      <c r="CA1416" s="337"/>
      <c r="CB1416" s="592"/>
      <c r="CC1416" s="259"/>
      <c r="CD1416" s="328"/>
      <c r="CE1416" s="342" t="s">
        <v>1576</v>
      </c>
      <c r="CF1416" s="342" t="s">
        <v>1575</v>
      </c>
      <c r="CG1416" s="41"/>
    </row>
    <row r="1417" spans="1:86" s="13" customFormat="1" x14ac:dyDescent="0.2">
      <c r="A1417" s="327" t="s">
        <v>898</v>
      </c>
      <c r="B1417" s="327" t="s">
        <v>899</v>
      </c>
      <c r="C1417" s="327" t="s">
        <v>128</v>
      </c>
      <c r="D1417" s="327" t="s">
        <v>553</v>
      </c>
      <c r="E1417" s="327" t="s">
        <v>901</v>
      </c>
      <c r="F1417" s="327">
        <v>1</v>
      </c>
      <c r="G1417" s="623">
        <v>1</v>
      </c>
      <c r="H1417" s="623">
        <v>1</v>
      </c>
      <c r="I1417" s="327" t="s">
        <v>856</v>
      </c>
      <c r="J1417" s="327">
        <v>2000</v>
      </c>
      <c r="K1417" s="265" t="s">
        <v>856</v>
      </c>
      <c r="L1417" s="265">
        <v>2001</v>
      </c>
      <c r="M1417" s="368">
        <v>-9999</v>
      </c>
      <c r="N1417" s="327">
        <v>-9999</v>
      </c>
      <c r="O1417" s="323"/>
      <c r="P1417" s="368">
        <v>-9999</v>
      </c>
      <c r="Q1417" s="327">
        <v>-9999</v>
      </c>
      <c r="R1417" s="368"/>
      <c r="S1417" s="327"/>
      <c r="T1417" s="287">
        <f>+P1417/H1417</f>
        <v>-9999</v>
      </c>
      <c r="U1417" s="327">
        <v>-9999</v>
      </c>
      <c r="V1417" s="327"/>
      <c r="W1417" s="368">
        <v>-9999</v>
      </c>
      <c r="X1417" s="327">
        <v>-9999</v>
      </c>
      <c r="Y1417" s="327"/>
      <c r="Z1417" s="327" t="s">
        <v>129</v>
      </c>
      <c r="AA1417" s="327">
        <v>1334</v>
      </c>
      <c r="AB1417" s="368">
        <v>0.996</v>
      </c>
      <c r="AC1417" s="327">
        <v>-9999</v>
      </c>
      <c r="AD1417" s="327">
        <v>429.4</v>
      </c>
      <c r="AE1417" s="327" t="s">
        <v>1950</v>
      </c>
      <c r="AF1417" s="327">
        <v>8</v>
      </c>
      <c r="AG1417" s="327">
        <v>2</v>
      </c>
      <c r="AH1417" s="327" t="s">
        <v>809</v>
      </c>
      <c r="AI1417" s="327">
        <v>-9999</v>
      </c>
      <c r="AJ1417" s="327">
        <v>-9999</v>
      </c>
      <c r="AK1417" s="327" t="s">
        <v>172</v>
      </c>
      <c r="AL1417" s="327" t="s">
        <v>828</v>
      </c>
      <c r="AM1417" s="327" t="s">
        <v>871</v>
      </c>
      <c r="AN1417" s="327" t="s">
        <v>631</v>
      </c>
      <c r="AO1417" s="327">
        <v>-9999</v>
      </c>
      <c r="AP1417" s="327">
        <v>-9999</v>
      </c>
      <c r="AQ1417" s="327" t="s">
        <v>626</v>
      </c>
      <c r="AR1417" s="327">
        <f>660*0.1</f>
        <v>66</v>
      </c>
      <c r="AS1417" s="327" t="s">
        <v>1498</v>
      </c>
      <c r="AT1417" s="327" t="s">
        <v>905</v>
      </c>
      <c r="AU1417" s="328">
        <f>66/2.3</f>
        <v>28.695652173913047</v>
      </c>
      <c r="AV1417" s="327" t="s">
        <v>1498</v>
      </c>
      <c r="AW1417" s="327" t="s">
        <v>905</v>
      </c>
      <c r="AX1417" s="328">
        <f>66*0.83</f>
        <v>54.779999999999994</v>
      </c>
      <c r="AY1417" s="327" t="s">
        <v>1498</v>
      </c>
      <c r="AZ1417" s="327" t="s">
        <v>905</v>
      </c>
      <c r="BA1417" s="327" t="s">
        <v>767</v>
      </c>
      <c r="BB1417" s="327" t="s">
        <v>626</v>
      </c>
      <c r="BC1417" s="327" t="s">
        <v>906</v>
      </c>
      <c r="BD1417" s="327" t="s">
        <v>907</v>
      </c>
      <c r="BE1417" s="327" t="s">
        <v>908</v>
      </c>
      <c r="BF1417" s="327" t="s">
        <v>909</v>
      </c>
      <c r="BG1417" s="327" t="s">
        <v>910</v>
      </c>
      <c r="BH1417" s="327" t="s">
        <v>911</v>
      </c>
      <c r="BI1417" s="327" t="s">
        <v>912</v>
      </c>
      <c r="BJ1417" s="327">
        <v>-9999</v>
      </c>
      <c r="BK1417" s="327">
        <v>-9999</v>
      </c>
      <c r="BL1417" s="327">
        <v>-9999</v>
      </c>
      <c r="BM1417" s="327">
        <v>-9999</v>
      </c>
      <c r="BN1417" s="327">
        <v>-9999</v>
      </c>
      <c r="BO1417" s="327">
        <v>-9999</v>
      </c>
      <c r="BP1417" s="327">
        <v>-9999</v>
      </c>
      <c r="BQ1417" s="327">
        <v>-9999</v>
      </c>
      <c r="BR1417" s="327">
        <v>-9999</v>
      </c>
      <c r="BS1417" s="328">
        <v>-9999</v>
      </c>
      <c r="BT1417" s="327" t="s">
        <v>1130</v>
      </c>
      <c r="BU1417" s="327">
        <v>-9999</v>
      </c>
      <c r="BV1417" s="327">
        <v>-9999</v>
      </c>
      <c r="BW1417" s="327"/>
      <c r="BX1417" s="327">
        <v>-9999</v>
      </c>
      <c r="BY1417" s="327">
        <v>-9999</v>
      </c>
      <c r="BZ1417" s="327">
        <v>-9999</v>
      </c>
      <c r="CA1417" s="369" t="s">
        <v>974</v>
      </c>
      <c r="CB1417" s="475"/>
      <c r="CC1417" s="327">
        <v>1</v>
      </c>
      <c r="CD1417" s="623">
        <v>1</v>
      </c>
      <c r="CE1417" s="342"/>
      <c r="CF1417" s="342">
        <v>-9999</v>
      </c>
      <c r="CG1417" s="144">
        <v>1</v>
      </c>
    </row>
    <row r="1418" spans="1:86" s="13" customFormat="1" x14ac:dyDescent="0.2">
      <c r="A1418" s="327" t="s">
        <v>898</v>
      </c>
      <c r="B1418" s="327" t="s">
        <v>899</v>
      </c>
      <c r="C1418" s="327" t="s">
        <v>128</v>
      </c>
      <c r="D1418" s="327" t="s">
        <v>553</v>
      </c>
      <c r="E1418" s="327" t="s">
        <v>901</v>
      </c>
      <c r="F1418" s="327">
        <v>1</v>
      </c>
      <c r="G1418" s="623">
        <v>2</v>
      </c>
      <c r="H1418" s="623">
        <v>2</v>
      </c>
      <c r="I1418" s="327" t="s">
        <v>856</v>
      </c>
      <c r="J1418" s="327">
        <v>2000</v>
      </c>
      <c r="K1418" s="265" t="s">
        <v>856</v>
      </c>
      <c r="L1418" s="265">
        <v>2002</v>
      </c>
      <c r="M1418" s="368">
        <v>-9999</v>
      </c>
      <c r="N1418" s="327">
        <v>-9999</v>
      </c>
      <c r="O1418" s="323"/>
      <c r="P1418" s="297">
        <v>5.08</v>
      </c>
      <c r="Q1418" s="327">
        <v>-9999</v>
      </c>
      <c r="R1418" s="368"/>
      <c r="S1418" s="327"/>
      <c r="T1418" s="287">
        <f>+P1418/H1418</f>
        <v>2.54</v>
      </c>
      <c r="U1418" s="327">
        <v>-9999</v>
      </c>
      <c r="V1418" s="327"/>
      <c r="W1418" s="368">
        <v>-9999</v>
      </c>
      <c r="X1418" s="327">
        <v>-9999</v>
      </c>
      <c r="Y1418" s="327"/>
      <c r="Z1418" s="327" t="s">
        <v>129</v>
      </c>
      <c r="AA1418" s="327">
        <v>1334</v>
      </c>
      <c r="AB1418" s="368">
        <v>0.996</v>
      </c>
      <c r="AC1418" s="327">
        <v>-9999</v>
      </c>
      <c r="AD1418" s="327">
        <v>429.4</v>
      </c>
      <c r="AE1418" s="327" t="s">
        <v>1950</v>
      </c>
      <c r="AF1418" s="327">
        <v>8</v>
      </c>
      <c r="AG1418" s="327">
        <v>2</v>
      </c>
      <c r="AH1418" s="327" t="s">
        <v>809</v>
      </c>
      <c r="AI1418" s="255">
        <v>-9999</v>
      </c>
      <c r="AJ1418" s="255">
        <v>-9999</v>
      </c>
      <c r="AK1418" s="327" t="s">
        <v>172</v>
      </c>
      <c r="AL1418" s="327" t="s">
        <v>828</v>
      </c>
      <c r="AM1418" s="327" t="s">
        <v>871</v>
      </c>
      <c r="AN1418" s="327" t="s">
        <v>631</v>
      </c>
      <c r="AO1418" s="255">
        <v>-9999</v>
      </c>
      <c r="AP1418" s="255">
        <v>-9999</v>
      </c>
      <c r="AQ1418" s="327" t="s">
        <v>626</v>
      </c>
      <c r="AR1418" s="328">
        <f>+AR1417+76</f>
        <v>142</v>
      </c>
      <c r="AS1418" s="327" t="s">
        <v>1498</v>
      </c>
      <c r="AT1418" s="327" t="s">
        <v>689</v>
      </c>
      <c r="AU1418" s="328">
        <f>+((128-29)/4)+AU1417</f>
        <v>53.445652173913047</v>
      </c>
      <c r="AV1418" s="327" t="s">
        <v>1498</v>
      </c>
      <c r="AW1418" s="327" t="s">
        <v>766</v>
      </c>
      <c r="AX1418" s="328">
        <f>+AX1417+16</f>
        <v>70.78</v>
      </c>
      <c r="AY1418" s="327" t="s">
        <v>1498</v>
      </c>
      <c r="AZ1418" s="327" t="s">
        <v>766</v>
      </c>
      <c r="BA1418" s="327" t="s">
        <v>767</v>
      </c>
      <c r="BB1418" s="327" t="s">
        <v>626</v>
      </c>
      <c r="BC1418" s="327" t="s">
        <v>906</v>
      </c>
      <c r="BD1418" s="327" t="s">
        <v>907</v>
      </c>
      <c r="BE1418" s="327" t="s">
        <v>908</v>
      </c>
      <c r="BF1418" s="327" t="s">
        <v>909</v>
      </c>
      <c r="BG1418" s="327" t="s">
        <v>910</v>
      </c>
      <c r="BH1418" s="327" t="s">
        <v>911</v>
      </c>
      <c r="BI1418" s="327" t="s">
        <v>912</v>
      </c>
      <c r="BJ1418" s="255">
        <v>-9999</v>
      </c>
      <c r="BK1418" s="255">
        <v>-9999</v>
      </c>
      <c r="BL1418" s="255">
        <v>-9999</v>
      </c>
      <c r="BM1418" s="255">
        <v>-9999</v>
      </c>
      <c r="BN1418" s="255">
        <v>-9999</v>
      </c>
      <c r="BO1418" s="255">
        <v>-9999</v>
      </c>
      <c r="BP1418" s="255">
        <v>-9999</v>
      </c>
      <c r="BQ1418" s="255">
        <v>-9999</v>
      </c>
      <c r="BR1418" s="255">
        <v>-9999</v>
      </c>
      <c r="BS1418" s="328">
        <v>-9999</v>
      </c>
      <c r="BT1418" s="327" t="s">
        <v>1130</v>
      </c>
      <c r="BU1418" s="255">
        <v>-9999</v>
      </c>
      <c r="BV1418" s="255">
        <v>-9999</v>
      </c>
      <c r="BW1418" s="255"/>
      <c r="BX1418" s="255">
        <v>-9999</v>
      </c>
      <c r="BY1418" s="255">
        <v>-9999</v>
      </c>
      <c r="BZ1418" s="255">
        <v>-9999</v>
      </c>
      <c r="CA1418" s="369" t="s">
        <v>974</v>
      </c>
      <c r="CB1418" s="475"/>
      <c r="CC1418" s="327">
        <v>1</v>
      </c>
      <c r="CD1418" s="623">
        <v>2</v>
      </c>
      <c r="CE1418" s="342">
        <v>2.54</v>
      </c>
      <c r="CF1418" s="342">
        <v>-9999</v>
      </c>
      <c r="CG1418" s="144">
        <v>2</v>
      </c>
    </row>
    <row r="1419" spans="1:86" s="13" customFormat="1" x14ac:dyDescent="0.2">
      <c r="A1419" s="327" t="s">
        <v>898</v>
      </c>
      <c r="B1419" s="327" t="s">
        <v>899</v>
      </c>
      <c r="C1419" s="327" t="s">
        <v>128</v>
      </c>
      <c r="D1419" s="327" t="s">
        <v>553</v>
      </c>
      <c r="E1419" s="327" t="s">
        <v>901</v>
      </c>
      <c r="F1419" s="327">
        <v>1</v>
      </c>
      <c r="G1419" s="623">
        <v>3</v>
      </c>
      <c r="H1419" s="623">
        <v>3</v>
      </c>
      <c r="I1419" s="327" t="s">
        <v>856</v>
      </c>
      <c r="J1419" s="327">
        <v>2000</v>
      </c>
      <c r="K1419" s="265" t="s">
        <v>856</v>
      </c>
      <c r="L1419" s="265">
        <v>2003</v>
      </c>
      <c r="M1419" s="368">
        <v>-9999</v>
      </c>
      <c r="N1419" s="327">
        <v>-9999</v>
      </c>
      <c r="O1419" s="323"/>
      <c r="P1419" s="297">
        <v>20.29</v>
      </c>
      <c r="Q1419" s="327">
        <v>-9999</v>
      </c>
      <c r="R1419" s="368"/>
      <c r="S1419" s="327"/>
      <c r="T1419" s="287">
        <f>+P1419/H1419</f>
        <v>6.7633333333333328</v>
      </c>
      <c r="U1419" s="327">
        <v>-9999</v>
      </c>
      <c r="V1419" s="327"/>
      <c r="W1419" s="368">
        <v>-9999</v>
      </c>
      <c r="X1419" s="327">
        <v>-9999</v>
      </c>
      <c r="Y1419" s="327"/>
      <c r="Z1419" s="327" t="s">
        <v>129</v>
      </c>
      <c r="AA1419" s="327">
        <v>1334</v>
      </c>
      <c r="AB1419" s="368">
        <v>0.99</v>
      </c>
      <c r="AC1419" s="327">
        <v>-9999</v>
      </c>
      <c r="AD1419" s="327">
        <v>429.4</v>
      </c>
      <c r="AE1419" s="327" t="s">
        <v>1950</v>
      </c>
      <c r="AF1419" s="327">
        <v>8</v>
      </c>
      <c r="AG1419" s="327">
        <v>2</v>
      </c>
      <c r="AH1419" s="327" t="s">
        <v>809</v>
      </c>
      <c r="AI1419" s="255">
        <v>-9999</v>
      </c>
      <c r="AJ1419" s="255">
        <v>-9999</v>
      </c>
      <c r="AK1419" s="327" t="s">
        <v>172</v>
      </c>
      <c r="AL1419" s="327" t="s">
        <v>828</v>
      </c>
      <c r="AM1419" s="327" t="s">
        <v>871</v>
      </c>
      <c r="AN1419" s="259" t="s">
        <v>631</v>
      </c>
      <c r="AO1419" s="255">
        <v>-9999</v>
      </c>
      <c r="AP1419" s="255">
        <v>-9999</v>
      </c>
      <c r="AQ1419" s="327" t="s">
        <v>626</v>
      </c>
      <c r="AR1419" s="328">
        <f>+AR1418+76</f>
        <v>218</v>
      </c>
      <c r="AS1419" s="327" t="s">
        <v>1498</v>
      </c>
      <c r="AT1419" s="327" t="s">
        <v>766</v>
      </c>
      <c r="AU1419" s="328">
        <f>+AU1418+25</f>
        <v>78.445652173913047</v>
      </c>
      <c r="AV1419" s="327" t="s">
        <v>1498</v>
      </c>
      <c r="AW1419" s="327" t="s">
        <v>766</v>
      </c>
      <c r="AX1419" s="328">
        <f>+AX1418+16</f>
        <v>86.78</v>
      </c>
      <c r="AY1419" s="327" t="s">
        <v>1498</v>
      </c>
      <c r="AZ1419" s="327" t="s">
        <v>766</v>
      </c>
      <c r="BA1419" s="327" t="s">
        <v>767</v>
      </c>
      <c r="BB1419" s="327" t="s">
        <v>626</v>
      </c>
      <c r="BC1419" s="327" t="s">
        <v>906</v>
      </c>
      <c r="BD1419" s="327" t="s">
        <v>907</v>
      </c>
      <c r="BE1419" s="327" t="s">
        <v>908</v>
      </c>
      <c r="BF1419" s="327" t="s">
        <v>909</v>
      </c>
      <c r="BG1419" s="327" t="s">
        <v>910</v>
      </c>
      <c r="BH1419" s="327" t="s">
        <v>911</v>
      </c>
      <c r="BI1419" s="327" t="s">
        <v>912</v>
      </c>
      <c r="BJ1419" s="255">
        <v>-9999</v>
      </c>
      <c r="BK1419" s="255">
        <v>-9999</v>
      </c>
      <c r="BL1419" s="255">
        <v>-9999</v>
      </c>
      <c r="BM1419" s="255">
        <v>-9999</v>
      </c>
      <c r="BN1419" s="255">
        <v>-9999</v>
      </c>
      <c r="BO1419" s="255">
        <v>-9999</v>
      </c>
      <c r="BP1419" s="255">
        <v>-9999</v>
      </c>
      <c r="BQ1419" s="255">
        <v>-9999</v>
      </c>
      <c r="BR1419" s="255">
        <v>-9999</v>
      </c>
      <c r="BS1419" s="328">
        <v>-9999</v>
      </c>
      <c r="BT1419" s="327" t="s">
        <v>1130</v>
      </c>
      <c r="BU1419" s="255">
        <v>-9999</v>
      </c>
      <c r="BV1419" s="255">
        <v>-9999</v>
      </c>
      <c r="BW1419" s="255"/>
      <c r="BX1419" s="255">
        <v>-9999</v>
      </c>
      <c r="BY1419" s="255">
        <v>-9999</v>
      </c>
      <c r="BZ1419" s="255">
        <v>-9999</v>
      </c>
      <c r="CA1419" s="369" t="s">
        <v>974</v>
      </c>
      <c r="CB1419" s="475" t="s">
        <v>1685</v>
      </c>
      <c r="CC1419" s="327">
        <v>1</v>
      </c>
      <c r="CD1419" s="623">
        <v>3</v>
      </c>
      <c r="CE1419" s="342">
        <v>6.7633333333333328</v>
      </c>
      <c r="CF1419" s="342">
        <v>-9999</v>
      </c>
      <c r="CG1419" s="144">
        <v>3</v>
      </c>
    </row>
    <row r="1420" spans="1:86" s="301" customFormat="1" x14ac:dyDescent="0.2">
      <c r="A1420" s="327" t="s">
        <v>898</v>
      </c>
      <c r="B1420" s="327" t="s">
        <v>899</v>
      </c>
      <c r="C1420" s="327" t="s">
        <v>128</v>
      </c>
      <c r="D1420" s="327" t="s">
        <v>553</v>
      </c>
      <c r="E1420" s="327" t="s">
        <v>901</v>
      </c>
      <c r="F1420" s="327">
        <v>1</v>
      </c>
      <c r="G1420" s="623">
        <v>4</v>
      </c>
      <c r="H1420" s="623">
        <v>4</v>
      </c>
      <c r="I1420" s="327" t="s">
        <v>856</v>
      </c>
      <c r="J1420" s="327">
        <v>2000</v>
      </c>
      <c r="K1420" s="626" t="s">
        <v>856</v>
      </c>
      <c r="L1420" s="626">
        <v>2004</v>
      </c>
      <c r="M1420" s="368">
        <v>-9999</v>
      </c>
      <c r="N1420" s="327">
        <v>-9999</v>
      </c>
      <c r="O1420" s="323"/>
      <c r="P1420" s="368">
        <v>-9999</v>
      </c>
      <c r="Q1420" s="327">
        <v>-9999</v>
      </c>
      <c r="R1420" s="368"/>
      <c r="S1420" s="327"/>
      <c r="T1420" s="287">
        <v>-9999</v>
      </c>
      <c r="U1420" s="327">
        <v>-9999</v>
      </c>
      <c r="V1420" s="327"/>
      <c r="W1420" s="368">
        <v>-9999</v>
      </c>
      <c r="X1420" s="327">
        <v>-9999</v>
      </c>
      <c r="Y1420" s="327"/>
      <c r="Z1420" s="327" t="s">
        <v>129</v>
      </c>
      <c r="AA1420" s="327">
        <v>1334</v>
      </c>
      <c r="AB1420" s="368">
        <v>0.92</v>
      </c>
      <c r="AC1420" s="327">
        <v>-9999</v>
      </c>
      <c r="AD1420" s="327">
        <v>429.4</v>
      </c>
      <c r="AE1420" s="327" t="s">
        <v>1950</v>
      </c>
      <c r="AF1420" s="327">
        <v>8</v>
      </c>
      <c r="AG1420" s="327">
        <v>2</v>
      </c>
      <c r="AH1420" s="327" t="s">
        <v>809</v>
      </c>
      <c r="AI1420" s="327">
        <v>-9999</v>
      </c>
      <c r="AJ1420" s="327">
        <v>-9999</v>
      </c>
      <c r="AK1420" s="327" t="s">
        <v>172</v>
      </c>
      <c r="AL1420" s="327" t="s">
        <v>828</v>
      </c>
      <c r="AM1420" s="327" t="s">
        <v>871</v>
      </c>
      <c r="AN1420" s="327" t="s">
        <v>631</v>
      </c>
      <c r="AO1420" s="327">
        <v>-9999</v>
      </c>
      <c r="AP1420" s="327">
        <v>-9999</v>
      </c>
      <c r="AQ1420" s="327" t="s">
        <v>626</v>
      </c>
      <c r="AR1420" s="328">
        <f>+AR1419+76</f>
        <v>294</v>
      </c>
      <c r="AS1420" s="327" t="s">
        <v>1498</v>
      </c>
      <c r="AT1420" s="327" t="s">
        <v>766</v>
      </c>
      <c r="AU1420" s="328">
        <f>+AU1419+25</f>
        <v>103.44565217391305</v>
      </c>
      <c r="AV1420" s="327" t="s">
        <v>1498</v>
      </c>
      <c r="AW1420" s="327" t="s">
        <v>766</v>
      </c>
      <c r="AX1420" s="328">
        <f>+AX1419+17</f>
        <v>103.78</v>
      </c>
      <c r="AY1420" s="327" t="s">
        <v>1498</v>
      </c>
      <c r="AZ1420" s="327" t="s">
        <v>766</v>
      </c>
      <c r="BA1420" s="327" t="s">
        <v>767</v>
      </c>
      <c r="BB1420" s="327" t="s">
        <v>626</v>
      </c>
      <c r="BC1420" s="327" t="s">
        <v>906</v>
      </c>
      <c r="BD1420" s="327" t="s">
        <v>907</v>
      </c>
      <c r="BE1420" s="327" t="s">
        <v>908</v>
      </c>
      <c r="BF1420" s="327" t="s">
        <v>909</v>
      </c>
      <c r="BG1420" s="327" t="s">
        <v>910</v>
      </c>
      <c r="BH1420" s="327" t="s">
        <v>911</v>
      </c>
      <c r="BI1420" s="327" t="s">
        <v>912</v>
      </c>
      <c r="BJ1420" s="327">
        <v>-9999</v>
      </c>
      <c r="BK1420" s="327">
        <v>-9999</v>
      </c>
      <c r="BL1420" s="327">
        <v>-9999</v>
      </c>
      <c r="BM1420" s="327">
        <v>-9999</v>
      </c>
      <c r="BN1420" s="327">
        <v>-9999</v>
      </c>
      <c r="BO1420" s="327">
        <v>-9999</v>
      </c>
      <c r="BP1420" s="327">
        <v>-9999</v>
      </c>
      <c r="BQ1420" s="327">
        <v>-9999</v>
      </c>
      <c r="BR1420" s="327">
        <v>-9999</v>
      </c>
      <c r="BS1420" s="328">
        <v>-9999</v>
      </c>
      <c r="BT1420" s="327" t="s">
        <v>1130</v>
      </c>
      <c r="BU1420" s="327">
        <v>-9999</v>
      </c>
      <c r="BV1420" s="327">
        <v>-9999</v>
      </c>
      <c r="BW1420" s="327"/>
      <c r="BX1420" s="327">
        <v>-9999</v>
      </c>
      <c r="BY1420" s="327">
        <v>-9999</v>
      </c>
      <c r="BZ1420" s="327">
        <v>-9999</v>
      </c>
      <c r="CA1420" s="369" t="s">
        <v>974</v>
      </c>
      <c r="CB1420" s="475" t="s">
        <v>1686</v>
      </c>
      <c r="CC1420" s="327">
        <v>1</v>
      </c>
      <c r="CD1420" s="623">
        <v>4</v>
      </c>
      <c r="CE1420" s="342"/>
      <c r="CF1420" s="342">
        <v>-9999</v>
      </c>
      <c r="CG1420" s="144">
        <v>4</v>
      </c>
    </row>
    <row r="1421" spans="1:86" s="301" customFormat="1" x14ac:dyDescent="0.2">
      <c r="A1421" s="327" t="s">
        <v>898</v>
      </c>
      <c r="B1421" s="327" t="s">
        <v>899</v>
      </c>
      <c r="C1421" s="327" t="s">
        <v>128</v>
      </c>
      <c r="D1421" s="327" t="s">
        <v>553</v>
      </c>
      <c r="E1421" s="327" t="s">
        <v>901</v>
      </c>
      <c r="F1421" s="327">
        <v>1</v>
      </c>
      <c r="G1421" s="623">
        <v>5</v>
      </c>
      <c r="H1421" s="623">
        <v>5</v>
      </c>
      <c r="I1421" s="327" t="s">
        <v>856</v>
      </c>
      <c r="J1421" s="327">
        <v>2000</v>
      </c>
      <c r="K1421" s="265" t="s">
        <v>856</v>
      </c>
      <c r="L1421" s="265">
        <v>2005</v>
      </c>
      <c r="M1421" s="368">
        <v>-9999</v>
      </c>
      <c r="N1421" s="327">
        <v>-9999</v>
      </c>
      <c r="O1421" s="323"/>
      <c r="P1421" s="368">
        <v>39.89</v>
      </c>
      <c r="Q1421" s="327">
        <v>-9999</v>
      </c>
      <c r="R1421" s="368"/>
      <c r="S1421" s="327"/>
      <c r="T1421" s="287">
        <f>+P1421/H1421</f>
        <v>7.9779999999999998</v>
      </c>
      <c r="U1421" s="327">
        <v>-9999</v>
      </c>
      <c r="V1421" s="327"/>
      <c r="W1421" s="368">
        <v>-9999</v>
      </c>
      <c r="X1421" s="327">
        <v>-9999</v>
      </c>
      <c r="Y1421" s="327"/>
      <c r="Z1421" s="327" t="s">
        <v>129</v>
      </c>
      <c r="AA1421" s="327">
        <v>1334</v>
      </c>
      <c r="AB1421" s="368">
        <v>0.91900000000000004</v>
      </c>
      <c r="AC1421" s="327">
        <v>-9999</v>
      </c>
      <c r="AD1421" s="327">
        <v>429.4</v>
      </c>
      <c r="AE1421" s="327" t="s">
        <v>1950</v>
      </c>
      <c r="AF1421" s="327">
        <v>8</v>
      </c>
      <c r="AG1421" s="327">
        <v>2</v>
      </c>
      <c r="AH1421" s="327" t="s">
        <v>809</v>
      </c>
      <c r="AI1421" s="327">
        <v>-9999</v>
      </c>
      <c r="AJ1421" s="327">
        <v>-9999</v>
      </c>
      <c r="AK1421" s="327" t="s">
        <v>172</v>
      </c>
      <c r="AL1421" s="327" t="s">
        <v>828</v>
      </c>
      <c r="AM1421" s="327" t="s">
        <v>871</v>
      </c>
      <c r="AN1421" s="327" t="s">
        <v>631</v>
      </c>
      <c r="AO1421" s="327">
        <v>-9999</v>
      </c>
      <c r="AP1421" s="327">
        <v>-9999</v>
      </c>
      <c r="AQ1421" s="327" t="s">
        <v>626</v>
      </c>
      <c r="AR1421" s="328">
        <f>+AR1420+76</f>
        <v>370</v>
      </c>
      <c r="AS1421" s="327" t="s">
        <v>1498</v>
      </c>
      <c r="AT1421" s="327" t="s">
        <v>766</v>
      </c>
      <c r="AU1421" s="328">
        <f>+AU1420+25</f>
        <v>128.44565217391306</v>
      </c>
      <c r="AV1421" s="327" t="s">
        <v>1498</v>
      </c>
      <c r="AW1421" s="327" t="s">
        <v>766</v>
      </c>
      <c r="AX1421" s="328">
        <f>+AX1420+17</f>
        <v>120.78</v>
      </c>
      <c r="AY1421" s="327" t="s">
        <v>1498</v>
      </c>
      <c r="AZ1421" s="327" t="s">
        <v>766</v>
      </c>
      <c r="BA1421" s="327" t="s">
        <v>767</v>
      </c>
      <c r="BB1421" s="327" t="s">
        <v>626</v>
      </c>
      <c r="BC1421" s="327" t="s">
        <v>906</v>
      </c>
      <c r="BD1421" s="327" t="s">
        <v>907</v>
      </c>
      <c r="BE1421" s="327" t="s">
        <v>908</v>
      </c>
      <c r="BF1421" s="327" t="s">
        <v>909</v>
      </c>
      <c r="BG1421" s="327" t="s">
        <v>910</v>
      </c>
      <c r="BH1421" s="327" t="s">
        <v>911</v>
      </c>
      <c r="BI1421" s="327" t="s">
        <v>912</v>
      </c>
      <c r="BJ1421" s="327">
        <v>-9999</v>
      </c>
      <c r="BK1421" s="327">
        <v>-9999</v>
      </c>
      <c r="BL1421" s="327">
        <v>-9999</v>
      </c>
      <c r="BM1421" s="327">
        <v>-9999</v>
      </c>
      <c r="BN1421" s="327">
        <v>-9999</v>
      </c>
      <c r="BO1421" s="327">
        <v>-9999</v>
      </c>
      <c r="BP1421" s="327">
        <v>-9999</v>
      </c>
      <c r="BQ1421" s="327">
        <v>-9999</v>
      </c>
      <c r="BR1421" s="327">
        <v>-9999</v>
      </c>
      <c r="BS1421" s="328">
        <v>-9999</v>
      </c>
      <c r="BT1421" s="327" t="s">
        <v>1130</v>
      </c>
      <c r="BU1421" s="327">
        <v>-9999</v>
      </c>
      <c r="BV1421" s="327">
        <v>-9999</v>
      </c>
      <c r="BW1421" s="327"/>
      <c r="BX1421" s="327">
        <v>-9999</v>
      </c>
      <c r="BY1421" s="327">
        <v>-9999</v>
      </c>
      <c r="BZ1421" s="327">
        <v>-9999</v>
      </c>
      <c r="CA1421" s="369" t="s">
        <v>974</v>
      </c>
      <c r="CB1421" s="475" t="s">
        <v>1687</v>
      </c>
      <c r="CC1421" s="327">
        <v>1</v>
      </c>
      <c r="CD1421" s="623">
        <v>5</v>
      </c>
      <c r="CE1421" s="342">
        <v>7.9779999999999998</v>
      </c>
      <c r="CF1421" s="342">
        <v>-9999</v>
      </c>
      <c r="CG1421" s="144">
        <v>5</v>
      </c>
    </row>
    <row r="1422" spans="1:86" s="13" customFormat="1" x14ac:dyDescent="0.2">
      <c r="A1422" s="259"/>
      <c r="B1422" s="259"/>
      <c r="C1422" s="259"/>
      <c r="D1422" s="327"/>
      <c r="E1422" s="259"/>
      <c r="F1422" s="259"/>
      <c r="G1422" s="625"/>
      <c r="H1422" s="625"/>
      <c r="I1422" s="259"/>
      <c r="J1422" s="259"/>
      <c r="K1422" s="259"/>
      <c r="L1422" s="259"/>
      <c r="M1422" s="368"/>
      <c r="N1422" s="259"/>
      <c r="O1422" s="18"/>
      <c r="P1422" s="288"/>
      <c r="Q1422" s="259"/>
      <c r="R1422" s="288"/>
      <c r="S1422" s="259"/>
      <c r="T1422" s="376"/>
      <c r="U1422" s="259"/>
      <c r="V1422" s="259"/>
      <c r="W1422" s="288"/>
      <c r="X1422" s="259"/>
      <c r="Y1422" s="259"/>
      <c r="Z1422" s="259"/>
      <c r="AA1422" s="259"/>
      <c r="AB1422" s="288"/>
      <c r="AC1422" s="259"/>
      <c r="AD1422" s="259"/>
      <c r="AE1422" s="327"/>
      <c r="AF1422" s="259"/>
      <c r="AG1422" s="259"/>
      <c r="AH1422" s="259"/>
      <c r="AI1422" s="259"/>
      <c r="AJ1422" s="259"/>
      <c r="AK1422" s="327"/>
      <c r="AL1422" s="259"/>
      <c r="AM1422" s="327"/>
      <c r="AN1422" s="259"/>
      <c r="AO1422" s="259"/>
      <c r="AP1422" s="259"/>
      <c r="AQ1422" s="259"/>
      <c r="AR1422" s="259"/>
      <c r="AS1422" s="259"/>
      <c r="AT1422" s="259"/>
      <c r="AU1422" s="259"/>
      <c r="AV1422" s="259"/>
      <c r="AW1422" s="259"/>
      <c r="AX1422" s="259"/>
      <c r="AY1422" s="327"/>
      <c r="AZ1422" s="259"/>
      <c r="BA1422" s="259"/>
      <c r="BB1422" s="259"/>
      <c r="BC1422" s="259"/>
      <c r="BD1422" s="259"/>
      <c r="BE1422" s="259"/>
      <c r="BF1422" s="259"/>
      <c r="BG1422" s="259"/>
      <c r="BH1422" s="259"/>
      <c r="BI1422" s="259"/>
      <c r="BJ1422" s="259"/>
      <c r="BK1422" s="259"/>
      <c r="BL1422" s="259"/>
      <c r="BM1422" s="259"/>
      <c r="BN1422" s="259"/>
      <c r="BO1422" s="259"/>
      <c r="BP1422" s="259"/>
      <c r="BQ1422" s="259"/>
      <c r="BR1422" s="259"/>
      <c r="BS1422" s="328"/>
      <c r="BT1422" s="327"/>
      <c r="BU1422" s="259"/>
      <c r="BV1422" s="259"/>
      <c r="BW1422" s="259"/>
      <c r="BX1422" s="259"/>
      <c r="BY1422" s="259"/>
      <c r="BZ1422" s="259"/>
      <c r="CA1422" s="369"/>
      <c r="CB1422" s="592"/>
      <c r="CC1422" s="259"/>
      <c r="CD1422" s="623"/>
      <c r="CE1422" s="342" t="s">
        <v>1576</v>
      </c>
      <c r="CF1422" s="342" t="s">
        <v>1575</v>
      </c>
      <c r="CG1422" s="39"/>
    </row>
    <row r="1423" spans="1:86" s="13" customFormat="1" x14ac:dyDescent="0.2">
      <c r="A1423" s="327" t="s">
        <v>898</v>
      </c>
      <c r="B1423" s="327" t="s">
        <v>899</v>
      </c>
      <c r="C1423" s="327" t="s">
        <v>130</v>
      </c>
      <c r="D1423" s="327" t="s">
        <v>553</v>
      </c>
      <c r="E1423" s="327" t="s">
        <v>901</v>
      </c>
      <c r="F1423" s="327">
        <v>1</v>
      </c>
      <c r="G1423" s="623">
        <v>1</v>
      </c>
      <c r="H1423" s="623">
        <v>1</v>
      </c>
      <c r="I1423" s="327" t="s">
        <v>856</v>
      </c>
      <c r="J1423" s="327">
        <v>2000</v>
      </c>
      <c r="K1423" s="265" t="s">
        <v>856</v>
      </c>
      <c r="L1423" s="265">
        <v>2001</v>
      </c>
      <c r="M1423" s="368">
        <v>-9999</v>
      </c>
      <c r="N1423" s="327">
        <v>-9999</v>
      </c>
      <c r="O1423" s="323"/>
      <c r="P1423" s="368">
        <v>-9999</v>
      </c>
      <c r="Q1423" s="327">
        <v>-9999</v>
      </c>
      <c r="R1423" s="368"/>
      <c r="S1423" s="327"/>
      <c r="T1423" s="287">
        <v>-9999</v>
      </c>
      <c r="U1423" s="327">
        <v>-9999</v>
      </c>
      <c r="V1423" s="327"/>
      <c r="W1423" s="368">
        <v>-9999</v>
      </c>
      <c r="X1423" s="327">
        <v>-9999</v>
      </c>
      <c r="Y1423" s="327"/>
      <c r="Z1423" s="327" t="s">
        <v>129</v>
      </c>
      <c r="AA1423" s="327">
        <v>1334</v>
      </c>
      <c r="AB1423" s="368">
        <v>0.996</v>
      </c>
      <c r="AC1423" s="327">
        <v>-9999</v>
      </c>
      <c r="AD1423" s="327">
        <v>429.4</v>
      </c>
      <c r="AE1423" s="327" t="s">
        <v>1950</v>
      </c>
      <c r="AF1423" s="327">
        <v>8</v>
      </c>
      <c r="AG1423" s="327">
        <v>2</v>
      </c>
      <c r="AH1423" s="327" t="s">
        <v>809</v>
      </c>
      <c r="AI1423" s="327">
        <v>-9999</v>
      </c>
      <c r="AJ1423" s="327">
        <v>-9999</v>
      </c>
      <c r="AK1423" s="327" t="s">
        <v>172</v>
      </c>
      <c r="AL1423" s="327" t="s">
        <v>828</v>
      </c>
      <c r="AM1423" s="327" t="s">
        <v>871</v>
      </c>
      <c r="AN1423" s="327" t="s">
        <v>631</v>
      </c>
      <c r="AO1423" s="327">
        <v>-9999</v>
      </c>
      <c r="AP1423" s="327">
        <v>-9999</v>
      </c>
      <c r="AQ1423" s="327" t="s">
        <v>626</v>
      </c>
      <c r="AR1423" s="327">
        <v>50</v>
      </c>
      <c r="AS1423" s="327" t="s">
        <v>765</v>
      </c>
      <c r="AT1423" s="327" t="s">
        <v>905</v>
      </c>
      <c r="AU1423" s="327">
        <v>56</v>
      </c>
      <c r="AV1423" s="327" t="s">
        <v>765</v>
      </c>
      <c r="AW1423" s="327" t="s">
        <v>905</v>
      </c>
      <c r="AX1423" s="327">
        <v>0</v>
      </c>
      <c r="AY1423" s="327">
        <v>-9999</v>
      </c>
      <c r="AZ1423" s="327">
        <v>-9999</v>
      </c>
      <c r="BA1423" s="259"/>
      <c r="BB1423" s="259" t="s">
        <v>626</v>
      </c>
      <c r="BC1423" s="259" t="s">
        <v>906</v>
      </c>
      <c r="BD1423" s="259" t="s">
        <v>907</v>
      </c>
      <c r="BE1423" s="259" t="s">
        <v>908</v>
      </c>
      <c r="BF1423" s="327">
        <v>-9999</v>
      </c>
      <c r="BG1423" s="327">
        <v>-9999</v>
      </c>
      <c r="BH1423" s="327">
        <v>-9999</v>
      </c>
      <c r="BI1423" s="259" t="s">
        <v>968</v>
      </c>
      <c r="BJ1423" s="327">
        <v>-9999</v>
      </c>
      <c r="BK1423" s="327">
        <v>-9999</v>
      </c>
      <c r="BL1423" s="327">
        <v>-9999</v>
      </c>
      <c r="BM1423" s="327">
        <v>-9999</v>
      </c>
      <c r="BN1423" s="327">
        <v>-9999</v>
      </c>
      <c r="BO1423" s="327">
        <v>-9999</v>
      </c>
      <c r="BP1423" s="327">
        <v>-9999</v>
      </c>
      <c r="BQ1423" s="327">
        <v>-9999</v>
      </c>
      <c r="BR1423" s="327">
        <v>-9999</v>
      </c>
      <c r="BS1423" s="328">
        <v>-9999</v>
      </c>
      <c r="BT1423" s="327" t="s">
        <v>1130</v>
      </c>
      <c r="BU1423" s="327">
        <v>-9999</v>
      </c>
      <c r="BV1423" s="327">
        <v>-9999</v>
      </c>
      <c r="BW1423" s="327"/>
      <c r="BX1423" s="327">
        <v>-9999</v>
      </c>
      <c r="BY1423" s="327">
        <v>-9999</v>
      </c>
      <c r="BZ1423" s="327">
        <v>-9999</v>
      </c>
      <c r="CA1423" s="369" t="s">
        <v>974</v>
      </c>
      <c r="CB1423" s="475"/>
      <c r="CC1423" s="327">
        <v>1</v>
      </c>
      <c r="CD1423" s="623">
        <v>1</v>
      </c>
      <c r="CE1423" s="342"/>
      <c r="CF1423" s="342">
        <v>-9999</v>
      </c>
      <c r="CG1423" s="144">
        <v>1</v>
      </c>
    </row>
    <row r="1424" spans="1:86" s="13" customFormat="1" x14ac:dyDescent="0.2">
      <c r="A1424" s="327" t="s">
        <v>898</v>
      </c>
      <c r="B1424" s="327" t="s">
        <v>899</v>
      </c>
      <c r="C1424" s="327" t="s">
        <v>130</v>
      </c>
      <c r="D1424" s="327" t="s">
        <v>553</v>
      </c>
      <c r="E1424" s="327" t="s">
        <v>901</v>
      </c>
      <c r="F1424" s="327">
        <v>1</v>
      </c>
      <c r="G1424" s="623">
        <v>2</v>
      </c>
      <c r="H1424" s="623">
        <v>2</v>
      </c>
      <c r="I1424" s="327" t="s">
        <v>856</v>
      </c>
      <c r="J1424" s="327">
        <v>2000</v>
      </c>
      <c r="K1424" s="265" t="s">
        <v>856</v>
      </c>
      <c r="L1424" s="265">
        <v>2002</v>
      </c>
      <c r="M1424" s="368">
        <v>-9999</v>
      </c>
      <c r="N1424" s="327">
        <v>-9999</v>
      </c>
      <c r="O1424" s="323"/>
      <c r="P1424" s="297">
        <v>3.9388800000000002</v>
      </c>
      <c r="Q1424" s="327">
        <v>-9999</v>
      </c>
      <c r="R1424" s="368"/>
      <c r="S1424" s="327"/>
      <c r="T1424" s="287">
        <f>+P1424/H1424</f>
        <v>1.9694400000000001</v>
      </c>
      <c r="U1424" s="327">
        <v>-9999</v>
      </c>
      <c r="V1424" s="327"/>
      <c r="W1424" s="368">
        <v>-9999</v>
      </c>
      <c r="X1424" s="327">
        <v>-9999</v>
      </c>
      <c r="Y1424" s="327"/>
      <c r="Z1424" s="327" t="s">
        <v>129</v>
      </c>
      <c r="AA1424" s="327">
        <v>1334</v>
      </c>
      <c r="AB1424" s="368">
        <v>0.996</v>
      </c>
      <c r="AC1424" s="327">
        <v>-9999</v>
      </c>
      <c r="AD1424" s="327">
        <v>429.4</v>
      </c>
      <c r="AE1424" s="327" t="s">
        <v>1950</v>
      </c>
      <c r="AF1424" s="327">
        <v>8</v>
      </c>
      <c r="AG1424" s="327">
        <v>2</v>
      </c>
      <c r="AH1424" s="327" t="s">
        <v>809</v>
      </c>
      <c r="AI1424" s="255">
        <v>-9999</v>
      </c>
      <c r="AJ1424" s="255">
        <v>-9999</v>
      </c>
      <c r="AK1424" s="327" t="s">
        <v>172</v>
      </c>
      <c r="AL1424" s="327" t="s">
        <v>828</v>
      </c>
      <c r="AM1424" s="327" t="s">
        <v>871</v>
      </c>
      <c r="AN1424" s="327" t="s">
        <v>631</v>
      </c>
      <c r="AO1424" s="255">
        <v>-9999</v>
      </c>
      <c r="AP1424" s="255">
        <v>-9999</v>
      </c>
      <c r="AQ1424" s="327" t="s">
        <v>626</v>
      </c>
      <c r="AR1424" s="327">
        <v>50</v>
      </c>
      <c r="AS1424" s="327" t="s">
        <v>765</v>
      </c>
      <c r="AT1424" s="327" t="s">
        <v>905</v>
      </c>
      <c r="AU1424" s="327">
        <v>56</v>
      </c>
      <c r="AV1424" s="327" t="s">
        <v>765</v>
      </c>
      <c r="AW1424" s="327" t="s">
        <v>905</v>
      </c>
      <c r="AX1424" s="327">
        <v>0</v>
      </c>
      <c r="AY1424" s="327">
        <v>-9999</v>
      </c>
      <c r="AZ1424" s="327">
        <v>-9999</v>
      </c>
      <c r="BA1424" s="259"/>
      <c r="BB1424" s="259" t="s">
        <v>626</v>
      </c>
      <c r="BC1424" s="259" t="s">
        <v>906</v>
      </c>
      <c r="BD1424" s="259" t="s">
        <v>907</v>
      </c>
      <c r="BE1424" s="259" t="s">
        <v>908</v>
      </c>
      <c r="BF1424" s="327">
        <v>-9999</v>
      </c>
      <c r="BG1424" s="327">
        <v>-9999</v>
      </c>
      <c r="BH1424" s="327">
        <v>-9999</v>
      </c>
      <c r="BI1424" s="259" t="s">
        <v>968</v>
      </c>
      <c r="BJ1424" s="255">
        <v>-9999</v>
      </c>
      <c r="BK1424" s="255">
        <v>-9999</v>
      </c>
      <c r="BL1424" s="255">
        <v>-9999</v>
      </c>
      <c r="BM1424" s="255">
        <v>-9999</v>
      </c>
      <c r="BN1424" s="255">
        <v>-9999</v>
      </c>
      <c r="BO1424" s="255">
        <v>-9999</v>
      </c>
      <c r="BP1424" s="255">
        <v>-9999</v>
      </c>
      <c r="BQ1424" s="255">
        <v>-9999</v>
      </c>
      <c r="BR1424" s="255">
        <v>-9999</v>
      </c>
      <c r="BS1424" s="328">
        <v>-9999</v>
      </c>
      <c r="BT1424" s="327" t="s">
        <v>1130</v>
      </c>
      <c r="BU1424" s="255">
        <v>-9999</v>
      </c>
      <c r="BV1424" s="255">
        <v>-9999</v>
      </c>
      <c r="BW1424" s="255"/>
      <c r="BX1424" s="255">
        <v>-9999</v>
      </c>
      <c r="BY1424" s="255">
        <v>-9999</v>
      </c>
      <c r="BZ1424" s="255">
        <v>-9999</v>
      </c>
      <c r="CA1424" s="369" t="s">
        <v>974</v>
      </c>
      <c r="CB1424" s="475"/>
      <c r="CC1424" s="327">
        <v>1</v>
      </c>
      <c r="CD1424" s="623">
        <v>2</v>
      </c>
      <c r="CE1424" s="342">
        <v>1.9694400000000001</v>
      </c>
      <c r="CF1424" s="342">
        <v>-9999</v>
      </c>
      <c r="CG1424" s="144">
        <v>2</v>
      </c>
    </row>
    <row r="1425" spans="1:86" s="13" customFormat="1" x14ac:dyDescent="0.2">
      <c r="A1425" s="327" t="s">
        <v>898</v>
      </c>
      <c r="B1425" s="327" t="s">
        <v>899</v>
      </c>
      <c r="C1425" s="327" t="s">
        <v>130</v>
      </c>
      <c r="D1425" s="327" t="s">
        <v>553</v>
      </c>
      <c r="E1425" s="327" t="s">
        <v>901</v>
      </c>
      <c r="F1425" s="327">
        <v>1</v>
      </c>
      <c r="G1425" s="623">
        <v>3</v>
      </c>
      <c r="H1425" s="623">
        <v>3</v>
      </c>
      <c r="I1425" s="327" t="s">
        <v>856</v>
      </c>
      <c r="J1425" s="327">
        <v>2000</v>
      </c>
      <c r="K1425" s="265" t="s">
        <v>856</v>
      </c>
      <c r="L1425" s="265">
        <v>2003</v>
      </c>
      <c r="M1425" s="368">
        <v>-9999</v>
      </c>
      <c r="N1425" s="327">
        <v>-9999</v>
      </c>
      <c r="O1425" s="323"/>
      <c r="P1425" s="297">
        <v>15.5844</v>
      </c>
      <c r="Q1425" s="327">
        <v>-9999</v>
      </c>
      <c r="R1425" s="368"/>
      <c r="S1425" s="327"/>
      <c r="T1425" s="287">
        <f>+P1425/H1425</f>
        <v>5.1947999999999999</v>
      </c>
      <c r="U1425" s="327">
        <v>-9999</v>
      </c>
      <c r="V1425" s="327"/>
      <c r="W1425" s="368">
        <v>-9999</v>
      </c>
      <c r="X1425" s="327">
        <v>-9999</v>
      </c>
      <c r="Y1425" s="327"/>
      <c r="Z1425" s="327" t="s">
        <v>129</v>
      </c>
      <c r="AA1425" s="327">
        <v>1334</v>
      </c>
      <c r="AB1425" s="368">
        <v>0.99199999999999999</v>
      </c>
      <c r="AC1425" s="327">
        <v>-9999</v>
      </c>
      <c r="AD1425" s="327">
        <v>429.4</v>
      </c>
      <c r="AE1425" s="327" t="s">
        <v>1950</v>
      </c>
      <c r="AF1425" s="327">
        <v>8</v>
      </c>
      <c r="AG1425" s="327">
        <v>2</v>
      </c>
      <c r="AH1425" s="327" t="s">
        <v>809</v>
      </c>
      <c r="AI1425" s="255">
        <v>-9999</v>
      </c>
      <c r="AJ1425" s="255">
        <v>-9999</v>
      </c>
      <c r="AK1425" s="327" t="s">
        <v>172</v>
      </c>
      <c r="AL1425" s="327" t="s">
        <v>828</v>
      </c>
      <c r="AM1425" s="327" t="s">
        <v>871</v>
      </c>
      <c r="AN1425" s="259" t="s">
        <v>631</v>
      </c>
      <c r="AO1425" s="255">
        <v>-9999</v>
      </c>
      <c r="AP1425" s="255">
        <v>-9999</v>
      </c>
      <c r="AQ1425" s="327" t="s">
        <v>626</v>
      </c>
      <c r="AR1425" s="327">
        <v>50</v>
      </c>
      <c r="AS1425" s="327" t="s">
        <v>765</v>
      </c>
      <c r="AT1425" s="327" t="s">
        <v>905</v>
      </c>
      <c r="AU1425" s="327">
        <v>56</v>
      </c>
      <c r="AV1425" s="327" t="s">
        <v>765</v>
      </c>
      <c r="AW1425" s="327" t="s">
        <v>905</v>
      </c>
      <c r="AX1425" s="327">
        <v>0</v>
      </c>
      <c r="AY1425" s="327">
        <v>-9999</v>
      </c>
      <c r="AZ1425" s="327">
        <v>-9999</v>
      </c>
      <c r="BA1425" s="259"/>
      <c r="BB1425" s="259" t="s">
        <v>626</v>
      </c>
      <c r="BC1425" s="259" t="s">
        <v>906</v>
      </c>
      <c r="BD1425" s="259" t="s">
        <v>907</v>
      </c>
      <c r="BE1425" s="259" t="s">
        <v>908</v>
      </c>
      <c r="BF1425" s="327">
        <v>-9999</v>
      </c>
      <c r="BG1425" s="327">
        <v>-9999</v>
      </c>
      <c r="BH1425" s="327">
        <v>-9999</v>
      </c>
      <c r="BI1425" s="259" t="s">
        <v>968</v>
      </c>
      <c r="BJ1425" s="255">
        <v>-9999</v>
      </c>
      <c r="BK1425" s="255">
        <v>-9999</v>
      </c>
      <c r="BL1425" s="255">
        <v>-9999</v>
      </c>
      <c r="BM1425" s="255">
        <v>-9999</v>
      </c>
      <c r="BN1425" s="255">
        <v>-9999</v>
      </c>
      <c r="BO1425" s="255">
        <v>-9999</v>
      </c>
      <c r="BP1425" s="255">
        <v>-9999</v>
      </c>
      <c r="BQ1425" s="255">
        <v>-9999</v>
      </c>
      <c r="BR1425" s="255">
        <v>-9999</v>
      </c>
      <c r="BS1425" s="328">
        <v>-9999</v>
      </c>
      <c r="BT1425" s="327" t="s">
        <v>1130</v>
      </c>
      <c r="BU1425" s="255">
        <v>-9999</v>
      </c>
      <c r="BV1425" s="255">
        <v>-9999</v>
      </c>
      <c r="BW1425" s="255"/>
      <c r="BX1425" s="255">
        <v>-9999</v>
      </c>
      <c r="BY1425" s="255">
        <v>-9999</v>
      </c>
      <c r="BZ1425" s="255">
        <v>-9999</v>
      </c>
      <c r="CA1425" s="369" t="s">
        <v>974</v>
      </c>
      <c r="CB1425" s="475" t="s">
        <v>1685</v>
      </c>
      <c r="CC1425" s="327">
        <v>1</v>
      </c>
      <c r="CD1425" s="623">
        <v>3</v>
      </c>
      <c r="CE1425" s="342">
        <v>5.1947999999999999</v>
      </c>
      <c r="CF1425" s="342">
        <v>-9999</v>
      </c>
      <c r="CG1425" s="144">
        <v>3</v>
      </c>
    </row>
    <row r="1426" spans="1:86" s="301" customFormat="1" x14ac:dyDescent="0.2">
      <c r="A1426" s="327" t="s">
        <v>898</v>
      </c>
      <c r="B1426" s="327" t="s">
        <v>899</v>
      </c>
      <c r="C1426" s="327" t="s">
        <v>130</v>
      </c>
      <c r="D1426" s="327" t="s">
        <v>553</v>
      </c>
      <c r="E1426" s="327" t="s">
        <v>901</v>
      </c>
      <c r="F1426" s="327">
        <v>1</v>
      </c>
      <c r="G1426" s="623">
        <v>4</v>
      </c>
      <c r="H1426" s="623">
        <v>4</v>
      </c>
      <c r="I1426" s="327" t="s">
        <v>856</v>
      </c>
      <c r="J1426" s="327">
        <v>2000</v>
      </c>
      <c r="K1426" s="265" t="s">
        <v>856</v>
      </c>
      <c r="L1426" s="624">
        <v>2004</v>
      </c>
      <c r="M1426" s="368">
        <v>-9999</v>
      </c>
      <c r="N1426" s="327">
        <v>-9999</v>
      </c>
      <c r="O1426" s="323"/>
      <c r="P1426" s="368">
        <v>-9999</v>
      </c>
      <c r="Q1426" s="327">
        <v>-9999</v>
      </c>
      <c r="R1426" s="368"/>
      <c r="S1426" s="327"/>
      <c r="T1426" s="287">
        <v>-9999</v>
      </c>
      <c r="U1426" s="327">
        <v>-9999</v>
      </c>
      <c r="V1426" s="327"/>
      <c r="W1426" s="368">
        <v>-9999</v>
      </c>
      <c r="X1426" s="327">
        <v>-9999</v>
      </c>
      <c r="Y1426" s="327"/>
      <c r="Z1426" s="327" t="s">
        <v>129</v>
      </c>
      <c r="AA1426" s="327">
        <v>1334</v>
      </c>
      <c r="AB1426" s="368">
        <v>0.92</v>
      </c>
      <c r="AC1426" s="327">
        <v>-9999</v>
      </c>
      <c r="AD1426" s="327">
        <v>429.4</v>
      </c>
      <c r="AE1426" s="327" t="s">
        <v>1950</v>
      </c>
      <c r="AF1426" s="327">
        <v>8</v>
      </c>
      <c r="AG1426" s="327">
        <v>2</v>
      </c>
      <c r="AH1426" s="327" t="s">
        <v>809</v>
      </c>
      <c r="AI1426" s="327">
        <v>-9999</v>
      </c>
      <c r="AJ1426" s="327">
        <v>-9999</v>
      </c>
      <c r="AK1426" s="327" t="s">
        <v>172</v>
      </c>
      <c r="AL1426" s="327" t="s">
        <v>828</v>
      </c>
      <c r="AM1426" s="327" t="s">
        <v>871</v>
      </c>
      <c r="AN1426" s="327" t="s">
        <v>631</v>
      </c>
      <c r="AO1426" s="327">
        <v>-9999</v>
      </c>
      <c r="AP1426" s="327">
        <v>-9999</v>
      </c>
      <c r="AQ1426" s="327" t="s">
        <v>626</v>
      </c>
      <c r="AR1426" s="327">
        <v>50</v>
      </c>
      <c r="AS1426" s="327" t="s">
        <v>765</v>
      </c>
      <c r="AT1426" s="327" t="s">
        <v>905</v>
      </c>
      <c r="AU1426" s="327">
        <v>56</v>
      </c>
      <c r="AV1426" s="327" t="s">
        <v>765</v>
      </c>
      <c r="AW1426" s="327" t="s">
        <v>905</v>
      </c>
      <c r="AX1426" s="327">
        <v>0</v>
      </c>
      <c r="AY1426" s="327">
        <v>-9999</v>
      </c>
      <c r="AZ1426" s="327">
        <v>-9999</v>
      </c>
      <c r="BA1426" s="327"/>
      <c r="BB1426" s="327" t="s">
        <v>626</v>
      </c>
      <c r="BC1426" s="327" t="s">
        <v>906</v>
      </c>
      <c r="BD1426" s="327" t="s">
        <v>907</v>
      </c>
      <c r="BE1426" s="327" t="s">
        <v>908</v>
      </c>
      <c r="BF1426" s="327">
        <v>-9999</v>
      </c>
      <c r="BG1426" s="327">
        <v>-9999</v>
      </c>
      <c r="BH1426" s="327">
        <v>-9999</v>
      </c>
      <c r="BI1426" s="327" t="s">
        <v>968</v>
      </c>
      <c r="BJ1426" s="327">
        <v>-9999</v>
      </c>
      <c r="BK1426" s="327">
        <v>-9999</v>
      </c>
      <c r="BL1426" s="327">
        <v>-9999</v>
      </c>
      <c r="BM1426" s="327">
        <v>-9999</v>
      </c>
      <c r="BN1426" s="327">
        <v>-9999</v>
      </c>
      <c r="BO1426" s="327">
        <v>-9999</v>
      </c>
      <c r="BP1426" s="327">
        <v>-9999</v>
      </c>
      <c r="BQ1426" s="327">
        <v>-9999</v>
      </c>
      <c r="BR1426" s="327">
        <v>-9999</v>
      </c>
      <c r="BS1426" s="328">
        <v>-9999</v>
      </c>
      <c r="BT1426" s="327" t="s">
        <v>1130</v>
      </c>
      <c r="BU1426" s="327">
        <v>-9999</v>
      </c>
      <c r="BV1426" s="327">
        <v>-9999</v>
      </c>
      <c r="BW1426" s="327"/>
      <c r="BX1426" s="327">
        <v>-9999</v>
      </c>
      <c r="BY1426" s="327">
        <v>-9999</v>
      </c>
      <c r="BZ1426" s="327">
        <v>-9999</v>
      </c>
      <c r="CA1426" s="369" t="s">
        <v>974</v>
      </c>
      <c r="CB1426" s="475" t="s">
        <v>1686</v>
      </c>
      <c r="CC1426" s="327">
        <v>1</v>
      </c>
      <c r="CD1426" s="623">
        <v>4</v>
      </c>
      <c r="CE1426" s="342"/>
      <c r="CF1426" s="342">
        <v>-9999</v>
      </c>
      <c r="CG1426" s="144">
        <v>4</v>
      </c>
    </row>
    <row r="1427" spans="1:86" s="301" customFormat="1" x14ac:dyDescent="0.2">
      <c r="A1427" s="327" t="s">
        <v>898</v>
      </c>
      <c r="B1427" s="327" t="s">
        <v>899</v>
      </c>
      <c r="C1427" s="327" t="s">
        <v>130</v>
      </c>
      <c r="D1427" s="327" t="s">
        <v>553</v>
      </c>
      <c r="E1427" s="327" t="s">
        <v>901</v>
      </c>
      <c r="F1427" s="327">
        <v>1</v>
      </c>
      <c r="G1427" s="623">
        <v>5</v>
      </c>
      <c r="H1427" s="623">
        <v>5</v>
      </c>
      <c r="I1427" s="327" t="s">
        <v>856</v>
      </c>
      <c r="J1427" s="327">
        <v>2000</v>
      </c>
      <c r="K1427" s="265" t="s">
        <v>856</v>
      </c>
      <c r="L1427" s="265">
        <v>2005</v>
      </c>
      <c r="M1427" s="368">
        <v>-9999</v>
      </c>
      <c r="N1427" s="327">
        <v>-9999</v>
      </c>
      <c r="O1427" s="323"/>
      <c r="P1427" s="368">
        <v>33.412199999999999</v>
      </c>
      <c r="Q1427" s="327">
        <v>-9999</v>
      </c>
      <c r="R1427" s="368"/>
      <c r="S1427" s="327"/>
      <c r="T1427" s="287">
        <f>+P1427/H1427</f>
        <v>6.6824399999999997</v>
      </c>
      <c r="U1427" s="327">
        <v>-9999</v>
      </c>
      <c r="V1427" s="327"/>
      <c r="W1427" s="368">
        <v>-9999</v>
      </c>
      <c r="X1427" s="327">
        <v>-9999</v>
      </c>
      <c r="Y1427" s="327"/>
      <c r="Z1427" s="327" t="s">
        <v>129</v>
      </c>
      <c r="AA1427" s="327">
        <v>1334</v>
      </c>
      <c r="AB1427" s="368">
        <v>0.92300000000000004</v>
      </c>
      <c r="AC1427" s="327">
        <v>-9999</v>
      </c>
      <c r="AD1427" s="327">
        <v>429.4</v>
      </c>
      <c r="AE1427" s="327" t="s">
        <v>1950</v>
      </c>
      <c r="AF1427" s="327">
        <v>8</v>
      </c>
      <c r="AG1427" s="327">
        <v>2</v>
      </c>
      <c r="AH1427" s="327" t="s">
        <v>809</v>
      </c>
      <c r="AI1427" s="327">
        <v>-9999</v>
      </c>
      <c r="AJ1427" s="327">
        <v>-9999</v>
      </c>
      <c r="AK1427" s="327" t="s">
        <v>172</v>
      </c>
      <c r="AL1427" s="327" t="s">
        <v>828</v>
      </c>
      <c r="AM1427" s="327" t="s">
        <v>871</v>
      </c>
      <c r="AN1427" s="327" t="s">
        <v>631</v>
      </c>
      <c r="AO1427" s="327">
        <v>-9999</v>
      </c>
      <c r="AP1427" s="327">
        <v>-9999</v>
      </c>
      <c r="AQ1427" s="327" t="s">
        <v>626</v>
      </c>
      <c r="AR1427" s="327">
        <v>50</v>
      </c>
      <c r="AS1427" s="327" t="s">
        <v>765</v>
      </c>
      <c r="AT1427" s="327" t="s">
        <v>905</v>
      </c>
      <c r="AU1427" s="327">
        <v>56</v>
      </c>
      <c r="AV1427" s="327" t="s">
        <v>765</v>
      </c>
      <c r="AW1427" s="327" t="s">
        <v>905</v>
      </c>
      <c r="AX1427" s="327">
        <v>0</v>
      </c>
      <c r="AY1427" s="327">
        <v>-9999</v>
      </c>
      <c r="AZ1427" s="327">
        <v>-9999</v>
      </c>
      <c r="BA1427" s="327"/>
      <c r="BB1427" s="327" t="s">
        <v>626</v>
      </c>
      <c r="BC1427" s="327" t="s">
        <v>906</v>
      </c>
      <c r="BD1427" s="327" t="s">
        <v>907</v>
      </c>
      <c r="BE1427" s="327" t="s">
        <v>908</v>
      </c>
      <c r="BF1427" s="327">
        <v>-9999</v>
      </c>
      <c r="BG1427" s="327">
        <v>-9999</v>
      </c>
      <c r="BH1427" s="327">
        <v>-9999</v>
      </c>
      <c r="BI1427" s="327" t="s">
        <v>968</v>
      </c>
      <c r="BJ1427" s="327">
        <v>-9999</v>
      </c>
      <c r="BK1427" s="327">
        <v>-9999</v>
      </c>
      <c r="BL1427" s="327">
        <v>-9999</v>
      </c>
      <c r="BM1427" s="327">
        <v>-9999</v>
      </c>
      <c r="BN1427" s="327">
        <v>-9999</v>
      </c>
      <c r="BO1427" s="327">
        <v>-9999</v>
      </c>
      <c r="BP1427" s="327">
        <v>-9999</v>
      </c>
      <c r="BQ1427" s="327">
        <v>-9999</v>
      </c>
      <c r="BR1427" s="327">
        <v>-9999</v>
      </c>
      <c r="BS1427" s="328">
        <v>-9999</v>
      </c>
      <c r="BT1427" s="327" t="s">
        <v>1130</v>
      </c>
      <c r="BU1427" s="327">
        <v>-9999</v>
      </c>
      <c r="BV1427" s="327">
        <v>-9999</v>
      </c>
      <c r="BW1427" s="327"/>
      <c r="BX1427" s="327">
        <v>-9999</v>
      </c>
      <c r="BY1427" s="327">
        <v>-9999</v>
      </c>
      <c r="BZ1427" s="327">
        <v>-9999</v>
      </c>
      <c r="CA1427" s="369" t="s">
        <v>974</v>
      </c>
      <c r="CB1427" s="475" t="s">
        <v>1687</v>
      </c>
      <c r="CC1427" s="327">
        <v>1</v>
      </c>
      <c r="CD1427" s="623">
        <v>5</v>
      </c>
      <c r="CE1427" s="342">
        <v>6.6824399999999997</v>
      </c>
      <c r="CF1427" s="342">
        <v>-9999</v>
      </c>
      <c r="CG1427" s="144">
        <v>5</v>
      </c>
    </row>
    <row r="1428" spans="1:86" s="13" customFormat="1" x14ac:dyDescent="0.2">
      <c r="A1428" s="18"/>
      <c r="B1428" s="18"/>
      <c r="C1428" s="18"/>
      <c r="D1428" s="323"/>
      <c r="E1428" s="18"/>
      <c r="F1428" s="18"/>
      <c r="G1428" s="20"/>
      <c r="H1428" s="20"/>
      <c r="I1428" s="18"/>
      <c r="J1428" s="18"/>
      <c r="K1428" s="18"/>
      <c r="L1428" s="18"/>
      <c r="M1428" s="311"/>
      <c r="N1428" s="18"/>
      <c r="O1428" s="18"/>
      <c r="P1428" s="21"/>
      <c r="Q1428" s="18"/>
      <c r="R1428" s="21"/>
      <c r="S1428" s="18"/>
      <c r="T1428" s="319"/>
      <c r="U1428" s="18"/>
      <c r="V1428" s="18"/>
      <c r="W1428" s="21"/>
      <c r="X1428" s="18"/>
      <c r="Y1428" s="18"/>
      <c r="Z1428" s="18"/>
      <c r="AA1428" s="18"/>
      <c r="AB1428" s="21"/>
      <c r="AC1428" s="18"/>
      <c r="AD1428" s="18"/>
      <c r="AE1428" s="323"/>
      <c r="AF1428" s="18"/>
      <c r="AG1428" s="18"/>
      <c r="AH1428" s="18"/>
      <c r="AI1428" s="18"/>
      <c r="AJ1428" s="18"/>
      <c r="AK1428" s="323"/>
      <c r="AL1428" s="18"/>
      <c r="AM1428" s="323"/>
      <c r="AN1428" s="18"/>
      <c r="AO1428" s="18"/>
      <c r="AP1428" s="18"/>
      <c r="AQ1428" s="18"/>
      <c r="AR1428" s="65"/>
      <c r="AS1428" s="323"/>
      <c r="AT1428" s="323"/>
      <c r="AU1428" s="323"/>
      <c r="AV1428" s="323"/>
      <c r="AW1428" s="323"/>
      <c r="AX1428" s="323"/>
      <c r="AY1428" s="323"/>
      <c r="AZ1428" s="18"/>
      <c r="BA1428" s="18"/>
      <c r="BB1428" s="18"/>
      <c r="BC1428" s="18"/>
      <c r="BD1428" s="18"/>
      <c r="BE1428" s="18"/>
      <c r="BF1428" s="18"/>
      <c r="BG1428" s="18"/>
      <c r="BH1428" s="18"/>
      <c r="BI1428" s="18"/>
      <c r="BJ1428" s="18"/>
      <c r="BK1428" s="18"/>
      <c r="BL1428" s="18"/>
      <c r="BM1428" s="18"/>
      <c r="BN1428" s="18"/>
      <c r="BO1428" s="18"/>
      <c r="BP1428" s="18"/>
      <c r="BQ1428" s="18"/>
      <c r="BR1428" s="18"/>
      <c r="BS1428" s="291"/>
      <c r="BT1428" s="323"/>
      <c r="BU1428" s="18"/>
      <c r="BV1428" s="18"/>
      <c r="BW1428" s="18"/>
      <c r="BX1428" s="18"/>
      <c r="BY1428" s="18"/>
      <c r="BZ1428" s="18"/>
      <c r="CA1428" s="73"/>
      <c r="CC1428" s="18"/>
      <c r="CD1428" s="291"/>
      <c r="CE1428" s="342" t="s">
        <v>1576</v>
      </c>
      <c r="CF1428" s="342" t="s">
        <v>1575</v>
      </c>
      <c r="CG1428" s="20"/>
    </row>
    <row r="1429" spans="1:86" s="301" customFormat="1" x14ac:dyDescent="0.2">
      <c r="A1429" s="327" t="s">
        <v>898</v>
      </c>
      <c r="B1429" s="327" t="s">
        <v>969</v>
      </c>
      <c r="C1429" s="327" t="s">
        <v>900</v>
      </c>
      <c r="D1429" s="327" t="s">
        <v>553</v>
      </c>
      <c r="E1429" s="327" t="s">
        <v>901</v>
      </c>
      <c r="F1429" s="327">
        <v>1</v>
      </c>
      <c r="G1429" s="623">
        <v>1</v>
      </c>
      <c r="H1429" s="623">
        <v>1</v>
      </c>
      <c r="I1429" s="327" t="s">
        <v>856</v>
      </c>
      <c r="J1429" s="327">
        <v>2000</v>
      </c>
      <c r="K1429" s="265" t="s">
        <v>856</v>
      </c>
      <c r="L1429" s="265">
        <v>2001</v>
      </c>
      <c r="M1429" s="368">
        <v>-9999</v>
      </c>
      <c r="N1429" s="327">
        <v>-9999</v>
      </c>
      <c r="O1429" s="323"/>
      <c r="P1429" s="368">
        <v>-9999</v>
      </c>
      <c r="Q1429" s="327">
        <v>-9999</v>
      </c>
      <c r="R1429" s="368"/>
      <c r="S1429" s="327"/>
      <c r="T1429" s="287">
        <v>-9999</v>
      </c>
      <c r="U1429" s="327">
        <v>-9999</v>
      </c>
      <c r="V1429" s="327"/>
      <c r="W1429" s="368">
        <v>-9999</v>
      </c>
      <c r="X1429" s="327">
        <v>-9999</v>
      </c>
      <c r="Y1429" s="327"/>
      <c r="Z1429" s="327" t="s">
        <v>902</v>
      </c>
      <c r="AA1429" s="327">
        <v>2990</v>
      </c>
      <c r="AB1429" s="368">
        <v>0.92</v>
      </c>
      <c r="AC1429" s="327">
        <v>-9999</v>
      </c>
      <c r="AD1429" s="327">
        <v>429.4</v>
      </c>
      <c r="AE1429" s="327" t="s">
        <v>1950</v>
      </c>
      <c r="AF1429" s="327">
        <v>8</v>
      </c>
      <c r="AG1429" s="327">
        <v>2</v>
      </c>
      <c r="AH1429" s="327" t="s">
        <v>809</v>
      </c>
      <c r="AI1429" s="327">
        <v>-9999</v>
      </c>
      <c r="AJ1429" s="327">
        <v>-9999</v>
      </c>
      <c r="AK1429" s="327" t="s">
        <v>172</v>
      </c>
      <c r="AL1429" s="327" t="s">
        <v>828</v>
      </c>
      <c r="AM1429" s="327" t="s">
        <v>871</v>
      </c>
      <c r="AN1429" s="327" t="s">
        <v>631</v>
      </c>
      <c r="AO1429" s="327">
        <v>-9999</v>
      </c>
      <c r="AP1429" s="327">
        <v>-9999</v>
      </c>
      <c r="AQ1429" s="327" t="s">
        <v>626</v>
      </c>
      <c r="AR1429" s="327">
        <f>660*0.1</f>
        <v>66</v>
      </c>
      <c r="AS1429" s="327" t="s">
        <v>1498</v>
      </c>
      <c r="AT1429" s="327" t="s">
        <v>905</v>
      </c>
      <c r="AU1429" s="328">
        <f>66/2.3</f>
        <v>28.695652173913047</v>
      </c>
      <c r="AV1429" s="327" t="s">
        <v>1498</v>
      </c>
      <c r="AW1429" s="327" t="s">
        <v>905</v>
      </c>
      <c r="AX1429" s="328">
        <f>66*0.83</f>
        <v>54.779999999999994</v>
      </c>
      <c r="AY1429" s="327" t="s">
        <v>1498</v>
      </c>
      <c r="AZ1429" s="327" t="s">
        <v>905</v>
      </c>
      <c r="BA1429" s="327" t="s">
        <v>979</v>
      </c>
      <c r="BB1429" s="327" t="s">
        <v>626</v>
      </c>
      <c r="BC1429" s="327" t="s">
        <v>906</v>
      </c>
      <c r="BD1429" s="327" t="s">
        <v>907</v>
      </c>
      <c r="BE1429" s="327" t="s">
        <v>908</v>
      </c>
      <c r="BF1429" s="327" t="s">
        <v>909</v>
      </c>
      <c r="BG1429" s="327" t="s">
        <v>910</v>
      </c>
      <c r="BH1429" s="327" t="s">
        <v>911</v>
      </c>
      <c r="BI1429" s="327" t="s">
        <v>912</v>
      </c>
      <c r="BJ1429" s="327">
        <v>-9999</v>
      </c>
      <c r="BK1429" s="327">
        <v>-9999</v>
      </c>
      <c r="BL1429" s="327">
        <v>-9999</v>
      </c>
      <c r="BM1429" s="327">
        <v>-9999</v>
      </c>
      <c r="BN1429" s="327">
        <v>-9999</v>
      </c>
      <c r="BO1429" s="327">
        <v>-9999</v>
      </c>
      <c r="BP1429" s="327">
        <v>-9999</v>
      </c>
      <c r="BQ1429" s="327">
        <v>-9999</v>
      </c>
      <c r="BR1429" s="327">
        <v>-9999</v>
      </c>
      <c r="BS1429" s="328">
        <v>-9999</v>
      </c>
      <c r="BT1429" s="327" t="s">
        <v>1130</v>
      </c>
      <c r="BU1429" s="327">
        <v>-9999</v>
      </c>
      <c r="BV1429" s="327">
        <v>-9999</v>
      </c>
      <c r="BW1429" s="327"/>
      <c r="BX1429" s="327">
        <v>-9999</v>
      </c>
      <c r="BY1429" s="327">
        <v>-9999</v>
      </c>
      <c r="BZ1429" s="327">
        <v>-9999</v>
      </c>
      <c r="CA1429" s="369" t="s">
        <v>974</v>
      </c>
      <c r="CB1429" s="475"/>
      <c r="CC1429" s="327">
        <v>1</v>
      </c>
      <c r="CD1429" s="623">
        <v>1</v>
      </c>
      <c r="CE1429" s="342"/>
      <c r="CF1429" s="342">
        <v>-9999</v>
      </c>
      <c r="CG1429" s="144">
        <v>1</v>
      </c>
    </row>
    <row r="1430" spans="1:86" s="61" customFormat="1" x14ac:dyDescent="0.2">
      <c r="A1430" s="255" t="s">
        <v>898</v>
      </c>
      <c r="B1430" s="327" t="s">
        <v>969</v>
      </c>
      <c r="C1430" s="327" t="s">
        <v>900</v>
      </c>
      <c r="D1430" s="327" t="s">
        <v>553</v>
      </c>
      <c r="E1430" s="255" t="s">
        <v>901</v>
      </c>
      <c r="F1430" s="255">
        <v>1</v>
      </c>
      <c r="G1430" s="623">
        <v>2</v>
      </c>
      <c r="H1430" s="623">
        <v>2</v>
      </c>
      <c r="I1430" s="255" t="s">
        <v>856</v>
      </c>
      <c r="J1430" s="255">
        <v>2000</v>
      </c>
      <c r="K1430" s="265" t="s">
        <v>856</v>
      </c>
      <c r="L1430" s="265">
        <v>2002</v>
      </c>
      <c r="M1430" s="368">
        <v>-9999</v>
      </c>
      <c r="N1430" s="327">
        <v>-9999</v>
      </c>
      <c r="O1430" s="323"/>
      <c r="P1430" s="297">
        <v>13.763</v>
      </c>
      <c r="Q1430" s="327">
        <v>-9999</v>
      </c>
      <c r="R1430" s="368"/>
      <c r="S1430" s="327"/>
      <c r="T1430" s="287">
        <f>+P1430/H1430</f>
        <v>6.8815</v>
      </c>
      <c r="U1430" s="327">
        <v>-9999</v>
      </c>
      <c r="V1430" s="327"/>
      <c r="W1430" s="368">
        <v>-9999</v>
      </c>
      <c r="X1430" s="327">
        <v>-9999</v>
      </c>
      <c r="Y1430" s="327"/>
      <c r="Z1430" s="327" t="s">
        <v>902</v>
      </c>
      <c r="AA1430" s="327">
        <v>2990</v>
      </c>
      <c r="AB1430" s="368">
        <v>0.92</v>
      </c>
      <c r="AC1430" s="327">
        <v>-9999</v>
      </c>
      <c r="AD1430" s="327">
        <v>429.4</v>
      </c>
      <c r="AE1430" s="327" t="s">
        <v>1950</v>
      </c>
      <c r="AF1430" s="255">
        <v>8</v>
      </c>
      <c r="AG1430" s="255">
        <v>2</v>
      </c>
      <c r="AH1430" s="255" t="s">
        <v>809</v>
      </c>
      <c r="AI1430" s="255">
        <v>-9999</v>
      </c>
      <c r="AJ1430" s="255">
        <v>-9999</v>
      </c>
      <c r="AK1430" s="327" t="s">
        <v>172</v>
      </c>
      <c r="AL1430" s="255" t="s">
        <v>828</v>
      </c>
      <c r="AM1430" s="327" t="s">
        <v>871</v>
      </c>
      <c r="AN1430" s="255" t="s">
        <v>631</v>
      </c>
      <c r="AO1430" s="255">
        <v>-9999</v>
      </c>
      <c r="AP1430" s="255">
        <v>-9999</v>
      </c>
      <c r="AQ1430" s="255" t="s">
        <v>626</v>
      </c>
      <c r="AR1430" s="328">
        <f>+AR1429+76</f>
        <v>142</v>
      </c>
      <c r="AS1430" s="327" t="s">
        <v>1498</v>
      </c>
      <c r="AT1430" s="327" t="s">
        <v>689</v>
      </c>
      <c r="AU1430" s="328">
        <f>+((128-29)/4)+AU1429</f>
        <v>53.445652173913047</v>
      </c>
      <c r="AV1430" s="327" t="s">
        <v>1498</v>
      </c>
      <c r="AW1430" s="327" t="s">
        <v>766</v>
      </c>
      <c r="AX1430" s="328">
        <f>+AX1429+16</f>
        <v>70.78</v>
      </c>
      <c r="AY1430" s="327" t="s">
        <v>1498</v>
      </c>
      <c r="AZ1430" s="327" t="s">
        <v>766</v>
      </c>
      <c r="BA1430" s="327" t="s">
        <v>979</v>
      </c>
      <c r="BB1430" s="327" t="s">
        <v>626</v>
      </c>
      <c r="BC1430" s="327" t="s">
        <v>906</v>
      </c>
      <c r="BD1430" s="327" t="s">
        <v>907</v>
      </c>
      <c r="BE1430" s="327" t="s">
        <v>908</v>
      </c>
      <c r="BF1430" s="327" t="s">
        <v>909</v>
      </c>
      <c r="BG1430" s="327" t="s">
        <v>910</v>
      </c>
      <c r="BH1430" s="327" t="s">
        <v>911</v>
      </c>
      <c r="BI1430" s="327" t="s">
        <v>912</v>
      </c>
      <c r="BJ1430" s="255">
        <v>-9999</v>
      </c>
      <c r="BK1430" s="255">
        <v>-9999</v>
      </c>
      <c r="BL1430" s="255">
        <v>-9999</v>
      </c>
      <c r="BM1430" s="255">
        <v>-9999</v>
      </c>
      <c r="BN1430" s="255">
        <v>-9999</v>
      </c>
      <c r="BO1430" s="255">
        <v>-9999</v>
      </c>
      <c r="BP1430" s="255">
        <v>-9999</v>
      </c>
      <c r="BQ1430" s="255">
        <v>-9999</v>
      </c>
      <c r="BR1430" s="255">
        <v>-9999</v>
      </c>
      <c r="BS1430" s="328">
        <v>-9999</v>
      </c>
      <c r="BT1430" s="327" t="s">
        <v>1130</v>
      </c>
      <c r="BU1430" s="255">
        <v>-9999</v>
      </c>
      <c r="BV1430" s="255">
        <v>-9999</v>
      </c>
      <c r="BW1430" s="255"/>
      <c r="BX1430" s="255">
        <v>-9999</v>
      </c>
      <c r="BY1430" s="255">
        <v>-9999</v>
      </c>
      <c r="BZ1430" s="255">
        <v>-9999</v>
      </c>
      <c r="CA1430" s="369" t="s">
        <v>974</v>
      </c>
      <c r="CB1430" s="475"/>
      <c r="CC1430" s="255">
        <v>1</v>
      </c>
      <c r="CD1430" s="623">
        <v>2</v>
      </c>
      <c r="CE1430" s="340">
        <v>6.8815</v>
      </c>
      <c r="CF1430" s="340">
        <v>-9999</v>
      </c>
      <c r="CG1430" s="144">
        <v>2</v>
      </c>
    </row>
    <row r="1431" spans="1:86" s="61" customFormat="1" x14ac:dyDescent="0.2">
      <c r="A1431" s="255" t="s">
        <v>898</v>
      </c>
      <c r="B1431" s="327" t="s">
        <v>969</v>
      </c>
      <c r="C1431" s="327" t="s">
        <v>900</v>
      </c>
      <c r="D1431" s="327" t="s">
        <v>553</v>
      </c>
      <c r="E1431" s="255" t="s">
        <v>901</v>
      </c>
      <c r="F1431" s="255">
        <v>1</v>
      </c>
      <c r="G1431" s="623">
        <v>3</v>
      </c>
      <c r="H1431" s="623">
        <v>3</v>
      </c>
      <c r="I1431" s="255" t="s">
        <v>856</v>
      </c>
      <c r="J1431" s="255">
        <v>2000</v>
      </c>
      <c r="K1431" s="265" t="s">
        <v>856</v>
      </c>
      <c r="L1431" s="265">
        <v>2003</v>
      </c>
      <c r="M1431" s="368">
        <v>-9999</v>
      </c>
      <c r="N1431" s="327">
        <v>-9999</v>
      </c>
      <c r="O1431" s="323"/>
      <c r="P1431" s="297">
        <v>35.4373</v>
      </c>
      <c r="Q1431" s="327">
        <v>-9999</v>
      </c>
      <c r="R1431" s="368"/>
      <c r="S1431" s="327"/>
      <c r="T1431" s="287">
        <f>+P1431/H1431</f>
        <v>11.812433333333333</v>
      </c>
      <c r="U1431" s="327">
        <v>-9999</v>
      </c>
      <c r="V1431" s="327"/>
      <c r="W1431" s="368">
        <v>-9999</v>
      </c>
      <c r="X1431" s="327">
        <v>-9999</v>
      </c>
      <c r="Y1431" s="327"/>
      <c r="Z1431" s="327" t="s">
        <v>902</v>
      </c>
      <c r="AA1431" s="327">
        <v>2990</v>
      </c>
      <c r="AB1431" s="368">
        <v>0.92</v>
      </c>
      <c r="AC1431" s="327">
        <v>-9999</v>
      </c>
      <c r="AD1431" s="327">
        <v>429.4</v>
      </c>
      <c r="AE1431" s="327" t="s">
        <v>1950</v>
      </c>
      <c r="AF1431" s="255">
        <v>8</v>
      </c>
      <c r="AG1431" s="255">
        <v>2</v>
      </c>
      <c r="AH1431" s="255" t="s">
        <v>809</v>
      </c>
      <c r="AI1431" s="255">
        <v>-9999</v>
      </c>
      <c r="AJ1431" s="255">
        <v>-9999</v>
      </c>
      <c r="AK1431" s="327" t="s">
        <v>172</v>
      </c>
      <c r="AL1431" s="255" t="s">
        <v>828</v>
      </c>
      <c r="AM1431" s="327" t="s">
        <v>871</v>
      </c>
      <c r="AN1431" s="259" t="s">
        <v>631</v>
      </c>
      <c r="AO1431" s="255">
        <v>-9999</v>
      </c>
      <c r="AP1431" s="255">
        <v>-9999</v>
      </c>
      <c r="AQ1431" s="255" t="s">
        <v>626</v>
      </c>
      <c r="AR1431" s="328">
        <f>+AR1430+76</f>
        <v>218</v>
      </c>
      <c r="AS1431" s="327" t="s">
        <v>1498</v>
      </c>
      <c r="AT1431" s="327" t="s">
        <v>766</v>
      </c>
      <c r="AU1431" s="328">
        <f>+AU1430+25</f>
        <v>78.445652173913047</v>
      </c>
      <c r="AV1431" s="327" t="s">
        <v>1498</v>
      </c>
      <c r="AW1431" s="327" t="s">
        <v>766</v>
      </c>
      <c r="AX1431" s="328">
        <f>+AX1430+16</f>
        <v>86.78</v>
      </c>
      <c r="AY1431" s="327" t="s">
        <v>1498</v>
      </c>
      <c r="AZ1431" s="327" t="s">
        <v>766</v>
      </c>
      <c r="BA1431" s="327" t="s">
        <v>979</v>
      </c>
      <c r="BB1431" s="327" t="s">
        <v>626</v>
      </c>
      <c r="BC1431" s="327" t="s">
        <v>906</v>
      </c>
      <c r="BD1431" s="327" t="s">
        <v>907</v>
      </c>
      <c r="BE1431" s="327" t="s">
        <v>908</v>
      </c>
      <c r="BF1431" s="327" t="s">
        <v>909</v>
      </c>
      <c r="BG1431" s="327" t="s">
        <v>910</v>
      </c>
      <c r="BH1431" s="327" t="s">
        <v>911</v>
      </c>
      <c r="BI1431" s="327" t="s">
        <v>912</v>
      </c>
      <c r="BJ1431" s="255">
        <v>-9999</v>
      </c>
      <c r="BK1431" s="255">
        <v>-9999</v>
      </c>
      <c r="BL1431" s="255">
        <v>-9999</v>
      </c>
      <c r="BM1431" s="255">
        <v>-9999</v>
      </c>
      <c r="BN1431" s="255">
        <v>-9999</v>
      </c>
      <c r="BO1431" s="255">
        <v>-9999</v>
      </c>
      <c r="BP1431" s="255">
        <v>-9999</v>
      </c>
      <c r="BQ1431" s="255">
        <v>-9999</v>
      </c>
      <c r="BR1431" s="255">
        <v>-9999</v>
      </c>
      <c r="BS1431" s="328">
        <v>-9999</v>
      </c>
      <c r="BT1431" s="327" t="s">
        <v>1130</v>
      </c>
      <c r="BU1431" s="255">
        <v>-9999</v>
      </c>
      <c r="BV1431" s="255">
        <v>-9999</v>
      </c>
      <c r="BW1431" s="255"/>
      <c r="BX1431" s="255">
        <v>-9999</v>
      </c>
      <c r="BY1431" s="255">
        <v>-9999</v>
      </c>
      <c r="BZ1431" s="255">
        <v>-9999</v>
      </c>
      <c r="CA1431" s="369" t="s">
        <v>974</v>
      </c>
      <c r="CB1431" s="475" t="s">
        <v>1685</v>
      </c>
      <c r="CC1431" s="255">
        <v>1</v>
      </c>
      <c r="CD1431" s="623">
        <v>3</v>
      </c>
      <c r="CE1431" s="340">
        <v>11.812433333333333</v>
      </c>
      <c r="CF1431" s="340">
        <v>-9999</v>
      </c>
      <c r="CG1431" s="144">
        <v>3</v>
      </c>
    </row>
    <row r="1432" spans="1:86" s="301" customFormat="1" x14ac:dyDescent="0.2">
      <c r="A1432" s="327" t="s">
        <v>898</v>
      </c>
      <c r="B1432" s="327" t="s">
        <v>969</v>
      </c>
      <c r="C1432" s="327" t="s">
        <v>900</v>
      </c>
      <c r="D1432" s="327" t="s">
        <v>553</v>
      </c>
      <c r="E1432" s="327" t="s">
        <v>901</v>
      </c>
      <c r="F1432" s="327">
        <v>1</v>
      </c>
      <c r="G1432" s="623">
        <v>4</v>
      </c>
      <c r="H1432" s="623">
        <v>4</v>
      </c>
      <c r="I1432" s="327" t="s">
        <v>856</v>
      </c>
      <c r="J1432" s="327">
        <v>2000</v>
      </c>
      <c r="K1432" s="265" t="s">
        <v>856</v>
      </c>
      <c r="L1432" s="624">
        <v>2004</v>
      </c>
      <c r="M1432" s="368">
        <v>-9999</v>
      </c>
      <c r="N1432" s="327">
        <v>-9999</v>
      </c>
      <c r="O1432" s="323"/>
      <c r="P1432" s="368">
        <v>-9999</v>
      </c>
      <c r="Q1432" s="327">
        <v>-9999</v>
      </c>
      <c r="R1432" s="368"/>
      <c r="S1432" s="327"/>
      <c r="T1432" s="287">
        <v>-9999</v>
      </c>
      <c r="U1432" s="327">
        <v>-9999</v>
      </c>
      <c r="V1432" s="327"/>
      <c r="W1432" s="368">
        <v>-9999</v>
      </c>
      <c r="X1432" s="327">
        <v>-9999</v>
      </c>
      <c r="Y1432" s="327"/>
      <c r="Z1432" s="327" t="s">
        <v>902</v>
      </c>
      <c r="AA1432" s="327">
        <v>2990</v>
      </c>
      <c r="AB1432" s="368">
        <v>0.92</v>
      </c>
      <c r="AC1432" s="327">
        <v>-9999</v>
      </c>
      <c r="AD1432" s="327">
        <v>429.4</v>
      </c>
      <c r="AE1432" s="327" t="s">
        <v>1950</v>
      </c>
      <c r="AF1432" s="327">
        <v>8</v>
      </c>
      <c r="AG1432" s="327">
        <v>2</v>
      </c>
      <c r="AH1432" s="327" t="s">
        <v>809</v>
      </c>
      <c r="AI1432" s="327">
        <v>-9999</v>
      </c>
      <c r="AJ1432" s="327">
        <v>-9999</v>
      </c>
      <c r="AK1432" s="327" t="s">
        <v>172</v>
      </c>
      <c r="AL1432" s="327" t="s">
        <v>828</v>
      </c>
      <c r="AM1432" s="327" t="s">
        <v>871</v>
      </c>
      <c r="AN1432" s="327" t="s">
        <v>631</v>
      </c>
      <c r="AO1432" s="327">
        <v>-9999</v>
      </c>
      <c r="AP1432" s="327">
        <v>-9999</v>
      </c>
      <c r="AQ1432" s="327" t="s">
        <v>626</v>
      </c>
      <c r="AR1432" s="328">
        <f>+AR1431+76</f>
        <v>294</v>
      </c>
      <c r="AS1432" s="327" t="s">
        <v>1498</v>
      </c>
      <c r="AT1432" s="327" t="s">
        <v>766</v>
      </c>
      <c r="AU1432" s="328">
        <f>+AU1431+25</f>
        <v>103.44565217391305</v>
      </c>
      <c r="AV1432" s="327" t="s">
        <v>1498</v>
      </c>
      <c r="AW1432" s="327" t="s">
        <v>766</v>
      </c>
      <c r="AX1432" s="328">
        <f>+AX1431+17</f>
        <v>103.78</v>
      </c>
      <c r="AY1432" s="327" t="s">
        <v>1498</v>
      </c>
      <c r="AZ1432" s="327" t="s">
        <v>766</v>
      </c>
      <c r="BA1432" s="327" t="s">
        <v>979</v>
      </c>
      <c r="BB1432" s="327" t="s">
        <v>626</v>
      </c>
      <c r="BC1432" s="327" t="s">
        <v>906</v>
      </c>
      <c r="BD1432" s="327" t="s">
        <v>907</v>
      </c>
      <c r="BE1432" s="327" t="s">
        <v>908</v>
      </c>
      <c r="BF1432" s="327" t="s">
        <v>909</v>
      </c>
      <c r="BG1432" s="327" t="s">
        <v>910</v>
      </c>
      <c r="BH1432" s="327" t="s">
        <v>911</v>
      </c>
      <c r="BI1432" s="327" t="s">
        <v>912</v>
      </c>
      <c r="BJ1432" s="327">
        <v>-9999</v>
      </c>
      <c r="BK1432" s="327">
        <v>-9999</v>
      </c>
      <c r="BL1432" s="327">
        <v>-9999</v>
      </c>
      <c r="BM1432" s="327">
        <v>-9999</v>
      </c>
      <c r="BN1432" s="327">
        <v>-9999</v>
      </c>
      <c r="BO1432" s="327">
        <v>-9999</v>
      </c>
      <c r="BP1432" s="327">
        <v>-9999</v>
      </c>
      <c r="BQ1432" s="327">
        <v>-9999</v>
      </c>
      <c r="BR1432" s="327">
        <v>-9999</v>
      </c>
      <c r="BS1432" s="328">
        <v>-9999</v>
      </c>
      <c r="BT1432" s="327" t="s">
        <v>1130</v>
      </c>
      <c r="BU1432" s="327">
        <v>-9999</v>
      </c>
      <c r="BV1432" s="327">
        <v>-9999</v>
      </c>
      <c r="BW1432" s="327"/>
      <c r="BX1432" s="327">
        <v>-9999</v>
      </c>
      <c r="BY1432" s="327">
        <v>-9999</v>
      </c>
      <c r="BZ1432" s="327">
        <v>-9999</v>
      </c>
      <c r="CA1432" s="369" t="s">
        <v>974</v>
      </c>
      <c r="CB1432" s="475" t="s">
        <v>1686</v>
      </c>
      <c r="CC1432" s="327">
        <v>1</v>
      </c>
      <c r="CD1432" s="623">
        <v>4</v>
      </c>
      <c r="CE1432" s="342"/>
      <c r="CF1432" s="342">
        <v>-9999</v>
      </c>
      <c r="CG1432" s="144">
        <v>4</v>
      </c>
    </row>
    <row r="1433" spans="1:86" s="13" customFormat="1" x14ac:dyDescent="0.2">
      <c r="A1433" s="259" t="s">
        <v>898</v>
      </c>
      <c r="B1433" s="259" t="s">
        <v>969</v>
      </c>
      <c r="C1433" s="259" t="s">
        <v>900</v>
      </c>
      <c r="D1433" s="259" t="s">
        <v>553</v>
      </c>
      <c r="E1433" s="259" t="s">
        <v>901</v>
      </c>
      <c r="F1433" s="259">
        <v>1</v>
      </c>
      <c r="G1433" s="625">
        <v>5</v>
      </c>
      <c r="H1433" s="625">
        <v>5</v>
      </c>
      <c r="I1433" s="259" t="s">
        <v>856</v>
      </c>
      <c r="J1433" s="259">
        <v>2000</v>
      </c>
      <c r="K1433" s="266" t="s">
        <v>856</v>
      </c>
      <c r="L1433" s="266">
        <v>2005</v>
      </c>
      <c r="M1433" s="288">
        <v>-9999</v>
      </c>
      <c r="N1433" s="259">
        <v>-9999</v>
      </c>
      <c r="O1433" s="18"/>
      <c r="P1433" s="288">
        <v>65.936599999999999</v>
      </c>
      <c r="Q1433" s="259">
        <v>-9999</v>
      </c>
      <c r="R1433" s="288"/>
      <c r="S1433" s="259"/>
      <c r="T1433" s="376">
        <f>+P1433/H1433</f>
        <v>13.18732</v>
      </c>
      <c r="U1433" s="259">
        <v>-9999</v>
      </c>
      <c r="V1433" s="259"/>
      <c r="W1433" s="288">
        <v>-9999</v>
      </c>
      <c r="X1433" s="259">
        <v>-9999</v>
      </c>
      <c r="Y1433" s="259"/>
      <c r="Z1433" s="259" t="s">
        <v>902</v>
      </c>
      <c r="AA1433" s="259">
        <v>2990</v>
      </c>
      <c r="AB1433" s="288">
        <v>0.92</v>
      </c>
      <c r="AC1433" s="259">
        <v>-9999</v>
      </c>
      <c r="AD1433" s="259">
        <v>429.4</v>
      </c>
      <c r="AE1433" s="259" t="s">
        <v>1950</v>
      </c>
      <c r="AF1433" s="259">
        <v>8</v>
      </c>
      <c r="AG1433" s="259">
        <v>2</v>
      </c>
      <c r="AH1433" s="259" t="s">
        <v>809</v>
      </c>
      <c r="AI1433" s="259">
        <v>-9999</v>
      </c>
      <c r="AJ1433" s="259">
        <v>-9999</v>
      </c>
      <c r="AK1433" s="259" t="s">
        <v>172</v>
      </c>
      <c r="AL1433" s="259" t="s">
        <v>828</v>
      </c>
      <c r="AM1433" s="259" t="s">
        <v>871</v>
      </c>
      <c r="AN1433" s="259" t="s">
        <v>631</v>
      </c>
      <c r="AO1433" s="259">
        <v>-9999</v>
      </c>
      <c r="AP1433" s="259">
        <v>-9999</v>
      </c>
      <c r="AQ1433" s="259" t="s">
        <v>626</v>
      </c>
      <c r="AR1433" s="260">
        <f>+AR1432+76</f>
        <v>370</v>
      </c>
      <c r="AS1433" s="259" t="s">
        <v>1498</v>
      </c>
      <c r="AT1433" s="259" t="s">
        <v>766</v>
      </c>
      <c r="AU1433" s="260">
        <f>+AU1432+25</f>
        <v>128.44565217391306</v>
      </c>
      <c r="AV1433" s="259" t="s">
        <v>1498</v>
      </c>
      <c r="AW1433" s="259" t="s">
        <v>766</v>
      </c>
      <c r="AX1433" s="260">
        <f>+AX1432+17</f>
        <v>120.78</v>
      </c>
      <c r="AY1433" s="259" t="s">
        <v>1498</v>
      </c>
      <c r="AZ1433" s="259" t="s">
        <v>766</v>
      </c>
      <c r="BA1433" s="259" t="s">
        <v>979</v>
      </c>
      <c r="BB1433" s="259" t="s">
        <v>626</v>
      </c>
      <c r="BC1433" s="259" t="s">
        <v>906</v>
      </c>
      <c r="BD1433" s="259" t="s">
        <v>907</v>
      </c>
      <c r="BE1433" s="259" t="s">
        <v>908</v>
      </c>
      <c r="BF1433" s="259" t="s">
        <v>909</v>
      </c>
      <c r="BG1433" s="259" t="s">
        <v>910</v>
      </c>
      <c r="BH1433" s="259" t="s">
        <v>911</v>
      </c>
      <c r="BI1433" s="259" t="s">
        <v>912</v>
      </c>
      <c r="BJ1433" s="259">
        <v>-9999</v>
      </c>
      <c r="BK1433" s="259">
        <v>-9999</v>
      </c>
      <c r="BL1433" s="259">
        <v>-9999</v>
      </c>
      <c r="BM1433" s="259">
        <v>-9999</v>
      </c>
      <c r="BN1433" s="259">
        <v>-9999</v>
      </c>
      <c r="BO1433" s="259">
        <v>-9999</v>
      </c>
      <c r="BP1433" s="259">
        <v>-9999</v>
      </c>
      <c r="BQ1433" s="259">
        <v>-9999</v>
      </c>
      <c r="BR1433" s="259">
        <v>-9999</v>
      </c>
      <c r="BS1433" s="260">
        <v>-9999</v>
      </c>
      <c r="BT1433" s="259" t="s">
        <v>1130</v>
      </c>
      <c r="BU1433" s="259">
        <v>-9999</v>
      </c>
      <c r="BV1433" s="259">
        <v>-9999</v>
      </c>
      <c r="BW1433" s="259"/>
      <c r="BX1433" s="259">
        <v>-9999</v>
      </c>
      <c r="BY1433" s="259">
        <v>-9999</v>
      </c>
      <c r="BZ1433" s="259">
        <v>-9999</v>
      </c>
      <c r="CA1433" s="337" t="s">
        <v>974</v>
      </c>
      <c r="CB1433" s="592" t="s">
        <v>1687</v>
      </c>
      <c r="CC1433" s="259">
        <v>1</v>
      </c>
      <c r="CD1433" s="625">
        <v>5</v>
      </c>
      <c r="CE1433" s="393">
        <v>13.18732</v>
      </c>
      <c r="CF1433" s="99">
        <v>-9999</v>
      </c>
      <c r="CG1433" s="219">
        <v>5</v>
      </c>
      <c r="CH1433" s="436" t="s">
        <v>1757</v>
      </c>
    </row>
    <row r="1434" spans="1:86" s="13" customFormat="1" x14ac:dyDescent="0.2">
      <c r="A1434" s="259"/>
      <c r="B1434" s="259"/>
      <c r="C1434" s="259"/>
      <c r="D1434" s="327"/>
      <c r="E1434" s="259"/>
      <c r="F1434" s="259"/>
      <c r="G1434" s="260"/>
      <c r="H1434" s="260"/>
      <c r="I1434" s="259"/>
      <c r="J1434" s="259"/>
      <c r="K1434" s="259"/>
      <c r="L1434" s="259"/>
      <c r="M1434" s="368"/>
      <c r="N1434" s="259"/>
      <c r="O1434" s="18"/>
      <c r="P1434" s="288"/>
      <c r="Q1434" s="259"/>
      <c r="R1434" s="288"/>
      <c r="S1434" s="259"/>
      <c r="T1434" s="376"/>
      <c r="U1434" s="259"/>
      <c r="V1434" s="259"/>
      <c r="W1434" s="288"/>
      <c r="X1434" s="259"/>
      <c r="Y1434" s="259"/>
      <c r="Z1434" s="259"/>
      <c r="AA1434" s="259"/>
      <c r="AB1434" s="288"/>
      <c r="AC1434" s="259"/>
      <c r="AD1434" s="259"/>
      <c r="AE1434" s="327"/>
      <c r="AF1434" s="259"/>
      <c r="AG1434" s="259"/>
      <c r="AH1434" s="259"/>
      <c r="AI1434" s="259"/>
      <c r="AJ1434" s="259"/>
      <c r="AK1434" s="327"/>
      <c r="AL1434" s="259"/>
      <c r="AM1434" s="327"/>
      <c r="AN1434" s="259"/>
      <c r="AO1434" s="259"/>
      <c r="AP1434" s="259"/>
      <c r="AQ1434" s="259"/>
      <c r="AR1434" s="259"/>
      <c r="AS1434" s="259"/>
      <c r="AT1434" s="259"/>
      <c r="AU1434" s="259"/>
      <c r="AV1434" s="259"/>
      <c r="AW1434" s="259"/>
      <c r="AX1434" s="259"/>
      <c r="AY1434" s="327"/>
      <c r="AZ1434" s="259"/>
      <c r="BA1434" s="259"/>
      <c r="BB1434" s="259"/>
      <c r="BC1434" s="259"/>
      <c r="BD1434" s="259"/>
      <c r="BE1434" s="259"/>
      <c r="BF1434" s="259"/>
      <c r="BG1434" s="259"/>
      <c r="BH1434" s="259"/>
      <c r="BI1434" s="259"/>
      <c r="BJ1434" s="259"/>
      <c r="BK1434" s="259"/>
      <c r="BL1434" s="259"/>
      <c r="BM1434" s="259"/>
      <c r="BN1434" s="259"/>
      <c r="BO1434" s="259"/>
      <c r="BP1434" s="259"/>
      <c r="BQ1434" s="259"/>
      <c r="BR1434" s="259"/>
      <c r="BS1434" s="328"/>
      <c r="BT1434" s="327"/>
      <c r="BU1434" s="259"/>
      <c r="BV1434" s="259"/>
      <c r="BW1434" s="259"/>
      <c r="BX1434" s="259"/>
      <c r="BY1434" s="259"/>
      <c r="BZ1434" s="259"/>
      <c r="CA1434" s="369"/>
      <c r="CB1434" s="592"/>
      <c r="CC1434" s="259"/>
      <c r="CD1434" s="623"/>
      <c r="CE1434" s="342" t="s">
        <v>1576</v>
      </c>
      <c r="CF1434" s="342" t="s">
        <v>1575</v>
      </c>
      <c r="CG1434" s="41"/>
    </row>
    <row r="1435" spans="1:86" s="301" customFormat="1" x14ac:dyDescent="0.2">
      <c r="A1435" s="327" t="s">
        <v>898</v>
      </c>
      <c r="B1435" s="327" t="s">
        <v>970</v>
      </c>
      <c r="C1435" s="327" t="s">
        <v>913</v>
      </c>
      <c r="D1435" s="327" t="s">
        <v>553</v>
      </c>
      <c r="E1435" s="327" t="s">
        <v>901</v>
      </c>
      <c r="F1435" s="327">
        <v>1</v>
      </c>
      <c r="G1435" s="623">
        <v>1</v>
      </c>
      <c r="H1435" s="623">
        <v>1</v>
      </c>
      <c r="I1435" s="327" t="s">
        <v>856</v>
      </c>
      <c r="J1435" s="327">
        <v>2000</v>
      </c>
      <c r="K1435" s="265" t="s">
        <v>856</v>
      </c>
      <c r="L1435" s="265">
        <v>2001</v>
      </c>
      <c r="M1435" s="368">
        <v>-9999</v>
      </c>
      <c r="N1435" s="327">
        <v>-9999</v>
      </c>
      <c r="O1435" s="323"/>
      <c r="P1435" s="368">
        <v>-9999</v>
      </c>
      <c r="Q1435" s="327">
        <v>-9999</v>
      </c>
      <c r="R1435" s="368"/>
      <c r="S1435" s="327"/>
      <c r="T1435" s="287">
        <v>-9999</v>
      </c>
      <c r="U1435" s="327">
        <v>-9999</v>
      </c>
      <c r="V1435" s="327"/>
      <c r="W1435" s="368">
        <v>-9999</v>
      </c>
      <c r="X1435" s="327">
        <v>-9999</v>
      </c>
      <c r="Y1435" s="327"/>
      <c r="Z1435" s="327" t="s">
        <v>902</v>
      </c>
      <c r="AA1435" s="327">
        <v>2990</v>
      </c>
      <c r="AB1435" s="368">
        <v>0.93</v>
      </c>
      <c r="AC1435" s="327">
        <v>-9999</v>
      </c>
      <c r="AD1435" s="327">
        <v>429.4</v>
      </c>
      <c r="AE1435" s="327" t="s">
        <v>1950</v>
      </c>
      <c r="AF1435" s="327">
        <v>8</v>
      </c>
      <c r="AG1435" s="327">
        <v>2</v>
      </c>
      <c r="AH1435" s="327" t="s">
        <v>809</v>
      </c>
      <c r="AI1435" s="327">
        <v>-9999</v>
      </c>
      <c r="AJ1435" s="327">
        <v>-9999</v>
      </c>
      <c r="AK1435" s="327" t="s">
        <v>172</v>
      </c>
      <c r="AL1435" s="327" t="s">
        <v>828</v>
      </c>
      <c r="AM1435" s="327" t="s">
        <v>871</v>
      </c>
      <c r="AN1435" s="327" t="s">
        <v>631</v>
      </c>
      <c r="AO1435" s="327">
        <v>-9999</v>
      </c>
      <c r="AP1435" s="327">
        <v>-9999</v>
      </c>
      <c r="AQ1435" s="327" t="s">
        <v>626</v>
      </c>
      <c r="AR1435" s="327">
        <v>50</v>
      </c>
      <c r="AS1435" s="327" t="s">
        <v>765</v>
      </c>
      <c r="AT1435" s="327" t="s">
        <v>905</v>
      </c>
      <c r="AU1435" s="327">
        <v>56</v>
      </c>
      <c r="AV1435" s="327" t="s">
        <v>765</v>
      </c>
      <c r="AW1435" s="327" t="s">
        <v>905</v>
      </c>
      <c r="AX1435" s="327">
        <v>0</v>
      </c>
      <c r="AY1435" s="327">
        <v>-9999</v>
      </c>
      <c r="AZ1435" s="327">
        <v>-9999</v>
      </c>
      <c r="BA1435" s="259"/>
      <c r="BB1435" s="327" t="s">
        <v>626</v>
      </c>
      <c r="BC1435" s="327" t="s">
        <v>906</v>
      </c>
      <c r="BD1435" s="327" t="s">
        <v>907</v>
      </c>
      <c r="BE1435" s="327" t="s">
        <v>908</v>
      </c>
      <c r="BF1435" s="327">
        <v>-9999</v>
      </c>
      <c r="BG1435" s="327">
        <v>-9999</v>
      </c>
      <c r="BH1435" s="327">
        <v>-9999</v>
      </c>
      <c r="BI1435" s="259" t="s">
        <v>968</v>
      </c>
      <c r="BJ1435" s="327">
        <v>-9999</v>
      </c>
      <c r="BK1435" s="327">
        <v>-9999</v>
      </c>
      <c r="BL1435" s="327">
        <v>-9999</v>
      </c>
      <c r="BM1435" s="327">
        <v>-9999</v>
      </c>
      <c r="BN1435" s="327">
        <v>-9999</v>
      </c>
      <c r="BO1435" s="327">
        <v>-9999</v>
      </c>
      <c r="BP1435" s="327">
        <v>-9999</v>
      </c>
      <c r="BQ1435" s="327">
        <v>-9999</v>
      </c>
      <c r="BR1435" s="327">
        <v>-9999</v>
      </c>
      <c r="BS1435" s="328">
        <v>-9999</v>
      </c>
      <c r="BT1435" s="327" t="s">
        <v>1130</v>
      </c>
      <c r="BU1435" s="327">
        <v>-9999</v>
      </c>
      <c r="BV1435" s="327">
        <v>-9999</v>
      </c>
      <c r="BW1435" s="327"/>
      <c r="BX1435" s="327">
        <v>-9999</v>
      </c>
      <c r="BY1435" s="327">
        <v>-9999</v>
      </c>
      <c r="BZ1435" s="327">
        <v>-9999</v>
      </c>
      <c r="CA1435" s="369" t="s">
        <v>974</v>
      </c>
      <c r="CB1435" s="475"/>
      <c r="CC1435" s="327">
        <v>1</v>
      </c>
      <c r="CD1435" s="623">
        <v>1</v>
      </c>
      <c r="CE1435" s="342"/>
      <c r="CF1435" s="342">
        <v>-9999</v>
      </c>
      <c r="CG1435" s="144">
        <v>1</v>
      </c>
    </row>
    <row r="1436" spans="1:86" s="61" customFormat="1" x14ac:dyDescent="0.2">
      <c r="A1436" s="255" t="s">
        <v>898</v>
      </c>
      <c r="B1436" s="327" t="s">
        <v>970</v>
      </c>
      <c r="C1436" s="327" t="s">
        <v>913</v>
      </c>
      <c r="D1436" s="327" t="s">
        <v>553</v>
      </c>
      <c r="E1436" s="255" t="s">
        <v>901</v>
      </c>
      <c r="F1436" s="255">
        <v>1</v>
      </c>
      <c r="G1436" s="623">
        <v>2</v>
      </c>
      <c r="H1436" s="623">
        <v>2</v>
      </c>
      <c r="I1436" s="255" t="s">
        <v>856</v>
      </c>
      <c r="J1436" s="255">
        <v>2000</v>
      </c>
      <c r="K1436" s="265" t="s">
        <v>856</v>
      </c>
      <c r="L1436" s="265">
        <v>2002</v>
      </c>
      <c r="M1436" s="368">
        <v>-9999</v>
      </c>
      <c r="N1436" s="327">
        <v>-9999</v>
      </c>
      <c r="O1436" s="323"/>
      <c r="P1436" s="297">
        <v>9.6996699999999993</v>
      </c>
      <c r="Q1436" s="327">
        <v>-9999</v>
      </c>
      <c r="R1436" s="368"/>
      <c r="S1436" s="327"/>
      <c r="T1436" s="287">
        <f>+P1436/H1436</f>
        <v>4.8498349999999997</v>
      </c>
      <c r="U1436" s="327">
        <v>-9999</v>
      </c>
      <c r="V1436" s="327"/>
      <c r="W1436" s="368">
        <v>-9999</v>
      </c>
      <c r="X1436" s="327">
        <v>-9999</v>
      </c>
      <c r="Y1436" s="327"/>
      <c r="Z1436" s="327" t="s">
        <v>902</v>
      </c>
      <c r="AA1436" s="327">
        <v>2990</v>
      </c>
      <c r="AB1436" s="368">
        <v>0.93</v>
      </c>
      <c r="AC1436" s="327">
        <v>-9999</v>
      </c>
      <c r="AD1436" s="327">
        <v>429.4</v>
      </c>
      <c r="AE1436" s="327" t="s">
        <v>1950</v>
      </c>
      <c r="AF1436" s="255">
        <v>8</v>
      </c>
      <c r="AG1436" s="255">
        <v>2</v>
      </c>
      <c r="AH1436" s="255" t="s">
        <v>809</v>
      </c>
      <c r="AI1436" s="255">
        <v>-9999</v>
      </c>
      <c r="AJ1436" s="255">
        <v>-9999</v>
      </c>
      <c r="AK1436" s="327" t="s">
        <v>172</v>
      </c>
      <c r="AL1436" s="255" t="s">
        <v>828</v>
      </c>
      <c r="AM1436" s="327" t="s">
        <v>871</v>
      </c>
      <c r="AN1436" s="255" t="s">
        <v>631</v>
      </c>
      <c r="AO1436" s="255">
        <v>-9999</v>
      </c>
      <c r="AP1436" s="255">
        <v>-9999</v>
      </c>
      <c r="AQ1436" s="255" t="s">
        <v>626</v>
      </c>
      <c r="AR1436" s="327">
        <v>50</v>
      </c>
      <c r="AS1436" s="327" t="s">
        <v>765</v>
      </c>
      <c r="AT1436" s="327" t="s">
        <v>905</v>
      </c>
      <c r="AU1436" s="327">
        <v>56</v>
      </c>
      <c r="AV1436" s="327" t="s">
        <v>765</v>
      </c>
      <c r="AW1436" s="327" t="s">
        <v>905</v>
      </c>
      <c r="AX1436" s="327">
        <v>0</v>
      </c>
      <c r="AY1436" s="327">
        <v>-9999</v>
      </c>
      <c r="AZ1436" s="327">
        <v>-9999</v>
      </c>
      <c r="BA1436" s="259"/>
      <c r="BB1436" s="255" t="s">
        <v>626</v>
      </c>
      <c r="BC1436" s="255" t="s">
        <v>906</v>
      </c>
      <c r="BD1436" s="255" t="s">
        <v>907</v>
      </c>
      <c r="BE1436" s="255" t="s">
        <v>908</v>
      </c>
      <c r="BF1436" s="327">
        <v>-9999</v>
      </c>
      <c r="BG1436" s="327">
        <v>-9999</v>
      </c>
      <c r="BH1436" s="327">
        <v>-9999</v>
      </c>
      <c r="BI1436" s="259" t="s">
        <v>968</v>
      </c>
      <c r="BJ1436" s="255">
        <v>-9999</v>
      </c>
      <c r="BK1436" s="255">
        <v>-9999</v>
      </c>
      <c r="BL1436" s="255">
        <v>-9999</v>
      </c>
      <c r="BM1436" s="255">
        <v>-9999</v>
      </c>
      <c r="BN1436" s="255">
        <v>-9999</v>
      </c>
      <c r="BO1436" s="255">
        <v>-9999</v>
      </c>
      <c r="BP1436" s="255">
        <v>-9999</v>
      </c>
      <c r="BQ1436" s="255">
        <v>-9999</v>
      </c>
      <c r="BR1436" s="255">
        <v>-9999</v>
      </c>
      <c r="BS1436" s="328">
        <v>-9999</v>
      </c>
      <c r="BT1436" s="327" t="s">
        <v>1130</v>
      </c>
      <c r="BU1436" s="255">
        <v>-9999</v>
      </c>
      <c r="BV1436" s="255">
        <v>-9999</v>
      </c>
      <c r="BW1436" s="255"/>
      <c r="BX1436" s="255">
        <v>-9999</v>
      </c>
      <c r="BY1436" s="255">
        <v>-9999</v>
      </c>
      <c r="BZ1436" s="255">
        <v>-9999</v>
      </c>
      <c r="CA1436" s="369" t="s">
        <v>974</v>
      </c>
      <c r="CB1436" s="475"/>
      <c r="CC1436" s="255">
        <v>1</v>
      </c>
      <c r="CD1436" s="623">
        <v>2</v>
      </c>
      <c r="CE1436" s="340">
        <v>4.8498349999999997</v>
      </c>
      <c r="CF1436" s="340">
        <v>-9999</v>
      </c>
      <c r="CG1436" s="144">
        <v>2</v>
      </c>
    </row>
    <row r="1437" spans="1:86" s="61" customFormat="1" x14ac:dyDescent="0.2">
      <c r="A1437" s="255" t="s">
        <v>898</v>
      </c>
      <c r="B1437" s="327" t="s">
        <v>970</v>
      </c>
      <c r="C1437" s="327" t="s">
        <v>913</v>
      </c>
      <c r="D1437" s="327" t="s">
        <v>553</v>
      </c>
      <c r="E1437" s="255" t="s">
        <v>901</v>
      </c>
      <c r="F1437" s="255">
        <v>1</v>
      </c>
      <c r="G1437" s="623">
        <v>3</v>
      </c>
      <c r="H1437" s="623">
        <v>3</v>
      </c>
      <c r="I1437" s="255" t="s">
        <v>856</v>
      </c>
      <c r="J1437" s="255">
        <v>2000</v>
      </c>
      <c r="K1437" s="265" t="s">
        <v>856</v>
      </c>
      <c r="L1437" s="265">
        <v>2003</v>
      </c>
      <c r="M1437" s="368">
        <v>-9999</v>
      </c>
      <c r="N1437" s="327">
        <v>-9999</v>
      </c>
      <c r="O1437" s="323"/>
      <c r="P1437" s="297">
        <v>23.639199999999999</v>
      </c>
      <c r="Q1437" s="327">
        <v>-9999</v>
      </c>
      <c r="R1437" s="368"/>
      <c r="S1437" s="327"/>
      <c r="T1437" s="287">
        <f>+P1437/H1437</f>
        <v>7.8797333333333333</v>
      </c>
      <c r="U1437" s="327">
        <v>-9999</v>
      </c>
      <c r="V1437" s="327"/>
      <c r="W1437" s="368">
        <v>-9999</v>
      </c>
      <c r="X1437" s="327">
        <v>-9999</v>
      </c>
      <c r="Y1437" s="327"/>
      <c r="Z1437" s="327" t="s">
        <v>902</v>
      </c>
      <c r="AA1437" s="327">
        <v>2990</v>
      </c>
      <c r="AB1437" s="368">
        <v>0.93</v>
      </c>
      <c r="AC1437" s="327">
        <v>-9999</v>
      </c>
      <c r="AD1437" s="327">
        <v>429.4</v>
      </c>
      <c r="AE1437" s="327" t="s">
        <v>1950</v>
      </c>
      <c r="AF1437" s="255">
        <v>8</v>
      </c>
      <c r="AG1437" s="255">
        <v>2</v>
      </c>
      <c r="AH1437" s="255" t="s">
        <v>809</v>
      </c>
      <c r="AI1437" s="255">
        <v>-9999</v>
      </c>
      <c r="AJ1437" s="255">
        <v>-9999</v>
      </c>
      <c r="AK1437" s="327" t="s">
        <v>172</v>
      </c>
      <c r="AL1437" s="255" t="s">
        <v>828</v>
      </c>
      <c r="AM1437" s="327" t="s">
        <v>871</v>
      </c>
      <c r="AN1437" s="259" t="s">
        <v>631</v>
      </c>
      <c r="AO1437" s="255">
        <v>-9999</v>
      </c>
      <c r="AP1437" s="255">
        <v>-9999</v>
      </c>
      <c r="AQ1437" s="255" t="s">
        <v>626</v>
      </c>
      <c r="AR1437" s="327">
        <v>50</v>
      </c>
      <c r="AS1437" s="327" t="s">
        <v>765</v>
      </c>
      <c r="AT1437" s="327" t="s">
        <v>905</v>
      </c>
      <c r="AU1437" s="327">
        <v>56</v>
      </c>
      <c r="AV1437" s="327" t="s">
        <v>765</v>
      </c>
      <c r="AW1437" s="327" t="s">
        <v>905</v>
      </c>
      <c r="AX1437" s="327">
        <v>0</v>
      </c>
      <c r="AY1437" s="327">
        <v>-9999</v>
      </c>
      <c r="AZ1437" s="327">
        <v>-9999</v>
      </c>
      <c r="BA1437" s="259"/>
      <c r="BB1437" s="255" t="s">
        <v>626</v>
      </c>
      <c r="BC1437" s="255" t="s">
        <v>906</v>
      </c>
      <c r="BD1437" s="255" t="s">
        <v>907</v>
      </c>
      <c r="BE1437" s="255" t="s">
        <v>908</v>
      </c>
      <c r="BF1437" s="327">
        <v>-9999</v>
      </c>
      <c r="BG1437" s="327">
        <v>-9999</v>
      </c>
      <c r="BH1437" s="327">
        <v>-9999</v>
      </c>
      <c r="BI1437" s="259" t="s">
        <v>968</v>
      </c>
      <c r="BJ1437" s="255">
        <v>-9999</v>
      </c>
      <c r="BK1437" s="255">
        <v>-9999</v>
      </c>
      <c r="BL1437" s="255">
        <v>-9999</v>
      </c>
      <c r="BM1437" s="255">
        <v>-9999</v>
      </c>
      <c r="BN1437" s="255">
        <v>-9999</v>
      </c>
      <c r="BO1437" s="255">
        <v>-9999</v>
      </c>
      <c r="BP1437" s="255">
        <v>-9999</v>
      </c>
      <c r="BQ1437" s="255">
        <v>-9999</v>
      </c>
      <c r="BR1437" s="255">
        <v>-9999</v>
      </c>
      <c r="BS1437" s="328">
        <v>-9999</v>
      </c>
      <c r="BT1437" s="327" t="s">
        <v>1130</v>
      </c>
      <c r="BU1437" s="255">
        <v>-9999</v>
      </c>
      <c r="BV1437" s="255">
        <v>-9999</v>
      </c>
      <c r="BW1437" s="255"/>
      <c r="BX1437" s="255">
        <v>-9999</v>
      </c>
      <c r="BY1437" s="255">
        <v>-9999</v>
      </c>
      <c r="BZ1437" s="255">
        <v>-9999</v>
      </c>
      <c r="CA1437" s="369" t="s">
        <v>974</v>
      </c>
      <c r="CB1437" s="475" t="s">
        <v>1685</v>
      </c>
      <c r="CC1437" s="255">
        <v>1</v>
      </c>
      <c r="CD1437" s="623">
        <v>3</v>
      </c>
      <c r="CE1437" s="340">
        <v>7.8797333333333333</v>
      </c>
      <c r="CF1437" s="340">
        <v>-9999</v>
      </c>
      <c r="CG1437" s="144">
        <v>3</v>
      </c>
    </row>
    <row r="1438" spans="1:86" s="301" customFormat="1" x14ac:dyDescent="0.2">
      <c r="A1438" s="327" t="s">
        <v>898</v>
      </c>
      <c r="B1438" s="327" t="s">
        <v>970</v>
      </c>
      <c r="C1438" s="327" t="s">
        <v>913</v>
      </c>
      <c r="D1438" s="327" t="s">
        <v>553</v>
      </c>
      <c r="E1438" s="327" t="s">
        <v>901</v>
      </c>
      <c r="F1438" s="327">
        <v>1</v>
      </c>
      <c r="G1438" s="623">
        <v>4</v>
      </c>
      <c r="H1438" s="623">
        <v>4</v>
      </c>
      <c r="I1438" s="327" t="s">
        <v>856</v>
      </c>
      <c r="J1438" s="327">
        <v>2000</v>
      </c>
      <c r="K1438" s="265" t="s">
        <v>856</v>
      </c>
      <c r="L1438" s="624">
        <v>2004</v>
      </c>
      <c r="M1438" s="368">
        <v>-9999</v>
      </c>
      <c r="N1438" s="327">
        <v>-9999</v>
      </c>
      <c r="O1438" s="323"/>
      <c r="P1438" s="368">
        <v>-9999</v>
      </c>
      <c r="Q1438" s="327">
        <v>-9999</v>
      </c>
      <c r="R1438" s="368"/>
      <c r="S1438" s="327"/>
      <c r="T1438" s="287">
        <v>-9999</v>
      </c>
      <c r="U1438" s="327">
        <v>-9999</v>
      </c>
      <c r="V1438" s="327"/>
      <c r="W1438" s="368">
        <v>-9999</v>
      </c>
      <c r="X1438" s="327">
        <v>-9999</v>
      </c>
      <c r="Y1438" s="327"/>
      <c r="Z1438" s="327" t="s">
        <v>902</v>
      </c>
      <c r="AA1438" s="327">
        <v>2990</v>
      </c>
      <c r="AB1438" s="368">
        <v>0.93</v>
      </c>
      <c r="AC1438" s="327">
        <v>-9999</v>
      </c>
      <c r="AD1438" s="327">
        <v>429.4</v>
      </c>
      <c r="AE1438" s="327" t="s">
        <v>1950</v>
      </c>
      <c r="AF1438" s="327">
        <v>8</v>
      </c>
      <c r="AG1438" s="327">
        <v>2</v>
      </c>
      <c r="AH1438" s="327" t="s">
        <v>809</v>
      </c>
      <c r="AI1438" s="327">
        <v>-9999</v>
      </c>
      <c r="AJ1438" s="327">
        <v>-9999</v>
      </c>
      <c r="AK1438" s="327" t="s">
        <v>172</v>
      </c>
      <c r="AL1438" s="327" t="s">
        <v>828</v>
      </c>
      <c r="AM1438" s="327" t="s">
        <v>871</v>
      </c>
      <c r="AN1438" s="327" t="s">
        <v>631</v>
      </c>
      <c r="AO1438" s="327">
        <v>-9999</v>
      </c>
      <c r="AP1438" s="327">
        <v>-9999</v>
      </c>
      <c r="AQ1438" s="327" t="s">
        <v>626</v>
      </c>
      <c r="AR1438" s="327">
        <v>50</v>
      </c>
      <c r="AS1438" s="327" t="s">
        <v>765</v>
      </c>
      <c r="AT1438" s="327" t="s">
        <v>905</v>
      </c>
      <c r="AU1438" s="327">
        <v>56</v>
      </c>
      <c r="AV1438" s="327" t="s">
        <v>765</v>
      </c>
      <c r="AW1438" s="327" t="s">
        <v>905</v>
      </c>
      <c r="AX1438" s="327">
        <v>0</v>
      </c>
      <c r="AY1438" s="327">
        <v>-9999</v>
      </c>
      <c r="AZ1438" s="327">
        <v>-9999</v>
      </c>
      <c r="BA1438" s="327"/>
      <c r="BB1438" s="327" t="s">
        <v>626</v>
      </c>
      <c r="BC1438" s="327" t="s">
        <v>906</v>
      </c>
      <c r="BD1438" s="327" t="s">
        <v>907</v>
      </c>
      <c r="BE1438" s="327" t="s">
        <v>908</v>
      </c>
      <c r="BF1438" s="327">
        <v>-9999</v>
      </c>
      <c r="BG1438" s="327">
        <v>-9999</v>
      </c>
      <c r="BH1438" s="327">
        <v>-9999</v>
      </c>
      <c r="BI1438" s="327" t="s">
        <v>968</v>
      </c>
      <c r="BJ1438" s="327">
        <v>-9999</v>
      </c>
      <c r="BK1438" s="327">
        <v>-9999</v>
      </c>
      <c r="BL1438" s="327">
        <v>-9999</v>
      </c>
      <c r="BM1438" s="327">
        <v>-9999</v>
      </c>
      <c r="BN1438" s="327">
        <v>-9999</v>
      </c>
      <c r="BO1438" s="327">
        <v>-9999</v>
      </c>
      <c r="BP1438" s="327">
        <v>-9999</v>
      </c>
      <c r="BQ1438" s="327">
        <v>-9999</v>
      </c>
      <c r="BR1438" s="327">
        <v>-9999</v>
      </c>
      <c r="BS1438" s="328">
        <v>-9999</v>
      </c>
      <c r="BT1438" s="327" t="s">
        <v>1130</v>
      </c>
      <c r="BU1438" s="327">
        <v>-9999</v>
      </c>
      <c r="BV1438" s="327">
        <v>-9999</v>
      </c>
      <c r="BW1438" s="327"/>
      <c r="BX1438" s="327">
        <v>-9999</v>
      </c>
      <c r="BY1438" s="327">
        <v>-9999</v>
      </c>
      <c r="BZ1438" s="327">
        <v>-9999</v>
      </c>
      <c r="CA1438" s="369" t="s">
        <v>974</v>
      </c>
      <c r="CB1438" s="475" t="s">
        <v>1686</v>
      </c>
      <c r="CC1438" s="327">
        <v>1</v>
      </c>
      <c r="CD1438" s="623">
        <v>4</v>
      </c>
      <c r="CE1438" s="342"/>
      <c r="CF1438" s="342">
        <v>-9999</v>
      </c>
      <c r="CG1438" s="144">
        <v>4</v>
      </c>
    </row>
    <row r="1439" spans="1:86" s="301" customFormat="1" x14ac:dyDescent="0.2">
      <c r="A1439" s="327" t="s">
        <v>898</v>
      </c>
      <c r="B1439" s="327" t="s">
        <v>970</v>
      </c>
      <c r="C1439" s="327" t="s">
        <v>913</v>
      </c>
      <c r="D1439" s="327" t="s">
        <v>553</v>
      </c>
      <c r="E1439" s="327" t="s">
        <v>901</v>
      </c>
      <c r="F1439" s="327">
        <v>1</v>
      </c>
      <c r="G1439" s="623">
        <v>5</v>
      </c>
      <c r="H1439" s="623">
        <v>5</v>
      </c>
      <c r="I1439" s="327" t="s">
        <v>856</v>
      </c>
      <c r="J1439" s="327">
        <v>2000</v>
      </c>
      <c r="K1439" s="265" t="s">
        <v>856</v>
      </c>
      <c r="L1439" s="265">
        <v>2005</v>
      </c>
      <c r="M1439" s="368">
        <v>-9999</v>
      </c>
      <c r="N1439" s="327">
        <v>-9999</v>
      </c>
      <c r="O1439" s="323"/>
      <c r="P1439" s="368">
        <v>40.897199999999998</v>
      </c>
      <c r="Q1439" s="327">
        <v>-9999</v>
      </c>
      <c r="R1439" s="368"/>
      <c r="S1439" s="327"/>
      <c r="T1439" s="287">
        <f>+P1439/H1439</f>
        <v>8.1794399999999996</v>
      </c>
      <c r="U1439" s="327">
        <v>-9999</v>
      </c>
      <c r="V1439" s="327"/>
      <c r="W1439" s="368">
        <v>-9999</v>
      </c>
      <c r="X1439" s="327">
        <v>-9999</v>
      </c>
      <c r="Y1439" s="327"/>
      <c r="Z1439" s="327" t="s">
        <v>902</v>
      </c>
      <c r="AA1439" s="327">
        <v>2990</v>
      </c>
      <c r="AB1439" s="368">
        <v>0.93</v>
      </c>
      <c r="AC1439" s="327">
        <v>-9999</v>
      </c>
      <c r="AD1439" s="327">
        <v>429.4</v>
      </c>
      <c r="AE1439" s="327" t="s">
        <v>1950</v>
      </c>
      <c r="AF1439" s="327">
        <v>8</v>
      </c>
      <c r="AG1439" s="327">
        <v>2</v>
      </c>
      <c r="AH1439" s="327" t="s">
        <v>809</v>
      </c>
      <c r="AI1439" s="327">
        <v>-9999</v>
      </c>
      <c r="AJ1439" s="327">
        <v>-9999</v>
      </c>
      <c r="AK1439" s="327" t="s">
        <v>172</v>
      </c>
      <c r="AL1439" s="327" t="s">
        <v>828</v>
      </c>
      <c r="AM1439" s="327" t="s">
        <v>871</v>
      </c>
      <c r="AN1439" s="327" t="s">
        <v>631</v>
      </c>
      <c r="AO1439" s="327">
        <v>-9999</v>
      </c>
      <c r="AP1439" s="327">
        <v>-9999</v>
      </c>
      <c r="AQ1439" s="327" t="s">
        <v>626</v>
      </c>
      <c r="AR1439" s="327">
        <v>50</v>
      </c>
      <c r="AS1439" s="327" t="s">
        <v>765</v>
      </c>
      <c r="AT1439" s="327" t="s">
        <v>905</v>
      </c>
      <c r="AU1439" s="327">
        <v>56</v>
      </c>
      <c r="AV1439" s="327" t="s">
        <v>765</v>
      </c>
      <c r="AW1439" s="327" t="s">
        <v>905</v>
      </c>
      <c r="AX1439" s="327">
        <v>0</v>
      </c>
      <c r="AY1439" s="327">
        <v>-9999</v>
      </c>
      <c r="AZ1439" s="327">
        <v>-9999</v>
      </c>
      <c r="BA1439" s="327"/>
      <c r="BB1439" s="327" t="s">
        <v>626</v>
      </c>
      <c r="BC1439" s="327" t="s">
        <v>906</v>
      </c>
      <c r="BD1439" s="327" t="s">
        <v>907</v>
      </c>
      <c r="BE1439" s="327" t="s">
        <v>908</v>
      </c>
      <c r="BF1439" s="327">
        <v>-9999</v>
      </c>
      <c r="BG1439" s="327">
        <v>-9999</v>
      </c>
      <c r="BH1439" s="327">
        <v>-9999</v>
      </c>
      <c r="BI1439" s="327" t="s">
        <v>968</v>
      </c>
      <c r="BJ1439" s="327">
        <v>-9999</v>
      </c>
      <c r="BK1439" s="327">
        <v>-9999</v>
      </c>
      <c r="BL1439" s="327">
        <v>-9999</v>
      </c>
      <c r="BM1439" s="327">
        <v>-9999</v>
      </c>
      <c r="BN1439" s="327">
        <v>-9999</v>
      </c>
      <c r="BO1439" s="327">
        <v>-9999</v>
      </c>
      <c r="BP1439" s="327">
        <v>-9999</v>
      </c>
      <c r="BQ1439" s="327">
        <v>-9999</v>
      </c>
      <c r="BR1439" s="327">
        <v>-9999</v>
      </c>
      <c r="BS1439" s="328">
        <v>-9999</v>
      </c>
      <c r="BT1439" s="327" t="s">
        <v>1130</v>
      </c>
      <c r="BU1439" s="327">
        <v>-9999</v>
      </c>
      <c r="BV1439" s="327">
        <v>-9999</v>
      </c>
      <c r="BW1439" s="327"/>
      <c r="BX1439" s="327">
        <v>-9999</v>
      </c>
      <c r="BY1439" s="327">
        <v>-9999</v>
      </c>
      <c r="BZ1439" s="327">
        <v>-9999</v>
      </c>
      <c r="CA1439" s="369" t="s">
        <v>974</v>
      </c>
      <c r="CB1439" s="475" t="s">
        <v>1687</v>
      </c>
      <c r="CC1439" s="327">
        <v>1</v>
      </c>
      <c r="CD1439" s="623">
        <v>5</v>
      </c>
      <c r="CE1439" s="342">
        <v>8.1794399999999996</v>
      </c>
      <c r="CF1439" s="342">
        <v>-9999</v>
      </c>
      <c r="CG1439" s="354">
        <v>5</v>
      </c>
      <c r="CH1439" s="301" t="s">
        <v>1757</v>
      </c>
    </row>
    <row r="1440" spans="1:86" s="13" customFormat="1" x14ac:dyDescent="0.2">
      <c r="A1440" s="259"/>
      <c r="B1440" s="259"/>
      <c r="C1440" s="259"/>
      <c r="D1440" s="327"/>
      <c r="E1440" s="259"/>
      <c r="F1440" s="259"/>
      <c r="G1440" s="260"/>
      <c r="H1440" s="260"/>
      <c r="I1440" s="259"/>
      <c r="J1440" s="259"/>
      <c r="K1440" s="259"/>
      <c r="L1440" s="259"/>
      <c r="M1440" s="368"/>
      <c r="N1440" s="259"/>
      <c r="O1440" s="18"/>
      <c r="P1440" s="288"/>
      <c r="Q1440" s="259"/>
      <c r="R1440" s="288"/>
      <c r="S1440" s="259"/>
      <c r="T1440" s="376"/>
      <c r="U1440" s="259"/>
      <c r="V1440" s="259"/>
      <c r="W1440" s="288"/>
      <c r="X1440" s="259"/>
      <c r="Y1440" s="259"/>
      <c r="Z1440" s="259"/>
      <c r="AA1440" s="259"/>
      <c r="AB1440" s="288"/>
      <c r="AC1440" s="259"/>
      <c r="AD1440" s="259"/>
      <c r="AE1440" s="327"/>
      <c r="AF1440" s="259"/>
      <c r="AG1440" s="259"/>
      <c r="AH1440" s="259"/>
      <c r="AI1440" s="259"/>
      <c r="AJ1440" s="259"/>
      <c r="AK1440" s="327"/>
      <c r="AL1440" s="259"/>
      <c r="AM1440" s="327"/>
      <c r="AN1440" s="259"/>
      <c r="AO1440" s="259"/>
      <c r="AP1440" s="259"/>
      <c r="AQ1440" s="259"/>
      <c r="AR1440" s="255"/>
      <c r="AS1440" s="327"/>
      <c r="AT1440" s="327"/>
      <c r="AU1440" s="327"/>
      <c r="AV1440" s="327"/>
      <c r="AW1440" s="327"/>
      <c r="AX1440" s="327"/>
      <c r="AY1440" s="327"/>
      <c r="AZ1440" s="259"/>
      <c r="BA1440" s="259"/>
      <c r="BB1440" s="259"/>
      <c r="BC1440" s="259"/>
      <c r="BD1440" s="259"/>
      <c r="BE1440" s="259"/>
      <c r="BF1440" s="259"/>
      <c r="BG1440" s="259"/>
      <c r="BH1440" s="259"/>
      <c r="BI1440" s="259"/>
      <c r="BJ1440" s="259"/>
      <c r="BK1440" s="259"/>
      <c r="BL1440" s="259"/>
      <c r="BM1440" s="259"/>
      <c r="BN1440" s="259"/>
      <c r="BO1440" s="259"/>
      <c r="BP1440" s="259"/>
      <c r="BQ1440" s="259"/>
      <c r="BR1440" s="259"/>
      <c r="BS1440" s="328"/>
      <c r="BT1440" s="327"/>
      <c r="BU1440" s="259"/>
      <c r="BV1440" s="259"/>
      <c r="BW1440" s="259"/>
      <c r="BX1440" s="259"/>
      <c r="BY1440" s="259"/>
      <c r="BZ1440" s="259"/>
      <c r="CA1440" s="369"/>
      <c r="CB1440" s="475"/>
      <c r="CC1440" s="259"/>
      <c r="CD1440" s="623"/>
      <c r="CE1440" s="342" t="s">
        <v>1576</v>
      </c>
      <c r="CF1440" s="342" t="s">
        <v>1575</v>
      </c>
      <c r="CG1440" s="41"/>
    </row>
    <row r="1441" spans="1:85" s="13" customFormat="1" x14ac:dyDescent="0.2">
      <c r="A1441" s="327" t="s">
        <v>898</v>
      </c>
      <c r="B1441" s="327" t="s">
        <v>969</v>
      </c>
      <c r="C1441" s="327" t="s">
        <v>128</v>
      </c>
      <c r="D1441" s="327" t="s">
        <v>553</v>
      </c>
      <c r="E1441" s="327" t="s">
        <v>901</v>
      </c>
      <c r="F1441" s="327">
        <v>1</v>
      </c>
      <c r="G1441" s="623">
        <v>1</v>
      </c>
      <c r="H1441" s="623">
        <v>1</v>
      </c>
      <c r="I1441" s="327" t="s">
        <v>856</v>
      </c>
      <c r="J1441" s="327">
        <v>2000</v>
      </c>
      <c r="K1441" s="265" t="s">
        <v>856</v>
      </c>
      <c r="L1441" s="265">
        <v>2001</v>
      </c>
      <c r="M1441" s="368">
        <v>-9999</v>
      </c>
      <c r="N1441" s="327">
        <v>-9999</v>
      </c>
      <c r="O1441" s="323"/>
      <c r="P1441" s="368">
        <v>-9999</v>
      </c>
      <c r="Q1441" s="327">
        <v>-9999</v>
      </c>
      <c r="R1441" s="368"/>
      <c r="S1441" s="327"/>
      <c r="T1441" s="287">
        <v>-9999</v>
      </c>
      <c r="U1441" s="327">
        <v>-9999</v>
      </c>
      <c r="V1441" s="327"/>
      <c r="W1441" s="368">
        <v>-9999</v>
      </c>
      <c r="X1441" s="327">
        <v>-9999</v>
      </c>
      <c r="Y1441" s="327"/>
      <c r="Z1441" s="327" t="s">
        <v>129</v>
      </c>
      <c r="AA1441" s="327">
        <v>1334</v>
      </c>
      <c r="AB1441" s="368">
        <v>0.996</v>
      </c>
      <c r="AC1441" s="327">
        <v>-9999</v>
      </c>
      <c r="AD1441" s="327">
        <v>429.4</v>
      </c>
      <c r="AE1441" s="327" t="s">
        <v>1950</v>
      </c>
      <c r="AF1441" s="327">
        <v>8</v>
      </c>
      <c r="AG1441" s="327">
        <v>2</v>
      </c>
      <c r="AH1441" s="327" t="s">
        <v>809</v>
      </c>
      <c r="AI1441" s="327">
        <v>-9999</v>
      </c>
      <c r="AJ1441" s="327">
        <v>-9999</v>
      </c>
      <c r="AK1441" s="327" t="s">
        <v>172</v>
      </c>
      <c r="AL1441" s="327" t="s">
        <v>828</v>
      </c>
      <c r="AM1441" s="327" t="s">
        <v>871</v>
      </c>
      <c r="AN1441" s="327" t="s">
        <v>631</v>
      </c>
      <c r="AO1441" s="327">
        <v>-9999</v>
      </c>
      <c r="AP1441" s="327">
        <v>-9999</v>
      </c>
      <c r="AQ1441" s="327" t="s">
        <v>626</v>
      </c>
      <c r="AR1441" s="327">
        <f>660*0.1</f>
        <v>66</v>
      </c>
      <c r="AS1441" s="327" t="s">
        <v>1498</v>
      </c>
      <c r="AT1441" s="327" t="s">
        <v>905</v>
      </c>
      <c r="AU1441" s="328">
        <f>66/2.3</f>
        <v>28.695652173913047</v>
      </c>
      <c r="AV1441" s="327" t="s">
        <v>1498</v>
      </c>
      <c r="AW1441" s="327" t="s">
        <v>905</v>
      </c>
      <c r="AX1441" s="328">
        <f>66*0.83</f>
        <v>54.779999999999994</v>
      </c>
      <c r="AY1441" s="327" t="s">
        <v>1498</v>
      </c>
      <c r="AZ1441" s="327" t="s">
        <v>905</v>
      </c>
      <c r="BA1441" s="327" t="s">
        <v>979</v>
      </c>
      <c r="BB1441" s="327" t="s">
        <v>626</v>
      </c>
      <c r="BC1441" s="327" t="s">
        <v>906</v>
      </c>
      <c r="BD1441" s="327" t="s">
        <v>907</v>
      </c>
      <c r="BE1441" s="327" t="s">
        <v>908</v>
      </c>
      <c r="BF1441" s="327" t="s">
        <v>909</v>
      </c>
      <c r="BG1441" s="327" t="s">
        <v>910</v>
      </c>
      <c r="BH1441" s="327" t="s">
        <v>911</v>
      </c>
      <c r="BI1441" s="327" t="s">
        <v>912</v>
      </c>
      <c r="BJ1441" s="327">
        <v>-9999</v>
      </c>
      <c r="BK1441" s="327">
        <v>-9999</v>
      </c>
      <c r="BL1441" s="327">
        <v>-9999</v>
      </c>
      <c r="BM1441" s="327">
        <v>-9999</v>
      </c>
      <c r="BN1441" s="327">
        <v>-9999</v>
      </c>
      <c r="BO1441" s="327">
        <v>-9999</v>
      </c>
      <c r="BP1441" s="327">
        <v>-9999</v>
      </c>
      <c r="BQ1441" s="327">
        <v>-9999</v>
      </c>
      <c r="BR1441" s="327">
        <v>-9999</v>
      </c>
      <c r="BS1441" s="328">
        <v>-9999</v>
      </c>
      <c r="BT1441" s="327" t="s">
        <v>1130</v>
      </c>
      <c r="BU1441" s="327">
        <v>-9999</v>
      </c>
      <c r="BV1441" s="327">
        <v>-9999</v>
      </c>
      <c r="BW1441" s="327"/>
      <c r="BX1441" s="327">
        <v>-9999</v>
      </c>
      <c r="BY1441" s="327">
        <v>-9999</v>
      </c>
      <c r="BZ1441" s="327">
        <v>-9999</v>
      </c>
      <c r="CA1441" s="369" t="s">
        <v>974</v>
      </c>
      <c r="CB1441" s="475"/>
      <c r="CC1441" s="327">
        <v>1</v>
      </c>
      <c r="CD1441" s="623">
        <v>1</v>
      </c>
      <c r="CE1441" s="342"/>
      <c r="CF1441" s="342">
        <v>-9999</v>
      </c>
      <c r="CG1441" s="144">
        <v>1</v>
      </c>
    </row>
    <row r="1442" spans="1:85" s="13" customFormat="1" x14ac:dyDescent="0.2">
      <c r="A1442" s="327" t="s">
        <v>898</v>
      </c>
      <c r="B1442" s="327" t="s">
        <v>969</v>
      </c>
      <c r="C1442" s="327" t="s">
        <v>128</v>
      </c>
      <c r="D1442" s="327" t="s">
        <v>553</v>
      </c>
      <c r="E1442" s="255" t="s">
        <v>901</v>
      </c>
      <c r="F1442" s="327">
        <v>1</v>
      </c>
      <c r="G1442" s="623">
        <v>2</v>
      </c>
      <c r="H1442" s="623">
        <v>2</v>
      </c>
      <c r="I1442" s="327" t="s">
        <v>856</v>
      </c>
      <c r="J1442" s="327">
        <v>2000</v>
      </c>
      <c r="K1442" s="265" t="s">
        <v>856</v>
      </c>
      <c r="L1442" s="265">
        <v>2002</v>
      </c>
      <c r="M1442" s="368">
        <v>-9999</v>
      </c>
      <c r="N1442" s="327">
        <v>-9999</v>
      </c>
      <c r="O1442" s="323"/>
      <c r="P1442" s="297">
        <v>6.2904099999999996</v>
      </c>
      <c r="Q1442" s="327">
        <v>-9999</v>
      </c>
      <c r="R1442" s="368"/>
      <c r="S1442" s="327"/>
      <c r="T1442" s="287">
        <f>+P1442/H1442</f>
        <v>3.1452049999999998</v>
      </c>
      <c r="U1442" s="327">
        <v>-9999</v>
      </c>
      <c r="V1442" s="327"/>
      <c r="W1442" s="368">
        <v>-9999</v>
      </c>
      <c r="X1442" s="327">
        <v>-9999</v>
      </c>
      <c r="Y1442" s="327"/>
      <c r="Z1442" s="327" t="s">
        <v>129</v>
      </c>
      <c r="AA1442" s="327">
        <v>1334</v>
      </c>
      <c r="AB1442" s="368">
        <v>0.996</v>
      </c>
      <c r="AC1442" s="327">
        <v>-9999</v>
      </c>
      <c r="AD1442" s="327">
        <v>429.4</v>
      </c>
      <c r="AE1442" s="327" t="s">
        <v>1950</v>
      </c>
      <c r="AF1442" s="327">
        <v>8</v>
      </c>
      <c r="AG1442" s="327">
        <v>2</v>
      </c>
      <c r="AH1442" s="327" t="s">
        <v>809</v>
      </c>
      <c r="AI1442" s="255">
        <v>-9999</v>
      </c>
      <c r="AJ1442" s="255">
        <v>-9999</v>
      </c>
      <c r="AK1442" s="327" t="s">
        <v>172</v>
      </c>
      <c r="AL1442" s="327" t="s">
        <v>828</v>
      </c>
      <c r="AM1442" s="327" t="s">
        <v>871</v>
      </c>
      <c r="AN1442" s="327" t="s">
        <v>631</v>
      </c>
      <c r="AO1442" s="255">
        <v>-9999</v>
      </c>
      <c r="AP1442" s="255">
        <v>-9999</v>
      </c>
      <c r="AQ1442" s="327" t="s">
        <v>626</v>
      </c>
      <c r="AR1442" s="328">
        <f>+AR1441+76</f>
        <v>142</v>
      </c>
      <c r="AS1442" s="327" t="s">
        <v>1498</v>
      </c>
      <c r="AT1442" s="327" t="s">
        <v>689</v>
      </c>
      <c r="AU1442" s="328">
        <f>+((128-29)/4)+AU1441</f>
        <v>53.445652173913047</v>
      </c>
      <c r="AV1442" s="327" t="s">
        <v>1498</v>
      </c>
      <c r="AW1442" s="327" t="s">
        <v>766</v>
      </c>
      <c r="AX1442" s="328">
        <f>+AX1441+16</f>
        <v>70.78</v>
      </c>
      <c r="AY1442" s="327" t="s">
        <v>1498</v>
      </c>
      <c r="AZ1442" s="327" t="s">
        <v>766</v>
      </c>
      <c r="BA1442" s="327" t="s">
        <v>979</v>
      </c>
      <c r="BB1442" s="327" t="s">
        <v>626</v>
      </c>
      <c r="BC1442" s="327" t="s">
        <v>906</v>
      </c>
      <c r="BD1442" s="327" t="s">
        <v>907</v>
      </c>
      <c r="BE1442" s="327" t="s">
        <v>908</v>
      </c>
      <c r="BF1442" s="327" t="s">
        <v>909</v>
      </c>
      <c r="BG1442" s="327" t="s">
        <v>910</v>
      </c>
      <c r="BH1442" s="327" t="s">
        <v>911</v>
      </c>
      <c r="BI1442" s="327" t="s">
        <v>912</v>
      </c>
      <c r="BJ1442" s="255">
        <v>-9999</v>
      </c>
      <c r="BK1442" s="255">
        <v>-9999</v>
      </c>
      <c r="BL1442" s="255">
        <v>-9999</v>
      </c>
      <c r="BM1442" s="255">
        <v>-9999</v>
      </c>
      <c r="BN1442" s="255">
        <v>-9999</v>
      </c>
      <c r="BO1442" s="255">
        <v>-9999</v>
      </c>
      <c r="BP1442" s="255">
        <v>-9999</v>
      </c>
      <c r="BQ1442" s="255">
        <v>-9999</v>
      </c>
      <c r="BR1442" s="255">
        <v>-9999</v>
      </c>
      <c r="BS1442" s="328">
        <v>-9999</v>
      </c>
      <c r="BT1442" s="327" t="s">
        <v>1130</v>
      </c>
      <c r="BU1442" s="255">
        <v>-9999</v>
      </c>
      <c r="BV1442" s="255">
        <v>-9999</v>
      </c>
      <c r="BW1442" s="255"/>
      <c r="BX1442" s="255">
        <v>-9999</v>
      </c>
      <c r="BY1442" s="255">
        <v>-9999</v>
      </c>
      <c r="BZ1442" s="255">
        <v>-9999</v>
      </c>
      <c r="CA1442" s="369" t="s">
        <v>974</v>
      </c>
      <c r="CB1442" s="475"/>
      <c r="CC1442" s="327">
        <v>1</v>
      </c>
      <c r="CD1442" s="623">
        <v>2</v>
      </c>
      <c r="CE1442" s="342">
        <v>3.1452049999999998</v>
      </c>
      <c r="CF1442" s="342">
        <v>-9999</v>
      </c>
      <c r="CG1442" s="144">
        <v>2</v>
      </c>
    </row>
    <row r="1443" spans="1:85" s="13" customFormat="1" x14ac:dyDescent="0.2">
      <c r="A1443" s="327" t="s">
        <v>898</v>
      </c>
      <c r="B1443" s="327" t="s">
        <v>969</v>
      </c>
      <c r="C1443" s="327" t="s">
        <v>128</v>
      </c>
      <c r="D1443" s="327" t="s">
        <v>553</v>
      </c>
      <c r="E1443" s="255" t="s">
        <v>901</v>
      </c>
      <c r="F1443" s="327">
        <v>1</v>
      </c>
      <c r="G1443" s="623">
        <v>3</v>
      </c>
      <c r="H1443" s="623">
        <v>3</v>
      </c>
      <c r="I1443" s="327" t="s">
        <v>856</v>
      </c>
      <c r="J1443" s="327">
        <v>2000</v>
      </c>
      <c r="K1443" s="265" t="s">
        <v>856</v>
      </c>
      <c r="L1443" s="265">
        <v>2003</v>
      </c>
      <c r="M1443" s="368">
        <v>-9999</v>
      </c>
      <c r="N1443" s="327">
        <v>-9999</v>
      </c>
      <c r="O1443" s="323"/>
      <c r="P1443" s="297">
        <v>18.0016</v>
      </c>
      <c r="Q1443" s="327">
        <v>-9999</v>
      </c>
      <c r="R1443" s="368"/>
      <c r="S1443" s="327"/>
      <c r="T1443" s="287">
        <f>+P1443/H1443</f>
        <v>6.0005333333333333</v>
      </c>
      <c r="U1443" s="327">
        <v>-9999</v>
      </c>
      <c r="V1443" s="327"/>
      <c r="W1443" s="368">
        <v>-9999</v>
      </c>
      <c r="X1443" s="327">
        <v>-9999</v>
      </c>
      <c r="Y1443" s="327"/>
      <c r="Z1443" s="327" t="s">
        <v>129</v>
      </c>
      <c r="AA1443" s="327">
        <v>1334</v>
      </c>
      <c r="AB1443" s="368">
        <v>0.99</v>
      </c>
      <c r="AC1443" s="327">
        <v>-9999</v>
      </c>
      <c r="AD1443" s="327">
        <v>429.4</v>
      </c>
      <c r="AE1443" s="327" t="s">
        <v>1950</v>
      </c>
      <c r="AF1443" s="327">
        <v>8</v>
      </c>
      <c r="AG1443" s="327">
        <v>2</v>
      </c>
      <c r="AH1443" s="327" t="s">
        <v>809</v>
      </c>
      <c r="AI1443" s="255">
        <v>-9999</v>
      </c>
      <c r="AJ1443" s="255">
        <v>-9999</v>
      </c>
      <c r="AK1443" s="327" t="s">
        <v>172</v>
      </c>
      <c r="AL1443" s="327" t="s">
        <v>828</v>
      </c>
      <c r="AM1443" s="327" t="s">
        <v>871</v>
      </c>
      <c r="AN1443" s="259" t="s">
        <v>631</v>
      </c>
      <c r="AO1443" s="255">
        <v>-9999</v>
      </c>
      <c r="AP1443" s="255">
        <v>-9999</v>
      </c>
      <c r="AQ1443" s="327" t="s">
        <v>626</v>
      </c>
      <c r="AR1443" s="328">
        <f>+AR1442+76</f>
        <v>218</v>
      </c>
      <c r="AS1443" s="327" t="s">
        <v>1498</v>
      </c>
      <c r="AT1443" s="327" t="s">
        <v>766</v>
      </c>
      <c r="AU1443" s="328">
        <f>+AU1442+25</f>
        <v>78.445652173913047</v>
      </c>
      <c r="AV1443" s="327" t="s">
        <v>1498</v>
      </c>
      <c r="AW1443" s="327" t="s">
        <v>766</v>
      </c>
      <c r="AX1443" s="328">
        <f>+AX1442+16</f>
        <v>86.78</v>
      </c>
      <c r="AY1443" s="327" t="s">
        <v>1498</v>
      </c>
      <c r="AZ1443" s="327" t="s">
        <v>766</v>
      </c>
      <c r="BA1443" s="327" t="s">
        <v>979</v>
      </c>
      <c r="BB1443" s="327" t="s">
        <v>626</v>
      </c>
      <c r="BC1443" s="327" t="s">
        <v>906</v>
      </c>
      <c r="BD1443" s="327" t="s">
        <v>907</v>
      </c>
      <c r="BE1443" s="327" t="s">
        <v>908</v>
      </c>
      <c r="BF1443" s="327" t="s">
        <v>909</v>
      </c>
      <c r="BG1443" s="327" t="s">
        <v>910</v>
      </c>
      <c r="BH1443" s="327" t="s">
        <v>911</v>
      </c>
      <c r="BI1443" s="327" t="s">
        <v>912</v>
      </c>
      <c r="BJ1443" s="255">
        <v>-9999</v>
      </c>
      <c r="BK1443" s="255">
        <v>-9999</v>
      </c>
      <c r="BL1443" s="255">
        <v>-9999</v>
      </c>
      <c r="BM1443" s="255">
        <v>-9999</v>
      </c>
      <c r="BN1443" s="255">
        <v>-9999</v>
      </c>
      <c r="BO1443" s="255">
        <v>-9999</v>
      </c>
      <c r="BP1443" s="255">
        <v>-9999</v>
      </c>
      <c r="BQ1443" s="255">
        <v>-9999</v>
      </c>
      <c r="BR1443" s="255">
        <v>-9999</v>
      </c>
      <c r="BS1443" s="328">
        <v>-9999</v>
      </c>
      <c r="BT1443" s="327" t="s">
        <v>1130</v>
      </c>
      <c r="BU1443" s="255">
        <v>-9999</v>
      </c>
      <c r="BV1443" s="255">
        <v>-9999</v>
      </c>
      <c r="BW1443" s="255"/>
      <c r="BX1443" s="255">
        <v>-9999</v>
      </c>
      <c r="BY1443" s="255">
        <v>-9999</v>
      </c>
      <c r="BZ1443" s="255">
        <v>-9999</v>
      </c>
      <c r="CA1443" s="369" t="s">
        <v>974</v>
      </c>
      <c r="CB1443" s="475" t="s">
        <v>1685</v>
      </c>
      <c r="CC1443" s="327">
        <v>1</v>
      </c>
      <c r="CD1443" s="623">
        <v>3</v>
      </c>
      <c r="CE1443" s="342">
        <v>6.0005333333333333</v>
      </c>
      <c r="CF1443" s="342">
        <v>-9999</v>
      </c>
      <c r="CG1443" s="144">
        <v>3</v>
      </c>
    </row>
    <row r="1444" spans="1:85" s="301" customFormat="1" x14ac:dyDescent="0.2">
      <c r="A1444" s="327" t="s">
        <v>898</v>
      </c>
      <c r="B1444" s="327" t="s">
        <v>969</v>
      </c>
      <c r="C1444" s="327" t="s">
        <v>128</v>
      </c>
      <c r="D1444" s="327" t="s">
        <v>553</v>
      </c>
      <c r="E1444" s="327" t="s">
        <v>901</v>
      </c>
      <c r="F1444" s="327">
        <v>1</v>
      </c>
      <c r="G1444" s="623">
        <v>4</v>
      </c>
      <c r="H1444" s="623">
        <v>4</v>
      </c>
      <c r="I1444" s="327" t="s">
        <v>856</v>
      </c>
      <c r="J1444" s="327">
        <v>2000</v>
      </c>
      <c r="K1444" s="265" t="s">
        <v>856</v>
      </c>
      <c r="L1444" s="624">
        <v>2004</v>
      </c>
      <c r="M1444" s="368">
        <v>-9999</v>
      </c>
      <c r="N1444" s="327">
        <v>-9999</v>
      </c>
      <c r="O1444" s="323"/>
      <c r="P1444" s="368">
        <v>-9999</v>
      </c>
      <c r="Q1444" s="327">
        <v>-9999</v>
      </c>
      <c r="R1444" s="368"/>
      <c r="S1444" s="327"/>
      <c r="T1444" s="287">
        <v>-9999</v>
      </c>
      <c r="U1444" s="327">
        <v>-9999</v>
      </c>
      <c r="V1444" s="327"/>
      <c r="W1444" s="368">
        <v>-9999</v>
      </c>
      <c r="X1444" s="327">
        <v>-9999</v>
      </c>
      <c r="Y1444" s="327"/>
      <c r="Z1444" s="327" t="s">
        <v>129</v>
      </c>
      <c r="AA1444" s="327">
        <v>1334</v>
      </c>
      <c r="AB1444" s="287">
        <v>0.93</v>
      </c>
      <c r="AC1444" s="327">
        <v>-9999</v>
      </c>
      <c r="AD1444" s="327">
        <v>429.4</v>
      </c>
      <c r="AE1444" s="327" t="s">
        <v>1950</v>
      </c>
      <c r="AF1444" s="327">
        <v>8</v>
      </c>
      <c r="AG1444" s="327">
        <v>2</v>
      </c>
      <c r="AH1444" s="327" t="s">
        <v>809</v>
      </c>
      <c r="AI1444" s="327">
        <v>-9999</v>
      </c>
      <c r="AJ1444" s="327">
        <v>-9999</v>
      </c>
      <c r="AK1444" s="327" t="s">
        <v>172</v>
      </c>
      <c r="AL1444" s="327" t="s">
        <v>828</v>
      </c>
      <c r="AM1444" s="327" t="s">
        <v>871</v>
      </c>
      <c r="AN1444" s="327" t="s">
        <v>631</v>
      </c>
      <c r="AO1444" s="327">
        <v>-9999</v>
      </c>
      <c r="AP1444" s="327">
        <v>-9999</v>
      </c>
      <c r="AQ1444" s="327" t="s">
        <v>626</v>
      </c>
      <c r="AR1444" s="328">
        <f>+AR1443+76</f>
        <v>294</v>
      </c>
      <c r="AS1444" s="327" t="s">
        <v>1498</v>
      </c>
      <c r="AT1444" s="327" t="s">
        <v>766</v>
      </c>
      <c r="AU1444" s="328">
        <f>+AU1443+25</f>
        <v>103.44565217391305</v>
      </c>
      <c r="AV1444" s="327" t="s">
        <v>1498</v>
      </c>
      <c r="AW1444" s="327" t="s">
        <v>766</v>
      </c>
      <c r="AX1444" s="328">
        <f>+AX1443+17</f>
        <v>103.78</v>
      </c>
      <c r="AY1444" s="327" t="s">
        <v>1498</v>
      </c>
      <c r="AZ1444" s="327" t="s">
        <v>766</v>
      </c>
      <c r="BA1444" s="327" t="s">
        <v>979</v>
      </c>
      <c r="BB1444" s="327" t="s">
        <v>626</v>
      </c>
      <c r="BC1444" s="327" t="s">
        <v>906</v>
      </c>
      <c r="BD1444" s="327" t="s">
        <v>907</v>
      </c>
      <c r="BE1444" s="327" t="s">
        <v>908</v>
      </c>
      <c r="BF1444" s="327" t="s">
        <v>909</v>
      </c>
      <c r="BG1444" s="327" t="s">
        <v>910</v>
      </c>
      <c r="BH1444" s="327" t="s">
        <v>911</v>
      </c>
      <c r="BI1444" s="327" t="s">
        <v>912</v>
      </c>
      <c r="BJ1444" s="327">
        <v>-9999</v>
      </c>
      <c r="BK1444" s="327">
        <v>-9999</v>
      </c>
      <c r="BL1444" s="327">
        <v>-9999</v>
      </c>
      <c r="BM1444" s="327">
        <v>-9999</v>
      </c>
      <c r="BN1444" s="327">
        <v>-9999</v>
      </c>
      <c r="BO1444" s="327">
        <v>-9999</v>
      </c>
      <c r="BP1444" s="327">
        <v>-9999</v>
      </c>
      <c r="BQ1444" s="327">
        <v>-9999</v>
      </c>
      <c r="BR1444" s="327">
        <v>-9999</v>
      </c>
      <c r="BS1444" s="328">
        <v>-9999</v>
      </c>
      <c r="BT1444" s="327" t="s">
        <v>1130</v>
      </c>
      <c r="BU1444" s="327">
        <v>-9999</v>
      </c>
      <c r="BV1444" s="327">
        <v>-9999</v>
      </c>
      <c r="BW1444" s="327"/>
      <c r="BX1444" s="327">
        <v>-9999</v>
      </c>
      <c r="BY1444" s="327">
        <v>-9999</v>
      </c>
      <c r="BZ1444" s="327">
        <v>-9999</v>
      </c>
      <c r="CA1444" s="369" t="s">
        <v>974</v>
      </c>
      <c r="CB1444" s="475" t="s">
        <v>1686</v>
      </c>
      <c r="CC1444" s="327">
        <v>1</v>
      </c>
      <c r="CD1444" s="623">
        <v>4</v>
      </c>
      <c r="CE1444" s="342"/>
      <c r="CF1444" s="342">
        <v>-9999</v>
      </c>
      <c r="CG1444" s="144">
        <v>4</v>
      </c>
    </row>
    <row r="1445" spans="1:85" s="301" customFormat="1" x14ac:dyDescent="0.2">
      <c r="A1445" s="327" t="s">
        <v>898</v>
      </c>
      <c r="B1445" s="327" t="s">
        <v>969</v>
      </c>
      <c r="C1445" s="327" t="s">
        <v>128</v>
      </c>
      <c r="D1445" s="327" t="s">
        <v>553</v>
      </c>
      <c r="E1445" s="327" t="s">
        <v>901</v>
      </c>
      <c r="F1445" s="327">
        <v>1</v>
      </c>
      <c r="G1445" s="623">
        <v>5</v>
      </c>
      <c r="H1445" s="623">
        <v>5</v>
      </c>
      <c r="I1445" s="327" t="s">
        <v>856</v>
      </c>
      <c r="J1445" s="327">
        <v>2000</v>
      </c>
      <c r="K1445" s="265" t="s">
        <v>856</v>
      </c>
      <c r="L1445" s="265">
        <v>2005</v>
      </c>
      <c r="M1445" s="368">
        <v>-9999</v>
      </c>
      <c r="N1445" s="327">
        <v>-9999</v>
      </c>
      <c r="O1445" s="323"/>
      <c r="P1445" s="368">
        <v>37.359400000000001</v>
      </c>
      <c r="Q1445" s="327">
        <v>-9999</v>
      </c>
      <c r="R1445" s="368"/>
      <c r="S1445" s="327"/>
      <c r="T1445" s="287">
        <f>+P1445/H1445</f>
        <v>7.4718800000000005</v>
      </c>
      <c r="U1445" s="327">
        <v>-9999</v>
      </c>
      <c r="V1445" s="327"/>
      <c r="W1445" s="368">
        <v>-9999</v>
      </c>
      <c r="X1445" s="327">
        <v>-9999</v>
      </c>
      <c r="Y1445" s="327"/>
      <c r="Z1445" s="327" t="s">
        <v>129</v>
      </c>
      <c r="AA1445" s="327">
        <v>1334</v>
      </c>
      <c r="AB1445" s="368">
        <v>0.91900000000000004</v>
      </c>
      <c r="AC1445" s="327">
        <v>-9999</v>
      </c>
      <c r="AD1445" s="327">
        <v>429.4</v>
      </c>
      <c r="AE1445" s="327" t="s">
        <v>1950</v>
      </c>
      <c r="AF1445" s="327">
        <v>8</v>
      </c>
      <c r="AG1445" s="327">
        <v>2</v>
      </c>
      <c r="AH1445" s="327" t="s">
        <v>809</v>
      </c>
      <c r="AI1445" s="327">
        <v>-9999</v>
      </c>
      <c r="AJ1445" s="327">
        <v>-9999</v>
      </c>
      <c r="AK1445" s="327" t="s">
        <v>172</v>
      </c>
      <c r="AL1445" s="327" t="s">
        <v>828</v>
      </c>
      <c r="AM1445" s="327" t="s">
        <v>871</v>
      </c>
      <c r="AN1445" s="327" t="s">
        <v>631</v>
      </c>
      <c r="AO1445" s="327">
        <v>-9999</v>
      </c>
      <c r="AP1445" s="327">
        <v>-9999</v>
      </c>
      <c r="AQ1445" s="327" t="s">
        <v>626</v>
      </c>
      <c r="AR1445" s="328">
        <f>+AR1444+76</f>
        <v>370</v>
      </c>
      <c r="AS1445" s="327" t="s">
        <v>1498</v>
      </c>
      <c r="AT1445" s="327" t="s">
        <v>766</v>
      </c>
      <c r="AU1445" s="328">
        <f>+AU1444+25</f>
        <v>128.44565217391306</v>
      </c>
      <c r="AV1445" s="327" t="s">
        <v>1498</v>
      </c>
      <c r="AW1445" s="327" t="s">
        <v>766</v>
      </c>
      <c r="AX1445" s="328">
        <f>+AX1444+17</f>
        <v>120.78</v>
      </c>
      <c r="AY1445" s="327" t="s">
        <v>1498</v>
      </c>
      <c r="AZ1445" s="327" t="s">
        <v>766</v>
      </c>
      <c r="BA1445" s="327" t="s">
        <v>979</v>
      </c>
      <c r="BB1445" s="327" t="s">
        <v>626</v>
      </c>
      <c r="BC1445" s="327" t="s">
        <v>906</v>
      </c>
      <c r="BD1445" s="327" t="s">
        <v>907</v>
      </c>
      <c r="BE1445" s="327" t="s">
        <v>908</v>
      </c>
      <c r="BF1445" s="327" t="s">
        <v>909</v>
      </c>
      <c r="BG1445" s="327" t="s">
        <v>910</v>
      </c>
      <c r="BH1445" s="327" t="s">
        <v>911</v>
      </c>
      <c r="BI1445" s="327" t="s">
        <v>912</v>
      </c>
      <c r="BJ1445" s="327">
        <v>-9999</v>
      </c>
      <c r="BK1445" s="327">
        <v>-9999</v>
      </c>
      <c r="BL1445" s="327">
        <v>-9999</v>
      </c>
      <c r="BM1445" s="327">
        <v>-9999</v>
      </c>
      <c r="BN1445" s="327">
        <v>-9999</v>
      </c>
      <c r="BO1445" s="327">
        <v>-9999</v>
      </c>
      <c r="BP1445" s="327">
        <v>-9999</v>
      </c>
      <c r="BQ1445" s="327">
        <v>-9999</v>
      </c>
      <c r="BR1445" s="327">
        <v>-9999</v>
      </c>
      <c r="BS1445" s="328">
        <v>-9999</v>
      </c>
      <c r="BT1445" s="327" t="s">
        <v>1130</v>
      </c>
      <c r="BU1445" s="327">
        <v>-9999</v>
      </c>
      <c r="BV1445" s="327">
        <v>-9999</v>
      </c>
      <c r="BW1445" s="327"/>
      <c r="BX1445" s="327">
        <v>-9999</v>
      </c>
      <c r="BY1445" s="327">
        <v>-9999</v>
      </c>
      <c r="BZ1445" s="327">
        <v>-9999</v>
      </c>
      <c r="CA1445" s="369" t="s">
        <v>974</v>
      </c>
      <c r="CB1445" s="475" t="s">
        <v>1687</v>
      </c>
      <c r="CC1445" s="327">
        <v>1</v>
      </c>
      <c r="CD1445" s="623">
        <v>5</v>
      </c>
      <c r="CE1445" s="342">
        <v>7.4718800000000005</v>
      </c>
      <c r="CF1445" s="342">
        <v>-9999</v>
      </c>
      <c r="CG1445" s="144">
        <v>5</v>
      </c>
    </row>
    <row r="1446" spans="1:85" s="13" customFormat="1" x14ac:dyDescent="0.2">
      <c r="A1446" s="259"/>
      <c r="B1446" s="259"/>
      <c r="C1446" s="259"/>
      <c r="D1446" s="327"/>
      <c r="E1446" s="259"/>
      <c r="F1446" s="259"/>
      <c r="G1446" s="625"/>
      <c r="H1446" s="625"/>
      <c r="I1446" s="259"/>
      <c r="J1446" s="259"/>
      <c r="K1446" s="259"/>
      <c r="L1446" s="259"/>
      <c r="M1446" s="368"/>
      <c r="N1446" s="259"/>
      <c r="O1446" s="18"/>
      <c r="P1446" s="288"/>
      <c r="Q1446" s="259"/>
      <c r="R1446" s="288"/>
      <c r="S1446" s="259"/>
      <c r="T1446" s="376"/>
      <c r="U1446" s="259"/>
      <c r="V1446" s="259"/>
      <c r="W1446" s="288"/>
      <c r="X1446" s="259"/>
      <c r="Y1446" s="259"/>
      <c r="Z1446" s="259"/>
      <c r="AA1446" s="259"/>
      <c r="AB1446" s="288"/>
      <c r="AC1446" s="259"/>
      <c r="AD1446" s="259"/>
      <c r="AE1446" s="327"/>
      <c r="AF1446" s="259"/>
      <c r="AG1446" s="259"/>
      <c r="AH1446" s="259"/>
      <c r="AI1446" s="259"/>
      <c r="AJ1446" s="259"/>
      <c r="AK1446" s="327"/>
      <c r="AL1446" s="259"/>
      <c r="AM1446" s="327"/>
      <c r="AN1446" s="259"/>
      <c r="AO1446" s="259"/>
      <c r="AP1446" s="259"/>
      <c r="AQ1446" s="259"/>
      <c r="AR1446" s="259"/>
      <c r="AS1446" s="259"/>
      <c r="AT1446" s="259"/>
      <c r="AU1446" s="259"/>
      <c r="AV1446" s="259"/>
      <c r="AW1446" s="259"/>
      <c r="AX1446" s="259"/>
      <c r="AY1446" s="327"/>
      <c r="AZ1446" s="259"/>
      <c r="BA1446" s="259"/>
      <c r="BB1446" s="259"/>
      <c r="BC1446" s="259"/>
      <c r="BD1446" s="259"/>
      <c r="BE1446" s="259"/>
      <c r="BF1446" s="259"/>
      <c r="BG1446" s="259"/>
      <c r="BH1446" s="259"/>
      <c r="BI1446" s="259"/>
      <c r="BJ1446" s="259"/>
      <c r="BK1446" s="259"/>
      <c r="BL1446" s="259"/>
      <c r="BM1446" s="259"/>
      <c r="BN1446" s="259"/>
      <c r="BO1446" s="259"/>
      <c r="BP1446" s="259"/>
      <c r="BQ1446" s="259"/>
      <c r="BR1446" s="259"/>
      <c r="BS1446" s="328"/>
      <c r="BT1446" s="327"/>
      <c r="BU1446" s="259"/>
      <c r="BV1446" s="259"/>
      <c r="BW1446" s="259"/>
      <c r="BX1446" s="259"/>
      <c r="BY1446" s="259"/>
      <c r="BZ1446" s="259"/>
      <c r="CA1446" s="369"/>
      <c r="CB1446" s="475"/>
      <c r="CC1446" s="259"/>
      <c r="CD1446" s="623"/>
      <c r="CE1446" s="342" t="s">
        <v>1576</v>
      </c>
      <c r="CF1446" s="342" t="s">
        <v>1575</v>
      </c>
      <c r="CG1446" s="39"/>
    </row>
    <row r="1447" spans="1:85" s="13" customFormat="1" x14ac:dyDescent="0.2">
      <c r="A1447" s="327" t="s">
        <v>898</v>
      </c>
      <c r="B1447" s="327" t="s">
        <v>970</v>
      </c>
      <c r="C1447" s="327" t="s">
        <v>130</v>
      </c>
      <c r="D1447" s="327" t="s">
        <v>553</v>
      </c>
      <c r="E1447" s="327" t="s">
        <v>901</v>
      </c>
      <c r="F1447" s="327">
        <v>1</v>
      </c>
      <c r="G1447" s="623">
        <v>1</v>
      </c>
      <c r="H1447" s="623">
        <v>1</v>
      </c>
      <c r="I1447" s="327" t="s">
        <v>856</v>
      </c>
      <c r="J1447" s="327">
        <v>2000</v>
      </c>
      <c r="K1447" s="265" t="s">
        <v>856</v>
      </c>
      <c r="L1447" s="265">
        <v>2001</v>
      </c>
      <c r="M1447" s="368">
        <v>-9999</v>
      </c>
      <c r="N1447" s="327">
        <v>-9999</v>
      </c>
      <c r="O1447" s="323"/>
      <c r="P1447" s="368">
        <v>-9999</v>
      </c>
      <c r="Q1447" s="327">
        <v>-9999</v>
      </c>
      <c r="R1447" s="368"/>
      <c r="S1447" s="327"/>
      <c r="T1447" s="287">
        <v>-9999</v>
      </c>
      <c r="U1447" s="327">
        <v>-9999</v>
      </c>
      <c r="V1447" s="327"/>
      <c r="W1447" s="368">
        <v>-9999</v>
      </c>
      <c r="X1447" s="327">
        <v>-9999</v>
      </c>
      <c r="Y1447" s="327"/>
      <c r="Z1447" s="327" t="s">
        <v>129</v>
      </c>
      <c r="AA1447" s="327">
        <v>1334</v>
      </c>
      <c r="AB1447" s="368">
        <v>0.996</v>
      </c>
      <c r="AC1447" s="327">
        <v>-9999</v>
      </c>
      <c r="AD1447" s="327">
        <v>429.4</v>
      </c>
      <c r="AE1447" s="327" t="s">
        <v>1950</v>
      </c>
      <c r="AF1447" s="327">
        <v>8</v>
      </c>
      <c r="AG1447" s="327">
        <v>2</v>
      </c>
      <c r="AH1447" s="327" t="s">
        <v>809</v>
      </c>
      <c r="AI1447" s="327">
        <v>-9999</v>
      </c>
      <c r="AJ1447" s="327">
        <v>-9999</v>
      </c>
      <c r="AK1447" s="327" t="s">
        <v>172</v>
      </c>
      <c r="AL1447" s="327" t="s">
        <v>828</v>
      </c>
      <c r="AM1447" s="327" t="s">
        <v>871</v>
      </c>
      <c r="AN1447" s="327" t="s">
        <v>631</v>
      </c>
      <c r="AO1447" s="327">
        <v>-9999</v>
      </c>
      <c r="AP1447" s="327">
        <v>-9999</v>
      </c>
      <c r="AQ1447" s="327" t="s">
        <v>626</v>
      </c>
      <c r="AR1447" s="327">
        <v>50</v>
      </c>
      <c r="AS1447" s="327" t="s">
        <v>765</v>
      </c>
      <c r="AT1447" s="327" t="s">
        <v>905</v>
      </c>
      <c r="AU1447" s="327">
        <v>56</v>
      </c>
      <c r="AV1447" s="327" t="s">
        <v>765</v>
      </c>
      <c r="AW1447" s="327" t="s">
        <v>905</v>
      </c>
      <c r="AX1447" s="327">
        <v>0</v>
      </c>
      <c r="AY1447" s="327">
        <v>-9999</v>
      </c>
      <c r="AZ1447" s="327">
        <v>-9999</v>
      </c>
      <c r="BA1447" s="259"/>
      <c r="BB1447" s="259" t="s">
        <v>626</v>
      </c>
      <c r="BC1447" s="259" t="s">
        <v>906</v>
      </c>
      <c r="BD1447" s="259" t="s">
        <v>907</v>
      </c>
      <c r="BE1447" s="259" t="s">
        <v>908</v>
      </c>
      <c r="BF1447" s="327">
        <v>-9999</v>
      </c>
      <c r="BG1447" s="327">
        <v>-9999</v>
      </c>
      <c r="BH1447" s="327">
        <v>-9999</v>
      </c>
      <c r="BI1447" s="259" t="s">
        <v>968</v>
      </c>
      <c r="BJ1447" s="327">
        <v>-9999</v>
      </c>
      <c r="BK1447" s="327">
        <v>-9999</v>
      </c>
      <c r="BL1447" s="327">
        <v>-9999</v>
      </c>
      <c r="BM1447" s="327">
        <v>-9999</v>
      </c>
      <c r="BN1447" s="327">
        <v>-9999</v>
      </c>
      <c r="BO1447" s="327">
        <v>-9999</v>
      </c>
      <c r="BP1447" s="327">
        <v>-9999</v>
      </c>
      <c r="BQ1447" s="327">
        <v>-9999</v>
      </c>
      <c r="BR1447" s="327">
        <v>-9999</v>
      </c>
      <c r="BS1447" s="328">
        <v>-9999</v>
      </c>
      <c r="BT1447" s="327" t="s">
        <v>1130</v>
      </c>
      <c r="BU1447" s="327">
        <v>-9999</v>
      </c>
      <c r="BV1447" s="327">
        <v>-9999</v>
      </c>
      <c r="BW1447" s="327"/>
      <c r="BX1447" s="327">
        <v>-9999</v>
      </c>
      <c r="BY1447" s="327">
        <v>-9999</v>
      </c>
      <c r="BZ1447" s="327">
        <v>-9999</v>
      </c>
      <c r="CA1447" s="369" t="s">
        <v>974</v>
      </c>
      <c r="CB1447" s="475"/>
      <c r="CC1447" s="327">
        <v>1</v>
      </c>
      <c r="CD1447" s="623">
        <v>1</v>
      </c>
      <c r="CE1447" s="342"/>
      <c r="CF1447" s="342">
        <v>-9999</v>
      </c>
      <c r="CG1447" s="144">
        <v>1</v>
      </c>
    </row>
    <row r="1448" spans="1:85" s="13" customFormat="1" x14ac:dyDescent="0.2">
      <c r="A1448" s="327" t="s">
        <v>898</v>
      </c>
      <c r="B1448" s="327" t="s">
        <v>970</v>
      </c>
      <c r="C1448" s="327" t="s">
        <v>130</v>
      </c>
      <c r="D1448" s="327" t="s">
        <v>553</v>
      </c>
      <c r="E1448" s="255" t="s">
        <v>901</v>
      </c>
      <c r="F1448" s="327">
        <v>1</v>
      </c>
      <c r="G1448" s="623">
        <v>2</v>
      </c>
      <c r="H1448" s="623">
        <v>2</v>
      </c>
      <c r="I1448" s="327" t="s">
        <v>856</v>
      </c>
      <c r="J1448" s="327">
        <v>2000</v>
      </c>
      <c r="K1448" s="265" t="s">
        <v>856</v>
      </c>
      <c r="L1448" s="265">
        <v>2002</v>
      </c>
      <c r="M1448" s="368">
        <v>-9999</v>
      </c>
      <c r="N1448" s="327">
        <v>-9999</v>
      </c>
      <c r="O1448" s="323"/>
      <c r="P1448" s="297">
        <v>4.4540699999999998</v>
      </c>
      <c r="Q1448" s="327">
        <v>-9999</v>
      </c>
      <c r="R1448" s="368"/>
      <c r="S1448" s="327"/>
      <c r="T1448" s="287">
        <f>+P1448/H1448</f>
        <v>2.2270349999999999</v>
      </c>
      <c r="U1448" s="327">
        <v>-9999</v>
      </c>
      <c r="V1448" s="327"/>
      <c r="W1448" s="368">
        <v>-9999</v>
      </c>
      <c r="X1448" s="327">
        <v>-9999</v>
      </c>
      <c r="Y1448" s="327"/>
      <c r="Z1448" s="327" t="s">
        <v>129</v>
      </c>
      <c r="AA1448" s="327">
        <v>1334</v>
      </c>
      <c r="AB1448" s="368">
        <v>0.996</v>
      </c>
      <c r="AC1448" s="327">
        <v>-9999</v>
      </c>
      <c r="AD1448" s="327">
        <v>429.4</v>
      </c>
      <c r="AE1448" s="327" t="s">
        <v>1950</v>
      </c>
      <c r="AF1448" s="327">
        <v>8</v>
      </c>
      <c r="AG1448" s="327">
        <v>2</v>
      </c>
      <c r="AH1448" s="327" t="s">
        <v>809</v>
      </c>
      <c r="AI1448" s="255">
        <v>-9999</v>
      </c>
      <c r="AJ1448" s="255">
        <v>-9999</v>
      </c>
      <c r="AK1448" s="327" t="s">
        <v>172</v>
      </c>
      <c r="AL1448" s="327" t="s">
        <v>828</v>
      </c>
      <c r="AM1448" s="327" t="s">
        <v>871</v>
      </c>
      <c r="AN1448" s="327" t="s">
        <v>631</v>
      </c>
      <c r="AO1448" s="255">
        <v>-9999</v>
      </c>
      <c r="AP1448" s="255">
        <v>-9999</v>
      </c>
      <c r="AQ1448" s="327" t="s">
        <v>626</v>
      </c>
      <c r="AR1448" s="327">
        <v>50</v>
      </c>
      <c r="AS1448" s="327" t="s">
        <v>765</v>
      </c>
      <c r="AT1448" s="327" t="s">
        <v>905</v>
      </c>
      <c r="AU1448" s="327">
        <v>56</v>
      </c>
      <c r="AV1448" s="327" t="s">
        <v>765</v>
      </c>
      <c r="AW1448" s="327" t="s">
        <v>905</v>
      </c>
      <c r="AX1448" s="327">
        <v>0</v>
      </c>
      <c r="AY1448" s="327">
        <v>-9999</v>
      </c>
      <c r="AZ1448" s="327">
        <v>-9999</v>
      </c>
      <c r="BA1448" s="259"/>
      <c r="BB1448" s="259" t="s">
        <v>626</v>
      </c>
      <c r="BC1448" s="259" t="s">
        <v>906</v>
      </c>
      <c r="BD1448" s="259" t="s">
        <v>907</v>
      </c>
      <c r="BE1448" s="259" t="s">
        <v>908</v>
      </c>
      <c r="BF1448" s="327">
        <v>-9999</v>
      </c>
      <c r="BG1448" s="327">
        <v>-9999</v>
      </c>
      <c r="BH1448" s="327">
        <v>-9999</v>
      </c>
      <c r="BI1448" s="259" t="s">
        <v>968</v>
      </c>
      <c r="BJ1448" s="255">
        <v>-9999</v>
      </c>
      <c r="BK1448" s="255">
        <v>-9999</v>
      </c>
      <c r="BL1448" s="255">
        <v>-9999</v>
      </c>
      <c r="BM1448" s="255">
        <v>-9999</v>
      </c>
      <c r="BN1448" s="255">
        <v>-9999</v>
      </c>
      <c r="BO1448" s="255">
        <v>-9999</v>
      </c>
      <c r="BP1448" s="255">
        <v>-9999</v>
      </c>
      <c r="BQ1448" s="255">
        <v>-9999</v>
      </c>
      <c r="BR1448" s="255">
        <v>-9999</v>
      </c>
      <c r="BS1448" s="328">
        <v>-9999</v>
      </c>
      <c r="BT1448" s="327" t="s">
        <v>1130</v>
      </c>
      <c r="BU1448" s="255">
        <v>-9999</v>
      </c>
      <c r="BV1448" s="255">
        <v>-9999</v>
      </c>
      <c r="BW1448" s="255"/>
      <c r="BX1448" s="255">
        <v>-9999</v>
      </c>
      <c r="BY1448" s="255">
        <v>-9999</v>
      </c>
      <c r="BZ1448" s="255">
        <v>-9999</v>
      </c>
      <c r="CA1448" s="369" t="s">
        <v>974</v>
      </c>
      <c r="CB1448" s="475"/>
      <c r="CC1448" s="327">
        <v>1</v>
      </c>
      <c r="CD1448" s="623">
        <v>2</v>
      </c>
      <c r="CE1448" s="342">
        <v>2.2270349999999999</v>
      </c>
      <c r="CF1448" s="342">
        <v>-9999</v>
      </c>
      <c r="CG1448" s="144">
        <v>2</v>
      </c>
    </row>
    <row r="1449" spans="1:85" s="13" customFormat="1" x14ac:dyDescent="0.2">
      <c r="A1449" s="327" t="s">
        <v>898</v>
      </c>
      <c r="B1449" s="327" t="s">
        <v>970</v>
      </c>
      <c r="C1449" s="327" t="s">
        <v>130</v>
      </c>
      <c r="D1449" s="327" t="s">
        <v>553</v>
      </c>
      <c r="E1449" s="255" t="s">
        <v>901</v>
      </c>
      <c r="F1449" s="327">
        <v>1</v>
      </c>
      <c r="G1449" s="623">
        <v>3</v>
      </c>
      <c r="H1449" s="623">
        <v>3</v>
      </c>
      <c r="I1449" s="327" t="s">
        <v>856</v>
      </c>
      <c r="J1449" s="327">
        <v>2000</v>
      </c>
      <c r="K1449" s="265" t="s">
        <v>856</v>
      </c>
      <c r="L1449" s="265">
        <v>2003</v>
      </c>
      <c r="M1449" s="368">
        <v>-9999</v>
      </c>
      <c r="N1449" s="327">
        <v>-9999</v>
      </c>
      <c r="O1449" s="323"/>
      <c r="P1449" s="297">
        <v>11.972099999999999</v>
      </c>
      <c r="Q1449" s="327">
        <v>-9999</v>
      </c>
      <c r="R1449" s="368"/>
      <c r="S1449" s="327"/>
      <c r="T1449" s="287">
        <f>+P1449/H1449</f>
        <v>3.9906999999999999</v>
      </c>
      <c r="U1449" s="327">
        <v>-9999</v>
      </c>
      <c r="V1449" s="327"/>
      <c r="W1449" s="368">
        <v>-9999</v>
      </c>
      <c r="X1449" s="327">
        <v>-9999</v>
      </c>
      <c r="Y1449" s="327"/>
      <c r="Z1449" s="327" t="s">
        <v>129</v>
      </c>
      <c r="AA1449" s="327">
        <v>1334</v>
      </c>
      <c r="AB1449" s="368">
        <v>0.99199999999999999</v>
      </c>
      <c r="AC1449" s="327">
        <v>-9999</v>
      </c>
      <c r="AD1449" s="327">
        <v>429.4</v>
      </c>
      <c r="AE1449" s="327" t="s">
        <v>1950</v>
      </c>
      <c r="AF1449" s="327">
        <v>8</v>
      </c>
      <c r="AG1449" s="327">
        <v>2</v>
      </c>
      <c r="AH1449" s="327" t="s">
        <v>809</v>
      </c>
      <c r="AI1449" s="255">
        <v>-9999</v>
      </c>
      <c r="AJ1449" s="255">
        <v>-9999</v>
      </c>
      <c r="AK1449" s="327" t="s">
        <v>172</v>
      </c>
      <c r="AL1449" s="327" t="s">
        <v>828</v>
      </c>
      <c r="AM1449" s="327" t="s">
        <v>871</v>
      </c>
      <c r="AN1449" s="259" t="s">
        <v>631</v>
      </c>
      <c r="AO1449" s="255">
        <v>-9999</v>
      </c>
      <c r="AP1449" s="255">
        <v>-9999</v>
      </c>
      <c r="AQ1449" s="327" t="s">
        <v>626</v>
      </c>
      <c r="AR1449" s="327">
        <v>50</v>
      </c>
      <c r="AS1449" s="327" t="s">
        <v>765</v>
      </c>
      <c r="AT1449" s="327" t="s">
        <v>905</v>
      </c>
      <c r="AU1449" s="327">
        <v>56</v>
      </c>
      <c r="AV1449" s="327" t="s">
        <v>765</v>
      </c>
      <c r="AW1449" s="327" t="s">
        <v>905</v>
      </c>
      <c r="AX1449" s="327">
        <v>0</v>
      </c>
      <c r="AY1449" s="327">
        <v>-9999</v>
      </c>
      <c r="AZ1449" s="327">
        <v>-9999</v>
      </c>
      <c r="BA1449" s="259"/>
      <c r="BB1449" s="259" t="s">
        <v>626</v>
      </c>
      <c r="BC1449" s="259" t="s">
        <v>906</v>
      </c>
      <c r="BD1449" s="259" t="s">
        <v>907</v>
      </c>
      <c r="BE1449" s="259" t="s">
        <v>908</v>
      </c>
      <c r="BF1449" s="327">
        <v>-9999</v>
      </c>
      <c r="BG1449" s="327">
        <v>-9999</v>
      </c>
      <c r="BH1449" s="327">
        <v>-9999</v>
      </c>
      <c r="BI1449" s="259" t="s">
        <v>968</v>
      </c>
      <c r="BJ1449" s="255">
        <v>-9999</v>
      </c>
      <c r="BK1449" s="255">
        <v>-9999</v>
      </c>
      <c r="BL1449" s="255">
        <v>-9999</v>
      </c>
      <c r="BM1449" s="255">
        <v>-9999</v>
      </c>
      <c r="BN1449" s="255">
        <v>-9999</v>
      </c>
      <c r="BO1449" s="255">
        <v>-9999</v>
      </c>
      <c r="BP1449" s="255">
        <v>-9999</v>
      </c>
      <c r="BQ1449" s="255">
        <v>-9999</v>
      </c>
      <c r="BR1449" s="255">
        <v>-9999</v>
      </c>
      <c r="BS1449" s="328">
        <v>-9999</v>
      </c>
      <c r="BT1449" s="327" t="s">
        <v>1130</v>
      </c>
      <c r="BU1449" s="255">
        <v>-9999</v>
      </c>
      <c r="BV1449" s="255">
        <v>-9999</v>
      </c>
      <c r="BW1449" s="255"/>
      <c r="BX1449" s="255">
        <v>-9999</v>
      </c>
      <c r="BY1449" s="255">
        <v>-9999</v>
      </c>
      <c r="BZ1449" s="255">
        <v>-9999</v>
      </c>
      <c r="CA1449" s="369" t="s">
        <v>974</v>
      </c>
      <c r="CB1449" s="475" t="s">
        <v>1685</v>
      </c>
      <c r="CC1449" s="327">
        <v>1</v>
      </c>
      <c r="CD1449" s="623">
        <v>3</v>
      </c>
      <c r="CE1449" s="342">
        <v>3.9906999999999999</v>
      </c>
      <c r="CF1449" s="342">
        <v>-9999</v>
      </c>
      <c r="CG1449" s="144">
        <v>3</v>
      </c>
    </row>
    <row r="1450" spans="1:85" s="301" customFormat="1" x14ac:dyDescent="0.2">
      <c r="A1450" s="327" t="s">
        <v>898</v>
      </c>
      <c r="B1450" s="327" t="s">
        <v>970</v>
      </c>
      <c r="C1450" s="327" t="s">
        <v>130</v>
      </c>
      <c r="D1450" s="327" t="s">
        <v>553</v>
      </c>
      <c r="E1450" s="327" t="s">
        <v>901</v>
      </c>
      <c r="F1450" s="327">
        <v>1</v>
      </c>
      <c r="G1450" s="623">
        <v>4</v>
      </c>
      <c r="H1450" s="623">
        <v>4</v>
      </c>
      <c r="I1450" s="327" t="s">
        <v>856</v>
      </c>
      <c r="J1450" s="327">
        <v>2000</v>
      </c>
      <c r="K1450" s="265" t="s">
        <v>856</v>
      </c>
      <c r="L1450" s="624">
        <v>2004</v>
      </c>
      <c r="M1450" s="368">
        <v>-9999</v>
      </c>
      <c r="N1450" s="327">
        <v>-9999</v>
      </c>
      <c r="O1450" s="323"/>
      <c r="P1450" s="368">
        <v>-9999</v>
      </c>
      <c r="Q1450" s="327">
        <v>-9999</v>
      </c>
      <c r="R1450" s="368"/>
      <c r="S1450" s="327"/>
      <c r="T1450" s="287">
        <v>-9999</v>
      </c>
      <c r="U1450" s="327">
        <v>-9999</v>
      </c>
      <c r="V1450" s="327"/>
      <c r="W1450" s="368">
        <v>-9999</v>
      </c>
      <c r="X1450" s="327">
        <v>-9999</v>
      </c>
      <c r="Y1450" s="327"/>
      <c r="Z1450" s="327" t="s">
        <v>129</v>
      </c>
      <c r="AA1450" s="327">
        <v>1334</v>
      </c>
      <c r="AB1450" s="368">
        <v>0.94</v>
      </c>
      <c r="AC1450" s="327">
        <v>-9999</v>
      </c>
      <c r="AD1450" s="327">
        <v>429.4</v>
      </c>
      <c r="AE1450" s="327" t="s">
        <v>1950</v>
      </c>
      <c r="AF1450" s="327">
        <v>8</v>
      </c>
      <c r="AG1450" s="327">
        <v>2</v>
      </c>
      <c r="AH1450" s="327" t="s">
        <v>809</v>
      </c>
      <c r="AI1450" s="327">
        <v>-9999</v>
      </c>
      <c r="AJ1450" s="327">
        <v>-9999</v>
      </c>
      <c r="AK1450" s="327" t="s">
        <v>172</v>
      </c>
      <c r="AL1450" s="327" t="s">
        <v>828</v>
      </c>
      <c r="AM1450" s="327" t="s">
        <v>871</v>
      </c>
      <c r="AN1450" s="327" t="s">
        <v>631</v>
      </c>
      <c r="AO1450" s="327">
        <v>-9999</v>
      </c>
      <c r="AP1450" s="327">
        <v>-9999</v>
      </c>
      <c r="AQ1450" s="327" t="s">
        <v>626</v>
      </c>
      <c r="AR1450" s="327">
        <v>50</v>
      </c>
      <c r="AS1450" s="327" t="s">
        <v>765</v>
      </c>
      <c r="AT1450" s="327" t="s">
        <v>905</v>
      </c>
      <c r="AU1450" s="327">
        <v>56</v>
      </c>
      <c r="AV1450" s="327" t="s">
        <v>765</v>
      </c>
      <c r="AW1450" s="327" t="s">
        <v>905</v>
      </c>
      <c r="AX1450" s="327">
        <v>0</v>
      </c>
      <c r="AY1450" s="327">
        <v>-9999</v>
      </c>
      <c r="AZ1450" s="327">
        <v>-9999</v>
      </c>
      <c r="BA1450" s="327"/>
      <c r="BB1450" s="327" t="s">
        <v>626</v>
      </c>
      <c r="BC1450" s="327" t="s">
        <v>906</v>
      </c>
      <c r="BD1450" s="327" t="s">
        <v>907</v>
      </c>
      <c r="BE1450" s="327" t="s">
        <v>908</v>
      </c>
      <c r="BF1450" s="327">
        <v>-9999</v>
      </c>
      <c r="BG1450" s="327">
        <v>-9999</v>
      </c>
      <c r="BH1450" s="327">
        <v>-9999</v>
      </c>
      <c r="BI1450" s="327" t="s">
        <v>968</v>
      </c>
      <c r="BJ1450" s="327">
        <v>-9999</v>
      </c>
      <c r="BK1450" s="327">
        <v>-9999</v>
      </c>
      <c r="BL1450" s="327">
        <v>-9999</v>
      </c>
      <c r="BM1450" s="327">
        <v>-9999</v>
      </c>
      <c r="BN1450" s="327">
        <v>-9999</v>
      </c>
      <c r="BO1450" s="327">
        <v>-9999</v>
      </c>
      <c r="BP1450" s="327">
        <v>-9999</v>
      </c>
      <c r="BQ1450" s="327">
        <v>-9999</v>
      </c>
      <c r="BR1450" s="327">
        <v>-9999</v>
      </c>
      <c r="BS1450" s="328">
        <v>-9999</v>
      </c>
      <c r="BT1450" s="327" t="s">
        <v>1130</v>
      </c>
      <c r="BU1450" s="327">
        <v>-9999</v>
      </c>
      <c r="BV1450" s="327">
        <v>-9999</v>
      </c>
      <c r="BW1450" s="327"/>
      <c r="BX1450" s="327">
        <v>-9999</v>
      </c>
      <c r="BY1450" s="327">
        <v>-9999</v>
      </c>
      <c r="BZ1450" s="327">
        <v>-9999</v>
      </c>
      <c r="CA1450" s="369" t="s">
        <v>974</v>
      </c>
      <c r="CB1450" s="475" t="s">
        <v>1686</v>
      </c>
      <c r="CC1450" s="327">
        <v>1</v>
      </c>
      <c r="CD1450" s="623">
        <v>4</v>
      </c>
      <c r="CE1450" s="342"/>
      <c r="CF1450" s="342">
        <v>-9999</v>
      </c>
      <c r="CG1450" s="144">
        <v>4</v>
      </c>
    </row>
    <row r="1451" spans="1:85" s="301" customFormat="1" x14ac:dyDescent="0.2">
      <c r="A1451" s="327" t="s">
        <v>898</v>
      </c>
      <c r="B1451" s="327" t="s">
        <v>970</v>
      </c>
      <c r="C1451" s="327" t="s">
        <v>130</v>
      </c>
      <c r="D1451" s="327" t="s">
        <v>553</v>
      </c>
      <c r="E1451" s="327" t="s">
        <v>901</v>
      </c>
      <c r="F1451" s="327">
        <v>1</v>
      </c>
      <c r="G1451" s="623">
        <v>5</v>
      </c>
      <c r="H1451" s="623">
        <v>5</v>
      </c>
      <c r="I1451" s="327" t="s">
        <v>856</v>
      </c>
      <c r="J1451" s="327">
        <v>2000</v>
      </c>
      <c r="K1451" s="265" t="s">
        <v>856</v>
      </c>
      <c r="L1451" s="265">
        <v>2005</v>
      </c>
      <c r="M1451" s="368">
        <v>-9999</v>
      </c>
      <c r="N1451" s="327">
        <v>-9999</v>
      </c>
      <c r="O1451" s="323"/>
      <c r="P1451" s="368">
        <v>24.247900000000001</v>
      </c>
      <c r="Q1451" s="327">
        <v>-9999</v>
      </c>
      <c r="R1451" s="368"/>
      <c r="S1451" s="327"/>
      <c r="T1451" s="287">
        <f>+P1451/H1451</f>
        <v>4.8495800000000004</v>
      </c>
      <c r="U1451" s="327">
        <v>-9999</v>
      </c>
      <c r="V1451" s="327"/>
      <c r="W1451" s="368">
        <v>-9999</v>
      </c>
      <c r="X1451" s="327">
        <v>-9999</v>
      </c>
      <c r="Y1451" s="327"/>
      <c r="Z1451" s="327" t="s">
        <v>129</v>
      </c>
      <c r="AA1451" s="327">
        <v>1334</v>
      </c>
      <c r="AB1451" s="368">
        <v>0.92300000000000004</v>
      </c>
      <c r="AC1451" s="327">
        <v>-9999</v>
      </c>
      <c r="AD1451" s="327">
        <v>429.4</v>
      </c>
      <c r="AE1451" s="327" t="s">
        <v>1950</v>
      </c>
      <c r="AF1451" s="327">
        <v>8</v>
      </c>
      <c r="AG1451" s="327">
        <v>2</v>
      </c>
      <c r="AH1451" s="327" t="s">
        <v>809</v>
      </c>
      <c r="AI1451" s="327">
        <v>-9999</v>
      </c>
      <c r="AJ1451" s="327">
        <v>-9999</v>
      </c>
      <c r="AK1451" s="327" t="s">
        <v>172</v>
      </c>
      <c r="AL1451" s="327" t="s">
        <v>828</v>
      </c>
      <c r="AM1451" s="327" t="s">
        <v>871</v>
      </c>
      <c r="AN1451" s="327" t="s">
        <v>631</v>
      </c>
      <c r="AO1451" s="327">
        <v>-9999</v>
      </c>
      <c r="AP1451" s="327">
        <v>-9999</v>
      </c>
      <c r="AQ1451" s="327" t="s">
        <v>626</v>
      </c>
      <c r="AR1451" s="327">
        <v>50</v>
      </c>
      <c r="AS1451" s="327" t="s">
        <v>765</v>
      </c>
      <c r="AT1451" s="327" t="s">
        <v>905</v>
      </c>
      <c r="AU1451" s="327">
        <v>56</v>
      </c>
      <c r="AV1451" s="327" t="s">
        <v>765</v>
      </c>
      <c r="AW1451" s="327" t="s">
        <v>905</v>
      </c>
      <c r="AX1451" s="327">
        <v>0</v>
      </c>
      <c r="AY1451" s="327">
        <v>-9999</v>
      </c>
      <c r="AZ1451" s="327">
        <v>-9999</v>
      </c>
      <c r="BA1451" s="327"/>
      <c r="BB1451" s="327" t="s">
        <v>626</v>
      </c>
      <c r="BC1451" s="327" t="s">
        <v>906</v>
      </c>
      <c r="BD1451" s="327" t="s">
        <v>907</v>
      </c>
      <c r="BE1451" s="327" t="s">
        <v>908</v>
      </c>
      <c r="BF1451" s="327">
        <v>-9999</v>
      </c>
      <c r="BG1451" s="327">
        <v>-9999</v>
      </c>
      <c r="BH1451" s="327">
        <v>-9999</v>
      </c>
      <c r="BI1451" s="327" t="s">
        <v>968</v>
      </c>
      <c r="BJ1451" s="327">
        <v>-9999</v>
      </c>
      <c r="BK1451" s="327">
        <v>-9999</v>
      </c>
      <c r="BL1451" s="327">
        <v>-9999</v>
      </c>
      <c r="BM1451" s="327">
        <v>-9999</v>
      </c>
      <c r="BN1451" s="327">
        <v>-9999</v>
      </c>
      <c r="BO1451" s="327">
        <v>-9999</v>
      </c>
      <c r="BP1451" s="327">
        <v>-9999</v>
      </c>
      <c r="BQ1451" s="327">
        <v>-9999</v>
      </c>
      <c r="BR1451" s="327">
        <v>-9999</v>
      </c>
      <c r="BS1451" s="328">
        <v>-9999</v>
      </c>
      <c r="BT1451" s="327" t="s">
        <v>1130</v>
      </c>
      <c r="BU1451" s="327">
        <v>-9999</v>
      </c>
      <c r="BV1451" s="327">
        <v>-9999</v>
      </c>
      <c r="BW1451" s="327"/>
      <c r="BX1451" s="327">
        <v>-9999</v>
      </c>
      <c r="BY1451" s="327">
        <v>-9999</v>
      </c>
      <c r="BZ1451" s="327">
        <v>-9999</v>
      </c>
      <c r="CA1451" s="369" t="s">
        <v>974</v>
      </c>
      <c r="CB1451" s="475" t="s">
        <v>1687</v>
      </c>
      <c r="CC1451" s="327">
        <v>1</v>
      </c>
      <c r="CD1451" s="623">
        <v>5</v>
      </c>
      <c r="CE1451" s="342">
        <v>4.8495800000000004</v>
      </c>
      <c r="CF1451" s="342">
        <v>-9999</v>
      </c>
      <c r="CG1451" s="144">
        <v>5</v>
      </c>
    </row>
    <row r="1452" spans="1:85" s="13" customFormat="1" x14ac:dyDescent="0.2">
      <c r="A1452" s="18"/>
      <c r="B1452" s="18"/>
      <c r="C1452" s="18"/>
      <c r="D1452" s="323"/>
      <c r="E1452" s="18"/>
      <c r="F1452" s="18"/>
      <c r="G1452" s="20"/>
      <c r="H1452" s="20"/>
      <c r="I1452" s="18"/>
      <c r="J1452" s="18"/>
      <c r="K1452" s="18"/>
      <c r="L1452" s="18"/>
      <c r="M1452" s="311"/>
      <c r="N1452" s="18"/>
      <c r="O1452" s="18"/>
      <c r="P1452" s="21"/>
      <c r="Q1452" s="18"/>
      <c r="R1452" s="99"/>
      <c r="T1452" s="22"/>
      <c r="U1452" s="18"/>
      <c r="V1452" s="18"/>
      <c r="W1452" s="21"/>
      <c r="X1452" s="18"/>
      <c r="Y1452" s="18"/>
      <c r="Z1452" s="18"/>
      <c r="AA1452" s="18"/>
      <c r="AB1452" s="21"/>
      <c r="AC1452" s="18"/>
      <c r="AD1452" s="18"/>
      <c r="AE1452" s="18"/>
      <c r="AF1452" s="18"/>
      <c r="AG1452" s="18"/>
      <c r="AH1452" s="18"/>
      <c r="AI1452" s="18"/>
      <c r="AJ1452" s="18"/>
      <c r="AK1452" s="18"/>
      <c r="AL1452" s="18"/>
      <c r="AM1452" s="18"/>
      <c r="AN1452" s="18"/>
      <c r="AO1452" s="18"/>
      <c r="AP1452" s="18"/>
      <c r="AQ1452" s="18"/>
      <c r="AR1452" s="18"/>
      <c r="AS1452" s="18"/>
      <c r="AT1452" s="18"/>
      <c r="AU1452" s="18"/>
      <c r="AV1452" s="18"/>
      <c r="AW1452" s="18"/>
      <c r="AX1452" s="18"/>
      <c r="AY1452" s="18"/>
      <c r="AZ1452" s="18"/>
      <c r="BA1452" s="18"/>
      <c r="BB1452" s="18"/>
      <c r="BC1452" s="18"/>
      <c r="BD1452" s="18"/>
      <c r="BE1452" s="18"/>
      <c r="BF1452" s="18"/>
      <c r="BG1452" s="18"/>
      <c r="BH1452" s="18"/>
      <c r="BI1452" s="18"/>
      <c r="BJ1452" s="18"/>
      <c r="BK1452" s="18"/>
      <c r="BL1452" s="18"/>
      <c r="BM1452" s="18"/>
      <c r="BN1452" s="18"/>
      <c r="BO1452" s="18"/>
      <c r="BP1452" s="18"/>
      <c r="BQ1452" s="18"/>
      <c r="BR1452" s="18"/>
      <c r="BS1452" s="291"/>
      <c r="BT1452" s="18"/>
      <c r="BU1452" s="18"/>
      <c r="BV1452" s="18"/>
      <c r="BW1452" s="18"/>
      <c r="BX1452" s="18"/>
      <c r="BY1452" s="18"/>
      <c r="BZ1452" s="18"/>
      <c r="CA1452" s="73"/>
      <c r="CC1452" s="18"/>
      <c r="CD1452" s="291"/>
      <c r="CE1452" s="99"/>
      <c r="CF1452" s="99"/>
      <c r="CG1452" s="20"/>
    </row>
    <row r="1453" spans="1:85" s="13" customFormat="1" ht="12.75" customHeight="1" x14ac:dyDescent="0.2">
      <c r="A1453" s="259" t="s">
        <v>971</v>
      </c>
      <c r="B1453" s="259"/>
      <c r="C1453" s="259"/>
      <c r="D1453" s="259"/>
      <c r="E1453" s="259"/>
      <c r="F1453" s="259"/>
      <c r="G1453" s="259"/>
      <c r="H1453" s="288"/>
      <c r="I1453" s="259"/>
      <c r="J1453" s="259"/>
      <c r="K1453" s="259"/>
      <c r="L1453" s="259"/>
      <c r="M1453" s="368"/>
      <c r="N1453" s="327"/>
      <c r="O1453" s="323"/>
      <c r="P1453" s="288"/>
      <c r="Q1453" s="327"/>
      <c r="R1453" s="368"/>
      <c r="S1453" s="327"/>
      <c r="T1453" s="590"/>
      <c r="U1453" s="327"/>
      <c r="V1453" s="327" t="s">
        <v>953</v>
      </c>
      <c r="W1453" s="368"/>
      <c r="X1453" s="327"/>
      <c r="Y1453" s="327" t="s">
        <v>1408</v>
      </c>
      <c r="Z1453" s="259"/>
      <c r="AA1453" s="627"/>
      <c r="AB1453" s="368"/>
      <c r="AC1453" s="259"/>
      <c r="AD1453" s="327"/>
      <c r="AE1453" s="327"/>
      <c r="AF1453" s="259"/>
      <c r="AG1453" s="259"/>
      <c r="AH1453" s="259"/>
      <c r="AI1453" s="259"/>
      <c r="AJ1453" s="259"/>
      <c r="AK1453" s="259"/>
      <c r="AL1453" s="259"/>
      <c r="AM1453" s="259"/>
      <c r="AN1453" s="259"/>
      <c r="AO1453" s="259"/>
      <c r="AP1453" s="259"/>
      <c r="AQ1453" s="259"/>
      <c r="AR1453" s="259"/>
      <c r="AS1453" s="259"/>
      <c r="AT1453" s="259"/>
      <c r="AU1453" s="259"/>
      <c r="AV1453" s="259"/>
      <c r="AW1453" s="259"/>
      <c r="AX1453" s="259"/>
      <c r="AY1453" s="259"/>
      <c r="AZ1453" s="259"/>
      <c r="BA1453" s="259"/>
      <c r="BB1453" s="259"/>
      <c r="BC1453" s="259"/>
      <c r="BD1453" s="259"/>
      <c r="BE1453" s="259"/>
      <c r="BF1453" s="259"/>
      <c r="BG1453" s="259"/>
      <c r="BH1453" s="259"/>
      <c r="BI1453" s="259"/>
      <c r="BJ1453" s="259"/>
      <c r="BK1453" s="259"/>
      <c r="BL1453" s="259"/>
      <c r="BM1453" s="259"/>
      <c r="BN1453" s="259"/>
      <c r="BO1453" s="259"/>
      <c r="BP1453" s="259"/>
      <c r="BQ1453" s="259"/>
      <c r="BR1453" s="259"/>
      <c r="BS1453" s="328">
        <v>-9999</v>
      </c>
      <c r="BT1453" s="259"/>
      <c r="BU1453" s="259"/>
      <c r="BV1453" s="259"/>
      <c r="BW1453" s="259"/>
      <c r="BX1453" s="259"/>
      <c r="BY1453" s="259"/>
      <c r="BZ1453" s="259"/>
      <c r="CA1453" s="337"/>
      <c r="CB1453" s="592"/>
      <c r="CC1453" s="259"/>
      <c r="CD1453" s="623" t="s">
        <v>1634</v>
      </c>
      <c r="CE1453" s="342" t="s">
        <v>1576</v>
      </c>
      <c r="CF1453" s="342" t="s">
        <v>1575</v>
      </c>
      <c r="CG1453" s="40"/>
    </row>
    <row r="1454" spans="1:85" s="301" customFormat="1" ht="12.75" customHeight="1" x14ac:dyDescent="0.3">
      <c r="A1454" s="327" t="s">
        <v>972</v>
      </c>
      <c r="B1454" s="327" t="s">
        <v>1250</v>
      </c>
      <c r="C1454" s="327" t="s">
        <v>854</v>
      </c>
      <c r="D1454" s="327" t="s">
        <v>553</v>
      </c>
      <c r="E1454" s="327" t="s">
        <v>901</v>
      </c>
      <c r="F1454" s="327">
        <v>1</v>
      </c>
      <c r="G1454" s="327">
        <v>2</v>
      </c>
      <c r="H1454" s="328">
        <v>2</v>
      </c>
      <c r="I1454" s="327" t="s">
        <v>856</v>
      </c>
      <c r="J1454" s="327">
        <v>1995</v>
      </c>
      <c r="K1454" s="327" t="s">
        <v>856</v>
      </c>
      <c r="L1454" s="327">
        <v>1997</v>
      </c>
      <c r="M1454" s="368">
        <v>-9999</v>
      </c>
      <c r="N1454" s="327">
        <v>-9999</v>
      </c>
      <c r="O1454" s="651">
        <f>1/0.34</f>
        <v>2.9411764705882351</v>
      </c>
      <c r="P1454" s="370">
        <f t="shared" ref="P1454:P1463" si="149">R1454*O1454</f>
        <v>5.5882352941176467</v>
      </c>
      <c r="Q1454" s="328">
        <v>-9999</v>
      </c>
      <c r="R1454" s="287">
        <f>+Y1454</f>
        <v>1.9</v>
      </c>
      <c r="S1454" s="413"/>
      <c r="T1454" s="370">
        <f t="shared" ref="T1454:T1463" si="150">+P1454/H1454</f>
        <v>2.7941176470588234</v>
      </c>
      <c r="U1454" s="328">
        <v>-9999</v>
      </c>
      <c r="V1454" s="431">
        <v>0.95</v>
      </c>
      <c r="W1454" s="287">
        <f>+Y1454*O1454</f>
        <v>5.5882352941176467</v>
      </c>
      <c r="X1454" s="328">
        <v>-9999</v>
      </c>
      <c r="Y1454" s="408">
        <v>1.9</v>
      </c>
      <c r="Z1454" s="327" t="s">
        <v>1709</v>
      </c>
      <c r="AA1454" s="628">
        <f>1077-7</f>
        <v>1070</v>
      </c>
      <c r="AB1454" s="287">
        <v>1</v>
      </c>
      <c r="AC1454" s="327">
        <v>0.2</v>
      </c>
      <c r="AD1454" s="327">
        <v>2.5999999999999999E-2</v>
      </c>
      <c r="AE1454" s="327" t="s">
        <v>963</v>
      </c>
      <c r="AF1454" s="327">
        <v>3</v>
      </c>
      <c r="AG1454" s="327" t="s">
        <v>878</v>
      </c>
      <c r="AH1454" s="327" t="s">
        <v>857</v>
      </c>
      <c r="AI1454" s="327" t="s">
        <v>858</v>
      </c>
      <c r="AJ1454" s="327" t="s">
        <v>859</v>
      </c>
      <c r="AK1454" s="327" t="s">
        <v>860</v>
      </c>
      <c r="AL1454" s="327" t="s">
        <v>828</v>
      </c>
      <c r="AM1454" s="327" t="s">
        <v>861</v>
      </c>
      <c r="AN1454" s="327" t="s">
        <v>626</v>
      </c>
      <c r="AO1454" s="327" t="s">
        <v>973</v>
      </c>
      <c r="AP1454" s="629" t="s">
        <v>131</v>
      </c>
      <c r="AQ1454" s="327" t="s">
        <v>626</v>
      </c>
      <c r="AR1454" s="327">
        <f>45+87</f>
        <v>132</v>
      </c>
      <c r="AS1454" s="327" t="s">
        <v>705</v>
      </c>
      <c r="AT1454" s="327" t="s">
        <v>707</v>
      </c>
      <c r="AU1454" s="327">
        <f>11+22</f>
        <v>33</v>
      </c>
      <c r="AV1454" s="327" t="s">
        <v>709</v>
      </c>
      <c r="AW1454" s="327" t="s">
        <v>708</v>
      </c>
      <c r="AX1454" s="327">
        <f>45+87</f>
        <v>132</v>
      </c>
      <c r="AY1454" s="327" t="s">
        <v>710</v>
      </c>
      <c r="AZ1454" s="327" t="s">
        <v>708</v>
      </c>
      <c r="BA1454" s="327" t="s">
        <v>869</v>
      </c>
      <c r="BB1454" s="327" t="s">
        <v>779</v>
      </c>
      <c r="BC1454" s="327" t="s">
        <v>864</v>
      </c>
      <c r="BD1454" s="327"/>
      <c r="BE1454" s="327" t="s">
        <v>865</v>
      </c>
      <c r="BF1454" s="327" t="s">
        <v>863</v>
      </c>
      <c r="BG1454" s="327">
        <v>-9999</v>
      </c>
      <c r="BH1454" s="327">
        <v>-9999</v>
      </c>
      <c r="BI1454" s="327" t="s">
        <v>866</v>
      </c>
      <c r="BJ1454" s="327">
        <v>1.1000000000000001</v>
      </c>
      <c r="BK1454" s="327">
        <v>-9999</v>
      </c>
      <c r="BL1454" s="327">
        <v>3.2</v>
      </c>
      <c r="BM1454" s="327">
        <v>-9999</v>
      </c>
      <c r="BN1454" s="363">
        <v>3.7</v>
      </c>
      <c r="BO1454" s="327">
        <v>-9999</v>
      </c>
      <c r="BP1454" s="327">
        <v>-9999</v>
      </c>
      <c r="BQ1454" s="327">
        <v>-9999</v>
      </c>
      <c r="BR1454" s="327">
        <v>-9999</v>
      </c>
      <c r="BS1454" s="328">
        <v>-9999</v>
      </c>
      <c r="BT1454" s="327">
        <v>-9999</v>
      </c>
      <c r="BU1454" s="327">
        <v>-9999</v>
      </c>
      <c r="BV1454" s="327">
        <v>-9999</v>
      </c>
      <c r="BW1454" s="327"/>
      <c r="BX1454" s="327">
        <v>-9999</v>
      </c>
      <c r="BY1454" s="327">
        <v>-9999</v>
      </c>
      <c r="BZ1454" s="327">
        <v>-9999</v>
      </c>
      <c r="CA1454" s="369" t="s">
        <v>974</v>
      </c>
      <c r="CB1454" s="475"/>
      <c r="CC1454" s="327">
        <v>1</v>
      </c>
      <c r="CD1454" s="327">
        <v>2</v>
      </c>
      <c r="CE1454" s="342">
        <v>2.7941176470588234</v>
      </c>
      <c r="CF1454" s="342">
        <v>5.5882352941176467</v>
      </c>
      <c r="CG1454" s="347">
        <v>2</v>
      </c>
    </row>
    <row r="1455" spans="1:85" s="301" customFormat="1" ht="12.75" customHeight="1" x14ac:dyDescent="0.3">
      <c r="A1455" s="327" t="s">
        <v>972</v>
      </c>
      <c r="B1455" s="327" t="s">
        <v>1250</v>
      </c>
      <c r="C1455" s="327" t="s">
        <v>854</v>
      </c>
      <c r="D1455" s="327" t="s">
        <v>553</v>
      </c>
      <c r="E1455" s="327" t="s">
        <v>901</v>
      </c>
      <c r="F1455" s="327">
        <v>1</v>
      </c>
      <c r="G1455" s="327">
        <v>3</v>
      </c>
      <c r="H1455" s="328">
        <v>3</v>
      </c>
      <c r="I1455" s="327" t="s">
        <v>856</v>
      </c>
      <c r="J1455" s="327">
        <v>1995</v>
      </c>
      <c r="K1455" s="327" t="s">
        <v>856</v>
      </c>
      <c r="L1455" s="327">
        <v>1998</v>
      </c>
      <c r="M1455" s="368">
        <v>-9999</v>
      </c>
      <c r="N1455" s="327">
        <v>-9999</v>
      </c>
      <c r="O1455" s="652">
        <f>1/0.34</f>
        <v>2.9411764705882351</v>
      </c>
      <c r="P1455" s="370">
        <f t="shared" si="149"/>
        <v>16.352941176470587</v>
      </c>
      <c r="Q1455" s="328">
        <v>-9999</v>
      </c>
      <c r="R1455" s="287">
        <f t="shared" ref="R1455:R1463" si="151">+Y1455+R1454</f>
        <v>5.5600000000000005</v>
      </c>
      <c r="S1455" s="413"/>
      <c r="T1455" s="370">
        <f t="shared" si="150"/>
        <v>5.450980392156862</v>
      </c>
      <c r="U1455" s="328">
        <v>-9999</v>
      </c>
      <c r="V1455" s="431">
        <v>1.8533333333333335</v>
      </c>
      <c r="W1455" s="287">
        <f>3.66*O1455</f>
        <v>10.76470588235294</v>
      </c>
      <c r="X1455" s="328">
        <v>-9999</v>
      </c>
      <c r="Y1455" s="327">
        <v>3.66</v>
      </c>
      <c r="Z1455" s="327" t="s">
        <v>1709</v>
      </c>
      <c r="AA1455" s="628">
        <f t="shared" ref="AA1455:AA1463" si="152">1077-7</f>
        <v>1070</v>
      </c>
      <c r="AB1455" s="287">
        <v>0.96448598130841123</v>
      </c>
      <c r="AC1455" s="327">
        <v>0.2</v>
      </c>
      <c r="AD1455" s="327">
        <v>2.5999999999999999E-2</v>
      </c>
      <c r="AE1455" s="327" t="s">
        <v>963</v>
      </c>
      <c r="AF1455" s="327">
        <v>3</v>
      </c>
      <c r="AG1455" s="327" t="s">
        <v>878</v>
      </c>
      <c r="AH1455" s="327" t="s">
        <v>857</v>
      </c>
      <c r="AI1455" s="327" t="s">
        <v>858</v>
      </c>
      <c r="AJ1455" s="327" t="s">
        <v>859</v>
      </c>
      <c r="AK1455" s="327" t="s">
        <v>860</v>
      </c>
      <c r="AL1455" s="327" t="s">
        <v>828</v>
      </c>
      <c r="AM1455" s="327" t="s">
        <v>861</v>
      </c>
      <c r="AN1455" s="327" t="s">
        <v>626</v>
      </c>
      <c r="AO1455" s="327" t="s">
        <v>973</v>
      </c>
      <c r="AP1455" s="327" t="s">
        <v>132</v>
      </c>
      <c r="AQ1455" s="327" t="s">
        <v>626</v>
      </c>
      <c r="AR1455" s="327">
        <f>+AR1454+135</f>
        <v>267</v>
      </c>
      <c r="AS1455" s="327" t="s">
        <v>692</v>
      </c>
      <c r="AT1455" s="327" t="s">
        <v>708</v>
      </c>
      <c r="AU1455" s="327">
        <f>+AU1454+33</f>
        <v>66</v>
      </c>
      <c r="AV1455" s="327" t="s">
        <v>700</v>
      </c>
      <c r="AW1455" s="327" t="s">
        <v>708</v>
      </c>
      <c r="AX1455" s="327">
        <f>+AX1454+130</f>
        <v>262</v>
      </c>
      <c r="AY1455" s="327" t="s">
        <v>711</v>
      </c>
      <c r="AZ1455" s="327" t="s">
        <v>708</v>
      </c>
      <c r="BA1455" s="327" t="s">
        <v>869</v>
      </c>
      <c r="BB1455" s="327" t="s">
        <v>779</v>
      </c>
      <c r="BC1455" s="327" t="s">
        <v>864</v>
      </c>
      <c r="BD1455" s="327"/>
      <c r="BE1455" s="327" t="s">
        <v>865</v>
      </c>
      <c r="BF1455" s="327" t="s">
        <v>863</v>
      </c>
      <c r="BG1455" s="327">
        <v>-9999</v>
      </c>
      <c r="BH1455" s="327">
        <v>-9999</v>
      </c>
      <c r="BI1455" s="327" t="s">
        <v>866</v>
      </c>
      <c r="BJ1455" s="327">
        <v>5.6</v>
      </c>
      <c r="BK1455" s="327">
        <v>-9999</v>
      </c>
      <c r="BL1455" s="327">
        <v>5.6</v>
      </c>
      <c r="BM1455" s="327">
        <v>-9999</v>
      </c>
      <c r="BN1455" s="363">
        <v>9.4</v>
      </c>
      <c r="BO1455" s="327">
        <v>-9999</v>
      </c>
      <c r="BP1455" s="327">
        <v>-9999</v>
      </c>
      <c r="BQ1455" s="327">
        <v>-9999</v>
      </c>
      <c r="BR1455" s="327">
        <v>-9999</v>
      </c>
      <c r="BS1455" s="328">
        <v>-9999</v>
      </c>
      <c r="BT1455" s="327">
        <v>-9999</v>
      </c>
      <c r="BU1455" s="327">
        <v>-9999</v>
      </c>
      <c r="BV1455" s="327">
        <v>-9999</v>
      </c>
      <c r="BW1455" s="327"/>
      <c r="BX1455" s="327">
        <v>-9999</v>
      </c>
      <c r="BY1455" s="327">
        <v>-9999</v>
      </c>
      <c r="BZ1455" s="327">
        <v>-9999</v>
      </c>
      <c r="CA1455" s="369" t="s">
        <v>974</v>
      </c>
      <c r="CB1455" s="475"/>
      <c r="CC1455" s="327">
        <v>1</v>
      </c>
      <c r="CD1455" s="327">
        <v>3</v>
      </c>
      <c r="CE1455" s="342">
        <v>5.4509803921568629</v>
      </c>
      <c r="CF1455" s="342">
        <v>10.76470588235294</v>
      </c>
      <c r="CG1455" s="347">
        <v>3</v>
      </c>
    </row>
    <row r="1456" spans="1:85" s="301" customFormat="1" ht="12.75" customHeight="1" x14ac:dyDescent="0.3">
      <c r="A1456" s="327" t="s">
        <v>972</v>
      </c>
      <c r="B1456" s="327" t="s">
        <v>1250</v>
      </c>
      <c r="C1456" s="327" t="s">
        <v>854</v>
      </c>
      <c r="D1456" s="327" t="s">
        <v>553</v>
      </c>
      <c r="E1456" s="327" t="s">
        <v>901</v>
      </c>
      <c r="F1456" s="327">
        <v>1</v>
      </c>
      <c r="G1456" s="327">
        <v>4</v>
      </c>
      <c r="H1456" s="328">
        <v>4</v>
      </c>
      <c r="I1456" s="327" t="s">
        <v>856</v>
      </c>
      <c r="J1456" s="327">
        <v>1995</v>
      </c>
      <c r="K1456" s="327" t="s">
        <v>856</v>
      </c>
      <c r="L1456" s="327">
        <v>1999</v>
      </c>
      <c r="M1456" s="368">
        <v>-9999</v>
      </c>
      <c r="N1456" s="327">
        <v>-9999</v>
      </c>
      <c r="O1456" s="652">
        <f>1/0.48</f>
        <v>2.0833333333333335</v>
      </c>
      <c r="P1456" s="370">
        <f t="shared" si="149"/>
        <v>45.333333333333336</v>
      </c>
      <c r="Q1456" s="328">
        <v>-9999</v>
      </c>
      <c r="R1456" s="287">
        <f t="shared" si="151"/>
        <v>21.759999999999998</v>
      </c>
      <c r="S1456" s="413"/>
      <c r="T1456" s="370">
        <f t="shared" si="150"/>
        <v>11.333333333333334</v>
      </c>
      <c r="U1456" s="328">
        <v>-9999</v>
      </c>
      <c r="V1456" s="431">
        <v>5.4399999999999995</v>
      </c>
      <c r="W1456" s="287">
        <f>16.2*O1456</f>
        <v>33.75</v>
      </c>
      <c r="X1456" s="328">
        <v>-9999</v>
      </c>
      <c r="Y1456" s="327">
        <v>16.2</v>
      </c>
      <c r="Z1456" s="327" t="s">
        <v>1709</v>
      </c>
      <c r="AA1456" s="628">
        <f t="shared" si="152"/>
        <v>1070</v>
      </c>
      <c r="AB1456" s="287">
        <v>0.92897196261682247</v>
      </c>
      <c r="AC1456" s="327">
        <v>0.2</v>
      </c>
      <c r="AD1456" s="327">
        <v>2.5999999999999999E-2</v>
      </c>
      <c r="AE1456" s="327" t="s">
        <v>963</v>
      </c>
      <c r="AF1456" s="327">
        <v>3</v>
      </c>
      <c r="AG1456" s="327" t="s">
        <v>878</v>
      </c>
      <c r="AH1456" s="327" t="s">
        <v>857</v>
      </c>
      <c r="AI1456" s="327" t="s">
        <v>858</v>
      </c>
      <c r="AJ1456" s="327" t="s">
        <v>859</v>
      </c>
      <c r="AK1456" s="327" t="s">
        <v>860</v>
      </c>
      <c r="AL1456" s="327" t="s">
        <v>828</v>
      </c>
      <c r="AM1456" s="327" t="s">
        <v>861</v>
      </c>
      <c r="AN1456" s="327" t="s">
        <v>626</v>
      </c>
      <c r="AO1456" s="327" t="s">
        <v>973</v>
      </c>
      <c r="AP1456" s="327" t="s">
        <v>133</v>
      </c>
      <c r="AQ1456" s="327" t="s">
        <v>626</v>
      </c>
      <c r="AR1456" s="327">
        <f>+AR1455+112</f>
        <v>379</v>
      </c>
      <c r="AS1456" s="327" t="s">
        <v>693</v>
      </c>
      <c r="AT1456" s="327" t="s">
        <v>708</v>
      </c>
      <c r="AU1456" s="327">
        <f>+AU1455+20</f>
        <v>86</v>
      </c>
      <c r="AV1456" s="327" t="s">
        <v>701</v>
      </c>
      <c r="AW1456" s="327" t="s">
        <v>708</v>
      </c>
      <c r="AX1456" s="327">
        <f>+AX1455+90</f>
        <v>352</v>
      </c>
      <c r="AY1456" s="327" t="s">
        <v>712</v>
      </c>
      <c r="AZ1456" s="327" t="s">
        <v>708</v>
      </c>
      <c r="BA1456" s="475" t="s">
        <v>720</v>
      </c>
      <c r="BB1456" s="327" t="s">
        <v>626</v>
      </c>
      <c r="BC1456" s="327" t="s">
        <v>864</v>
      </c>
      <c r="BD1456" s="327"/>
      <c r="BE1456" s="327" t="s">
        <v>865</v>
      </c>
      <c r="BF1456" s="327" t="s">
        <v>863</v>
      </c>
      <c r="BG1456" s="327">
        <v>-9999</v>
      </c>
      <c r="BH1456" s="327">
        <v>-9999</v>
      </c>
      <c r="BI1456" s="327" t="s">
        <v>866</v>
      </c>
      <c r="BJ1456" s="327">
        <v>12.7</v>
      </c>
      <c r="BK1456" s="327">
        <v>-9999</v>
      </c>
      <c r="BL1456" s="327">
        <v>7.4</v>
      </c>
      <c r="BM1456" s="327">
        <v>-9999</v>
      </c>
      <c r="BN1456" s="363">
        <v>13.8</v>
      </c>
      <c r="BO1456" s="327">
        <v>-9999</v>
      </c>
      <c r="BP1456" s="327">
        <v>-9999</v>
      </c>
      <c r="BQ1456" s="327">
        <v>-9999</v>
      </c>
      <c r="BR1456" s="327">
        <v>-9999</v>
      </c>
      <c r="BS1456" s="328">
        <v>-9999</v>
      </c>
      <c r="BT1456" s="327">
        <v>-9999</v>
      </c>
      <c r="BU1456" s="327">
        <v>-9999</v>
      </c>
      <c r="BV1456" s="327">
        <v>-9999</v>
      </c>
      <c r="BW1456" s="327"/>
      <c r="BX1456" s="327">
        <v>-9999</v>
      </c>
      <c r="BY1456" s="327">
        <v>-9999</v>
      </c>
      <c r="BZ1456" s="327">
        <v>-9999</v>
      </c>
      <c r="CA1456" s="369" t="s">
        <v>974</v>
      </c>
      <c r="CB1456" s="475"/>
      <c r="CC1456" s="327">
        <v>1</v>
      </c>
      <c r="CD1456" s="327">
        <v>4</v>
      </c>
      <c r="CE1456" s="342">
        <v>11.333333333333334</v>
      </c>
      <c r="CF1456" s="342">
        <v>33.75</v>
      </c>
      <c r="CG1456" s="347">
        <v>4</v>
      </c>
    </row>
    <row r="1457" spans="1:86" s="301" customFormat="1" ht="12.75" customHeight="1" x14ac:dyDescent="0.3">
      <c r="A1457" s="327" t="s">
        <v>972</v>
      </c>
      <c r="B1457" s="327" t="s">
        <v>1250</v>
      </c>
      <c r="C1457" s="327" t="s">
        <v>854</v>
      </c>
      <c r="D1457" s="327" t="s">
        <v>553</v>
      </c>
      <c r="E1457" s="327" t="s">
        <v>901</v>
      </c>
      <c r="F1457" s="327">
        <v>1</v>
      </c>
      <c r="G1457" s="327">
        <v>5</v>
      </c>
      <c r="H1457" s="328">
        <v>5</v>
      </c>
      <c r="I1457" s="327" t="s">
        <v>856</v>
      </c>
      <c r="J1457" s="327">
        <v>1995</v>
      </c>
      <c r="K1457" s="327" t="s">
        <v>856</v>
      </c>
      <c r="L1457" s="327">
        <v>2000</v>
      </c>
      <c r="M1457" s="368">
        <v>-9999</v>
      </c>
      <c r="N1457" s="327">
        <v>-9999</v>
      </c>
      <c r="O1457" s="652">
        <f>1/0.66</f>
        <v>1.5151515151515151</v>
      </c>
      <c r="P1457" s="370">
        <f t="shared" si="149"/>
        <v>58.878787878787875</v>
      </c>
      <c r="Q1457" s="328">
        <v>-9999</v>
      </c>
      <c r="R1457" s="287">
        <f t="shared" si="151"/>
        <v>38.86</v>
      </c>
      <c r="S1457" s="413"/>
      <c r="T1457" s="370">
        <f t="shared" si="150"/>
        <v>11.775757575757575</v>
      </c>
      <c r="U1457" s="328">
        <v>-9999</v>
      </c>
      <c r="V1457" s="431">
        <v>7.7720000000000002</v>
      </c>
      <c r="W1457" s="287">
        <f>17.1*O1457</f>
        <v>25.90909090909091</v>
      </c>
      <c r="X1457" s="328">
        <v>-9999</v>
      </c>
      <c r="Y1457" s="327">
        <v>17.100000000000001</v>
      </c>
      <c r="Z1457" s="327" t="s">
        <v>1709</v>
      </c>
      <c r="AA1457" s="628">
        <f t="shared" si="152"/>
        <v>1070</v>
      </c>
      <c r="AB1457" s="287">
        <v>0.92897196261682247</v>
      </c>
      <c r="AC1457" s="327">
        <v>0.2</v>
      </c>
      <c r="AD1457" s="327">
        <v>2.5999999999999999E-2</v>
      </c>
      <c r="AE1457" s="327" t="s">
        <v>963</v>
      </c>
      <c r="AF1457" s="327">
        <v>3</v>
      </c>
      <c r="AG1457" s="327" t="s">
        <v>878</v>
      </c>
      <c r="AH1457" s="327" t="s">
        <v>857</v>
      </c>
      <c r="AI1457" s="327" t="s">
        <v>858</v>
      </c>
      <c r="AJ1457" s="327" t="s">
        <v>859</v>
      </c>
      <c r="AK1457" s="327" t="s">
        <v>860</v>
      </c>
      <c r="AL1457" s="327" t="s">
        <v>828</v>
      </c>
      <c r="AM1457" s="327" t="s">
        <v>861</v>
      </c>
      <c r="AN1457" s="327" t="s">
        <v>626</v>
      </c>
      <c r="AO1457" s="327" t="s">
        <v>973</v>
      </c>
      <c r="AP1457" s="327" t="s">
        <v>862</v>
      </c>
      <c r="AQ1457" s="327" t="s">
        <v>626</v>
      </c>
      <c r="AR1457" s="327">
        <f>+AR1456+79</f>
        <v>458</v>
      </c>
      <c r="AS1457" s="327" t="s">
        <v>694</v>
      </c>
      <c r="AT1457" s="327" t="s">
        <v>708</v>
      </c>
      <c r="AU1457" s="327">
        <f>+AU1456+20</f>
        <v>106</v>
      </c>
      <c r="AV1457" s="327" t="s">
        <v>701</v>
      </c>
      <c r="AW1457" s="327" t="s">
        <v>708</v>
      </c>
      <c r="AX1457" s="327">
        <f>+AX1456+79</f>
        <v>431</v>
      </c>
      <c r="AY1457" s="327" t="s">
        <v>713</v>
      </c>
      <c r="AZ1457" s="327" t="s">
        <v>708</v>
      </c>
      <c r="BA1457" s="327" t="s">
        <v>869</v>
      </c>
      <c r="BB1457" s="327" t="s">
        <v>626</v>
      </c>
      <c r="BC1457" s="327" t="s">
        <v>864</v>
      </c>
      <c r="BD1457" s="327"/>
      <c r="BE1457" s="327" t="s">
        <v>865</v>
      </c>
      <c r="BF1457" s="327" t="s">
        <v>863</v>
      </c>
      <c r="BG1457" s="327">
        <v>-9999</v>
      </c>
      <c r="BH1457" s="327">
        <v>-9999</v>
      </c>
      <c r="BI1457" s="327" t="s">
        <v>866</v>
      </c>
      <c r="BJ1457" s="327">
        <v>18.100000000000001</v>
      </c>
      <c r="BK1457" s="327">
        <v>-9999</v>
      </c>
      <c r="BL1457" s="327">
        <v>8.75</v>
      </c>
      <c r="BM1457" s="327">
        <v>-9999</v>
      </c>
      <c r="BN1457" s="363">
        <v>16.3</v>
      </c>
      <c r="BO1457" s="327">
        <v>-9999</v>
      </c>
      <c r="BP1457" s="327">
        <v>-9999</v>
      </c>
      <c r="BQ1457" s="327">
        <v>-9999</v>
      </c>
      <c r="BR1457" s="327">
        <v>-9999</v>
      </c>
      <c r="BS1457" s="328">
        <v>-9999</v>
      </c>
      <c r="BT1457" s="327">
        <v>-9999</v>
      </c>
      <c r="BU1457" s="327">
        <v>-9999</v>
      </c>
      <c r="BV1457" s="327">
        <v>-9999</v>
      </c>
      <c r="BW1457" s="327"/>
      <c r="BX1457" s="327">
        <v>-9999</v>
      </c>
      <c r="BY1457" s="327">
        <v>-9999</v>
      </c>
      <c r="BZ1457" s="327">
        <v>-9999</v>
      </c>
      <c r="CA1457" s="369" t="s">
        <v>974</v>
      </c>
      <c r="CB1457" s="475"/>
      <c r="CC1457" s="327">
        <v>1</v>
      </c>
      <c r="CD1457" s="327">
        <v>5</v>
      </c>
      <c r="CE1457" s="342">
        <v>11.775757575757575</v>
      </c>
      <c r="CF1457" s="342">
        <v>25.90909090909091</v>
      </c>
      <c r="CG1457" s="347">
        <v>5</v>
      </c>
    </row>
    <row r="1458" spans="1:86" s="301" customFormat="1" ht="12.75" customHeight="1" x14ac:dyDescent="0.3">
      <c r="A1458" s="327" t="s">
        <v>972</v>
      </c>
      <c r="B1458" s="327" t="s">
        <v>1250</v>
      </c>
      <c r="C1458" s="327" t="s">
        <v>854</v>
      </c>
      <c r="D1458" s="327" t="s">
        <v>553</v>
      </c>
      <c r="E1458" s="327" t="s">
        <v>901</v>
      </c>
      <c r="F1458" s="327">
        <v>1</v>
      </c>
      <c r="G1458" s="327">
        <v>6</v>
      </c>
      <c r="H1458" s="328">
        <v>6</v>
      </c>
      <c r="I1458" s="327" t="s">
        <v>856</v>
      </c>
      <c r="J1458" s="327">
        <v>1995</v>
      </c>
      <c r="K1458" s="327" t="s">
        <v>856</v>
      </c>
      <c r="L1458" s="327">
        <v>2001</v>
      </c>
      <c r="M1458" s="368">
        <v>-9999</v>
      </c>
      <c r="N1458" s="327">
        <v>-9999</v>
      </c>
      <c r="O1458" s="652">
        <f>1/0.66</f>
        <v>1.5151515151515151</v>
      </c>
      <c r="P1458" s="370">
        <f t="shared" si="149"/>
        <v>84.030303030303031</v>
      </c>
      <c r="Q1458" s="328">
        <v>-9999</v>
      </c>
      <c r="R1458" s="287">
        <f t="shared" si="151"/>
        <v>55.46</v>
      </c>
      <c r="S1458" s="413"/>
      <c r="T1458" s="370">
        <f t="shared" si="150"/>
        <v>14.005050505050505</v>
      </c>
      <c r="U1458" s="328">
        <v>-9999</v>
      </c>
      <c r="V1458" s="431">
        <v>9.2433333333333341</v>
      </c>
      <c r="W1458" s="287">
        <f>16.6*O1458</f>
        <v>25.151515151515152</v>
      </c>
      <c r="X1458" s="328">
        <v>-9999</v>
      </c>
      <c r="Y1458" s="327">
        <v>16.600000000000001</v>
      </c>
      <c r="Z1458" s="327" t="s">
        <v>1709</v>
      </c>
      <c r="AA1458" s="628">
        <f t="shared" si="152"/>
        <v>1070</v>
      </c>
      <c r="AB1458" s="287">
        <v>0.84392523364485983</v>
      </c>
      <c r="AC1458" s="327">
        <v>0.2</v>
      </c>
      <c r="AD1458" s="327">
        <v>2.5999999999999999E-2</v>
      </c>
      <c r="AE1458" s="327" t="s">
        <v>963</v>
      </c>
      <c r="AF1458" s="327">
        <v>3</v>
      </c>
      <c r="AG1458" s="327" t="s">
        <v>878</v>
      </c>
      <c r="AH1458" s="327" t="s">
        <v>857</v>
      </c>
      <c r="AI1458" s="327" t="s">
        <v>858</v>
      </c>
      <c r="AJ1458" s="327" t="s">
        <v>859</v>
      </c>
      <c r="AK1458" s="327" t="s">
        <v>860</v>
      </c>
      <c r="AL1458" s="327" t="s">
        <v>828</v>
      </c>
      <c r="AM1458" s="327" t="s">
        <v>861</v>
      </c>
      <c r="AN1458" s="327" t="s">
        <v>626</v>
      </c>
      <c r="AO1458" s="327" t="s">
        <v>973</v>
      </c>
      <c r="AP1458" s="327" t="s">
        <v>862</v>
      </c>
      <c r="AQ1458" s="327" t="s">
        <v>626</v>
      </c>
      <c r="AR1458" s="327">
        <f>+AR1457+79</f>
        <v>537</v>
      </c>
      <c r="AS1458" s="327" t="s">
        <v>695</v>
      </c>
      <c r="AT1458" s="327" t="s">
        <v>708</v>
      </c>
      <c r="AU1458" s="327">
        <f>+AU1457+20</f>
        <v>126</v>
      </c>
      <c r="AV1458" s="327" t="s">
        <v>701</v>
      </c>
      <c r="AW1458" s="327" t="s">
        <v>708</v>
      </c>
      <c r="AX1458" s="327">
        <f>+AX1457+79</f>
        <v>510</v>
      </c>
      <c r="AY1458" s="327" t="s">
        <v>714</v>
      </c>
      <c r="AZ1458" s="327" t="s">
        <v>708</v>
      </c>
      <c r="BA1458" s="327" t="s">
        <v>869</v>
      </c>
      <c r="BB1458" s="327" t="s">
        <v>626</v>
      </c>
      <c r="BC1458" s="327" t="s">
        <v>864</v>
      </c>
      <c r="BD1458" s="327"/>
      <c r="BE1458" s="327" t="s">
        <v>865</v>
      </c>
      <c r="BF1458" s="327" t="s">
        <v>863</v>
      </c>
      <c r="BG1458" s="327">
        <v>-9999</v>
      </c>
      <c r="BH1458" s="327">
        <v>-9999</v>
      </c>
      <c r="BI1458" s="327" t="s">
        <v>866</v>
      </c>
      <c r="BJ1458" s="327">
        <v>22.6</v>
      </c>
      <c r="BK1458" s="327">
        <v>-9999</v>
      </c>
      <c r="BL1458" s="327">
        <v>10.6</v>
      </c>
      <c r="BM1458" s="327">
        <v>-9999</v>
      </c>
      <c r="BN1458" s="363">
        <v>18.5</v>
      </c>
      <c r="BO1458" s="327">
        <v>-9999</v>
      </c>
      <c r="BP1458" s="327">
        <v>-9999</v>
      </c>
      <c r="BQ1458" s="327">
        <v>-9999</v>
      </c>
      <c r="BR1458" s="327">
        <v>-9999</v>
      </c>
      <c r="BS1458" s="328">
        <v>-9999</v>
      </c>
      <c r="BT1458" s="327">
        <v>-9999</v>
      </c>
      <c r="BU1458" s="327">
        <v>-9999</v>
      </c>
      <c r="BV1458" s="327">
        <v>-9999</v>
      </c>
      <c r="BW1458" s="327"/>
      <c r="BX1458" s="327">
        <v>-9999</v>
      </c>
      <c r="BY1458" s="327">
        <v>-9999</v>
      </c>
      <c r="BZ1458" s="327">
        <v>-9999</v>
      </c>
      <c r="CA1458" s="369" t="s">
        <v>974</v>
      </c>
      <c r="CB1458" s="475"/>
      <c r="CC1458" s="327">
        <v>1</v>
      </c>
      <c r="CD1458" s="327">
        <v>6</v>
      </c>
      <c r="CE1458" s="342">
        <v>14.005050505050505</v>
      </c>
      <c r="CF1458" s="342">
        <v>25.151515151515152</v>
      </c>
      <c r="CG1458" s="347">
        <v>6</v>
      </c>
    </row>
    <row r="1459" spans="1:86" s="301" customFormat="1" ht="12.75" customHeight="1" x14ac:dyDescent="0.3">
      <c r="A1459" s="327" t="s">
        <v>972</v>
      </c>
      <c r="B1459" s="327" t="s">
        <v>1250</v>
      </c>
      <c r="C1459" s="327" t="s">
        <v>854</v>
      </c>
      <c r="D1459" s="327" t="s">
        <v>553</v>
      </c>
      <c r="E1459" s="327" t="s">
        <v>901</v>
      </c>
      <c r="F1459" s="327">
        <v>1</v>
      </c>
      <c r="G1459" s="327">
        <v>7</v>
      </c>
      <c r="H1459" s="328">
        <v>7</v>
      </c>
      <c r="I1459" s="327" t="s">
        <v>856</v>
      </c>
      <c r="J1459" s="327">
        <v>1995</v>
      </c>
      <c r="K1459" s="327" t="s">
        <v>856</v>
      </c>
      <c r="L1459" s="327">
        <v>2002</v>
      </c>
      <c r="M1459" s="368">
        <v>-9999</v>
      </c>
      <c r="N1459" s="327">
        <v>-9999</v>
      </c>
      <c r="O1459" s="651">
        <f>1/0.7</f>
        <v>1.4285714285714286</v>
      </c>
      <c r="P1459" s="370">
        <f t="shared" si="149"/>
        <v>111.08571428571429</v>
      </c>
      <c r="Q1459" s="328">
        <v>-9999</v>
      </c>
      <c r="R1459" s="287">
        <f t="shared" si="151"/>
        <v>77.760000000000005</v>
      </c>
      <c r="S1459" s="413"/>
      <c r="T1459" s="370">
        <f t="shared" si="150"/>
        <v>15.869387755102041</v>
      </c>
      <c r="U1459" s="328">
        <v>-9999</v>
      </c>
      <c r="V1459" s="431">
        <v>11.108571428571429</v>
      </c>
      <c r="W1459" s="287">
        <f>22.3*O1459</f>
        <v>31.857142857142858</v>
      </c>
      <c r="X1459" s="328">
        <v>-9999</v>
      </c>
      <c r="Y1459" s="327">
        <v>22.3</v>
      </c>
      <c r="Z1459" s="327" t="s">
        <v>1709</v>
      </c>
      <c r="AA1459" s="628">
        <f t="shared" si="152"/>
        <v>1070</v>
      </c>
      <c r="AB1459" s="287">
        <v>0.83177570093457942</v>
      </c>
      <c r="AC1459" s="327">
        <v>0.2</v>
      </c>
      <c r="AD1459" s="327">
        <v>2.5999999999999999E-2</v>
      </c>
      <c r="AE1459" s="327" t="s">
        <v>963</v>
      </c>
      <c r="AF1459" s="327">
        <v>3</v>
      </c>
      <c r="AG1459" s="327" t="s">
        <v>878</v>
      </c>
      <c r="AH1459" s="327" t="s">
        <v>857</v>
      </c>
      <c r="AI1459" s="327" t="s">
        <v>858</v>
      </c>
      <c r="AJ1459" s="327" t="s">
        <v>859</v>
      </c>
      <c r="AK1459" s="327" t="s">
        <v>860</v>
      </c>
      <c r="AL1459" s="327" t="s">
        <v>828</v>
      </c>
      <c r="AM1459" s="327" t="s">
        <v>861</v>
      </c>
      <c r="AN1459" s="327" t="s">
        <v>626</v>
      </c>
      <c r="AO1459" s="327" t="s">
        <v>973</v>
      </c>
      <c r="AP1459" s="327" t="s">
        <v>975</v>
      </c>
      <c r="AQ1459" s="327" t="s">
        <v>626</v>
      </c>
      <c r="AR1459" s="327">
        <f>+AR1458+111</f>
        <v>648</v>
      </c>
      <c r="AS1459" s="327" t="s">
        <v>696</v>
      </c>
      <c r="AT1459" s="327" t="s">
        <v>708</v>
      </c>
      <c r="AU1459" s="327">
        <f>+AU1458+28</f>
        <v>154</v>
      </c>
      <c r="AV1459" s="327" t="s">
        <v>702</v>
      </c>
      <c r="AW1459" s="327" t="s">
        <v>708</v>
      </c>
      <c r="AX1459" s="327">
        <f>+AX1458+111</f>
        <v>621</v>
      </c>
      <c r="AY1459" s="327" t="s">
        <v>715</v>
      </c>
      <c r="AZ1459" s="327" t="s">
        <v>708</v>
      </c>
      <c r="BA1459" s="327" t="s">
        <v>869</v>
      </c>
      <c r="BB1459" s="327" t="s">
        <v>779</v>
      </c>
      <c r="BC1459" s="327" t="s">
        <v>864</v>
      </c>
      <c r="BD1459" s="327"/>
      <c r="BE1459" s="327" t="s">
        <v>865</v>
      </c>
      <c r="BF1459" s="327" t="s">
        <v>863</v>
      </c>
      <c r="BG1459" s="327">
        <v>-9999</v>
      </c>
      <c r="BH1459" s="327">
        <v>-9999</v>
      </c>
      <c r="BI1459" s="327" t="s">
        <v>866</v>
      </c>
      <c r="BJ1459" s="327">
        <v>28.2</v>
      </c>
      <c r="BK1459" s="327">
        <v>-9999</v>
      </c>
      <c r="BL1459" s="327">
        <v>12.5</v>
      </c>
      <c r="BM1459" s="327">
        <v>-9999</v>
      </c>
      <c r="BN1459" s="363">
        <v>20</v>
      </c>
      <c r="BO1459" s="327">
        <v>-9999</v>
      </c>
      <c r="BP1459" s="327">
        <v>-9999</v>
      </c>
      <c r="BQ1459" s="327">
        <v>-9999</v>
      </c>
      <c r="BR1459" s="327">
        <v>-9999</v>
      </c>
      <c r="BS1459" s="328">
        <v>-9999</v>
      </c>
      <c r="BT1459" s="327">
        <v>-9999</v>
      </c>
      <c r="BU1459" s="327">
        <v>-9999</v>
      </c>
      <c r="BV1459" s="327">
        <v>-9999</v>
      </c>
      <c r="BW1459" s="327"/>
      <c r="BX1459" s="327">
        <v>-9999</v>
      </c>
      <c r="BY1459" s="327">
        <v>-9999</v>
      </c>
      <c r="BZ1459" s="327">
        <v>-9999</v>
      </c>
      <c r="CA1459" s="369" t="s">
        <v>974</v>
      </c>
      <c r="CB1459" s="475"/>
      <c r="CC1459" s="327">
        <v>1</v>
      </c>
      <c r="CD1459" s="327">
        <v>7</v>
      </c>
      <c r="CE1459" s="342">
        <v>15.869387755102041</v>
      </c>
      <c r="CF1459" s="342">
        <v>31.857142857142858</v>
      </c>
      <c r="CG1459" s="347">
        <v>7</v>
      </c>
    </row>
    <row r="1460" spans="1:86" s="301" customFormat="1" ht="12.75" customHeight="1" x14ac:dyDescent="0.3">
      <c r="A1460" s="327" t="s">
        <v>972</v>
      </c>
      <c r="B1460" s="327" t="s">
        <v>1250</v>
      </c>
      <c r="C1460" s="327" t="s">
        <v>854</v>
      </c>
      <c r="D1460" s="327" t="s">
        <v>553</v>
      </c>
      <c r="E1460" s="327" t="s">
        <v>901</v>
      </c>
      <c r="F1460" s="327">
        <v>1</v>
      </c>
      <c r="G1460" s="327">
        <v>8</v>
      </c>
      <c r="H1460" s="328">
        <v>8</v>
      </c>
      <c r="I1460" s="327" t="s">
        <v>856</v>
      </c>
      <c r="J1460" s="327">
        <v>1995</v>
      </c>
      <c r="K1460" s="327" t="s">
        <v>856</v>
      </c>
      <c r="L1460" s="327">
        <v>2003</v>
      </c>
      <c r="M1460" s="368">
        <v>-9999</v>
      </c>
      <c r="N1460" s="327">
        <v>-9999</v>
      </c>
      <c r="O1460" s="651">
        <f>1/0.75</f>
        <v>1.3333333333333333</v>
      </c>
      <c r="P1460" s="370">
        <f t="shared" si="149"/>
        <v>128.07999999999998</v>
      </c>
      <c r="Q1460" s="328">
        <v>-9999</v>
      </c>
      <c r="R1460" s="287">
        <f t="shared" si="151"/>
        <v>96.06</v>
      </c>
      <c r="S1460" s="413"/>
      <c r="T1460" s="370">
        <f t="shared" si="150"/>
        <v>16.009999999999998</v>
      </c>
      <c r="U1460" s="328">
        <v>-9999</v>
      </c>
      <c r="V1460" s="431">
        <v>12.0075</v>
      </c>
      <c r="W1460" s="287">
        <f>18.3*O1460</f>
        <v>24.4</v>
      </c>
      <c r="X1460" s="328">
        <v>-9999</v>
      </c>
      <c r="Y1460" s="327">
        <v>18.3</v>
      </c>
      <c r="Z1460" s="327" t="s">
        <v>1709</v>
      </c>
      <c r="AA1460" s="628">
        <f t="shared" si="152"/>
        <v>1070</v>
      </c>
      <c r="AB1460" s="287">
        <v>0.82056074766355136</v>
      </c>
      <c r="AC1460" s="327">
        <v>0.2</v>
      </c>
      <c r="AD1460" s="327">
        <v>2.5999999999999999E-2</v>
      </c>
      <c r="AE1460" s="327" t="s">
        <v>963</v>
      </c>
      <c r="AF1460" s="327">
        <v>3</v>
      </c>
      <c r="AG1460" s="327" t="s">
        <v>878</v>
      </c>
      <c r="AH1460" s="327" t="s">
        <v>857</v>
      </c>
      <c r="AI1460" s="327" t="s">
        <v>858</v>
      </c>
      <c r="AJ1460" s="327" t="s">
        <v>859</v>
      </c>
      <c r="AK1460" s="327" t="s">
        <v>860</v>
      </c>
      <c r="AL1460" s="327" t="s">
        <v>828</v>
      </c>
      <c r="AM1460" s="327" t="s">
        <v>861</v>
      </c>
      <c r="AN1460" s="327" t="s">
        <v>626</v>
      </c>
      <c r="AO1460" s="327" t="s">
        <v>973</v>
      </c>
      <c r="AP1460" s="327" t="s">
        <v>975</v>
      </c>
      <c r="AQ1460" s="327" t="s">
        <v>626</v>
      </c>
      <c r="AR1460" s="327">
        <f>+AR1459+113</f>
        <v>761</v>
      </c>
      <c r="AS1460" s="327" t="s">
        <v>697</v>
      </c>
      <c r="AT1460" s="327" t="s">
        <v>708</v>
      </c>
      <c r="AU1460" s="327">
        <f>+AU1459+28</f>
        <v>182</v>
      </c>
      <c r="AV1460" s="327" t="s">
        <v>702</v>
      </c>
      <c r="AW1460" s="327" t="s">
        <v>708</v>
      </c>
      <c r="AX1460" s="327">
        <f>+AX1459+113</f>
        <v>734</v>
      </c>
      <c r="AY1460" s="327" t="s">
        <v>716</v>
      </c>
      <c r="AZ1460" s="327" t="s">
        <v>708</v>
      </c>
      <c r="BA1460" s="327" t="s">
        <v>869</v>
      </c>
      <c r="BB1460" s="327" t="s">
        <v>779</v>
      </c>
      <c r="BC1460" s="327" t="s">
        <v>864</v>
      </c>
      <c r="BD1460" s="327"/>
      <c r="BE1460" s="327" t="s">
        <v>865</v>
      </c>
      <c r="BF1460" s="327" t="s">
        <v>863</v>
      </c>
      <c r="BG1460" s="327">
        <v>-9999</v>
      </c>
      <c r="BH1460" s="327">
        <v>-9999</v>
      </c>
      <c r="BI1460" s="327" t="s">
        <v>866</v>
      </c>
      <c r="BJ1460" s="327">
        <v>32.200000000000003</v>
      </c>
      <c r="BK1460" s="327">
        <v>-9999</v>
      </c>
      <c r="BL1460" s="327">
        <v>14.2</v>
      </c>
      <c r="BM1460" s="327">
        <v>-9999</v>
      </c>
      <c r="BN1460" s="363">
        <v>21.5</v>
      </c>
      <c r="BO1460" s="327">
        <v>-9999</v>
      </c>
      <c r="BP1460" s="327">
        <v>-9999</v>
      </c>
      <c r="BQ1460" s="327">
        <v>-9999</v>
      </c>
      <c r="BR1460" s="327">
        <v>-9999</v>
      </c>
      <c r="BS1460" s="328">
        <v>-9999</v>
      </c>
      <c r="BT1460" s="327">
        <v>-9999</v>
      </c>
      <c r="BU1460" s="327">
        <v>-9999</v>
      </c>
      <c r="BV1460" s="327">
        <v>-9999</v>
      </c>
      <c r="BW1460" s="327"/>
      <c r="BX1460" s="327">
        <v>-9999</v>
      </c>
      <c r="BY1460" s="327">
        <v>-9999</v>
      </c>
      <c r="BZ1460" s="327">
        <v>-9999</v>
      </c>
      <c r="CA1460" s="369" t="s">
        <v>974</v>
      </c>
      <c r="CB1460" s="475"/>
      <c r="CC1460" s="327">
        <v>1</v>
      </c>
      <c r="CD1460" s="327">
        <v>8</v>
      </c>
      <c r="CE1460" s="342">
        <v>16.009999999999998</v>
      </c>
      <c r="CF1460" s="342">
        <v>24.4</v>
      </c>
      <c r="CG1460" s="347">
        <v>8</v>
      </c>
    </row>
    <row r="1461" spans="1:86" s="301" customFormat="1" ht="12.75" customHeight="1" x14ac:dyDescent="0.3">
      <c r="A1461" s="327" t="s">
        <v>972</v>
      </c>
      <c r="B1461" s="327" t="s">
        <v>1250</v>
      </c>
      <c r="C1461" s="327" t="s">
        <v>854</v>
      </c>
      <c r="D1461" s="327" t="s">
        <v>553</v>
      </c>
      <c r="E1461" s="327" t="s">
        <v>901</v>
      </c>
      <c r="F1461" s="327">
        <v>1</v>
      </c>
      <c r="G1461" s="327">
        <v>9</v>
      </c>
      <c r="H1461" s="328">
        <v>9</v>
      </c>
      <c r="I1461" s="327" t="s">
        <v>856</v>
      </c>
      <c r="J1461" s="327">
        <v>1995</v>
      </c>
      <c r="K1461" s="327" t="s">
        <v>856</v>
      </c>
      <c r="L1461" s="327">
        <v>2004</v>
      </c>
      <c r="M1461" s="368">
        <v>-9999</v>
      </c>
      <c r="N1461" s="327">
        <v>-9999</v>
      </c>
      <c r="O1461" s="651">
        <f>1/0.79</f>
        <v>1.2658227848101264</v>
      </c>
      <c r="P1461" s="370">
        <f t="shared" si="149"/>
        <v>145.26582278481013</v>
      </c>
      <c r="Q1461" s="328">
        <v>-9999</v>
      </c>
      <c r="R1461" s="287">
        <f t="shared" si="151"/>
        <v>114.76</v>
      </c>
      <c r="S1461" s="413"/>
      <c r="T1461" s="370">
        <f t="shared" si="150"/>
        <v>16.140646976090014</v>
      </c>
      <c r="U1461" s="328">
        <v>-9999</v>
      </c>
      <c r="V1461" s="431">
        <v>12.751111111111111</v>
      </c>
      <c r="W1461" s="287">
        <f>18.7*O1461</f>
        <v>23.670886075949365</v>
      </c>
      <c r="X1461" s="328">
        <v>-9999</v>
      </c>
      <c r="Y1461" s="327">
        <v>18.7</v>
      </c>
      <c r="Z1461" s="327" t="s">
        <v>1709</v>
      </c>
      <c r="AA1461" s="628">
        <f t="shared" si="152"/>
        <v>1070</v>
      </c>
      <c r="AB1461" s="287">
        <v>0.82616822429906545</v>
      </c>
      <c r="AC1461" s="327">
        <v>0.2</v>
      </c>
      <c r="AD1461" s="327">
        <v>2.5999999999999999E-2</v>
      </c>
      <c r="AE1461" s="327" t="s">
        <v>963</v>
      </c>
      <c r="AF1461" s="327">
        <v>3</v>
      </c>
      <c r="AG1461" s="327" t="s">
        <v>878</v>
      </c>
      <c r="AH1461" s="327" t="s">
        <v>857</v>
      </c>
      <c r="AI1461" s="327" t="s">
        <v>858</v>
      </c>
      <c r="AJ1461" s="327" t="s">
        <v>859</v>
      </c>
      <c r="AK1461" s="327" t="s">
        <v>860</v>
      </c>
      <c r="AL1461" s="327" t="s">
        <v>828</v>
      </c>
      <c r="AM1461" s="327" t="s">
        <v>861</v>
      </c>
      <c r="AN1461" s="327" t="s">
        <v>626</v>
      </c>
      <c r="AO1461" s="327" t="s">
        <v>973</v>
      </c>
      <c r="AP1461" s="327" t="s">
        <v>975</v>
      </c>
      <c r="AQ1461" s="327" t="s">
        <v>626</v>
      </c>
      <c r="AR1461" s="327">
        <f>+AR1460+132</f>
        <v>893</v>
      </c>
      <c r="AS1461" s="327" t="s">
        <v>698</v>
      </c>
      <c r="AT1461" s="327" t="s">
        <v>708</v>
      </c>
      <c r="AU1461" s="327">
        <f>+AU1460+37</f>
        <v>219</v>
      </c>
      <c r="AV1461" s="327" t="s">
        <v>703</v>
      </c>
      <c r="AW1461" s="327" t="s">
        <v>708</v>
      </c>
      <c r="AX1461" s="327">
        <f>+AX1460+132</f>
        <v>866</v>
      </c>
      <c r="AY1461" s="327" t="s">
        <v>717</v>
      </c>
      <c r="AZ1461" s="327" t="s">
        <v>708</v>
      </c>
      <c r="BA1461" s="327" t="s">
        <v>869</v>
      </c>
      <c r="BB1461" s="327" t="s">
        <v>779</v>
      </c>
      <c r="BC1461" s="327" t="s">
        <v>864</v>
      </c>
      <c r="BD1461" s="327"/>
      <c r="BE1461" s="327" t="s">
        <v>865</v>
      </c>
      <c r="BF1461" s="327" t="s">
        <v>863</v>
      </c>
      <c r="BG1461" s="327">
        <v>-9999</v>
      </c>
      <c r="BH1461" s="327">
        <v>-9999</v>
      </c>
      <c r="BI1461" s="327" t="s">
        <v>866</v>
      </c>
      <c r="BJ1461" s="327">
        <v>34</v>
      </c>
      <c r="BK1461" s="327">
        <v>-9999</v>
      </c>
      <c r="BL1461" s="327">
        <v>15.2</v>
      </c>
      <c r="BM1461" s="327">
        <v>-9999</v>
      </c>
      <c r="BN1461" s="363">
        <v>21.9</v>
      </c>
      <c r="BO1461" s="327">
        <v>-9999</v>
      </c>
      <c r="BP1461" s="327">
        <v>-9999</v>
      </c>
      <c r="BQ1461" s="327">
        <v>-9999</v>
      </c>
      <c r="BR1461" s="327">
        <v>-9999</v>
      </c>
      <c r="BS1461" s="328">
        <v>-9999</v>
      </c>
      <c r="BT1461" s="327">
        <v>-9999</v>
      </c>
      <c r="BU1461" s="327">
        <v>-9999</v>
      </c>
      <c r="BV1461" s="327">
        <v>-9999</v>
      </c>
      <c r="BW1461" s="327"/>
      <c r="BX1461" s="327">
        <v>-9999</v>
      </c>
      <c r="BY1461" s="327">
        <v>-9999</v>
      </c>
      <c r="BZ1461" s="327">
        <v>-9999</v>
      </c>
      <c r="CA1461" s="369" t="s">
        <v>974</v>
      </c>
      <c r="CB1461" s="475"/>
      <c r="CC1461" s="327">
        <v>1</v>
      </c>
      <c r="CD1461" s="327">
        <v>9</v>
      </c>
      <c r="CE1461" s="342">
        <v>16.140646976090011</v>
      </c>
      <c r="CF1461" s="342">
        <v>23.670886075949365</v>
      </c>
      <c r="CG1461" s="347">
        <v>9</v>
      </c>
    </row>
    <row r="1462" spans="1:86" s="301" customFormat="1" ht="12.75" customHeight="1" x14ac:dyDescent="0.3">
      <c r="A1462" s="327" t="s">
        <v>972</v>
      </c>
      <c r="B1462" s="327" t="s">
        <v>1250</v>
      </c>
      <c r="C1462" s="327" t="s">
        <v>854</v>
      </c>
      <c r="D1462" s="327" t="s">
        <v>553</v>
      </c>
      <c r="E1462" s="327" t="s">
        <v>901</v>
      </c>
      <c r="F1462" s="327">
        <v>1</v>
      </c>
      <c r="G1462" s="327">
        <v>10</v>
      </c>
      <c r="H1462" s="328">
        <v>10</v>
      </c>
      <c r="I1462" s="327" t="s">
        <v>856</v>
      </c>
      <c r="J1462" s="327">
        <v>1995</v>
      </c>
      <c r="K1462" s="327" t="s">
        <v>856</v>
      </c>
      <c r="L1462" s="259">
        <v>2005</v>
      </c>
      <c r="M1462" s="368">
        <v>-9999</v>
      </c>
      <c r="N1462" s="327">
        <v>-9999</v>
      </c>
      <c r="O1462" s="652">
        <f>1/0.82</f>
        <v>1.2195121951219512</v>
      </c>
      <c r="P1462" s="370">
        <f t="shared" si="149"/>
        <v>173.73170731707319</v>
      </c>
      <c r="Q1462" s="328">
        <v>-9999</v>
      </c>
      <c r="R1462" s="287">
        <f t="shared" si="151"/>
        <v>142.46</v>
      </c>
      <c r="S1462" s="413"/>
      <c r="T1462" s="370">
        <f t="shared" si="150"/>
        <v>17.373170731707319</v>
      </c>
      <c r="U1462" s="328">
        <v>-9999</v>
      </c>
      <c r="V1462" s="431">
        <v>14.246</v>
      </c>
      <c r="W1462" s="287">
        <f>27.7*O1462</f>
        <v>33.780487804878049</v>
      </c>
      <c r="X1462" s="328">
        <v>-9999</v>
      </c>
      <c r="Y1462" s="327">
        <v>27.7</v>
      </c>
      <c r="Z1462" s="327" t="s">
        <v>1709</v>
      </c>
      <c r="AA1462" s="628">
        <f t="shared" si="152"/>
        <v>1070</v>
      </c>
      <c r="AB1462" s="287">
        <v>0.7710280373831776</v>
      </c>
      <c r="AC1462" s="327">
        <v>0.2</v>
      </c>
      <c r="AD1462" s="327">
        <v>2.5999999999999999E-2</v>
      </c>
      <c r="AE1462" s="327" t="s">
        <v>963</v>
      </c>
      <c r="AF1462" s="327">
        <v>3</v>
      </c>
      <c r="AG1462" s="327" t="s">
        <v>878</v>
      </c>
      <c r="AH1462" s="327" t="s">
        <v>857</v>
      </c>
      <c r="AI1462" s="327" t="s">
        <v>858</v>
      </c>
      <c r="AJ1462" s="327" t="s">
        <v>859</v>
      </c>
      <c r="AK1462" s="327" t="s">
        <v>860</v>
      </c>
      <c r="AL1462" s="327" t="s">
        <v>828</v>
      </c>
      <c r="AM1462" s="327" t="s">
        <v>861</v>
      </c>
      <c r="AN1462" s="327" t="s">
        <v>626</v>
      </c>
      <c r="AO1462" s="327" t="s">
        <v>973</v>
      </c>
      <c r="AP1462" s="327" t="s">
        <v>976</v>
      </c>
      <c r="AQ1462" s="327" t="s">
        <v>626</v>
      </c>
      <c r="AR1462" s="327">
        <f>+AR1461+49</f>
        <v>942</v>
      </c>
      <c r="AS1462" s="327" t="s">
        <v>699</v>
      </c>
      <c r="AT1462" s="327" t="s">
        <v>708</v>
      </c>
      <c r="AU1462" s="327">
        <f>+AU1461+12</f>
        <v>231</v>
      </c>
      <c r="AV1462" s="327" t="s">
        <v>704</v>
      </c>
      <c r="AW1462" s="327" t="s">
        <v>708</v>
      </c>
      <c r="AX1462" s="327">
        <f>+AX1461+49</f>
        <v>915</v>
      </c>
      <c r="AY1462" s="327" t="s">
        <v>718</v>
      </c>
      <c r="AZ1462" s="327" t="s">
        <v>708</v>
      </c>
      <c r="BA1462" s="327" t="s">
        <v>869</v>
      </c>
      <c r="BB1462" s="327" t="s">
        <v>779</v>
      </c>
      <c r="BC1462" s="327" t="s">
        <v>864</v>
      </c>
      <c r="BD1462" s="327"/>
      <c r="BE1462" s="327" t="s">
        <v>865</v>
      </c>
      <c r="BF1462" s="327" t="s">
        <v>863</v>
      </c>
      <c r="BG1462" s="327">
        <v>-9999</v>
      </c>
      <c r="BH1462" s="327">
        <v>-9999</v>
      </c>
      <c r="BI1462" s="327" t="s">
        <v>866</v>
      </c>
      <c r="BJ1462" s="327">
        <v>38.1</v>
      </c>
      <c r="BK1462" s="327">
        <v>-9999</v>
      </c>
      <c r="BL1462" s="327">
        <v>17.3</v>
      </c>
      <c r="BM1462" s="327">
        <v>-9999</v>
      </c>
      <c r="BN1462" s="363">
        <v>23.2</v>
      </c>
      <c r="BO1462" s="327">
        <v>-9999</v>
      </c>
      <c r="BP1462" s="327">
        <v>-9999</v>
      </c>
      <c r="BQ1462" s="327">
        <v>-9999</v>
      </c>
      <c r="BR1462" s="327">
        <v>-9999</v>
      </c>
      <c r="BS1462" s="328">
        <v>-9999</v>
      </c>
      <c r="BT1462" s="327">
        <v>333</v>
      </c>
      <c r="BU1462" s="327">
        <v>-9999</v>
      </c>
      <c r="BV1462" s="327">
        <v>17.2</v>
      </c>
      <c r="BW1462" s="327"/>
      <c r="BX1462" s="327">
        <v>-9999</v>
      </c>
      <c r="BY1462" s="327">
        <v>-9999</v>
      </c>
      <c r="BZ1462" s="327">
        <v>-9999</v>
      </c>
      <c r="CA1462" s="369" t="s">
        <v>974</v>
      </c>
      <c r="CB1462" s="475"/>
      <c r="CC1462" s="327">
        <v>1</v>
      </c>
      <c r="CD1462" s="327">
        <v>10</v>
      </c>
      <c r="CE1462" s="342">
        <v>17.373170731707319</v>
      </c>
      <c r="CF1462" s="342">
        <v>33.780487804878049</v>
      </c>
      <c r="CG1462" s="347">
        <v>10</v>
      </c>
    </row>
    <row r="1463" spans="1:86" s="13" customFormat="1" ht="12.75" customHeight="1" x14ac:dyDescent="0.25">
      <c r="A1463" s="259" t="s">
        <v>972</v>
      </c>
      <c r="B1463" s="259" t="s">
        <v>1250</v>
      </c>
      <c r="C1463" s="259" t="s">
        <v>854</v>
      </c>
      <c r="D1463" s="259" t="s">
        <v>553</v>
      </c>
      <c r="E1463" s="259" t="s">
        <v>901</v>
      </c>
      <c r="F1463" s="259">
        <v>1</v>
      </c>
      <c r="G1463" s="259">
        <v>11</v>
      </c>
      <c r="H1463" s="260">
        <v>11</v>
      </c>
      <c r="I1463" s="259" t="s">
        <v>856</v>
      </c>
      <c r="J1463" s="259">
        <v>1995</v>
      </c>
      <c r="K1463" s="259" t="s">
        <v>856</v>
      </c>
      <c r="L1463" s="592">
        <v>2006</v>
      </c>
      <c r="M1463" s="288">
        <v>-9999</v>
      </c>
      <c r="N1463" s="259">
        <v>-9999</v>
      </c>
      <c r="O1463" s="653">
        <f>1/0.82</f>
        <v>1.2195121951219512</v>
      </c>
      <c r="P1463" s="590">
        <f t="shared" si="149"/>
        <v>202.14634146341464</v>
      </c>
      <c r="Q1463" s="260">
        <v>-9999</v>
      </c>
      <c r="R1463" s="376">
        <f t="shared" si="151"/>
        <v>165.76000000000002</v>
      </c>
      <c r="S1463" s="630"/>
      <c r="T1463" s="590">
        <f t="shared" si="150"/>
        <v>18.376940133037696</v>
      </c>
      <c r="U1463" s="260">
        <v>-9999</v>
      </c>
      <c r="V1463" s="631">
        <v>15.06909090909091</v>
      </c>
      <c r="W1463" s="376">
        <f>23.3*O1463</f>
        <v>28.414634146341463</v>
      </c>
      <c r="X1463" s="260">
        <v>-9999</v>
      </c>
      <c r="Y1463" s="259">
        <v>23.3</v>
      </c>
      <c r="Z1463" s="259" t="s">
        <v>1709</v>
      </c>
      <c r="AA1463" s="621">
        <f t="shared" si="152"/>
        <v>1070</v>
      </c>
      <c r="AB1463" s="376">
        <v>0.75981308411214954</v>
      </c>
      <c r="AC1463" s="259">
        <v>0.2</v>
      </c>
      <c r="AD1463" s="259">
        <v>2.5999999999999999E-2</v>
      </c>
      <c r="AE1463" s="259" t="s">
        <v>963</v>
      </c>
      <c r="AF1463" s="259">
        <v>3</v>
      </c>
      <c r="AG1463" s="259" t="s">
        <v>878</v>
      </c>
      <c r="AH1463" s="259" t="s">
        <v>857</v>
      </c>
      <c r="AI1463" s="259" t="s">
        <v>858</v>
      </c>
      <c r="AJ1463" s="259" t="s">
        <v>859</v>
      </c>
      <c r="AK1463" s="259" t="s">
        <v>860</v>
      </c>
      <c r="AL1463" s="259" t="s">
        <v>828</v>
      </c>
      <c r="AM1463" s="259" t="s">
        <v>861</v>
      </c>
      <c r="AN1463" s="259" t="s">
        <v>626</v>
      </c>
      <c r="AO1463" s="259" t="s">
        <v>973</v>
      </c>
      <c r="AP1463" s="259" t="s">
        <v>977</v>
      </c>
      <c r="AQ1463" s="259" t="s">
        <v>626</v>
      </c>
      <c r="AR1463" s="259">
        <f>+AR1462+38</f>
        <v>980</v>
      </c>
      <c r="AS1463" s="259" t="s">
        <v>706</v>
      </c>
      <c r="AT1463" s="259" t="s">
        <v>708</v>
      </c>
      <c r="AU1463" s="259">
        <f>+AU1462+10</f>
        <v>241</v>
      </c>
      <c r="AV1463" s="259" t="s">
        <v>1426</v>
      </c>
      <c r="AW1463" s="259" t="s">
        <v>708</v>
      </c>
      <c r="AX1463" s="259">
        <f>+AX1462+38</f>
        <v>953</v>
      </c>
      <c r="AY1463" s="259" t="s">
        <v>719</v>
      </c>
      <c r="AZ1463" s="259" t="s">
        <v>708</v>
      </c>
      <c r="BA1463" s="259" t="s">
        <v>869</v>
      </c>
      <c r="BB1463" s="259" t="s">
        <v>779</v>
      </c>
      <c r="BC1463" s="259" t="s">
        <v>864</v>
      </c>
      <c r="BD1463" s="259"/>
      <c r="BE1463" s="259" t="s">
        <v>865</v>
      </c>
      <c r="BF1463" s="259" t="s">
        <v>863</v>
      </c>
      <c r="BG1463" s="259">
        <v>-9999</v>
      </c>
      <c r="BH1463" s="259">
        <v>-9999</v>
      </c>
      <c r="BI1463" s="259" t="s">
        <v>866</v>
      </c>
      <c r="BJ1463" s="259">
        <v>41.2</v>
      </c>
      <c r="BK1463" s="259">
        <v>-9999</v>
      </c>
      <c r="BL1463" s="592">
        <v>19</v>
      </c>
      <c r="BM1463" s="259">
        <v>-9999</v>
      </c>
      <c r="BN1463" s="289">
        <v>24.2</v>
      </c>
      <c r="BO1463" s="259">
        <v>-9999</v>
      </c>
      <c r="BP1463" s="259">
        <v>-9999</v>
      </c>
      <c r="BQ1463" s="259">
        <v>-9999</v>
      </c>
      <c r="BR1463" s="259">
        <v>-9999</v>
      </c>
      <c r="BS1463" s="260">
        <v>-9999</v>
      </c>
      <c r="BT1463" s="259">
        <v>-9999</v>
      </c>
      <c r="BU1463" s="259">
        <v>-9999</v>
      </c>
      <c r="BV1463" s="259">
        <v>-9999</v>
      </c>
      <c r="BW1463" s="259"/>
      <c r="BX1463" s="259">
        <v>-9999</v>
      </c>
      <c r="BY1463" s="259">
        <v>-9999</v>
      </c>
      <c r="BZ1463" s="259">
        <v>-9999</v>
      </c>
      <c r="CA1463" s="337" t="s">
        <v>974</v>
      </c>
      <c r="CB1463" s="592"/>
      <c r="CC1463" s="259">
        <v>1</v>
      </c>
      <c r="CD1463" s="259">
        <v>11</v>
      </c>
      <c r="CE1463" s="99">
        <v>18.376940133037696</v>
      </c>
      <c r="CF1463" s="99">
        <v>28.414634146341463</v>
      </c>
      <c r="CG1463" s="212">
        <v>11</v>
      </c>
      <c r="CH1463" s="13" t="s">
        <v>1757</v>
      </c>
    </row>
    <row r="1464" spans="1:86" s="13" customFormat="1" ht="12.75" customHeight="1" x14ac:dyDescent="0.2">
      <c r="A1464" s="259"/>
      <c r="B1464" s="259"/>
      <c r="C1464" s="259"/>
      <c r="D1464" s="327"/>
      <c r="E1464" s="259"/>
      <c r="F1464" s="259"/>
      <c r="G1464" s="259"/>
      <c r="H1464" s="260"/>
      <c r="I1464" s="259"/>
      <c r="J1464" s="259"/>
      <c r="K1464" s="259"/>
      <c r="L1464" s="259"/>
      <c r="M1464" s="288"/>
      <c r="N1464" s="259"/>
      <c r="O1464" s="654"/>
      <c r="P1464" s="743"/>
      <c r="Q1464" s="260"/>
      <c r="R1464" s="288"/>
      <c r="S1464" s="259"/>
      <c r="T1464" s="590"/>
      <c r="U1464" s="260"/>
      <c r="V1464" s="327"/>
      <c r="W1464" s="288"/>
      <c r="X1464" s="260"/>
      <c r="Y1464" s="327"/>
      <c r="Z1464" s="259"/>
      <c r="AA1464" s="260"/>
      <c r="AB1464" s="632"/>
      <c r="AC1464" s="327"/>
      <c r="AD1464" s="327"/>
      <c r="AE1464" s="327"/>
      <c r="AF1464" s="259"/>
      <c r="AG1464" s="259"/>
      <c r="AH1464" s="259"/>
      <c r="AI1464" s="259"/>
      <c r="AJ1464" s="259"/>
      <c r="AK1464" s="259"/>
      <c r="AL1464" s="259"/>
      <c r="AM1464" s="259"/>
      <c r="AN1464" s="259"/>
      <c r="AO1464" s="259"/>
      <c r="AP1464" s="592"/>
      <c r="AQ1464" s="259"/>
      <c r="AR1464" s="259"/>
      <c r="AS1464" s="327"/>
      <c r="AT1464" s="327"/>
      <c r="AU1464" s="259"/>
      <c r="AV1464" s="327"/>
      <c r="AW1464" s="259"/>
      <c r="AX1464" s="259"/>
      <c r="AY1464" s="327"/>
      <c r="AZ1464" s="259"/>
      <c r="BA1464" s="327"/>
      <c r="BB1464" s="259"/>
      <c r="BC1464" s="259"/>
      <c r="BD1464" s="259"/>
      <c r="BE1464" s="259"/>
      <c r="BF1464" s="259"/>
      <c r="BG1464" s="259"/>
      <c r="BH1464" s="259"/>
      <c r="BI1464" s="259"/>
      <c r="BJ1464" s="259"/>
      <c r="BK1464" s="259"/>
      <c r="BL1464" s="259"/>
      <c r="BM1464" s="259"/>
      <c r="BN1464" s="289"/>
      <c r="BO1464" s="259"/>
      <c r="BP1464" s="259"/>
      <c r="BQ1464" s="259"/>
      <c r="BR1464" s="259"/>
      <c r="BS1464" s="328"/>
      <c r="BT1464" s="327"/>
      <c r="BU1464" s="327"/>
      <c r="BV1464" s="327"/>
      <c r="BW1464" s="327"/>
      <c r="BX1464" s="327"/>
      <c r="BY1464" s="327"/>
      <c r="BZ1464" s="327"/>
      <c r="CA1464" s="337"/>
      <c r="CB1464" s="592"/>
      <c r="CC1464" s="259"/>
      <c r="CD1464" s="623"/>
      <c r="CE1464" s="342" t="s">
        <v>1576</v>
      </c>
      <c r="CF1464" s="342" t="s">
        <v>1575</v>
      </c>
      <c r="CG1464" s="41"/>
    </row>
    <row r="1465" spans="1:86" s="301" customFormat="1" ht="12.75" customHeight="1" x14ac:dyDescent="0.3">
      <c r="A1465" s="327" t="s">
        <v>972</v>
      </c>
      <c r="B1465" s="327" t="s">
        <v>1250</v>
      </c>
      <c r="C1465" s="327" t="s">
        <v>868</v>
      </c>
      <c r="D1465" s="327" t="s">
        <v>553</v>
      </c>
      <c r="E1465" s="327" t="s">
        <v>901</v>
      </c>
      <c r="F1465" s="327">
        <v>1</v>
      </c>
      <c r="G1465" s="327">
        <v>2</v>
      </c>
      <c r="H1465" s="328">
        <v>2</v>
      </c>
      <c r="I1465" s="327" t="s">
        <v>856</v>
      </c>
      <c r="J1465" s="327">
        <v>1995</v>
      </c>
      <c r="K1465" s="327" t="s">
        <v>856</v>
      </c>
      <c r="L1465" s="327">
        <v>1997</v>
      </c>
      <c r="M1465" s="368">
        <v>-9999</v>
      </c>
      <c r="N1465" s="327">
        <v>-9999</v>
      </c>
      <c r="O1465" s="651">
        <f>1/0.34</f>
        <v>2.9411764705882351</v>
      </c>
      <c r="P1465" s="370">
        <f t="shared" ref="P1465:P1474" si="153">R1465*O1465</f>
        <v>5.5882352941176467</v>
      </c>
      <c r="Q1465" s="328">
        <v>-9999</v>
      </c>
      <c r="R1465" s="741">
        <f>+Y1465</f>
        <v>1.9</v>
      </c>
      <c r="S1465" s="408"/>
      <c r="T1465" s="370">
        <f t="shared" ref="T1465:T1474" si="154">+P1465/H1465</f>
        <v>2.7941176470588234</v>
      </c>
      <c r="U1465" s="328">
        <v>-9999</v>
      </c>
      <c r="V1465" s="431">
        <v>0.95</v>
      </c>
      <c r="W1465" s="741">
        <f>0.5*O1465</f>
        <v>1.4705882352941175</v>
      </c>
      <c r="X1465" s="328">
        <v>-9999</v>
      </c>
      <c r="Y1465" s="408">
        <v>1.9</v>
      </c>
      <c r="Z1465" s="327" t="s">
        <v>1709</v>
      </c>
      <c r="AA1465" s="628">
        <f t="shared" ref="AA1465:AA1474" si="155">1077-7</f>
        <v>1070</v>
      </c>
      <c r="AB1465" s="368">
        <v>1</v>
      </c>
      <c r="AC1465" s="327">
        <v>0.2</v>
      </c>
      <c r="AD1465" s="327">
        <v>2.5999999999999999E-2</v>
      </c>
      <c r="AE1465" s="327" t="s">
        <v>963</v>
      </c>
      <c r="AF1465" s="327">
        <v>3</v>
      </c>
      <c r="AG1465" s="327" t="s">
        <v>878</v>
      </c>
      <c r="AH1465" s="327" t="s">
        <v>857</v>
      </c>
      <c r="AI1465" s="327" t="s">
        <v>858</v>
      </c>
      <c r="AJ1465" s="327" t="s">
        <v>859</v>
      </c>
      <c r="AK1465" s="327" t="s">
        <v>860</v>
      </c>
      <c r="AL1465" s="327" t="s">
        <v>828</v>
      </c>
      <c r="AM1465" s="327" t="s">
        <v>861</v>
      </c>
      <c r="AN1465" s="327" t="s">
        <v>626</v>
      </c>
      <c r="AO1465" s="327" t="s">
        <v>973</v>
      </c>
      <c r="AP1465" s="629" t="s">
        <v>131</v>
      </c>
      <c r="AQ1465" s="327" t="s">
        <v>626</v>
      </c>
      <c r="AR1465" s="327">
        <f>45+87</f>
        <v>132</v>
      </c>
      <c r="AS1465" s="327" t="s">
        <v>705</v>
      </c>
      <c r="AT1465" s="327" t="s">
        <v>707</v>
      </c>
      <c r="AU1465" s="327">
        <f>11+22</f>
        <v>33</v>
      </c>
      <c r="AV1465" s="327" t="s">
        <v>709</v>
      </c>
      <c r="AW1465" s="327" t="s">
        <v>708</v>
      </c>
      <c r="AX1465" s="327">
        <f>45+87</f>
        <v>132</v>
      </c>
      <c r="AY1465" s="327" t="s">
        <v>710</v>
      </c>
      <c r="AZ1465" s="327" t="s">
        <v>708</v>
      </c>
      <c r="BA1465" s="327" t="s">
        <v>869</v>
      </c>
      <c r="BB1465" s="327"/>
      <c r="BC1465" s="327" t="s">
        <v>864</v>
      </c>
      <c r="BD1465" s="327"/>
      <c r="BE1465" s="327" t="s">
        <v>865</v>
      </c>
      <c r="BF1465" s="327">
        <v>-9999</v>
      </c>
      <c r="BG1465" s="327">
        <v>-9999</v>
      </c>
      <c r="BH1465" s="327">
        <v>-9999</v>
      </c>
      <c r="BI1465" s="327" t="s">
        <v>866</v>
      </c>
      <c r="BJ1465" s="327">
        <v>1.3</v>
      </c>
      <c r="BK1465" s="327">
        <v>-9999</v>
      </c>
      <c r="BL1465" s="327">
        <v>2.7</v>
      </c>
      <c r="BM1465" s="327">
        <v>-9999</v>
      </c>
      <c r="BN1465" s="363">
        <v>3.8</v>
      </c>
      <c r="BO1465" s="327">
        <v>-9999</v>
      </c>
      <c r="BP1465" s="327">
        <v>-9999</v>
      </c>
      <c r="BQ1465" s="327">
        <v>-9999</v>
      </c>
      <c r="BR1465" s="327">
        <v>-9999</v>
      </c>
      <c r="BS1465" s="328">
        <v>-9999</v>
      </c>
      <c r="BT1465" s="327">
        <v>-9999</v>
      </c>
      <c r="BU1465" s="327">
        <v>-9999</v>
      </c>
      <c r="BV1465" s="327">
        <v>-9999</v>
      </c>
      <c r="BW1465" s="327"/>
      <c r="BX1465" s="327">
        <v>-9999</v>
      </c>
      <c r="BY1465" s="327">
        <v>-9999</v>
      </c>
      <c r="BZ1465" s="327">
        <v>-9999</v>
      </c>
      <c r="CA1465" s="369" t="s">
        <v>974</v>
      </c>
      <c r="CB1465" s="475"/>
      <c r="CC1465" s="327">
        <v>1</v>
      </c>
      <c r="CD1465" s="327">
        <v>2</v>
      </c>
      <c r="CE1465" s="342">
        <v>2.7941176470588234</v>
      </c>
      <c r="CF1465" s="342">
        <v>1.4705882352941175</v>
      </c>
      <c r="CG1465" s="347">
        <v>2</v>
      </c>
    </row>
    <row r="1466" spans="1:86" s="301" customFormat="1" ht="12.75" customHeight="1" x14ac:dyDescent="0.3">
      <c r="A1466" s="327" t="s">
        <v>972</v>
      </c>
      <c r="B1466" s="327" t="s">
        <v>1250</v>
      </c>
      <c r="C1466" s="327" t="s">
        <v>868</v>
      </c>
      <c r="D1466" s="327" t="s">
        <v>553</v>
      </c>
      <c r="E1466" s="327" t="s">
        <v>901</v>
      </c>
      <c r="F1466" s="327">
        <v>1</v>
      </c>
      <c r="G1466" s="327">
        <v>3</v>
      </c>
      <c r="H1466" s="328">
        <v>3</v>
      </c>
      <c r="I1466" s="327" t="s">
        <v>856</v>
      </c>
      <c r="J1466" s="327">
        <v>1995</v>
      </c>
      <c r="K1466" s="327" t="s">
        <v>856</v>
      </c>
      <c r="L1466" s="327">
        <v>1998</v>
      </c>
      <c r="M1466" s="368">
        <v>-9999</v>
      </c>
      <c r="N1466" s="327">
        <v>-9999</v>
      </c>
      <c r="O1466" s="652">
        <f>1/0.34</f>
        <v>2.9411764705882351</v>
      </c>
      <c r="P1466" s="370">
        <f t="shared" si="153"/>
        <v>16.352941176470587</v>
      </c>
      <c r="Q1466" s="328">
        <v>-9999</v>
      </c>
      <c r="R1466" s="287">
        <f t="shared" ref="R1466:R1474" si="156">+Y1466+R1465</f>
        <v>5.5600000000000005</v>
      </c>
      <c r="S1466" s="413"/>
      <c r="T1466" s="370">
        <f t="shared" si="154"/>
        <v>5.450980392156862</v>
      </c>
      <c r="U1466" s="328">
        <v>-9999</v>
      </c>
      <c r="V1466" s="431">
        <v>1.8533333333333335</v>
      </c>
      <c r="W1466" s="287">
        <f>3.66*O1466</f>
        <v>10.76470588235294</v>
      </c>
      <c r="X1466" s="328">
        <v>-9999</v>
      </c>
      <c r="Y1466" s="327">
        <v>3.66</v>
      </c>
      <c r="Z1466" s="327" t="s">
        <v>1709</v>
      </c>
      <c r="AA1466" s="628">
        <f t="shared" si="155"/>
        <v>1070</v>
      </c>
      <c r="AB1466" s="368">
        <v>0.96448598130841123</v>
      </c>
      <c r="AC1466" s="327">
        <v>0.2</v>
      </c>
      <c r="AD1466" s="327">
        <v>2.5999999999999999E-2</v>
      </c>
      <c r="AE1466" s="327" t="s">
        <v>963</v>
      </c>
      <c r="AF1466" s="327">
        <v>3</v>
      </c>
      <c r="AG1466" s="327" t="s">
        <v>878</v>
      </c>
      <c r="AH1466" s="327" t="s">
        <v>857</v>
      </c>
      <c r="AI1466" s="327" t="s">
        <v>858</v>
      </c>
      <c r="AJ1466" s="327" t="s">
        <v>859</v>
      </c>
      <c r="AK1466" s="327" t="s">
        <v>860</v>
      </c>
      <c r="AL1466" s="327" t="s">
        <v>828</v>
      </c>
      <c r="AM1466" s="327" t="s">
        <v>861</v>
      </c>
      <c r="AN1466" s="327" t="s">
        <v>626</v>
      </c>
      <c r="AO1466" s="327" t="s">
        <v>973</v>
      </c>
      <c r="AP1466" s="327" t="s">
        <v>132</v>
      </c>
      <c r="AQ1466" s="327" t="s">
        <v>626</v>
      </c>
      <c r="AR1466" s="327">
        <f>+AR1465+135</f>
        <v>267</v>
      </c>
      <c r="AS1466" s="327" t="s">
        <v>692</v>
      </c>
      <c r="AT1466" s="327" t="s">
        <v>708</v>
      </c>
      <c r="AU1466" s="327">
        <f>+AU1465+33</f>
        <v>66</v>
      </c>
      <c r="AV1466" s="327" t="s">
        <v>700</v>
      </c>
      <c r="AW1466" s="327" t="s">
        <v>708</v>
      </c>
      <c r="AX1466" s="327">
        <f>+AX1465+130</f>
        <v>262</v>
      </c>
      <c r="AY1466" s="327" t="s">
        <v>711</v>
      </c>
      <c r="AZ1466" s="327" t="s">
        <v>708</v>
      </c>
      <c r="BA1466" s="327" t="s">
        <v>869</v>
      </c>
      <c r="BB1466" s="327" t="s">
        <v>626</v>
      </c>
      <c r="BC1466" s="327" t="s">
        <v>864</v>
      </c>
      <c r="BD1466" s="327"/>
      <c r="BE1466" s="327" t="s">
        <v>865</v>
      </c>
      <c r="BF1466" s="327">
        <v>-9999</v>
      </c>
      <c r="BG1466" s="327">
        <v>-9999</v>
      </c>
      <c r="BH1466" s="327">
        <v>-9999</v>
      </c>
      <c r="BI1466" s="327" t="s">
        <v>866</v>
      </c>
      <c r="BJ1466" s="327">
        <v>7.4</v>
      </c>
      <c r="BK1466" s="327">
        <v>-9999</v>
      </c>
      <c r="BL1466" s="327">
        <v>5</v>
      </c>
      <c r="BM1466" s="327">
        <v>-9999</v>
      </c>
      <c r="BN1466" s="363">
        <v>8.1999999999999993</v>
      </c>
      <c r="BO1466" s="327">
        <v>-9999</v>
      </c>
      <c r="BP1466" s="327">
        <v>-9999</v>
      </c>
      <c r="BQ1466" s="327">
        <v>-9999</v>
      </c>
      <c r="BR1466" s="327">
        <v>-9999</v>
      </c>
      <c r="BS1466" s="328">
        <v>-9999</v>
      </c>
      <c r="BT1466" s="327">
        <v>-9999</v>
      </c>
      <c r="BU1466" s="327">
        <v>-9999</v>
      </c>
      <c r="BV1466" s="327">
        <v>-9999</v>
      </c>
      <c r="BW1466" s="327"/>
      <c r="BX1466" s="327">
        <v>-9999</v>
      </c>
      <c r="BY1466" s="327">
        <v>-9999</v>
      </c>
      <c r="BZ1466" s="327">
        <v>-9999</v>
      </c>
      <c r="CA1466" s="369" t="s">
        <v>974</v>
      </c>
      <c r="CB1466" s="475"/>
      <c r="CC1466" s="327">
        <v>1</v>
      </c>
      <c r="CD1466" s="327">
        <v>3</v>
      </c>
      <c r="CE1466" s="342">
        <v>5.4509803921568629</v>
      </c>
      <c r="CF1466" s="342">
        <v>10.76470588235294</v>
      </c>
      <c r="CG1466" s="347">
        <v>3</v>
      </c>
    </row>
    <row r="1467" spans="1:86" s="301" customFormat="1" ht="12.75" customHeight="1" x14ac:dyDescent="0.3">
      <c r="A1467" s="327" t="s">
        <v>972</v>
      </c>
      <c r="B1467" s="327" t="s">
        <v>1250</v>
      </c>
      <c r="C1467" s="327" t="s">
        <v>868</v>
      </c>
      <c r="D1467" s="327" t="s">
        <v>553</v>
      </c>
      <c r="E1467" s="327" t="s">
        <v>901</v>
      </c>
      <c r="F1467" s="327">
        <v>1</v>
      </c>
      <c r="G1467" s="327">
        <v>4</v>
      </c>
      <c r="H1467" s="328">
        <v>4</v>
      </c>
      <c r="I1467" s="327" t="s">
        <v>856</v>
      </c>
      <c r="J1467" s="327">
        <v>1995</v>
      </c>
      <c r="K1467" s="327" t="s">
        <v>856</v>
      </c>
      <c r="L1467" s="327">
        <v>1999</v>
      </c>
      <c r="M1467" s="368">
        <v>-9999</v>
      </c>
      <c r="N1467" s="327">
        <v>-9999</v>
      </c>
      <c r="O1467" s="652">
        <f>1/0.48</f>
        <v>2.0833333333333335</v>
      </c>
      <c r="P1467" s="370">
        <f t="shared" si="153"/>
        <v>35.125</v>
      </c>
      <c r="Q1467" s="328">
        <v>-9999</v>
      </c>
      <c r="R1467" s="287">
        <f t="shared" si="156"/>
        <v>16.86</v>
      </c>
      <c r="S1467" s="413"/>
      <c r="T1467" s="370">
        <f t="shared" si="154"/>
        <v>8.78125</v>
      </c>
      <c r="U1467" s="328">
        <v>-9999</v>
      </c>
      <c r="V1467" s="431">
        <v>4.2149999999999999</v>
      </c>
      <c r="W1467" s="287">
        <f>11.3*O1467</f>
        <v>23.541666666666671</v>
      </c>
      <c r="X1467" s="328">
        <v>-9999</v>
      </c>
      <c r="Y1467" s="327">
        <v>11.3</v>
      </c>
      <c r="Z1467" s="327" t="s">
        <v>1709</v>
      </c>
      <c r="AA1467" s="628">
        <f t="shared" si="155"/>
        <v>1070</v>
      </c>
      <c r="AB1467" s="368">
        <v>0.92897196261682247</v>
      </c>
      <c r="AC1467" s="327">
        <v>0.2</v>
      </c>
      <c r="AD1467" s="327">
        <v>2.5999999999999999E-2</v>
      </c>
      <c r="AE1467" s="327" t="s">
        <v>963</v>
      </c>
      <c r="AF1467" s="327">
        <v>3</v>
      </c>
      <c r="AG1467" s="327" t="s">
        <v>878</v>
      </c>
      <c r="AH1467" s="327" t="s">
        <v>857</v>
      </c>
      <c r="AI1467" s="327" t="s">
        <v>858</v>
      </c>
      <c r="AJ1467" s="327" t="s">
        <v>859</v>
      </c>
      <c r="AK1467" s="327" t="s">
        <v>860</v>
      </c>
      <c r="AL1467" s="327" t="s">
        <v>828</v>
      </c>
      <c r="AM1467" s="327" t="s">
        <v>861</v>
      </c>
      <c r="AN1467" s="327" t="s">
        <v>626</v>
      </c>
      <c r="AO1467" s="327" t="s">
        <v>973</v>
      </c>
      <c r="AP1467" s="327" t="s">
        <v>133</v>
      </c>
      <c r="AQ1467" s="327" t="s">
        <v>626</v>
      </c>
      <c r="AR1467" s="327">
        <f>+AR1466+112</f>
        <v>379</v>
      </c>
      <c r="AS1467" s="327" t="s">
        <v>693</v>
      </c>
      <c r="AT1467" s="327" t="s">
        <v>708</v>
      </c>
      <c r="AU1467" s="327">
        <f>+AU1466+20</f>
        <v>86</v>
      </c>
      <c r="AV1467" s="327" t="s">
        <v>701</v>
      </c>
      <c r="AW1467" s="327" t="s">
        <v>708</v>
      </c>
      <c r="AX1467" s="327">
        <f>+AX1466+90</f>
        <v>352</v>
      </c>
      <c r="AY1467" s="327" t="s">
        <v>712</v>
      </c>
      <c r="AZ1467" s="327" t="s">
        <v>708</v>
      </c>
      <c r="BA1467" s="475" t="s">
        <v>720</v>
      </c>
      <c r="BB1467" s="327" t="s">
        <v>626</v>
      </c>
      <c r="BC1467" s="327" t="s">
        <v>864</v>
      </c>
      <c r="BD1467" s="327"/>
      <c r="BE1467" s="327" t="s">
        <v>865</v>
      </c>
      <c r="BF1467" s="327">
        <v>-9999</v>
      </c>
      <c r="BG1467" s="327">
        <v>-9999</v>
      </c>
      <c r="BH1467" s="327">
        <v>-9999</v>
      </c>
      <c r="BI1467" s="327" t="s">
        <v>866</v>
      </c>
      <c r="BJ1467" s="327">
        <v>16.5</v>
      </c>
      <c r="BK1467" s="327">
        <v>-9999</v>
      </c>
      <c r="BL1467" s="327">
        <v>6.1</v>
      </c>
      <c r="BM1467" s="327">
        <v>-9999</v>
      </c>
      <c r="BN1467" s="363">
        <v>12.3</v>
      </c>
      <c r="BO1467" s="327">
        <v>-9999</v>
      </c>
      <c r="BP1467" s="327">
        <v>-9999</v>
      </c>
      <c r="BQ1467" s="327">
        <v>-9999</v>
      </c>
      <c r="BR1467" s="327">
        <v>-9999</v>
      </c>
      <c r="BS1467" s="328">
        <v>-9999</v>
      </c>
      <c r="BT1467" s="327">
        <v>-9999</v>
      </c>
      <c r="BU1467" s="327">
        <v>-9999</v>
      </c>
      <c r="BV1467" s="327">
        <v>-9999</v>
      </c>
      <c r="BW1467" s="327"/>
      <c r="BX1467" s="327">
        <v>-9999</v>
      </c>
      <c r="BY1467" s="327">
        <v>-9999</v>
      </c>
      <c r="BZ1467" s="327">
        <v>-9999</v>
      </c>
      <c r="CA1467" s="369" t="s">
        <v>974</v>
      </c>
      <c r="CB1467" s="475"/>
      <c r="CC1467" s="327">
        <v>1</v>
      </c>
      <c r="CD1467" s="327">
        <v>4</v>
      </c>
      <c r="CE1467" s="342">
        <v>8.78125</v>
      </c>
      <c r="CF1467" s="342">
        <v>23.541666666666671</v>
      </c>
      <c r="CG1467" s="347">
        <v>4</v>
      </c>
    </row>
    <row r="1468" spans="1:86" s="301" customFormat="1" ht="12.75" customHeight="1" x14ac:dyDescent="0.3">
      <c r="A1468" s="327" t="s">
        <v>972</v>
      </c>
      <c r="B1468" s="327" t="s">
        <v>1250</v>
      </c>
      <c r="C1468" s="327" t="s">
        <v>868</v>
      </c>
      <c r="D1468" s="327" t="s">
        <v>553</v>
      </c>
      <c r="E1468" s="327" t="s">
        <v>901</v>
      </c>
      <c r="F1468" s="327">
        <v>1</v>
      </c>
      <c r="G1468" s="327">
        <v>5</v>
      </c>
      <c r="H1468" s="328">
        <v>5</v>
      </c>
      <c r="I1468" s="327" t="s">
        <v>856</v>
      </c>
      <c r="J1468" s="327">
        <v>1995</v>
      </c>
      <c r="K1468" s="327" t="s">
        <v>856</v>
      </c>
      <c r="L1468" s="327">
        <v>2000</v>
      </c>
      <c r="M1468" s="368">
        <v>-9999</v>
      </c>
      <c r="N1468" s="327">
        <v>-9999</v>
      </c>
      <c r="O1468" s="652">
        <f>1/0.66</f>
        <v>1.5151515151515151</v>
      </c>
      <c r="P1468" s="370">
        <f t="shared" si="153"/>
        <v>51.257575757575758</v>
      </c>
      <c r="Q1468" s="328">
        <v>-9999</v>
      </c>
      <c r="R1468" s="287">
        <f t="shared" si="156"/>
        <v>33.83</v>
      </c>
      <c r="S1468" s="413"/>
      <c r="T1468" s="370">
        <f t="shared" si="154"/>
        <v>10.251515151515152</v>
      </c>
      <c r="U1468" s="328">
        <v>-9999</v>
      </c>
      <c r="V1468" s="431">
        <v>6.766</v>
      </c>
      <c r="W1468" s="287">
        <f>16.97*O1468</f>
        <v>25.712121212121211</v>
      </c>
      <c r="X1468" s="328">
        <v>-9999</v>
      </c>
      <c r="Y1468" s="327">
        <v>16.97</v>
      </c>
      <c r="Z1468" s="327" t="s">
        <v>1709</v>
      </c>
      <c r="AA1468" s="628">
        <f t="shared" si="155"/>
        <v>1070</v>
      </c>
      <c r="AB1468" s="368">
        <v>0.91682242990654206</v>
      </c>
      <c r="AC1468" s="327">
        <v>0.2</v>
      </c>
      <c r="AD1468" s="327">
        <v>2.5999999999999999E-2</v>
      </c>
      <c r="AE1468" s="327" t="s">
        <v>963</v>
      </c>
      <c r="AF1468" s="327">
        <v>3</v>
      </c>
      <c r="AG1468" s="327" t="s">
        <v>878</v>
      </c>
      <c r="AH1468" s="327" t="s">
        <v>857</v>
      </c>
      <c r="AI1468" s="327" t="s">
        <v>858</v>
      </c>
      <c r="AJ1468" s="327" t="s">
        <v>859</v>
      </c>
      <c r="AK1468" s="327" t="s">
        <v>860</v>
      </c>
      <c r="AL1468" s="327" t="s">
        <v>828</v>
      </c>
      <c r="AM1468" s="327" t="s">
        <v>861</v>
      </c>
      <c r="AN1468" s="327" t="s">
        <v>626</v>
      </c>
      <c r="AO1468" s="327" t="s">
        <v>973</v>
      </c>
      <c r="AP1468" s="327" t="s">
        <v>862</v>
      </c>
      <c r="AQ1468" s="327" t="s">
        <v>626</v>
      </c>
      <c r="AR1468" s="327">
        <f>+AR1467+79</f>
        <v>458</v>
      </c>
      <c r="AS1468" s="327" t="s">
        <v>694</v>
      </c>
      <c r="AT1468" s="327" t="s">
        <v>708</v>
      </c>
      <c r="AU1468" s="327">
        <f>+AU1467+20</f>
        <v>106</v>
      </c>
      <c r="AV1468" s="327" t="s">
        <v>701</v>
      </c>
      <c r="AW1468" s="327" t="s">
        <v>708</v>
      </c>
      <c r="AX1468" s="327">
        <f>+AX1467+79</f>
        <v>431</v>
      </c>
      <c r="AY1468" s="327" t="s">
        <v>713</v>
      </c>
      <c r="AZ1468" s="327" t="s">
        <v>708</v>
      </c>
      <c r="BA1468" s="327" t="s">
        <v>869</v>
      </c>
      <c r="BB1468" s="327" t="s">
        <v>626</v>
      </c>
      <c r="BC1468" s="327" t="s">
        <v>864</v>
      </c>
      <c r="BD1468" s="327"/>
      <c r="BE1468" s="327" t="s">
        <v>865</v>
      </c>
      <c r="BF1468" s="327">
        <v>-9999</v>
      </c>
      <c r="BG1468" s="327">
        <v>-9999</v>
      </c>
      <c r="BH1468" s="327">
        <v>-9999</v>
      </c>
      <c r="BI1468" s="327" t="s">
        <v>866</v>
      </c>
      <c r="BJ1468" s="327">
        <v>21.2</v>
      </c>
      <c r="BK1468" s="327">
        <v>-9999</v>
      </c>
      <c r="BL1468" s="327">
        <v>8.1</v>
      </c>
      <c r="BM1468" s="327">
        <v>-9999</v>
      </c>
      <c r="BN1468" s="363">
        <v>14.8</v>
      </c>
      <c r="BO1468" s="327">
        <v>-9999</v>
      </c>
      <c r="BP1468" s="327">
        <v>-9999</v>
      </c>
      <c r="BQ1468" s="327">
        <v>-9999</v>
      </c>
      <c r="BR1468" s="327">
        <v>-9999</v>
      </c>
      <c r="BS1468" s="328">
        <v>-9999</v>
      </c>
      <c r="BT1468" s="327">
        <v>-9999</v>
      </c>
      <c r="BU1468" s="327">
        <v>-9999</v>
      </c>
      <c r="BV1468" s="327">
        <v>-9999</v>
      </c>
      <c r="BW1468" s="327"/>
      <c r="BX1468" s="327">
        <v>-9999</v>
      </c>
      <c r="BY1468" s="327">
        <v>-9999</v>
      </c>
      <c r="BZ1468" s="327">
        <v>-9999</v>
      </c>
      <c r="CA1468" s="369" t="s">
        <v>974</v>
      </c>
      <c r="CB1468" s="475"/>
      <c r="CC1468" s="327">
        <v>1</v>
      </c>
      <c r="CD1468" s="327">
        <v>5</v>
      </c>
      <c r="CE1468" s="342">
        <v>10.251515151515152</v>
      </c>
      <c r="CF1468" s="342">
        <v>25.712121212121211</v>
      </c>
      <c r="CG1468" s="347">
        <v>5</v>
      </c>
    </row>
    <row r="1469" spans="1:86" s="301" customFormat="1" ht="12.75" customHeight="1" x14ac:dyDescent="0.3">
      <c r="A1469" s="327" t="s">
        <v>972</v>
      </c>
      <c r="B1469" s="327" t="s">
        <v>1250</v>
      </c>
      <c r="C1469" s="327" t="s">
        <v>868</v>
      </c>
      <c r="D1469" s="327" t="s">
        <v>553</v>
      </c>
      <c r="E1469" s="327" t="s">
        <v>901</v>
      </c>
      <c r="F1469" s="327">
        <v>1</v>
      </c>
      <c r="G1469" s="327">
        <v>6</v>
      </c>
      <c r="H1469" s="328">
        <v>6</v>
      </c>
      <c r="I1469" s="327" t="s">
        <v>856</v>
      </c>
      <c r="J1469" s="327">
        <v>1995</v>
      </c>
      <c r="K1469" s="327" t="s">
        <v>856</v>
      </c>
      <c r="L1469" s="327">
        <v>2001</v>
      </c>
      <c r="M1469" s="368">
        <v>-9999</v>
      </c>
      <c r="N1469" s="327">
        <v>-9999</v>
      </c>
      <c r="O1469" s="652">
        <f>1/0.66</f>
        <v>1.5151515151515151</v>
      </c>
      <c r="P1469" s="370">
        <f t="shared" si="153"/>
        <v>66.712121212121218</v>
      </c>
      <c r="Q1469" s="328">
        <v>-9999</v>
      </c>
      <c r="R1469" s="287">
        <f t="shared" si="156"/>
        <v>44.03</v>
      </c>
      <c r="S1469" s="413"/>
      <c r="T1469" s="370">
        <f t="shared" si="154"/>
        <v>11.11868686868687</v>
      </c>
      <c r="U1469" s="328">
        <v>-9999</v>
      </c>
      <c r="V1469" s="431">
        <v>7.3383333333333338</v>
      </c>
      <c r="W1469" s="287">
        <f>10.2*O1469</f>
        <v>15.454545454545453</v>
      </c>
      <c r="X1469" s="328">
        <v>-9999</v>
      </c>
      <c r="Y1469" s="327">
        <v>10.199999999999999</v>
      </c>
      <c r="Z1469" s="327" t="s">
        <v>1709</v>
      </c>
      <c r="AA1469" s="628">
        <f t="shared" si="155"/>
        <v>1070</v>
      </c>
      <c r="AB1469" s="368">
        <v>0.89252336448598135</v>
      </c>
      <c r="AC1469" s="327">
        <v>0.2</v>
      </c>
      <c r="AD1469" s="327">
        <v>2.5999999999999999E-2</v>
      </c>
      <c r="AE1469" s="327" t="s">
        <v>963</v>
      </c>
      <c r="AF1469" s="327">
        <v>3</v>
      </c>
      <c r="AG1469" s="327" t="s">
        <v>878</v>
      </c>
      <c r="AH1469" s="327" t="s">
        <v>857</v>
      </c>
      <c r="AI1469" s="327" t="s">
        <v>858</v>
      </c>
      <c r="AJ1469" s="327" t="s">
        <v>859</v>
      </c>
      <c r="AK1469" s="327" t="s">
        <v>860</v>
      </c>
      <c r="AL1469" s="327" t="s">
        <v>828</v>
      </c>
      <c r="AM1469" s="327" t="s">
        <v>861</v>
      </c>
      <c r="AN1469" s="327" t="s">
        <v>626</v>
      </c>
      <c r="AO1469" s="327" t="s">
        <v>973</v>
      </c>
      <c r="AP1469" s="327" t="s">
        <v>862</v>
      </c>
      <c r="AQ1469" s="327" t="s">
        <v>626</v>
      </c>
      <c r="AR1469" s="327">
        <f>+AR1468+79</f>
        <v>537</v>
      </c>
      <c r="AS1469" s="327" t="s">
        <v>695</v>
      </c>
      <c r="AT1469" s="327" t="s">
        <v>708</v>
      </c>
      <c r="AU1469" s="327">
        <f>+AU1468+20</f>
        <v>126</v>
      </c>
      <c r="AV1469" s="327" t="s">
        <v>701</v>
      </c>
      <c r="AW1469" s="327" t="s">
        <v>708</v>
      </c>
      <c r="AX1469" s="327">
        <f>+AX1468+79</f>
        <v>510</v>
      </c>
      <c r="AY1469" s="327" t="s">
        <v>714</v>
      </c>
      <c r="AZ1469" s="327" t="s">
        <v>708</v>
      </c>
      <c r="BA1469" s="327" t="s">
        <v>869</v>
      </c>
      <c r="BB1469" s="327" t="s">
        <v>626</v>
      </c>
      <c r="BC1469" s="327" t="s">
        <v>864</v>
      </c>
      <c r="BD1469" s="327"/>
      <c r="BE1469" s="327" t="s">
        <v>865</v>
      </c>
      <c r="BF1469" s="327">
        <v>-9999</v>
      </c>
      <c r="BG1469" s="327">
        <v>-9999</v>
      </c>
      <c r="BH1469" s="327">
        <v>-9999</v>
      </c>
      <c r="BI1469" s="327" t="s">
        <v>866</v>
      </c>
      <c r="BJ1469" s="633">
        <v>25.1</v>
      </c>
      <c r="BK1469" s="327">
        <v>-9999</v>
      </c>
      <c r="BL1469" s="327">
        <v>9</v>
      </c>
      <c r="BM1469" s="327">
        <v>-9999</v>
      </c>
      <c r="BN1469" s="363">
        <v>17</v>
      </c>
      <c r="BO1469" s="327">
        <v>-9999</v>
      </c>
      <c r="BP1469" s="327">
        <v>-9999</v>
      </c>
      <c r="BQ1469" s="327">
        <v>-9999</v>
      </c>
      <c r="BR1469" s="327">
        <v>-9999</v>
      </c>
      <c r="BS1469" s="328">
        <v>-9999</v>
      </c>
      <c r="BT1469" s="327">
        <v>-9999</v>
      </c>
      <c r="BU1469" s="327">
        <v>-9999</v>
      </c>
      <c r="BV1469" s="327">
        <v>-9999</v>
      </c>
      <c r="BW1469" s="327"/>
      <c r="BX1469" s="327">
        <v>-9999</v>
      </c>
      <c r="BY1469" s="327">
        <v>-9999</v>
      </c>
      <c r="BZ1469" s="327">
        <v>-9999</v>
      </c>
      <c r="CA1469" s="369" t="s">
        <v>974</v>
      </c>
      <c r="CB1469" s="475"/>
      <c r="CC1469" s="327">
        <v>1</v>
      </c>
      <c r="CD1469" s="327">
        <v>6</v>
      </c>
      <c r="CE1469" s="342">
        <v>11.118686868686869</v>
      </c>
      <c r="CF1469" s="342">
        <v>15.454545454545453</v>
      </c>
      <c r="CG1469" s="347">
        <v>6</v>
      </c>
    </row>
    <row r="1470" spans="1:86" s="301" customFormat="1" ht="12.75" customHeight="1" x14ac:dyDescent="0.3">
      <c r="A1470" s="327" t="s">
        <v>972</v>
      </c>
      <c r="B1470" s="327" t="s">
        <v>1250</v>
      </c>
      <c r="C1470" s="327" t="s">
        <v>868</v>
      </c>
      <c r="D1470" s="327" t="s">
        <v>553</v>
      </c>
      <c r="E1470" s="327" t="s">
        <v>901</v>
      </c>
      <c r="F1470" s="327">
        <v>1</v>
      </c>
      <c r="G1470" s="327">
        <v>7</v>
      </c>
      <c r="H1470" s="327">
        <v>7</v>
      </c>
      <c r="I1470" s="327" t="s">
        <v>856</v>
      </c>
      <c r="J1470" s="327">
        <v>1995</v>
      </c>
      <c r="K1470" s="327" t="s">
        <v>856</v>
      </c>
      <c r="L1470" s="327">
        <v>2002</v>
      </c>
      <c r="M1470" s="368">
        <v>-9999</v>
      </c>
      <c r="N1470" s="327">
        <v>-9999</v>
      </c>
      <c r="O1470" s="651">
        <f>1/0.7</f>
        <v>1.4285714285714286</v>
      </c>
      <c r="P1470" s="370">
        <f t="shared" si="153"/>
        <v>100.18571428571428</v>
      </c>
      <c r="Q1470" s="328">
        <v>-9999</v>
      </c>
      <c r="R1470" s="287">
        <f t="shared" si="156"/>
        <v>70.13</v>
      </c>
      <c r="S1470" s="413"/>
      <c r="T1470" s="370">
        <f t="shared" si="154"/>
        <v>14.312244897959184</v>
      </c>
      <c r="U1470" s="328">
        <v>-9999</v>
      </c>
      <c r="V1470" s="431">
        <v>10.018571428571429</v>
      </c>
      <c r="W1470" s="287">
        <f>26.1*O1470</f>
        <v>37.285714285714292</v>
      </c>
      <c r="X1470" s="328">
        <v>-9999</v>
      </c>
      <c r="Y1470" s="327">
        <v>26.1</v>
      </c>
      <c r="Z1470" s="327" t="s">
        <v>1709</v>
      </c>
      <c r="AA1470" s="628">
        <f t="shared" si="155"/>
        <v>1070</v>
      </c>
      <c r="AB1470" s="368">
        <v>0.86822429906542054</v>
      </c>
      <c r="AC1470" s="327">
        <v>0.2</v>
      </c>
      <c r="AD1470" s="327">
        <v>2.5999999999999999E-2</v>
      </c>
      <c r="AE1470" s="327" t="s">
        <v>963</v>
      </c>
      <c r="AF1470" s="327">
        <v>3</v>
      </c>
      <c r="AG1470" s="327" t="s">
        <v>878</v>
      </c>
      <c r="AH1470" s="327" t="s">
        <v>857</v>
      </c>
      <c r="AI1470" s="327" t="s">
        <v>858</v>
      </c>
      <c r="AJ1470" s="327" t="s">
        <v>859</v>
      </c>
      <c r="AK1470" s="327" t="s">
        <v>860</v>
      </c>
      <c r="AL1470" s="327" t="s">
        <v>828</v>
      </c>
      <c r="AM1470" s="327" t="s">
        <v>861</v>
      </c>
      <c r="AN1470" s="327" t="s">
        <v>626</v>
      </c>
      <c r="AO1470" s="327" t="s">
        <v>973</v>
      </c>
      <c r="AP1470" s="327" t="s">
        <v>975</v>
      </c>
      <c r="AQ1470" s="327" t="s">
        <v>626</v>
      </c>
      <c r="AR1470" s="327">
        <f>+AR1469+111</f>
        <v>648</v>
      </c>
      <c r="AS1470" s="327" t="s">
        <v>696</v>
      </c>
      <c r="AT1470" s="327" t="s">
        <v>708</v>
      </c>
      <c r="AU1470" s="327">
        <f>+AU1469+28</f>
        <v>154</v>
      </c>
      <c r="AV1470" s="327" t="s">
        <v>702</v>
      </c>
      <c r="AW1470" s="327" t="s">
        <v>708</v>
      </c>
      <c r="AX1470" s="327">
        <f>+AX1469+111</f>
        <v>621</v>
      </c>
      <c r="AY1470" s="327" t="s">
        <v>715</v>
      </c>
      <c r="AZ1470" s="327" t="s">
        <v>708</v>
      </c>
      <c r="BA1470" s="327" t="s">
        <v>869</v>
      </c>
      <c r="BB1470" s="327" t="s">
        <v>626</v>
      </c>
      <c r="BC1470" s="327" t="s">
        <v>864</v>
      </c>
      <c r="BD1470" s="327"/>
      <c r="BE1470" s="327" t="s">
        <v>865</v>
      </c>
      <c r="BF1470" s="327">
        <v>-9999</v>
      </c>
      <c r="BG1470" s="327">
        <v>-9999</v>
      </c>
      <c r="BH1470" s="327">
        <v>-9999</v>
      </c>
      <c r="BI1470" s="327" t="s">
        <v>866</v>
      </c>
      <c r="BJ1470" s="327">
        <v>29.2</v>
      </c>
      <c r="BK1470" s="327">
        <v>-9999</v>
      </c>
      <c r="BL1470" s="327">
        <v>11.6</v>
      </c>
      <c r="BM1470" s="327">
        <v>-9999</v>
      </c>
      <c r="BN1470" s="363">
        <v>19.100000000000001</v>
      </c>
      <c r="BO1470" s="327">
        <v>-9999</v>
      </c>
      <c r="BP1470" s="327">
        <v>-9999</v>
      </c>
      <c r="BQ1470" s="327">
        <v>-9999</v>
      </c>
      <c r="BR1470" s="327">
        <v>-9999</v>
      </c>
      <c r="BS1470" s="328">
        <v>-9999</v>
      </c>
      <c r="BT1470" s="327">
        <v>-9999</v>
      </c>
      <c r="BU1470" s="327">
        <v>-9999</v>
      </c>
      <c r="BV1470" s="327">
        <v>-9999</v>
      </c>
      <c r="BW1470" s="327"/>
      <c r="BX1470" s="327">
        <v>-9999</v>
      </c>
      <c r="BY1470" s="327">
        <v>-9999</v>
      </c>
      <c r="BZ1470" s="327">
        <v>-9999</v>
      </c>
      <c r="CA1470" s="369" t="s">
        <v>974</v>
      </c>
      <c r="CB1470" s="475"/>
      <c r="CC1470" s="327">
        <v>1</v>
      </c>
      <c r="CD1470" s="327">
        <v>7</v>
      </c>
      <c r="CE1470" s="342">
        <v>14.312244897959184</v>
      </c>
      <c r="CF1470" s="342">
        <v>37.285714285714292</v>
      </c>
      <c r="CG1470" s="143">
        <v>7</v>
      </c>
    </row>
    <row r="1471" spans="1:86" s="301" customFormat="1" ht="12.75" customHeight="1" x14ac:dyDescent="0.3">
      <c r="A1471" s="327" t="s">
        <v>972</v>
      </c>
      <c r="B1471" s="327" t="s">
        <v>1250</v>
      </c>
      <c r="C1471" s="327" t="s">
        <v>868</v>
      </c>
      <c r="D1471" s="327" t="s">
        <v>553</v>
      </c>
      <c r="E1471" s="327" t="s">
        <v>901</v>
      </c>
      <c r="F1471" s="327">
        <v>1</v>
      </c>
      <c r="G1471" s="327">
        <v>8</v>
      </c>
      <c r="H1471" s="327">
        <v>8</v>
      </c>
      <c r="I1471" s="327" t="s">
        <v>856</v>
      </c>
      <c r="J1471" s="327">
        <v>1995</v>
      </c>
      <c r="K1471" s="327" t="s">
        <v>856</v>
      </c>
      <c r="L1471" s="327">
        <v>2003</v>
      </c>
      <c r="M1471" s="368">
        <v>-9999</v>
      </c>
      <c r="N1471" s="327">
        <v>-9999</v>
      </c>
      <c r="O1471" s="651">
        <f>1/0.75</f>
        <v>1.3333333333333333</v>
      </c>
      <c r="P1471" s="370">
        <f t="shared" si="153"/>
        <v>125.63999999999999</v>
      </c>
      <c r="Q1471" s="328">
        <v>-9999</v>
      </c>
      <c r="R1471" s="287">
        <f t="shared" si="156"/>
        <v>94.22999999999999</v>
      </c>
      <c r="S1471" s="413"/>
      <c r="T1471" s="370">
        <f t="shared" si="154"/>
        <v>15.704999999999998</v>
      </c>
      <c r="U1471" s="328">
        <v>-9999</v>
      </c>
      <c r="V1471" s="431">
        <v>11.778749999999999</v>
      </c>
      <c r="W1471" s="287">
        <f>24.1*O1471</f>
        <v>32.133333333333333</v>
      </c>
      <c r="X1471" s="328">
        <v>-9999</v>
      </c>
      <c r="Y1471" s="327">
        <v>24.1</v>
      </c>
      <c r="Z1471" s="327" t="s">
        <v>1709</v>
      </c>
      <c r="AA1471" s="628">
        <f t="shared" si="155"/>
        <v>1070</v>
      </c>
      <c r="AB1471" s="368">
        <v>0.85700934579439247</v>
      </c>
      <c r="AC1471" s="327">
        <v>0.2</v>
      </c>
      <c r="AD1471" s="327">
        <v>2.5999999999999999E-2</v>
      </c>
      <c r="AE1471" s="327" t="s">
        <v>963</v>
      </c>
      <c r="AF1471" s="327">
        <v>3</v>
      </c>
      <c r="AG1471" s="327" t="s">
        <v>878</v>
      </c>
      <c r="AH1471" s="327" t="s">
        <v>857</v>
      </c>
      <c r="AI1471" s="327" t="s">
        <v>858</v>
      </c>
      <c r="AJ1471" s="327" t="s">
        <v>859</v>
      </c>
      <c r="AK1471" s="327" t="s">
        <v>860</v>
      </c>
      <c r="AL1471" s="327" t="s">
        <v>828</v>
      </c>
      <c r="AM1471" s="327" t="s">
        <v>861</v>
      </c>
      <c r="AN1471" s="327" t="s">
        <v>626</v>
      </c>
      <c r="AO1471" s="327" t="s">
        <v>973</v>
      </c>
      <c r="AP1471" s="327" t="s">
        <v>975</v>
      </c>
      <c r="AQ1471" s="327" t="s">
        <v>626</v>
      </c>
      <c r="AR1471" s="327">
        <f>+AR1470+113</f>
        <v>761</v>
      </c>
      <c r="AS1471" s="327" t="s">
        <v>697</v>
      </c>
      <c r="AT1471" s="327" t="s">
        <v>708</v>
      </c>
      <c r="AU1471" s="327">
        <f>+AU1470+28</f>
        <v>182</v>
      </c>
      <c r="AV1471" s="327" t="s">
        <v>702</v>
      </c>
      <c r="AW1471" s="327" t="s">
        <v>708</v>
      </c>
      <c r="AX1471" s="327">
        <f>+AX1470+113</f>
        <v>734</v>
      </c>
      <c r="AY1471" s="327" t="s">
        <v>716</v>
      </c>
      <c r="AZ1471" s="327" t="s">
        <v>708</v>
      </c>
      <c r="BA1471" s="327" t="s">
        <v>869</v>
      </c>
      <c r="BB1471" s="327" t="s">
        <v>626</v>
      </c>
      <c r="BC1471" s="327" t="s">
        <v>864</v>
      </c>
      <c r="BD1471" s="327"/>
      <c r="BE1471" s="327" t="s">
        <v>865</v>
      </c>
      <c r="BF1471" s="327">
        <v>-9999</v>
      </c>
      <c r="BG1471" s="327">
        <v>-9999</v>
      </c>
      <c r="BH1471" s="327">
        <v>-9999</v>
      </c>
      <c r="BI1471" s="327" t="s">
        <v>866</v>
      </c>
      <c r="BJ1471" s="327">
        <v>33.200000000000003</v>
      </c>
      <c r="BK1471" s="327">
        <v>-9999</v>
      </c>
      <c r="BL1471" s="327">
        <v>13</v>
      </c>
      <c r="BM1471" s="327">
        <v>-9999</v>
      </c>
      <c r="BN1471" s="363">
        <v>20.7</v>
      </c>
      <c r="BO1471" s="327">
        <v>-9999</v>
      </c>
      <c r="BP1471" s="327">
        <v>-9999</v>
      </c>
      <c r="BQ1471" s="327">
        <v>-9999</v>
      </c>
      <c r="BR1471" s="327">
        <v>-9999</v>
      </c>
      <c r="BS1471" s="328">
        <v>-9999</v>
      </c>
      <c r="BT1471" s="327">
        <v>-9999</v>
      </c>
      <c r="BU1471" s="327">
        <v>-9999</v>
      </c>
      <c r="BV1471" s="327">
        <v>-9999</v>
      </c>
      <c r="BW1471" s="327"/>
      <c r="BX1471" s="327">
        <v>-9999</v>
      </c>
      <c r="BY1471" s="327">
        <v>-9999</v>
      </c>
      <c r="BZ1471" s="327">
        <v>-9999</v>
      </c>
      <c r="CA1471" s="369" t="s">
        <v>974</v>
      </c>
      <c r="CB1471" s="475"/>
      <c r="CC1471" s="327">
        <v>1</v>
      </c>
      <c r="CD1471" s="327">
        <v>8</v>
      </c>
      <c r="CE1471" s="342">
        <v>15.704999999999998</v>
      </c>
      <c r="CF1471" s="342">
        <v>32.133333333333333</v>
      </c>
      <c r="CG1471" s="143">
        <v>8</v>
      </c>
    </row>
    <row r="1472" spans="1:86" s="301" customFormat="1" ht="12.75" customHeight="1" x14ac:dyDescent="0.3">
      <c r="A1472" s="327" t="s">
        <v>972</v>
      </c>
      <c r="B1472" s="327" t="s">
        <v>1250</v>
      </c>
      <c r="C1472" s="327" t="s">
        <v>868</v>
      </c>
      <c r="D1472" s="327" t="s">
        <v>553</v>
      </c>
      <c r="E1472" s="327" t="s">
        <v>901</v>
      </c>
      <c r="F1472" s="327">
        <v>1</v>
      </c>
      <c r="G1472" s="327">
        <v>9</v>
      </c>
      <c r="H1472" s="327">
        <v>9</v>
      </c>
      <c r="I1472" s="327" t="s">
        <v>856</v>
      </c>
      <c r="J1472" s="327">
        <v>1995</v>
      </c>
      <c r="K1472" s="327" t="s">
        <v>856</v>
      </c>
      <c r="L1472" s="327">
        <v>2004</v>
      </c>
      <c r="M1472" s="368">
        <v>-9999</v>
      </c>
      <c r="N1472" s="327">
        <v>-9999</v>
      </c>
      <c r="O1472" s="651">
        <f>1/0.79</f>
        <v>1.2658227848101264</v>
      </c>
      <c r="P1472" s="370">
        <f t="shared" si="153"/>
        <v>144.72151898734174</v>
      </c>
      <c r="Q1472" s="328">
        <v>-9999</v>
      </c>
      <c r="R1472" s="287">
        <f t="shared" si="156"/>
        <v>114.32999999999998</v>
      </c>
      <c r="S1472" s="413"/>
      <c r="T1472" s="370">
        <f t="shared" si="154"/>
        <v>16.080168776371305</v>
      </c>
      <c r="U1472" s="328">
        <v>-9999</v>
      </c>
      <c r="V1472" s="431">
        <v>12.703333333333331</v>
      </c>
      <c r="W1472" s="287">
        <f>20.1*O1472</f>
        <v>25.443037974683545</v>
      </c>
      <c r="X1472" s="328">
        <v>-9999</v>
      </c>
      <c r="Y1472" s="327">
        <v>20.100000000000001</v>
      </c>
      <c r="Z1472" s="327" t="s">
        <v>1709</v>
      </c>
      <c r="AA1472" s="628">
        <f t="shared" si="155"/>
        <v>1070</v>
      </c>
      <c r="AB1472" s="368">
        <v>0.85607476635514024</v>
      </c>
      <c r="AC1472" s="327">
        <v>0.2</v>
      </c>
      <c r="AD1472" s="327">
        <v>2.5999999999999999E-2</v>
      </c>
      <c r="AE1472" s="327" t="s">
        <v>963</v>
      </c>
      <c r="AF1472" s="327">
        <v>3</v>
      </c>
      <c r="AG1472" s="327" t="s">
        <v>878</v>
      </c>
      <c r="AH1472" s="327" t="s">
        <v>857</v>
      </c>
      <c r="AI1472" s="327" t="s">
        <v>858</v>
      </c>
      <c r="AJ1472" s="327" t="s">
        <v>859</v>
      </c>
      <c r="AK1472" s="327" t="s">
        <v>860</v>
      </c>
      <c r="AL1472" s="327" t="s">
        <v>828</v>
      </c>
      <c r="AM1472" s="327" t="s">
        <v>861</v>
      </c>
      <c r="AN1472" s="327" t="s">
        <v>626</v>
      </c>
      <c r="AO1472" s="327" t="s">
        <v>973</v>
      </c>
      <c r="AP1472" s="327" t="s">
        <v>975</v>
      </c>
      <c r="AQ1472" s="327" t="s">
        <v>626</v>
      </c>
      <c r="AR1472" s="327">
        <f>+AR1471+132</f>
        <v>893</v>
      </c>
      <c r="AS1472" s="327" t="s">
        <v>698</v>
      </c>
      <c r="AT1472" s="327" t="s">
        <v>708</v>
      </c>
      <c r="AU1472" s="327">
        <f>+AU1471+37</f>
        <v>219</v>
      </c>
      <c r="AV1472" s="327" t="s">
        <v>703</v>
      </c>
      <c r="AW1472" s="327" t="s">
        <v>708</v>
      </c>
      <c r="AX1472" s="327">
        <f>+AX1471+132</f>
        <v>866</v>
      </c>
      <c r="AY1472" s="327" t="s">
        <v>717</v>
      </c>
      <c r="AZ1472" s="327" t="s">
        <v>708</v>
      </c>
      <c r="BA1472" s="327" t="s">
        <v>869</v>
      </c>
      <c r="BB1472" s="327" t="s">
        <v>626</v>
      </c>
      <c r="BC1472" s="327" t="s">
        <v>864</v>
      </c>
      <c r="BD1472" s="327"/>
      <c r="BE1472" s="327" t="s">
        <v>865</v>
      </c>
      <c r="BF1472" s="327">
        <v>-9999</v>
      </c>
      <c r="BG1472" s="327">
        <v>-9999</v>
      </c>
      <c r="BH1472" s="327">
        <v>-9999</v>
      </c>
      <c r="BI1472" s="327" t="s">
        <v>866</v>
      </c>
      <c r="BJ1472" s="327">
        <v>34.4</v>
      </c>
      <c r="BK1472" s="327">
        <v>-9999</v>
      </c>
      <c r="BL1472" s="327">
        <v>14.9</v>
      </c>
      <c r="BM1472" s="327">
        <v>-9999</v>
      </c>
      <c r="BN1472" s="363">
        <v>21.5</v>
      </c>
      <c r="BO1472" s="327">
        <v>-9999</v>
      </c>
      <c r="BP1472" s="327">
        <v>-9999</v>
      </c>
      <c r="BQ1472" s="327">
        <v>-9999</v>
      </c>
      <c r="BR1472" s="327">
        <v>-9999</v>
      </c>
      <c r="BS1472" s="328">
        <v>-9999</v>
      </c>
      <c r="BT1472" s="327">
        <v>-9999</v>
      </c>
      <c r="BU1472" s="327">
        <v>-9999</v>
      </c>
      <c r="BV1472" s="327">
        <v>-9999</v>
      </c>
      <c r="BW1472" s="327"/>
      <c r="BX1472" s="327">
        <v>-9999</v>
      </c>
      <c r="BY1472" s="327">
        <v>-9999</v>
      </c>
      <c r="BZ1472" s="327">
        <v>-9999</v>
      </c>
      <c r="CA1472" s="369" t="s">
        <v>974</v>
      </c>
      <c r="CB1472" s="475"/>
      <c r="CC1472" s="327">
        <v>1</v>
      </c>
      <c r="CD1472" s="327">
        <v>9</v>
      </c>
      <c r="CE1472" s="342">
        <v>16.080168776371305</v>
      </c>
      <c r="CF1472" s="342">
        <v>25.443037974683545</v>
      </c>
      <c r="CG1472" s="143">
        <v>9</v>
      </c>
    </row>
    <row r="1473" spans="1:86" s="301" customFormat="1" ht="12.75" customHeight="1" x14ac:dyDescent="0.3">
      <c r="A1473" s="327" t="s">
        <v>972</v>
      </c>
      <c r="B1473" s="327" t="s">
        <v>1250</v>
      </c>
      <c r="C1473" s="327" t="s">
        <v>868</v>
      </c>
      <c r="D1473" s="327" t="s">
        <v>553</v>
      </c>
      <c r="E1473" s="327" t="s">
        <v>901</v>
      </c>
      <c r="F1473" s="327">
        <v>1</v>
      </c>
      <c r="G1473" s="327">
        <v>10</v>
      </c>
      <c r="H1473" s="327">
        <v>10</v>
      </c>
      <c r="I1473" s="327" t="s">
        <v>856</v>
      </c>
      <c r="J1473" s="327">
        <v>1995</v>
      </c>
      <c r="K1473" s="327" t="s">
        <v>856</v>
      </c>
      <c r="L1473" s="259">
        <v>2005</v>
      </c>
      <c r="M1473" s="368">
        <v>-9999</v>
      </c>
      <c r="N1473" s="327">
        <v>-9999</v>
      </c>
      <c r="O1473" s="652">
        <f>1/0.82</f>
        <v>1.2195121951219512</v>
      </c>
      <c r="P1473" s="370">
        <f t="shared" si="153"/>
        <v>176.25609756097558</v>
      </c>
      <c r="Q1473" s="328">
        <v>-9999</v>
      </c>
      <c r="R1473" s="287">
        <f t="shared" si="156"/>
        <v>144.52999999999997</v>
      </c>
      <c r="S1473" s="413"/>
      <c r="T1473" s="370">
        <f t="shared" si="154"/>
        <v>17.625609756097557</v>
      </c>
      <c r="U1473" s="328">
        <v>-9999</v>
      </c>
      <c r="V1473" s="431">
        <v>14.452999999999998</v>
      </c>
      <c r="W1473" s="287">
        <f>30.2*O1473</f>
        <v>36.829268292682926</v>
      </c>
      <c r="X1473" s="328">
        <v>-9999</v>
      </c>
      <c r="Y1473" s="327">
        <v>30.2</v>
      </c>
      <c r="Z1473" s="327" t="s">
        <v>1709</v>
      </c>
      <c r="AA1473" s="628">
        <f t="shared" si="155"/>
        <v>1070</v>
      </c>
      <c r="AB1473" s="368">
        <v>0.85514018691588789</v>
      </c>
      <c r="AC1473" s="327">
        <v>0.2</v>
      </c>
      <c r="AD1473" s="327">
        <v>2.5999999999999999E-2</v>
      </c>
      <c r="AE1473" s="327" t="s">
        <v>963</v>
      </c>
      <c r="AF1473" s="327">
        <v>3</v>
      </c>
      <c r="AG1473" s="327" t="s">
        <v>878</v>
      </c>
      <c r="AH1473" s="327" t="s">
        <v>857</v>
      </c>
      <c r="AI1473" s="327" t="s">
        <v>858</v>
      </c>
      <c r="AJ1473" s="327" t="s">
        <v>859</v>
      </c>
      <c r="AK1473" s="327" t="s">
        <v>860</v>
      </c>
      <c r="AL1473" s="327" t="s">
        <v>828</v>
      </c>
      <c r="AM1473" s="327" t="s">
        <v>861</v>
      </c>
      <c r="AN1473" s="327" t="s">
        <v>626</v>
      </c>
      <c r="AO1473" s="327" t="s">
        <v>973</v>
      </c>
      <c r="AP1473" s="327" t="s">
        <v>976</v>
      </c>
      <c r="AQ1473" s="327" t="s">
        <v>626</v>
      </c>
      <c r="AR1473" s="327">
        <f>+AR1472+49</f>
        <v>942</v>
      </c>
      <c r="AS1473" s="327" t="s">
        <v>699</v>
      </c>
      <c r="AT1473" s="327" t="s">
        <v>708</v>
      </c>
      <c r="AU1473" s="327">
        <f>+AU1472+12</f>
        <v>231</v>
      </c>
      <c r="AV1473" s="327" t="s">
        <v>704</v>
      </c>
      <c r="AW1473" s="327" t="s">
        <v>708</v>
      </c>
      <c r="AX1473" s="327">
        <f>+AX1472+49</f>
        <v>915</v>
      </c>
      <c r="AY1473" s="327" t="s">
        <v>718</v>
      </c>
      <c r="AZ1473" s="327" t="s">
        <v>708</v>
      </c>
      <c r="BA1473" s="327" t="s">
        <v>869</v>
      </c>
      <c r="BB1473" s="327" t="s">
        <v>626</v>
      </c>
      <c r="BC1473" s="327" t="s">
        <v>864</v>
      </c>
      <c r="BD1473" s="327"/>
      <c r="BE1473" s="327" t="s">
        <v>865</v>
      </c>
      <c r="BF1473" s="327">
        <v>-9999</v>
      </c>
      <c r="BG1473" s="327">
        <v>-9999</v>
      </c>
      <c r="BH1473" s="327">
        <v>-9999</v>
      </c>
      <c r="BI1473" s="327" t="s">
        <v>866</v>
      </c>
      <c r="BJ1473" s="327">
        <v>36.299999999999997</v>
      </c>
      <c r="BK1473" s="327">
        <v>-9999</v>
      </c>
      <c r="BL1473" s="327">
        <v>16.5</v>
      </c>
      <c r="BM1473" s="327">
        <v>-9999</v>
      </c>
      <c r="BN1473" s="363">
        <v>22.4</v>
      </c>
      <c r="BO1473" s="327">
        <v>-9999</v>
      </c>
      <c r="BP1473" s="327">
        <v>-9999</v>
      </c>
      <c r="BQ1473" s="327">
        <v>-9999</v>
      </c>
      <c r="BR1473" s="327">
        <v>-9999</v>
      </c>
      <c r="BS1473" s="328">
        <v>-9999</v>
      </c>
      <c r="BT1473" s="327">
        <v>348.4</v>
      </c>
      <c r="BU1473" s="327">
        <v>-9999</v>
      </c>
      <c r="BV1473" s="327">
        <v>13.2</v>
      </c>
      <c r="BW1473" s="327"/>
      <c r="BX1473" s="327">
        <v>-9999</v>
      </c>
      <c r="BY1473" s="327">
        <v>-9999</v>
      </c>
      <c r="BZ1473" s="327">
        <v>-9999</v>
      </c>
      <c r="CA1473" s="369" t="s">
        <v>974</v>
      </c>
      <c r="CB1473" s="475"/>
      <c r="CC1473" s="327">
        <v>1</v>
      </c>
      <c r="CD1473" s="327">
        <v>10</v>
      </c>
      <c r="CE1473" s="342">
        <v>17.625609756097557</v>
      </c>
      <c r="CF1473" s="342">
        <v>36.829268292682926</v>
      </c>
      <c r="CG1473" s="143">
        <v>10</v>
      </c>
    </row>
    <row r="1474" spans="1:86" s="13" customFormat="1" ht="12.75" customHeight="1" x14ac:dyDescent="0.25">
      <c r="A1474" s="259" t="s">
        <v>972</v>
      </c>
      <c r="B1474" s="259" t="s">
        <v>1250</v>
      </c>
      <c r="C1474" s="259" t="s">
        <v>868</v>
      </c>
      <c r="D1474" s="259" t="s">
        <v>553</v>
      </c>
      <c r="E1474" s="259" t="s">
        <v>901</v>
      </c>
      <c r="F1474" s="259">
        <v>1</v>
      </c>
      <c r="G1474" s="259">
        <v>11</v>
      </c>
      <c r="H1474" s="259">
        <v>11</v>
      </c>
      <c r="I1474" s="259" t="s">
        <v>856</v>
      </c>
      <c r="J1474" s="259">
        <v>1995</v>
      </c>
      <c r="K1474" s="259" t="s">
        <v>856</v>
      </c>
      <c r="L1474" s="592">
        <v>2006</v>
      </c>
      <c r="M1474" s="288">
        <v>-9999</v>
      </c>
      <c r="N1474" s="259">
        <v>-9999</v>
      </c>
      <c r="O1474" s="653">
        <f>1/0.82</f>
        <v>1.2195121951219512</v>
      </c>
      <c r="P1474" s="590">
        <f t="shared" si="153"/>
        <v>210.76829268292681</v>
      </c>
      <c r="Q1474" s="260">
        <v>-9999</v>
      </c>
      <c r="R1474" s="376">
        <f t="shared" si="156"/>
        <v>172.82999999999998</v>
      </c>
      <c r="S1474" s="630"/>
      <c r="T1474" s="590">
        <f t="shared" si="154"/>
        <v>19.160753880266075</v>
      </c>
      <c r="U1474" s="260">
        <v>-9999</v>
      </c>
      <c r="V1474" s="631">
        <v>15.711818181818181</v>
      </c>
      <c r="W1474" s="376">
        <f>28.3*O1474</f>
        <v>34.512195121951223</v>
      </c>
      <c r="X1474" s="260">
        <v>-9999</v>
      </c>
      <c r="Y1474" s="259">
        <v>28.3</v>
      </c>
      <c r="Z1474" s="259" t="s">
        <v>1709</v>
      </c>
      <c r="AA1474" s="621">
        <f t="shared" si="155"/>
        <v>1070</v>
      </c>
      <c r="AB1474" s="288">
        <v>0.84392523364485983</v>
      </c>
      <c r="AC1474" s="259">
        <v>0.2</v>
      </c>
      <c r="AD1474" s="259">
        <v>2.5999999999999999E-2</v>
      </c>
      <c r="AE1474" s="259" t="s">
        <v>963</v>
      </c>
      <c r="AF1474" s="259">
        <v>3</v>
      </c>
      <c r="AG1474" s="259" t="s">
        <v>878</v>
      </c>
      <c r="AH1474" s="259" t="s">
        <v>857</v>
      </c>
      <c r="AI1474" s="259" t="s">
        <v>858</v>
      </c>
      <c r="AJ1474" s="259" t="s">
        <v>859</v>
      </c>
      <c r="AK1474" s="259" t="s">
        <v>860</v>
      </c>
      <c r="AL1474" s="259" t="s">
        <v>828</v>
      </c>
      <c r="AM1474" s="259" t="s">
        <v>861</v>
      </c>
      <c r="AN1474" s="259" t="s">
        <v>626</v>
      </c>
      <c r="AO1474" s="259" t="s">
        <v>973</v>
      </c>
      <c r="AP1474" s="259" t="s">
        <v>977</v>
      </c>
      <c r="AQ1474" s="259" t="s">
        <v>626</v>
      </c>
      <c r="AR1474" s="259">
        <f>+AR1473+38</f>
        <v>980</v>
      </c>
      <c r="AS1474" s="259" t="s">
        <v>706</v>
      </c>
      <c r="AT1474" s="259" t="s">
        <v>708</v>
      </c>
      <c r="AU1474" s="259">
        <f>+AU1473+10</f>
        <v>241</v>
      </c>
      <c r="AV1474" s="259" t="s">
        <v>1426</v>
      </c>
      <c r="AW1474" s="259" t="s">
        <v>708</v>
      </c>
      <c r="AX1474" s="259">
        <f>+AX1473+38</f>
        <v>953</v>
      </c>
      <c r="AY1474" s="259" t="s">
        <v>719</v>
      </c>
      <c r="AZ1474" s="259" t="s">
        <v>708</v>
      </c>
      <c r="BA1474" s="259" t="s">
        <v>869</v>
      </c>
      <c r="BB1474" s="259" t="s">
        <v>626</v>
      </c>
      <c r="BC1474" s="259" t="s">
        <v>864</v>
      </c>
      <c r="BD1474" s="259"/>
      <c r="BE1474" s="259" t="s">
        <v>865</v>
      </c>
      <c r="BF1474" s="259">
        <v>-9999</v>
      </c>
      <c r="BG1474" s="259">
        <v>-9999</v>
      </c>
      <c r="BH1474" s="259">
        <v>-9999</v>
      </c>
      <c r="BI1474" s="259" t="s">
        <v>866</v>
      </c>
      <c r="BJ1474" s="259">
        <v>38.299999999999997</v>
      </c>
      <c r="BK1474" s="259">
        <v>-9999</v>
      </c>
      <c r="BL1474" s="259">
        <v>18</v>
      </c>
      <c r="BM1474" s="259">
        <v>-9999</v>
      </c>
      <c r="BN1474" s="289">
        <v>23.8</v>
      </c>
      <c r="BO1474" s="259">
        <v>-9999</v>
      </c>
      <c r="BP1474" s="259">
        <v>-9999</v>
      </c>
      <c r="BQ1474" s="259">
        <v>-9999</v>
      </c>
      <c r="BR1474" s="259">
        <v>-9999</v>
      </c>
      <c r="BS1474" s="260">
        <v>-9999</v>
      </c>
      <c r="BT1474" s="259">
        <v>-9999</v>
      </c>
      <c r="BU1474" s="259">
        <v>-9999</v>
      </c>
      <c r="BV1474" s="259">
        <v>-9999</v>
      </c>
      <c r="BW1474" s="259"/>
      <c r="BX1474" s="259">
        <v>-9999</v>
      </c>
      <c r="BY1474" s="259">
        <v>-9999</v>
      </c>
      <c r="BZ1474" s="259">
        <v>-9999</v>
      </c>
      <c r="CA1474" s="337" t="s">
        <v>974</v>
      </c>
      <c r="CB1474" s="592"/>
      <c r="CC1474" s="259">
        <v>1</v>
      </c>
      <c r="CD1474" s="259">
        <v>11</v>
      </c>
      <c r="CE1474" s="99">
        <v>19.160753880266075</v>
      </c>
      <c r="CF1474" s="99">
        <v>34.512195121951223</v>
      </c>
      <c r="CG1474" s="211">
        <v>11</v>
      </c>
      <c r="CH1474" s="13" t="s">
        <v>1757</v>
      </c>
    </row>
    <row r="1475" spans="1:86" s="13" customFormat="1" ht="12.75" customHeight="1" x14ac:dyDescent="0.2">
      <c r="A1475" s="259"/>
      <c r="B1475" s="259"/>
      <c r="C1475" s="259"/>
      <c r="D1475" s="327"/>
      <c r="E1475" s="259"/>
      <c r="F1475" s="259"/>
      <c r="G1475" s="259"/>
      <c r="H1475" s="259"/>
      <c r="I1475" s="259"/>
      <c r="J1475" s="259"/>
      <c r="K1475" s="259"/>
      <c r="L1475" s="259"/>
      <c r="M1475" s="288"/>
      <c r="N1475" s="259"/>
      <c r="O1475" s="655"/>
      <c r="P1475" s="370"/>
      <c r="Q1475" s="260"/>
      <c r="R1475" s="288"/>
      <c r="S1475" s="259"/>
      <c r="T1475" s="590"/>
      <c r="U1475" s="260"/>
      <c r="V1475" s="327"/>
      <c r="W1475" s="368"/>
      <c r="X1475" s="260"/>
      <c r="Y1475" s="327"/>
      <c r="Z1475" s="259"/>
      <c r="AA1475" s="260"/>
      <c r="AB1475" s="288"/>
      <c r="AC1475" s="327"/>
      <c r="AD1475" s="327"/>
      <c r="AE1475" s="327"/>
      <c r="AF1475" s="259"/>
      <c r="AG1475" s="259"/>
      <c r="AH1475" s="259"/>
      <c r="AI1475" s="259"/>
      <c r="AJ1475" s="259"/>
      <c r="AK1475" s="259"/>
      <c r="AL1475" s="259"/>
      <c r="AM1475" s="259"/>
      <c r="AN1475" s="259"/>
      <c r="AO1475" s="259"/>
      <c r="AP1475" s="592"/>
      <c r="AQ1475" s="259"/>
      <c r="AR1475" s="259"/>
      <c r="AS1475" s="327"/>
      <c r="AT1475" s="327"/>
      <c r="AU1475" s="259"/>
      <c r="AV1475" s="327"/>
      <c r="AW1475" s="327"/>
      <c r="AX1475" s="259"/>
      <c r="AY1475" s="327"/>
      <c r="AZ1475" s="327"/>
      <c r="BA1475" s="327"/>
      <c r="BB1475" s="259"/>
      <c r="BC1475" s="259"/>
      <c r="BD1475" s="259"/>
      <c r="BE1475" s="259"/>
      <c r="BF1475" s="327"/>
      <c r="BG1475" s="327"/>
      <c r="BH1475" s="327"/>
      <c r="BI1475" s="259"/>
      <c r="BJ1475" s="259"/>
      <c r="BK1475" s="259"/>
      <c r="BL1475" s="259"/>
      <c r="BM1475" s="259"/>
      <c r="BN1475" s="289"/>
      <c r="BO1475" s="259"/>
      <c r="BP1475" s="259"/>
      <c r="BQ1475" s="259"/>
      <c r="BR1475" s="259"/>
      <c r="BS1475" s="328"/>
      <c r="BT1475" s="259"/>
      <c r="BU1475" s="327"/>
      <c r="BV1475" s="259"/>
      <c r="BW1475" s="259"/>
      <c r="BX1475" s="327"/>
      <c r="BY1475" s="327"/>
      <c r="BZ1475" s="327"/>
      <c r="CA1475" s="337"/>
      <c r="CB1475" s="592"/>
      <c r="CC1475" s="259"/>
      <c r="CD1475" s="327"/>
      <c r="CE1475" s="342" t="s">
        <v>1576</v>
      </c>
      <c r="CF1475" s="342" t="s">
        <v>1575</v>
      </c>
      <c r="CG1475" s="38"/>
    </row>
    <row r="1476" spans="1:86" s="301" customFormat="1" ht="12.75" customHeight="1" x14ac:dyDescent="0.2">
      <c r="A1476" s="327" t="s">
        <v>972</v>
      </c>
      <c r="B1476" s="327" t="s">
        <v>1250</v>
      </c>
      <c r="C1476" s="327" t="s">
        <v>978</v>
      </c>
      <c r="D1476" s="327" t="s">
        <v>553</v>
      </c>
      <c r="E1476" s="327" t="s">
        <v>901</v>
      </c>
      <c r="F1476" s="327">
        <v>1</v>
      </c>
      <c r="G1476" s="327">
        <v>2</v>
      </c>
      <c r="H1476" s="328">
        <v>2</v>
      </c>
      <c r="I1476" s="327" t="s">
        <v>856</v>
      </c>
      <c r="J1476" s="327">
        <v>1995</v>
      </c>
      <c r="K1476" s="327" t="s">
        <v>856</v>
      </c>
      <c r="L1476" s="327">
        <v>1997</v>
      </c>
      <c r="M1476" s="368">
        <v>-9999</v>
      </c>
      <c r="N1476" s="327">
        <v>-9999</v>
      </c>
      <c r="O1476" s="655">
        <f>1/0.35</f>
        <v>2.8571428571428572</v>
      </c>
      <c r="P1476" s="370">
        <f t="shared" ref="P1476:P1485" si="157">R1476*O1476</f>
        <v>5.4285714285714288</v>
      </c>
      <c r="Q1476" s="328">
        <v>-9999</v>
      </c>
      <c r="R1476" s="741">
        <f>+Y1476</f>
        <v>1.9</v>
      </c>
      <c r="S1476" s="368"/>
      <c r="T1476" s="370">
        <f t="shared" ref="T1476:T1485" si="158">+P1476/H1476</f>
        <v>2.7142857142857144</v>
      </c>
      <c r="U1476" s="328">
        <v>-9999</v>
      </c>
      <c r="V1476" s="431">
        <v>0.95</v>
      </c>
      <c r="W1476" s="741">
        <f>0.5*O1476</f>
        <v>1.4285714285714286</v>
      </c>
      <c r="X1476" s="328">
        <v>-9999</v>
      </c>
      <c r="Y1476" s="408">
        <v>1.9</v>
      </c>
      <c r="Z1476" s="327" t="s">
        <v>1709</v>
      </c>
      <c r="AA1476" s="628">
        <f t="shared" ref="AA1476:AA1485" si="159">1077-7</f>
        <v>1070</v>
      </c>
      <c r="AB1476" s="368">
        <v>1</v>
      </c>
      <c r="AC1476" s="327">
        <v>0.2</v>
      </c>
      <c r="AD1476" s="327">
        <v>2.5999999999999999E-2</v>
      </c>
      <c r="AE1476" s="327" t="s">
        <v>963</v>
      </c>
      <c r="AF1476" s="327">
        <v>3</v>
      </c>
      <c r="AG1476" s="327" t="s">
        <v>878</v>
      </c>
      <c r="AH1476" s="327" t="s">
        <v>857</v>
      </c>
      <c r="AI1476" s="327" t="s">
        <v>858</v>
      </c>
      <c r="AJ1476" s="327" t="s">
        <v>859</v>
      </c>
      <c r="AK1476" s="327" t="s">
        <v>860</v>
      </c>
      <c r="AL1476" s="327" t="s">
        <v>828</v>
      </c>
      <c r="AM1476" s="327" t="s">
        <v>861</v>
      </c>
      <c r="AN1476" s="327" t="s">
        <v>626</v>
      </c>
      <c r="AO1476" s="327" t="s">
        <v>973</v>
      </c>
      <c r="AP1476" s="629" t="s">
        <v>131</v>
      </c>
      <c r="AQ1476" s="327" t="s">
        <v>626</v>
      </c>
      <c r="AR1476" s="327">
        <v>0</v>
      </c>
      <c r="AS1476" s="327">
        <v>-9999</v>
      </c>
      <c r="AT1476" s="327"/>
      <c r="AU1476" s="327">
        <v>0</v>
      </c>
      <c r="AV1476" s="327">
        <v>-9999</v>
      </c>
      <c r="AW1476" s="327">
        <v>-9999</v>
      </c>
      <c r="AX1476" s="327">
        <v>0</v>
      </c>
      <c r="AY1476" s="327">
        <v>-9999</v>
      </c>
      <c r="AZ1476" s="327">
        <v>-9999</v>
      </c>
      <c r="BA1476" s="327" t="s">
        <v>869</v>
      </c>
      <c r="BB1476" s="327" t="s">
        <v>626</v>
      </c>
      <c r="BC1476" s="327" t="s">
        <v>864</v>
      </c>
      <c r="BD1476" s="327"/>
      <c r="BE1476" s="327" t="s">
        <v>865</v>
      </c>
      <c r="BF1476" s="327">
        <v>-9999</v>
      </c>
      <c r="BG1476" s="327">
        <v>-9999</v>
      </c>
      <c r="BH1476" s="327">
        <v>-9999</v>
      </c>
      <c r="BI1476" s="327" t="s">
        <v>866</v>
      </c>
      <c r="BJ1476" s="327">
        <v>1.1000000000000001</v>
      </c>
      <c r="BK1476" s="327">
        <v>-9999</v>
      </c>
      <c r="BL1476" s="327">
        <v>2.7</v>
      </c>
      <c r="BM1476" s="327">
        <v>-9999</v>
      </c>
      <c r="BN1476" s="363">
        <v>2.5</v>
      </c>
      <c r="BO1476" s="327">
        <v>-9999</v>
      </c>
      <c r="BP1476" s="327">
        <v>-9999</v>
      </c>
      <c r="BQ1476" s="327">
        <v>-9999</v>
      </c>
      <c r="BR1476" s="327">
        <v>-9999</v>
      </c>
      <c r="BS1476" s="328">
        <v>-9999</v>
      </c>
      <c r="BT1476" s="327">
        <v>-9999</v>
      </c>
      <c r="BU1476" s="327">
        <v>-9999</v>
      </c>
      <c r="BV1476" s="327">
        <v>-9999</v>
      </c>
      <c r="BW1476" s="327"/>
      <c r="BX1476" s="327">
        <v>-9999</v>
      </c>
      <c r="BY1476" s="327">
        <v>-9999</v>
      </c>
      <c r="BZ1476" s="327">
        <v>-9999</v>
      </c>
      <c r="CA1476" s="369" t="s">
        <v>974</v>
      </c>
      <c r="CB1476" s="475"/>
      <c r="CC1476" s="327">
        <v>1</v>
      </c>
      <c r="CD1476" s="327">
        <v>2</v>
      </c>
      <c r="CE1476" s="342">
        <v>2.7142857142857144</v>
      </c>
      <c r="CF1476" s="342">
        <v>1.4285714285714286</v>
      </c>
      <c r="CG1476" s="347">
        <v>2</v>
      </c>
    </row>
    <row r="1477" spans="1:86" s="301" customFormat="1" ht="12.75" customHeight="1" x14ac:dyDescent="0.2">
      <c r="A1477" s="327" t="s">
        <v>972</v>
      </c>
      <c r="B1477" s="327" t="s">
        <v>1250</v>
      </c>
      <c r="C1477" s="327" t="s">
        <v>978</v>
      </c>
      <c r="D1477" s="327" t="s">
        <v>553</v>
      </c>
      <c r="E1477" s="327" t="s">
        <v>901</v>
      </c>
      <c r="F1477" s="327">
        <v>1</v>
      </c>
      <c r="G1477" s="327">
        <v>3</v>
      </c>
      <c r="H1477" s="328">
        <v>3</v>
      </c>
      <c r="I1477" s="327" t="s">
        <v>856</v>
      </c>
      <c r="J1477" s="327">
        <v>1995</v>
      </c>
      <c r="K1477" s="327" t="s">
        <v>856</v>
      </c>
      <c r="L1477" s="327">
        <v>1998</v>
      </c>
      <c r="M1477" s="368">
        <v>-9999</v>
      </c>
      <c r="N1477" s="327">
        <v>-9999</v>
      </c>
      <c r="O1477" s="656">
        <f>1/0.35</f>
        <v>2.8571428571428572</v>
      </c>
      <c r="P1477" s="370">
        <f t="shared" si="157"/>
        <v>15.885714285714288</v>
      </c>
      <c r="Q1477" s="328">
        <v>-9999</v>
      </c>
      <c r="R1477" s="287">
        <f t="shared" ref="R1477:R1485" si="160">+Y1477+R1476</f>
        <v>5.5600000000000005</v>
      </c>
      <c r="S1477" s="368"/>
      <c r="T1477" s="370">
        <f t="shared" si="158"/>
        <v>5.295238095238096</v>
      </c>
      <c r="U1477" s="328">
        <v>-9999</v>
      </c>
      <c r="V1477" s="431">
        <v>1.8533333333333335</v>
      </c>
      <c r="W1477" s="287">
        <f>3.66*O1477</f>
        <v>10.457142857142857</v>
      </c>
      <c r="X1477" s="328">
        <v>-9999</v>
      </c>
      <c r="Y1477" s="327">
        <v>3.66</v>
      </c>
      <c r="Z1477" s="327" t="s">
        <v>1709</v>
      </c>
      <c r="AA1477" s="628">
        <f t="shared" si="159"/>
        <v>1070</v>
      </c>
      <c r="AB1477" s="368">
        <v>0.96448598130841123</v>
      </c>
      <c r="AC1477" s="327">
        <v>0.2</v>
      </c>
      <c r="AD1477" s="327">
        <v>2.5999999999999999E-2</v>
      </c>
      <c r="AE1477" s="327" t="s">
        <v>963</v>
      </c>
      <c r="AF1477" s="327">
        <v>3</v>
      </c>
      <c r="AG1477" s="327" t="s">
        <v>878</v>
      </c>
      <c r="AH1477" s="327" t="s">
        <v>857</v>
      </c>
      <c r="AI1477" s="327" t="s">
        <v>858</v>
      </c>
      <c r="AJ1477" s="327" t="s">
        <v>859</v>
      </c>
      <c r="AK1477" s="327" t="s">
        <v>860</v>
      </c>
      <c r="AL1477" s="327" t="s">
        <v>828</v>
      </c>
      <c r="AM1477" s="327" t="s">
        <v>861</v>
      </c>
      <c r="AN1477" s="327" t="s">
        <v>626</v>
      </c>
      <c r="AO1477" s="327" t="s">
        <v>973</v>
      </c>
      <c r="AP1477" s="327" t="s">
        <v>132</v>
      </c>
      <c r="AQ1477" s="327" t="s">
        <v>631</v>
      </c>
      <c r="AR1477" s="327">
        <v>0</v>
      </c>
      <c r="AS1477" s="327">
        <v>-9999</v>
      </c>
      <c r="AT1477" s="327"/>
      <c r="AU1477" s="327">
        <v>0</v>
      </c>
      <c r="AV1477" s="327">
        <v>-9999</v>
      </c>
      <c r="AW1477" s="327">
        <v>-9999</v>
      </c>
      <c r="AX1477" s="327">
        <v>0</v>
      </c>
      <c r="AY1477" s="327">
        <v>-9999</v>
      </c>
      <c r="AZ1477" s="327">
        <v>-9999</v>
      </c>
      <c r="BA1477" s="327" t="s">
        <v>869</v>
      </c>
      <c r="BB1477" s="327" t="s">
        <v>626</v>
      </c>
      <c r="BC1477" s="327" t="s">
        <v>864</v>
      </c>
      <c r="BD1477" s="327"/>
      <c r="BE1477" s="327" t="s">
        <v>865</v>
      </c>
      <c r="BF1477" s="327">
        <v>-9999</v>
      </c>
      <c r="BG1477" s="327">
        <v>-9999</v>
      </c>
      <c r="BH1477" s="327">
        <v>-9999</v>
      </c>
      <c r="BI1477" s="327" t="s">
        <v>866</v>
      </c>
      <c r="BJ1477" s="327">
        <v>4.5</v>
      </c>
      <c r="BK1477" s="327">
        <v>-9999</v>
      </c>
      <c r="BL1477" s="327">
        <v>5</v>
      </c>
      <c r="BM1477" s="327">
        <v>-9999</v>
      </c>
      <c r="BN1477" s="363">
        <v>7.6</v>
      </c>
      <c r="BO1477" s="327">
        <v>-9999</v>
      </c>
      <c r="BP1477" s="327">
        <v>-9999</v>
      </c>
      <c r="BQ1477" s="327">
        <v>-9999</v>
      </c>
      <c r="BR1477" s="327">
        <v>-9999</v>
      </c>
      <c r="BS1477" s="328">
        <v>-9999</v>
      </c>
      <c r="BT1477" s="327">
        <v>-9999</v>
      </c>
      <c r="BU1477" s="327">
        <v>-9999</v>
      </c>
      <c r="BV1477" s="327">
        <v>-9999</v>
      </c>
      <c r="BW1477" s="327"/>
      <c r="BX1477" s="327">
        <v>-9999</v>
      </c>
      <c r="BY1477" s="327">
        <v>-9999</v>
      </c>
      <c r="BZ1477" s="327">
        <v>-9999</v>
      </c>
      <c r="CA1477" s="369" t="s">
        <v>974</v>
      </c>
      <c r="CB1477" s="475"/>
      <c r="CC1477" s="327">
        <v>1</v>
      </c>
      <c r="CD1477" s="327">
        <v>3</v>
      </c>
      <c r="CE1477" s="342">
        <v>5.295238095238096</v>
      </c>
      <c r="CF1477" s="342">
        <v>10.457142857142857</v>
      </c>
      <c r="CG1477" s="347">
        <v>3</v>
      </c>
    </row>
    <row r="1478" spans="1:86" s="301" customFormat="1" ht="12.75" customHeight="1" x14ac:dyDescent="0.2">
      <c r="A1478" s="327" t="s">
        <v>972</v>
      </c>
      <c r="B1478" s="327" t="s">
        <v>1250</v>
      </c>
      <c r="C1478" s="327" t="s">
        <v>978</v>
      </c>
      <c r="D1478" s="327" t="s">
        <v>553</v>
      </c>
      <c r="E1478" s="327" t="s">
        <v>901</v>
      </c>
      <c r="F1478" s="327">
        <v>1</v>
      </c>
      <c r="G1478" s="327">
        <v>4</v>
      </c>
      <c r="H1478" s="328">
        <v>4</v>
      </c>
      <c r="I1478" s="327" t="s">
        <v>856</v>
      </c>
      <c r="J1478" s="327">
        <v>1995</v>
      </c>
      <c r="K1478" s="327" t="s">
        <v>856</v>
      </c>
      <c r="L1478" s="327">
        <v>1999</v>
      </c>
      <c r="M1478" s="368">
        <v>-9999</v>
      </c>
      <c r="N1478" s="327">
        <v>-9999</v>
      </c>
      <c r="O1478" s="656">
        <f>1/0.48</f>
        <v>2.0833333333333335</v>
      </c>
      <c r="P1478" s="370">
        <f t="shared" si="157"/>
        <v>34.916666666666664</v>
      </c>
      <c r="Q1478" s="328">
        <v>-9999</v>
      </c>
      <c r="R1478" s="287">
        <f t="shared" si="160"/>
        <v>16.759999999999998</v>
      </c>
      <c r="S1478" s="368"/>
      <c r="T1478" s="370">
        <f t="shared" si="158"/>
        <v>8.7291666666666661</v>
      </c>
      <c r="U1478" s="328">
        <v>-9999</v>
      </c>
      <c r="V1478" s="431">
        <v>4.1899999999999995</v>
      </c>
      <c r="W1478" s="287">
        <f>11.2*O1478</f>
        <v>23.333333333333332</v>
      </c>
      <c r="X1478" s="328">
        <v>-9999</v>
      </c>
      <c r="Y1478" s="327">
        <v>11.2</v>
      </c>
      <c r="Z1478" s="327" t="s">
        <v>1709</v>
      </c>
      <c r="AA1478" s="628">
        <f t="shared" si="159"/>
        <v>1070</v>
      </c>
      <c r="AB1478" s="368">
        <v>0.92897196261682247</v>
      </c>
      <c r="AC1478" s="327">
        <v>0.2</v>
      </c>
      <c r="AD1478" s="327">
        <v>2.5999999999999999E-2</v>
      </c>
      <c r="AE1478" s="327" t="s">
        <v>963</v>
      </c>
      <c r="AF1478" s="327">
        <v>3</v>
      </c>
      <c r="AG1478" s="327" t="s">
        <v>878</v>
      </c>
      <c r="AH1478" s="327" t="s">
        <v>857</v>
      </c>
      <c r="AI1478" s="327" t="s">
        <v>858</v>
      </c>
      <c r="AJ1478" s="327" t="s">
        <v>859</v>
      </c>
      <c r="AK1478" s="327" t="s">
        <v>860</v>
      </c>
      <c r="AL1478" s="327" t="s">
        <v>828</v>
      </c>
      <c r="AM1478" s="327" t="s">
        <v>861</v>
      </c>
      <c r="AN1478" s="327" t="s">
        <v>626</v>
      </c>
      <c r="AO1478" s="327" t="s">
        <v>973</v>
      </c>
      <c r="AP1478" s="327" t="s">
        <v>133</v>
      </c>
      <c r="AQ1478" s="327" t="s">
        <v>631</v>
      </c>
      <c r="AR1478" s="327">
        <v>0</v>
      </c>
      <c r="AS1478" s="327">
        <v>-9999</v>
      </c>
      <c r="AT1478" s="327"/>
      <c r="AU1478" s="327">
        <v>0</v>
      </c>
      <c r="AV1478" s="327">
        <v>-9999</v>
      </c>
      <c r="AW1478" s="327">
        <v>-9999</v>
      </c>
      <c r="AX1478" s="327">
        <v>0</v>
      </c>
      <c r="AY1478" s="327">
        <v>-9999</v>
      </c>
      <c r="AZ1478" s="327">
        <v>-9999</v>
      </c>
      <c r="BA1478" s="327" t="s">
        <v>869</v>
      </c>
      <c r="BB1478" s="327" t="s">
        <v>626</v>
      </c>
      <c r="BC1478" s="327" t="s">
        <v>864</v>
      </c>
      <c r="BD1478" s="327"/>
      <c r="BE1478" s="327" t="s">
        <v>865</v>
      </c>
      <c r="BF1478" s="327">
        <v>-9999</v>
      </c>
      <c r="BG1478" s="327">
        <v>-9999</v>
      </c>
      <c r="BH1478" s="327">
        <v>-9999</v>
      </c>
      <c r="BI1478" s="327" t="s">
        <v>866</v>
      </c>
      <c r="BJ1478" s="327">
        <v>12.4</v>
      </c>
      <c r="BK1478" s="327">
        <v>-9999</v>
      </c>
      <c r="BL1478" s="327">
        <v>6.5</v>
      </c>
      <c r="BM1478" s="327">
        <v>-9999</v>
      </c>
      <c r="BN1478" s="363">
        <v>11.9</v>
      </c>
      <c r="BO1478" s="327">
        <v>-9999</v>
      </c>
      <c r="BP1478" s="327">
        <v>-9999</v>
      </c>
      <c r="BQ1478" s="327">
        <v>-9999</v>
      </c>
      <c r="BR1478" s="327">
        <v>-9999</v>
      </c>
      <c r="BS1478" s="328">
        <v>-9999</v>
      </c>
      <c r="BT1478" s="327">
        <v>-9999</v>
      </c>
      <c r="BU1478" s="327">
        <v>-9999</v>
      </c>
      <c r="BV1478" s="327">
        <v>-9999</v>
      </c>
      <c r="BW1478" s="327"/>
      <c r="BX1478" s="327">
        <v>-9999</v>
      </c>
      <c r="BY1478" s="327">
        <v>-9999</v>
      </c>
      <c r="BZ1478" s="327">
        <v>-9999</v>
      </c>
      <c r="CA1478" s="369" t="s">
        <v>974</v>
      </c>
      <c r="CB1478" s="475"/>
      <c r="CC1478" s="327">
        <v>1</v>
      </c>
      <c r="CD1478" s="327">
        <v>4</v>
      </c>
      <c r="CE1478" s="342">
        <v>8.7291666666666661</v>
      </c>
      <c r="CF1478" s="342">
        <v>23.333333333333332</v>
      </c>
      <c r="CG1478" s="347">
        <v>4</v>
      </c>
    </row>
    <row r="1479" spans="1:86" s="301" customFormat="1" ht="12.75" customHeight="1" x14ac:dyDescent="0.2">
      <c r="A1479" s="327" t="s">
        <v>972</v>
      </c>
      <c r="B1479" s="327" t="s">
        <v>1250</v>
      </c>
      <c r="C1479" s="327" t="s">
        <v>978</v>
      </c>
      <c r="D1479" s="327" t="s">
        <v>553</v>
      </c>
      <c r="E1479" s="327" t="s">
        <v>901</v>
      </c>
      <c r="F1479" s="327">
        <v>1</v>
      </c>
      <c r="G1479" s="327">
        <v>5</v>
      </c>
      <c r="H1479" s="328">
        <v>5</v>
      </c>
      <c r="I1479" s="327" t="s">
        <v>856</v>
      </c>
      <c r="J1479" s="327">
        <v>1995</v>
      </c>
      <c r="K1479" s="327" t="s">
        <v>856</v>
      </c>
      <c r="L1479" s="327">
        <v>2000</v>
      </c>
      <c r="M1479" s="368">
        <v>-9999</v>
      </c>
      <c r="N1479" s="327">
        <v>-9999</v>
      </c>
      <c r="O1479" s="656">
        <f>1/0.65</f>
        <v>1.5384615384615383</v>
      </c>
      <c r="P1479" s="370">
        <f t="shared" si="157"/>
        <v>43.784615384615378</v>
      </c>
      <c r="Q1479" s="328">
        <v>-9999</v>
      </c>
      <c r="R1479" s="287">
        <f t="shared" si="160"/>
        <v>28.459999999999997</v>
      </c>
      <c r="S1479" s="368"/>
      <c r="T1479" s="370">
        <f t="shared" si="158"/>
        <v>8.7569230769230764</v>
      </c>
      <c r="U1479" s="328">
        <v>-9999</v>
      </c>
      <c r="V1479" s="431">
        <v>5.6920000000000002</v>
      </c>
      <c r="W1479" s="287">
        <f>11.7*O1479</f>
        <v>17.999999999999996</v>
      </c>
      <c r="X1479" s="328">
        <v>-9999</v>
      </c>
      <c r="Y1479" s="327">
        <v>11.7</v>
      </c>
      <c r="Z1479" s="327" t="s">
        <v>1709</v>
      </c>
      <c r="AA1479" s="628">
        <f t="shared" si="159"/>
        <v>1070</v>
      </c>
      <c r="AB1479" s="368">
        <v>0.91588785046728971</v>
      </c>
      <c r="AC1479" s="327">
        <v>0.2</v>
      </c>
      <c r="AD1479" s="327">
        <v>2.5999999999999999E-2</v>
      </c>
      <c r="AE1479" s="327" t="s">
        <v>963</v>
      </c>
      <c r="AF1479" s="327">
        <v>3</v>
      </c>
      <c r="AG1479" s="327" t="s">
        <v>878</v>
      </c>
      <c r="AH1479" s="327" t="s">
        <v>857</v>
      </c>
      <c r="AI1479" s="327" t="s">
        <v>858</v>
      </c>
      <c r="AJ1479" s="327" t="s">
        <v>859</v>
      </c>
      <c r="AK1479" s="327" t="s">
        <v>860</v>
      </c>
      <c r="AL1479" s="327" t="s">
        <v>828</v>
      </c>
      <c r="AM1479" s="327" t="s">
        <v>861</v>
      </c>
      <c r="AN1479" s="327" t="s">
        <v>626</v>
      </c>
      <c r="AO1479" s="327" t="s">
        <v>973</v>
      </c>
      <c r="AP1479" s="327" t="s">
        <v>862</v>
      </c>
      <c r="AQ1479" s="327" t="s">
        <v>631</v>
      </c>
      <c r="AR1479" s="327">
        <v>0</v>
      </c>
      <c r="AS1479" s="327">
        <v>-9999</v>
      </c>
      <c r="AT1479" s="327"/>
      <c r="AU1479" s="327">
        <v>0</v>
      </c>
      <c r="AV1479" s="327">
        <v>-9999</v>
      </c>
      <c r="AW1479" s="327">
        <v>-9999</v>
      </c>
      <c r="AX1479" s="327">
        <v>0</v>
      </c>
      <c r="AY1479" s="327">
        <v>-9999</v>
      </c>
      <c r="AZ1479" s="327">
        <v>-9999</v>
      </c>
      <c r="BA1479" s="327" t="s">
        <v>869</v>
      </c>
      <c r="BB1479" s="327" t="s">
        <v>626</v>
      </c>
      <c r="BC1479" s="327" t="s">
        <v>864</v>
      </c>
      <c r="BD1479" s="327"/>
      <c r="BE1479" s="327" t="s">
        <v>865</v>
      </c>
      <c r="BF1479" s="327">
        <v>-9999</v>
      </c>
      <c r="BG1479" s="327">
        <v>-9999</v>
      </c>
      <c r="BH1479" s="327">
        <v>-9999</v>
      </c>
      <c r="BI1479" s="327" t="s">
        <v>866</v>
      </c>
      <c r="BJ1479" s="327">
        <v>15.6</v>
      </c>
      <c r="BK1479" s="327">
        <v>-9999</v>
      </c>
      <c r="BL1479" s="327">
        <v>8</v>
      </c>
      <c r="BM1479" s="327">
        <v>-9999</v>
      </c>
      <c r="BN1479" s="363">
        <v>14</v>
      </c>
      <c r="BO1479" s="327">
        <v>-9999</v>
      </c>
      <c r="BP1479" s="327">
        <v>-9999</v>
      </c>
      <c r="BQ1479" s="327">
        <v>-9999</v>
      </c>
      <c r="BR1479" s="327">
        <v>-9999</v>
      </c>
      <c r="BS1479" s="328">
        <v>-9999</v>
      </c>
      <c r="BT1479" s="327">
        <v>-9999</v>
      </c>
      <c r="BU1479" s="327">
        <v>-9999</v>
      </c>
      <c r="BV1479" s="327">
        <v>-9999</v>
      </c>
      <c r="BW1479" s="327"/>
      <c r="BX1479" s="327">
        <v>-9999</v>
      </c>
      <c r="BY1479" s="327">
        <v>-9999</v>
      </c>
      <c r="BZ1479" s="327">
        <v>-9999</v>
      </c>
      <c r="CA1479" s="369" t="s">
        <v>974</v>
      </c>
      <c r="CB1479" s="475"/>
      <c r="CC1479" s="327">
        <v>1</v>
      </c>
      <c r="CD1479" s="327">
        <v>5</v>
      </c>
      <c r="CE1479" s="342">
        <v>8.7569230769230764</v>
      </c>
      <c r="CF1479" s="342">
        <v>17.999999999999996</v>
      </c>
      <c r="CG1479" s="347">
        <v>5</v>
      </c>
    </row>
    <row r="1480" spans="1:86" s="301" customFormat="1" ht="12.75" customHeight="1" x14ac:dyDescent="0.2">
      <c r="A1480" s="327" t="s">
        <v>972</v>
      </c>
      <c r="B1480" s="327" t="s">
        <v>1250</v>
      </c>
      <c r="C1480" s="327" t="s">
        <v>978</v>
      </c>
      <c r="D1480" s="327" t="s">
        <v>553</v>
      </c>
      <c r="E1480" s="327" t="s">
        <v>901</v>
      </c>
      <c r="F1480" s="327">
        <v>1</v>
      </c>
      <c r="G1480" s="327">
        <v>6</v>
      </c>
      <c r="H1480" s="328">
        <v>6</v>
      </c>
      <c r="I1480" s="327" t="s">
        <v>856</v>
      </c>
      <c r="J1480" s="327">
        <v>1995</v>
      </c>
      <c r="K1480" s="327" t="s">
        <v>856</v>
      </c>
      <c r="L1480" s="327">
        <v>2001</v>
      </c>
      <c r="M1480" s="368">
        <v>-9999</v>
      </c>
      <c r="N1480" s="327">
        <v>-9999</v>
      </c>
      <c r="O1480" s="656">
        <f>1/0.66</f>
        <v>1.5151515151515151</v>
      </c>
      <c r="P1480" s="370">
        <f t="shared" si="157"/>
        <v>58.272727272727266</v>
      </c>
      <c r="Q1480" s="328">
        <v>-9999</v>
      </c>
      <c r="R1480" s="287">
        <f t="shared" si="160"/>
        <v>38.459999999999994</v>
      </c>
      <c r="S1480" s="368"/>
      <c r="T1480" s="370">
        <f t="shared" si="158"/>
        <v>9.712121212121211</v>
      </c>
      <c r="U1480" s="328">
        <v>-9999</v>
      </c>
      <c r="V1480" s="431">
        <v>6.4099999999999993</v>
      </c>
      <c r="W1480" s="287">
        <f>10*O1480</f>
        <v>15.151515151515152</v>
      </c>
      <c r="X1480" s="328">
        <v>-9999</v>
      </c>
      <c r="Y1480" s="327">
        <v>10</v>
      </c>
      <c r="Z1480" s="327" t="s">
        <v>1709</v>
      </c>
      <c r="AA1480" s="628">
        <f t="shared" si="159"/>
        <v>1070</v>
      </c>
      <c r="AB1480" s="368">
        <v>0.89252336448598135</v>
      </c>
      <c r="AC1480" s="327">
        <v>0.2</v>
      </c>
      <c r="AD1480" s="327">
        <v>2.5999999999999999E-2</v>
      </c>
      <c r="AE1480" s="327" t="s">
        <v>963</v>
      </c>
      <c r="AF1480" s="327">
        <v>3</v>
      </c>
      <c r="AG1480" s="327" t="s">
        <v>878</v>
      </c>
      <c r="AH1480" s="327" t="s">
        <v>857</v>
      </c>
      <c r="AI1480" s="327" t="s">
        <v>858</v>
      </c>
      <c r="AJ1480" s="327" t="s">
        <v>859</v>
      </c>
      <c r="AK1480" s="327" t="s">
        <v>860</v>
      </c>
      <c r="AL1480" s="327" t="s">
        <v>828</v>
      </c>
      <c r="AM1480" s="327" t="s">
        <v>861</v>
      </c>
      <c r="AN1480" s="327" t="s">
        <v>626</v>
      </c>
      <c r="AO1480" s="327" t="s">
        <v>973</v>
      </c>
      <c r="AP1480" s="327" t="s">
        <v>862</v>
      </c>
      <c r="AQ1480" s="327" t="s">
        <v>631</v>
      </c>
      <c r="AR1480" s="327">
        <v>0</v>
      </c>
      <c r="AS1480" s="327">
        <v>-9999</v>
      </c>
      <c r="AT1480" s="327"/>
      <c r="AU1480" s="327">
        <v>0</v>
      </c>
      <c r="AV1480" s="327">
        <v>-9999</v>
      </c>
      <c r="AW1480" s="327">
        <v>-9999</v>
      </c>
      <c r="AX1480" s="327">
        <v>0</v>
      </c>
      <c r="AY1480" s="327">
        <v>-9999</v>
      </c>
      <c r="AZ1480" s="327">
        <v>-9999</v>
      </c>
      <c r="BA1480" s="327" t="s">
        <v>869</v>
      </c>
      <c r="BB1480" s="327" t="s">
        <v>626</v>
      </c>
      <c r="BC1480" s="327" t="s">
        <v>864</v>
      </c>
      <c r="BD1480" s="327"/>
      <c r="BE1480" s="327" t="s">
        <v>865</v>
      </c>
      <c r="BF1480" s="327">
        <v>-9999</v>
      </c>
      <c r="BG1480" s="327">
        <v>-9999</v>
      </c>
      <c r="BH1480" s="327">
        <v>-9999</v>
      </c>
      <c r="BI1480" s="327" t="s">
        <v>866</v>
      </c>
      <c r="BJ1480" s="327">
        <v>18.899999999999999</v>
      </c>
      <c r="BK1480" s="327">
        <v>-9999</v>
      </c>
      <c r="BL1480" s="327">
        <v>9.6</v>
      </c>
      <c r="BM1480" s="327">
        <v>-9999</v>
      </c>
      <c r="BN1480" s="363">
        <v>15.9</v>
      </c>
      <c r="BO1480" s="327">
        <v>-9999</v>
      </c>
      <c r="BP1480" s="327">
        <v>-9999</v>
      </c>
      <c r="BQ1480" s="327">
        <v>-9999</v>
      </c>
      <c r="BR1480" s="327">
        <v>-9999</v>
      </c>
      <c r="BS1480" s="328">
        <v>-9999</v>
      </c>
      <c r="BT1480" s="327">
        <v>-9999</v>
      </c>
      <c r="BU1480" s="327">
        <v>-9999</v>
      </c>
      <c r="BV1480" s="327">
        <v>-9999</v>
      </c>
      <c r="BW1480" s="327"/>
      <c r="BX1480" s="327">
        <v>-9999</v>
      </c>
      <c r="BY1480" s="327">
        <v>-9999</v>
      </c>
      <c r="BZ1480" s="327">
        <v>-9999</v>
      </c>
      <c r="CA1480" s="369" t="s">
        <v>974</v>
      </c>
      <c r="CB1480" s="475"/>
      <c r="CC1480" s="327">
        <v>1</v>
      </c>
      <c r="CD1480" s="327">
        <v>6</v>
      </c>
      <c r="CE1480" s="342">
        <v>9.712121212121211</v>
      </c>
      <c r="CF1480" s="342">
        <v>15.151515151515152</v>
      </c>
      <c r="CG1480" s="347">
        <v>6</v>
      </c>
    </row>
    <row r="1481" spans="1:86" s="301" customFormat="1" ht="12.75" customHeight="1" x14ac:dyDescent="0.2">
      <c r="A1481" s="327" t="s">
        <v>972</v>
      </c>
      <c r="B1481" s="327" t="s">
        <v>1250</v>
      </c>
      <c r="C1481" s="327" t="s">
        <v>978</v>
      </c>
      <c r="D1481" s="327" t="s">
        <v>553</v>
      </c>
      <c r="E1481" s="327" t="s">
        <v>901</v>
      </c>
      <c r="F1481" s="327">
        <v>1</v>
      </c>
      <c r="G1481" s="327">
        <v>7</v>
      </c>
      <c r="H1481" s="327">
        <v>7</v>
      </c>
      <c r="I1481" s="327" t="s">
        <v>856</v>
      </c>
      <c r="J1481" s="327">
        <v>1995</v>
      </c>
      <c r="K1481" s="327" t="s">
        <v>856</v>
      </c>
      <c r="L1481" s="327">
        <v>2002</v>
      </c>
      <c r="M1481" s="368">
        <v>-9999</v>
      </c>
      <c r="N1481" s="327">
        <v>-9999</v>
      </c>
      <c r="O1481" s="655">
        <f>1/0.7</f>
        <v>1.4285714285714286</v>
      </c>
      <c r="P1481" s="370">
        <f t="shared" si="157"/>
        <v>82.657142857142844</v>
      </c>
      <c r="Q1481" s="328">
        <v>-9999</v>
      </c>
      <c r="R1481" s="287">
        <f t="shared" si="160"/>
        <v>57.859999999999992</v>
      </c>
      <c r="S1481" s="368"/>
      <c r="T1481" s="370">
        <f t="shared" si="158"/>
        <v>11.808163265306121</v>
      </c>
      <c r="U1481" s="328">
        <v>-9999</v>
      </c>
      <c r="V1481" s="431">
        <v>8.2657142857142851</v>
      </c>
      <c r="W1481" s="287">
        <f>19.4*O1481</f>
        <v>27.714285714285712</v>
      </c>
      <c r="X1481" s="328">
        <v>-9999</v>
      </c>
      <c r="Y1481" s="327">
        <v>19.399999999999999</v>
      </c>
      <c r="Z1481" s="327" t="s">
        <v>1709</v>
      </c>
      <c r="AA1481" s="628">
        <f t="shared" si="159"/>
        <v>1070</v>
      </c>
      <c r="AB1481" s="368">
        <v>0.88037383177570094</v>
      </c>
      <c r="AC1481" s="327">
        <v>0.2</v>
      </c>
      <c r="AD1481" s="327">
        <v>2.5999999999999999E-2</v>
      </c>
      <c r="AE1481" s="327" t="s">
        <v>963</v>
      </c>
      <c r="AF1481" s="327">
        <v>3</v>
      </c>
      <c r="AG1481" s="327" t="s">
        <v>878</v>
      </c>
      <c r="AH1481" s="327" t="s">
        <v>857</v>
      </c>
      <c r="AI1481" s="327" t="s">
        <v>858</v>
      </c>
      <c r="AJ1481" s="327" t="s">
        <v>859</v>
      </c>
      <c r="AK1481" s="327" t="s">
        <v>860</v>
      </c>
      <c r="AL1481" s="327" t="s">
        <v>828</v>
      </c>
      <c r="AM1481" s="327" t="s">
        <v>861</v>
      </c>
      <c r="AN1481" s="327" t="s">
        <v>626</v>
      </c>
      <c r="AO1481" s="327" t="s">
        <v>973</v>
      </c>
      <c r="AP1481" s="327" t="s">
        <v>975</v>
      </c>
      <c r="AQ1481" s="327" t="s">
        <v>631</v>
      </c>
      <c r="AR1481" s="327">
        <v>0</v>
      </c>
      <c r="AS1481" s="327">
        <v>-9999</v>
      </c>
      <c r="AT1481" s="327"/>
      <c r="AU1481" s="327">
        <v>0</v>
      </c>
      <c r="AV1481" s="327">
        <v>-9999</v>
      </c>
      <c r="AW1481" s="327">
        <v>-9999</v>
      </c>
      <c r="AX1481" s="327">
        <v>0</v>
      </c>
      <c r="AY1481" s="327">
        <v>-9999</v>
      </c>
      <c r="AZ1481" s="327">
        <v>-9999</v>
      </c>
      <c r="BA1481" s="327" t="s">
        <v>869</v>
      </c>
      <c r="BB1481" s="327" t="s">
        <v>626</v>
      </c>
      <c r="BC1481" s="327" t="s">
        <v>864</v>
      </c>
      <c r="BD1481" s="327"/>
      <c r="BE1481" s="327" t="s">
        <v>865</v>
      </c>
      <c r="BF1481" s="327">
        <v>-9999</v>
      </c>
      <c r="BG1481" s="327">
        <v>-9999</v>
      </c>
      <c r="BH1481" s="327">
        <v>-9999</v>
      </c>
      <c r="BI1481" s="327" t="s">
        <v>866</v>
      </c>
      <c r="BJ1481" s="327">
        <v>23.5</v>
      </c>
      <c r="BK1481" s="327">
        <v>-9999</v>
      </c>
      <c r="BL1481" s="327">
        <v>11.7</v>
      </c>
      <c r="BM1481" s="327">
        <v>-9999</v>
      </c>
      <c r="BN1481" s="363">
        <v>17.399999999999999</v>
      </c>
      <c r="BO1481" s="327">
        <v>-9999</v>
      </c>
      <c r="BP1481" s="327">
        <v>-9999</v>
      </c>
      <c r="BQ1481" s="327">
        <v>-9999</v>
      </c>
      <c r="BR1481" s="327">
        <v>-9999</v>
      </c>
      <c r="BS1481" s="328">
        <v>-9999</v>
      </c>
      <c r="BT1481" s="327">
        <v>-9999</v>
      </c>
      <c r="BU1481" s="327">
        <v>-9999</v>
      </c>
      <c r="BV1481" s="327">
        <v>-9999</v>
      </c>
      <c r="BW1481" s="327"/>
      <c r="BX1481" s="327">
        <v>-9999</v>
      </c>
      <c r="BY1481" s="327">
        <v>-9999</v>
      </c>
      <c r="BZ1481" s="327">
        <v>-9999</v>
      </c>
      <c r="CA1481" s="369" t="s">
        <v>974</v>
      </c>
      <c r="CB1481" s="475"/>
      <c r="CC1481" s="327">
        <v>1</v>
      </c>
      <c r="CD1481" s="327">
        <v>7</v>
      </c>
      <c r="CE1481" s="342">
        <v>11.808163265306121</v>
      </c>
      <c r="CF1481" s="342">
        <v>27.714285714285712</v>
      </c>
      <c r="CG1481" s="143">
        <v>7</v>
      </c>
    </row>
    <row r="1482" spans="1:86" s="301" customFormat="1" ht="12.75" customHeight="1" x14ac:dyDescent="0.2">
      <c r="A1482" s="327" t="s">
        <v>972</v>
      </c>
      <c r="B1482" s="327" t="s">
        <v>1250</v>
      </c>
      <c r="C1482" s="327" t="s">
        <v>978</v>
      </c>
      <c r="D1482" s="327" t="s">
        <v>553</v>
      </c>
      <c r="E1482" s="327" t="s">
        <v>901</v>
      </c>
      <c r="F1482" s="327">
        <v>1</v>
      </c>
      <c r="G1482" s="327">
        <v>8</v>
      </c>
      <c r="H1482" s="327">
        <v>8</v>
      </c>
      <c r="I1482" s="327" t="s">
        <v>856</v>
      </c>
      <c r="J1482" s="327">
        <v>1995</v>
      </c>
      <c r="K1482" s="327" t="s">
        <v>856</v>
      </c>
      <c r="L1482" s="327">
        <v>2003</v>
      </c>
      <c r="M1482" s="368">
        <v>-9999</v>
      </c>
      <c r="N1482" s="327">
        <v>-9999</v>
      </c>
      <c r="O1482" s="655">
        <f>1/0.75</f>
        <v>1.3333333333333333</v>
      </c>
      <c r="P1482" s="370">
        <f t="shared" si="157"/>
        <v>104.07999999999998</v>
      </c>
      <c r="Q1482" s="328">
        <v>-9999</v>
      </c>
      <c r="R1482" s="287">
        <f t="shared" si="160"/>
        <v>78.059999999999988</v>
      </c>
      <c r="S1482" s="368"/>
      <c r="T1482" s="370">
        <f t="shared" si="158"/>
        <v>13.009999999999998</v>
      </c>
      <c r="U1482" s="328">
        <v>-9999</v>
      </c>
      <c r="V1482" s="431">
        <v>9.7574999999999985</v>
      </c>
      <c r="W1482" s="287">
        <f>20.2*O1482</f>
        <v>26.93333333333333</v>
      </c>
      <c r="X1482" s="328">
        <v>-9999</v>
      </c>
      <c r="Y1482" s="327">
        <v>20.2</v>
      </c>
      <c r="Z1482" s="327" t="s">
        <v>1709</v>
      </c>
      <c r="AA1482" s="628">
        <f t="shared" si="159"/>
        <v>1070</v>
      </c>
      <c r="AB1482" s="368">
        <v>0.88037383177570094</v>
      </c>
      <c r="AC1482" s="327">
        <v>0.2</v>
      </c>
      <c r="AD1482" s="327">
        <v>2.5999999999999999E-2</v>
      </c>
      <c r="AE1482" s="327" t="s">
        <v>963</v>
      </c>
      <c r="AF1482" s="327">
        <v>3</v>
      </c>
      <c r="AG1482" s="327" t="s">
        <v>878</v>
      </c>
      <c r="AH1482" s="327" t="s">
        <v>857</v>
      </c>
      <c r="AI1482" s="327" t="s">
        <v>858</v>
      </c>
      <c r="AJ1482" s="327" t="s">
        <v>859</v>
      </c>
      <c r="AK1482" s="327" t="s">
        <v>860</v>
      </c>
      <c r="AL1482" s="327" t="s">
        <v>828</v>
      </c>
      <c r="AM1482" s="327" t="s">
        <v>861</v>
      </c>
      <c r="AN1482" s="327" t="s">
        <v>626</v>
      </c>
      <c r="AO1482" s="327" t="s">
        <v>973</v>
      </c>
      <c r="AP1482" s="327" t="s">
        <v>975</v>
      </c>
      <c r="AQ1482" s="327" t="s">
        <v>631</v>
      </c>
      <c r="AR1482" s="327">
        <v>0</v>
      </c>
      <c r="AS1482" s="327">
        <v>-9999</v>
      </c>
      <c r="AT1482" s="327"/>
      <c r="AU1482" s="327">
        <v>0</v>
      </c>
      <c r="AV1482" s="327">
        <v>-9999</v>
      </c>
      <c r="AW1482" s="327">
        <v>-9999</v>
      </c>
      <c r="AX1482" s="327">
        <v>0</v>
      </c>
      <c r="AY1482" s="327">
        <v>-9999</v>
      </c>
      <c r="AZ1482" s="327">
        <v>-9999</v>
      </c>
      <c r="BA1482" s="327" t="s">
        <v>869</v>
      </c>
      <c r="BB1482" s="327" t="s">
        <v>626</v>
      </c>
      <c r="BC1482" s="327" t="s">
        <v>864</v>
      </c>
      <c r="BD1482" s="327"/>
      <c r="BE1482" s="327" t="s">
        <v>865</v>
      </c>
      <c r="BF1482" s="327">
        <v>-9999</v>
      </c>
      <c r="BG1482" s="327">
        <v>-9999</v>
      </c>
      <c r="BH1482" s="327">
        <v>-9999</v>
      </c>
      <c r="BI1482" s="327" t="s">
        <v>866</v>
      </c>
      <c r="BJ1482" s="327">
        <v>27.5</v>
      </c>
      <c r="BK1482" s="327">
        <v>-9999</v>
      </c>
      <c r="BL1482" s="327">
        <v>13</v>
      </c>
      <c r="BM1482" s="327">
        <v>-9999</v>
      </c>
      <c r="BN1482" s="363">
        <v>18.8</v>
      </c>
      <c r="BO1482" s="327">
        <v>-9999</v>
      </c>
      <c r="BP1482" s="327">
        <v>-9999</v>
      </c>
      <c r="BQ1482" s="327">
        <v>-9999</v>
      </c>
      <c r="BR1482" s="327">
        <v>-9999</v>
      </c>
      <c r="BS1482" s="328">
        <v>-9999</v>
      </c>
      <c r="BT1482" s="327">
        <v>-9999</v>
      </c>
      <c r="BU1482" s="327">
        <v>-9999</v>
      </c>
      <c r="BV1482" s="327">
        <v>-9999</v>
      </c>
      <c r="BW1482" s="327"/>
      <c r="BX1482" s="327">
        <v>-9999</v>
      </c>
      <c r="BY1482" s="327">
        <v>-9999</v>
      </c>
      <c r="BZ1482" s="327">
        <v>-9999</v>
      </c>
      <c r="CA1482" s="369" t="s">
        <v>974</v>
      </c>
      <c r="CB1482" s="475"/>
      <c r="CC1482" s="327">
        <v>1</v>
      </c>
      <c r="CD1482" s="327">
        <v>8</v>
      </c>
      <c r="CE1482" s="342">
        <v>13.009999999999998</v>
      </c>
      <c r="CF1482" s="342">
        <v>26.93333333333333</v>
      </c>
      <c r="CG1482" s="143">
        <v>8</v>
      </c>
    </row>
    <row r="1483" spans="1:86" s="301" customFormat="1" ht="12.75" customHeight="1" x14ac:dyDescent="0.2">
      <c r="A1483" s="327" t="s">
        <v>972</v>
      </c>
      <c r="B1483" s="327" t="s">
        <v>1250</v>
      </c>
      <c r="C1483" s="327" t="s">
        <v>978</v>
      </c>
      <c r="D1483" s="327" t="s">
        <v>553</v>
      </c>
      <c r="E1483" s="327" t="s">
        <v>901</v>
      </c>
      <c r="F1483" s="327">
        <v>1</v>
      </c>
      <c r="G1483" s="327">
        <v>9</v>
      </c>
      <c r="H1483" s="327">
        <v>9</v>
      </c>
      <c r="I1483" s="327" t="s">
        <v>856</v>
      </c>
      <c r="J1483" s="327">
        <v>1995</v>
      </c>
      <c r="K1483" s="327" t="s">
        <v>856</v>
      </c>
      <c r="L1483" s="327">
        <v>2004</v>
      </c>
      <c r="M1483" s="368">
        <v>-9999</v>
      </c>
      <c r="N1483" s="327">
        <v>-9999</v>
      </c>
      <c r="O1483" s="655">
        <f>1/0.79</f>
        <v>1.2658227848101264</v>
      </c>
      <c r="P1483" s="370">
        <f t="shared" si="157"/>
        <v>123.87341772151896</v>
      </c>
      <c r="Q1483" s="328">
        <v>-9999</v>
      </c>
      <c r="R1483" s="287">
        <f t="shared" si="160"/>
        <v>97.859999999999985</v>
      </c>
      <c r="S1483" s="368"/>
      <c r="T1483" s="370">
        <f t="shared" si="158"/>
        <v>13.763713080168774</v>
      </c>
      <c r="U1483" s="328">
        <v>-9999</v>
      </c>
      <c r="V1483" s="431">
        <v>10.873333333333331</v>
      </c>
      <c r="W1483" s="287">
        <f>19.8*O1483</f>
        <v>25.063291139240505</v>
      </c>
      <c r="X1483" s="328">
        <v>-9999</v>
      </c>
      <c r="Y1483" s="327">
        <v>19.8</v>
      </c>
      <c r="Z1483" s="327" t="s">
        <v>1709</v>
      </c>
      <c r="AA1483" s="628">
        <f t="shared" si="159"/>
        <v>1070</v>
      </c>
      <c r="AB1483" s="368">
        <v>0.86728971962616819</v>
      </c>
      <c r="AC1483" s="327">
        <v>0.2</v>
      </c>
      <c r="AD1483" s="327">
        <v>2.5999999999999999E-2</v>
      </c>
      <c r="AE1483" s="327" t="s">
        <v>963</v>
      </c>
      <c r="AF1483" s="327">
        <v>3</v>
      </c>
      <c r="AG1483" s="327" t="s">
        <v>878</v>
      </c>
      <c r="AH1483" s="327" t="s">
        <v>857</v>
      </c>
      <c r="AI1483" s="327" t="s">
        <v>858</v>
      </c>
      <c r="AJ1483" s="327" t="s">
        <v>859</v>
      </c>
      <c r="AK1483" s="327" t="s">
        <v>860</v>
      </c>
      <c r="AL1483" s="327" t="s">
        <v>828</v>
      </c>
      <c r="AM1483" s="327" t="s">
        <v>861</v>
      </c>
      <c r="AN1483" s="327" t="s">
        <v>626</v>
      </c>
      <c r="AO1483" s="327" t="s">
        <v>973</v>
      </c>
      <c r="AP1483" s="327" t="s">
        <v>975</v>
      </c>
      <c r="AQ1483" s="327" t="s">
        <v>631</v>
      </c>
      <c r="AR1483" s="327">
        <v>0</v>
      </c>
      <c r="AS1483" s="327">
        <v>-9999</v>
      </c>
      <c r="AT1483" s="327"/>
      <c r="AU1483" s="327">
        <v>0</v>
      </c>
      <c r="AV1483" s="327">
        <v>-9999</v>
      </c>
      <c r="AW1483" s="327">
        <v>-9999</v>
      </c>
      <c r="AX1483" s="327">
        <v>0</v>
      </c>
      <c r="AY1483" s="327">
        <v>-9999</v>
      </c>
      <c r="AZ1483" s="327">
        <v>-9999</v>
      </c>
      <c r="BA1483" s="327" t="s">
        <v>869</v>
      </c>
      <c r="BB1483" s="327" t="s">
        <v>626</v>
      </c>
      <c r="BC1483" s="327" t="s">
        <v>864</v>
      </c>
      <c r="BD1483" s="327"/>
      <c r="BE1483" s="327" t="s">
        <v>865</v>
      </c>
      <c r="BF1483" s="327">
        <v>-9999</v>
      </c>
      <c r="BG1483" s="327">
        <v>-9999</v>
      </c>
      <c r="BH1483" s="327">
        <v>-9999</v>
      </c>
      <c r="BI1483" s="327" t="s">
        <v>866</v>
      </c>
      <c r="BJ1483" s="327">
        <v>29.8</v>
      </c>
      <c r="BK1483" s="327">
        <v>-9999</v>
      </c>
      <c r="BL1483" s="327">
        <v>14.9</v>
      </c>
      <c r="BM1483" s="327">
        <v>-9999</v>
      </c>
      <c r="BN1483" s="363">
        <v>19.600000000000001</v>
      </c>
      <c r="BO1483" s="327">
        <v>-9999</v>
      </c>
      <c r="BP1483" s="327">
        <v>-9999</v>
      </c>
      <c r="BQ1483" s="327">
        <v>-9999</v>
      </c>
      <c r="BR1483" s="327">
        <v>-9999</v>
      </c>
      <c r="BS1483" s="328">
        <v>-9999</v>
      </c>
      <c r="BT1483" s="327">
        <v>-9999</v>
      </c>
      <c r="BU1483" s="327">
        <v>-9999</v>
      </c>
      <c r="BV1483" s="327">
        <v>-9999</v>
      </c>
      <c r="BW1483" s="327"/>
      <c r="BX1483" s="327">
        <v>-9999</v>
      </c>
      <c r="BY1483" s="327">
        <v>-9999</v>
      </c>
      <c r="BZ1483" s="327">
        <v>-9999</v>
      </c>
      <c r="CA1483" s="369" t="s">
        <v>974</v>
      </c>
      <c r="CB1483" s="475"/>
      <c r="CC1483" s="327">
        <v>1</v>
      </c>
      <c r="CD1483" s="327">
        <v>9</v>
      </c>
      <c r="CE1483" s="342">
        <v>13.763713080168774</v>
      </c>
      <c r="CF1483" s="342">
        <v>25.063291139240505</v>
      </c>
      <c r="CG1483" s="143">
        <v>9</v>
      </c>
    </row>
    <row r="1484" spans="1:86" s="301" customFormat="1" ht="12.75" customHeight="1" x14ac:dyDescent="0.2">
      <c r="A1484" s="327" t="s">
        <v>972</v>
      </c>
      <c r="B1484" s="327" t="s">
        <v>1250</v>
      </c>
      <c r="C1484" s="327" t="s">
        <v>978</v>
      </c>
      <c r="D1484" s="327" t="s">
        <v>553</v>
      </c>
      <c r="E1484" s="327" t="s">
        <v>901</v>
      </c>
      <c r="F1484" s="327">
        <v>1</v>
      </c>
      <c r="G1484" s="327">
        <v>10</v>
      </c>
      <c r="H1484" s="327">
        <v>10</v>
      </c>
      <c r="I1484" s="327" t="s">
        <v>856</v>
      </c>
      <c r="J1484" s="327">
        <v>1995</v>
      </c>
      <c r="K1484" s="327" t="s">
        <v>856</v>
      </c>
      <c r="L1484" s="259">
        <v>2005</v>
      </c>
      <c r="M1484" s="368">
        <v>-9999</v>
      </c>
      <c r="N1484" s="327">
        <v>-9999</v>
      </c>
      <c r="O1484" s="656">
        <f>1/0.82</f>
        <v>1.2195121951219512</v>
      </c>
      <c r="P1484" s="370">
        <f t="shared" si="157"/>
        <v>147.26829268292681</v>
      </c>
      <c r="Q1484" s="328">
        <v>-9999</v>
      </c>
      <c r="R1484" s="287">
        <f t="shared" si="160"/>
        <v>120.75999999999999</v>
      </c>
      <c r="S1484" s="368"/>
      <c r="T1484" s="370">
        <f t="shared" si="158"/>
        <v>14.726829268292681</v>
      </c>
      <c r="U1484" s="328">
        <v>-9999</v>
      </c>
      <c r="V1484" s="431">
        <v>12.075999999999999</v>
      </c>
      <c r="W1484" s="287">
        <f>22.9*O1484</f>
        <v>27.926829268292682</v>
      </c>
      <c r="X1484" s="328">
        <v>-9999</v>
      </c>
      <c r="Y1484" s="327">
        <v>22.9</v>
      </c>
      <c r="Z1484" s="327" t="s">
        <v>1709</v>
      </c>
      <c r="AA1484" s="628">
        <f t="shared" si="159"/>
        <v>1070</v>
      </c>
      <c r="AB1484" s="368">
        <v>0.86728971962616819</v>
      </c>
      <c r="AC1484" s="327">
        <v>0.2</v>
      </c>
      <c r="AD1484" s="327">
        <v>2.5999999999999999E-2</v>
      </c>
      <c r="AE1484" s="327" t="s">
        <v>963</v>
      </c>
      <c r="AF1484" s="327">
        <v>3</v>
      </c>
      <c r="AG1484" s="327" t="s">
        <v>878</v>
      </c>
      <c r="AH1484" s="327" t="s">
        <v>857</v>
      </c>
      <c r="AI1484" s="327" t="s">
        <v>858</v>
      </c>
      <c r="AJ1484" s="327" t="s">
        <v>859</v>
      </c>
      <c r="AK1484" s="327" t="s">
        <v>860</v>
      </c>
      <c r="AL1484" s="327" t="s">
        <v>828</v>
      </c>
      <c r="AM1484" s="327" t="s">
        <v>861</v>
      </c>
      <c r="AN1484" s="327" t="s">
        <v>626</v>
      </c>
      <c r="AO1484" s="327" t="s">
        <v>973</v>
      </c>
      <c r="AP1484" s="327" t="s">
        <v>976</v>
      </c>
      <c r="AQ1484" s="327" t="s">
        <v>631</v>
      </c>
      <c r="AR1484" s="327">
        <v>0</v>
      </c>
      <c r="AS1484" s="327">
        <v>-9999</v>
      </c>
      <c r="AT1484" s="327"/>
      <c r="AU1484" s="327">
        <v>0</v>
      </c>
      <c r="AV1484" s="327">
        <v>-9999</v>
      </c>
      <c r="AW1484" s="327">
        <v>-9999</v>
      </c>
      <c r="AX1484" s="327">
        <v>0</v>
      </c>
      <c r="AY1484" s="327">
        <v>-9999</v>
      </c>
      <c r="AZ1484" s="327">
        <v>-9999</v>
      </c>
      <c r="BA1484" s="327" t="s">
        <v>869</v>
      </c>
      <c r="BB1484" s="327" t="s">
        <v>626</v>
      </c>
      <c r="BC1484" s="327" t="s">
        <v>864</v>
      </c>
      <c r="BD1484" s="327"/>
      <c r="BE1484" s="327" t="s">
        <v>865</v>
      </c>
      <c r="BF1484" s="327">
        <v>-9999</v>
      </c>
      <c r="BG1484" s="327">
        <v>-9999</v>
      </c>
      <c r="BH1484" s="327">
        <v>-9999</v>
      </c>
      <c r="BI1484" s="327" t="s">
        <v>866</v>
      </c>
      <c r="BJ1484" s="327">
        <v>32.5</v>
      </c>
      <c r="BK1484" s="327">
        <v>-9999</v>
      </c>
      <c r="BL1484" s="327">
        <v>16.5</v>
      </c>
      <c r="BM1484" s="327">
        <v>-9999</v>
      </c>
      <c r="BN1484" s="363">
        <v>20.6</v>
      </c>
      <c r="BO1484" s="327">
        <v>-9999</v>
      </c>
      <c r="BP1484" s="327">
        <v>-9999</v>
      </c>
      <c r="BQ1484" s="327">
        <v>-9999</v>
      </c>
      <c r="BR1484" s="327">
        <v>-9999</v>
      </c>
      <c r="BS1484" s="328">
        <v>-9999</v>
      </c>
      <c r="BT1484" s="327">
        <v>296.89999999999998</v>
      </c>
      <c r="BU1484" s="327">
        <v>-9999</v>
      </c>
      <c r="BV1484" s="327">
        <v>12.7</v>
      </c>
      <c r="BW1484" s="327"/>
      <c r="BX1484" s="327">
        <v>-9999</v>
      </c>
      <c r="BY1484" s="327">
        <v>-9999</v>
      </c>
      <c r="BZ1484" s="327">
        <v>-9999</v>
      </c>
      <c r="CA1484" s="369" t="s">
        <v>974</v>
      </c>
      <c r="CB1484" s="475"/>
      <c r="CC1484" s="327">
        <v>1</v>
      </c>
      <c r="CD1484" s="327">
        <v>10</v>
      </c>
      <c r="CE1484" s="342">
        <v>14.726829268292681</v>
      </c>
      <c r="CF1484" s="342">
        <v>27.926829268292682</v>
      </c>
      <c r="CG1484" s="143">
        <v>10</v>
      </c>
    </row>
    <row r="1485" spans="1:86" s="13" customFormat="1" ht="12.75" customHeight="1" x14ac:dyDescent="0.2">
      <c r="A1485" s="259" t="s">
        <v>972</v>
      </c>
      <c r="B1485" s="259" t="s">
        <v>1250</v>
      </c>
      <c r="C1485" s="259" t="s">
        <v>978</v>
      </c>
      <c r="D1485" s="259" t="s">
        <v>553</v>
      </c>
      <c r="E1485" s="259" t="s">
        <v>901</v>
      </c>
      <c r="F1485" s="259">
        <v>1</v>
      </c>
      <c r="G1485" s="259">
        <v>11</v>
      </c>
      <c r="H1485" s="259">
        <v>11</v>
      </c>
      <c r="I1485" s="259" t="s">
        <v>856</v>
      </c>
      <c r="J1485" s="259">
        <v>1995</v>
      </c>
      <c r="K1485" s="259" t="s">
        <v>856</v>
      </c>
      <c r="L1485" s="592">
        <v>2006</v>
      </c>
      <c r="M1485" s="288">
        <v>-9999</v>
      </c>
      <c r="N1485" s="259">
        <v>-9999</v>
      </c>
      <c r="O1485" s="657">
        <f>1/0.82</f>
        <v>1.2195121951219512</v>
      </c>
      <c r="P1485" s="590">
        <f t="shared" si="157"/>
        <v>177.39024390243898</v>
      </c>
      <c r="Q1485" s="260">
        <v>-9999</v>
      </c>
      <c r="R1485" s="376">
        <f t="shared" si="160"/>
        <v>145.45999999999998</v>
      </c>
      <c r="S1485" s="288"/>
      <c r="T1485" s="590">
        <f t="shared" si="158"/>
        <v>16.126385809312634</v>
      </c>
      <c r="U1485" s="260">
        <v>-9999</v>
      </c>
      <c r="V1485" s="631">
        <v>13.223636363636361</v>
      </c>
      <c r="W1485" s="376">
        <f>24.7*O1485</f>
        <v>30.121951219512194</v>
      </c>
      <c r="X1485" s="260">
        <v>-9999</v>
      </c>
      <c r="Y1485" s="259">
        <v>24.7</v>
      </c>
      <c r="Z1485" s="259" t="s">
        <v>1709</v>
      </c>
      <c r="AA1485" s="621">
        <f t="shared" si="159"/>
        <v>1070</v>
      </c>
      <c r="AB1485" s="288">
        <v>0.84579439252336452</v>
      </c>
      <c r="AC1485" s="259">
        <v>0.2</v>
      </c>
      <c r="AD1485" s="259">
        <v>2.5999999999999999E-2</v>
      </c>
      <c r="AE1485" s="259" t="s">
        <v>963</v>
      </c>
      <c r="AF1485" s="259">
        <v>3</v>
      </c>
      <c r="AG1485" s="259" t="s">
        <v>878</v>
      </c>
      <c r="AH1485" s="259" t="s">
        <v>857</v>
      </c>
      <c r="AI1485" s="259" t="s">
        <v>858</v>
      </c>
      <c r="AJ1485" s="259" t="s">
        <v>859</v>
      </c>
      <c r="AK1485" s="259" t="s">
        <v>860</v>
      </c>
      <c r="AL1485" s="259" t="s">
        <v>828</v>
      </c>
      <c r="AM1485" s="259" t="s">
        <v>861</v>
      </c>
      <c r="AN1485" s="259" t="s">
        <v>626</v>
      </c>
      <c r="AO1485" s="259" t="s">
        <v>973</v>
      </c>
      <c r="AP1485" s="259" t="s">
        <v>977</v>
      </c>
      <c r="AQ1485" s="259" t="s">
        <v>631</v>
      </c>
      <c r="AR1485" s="259">
        <v>0</v>
      </c>
      <c r="AS1485" s="259">
        <v>-9999</v>
      </c>
      <c r="AT1485" s="259"/>
      <c r="AU1485" s="259">
        <v>0</v>
      </c>
      <c r="AV1485" s="259">
        <v>-9999</v>
      </c>
      <c r="AW1485" s="259">
        <v>-9999</v>
      </c>
      <c r="AX1485" s="259">
        <v>0</v>
      </c>
      <c r="AY1485" s="259">
        <v>-9999</v>
      </c>
      <c r="AZ1485" s="259">
        <v>-9999</v>
      </c>
      <c r="BA1485" s="259" t="s">
        <v>869</v>
      </c>
      <c r="BB1485" s="259" t="s">
        <v>626</v>
      </c>
      <c r="BC1485" s="259" t="s">
        <v>864</v>
      </c>
      <c r="BD1485" s="259"/>
      <c r="BE1485" s="259" t="s">
        <v>865</v>
      </c>
      <c r="BF1485" s="259">
        <v>-9999</v>
      </c>
      <c r="BG1485" s="259">
        <v>-9999</v>
      </c>
      <c r="BH1485" s="259">
        <v>-9999</v>
      </c>
      <c r="BI1485" s="259" t="s">
        <v>866</v>
      </c>
      <c r="BJ1485" s="259">
        <v>36.4</v>
      </c>
      <c r="BK1485" s="259">
        <v>-9999</v>
      </c>
      <c r="BL1485" s="259">
        <v>18</v>
      </c>
      <c r="BM1485" s="259">
        <v>-9999</v>
      </c>
      <c r="BN1485" s="289">
        <v>22.1</v>
      </c>
      <c r="BO1485" s="259">
        <v>-9999</v>
      </c>
      <c r="BP1485" s="259">
        <v>-9999</v>
      </c>
      <c r="BQ1485" s="259">
        <v>-9999</v>
      </c>
      <c r="BR1485" s="259">
        <v>-9999</v>
      </c>
      <c r="BS1485" s="260">
        <v>-9999</v>
      </c>
      <c r="BT1485" s="259">
        <v>-9999</v>
      </c>
      <c r="BU1485" s="259">
        <v>-9999</v>
      </c>
      <c r="BV1485" s="259">
        <v>-9999</v>
      </c>
      <c r="BW1485" s="259"/>
      <c r="BX1485" s="259">
        <v>-9999</v>
      </c>
      <c r="BY1485" s="259">
        <v>-9999</v>
      </c>
      <c r="BZ1485" s="259">
        <v>-9999</v>
      </c>
      <c r="CA1485" s="337" t="s">
        <v>974</v>
      </c>
      <c r="CB1485" s="592"/>
      <c r="CC1485" s="259">
        <v>1</v>
      </c>
      <c r="CD1485" s="259">
        <v>11</v>
      </c>
      <c r="CE1485" s="99">
        <v>16.126385809312634</v>
      </c>
      <c r="CF1485" s="99">
        <v>30.121951219512194</v>
      </c>
      <c r="CG1485" s="211">
        <v>11</v>
      </c>
      <c r="CH1485" s="13" t="s">
        <v>1757</v>
      </c>
    </row>
    <row r="1486" spans="1:86" s="13" customFormat="1" ht="12.75" customHeight="1" x14ac:dyDescent="0.2">
      <c r="A1486" s="259"/>
      <c r="B1486" s="259"/>
      <c r="C1486" s="259"/>
      <c r="D1486" s="327"/>
      <c r="E1486" s="259"/>
      <c r="F1486" s="259"/>
      <c r="G1486" s="259"/>
      <c r="H1486" s="259"/>
      <c r="I1486" s="259"/>
      <c r="J1486" s="259"/>
      <c r="K1486" s="259"/>
      <c r="L1486" s="259"/>
      <c r="M1486" s="288"/>
      <c r="N1486" s="259"/>
      <c r="O1486" s="655"/>
      <c r="P1486" s="744"/>
      <c r="Q1486" s="260"/>
      <c r="R1486" s="288"/>
      <c r="S1486" s="259"/>
      <c r="T1486" s="590"/>
      <c r="U1486" s="260"/>
      <c r="V1486" s="327"/>
      <c r="W1486" s="368"/>
      <c r="X1486" s="260"/>
      <c r="Y1486" s="327"/>
      <c r="Z1486" s="259"/>
      <c r="AA1486" s="260"/>
      <c r="AB1486" s="288"/>
      <c r="AC1486" s="327"/>
      <c r="AD1486" s="327"/>
      <c r="AE1486" s="327"/>
      <c r="AF1486" s="259"/>
      <c r="AG1486" s="259"/>
      <c r="AH1486" s="259"/>
      <c r="AI1486" s="259"/>
      <c r="AJ1486" s="259"/>
      <c r="AK1486" s="259"/>
      <c r="AL1486" s="259"/>
      <c r="AM1486" s="259"/>
      <c r="AN1486" s="259"/>
      <c r="AO1486" s="259"/>
      <c r="AP1486" s="259"/>
      <c r="AQ1486" s="259"/>
      <c r="AR1486" s="259"/>
      <c r="AS1486" s="327"/>
      <c r="AT1486" s="327"/>
      <c r="AU1486" s="259"/>
      <c r="AV1486" s="327"/>
      <c r="AW1486" s="327"/>
      <c r="AX1486" s="259"/>
      <c r="AY1486" s="327"/>
      <c r="AZ1486" s="327"/>
      <c r="BA1486" s="327"/>
      <c r="BB1486" s="259"/>
      <c r="BC1486" s="259"/>
      <c r="BD1486" s="259"/>
      <c r="BE1486" s="259"/>
      <c r="BF1486" s="327"/>
      <c r="BG1486" s="327"/>
      <c r="BH1486" s="327"/>
      <c r="BI1486" s="259"/>
      <c r="BJ1486" s="259"/>
      <c r="BK1486" s="259"/>
      <c r="BL1486" s="259"/>
      <c r="BM1486" s="259"/>
      <c r="BN1486" s="289"/>
      <c r="BO1486" s="259"/>
      <c r="BP1486" s="259"/>
      <c r="BQ1486" s="259"/>
      <c r="BR1486" s="259"/>
      <c r="BS1486" s="328"/>
      <c r="BT1486" s="259"/>
      <c r="BU1486" s="327"/>
      <c r="BV1486" s="259"/>
      <c r="BW1486" s="259"/>
      <c r="BX1486" s="327"/>
      <c r="BY1486" s="327"/>
      <c r="BZ1486" s="327"/>
      <c r="CA1486" s="337"/>
      <c r="CB1486" s="592"/>
      <c r="CC1486" s="259"/>
      <c r="CD1486" s="259"/>
      <c r="CE1486" s="342" t="s">
        <v>1576</v>
      </c>
      <c r="CF1486" s="342" t="s">
        <v>1575</v>
      </c>
      <c r="CG1486" s="38"/>
    </row>
    <row r="1487" spans="1:86" s="301" customFormat="1" ht="12.75" customHeight="1" x14ac:dyDescent="0.2">
      <c r="A1487" s="327" t="s">
        <v>972</v>
      </c>
      <c r="B1487" s="327" t="s">
        <v>1250</v>
      </c>
      <c r="C1487" s="327" t="s">
        <v>633</v>
      </c>
      <c r="D1487" s="327" t="s">
        <v>553</v>
      </c>
      <c r="E1487" s="327" t="s">
        <v>901</v>
      </c>
      <c r="F1487" s="327">
        <v>1</v>
      </c>
      <c r="G1487" s="327">
        <v>2</v>
      </c>
      <c r="H1487" s="328">
        <v>2</v>
      </c>
      <c r="I1487" s="327" t="s">
        <v>856</v>
      </c>
      <c r="J1487" s="327">
        <v>1995</v>
      </c>
      <c r="K1487" s="327" t="s">
        <v>856</v>
      </c>
      <c r="L1487" s="327">
        <v>1997</v>
      </c>
      <c r="M1487" s="368">
        <v>-9999</v>
      </c>
      <c r="N1487" s="327">
        <v>-9999</v>
      </c>
      <c r="O1487" s="655">
        <f>1/0.36</f>
        <v>2.7777777777777777</v>
      </c>
      <c r="P1487" s="370">
        <f t="shared" ref="P1487:P1496" si="161">R1487*O1487</f>
        <v>5.2777777777777777</v>
      </c>
      <c r="Q1487" s="328">
        <v>-9999</v>
      </c>
      <c r="R1487" s="741">
        <f>+Y1487</f>
        <v>1.9</v>
      </c>
      <c r="S1487" s="408"/>
      <c r="T1487" s="370">
        <f t="shared" ref="T1487:T1496" si="162">+P1487/H1487</f>
        <v>2.6388888888888888</v>
      </c>
      <c r="U1487" s="328">
        <v>-9999</v>
      </c>
      <c r="V1487" s="431">
        <v>0.95</v>
      </c>
      <c r="W1487" s="741">
        <f>0.5*O1487</f>
        <v>1.3888888888888888</v>
      </c>
      <c r="X1487" s="328">
        <v>-9999</v>
      </c>
      <c r="Y1487" s="408">
        <v>1.9</v>
      </c>
      <c r="Z1487" s="327" t="s">
        <v>1709</v>
      </c>
      <c r="AA1487" s="628">
        <f t="shared" ref="AA1487:AA1496" si="163">1077-7</f>
        <v>1070</v>
      </c>
      <c r="AB1487" s="368">
        <v>1</v>
      </c>
      <c r="AC1487" s="327">
        <v>0.2</v>
      </c>
      <c r="AD1487" s="327">
        <v>2.5999999999999999E-2</v>
      </c>
      <c r="AE1487" s="327" t="s">
        <v>963</v>
      </c>
      <c r="AF1487" s="327">
        <v>3</v>
      </c>
      <c r="AG1487" s="327" t="s">
        <v>878</v>
      </c>
      <c r="AH1487" s="327" t="s">
        <v>857</v>
      </c>
      <c r="AI1487" s="327" t="s">
        <v>858</v>
      </c>
      <c r="AJ1487" s="327" t="s">
        <v>859</v>
      </c>
      <c r="AK1487" s="327" t="s">
        <v>860</v>
      </c>
      <c r="AL1487" s="327" t="s">
        <v>828</v>
      </c>
      <c r="AM1487" s="327" t="s">
        <v>861</v>
      </c>
      <c r="AN1487" s="327" t="s">
        <v>626</v>
      </c>
      <c r="AO1487" s="327" t="s">
        <v>973</v>
      </c>
      <c r="AP1487" s="327" t="s">
        <v>870</v>
      </c>
      <c r="AQ1487" s="327" t="s">
        <v>631</v>
      </c>
      <c r="AR1487" s="327">
        <v>0</v>
      </c>
      <c r="AS1487" s="327">
        <v>-9999</v>
      </c>
      <c r="AT1487" s="327"/>
      <c r="AU1487" s="327">
        <v>0</v>
      </c>
      <c r="AV1487" s="327">
        <v>-9999</v>
      </c>
      <c r="AW1487" s="327">
        <v>-9999</v>
      </c>
      <c r="AX1487" s="327">
        <v>0</v>
      </c>
      <c r="AY1487" s="327">
        <v>-9999</v>
      </c>
      <c r="AZ1487" s="327">
        <v>-9999</v>
      </c>
      <c r="BA1487" s="327" t="s">
        <v>869</v>
      </c>
      <c r="BB1487" s="327" t="s">
        <v>626</v>
      </c>
      <c r="BC1487" s="327" t="s">
        <v>864</v>
      </c>
      <c r="BD1487" s="327"/>
      <c r="BE1487" s="327" t="s">
        <v>865</v>
      </c>
      <c r="BF1487" s="327">
        <v>-9999</v>
      </c>
      <c r="BG1487" s="327">
        <v>-9999</v>
      </c>
      <c r="BH1487" s="327">
        <v>-9999</v>
      </c>
      <c r="BI1487" s="327" t="s">
        <v>866</v>
      </c>
      <c r="BJ1487" s="327">
        <v>0.6</v>
      </c>
      <c r="BK1487" s="327">
        <v>-9999</v>
      </c>
      <c r="BL1487" s="327">
        <v>2.1</v>
      </c>
      <c r="BM1487" s="327">
        <v>-9999</v>
      </c>
      <c r="BN1487" s="363">
        <v>1.7</v>
      </c>
      <c r="BO1487" s="327">
        <v>-9999</v>
      </c>
      <c r="BP1487" s="327">
        <v>-9999</v>
      </c>
      <c r="BQ1487" s="327">
        <v>-9999</v>
      </c>
      <c r="BR1487" s="327">
        <v>-9999</v>
      </c>
      <c r="BS1487" s="328">
        <v>-9999</v>
      </c>
      <c r="BT1487" s="327">
        <v>-9999</v>
      </c>
      <c r="BU1487" s="327">
        <v>-9999</v>
      </c>
      <c r="BV1487" s="327">
        <v>-9999</v>
      </c>
      <c r="BW1487" s="327"/>
      <c r="BX1487" s="327">
        <v>-9999</v>
      </c>
      <c r="BY1487" s="327">
        <v>-9999</v>
      </c>
      <c r="BZ1487" s="327">
        <v>-9999</v>
      </c>
      <c r="CA1487" s="369" t="s">
        <v>974</v>
      </c>
      <c r="CB1487" s="475"/>
      <c r="CC1487" s="327">
        <v>1</v>
      </c>
      <c r="CD1487" s="327">
        <v>2</v>
      </c>
      <c r="CE1487" s="342">
        <v>2.6388888888888888</v>
      </c>
      <c r="CF1487" s="342">
        <v>1.3888888888888888</v>
      </c>
      <c r="CG1487" s="347">
        <v>2</v>
      </c>
    </row>
    <row r="1488" spans="1:86" s="301" customFormat="1" ht="12.75" customHeight="1" x14ac:dyDescent="0.2">
      <c r="A1488" s="327" t="s">
        <v>972</v>
      </c>
      <c r="B1488" s="327" t="s">
        <v>1250</v>
      </c>
      <c r="C1488" s="327" t="s">
        <v>633</v>
      </c>
      <c r="D1488" s="327" t="s">
        <v>553</v>
      </c>
      <c r="E1488" s="327" t="s">
        <v>901</v>
      </c>
      <c r="F1488" s="327">
        <v>1</v>
      </c>
      <c r="G1488" s="327">
        <v>3</v>
      </c>
      <c r="H1488" s="328">
        <v>3</v>
      </c>
      <c r="I1488" s="327" t="s">
        <v>856</v>
      </c>
      <c r="J1488" s="327">
        <v>1995</v>
      </c>
      <c r="K1488" s="327" t="s">
        <v>856</v>
      </c>
      <c r="L1488" s="327">
        <v>1998</v>
      </c>
      <c r="M1488" s="368">
        <v>-9999</v>
      </c>
      <c r="N1488" s="327">
        <v>-9999</v>
      </c>
      <c r="O1488" s="656">
        <f>1/0.36</f>
        <v>2.7777777777777777</v>
      </c>
      <c r="P1488" s="370">
        <f t="shared" si="161"/>
        <v>13.138888888888889</v>
      </c>
      <c r="Q1488" s="328">
        <v>-9999</v>
      </c>
      <c r="R1488" s="287">
        <f t="shared" ref="R1488:R1496" si="164">+Y1488+R1487</f>
        <v>4.7300000000000004</v>
      </c>
      <c r="S1488" s="413"/>
      <c r="T1488" s="370">
        <f t="shared" si="162"/>
        <v>4.3796296296296298</v>
      </c>
      <c r="U1488" s="328">
        <v>-9999</v>
      </c>
      <c r="V1488" s="431">
        <v>1.5766666666666669</v>
      </c>
      <c r="W1488" s="287">
        <f>2.83*O1488</f>
        <v>7.8611111111111107</v>
      </c>
      <c r="X1488" s="328">
        <v>-9999</v>
      </c>
      <c r="Y1488" s="327">
        <v>2.83</v>
      </c>
      <c r="Z1488" s="327" t="s">
        <v>1709</v>
      </c>
      <c r="AA1488" s="628">
        <f t="shared" si="163"/>
        <v>1070</v>
      </c>
      <c r="AB1488" s="368">
        <v>0.96448598130841123</v>
      </c>
      <c r="AC1488" s="327">
        <v>0.2</v>
      </c>
      <c r="AD1488" s="327">
        <v>2.5999999999999999E-2</v>
      </c>
      <c r="AE1488" s="327" t="s">
        <v>963</v>
      </c>
      <c r="AF1488" s="327">
        <v>3</v>
      </c>
      <c r="AG1488" s="327" t="s">
        <v>878</v>
      </c>
      <c r="AH1488" s="327" t="s">
        <v>857</v>
      </c>
      <c r="AI1488" s="327" t="s">
        <v>858</v>
      </c>
      <c r="AJ1488" s="327" t="s">
        <v>859</v>
      </c>
      <c r="AK1488" s="327" t="s">
        <v>860</v>
      </c>
      <c r="AL1488" s="327" t="s">
        <v>828</v>
      </c>
      <c r="AM1488" s="327" t="s">
        <v>861</v>
      </c>
      <c r="AN1488" s="327" t="s">
        <v>631</v>
      </c>
      <c r="AO1488" s="327" t="s">
        <v>869</v>
      </c>
      <c r="AP1488" s="327" t="s">
        <v>870</v>
      </c>
      <c r="AQ1488" s="327" t="s">
        <v>631</v>
      </c>
      <c r="AR1488" s="327">
        <v>0</v>
      </c>
      <c r="AS1488" s="327">
        <v>-9999</v>
      </c>
      <c r="AT1488" s="327"/>
      <c r="AU1488" s="327">
        <v>0</v>
      </c>
      <c r="AV1488" s="327">
        <v>-9999</v>
      </c>
      <c r="AW1488" s="327">
        <v>-9999</v>
      </c>
      <c r="AX1488" s="327">
        <v>0</v>
      </c>
      <c r="AY1488" s="327">
        <v>-9999</v>
      </c>
      <c r="AZ1488" s="327">
        <v>-9999</v>
      </c>
      <c r="BA1488" s="327" t="s">
        <v>869</v>
      </c>
      <c r="BB1488" s="327" t="s">
        <v>626</v>
      </c>
      <c r="BC1488" s="327" t="s">
        <v>864</v>
      </c>
      <c r="BD1488" s="327"/>
      <c r="BE1488" s="327" t="s">
        <v>865</v>
      </c>
      <c r="BF1488" s="327">
        <v>-9999</v>
      </c>
      <c r="BG1488" s="327">
        <v>-9999</v>
      </c>
      <c r="BH1488" s="327">
        <v>-9999</v>
      </c>
      <c r="BI1488" s="327" t="s">
        <v>866</v>
      </c>
      <c r="BJ1488" s="327">
        <v>3.2</v>
      </c>
      <c r="BK1488" s="327">
        <v>-9999</v>
      </c>
      <c r="BL1488" s="327">
        <v>4.2</v>
      </c>
      <c r="BM1488" s="327">
        <v>-9999</v>
      </c>
      <c r="BN1488" s="363">
        <v>6.2</v>
      </c>
      <c r="BO1488" s="327">
        <v>-9999</v>
      </c>
      <c r="BP1488" s="327">
        <v>-9999</v>
      </c>
      <c r="BQ1488" s="327">
        <v>-9999</v>
      </c>
      <c r="BR1488" s="327">
        <v>-9999</v>
      </c>
      <c r="BS1488" s="328">
        <v>-9999</v>
      </c>
      <c r="BT1488" s="327">
        <v>-9999</v>
      </c>
      <c r="BU1488" s="327">
        <v>-9999</v>
      </c>
      <c r="BV1488" s="327">
        <v>-9999</v>
      </c>
      <c r="BW1488" s="327"/>
      <c r="BX1488" s="327">
        <v>-9999</v>
      </c>
      <c r="BY1488" s="327">
        <v>-9999</v>
      </c>
      <c r="BZ1488" s="327">
        <v>-9999</v>
      </c>
      <c r="CA1488" s="369" t="s">
        <v>974</v>
      </c>
      <c r="CB1488" s="475"/>
      <c r="CC1488" s="327">
        <v>1</v>
      </c>
      <c r="CD1488" s="327">
        <v>3</v>
      </c>
      <c r="CE1488" s="342">
        <v>4.3796296296296298</v>
      </c>
      <c r="CF1488" s="342">
        <v>7.8611111111111107</v>
      </c>
      <c r="CG1488" s="347">
        <v>3</v>
      </c>
    </row>
    <row r="1489" spans="1:89" s="301" customFormat="1" ht="12.75" customHeight="1" x14ac:dyDescent="0.2">
      <c r="A1489" s="327" t="s">
        <v>972</v>
      </c>
      <c r="B1489" s="327" t="s">
        <v>1250</v>
      </c>
      <c r="C1489" s="327" t="s">
        <v>633</v>
      </c>
      <c r="D1489" s="327" t="s">
        <v>553</v>
      </c>
      <c r="E1489" s="327" t="s">
        <v>901</v>
      </c>
      <c r="F1489" s="327">
        <v>1</v>
      </c>
      <c r="G1489" s="327">
        <v>4</v>
      </c>
      <c r="H1489" s="328">
        <v>4</v>
      </c>
      <c r="I1489" s="327" t="s">
        <v>856</v>
      </c>
      <c r="J1489" s="327">
        <v>1995</v>
      </c>
      <c r="K1489" s="327" t="s">
        <v>856</v>
      </c>
      <c r="L1489" s="327">
        <v>1999</v>
      </c>
      <c r="M1489" s="368">
        <v>-9999</v>
      </c>
      <c r="N1489" s="327">
        <v>-9999</v>
      </c>
      <c r="O1489" s="656">
        <f>1/0.49</f>
        <v>2.0408163265306123</v>
      </c>
      <c r="P1489" s="370">
        <f t="shared" si="161"/>
        <v>22.408163265306126</v>
      </c>
      <c r="Q1489" s="328">
        <v>-9999</v>
      </c>
      <c r="R1489" s="287">
        <f t="shared" si="164"/>
        <v>10.98</v>
      </c>
      <c r="S1489" s="413"/>
      <c r="T1489" s="370">
        <f t="shared" si="162"/>
        <v>5.6020408163265314</v>
      </c>
      <c r="U1489" s="328">
        <v>-9999</v>
      </c>
      <c r="V1489" s="431">
        <v>2.7450000000000001</v>
      </c>
      <c r="W1489" s="287">
        <f>6.258*O1489</f>
        <v>12.771428571428572</v>
      </c>
      <c r="X1489" s="328">
        <v>-9999</v>
      </c>
      <c r="Y1489" s="327">
        <v>6.25</v>
      </c>
      <c r="Z1489" s="327" t="s">
        <v>1709</v>
      </c>
      <c r="AA1489" s="628">
        <f t="shared" si="163"/>
        <v>1070</v>
      </c>
      <c r="AB1489" s="368">
        <v>0.92897196261682247</v>
      </c>
      <c r="AC1489" s="327">
        <v>0.2</v>
      </c>
      <c r="AD1489" s="327">
        <v>2.5999999999999999E-2</v>
      </c>
      <c r="AE1489" s="327" t="s">
        <v>963</v>
      </c>
      <c r="AF1489" s="327">
        <v>3</v>
      </c>
      <c r="AG1489" s="327" t="s">
        <v>878</v>
      </c>
      <c r="AH1489" s="327" t="s">
        <v>857</v>
      </c>
      <c r="AI1489" s="327" t="s">
        <v>858</v>
      </c>
      <c r="AJ1489" s="327" t="s">
        <v>859</v>
      </c>
      <c r="AK1489" s="327" t="s">
        <v>860</v>
      </c>
      <c r="AL1489" s="327" t="s">
        <v>828</v>
      </c>
      <c r="AM1489" s="327" t="s">
        <v>861</v>
      </c>
      <c r="AN1489" s="327" t="s">
        <v>631</v>
      </c>
      <c r="AO1489" s="327" t="s">
        <v>869</v>
      </c>
      <c r="AP1489" s="327" t="s">
        <v>870</v>
      </c>
      <c r="AQ1489" s="327" t="s">
        <v>631</v>
      </c>
      <c r="AR1489" s="327">
        <v>0</v>
      </c>
      <c r="AS1489" s="327">
        <v>-9999</v>
      </c>
      <c r="AT1489" s="327"/>
      <c r="AU1489" s="327">
        <v>0</v>
      </c>
      <c r="AV1489" s="327">
        <v>-9999</v>
      </c>
      <c r="AW1489" s="327">
        <v>-9999</v>
      </c>
      <c r="AX1489" s="327">
        <v>0</v>
      </c>
      <c r="AY1489" s="327">
        <v>-9999</v>
      </c>
      <c r="AZ1489" s="327">
        <v>-9999</v>
      </c>
      <c r="BA1489" s="327" t="s">
        <v>869</v>
      </c>
      <c r="BB1489" s="327" t="s">
        <v>626</v>
      </c>
      <c r="BC1489" s="327" t="s">
        <v>864</v>
      </c>
      <c r="BD1489" s="327"/>
      <c r="BE1489" s="327" t="s">
        <v>865</v>
      </c>
      <c r="BF1489" s="327">
        <v>-9999</v>
      </c>
      <c r="BG1489" s="327">
        <v>-9999</v>
      </c>
      <c r="BH1489" s="327">
        <v>-9999</v>
      </c>
      <c r="BI1489" s="327" t="s">
        <v>866</v>
      </c>
      <c r="BJ1489" s="327">
        <v>8.6999999999999993</v>
      </c>
      <c r="BK1489" s="327">
        <v>-9999</v>
      </c>
      <c r="BL1489" s="327">
        <v>5.4</v>
      </c>
      <c r="BM1489" s="327">
        <v>-9999</v>
      </c>
      <c r="BN1489" s="363">
        <v>9.9</v>
      </c>
      <c r="BO1489" s="327">
        <v>-9999</v>
      </c>
      <c r="BP1489" s="327">
        <v>-9999</v>
      </c>
      <c r="BQ1489" s="327">
        <v>-9999</v>
      </c>
      <c r="BR1489" s="327">
        <v>-9999</v>
      </c>
      <c r="BS1489" s="328">
        <v>-9999</v>
      </c>
      <c r="BT1489" s="327">
        <v>-9999</v>
      </c>
      <c r="BU1489" s="327">
        <v>-9999</v>
      </c>
      <c r="BV1489" s="327">
        <v>-9999</v>
      </c>
      <c r="BW1489" s="327"/>
      <c r="BX1489" s="327">
        <v>-9999</v>
      </c>
      <c r="BY1489" s="327">
        <v>-9999</v>
      </c>
      <c r="BZ1489" s="327">
        <v>-9999</v>
      </c>
      <c r="CA1489" s="369" t="s">
        <v>974</v>
      </c>
      <c r="CB1489" s="475"/>
      <c r="CC1489" s="327">
        <v>1</v>
      </c>
      <c r="CD1489" s="327">
        <v>4</v>
      </c>
      <c r="CE1489" s="342">
        <v>5.6020408163265314</v>
      </c>
      <c r="CF1489" s="342">
        <v>12.771428571428572</v>
      </c>
      <c r="CG1489" s="347">
        <v>4</v>
      </c>
    </row>
    <row r="1490" spans="1:89" s="301" customFormat="1" ht="12.75" customHeight="1" x14ac:dyDescent="0.2">
      <c r="A1490" s="327" t="s">
        <v>972</v>
      </c>
      <c r="B1490" s="327" t="s">
        <v>1250</v>
      </c>
      <c r="C1490" s="327" t="s">
        <v>633</v>
      </c>
      <c r="D1490" s="327" t="s">
        <v>553</v>
      </c>
      <c r="E1490" s="327" t="s">
        <v>901</v>
      </c>
      <c r="F1490" s="327">
        <v>1</v>
      </c>
      <c r="G1490" s="327">
        <v>5</v>
      </c>
      <c r="H1490" s="328">
        <v>5</v>
      </c>
      <c r="I1490" s="327" t="s">
        <v>856</v>
      </c>
      <c r="J1490" s="327">
        <v>1995</v>
      </c>
      <c r="K1490" s="327" t="s">
        <v>856</v>
      </c>
      <c r="L1490" s="327">
        <v>2000</v>
      </c>
      <c r="M1490" s="368">
        <v>-9999</v>
      </c>
      <c r="N1490" s="327">
        <v>-9999</v>
      </c>
      <c r="O1490" s="656">
        <f>1/0.64</f>
        <v>1.5625</v>
      </c>
      <c r="P1490" s="370">
        <f t="shared" si="161"/>
        <v>29.671875000000004</v>
      </c>
      <c r="Q1490" s="328">
        <v>-9999</v>
      </c>
      <c r="R1490" s="287">
        <f t="shared" si="164"/>
        <v>18.990000000000002</v>
      </c>
      <c r="S1490" s="413"/>
      <c r="T1490" s="370">
        <f t="shared" si="162"/>
        <v>5.9343750000000011</v>
      </c>
      <c r="U1490" s="328">
        <v>-9999</v>
      </c>
      <c r="V1490" s="431">
        <v>3.7980000000000005</v>
      </c>
      <c r="W1490" s="287">
        <f>8.01*O1490</f>
        <v>12.515625</v>
      </c>
      <c r="X1490" s="328">
        <v>-9999</v>
      </c>
      <c r="Y1490" s="327">
        <v>8.01</v>
      </c>
      <c r="Z1490" s="327" t="s">
        <v>1709</v>
      </c>
      <c r="AA1490" s="628">
        <f t="shared" si="163"/>
        <v>1070</v>
      </c>
      <c r="AB1490" s="368">
        <v>0.92897196261682247</v>
      </c>
      <c r="AC1490" s="327">
        <v>0.2</v>
      </c>
      <c r="AD1490" s="327">
        <v>2.5999999999999999E-2</v>
      </c>
      <c r="AE1490" s="327" t="s">
        <v>963</v>
      </c>
      <c r="AF1490" s="327">
        <v>3</v>
      </c>
      <c r="AG1490" s="327" t="s">
        <v>878</v>
      </c>
      <c r="AH1490" s="327" t="s">
        <v>857</v>
      </c>
      <c r="AI1490" s="327" t="s">
        <v>858</v>
      </c>
      <c r="AJ1490" s="327" t="s">
        <v>859</v>
      </c>
      <c r="AK1490" s="327" t="s">
        <v>860</v>
      </c>
      <c r="AL1490" s="327" t="s">
        <v>828</v>
      </c>
      <c r="AM1490" s="327" t="s">
        <v>861</v>
      </c>
      <c r="AN1490" s="327" t="s">
        <v>631</v>
      </c>
      <c r="AO1490" s="327" t="s">
        <v>869</v>
      </c>
      <c r="AP1490" s="327" t="s">
        <v>870</v>
      </c>
      <c r="AQ1490" s="327" t="s">
        <v>631</v>
      </c>
      <c r="AR1490" s="327">
        <v>0</v>
      </c>
      <c r="AS1490" s="327">
        <v>-9999</v>
      </c>
      <c r="AT1490" s="327"/>
      <c r="AU1490" s="327">
        <v>0</v>
      </c>
      <c r="AV1490" s="327">
        <v>-9999</v>
      </c>
      <c r="AW1490" s="327">
        <v>-9999</v>
      </c>
      <c r="AX1490" s="327">
        <v>0</v>
      </c>
      <c r="AY1490" s="327">
        <v>-9999</v>
      </c>
      <c r="AZ1490" s="327">
        <v>-9999</v>
      </c>
      <c r="BA1490" s="327" t="s">
        <v>869</v>
      </c>
      <c r="BB1490" s="327" t="s">
        <v>626</v>
      </c>
      <c r="BC1490" s="327" t="s">
        <v>864</v>
      </c>
      <c r="BD1490" s="327"/>
      <c r="BE1490" s="327" t="s">
        <v>865</v>
      </c>
      <c r="BF1490" s="327">
        <v>-9999</v>
      </c>
      <c r="BG1490" s="327">
        <v>-9999</v>
      </c>
      <c r="BH1490" s="327">
        <v>-9999</v>
      </c>
      <c r="BI1490" s="327" t="s">
        <v>866</v>
      </c>
      <c r="BJ1490" s="327">
        <v>10.9</v>
      </c>
      <c r="BK1490" s="327">
        <v>-9999</v>
      </c>
      <c r="BL1490" s="327">
        <v>6.7</v>
      </c>
      <c r="BM1490" s="327">
        <v>-9999</v>
      </c>
      <c r="BN1490" s="363">
        <v>11.2</v>
      </c>
      <c r="BO1490" s="327">
        <v>-9999</v>
      </c>
      <c r="BP1490" s="327">
        <v>-9999</v>
      </c>
      <c r="BQ1490" s="327">
        <v>-9999</v>
      </c>
      <c r="BR1490" s="327">
        <v>-9999</v>
      </c>
      <c r="BS1490" s="328">
        <v>-9999</v>
      </c>
      <c r="BT1490" s="327">
        <v>-9999</v>
      </c>
      <c r="BU1490" s="327">
        <v>-9999</v>
      </c>
      <c r="BV1490" s="327">
        <v>-9999</v>
      </c>
      <c r="BW1490" s="327"/>
      <c r="BX1490" s="327">
        <v>-9999</v>
      </c>
      <c r="BY1490" s="327">
        <v>-9999</v>
      </c>
      <c r="BZ1490" s="327">
        <v>-9999</v>
      </c>
      <c r="CA1490" s="369" t="s">
        <v>974</v>
      </c>
      <c r="CB1490" s="475"/>
      <c r="CC1490" s="327">
        <v>1</v>
      </c>
      <c r="CD1490" s="327">
        <v>5</v>
      </c>
      <c r="CE1490" s="342">
        <v>5.9343750000000011</v>
      </c>
      <c r="CF1490" s="342">
        <v>12.515625</v>
      </c>
      <c r="CG1490" s="347">
        <v>5</v>
      </c>
    </row>
    <row r="1491" spans="1:89" s="301" customFormat="1" ht="12.75" customHeight="1" x14ac:dyDescent="0.2">
      <c r="A1491" s="327" t="s">
        <v>972</v>
      </c>
      <c r="B1491" s="327" t="s">
        <v>1250</v>
      </c>
      <c r="C1491" s="327" t="s">
        <v>633</v>
      </c>
      <c r="D1491" s="327" t="s">
        <v>553</v>
      </c>
      <c r="E1491" s="327" t="s">
        <v>901</v>
      </c>
      <c r="F1491" s="327">
        <v>1</v>
      </c>
      <c r="G1491" s="327">
        <v>6</v>
      </c>
      <c r="H1491" s="328">
        <v>6</v>
      </c>
      <c r="I1491" s="327" t="s">
        <v>856</v>
      </c>
      <c r="J1491" s="327">
        <v>1995</v>
      </c>
      <c r="K1491" s="327" t="s">
        <v>856</v>
      </c>
      <c r="L1491" s="327">
        <v>2001</v>
      </c>
      <c r="M1491" s="368">
        <v>-9999</v>
      </c>
      <c r="N1491" s="327">
        <v>-9999</v>
      </c>
      <c r="O1491" s="656">
        <f>1/0.65</f>
        <v>1.5384615384615383</v>
      </c>
      <c r="P1491" s="370">
        <f t="shared" si="161"/>
        <v>35.599999999999994</v>
      </c>
      <c r="Q1491" s="328">
        <v>-9999</v>
      </c>
      <c r="R1491" s="287">
        <f t="shared" si="164"/>
        <v>23.14</v>
      </c>
      <c r="S1491" s="413"/>
      <c r="T1491" s="370">
        <f t="shared" si="162"/>
        <v>5.9333333333333327</v>
      </c>
      <c r="U1491" s="328">
        <v>-9999</v>
      </c>
      <c r="V1491" s="431">
        <v>3.8566666666666669</v>
      </c>
      <c r="W1491" s="287">
        <f>4.15*O1491</f>
        <v>6.384615384615385</v>
      </c>
      <c r="X1491" s="328">
        <v>-9999</v>
      </c>
      <c r="Y1491" s="327">
        <v>4.1500000000000004</v>
      </c>
      <c r="Z1491" s="327" t="s">
        <v>1709</v>
      </c>
      <c r="AA1491" s="628">
        <f t="shared" si="163"/>
        <v>1070</v>
      </c>
      <c r="AB1491" s="368">
        <v>0.8934579439252337</v>
      </c>
      <c r="AC1491" s="327">
        <v>0.2</v>
      </c>
      <c r="AD1491" s="327">
        <v>2.5999999999999999E-2</v>
      </c>
      <c r="AE1491" s="327" t="s">
        <v>963</v>
      </c>
      <c r="AF1491" s="327">
        <v>3</v>
      </c>
      <c r="AG1491" s="327" t="s">
        <v>878</v>
      </c>
      <c r="AH1491" s="327" t="s">
        <v>857</v>
      </c>
      <c r="AI1491" s="327" t="s">
        <v>858</v>
      </c>
      <c r="AJ1491" s="327" t="s">
        <v>859</v>
      </c>
      <c r="AK1491" s="327" t="s">
        <v>860</v>
      </c>
      <c r="AL1491" s="327" t="s">
        <v>828</v>
      </c>
      <c r="AM1491" s="327" t="s">
        <v>861</v>
      </c>
      <c r="AN1491" s="327" t="s">
        <v>631</v>
      </c>
      <c r="AO1491" s="327" t="s">
        <v>869</v>
      </c>
      <c r="AP1491" s="327" t="s">
        <v>870</v>
      </c>
      <c r="AQ1491" s="327" t="s">
        <v>631</v>
      </c>
      <c r="AR1491" s="327">
        <v>0</v>
      </c>
      <c r="AS1491" s="327">
        <v>-9999</v>
      </c>
      <c r="AT1491" s="327"/>
      <c r="AU1491" s="327">
        <v>0</v>
      </c>
      <c r="AV1491" s="327">
        <v>-9999</v>
      </c>
      <c r="AW1491" s="327">
        <v>-9999</v>
      </c>
      <c r="AX1491" s="327">
        <v>0</v>
      </c>
      <c r="AY1491" s="327">
        <v>-9999</v>
      </c>
      <c r="AZ1491" s="327">
        <v>-9999</v>
      </c>
      <c r="BA1491" s="327" t="s">
        <v>869</v>
      </c>
      <c r="BB1491" s="327" t="s">
        <v>626</v>
      </c>
      <c r="BC1491" s="327" t="s">
        <v>864</v>
      </c>
      <c r="BD1491" s="327"/>
      <c r="BE1491" s="327" t="s">
        <v>865</v>
      </c>
      <c r="BF1491" s="327">
        <v>-9999</v>
      </c>
      <c r="BG1491" s="327">
        <v>-9999</v>
      </c>
      <c r="BH1491" s="327">
        <v>-9999</v>
      </c>
      <c r="BI1491" s="327" t="s">
        <v>866</v>
      </c>
      <c r="BJ1491" s="327">
        <v>14.1</v>
      </c>
      <c r="BK1491" s="327">
        <v>-9999</v>
      </c>
      <c r="BL1491" s="327">
        <v>7.9</v>
      </c>
      <c r="BM1491" s="327">
        <v>-9999</v>
      </c>
      <c r="BN1491" s="363">
        <v>13.3</v>
      </c>
      <c r="BO1491" s="327">
        <v>-9999</v>
      </c>
      <c r="BP1491" s="327">
        <v>-9999</v>
      </c>
      <c r="BQ1491" s="327">
        <v>-9999</v>
      </c>
      <c r="BR1491" s="327">
        <v>-9999</v>
      </c>
      <c r="BS1491" s="328">
        <v>-9999</v>
      </c>
      <c r="BT1491" s="327">
        <v>-9999</v>
      </c>
      <c r="BU1491" s="327">
        <v>-9999</v>
      </c>
      <c r="BV1491" s="327">
        <v>-9999</v>
      </c>
      <c r="BW1491" s="327"/>
      <c r="BX1491" s="327">
        <v>-9999</v>
      </c>
      <c r="BY1491" s="327">
        <v>-9999</v>
      </c>
      <c r="BZ1491" s="327">
        <v>-9999</v>
      </c>
      <c r="CA1491" s="369" t="s">
        <v>974</v>
      </c>
      <c r="CB1491" s="475"/>
      <c r="CC1491" s="327">
        <v>1</v>
      </c>
      <c r="CD1491" s="327">
        <v>6</v>
      </c>
      <c r="CE1491" s="342">
        <v>5.9333333333333327</v>
      </c>
      <c r="CF1491" s="342">
        <v>6.384615384615385</v>
      </c>
      <c r="CG1491" s="347">
        <v>6</v>
      </c>
    </row>
    <row r="1492" spans="1:89" s="301" customFormat="1" ht="12.75" customHeight="1" x14ac:dyDescent="0.2">
      <c r="A1492" s="327" t="s">
        <v>972</v>
      </c>
      <c r="B1492" s="327" t="s">
        <v>1250</v>
      </c>
      <c r="C1492" s="327" t="s">
        <v>633</v>
      </c>
      <c r="D1492" s="327" t="s">
        <v>553</v>
      </c>
      <c r="E1492" s="327" t="s">
        <v>901</v>
      </c>
      <c r="F1492" s="327">
        <v>1</v>
      </c>
      <c r="G1492" s="327">
        <v>7</v>
      </c>
      <c r="H1492" s="327">
        <v>7</v>
      </c>
      <c r="I1492" s="327" t="s">
        <v>856</v>
      </c>
      <c r="J1492" s="327">
        <v>1995</v>
      </c>
      <c r="K1492" s="327" t="s">
        <v>856</v>
      </c>
      <c r="L1492" s="327">
        <v>2002</v>
      </c>
      <c r="M1492" s="368">
        <v>-9999</v>
      </c>
      <c r="N1492" s="327">
        <v>-9999</v>
      </c>
      <c r="O1492" s="655">
        <f>1/0.69</f>
        <v>1.4492753623188408</v>
      </c>
      <c r="P1492" s="370">
        <f t="shared" si="161"/>
        <v>54.98550724637682</v>
      </c>
      <c r="Q1492" s="328">
        <v>-9999</v>
      </c>
      <c r="R1492" s="287">
        <f t="shared" si="164"/>
        <v>37.94</v>
      </c>
      <c r="S1492" s="413"/>
      <c r="T1492" s="370">
        <f t="shared" si="162"/>
        <v>7.8550724637681171</v>
      </c>
      <c r="U1492" s="328">
        <v>-9999</v>
      </c>
      <c r="V1492" s="431">
        <v>5.42</v>
      </c>
      <c r="W1492" s="287">
        <f>14.8*O1492</f>
        <v>21.449275362318843</v>
      </c>
      <c r="X1492" s="328">
        <v>-9999</v>
      </c>
      <c r="Y1492" s="327">
        <v>14.8</v>
      </c>
      <c r="Z1492" s="327" t="s">
        <v>1709</v>
      </c>
      <c r="AA1492" s="628">
        <f t="shared" si="163"/>
        <v>1070</v>
      </c>
      <c r="AB1492" s="368">
        <v>0.88037383177570094</v>
      </c>
      <c r="AC1492" s="327">
        <v>0.2</v>
      </c>
      <c r="AD1492" s="327">
        <v>2.5999999999999999E-2</v>
      </c>
      <c r="AE1492" s="327" t="s">
        <v>963</v>
      </c>
      <c r="AF1492" s="327">
        <v>3</v>
      </c>
      <c r="AG1492" s="327" t="s">
        <v>878</v>
      </c>
      <c r="AH1492" s="327" t="s">
        <v>857</v>
      </c>
      <c r="AI1492" s="327" t="s">
        <v>858</v>
      </c>
      <c r="AJ1492" s="327" t="s">
        <v>859</v>
      </c>
      <c r="AK1492" s="327" t="s">
        <v>860</v>
      </c>
      <c r="AL1492" s="327" t="s">
        <v>828</v>
      </c>
      <c r="AM1492" s="327" t="s">
        <v>861</v>
      </c>
      <c r="AN1492" s="327" t="s">
        <v>631</v>
      </c>
      <c r="AO1492" s="327" t="s">
        <v>869</v>
      </c>
      <c r="AP1492" s="327" t="s">
        <v>870</v>
      </c>
      <c r="AQ1492" s="327" t="s">
        <v>631</v>
      </c>
      <c r="AR1492" s="327">
        <v>0</v>
      </c>
      <c r="AS1492" s="327">
        <v>-9999</v>
      </c>
      <c r="AT1492" s="327"/>
      <c r="AU1492" s="327">
        <v>0</v>
      </c>
      <c r="AV1492" s="327">
        <v>-9999</v>
      </c>
      <c r="AW1492" s="327">
        <v>-9999</v>
      </c>
      <c r="AX1492" s="327">
        <v>0</v>
      </c>
      <c r="AY1492" s="327">
        <v>-9999</v>
      </c>
      <c r="AZ1492" s="327">
        <v>-9999</v>
      </c>
      <c r="BA1492" s="327" t="s">
        <v>869</v>
      </c>
      <c r="BB1492" s="327" t="s">
        <v>626</v>
      </c>
      <c r="BC1492" s="327" t="s">
        <v>864</v>
      </c>
      <c r="BD1492" s="327"/>
      <c r="BE1492" s="327" t="s">
        <v>865</v>
      </c>
      <c r="BF1492" s="327">
        <v>-9999</v>
      </c>
      <c r="BG1492" s="327">
        <v>-9999</v>
      </c>
      <c r="BH1492" s="327">
        <v>-9999</v>
      </c>
      <c r="BI1492" s="327" t="s">
        <v>866</v>
      </c>
      <c r="BJ1492" s="327">
        <v>18.2</v>
      </c>
      <c r="BK1492" s="327">
        <v>-9999</v>
      </c>
      <c r="BL1492" s="633">
        <v>9.8000000000000007</v>
      </c>
      <c r="BM1492" s="327">
        <v>-9999</v>
      </c>
      <c r="BN1492" s="363">
        <v>15.5</v>
      </c>
      <c r="BO1492" s="327">
        <v>-9999</v>
      </c>
      <c r="BP1492" s="327">
        <v>-9999</v>
      </c>
      <c r="BQ1492" s="327">
        <v>-9999</v>
      </c>
      <c r="BR1492" s="327">
        <v>-9999</v>
      </c>
      <c r="BS1492" s="328">
        <v>-9999</v>
      </c>
      <c r="BT1492" s="327">
        <v>-9999</v>
      </c>
      <c r="BU1492" s="327">
        <v>-9999</v>
      </c>
      <c r="BV1492" s="327">
        <v>-9999</v>
      </c>
      <c r="BW1492" s="327"/>
      <c r="BX1492" s="327">
        <v>-9999</v>
      </c>
      <c r="BY1492" s="327">
        <v>-9999</v>
      </c>
      <c r="BZ1492" s="327">
        <v>-9999</v>
      </c>
      <c r="CA1492" s="369" t="s">
        <v>974</v>
      </c>
      <c r="CB1492" s="475"/>
      <c r="CC1492" s="327">
        <v>1</v>
      </c>
      <c r="CD1492" s="327">
        <v>7</v>
      </c>
      <c r="CE1492" s="342">
        <v>7.8550724637681171</v>
      </c>
      <c r="CF1492" s="342">
        <v>21.449275362318843</v>
      </c>
      <c r="CG1492" s="143">
        <v>7</v>
      </c>
    </row>
    <row r="1493" spans="1:89" s="301" customFormat="1" ht="12.75" customHeight="1" x14ac:dyDescent="0.2">
      <c r="A1493" s="327" t="s">
        <v>972</v>
      </c>
      <c r="B1493" s="327" t="s">
        <v>1250</v>
      </c>
      <c r="C1493" s="327" t="s">
        <v>633</v>
      </c>
      <c r="D1493" s="327" t="s">
        <v>553</v>
      </c>
      <c r="E1493" s="327" t="s">
        <v>901</v>
      </c>
      <c r="F1493" s="327">
        <v>1</v>
      </c>
      <c r="G1493" s="327">
        <v>8</v>
      </c>
      <c r="H1493" s="327">
        <v>8</v>
      </c>
      <c r="I1493" s="327" t="s">
        <v>856</v>
      </c>
      <c r="J1493" s="327">
        <v>1995</v>
      </c>
      <c r="K1493" s="327" t="s">
        <v>856</v>
      </c>
      <c r="L1493" s="327">
        <v>2003</v>
      </c>
      <c r="M1493" s="368">
        <v>-9999</v>
      </c>
      <c r="N1493" s="327">
        <v>-9999</v>
      </c>
      <c r="O1493" s="655">
        <f>1/0.71</f>
        <v>1.4084507042253522</v>
      </c>
      <c r="P1493" s="370">
        <f t="shared" si="161"/>
        <v>72.028169014084511</v>
      </c>
      <c r="Q1493" s="328">
        <v>-9999</v>
      </c>
      <c r="R1493" s="287">
        <f t="shared" si="164"/>
        <v>51.14</v>
      </c>
      <c r="S1493" s="413"/>
      <c r="T1493" s="370">
        <f t="shared" si="162"/>
        <v>9.0035211267605639</v>
      </c>
      <c r="U1493" s="328">
        <v>-9999</v>
      </c>
      <c r="V1493" s="431">
        <v>6.3925000000000001</v>
      </c>
      <c r="W1493" s="287">
        <f>13.2*O1493</f>
        <v>18.591549295774648</v>
      </c>
      <c r="X1493" s="328">
        <v>-9999</v>
      </c>
      <c r="Y1493" s="327">
        <v>13.2</v>
      </c>
      <c r="Z1493" s="327" t="s">
        <v>1709</v>
      </c>
      <c r="AA1493" s="628">
        <f t="shared" si="163"/>
        <v>1070</v>
      </c>
      <c r="AB1493" s="368">
        <v>0.88037383177570094</v>
      </c>
      <c r="AC1493" s="327">
        <v>0.2</v>
      </c>
      <c r="AD1493" s="327">
        <v>2.5999999999999999E-2</v>
      </c>
      <c r="AE1493" s="327" t="s">
        <v>963</v>
      </c>
      <c r="AF1493" s="327">
        <v>3</v>
      </c>
      <c r="AG1493" s="327" t="s">
        <v>878</v>
      </c>
      <c r="AH1493" s="327" t="s">
        <v>857</v>
      </c>
      <c r="AI1493" s="327" t="s">
        <v>858</v>
      </c>
      <c r="AJ1493" s="327" t="s">
        <v>859</v>
      </c>
      <c r="AK1493" s="327" t="s">
        <v>860</v>
      </c>
      <c r="AL1493" s="327" t="s">
        <v>828</v>
      </c>
      <c r="AM1493" s="327" t="s">
        <v>861</v>
      </c>
      <c r="AN1493" s="327" t="s">
        <v>631</v>
      </c>
      <c r="AO1493" s="327" t="s">
        <v>869</v>
      </c>
      <c r="AP1493" s="327" t="s">
        <v>870</v>
      </c>
      <c r="AQ1493" s="327" t="s">
        <v>631</v>
      </c>
      <c r="AR1493" s="327">
        <v>0</v>
      </c>
      <c r="AS1493" s="327">
        <v>-9999</v>
      </c>
      <c r="AT1493" s="327"/>
      <c r="AU1493" s="327">
        <v>0</v>
      </c>
      <c r="AV1493" s="327">
        <v>-9999</v>
      </c>
      <c r="AW1493" s="327">
        <v>-9999</v>
      </c>
      <c r="AX1493" s="327">
        <v>0</v>
      </c>
      <c r="AY1493" s="327">
        <v>-9999</v>
      </c>
      <c r="AZ1493" s="327">
        <v>-9999</v>
      </c>
      <c r="BA1493" s="327" t="s">
        <v>869</v>
      </c>
      <c r="BB1493" s="327" t="s">
        <v>626</v>
      </c>
      <c r="BC1493" s="327" t="s">
        <v>864</v>
      </c>
      <c r="BD1493" s="327"/>
      <c r="BE1493" s="327" t="s">
        <v>865</v>
      </c>
      <c r="BF1493" s="327">
        <v>-9999</v>
      </c>
      <c r="BG1493" s="327">
        <v>-9999</v>
      </c>
      <c r="BH1493" s="327">
        <v>-9999</v>
      </c>
      <c r="BI1493" s="327" t="s">
        <v>866</v>
      </c>
      <c r="BJ1493" s="327">
        <v>21.6</v>
      </c>
      <c r="BK1493" s="327">
        <v>-9999</v>
      </c>
      <c r="BL1493" s="327">
        <v>11.3</v>
      </c>
      <c r="BM1493" s="327">
        <v>-9999</v>
      </c>
      <c r="BN1493" s="363">
        <v>16.8</v>
      </c>
      <c r="BO1493" s="327">
        <v>-9999</v>
      </c>
      <c r="BP1493" s="327">
        <v>-9999</v>
      </c>
      <c r="BQ1493" s="327">
        <v>-9999</v>
      </c>
      <c r="BR1493" s="327">
        <v>-9999</v>
      </c>
      <c r="BS1493" s="328">
        <v>-9999</v>
      </c>
      <c r="BT1493" s="327">
        <v>-9999</v>
      </c>
      <c r="BU1493" s="327">
        <v>-9999</v>
      </c>
      <c r="BV1493" s="327">
        <v>-9999</v>
      </c>
      <c r="BW1493" s="327"/>
      <c r="BX1493" s="327">
        <v>-9999</v>
      </c>
      <c r="BY1493" s="327">
        <v>-9999</v>
      </c>
      <c r="BZ1493" s="327">
        <v>-9999</v>
      </c>
      <c r="CA1493" s="369" t="s">
        <v>974</v>
      </c>
      <c r="CB1493" s="475"/>
      <c r="CC1493" s="327">
        <v>1</v>
      </c>
      <c r="CD1493" s="327">
        <v>8</v>
      </c>
      <c r="CE1493" s="342">
        <v>9.0035211267605639</v>
      </c>
      <c r="CF1493" s="342">
        <v>18.591549295774648</v>
      </c>
      <c r="CG1493" s="143">
        <v>8</v>
      </c>
    </row>
    <row r="1494" spans="1:89" s="301" customFormat="1" ht="12.75" customHeight="1" x14ac:dyDescent="0.2">
      <c r="A1494" s="327" t="s">
        <v>972</v>
      </c>
      <c r="B1494" s="327" t="s">
        <v>1250</v>
      </c>
      <c r="C1494" s="327" t="s">
        <v>633</v>
      </c>
      <c r="D1494" s="327" t="s">
        <v>553</v>
      </c>
      <c r="E1494" s="327" t="s">
        <v>901</v>
      </c>
      <c r="F1494" s="327">
        <v>1</v>
      </c>
      <c r="G1494" s="327">
        <v>9</v>
      </c>
      <c r="H1494" s="327">
        <v>9</v>
      </c>
      <c r="I1494" s="327" t="s">
        <v>856</v>
      </c>
      <c r="J1494" s="327">
        <v>1995</v>
      </c>
      <c r="K1494" s="327" t="s">
        <v>856</v>
      </c>
      <c r="L1494" s="327">
        <v>2004</v>
      </c>
      <c r="M1494" s="368">
        <v>-9999</v>
      </c>
      <c r="N1494" s="327">
        <v>-9999</v>
      </c>
      <c r="O1494" s="655">
        <f>1/0.75</f>
        <v>1.3333333333333333</v>
      </c>
      <c r="P1494" s="370">
        <f t="shared" si="161"/>
        <v>88.853333333333325</v>
      </c>
      <c r="Q1494" s="328">
        <v>-9999</v>
      </c>
      <c r="R1494" s="287">
        <f t="shared" si="164"/>
        <v>66.64</v>
      </c>
      <c r="S1494" s="413"/>
      <c r="T1494" s="370">
        <f t="shared" si="162"/>
        <v>9.872592592592591</v>
      </c>
      <c r="U1494" s="328">
        <v>-9999</v>
      </c>
      <c r="V1494" s="431">
        <v>7.4044444444444446</v>
      </c>
      <c r="W1494" s="287">
        <f>15.5*O1494</f>
        <v>20.666666666666664</v>
      </c>
      <c r="X1494" s="328">
        <v>-9999</v>
      </c>
      <c r="Y1494" s="327">
        <v>15.5</v>
      </c>
      <c r="Z1494" s="327" t="s">
        <v>1709</v>
      </c>
      <c r="AA1494" s="628">
        <f t="shared" si="163"/>
        <v>1070</v>
      </c>
      <c r="AB1494" s="368">
        <v>0.8794392523364486</v>
      </c>
      <c r="AC1494" s="327">
        <v>0.2</v>
      </c>
      <c r="AD1494" s="327">
        <v>2.5999999999999999E-2</v>
      </c>
      <c r="AE1494" s="327" t="s">
        <v>963</v>
      </c>
      <c r="AF1494" s="327">
        <v>3</v>
      </c>
      <c r="AG1494" s="327" t="s">
        <v>878</v>
      </c>
      <c r="AH1494" s="327" t="s">
        <v>857</v>
      </c>
      <c r="AI1494" s="327" t="s">
        <v>858</v>
      </c>
      <c r="AJ1494" s="327" t="s">
        <v>859</v>
      </c>
      <c r="AK1494" s="327" t="s">
        <v>860</v>
      </c>
      <c r="AL1494" s="327" t="s">
        <v>828</v>
      </c>
      <c r="AM1494" s="327" t="s">
        <v>861</v>
      </c>
      <c r="AN1494" s="327" t="s">
        <v>631</v>
      </c>
      <c r="AO1494" s="327" t="s">
        <v>869</v>
      </c>
      <c r="AP1494" s="327" t="s">
        <v>870</v>
      </c>
      <c r="AQ1494" s="327" t="s">
        <v>631</v>
      </c>
      <c r="AR1494" s="327">
        <v>0</v>
      </c>
      <c r="AS1494" s="327">
        <v>-9999</v>
      </c>
      <c r="AT1494" s="327"/>
      <c r="AU1494" s="327">
        <v>0</v>
      </c>
      <c r="AV1494" s="327">
        <v>-9999</v>
      </c>
      <c r="AW1494" s="327">
        <v>-9999</v>
      </c>
      <c r="AX1494" s="327">
        <v>0</v>
      </c>
      <c r="AY1494" s="327">
        <v>-9999</v>
      </c>
      <c r="AZ1494" s="327">
        <v>-9999</v>
      </c>
      <c r="BA1494" s="327" t="s">
        <v>869</v>
      </c>
      <c r="BB1494" s="327" t="s">
        <v>626</v>
      </c>
      <c r="BC1494" s="327" t="s">
        <v>864</v>
      </c>
      <c r="BD1494" s="327"/>
      <c r="BE1494" s="327" t="s">
        <v>865</v>
      </c>
      <c r="BF1494" s="327">
        <v>-9999</v>
      </c>
      <c r="BG1494" s="327">
        <v>-9999</v>
      </c>
      <c r="BH1494" s="327">
        <v>-9999</v>
      </c>
      <c r="BI1494" s="327" t="s">
        <v>866</v>
      </c>
      <c r="BJ1494" s="327">
        <v>23.7</v>
      </c>
      <c r="BK1494" s="327">
        <v>-9999</v>
      </c>
      <c r="BL1494" s="327">
        <v>13.1</v>
      </c>
      <c r="BM1494" s="327">
        <v>-9999</v>
      </c>
      <c r="BN1494" s="363">
        <v>17.5</v>
      </c>
      <c r="BO1494" s="327">
        <v>-9999</v>
      </c>
      <c r="BP1494" s="327">
        <v>-9999</v>
      </c>
      <c r="BQ1494" s="327">
        <v>-9999</v>
      </c>
      <c r="BR1494" s="327">
        <v>-9999</v>
      </c>
      <c r="BS1494" s="328">
        <v>-9999</v>
      </c>
      <c r="BT1494" s="327">
        <v>-9999</v>
      </c>
      <c r="BU1494" s="327">
        <v>-9999</v>
      </c>
      <c r="BV1494" s="327">
        <v>-9999</v>
      </c>
      <c r="BW1494" s="327"/>
      <c r="BX1494" s="327">
        <v>-9999</v>
      </c>
      <c r="BY1494" s="327">
        <v>-9999</v>
      </c>
      <c r="BZ1494" s="327">
        <v>-9999</v>
      </c>
      <c r="CA1494" s="369" t="s">
        <v>974</v>
      </c>
      <c r="CB1494" s="475"/>
      <c r="CC1494" s="327">
        <v>1</v>
      </c>
      <c r="CD1494" s="327">
        <v>9</v>
      </c>
      <c r="CE1494" s="342">
        <v>9.872592592592591</v>
      </c>
      <c r="CF1494" s="342">
        <v>20.666666666666664</v>
      </c>
      <c r="CG1494" s="143">
        <v>9</v>
      </c>
    </row>
    <row r="1495" spans="1:89" s="301" customFormat="1" ht="12.75" customHeight="1" x14ac:dyDescent="0.2">
      <c r="A1495" s="327" t="s">
        <v>972</v>
      </c>
      <c r="B1495" s="327" t="s">
        <v>1250</v>
      </c>
      <c r="C1495" s="327" t="s">
        <v>633</v>
      </c>
      <c r="D1495" s="327" t="s">
        <v>553</v>
      </c>
      <c r="E1495" s="327" t="s">
        <v>901</v>
      </c>
      <c r="F1495" s="327">
        <v>1</v>
      </c>
      <c r="G1495" s="327">
        <v>10</v>
      </c>
      <c r="H1495" s="327">
        <v>10</v>
      </c>
      <c r="I1495" s="327" t="s">
        <v>856</v>
      </c>
      <c r="J1495" s="327">
        <v>1995</v>
      </c>
      <c r="K1495" s="327" t="s">
        <v>856</v>
      </c>
      <c r="L1495" s="327">
        <v>2005</v>
      </c>
      <c r="M1495" s="368">
        <v>-9999</v>
      </c>
      <c r="N1495" s="327">
        <v>-9999</v>
      </c>
      <c r="O1495" s="656">
        <f>1/0.834</f>
        <v>1.1990407673860912</v>
      </c>
      <c r="P1495" s="370">
        <f t="shared" si="161"/>
        <v>104.36450839328538</v>
      </c>
      <c r="Q1495" s="328">
        <v>-9999</v>
      </c>
      <c r="R1495" s="287">
        <f t="shared" si="164"/>
        <v>87.039999999999992</v>
      </c>
      <c r="S1495" s="413"/>
      <c r="T1495" s="370">
        <f t="shared" si="162"/>
        <v>10.436450839328538</v>
      </c>
      <c r="U1495" s="328">
        <v>-9999</v>
      </c>
      <c r="V1495" s="431">
        <v>8.7039999999999988</v>
      </c>
      <c r="W1495" s="287">
        <f>20.4*O1495</f>
        <v>24.46043165467626</v>
      </c>
      <c r="X1495" s="328">
        <v>-9999</v>
      </c>
      <c r="Y1495" s="327">
        <v>20.399999999999999</v>
      </c>
      <c r="Z1495" s="327" t="s">
        <v>1709</v>
      </c>
      <c r="AA1495" s="628">
        <f t="shared" si="163"/>
        <v>1070</v>
      </c>
      <c r="AB1495" s="368">
        <v>0.86728971962616819</v>
      </c>
      <c r="AC1495" s="327">
        <v>0.2</v>
      </c>
      <c r="AD1495" s="327">
        <v>2.5999999999999999E-2</v>
      </c>
      <c r="AE1495" s="327" t="s">
        <v>963</v>
      </c>
      <c r="AF1495" s="327">
        <v>3</v>
      </c>
      <c r="AG1495" s="327" t="s">
        <v>878</v>
      </c>
      <c r="AH1495" s="327" t="s">
        <v>857</v>
      </c>
      <c r="AI1495" s="327" t="s">
        <v>858</v>
      </c>
      <c r="AJ1495" s="327" t="s">
        <v>859</v>
      </c>
      <c r="AK1495" s="327" t="s">
        <v>860</v>
      </c>
      <c r="AL1495" s="327" t="s">
        <v>828</v>
      </c>
      <c r="AM1495" s="327" t="s">
        <v>861</v>
      </c>
      <c r="AN1495" s="327" t="s">
        <v>631</v>
      </c>
      <c r="AO1495" s="327" t="s">
        <v>869</v>
      </c>
      <c r="AP1495" s="327" t="s">
        <v>870</v>
      </c>
      <c r="AQ1495" s="327" t="s">
        <v>631</v>
      </c>
      <c r="AR1495" s="327">
        <v>0</v>
      </c>
      <c r="AS1495" s="327">
        <v>-9999</v>
      </c>
      <c r="AT1495" s="327"/>
      <c r="AU1495" s="327">
        <v>0</v>
      </c>
      <c r="AV1495" s="327">
        <v>-9999</v>
      </c>
      <c r="AW1495" s="327">
        <v>-9999</v>
      </c>
      <c r="AX1495" s="327">
        <v>0</v>
      </c>
      <c r="AY1495" s="327">
        <v>-9999</v>
      </c>
      <c r="AZ1495" s="327">
        <v>-9999</v>
      </c>
      <c r="BA1495" s="327" t="s">
        <v>869</v>
      </c>
      <c r="BB1495" s="327" t="s">
        <v>626</v>
      </c>
      <c r="BC1495" s="327" t="s">
        <v>864</v>
      </c>
      <c r="BD1495" s="327"/>
      <c r="BE1495" s="327" t="s">
        <v>865</v>
      </c>
      <c r="BF1495" s="327">
        <v>-9999</v>
      </c>
      <c r="BG1495" s="327">
        <v>-9999</v>
      </c>
      <c r="BH1495" s="327">
        <v>-9999</v>
      </c>
      <c r="BI1495" s="327" t="s">
        <v>866</v>
      </c>
      <c r="BJ1495" s="327">
        <v>27.4</v>
      </c>
      <c r="BK1495" s="327">
        <v>-9999</v>
      </c>
      <c r="BL1495" s="327">
        <v>14.5</v>
      </c>
      <c r="BM1495" s="327">
        <v>-9999</v>
      </c>
      <c r="BN1495" s="363">
        <v>18.899999999999999</v>
      </c>
      <c r="BO1495" s="327">
        <v>-9999</v>
      </c>
      <c r="BP1495" s="327">
        <v>-9999</v>
      </c>
      <c r="BQ1495" s="327">
        <v>-9999</v>
      </c>
      <c r="BR1495" s="327">
        <v>-9999</v>
      </c>
      <c r="BS1495" s="328">
        <v>-9999</v>
      </c>
      <c r="BT1495" s="327">
        <v>226.8</v>
      </c>
      <c r="BU1495" s="327">
        <v>-9999</v>
      </c>
      <c r="BV1495" s="327">
        <v>4.3</v>
      </c>
      <c r="BW1495" s="327"/>
      <c r="BX1495" s="327">
        <v>-9999</v>
      </c>
      <c r="BY1495" s="327">
        <v>-9999</v>
      </c>
      <c r="BZ1495" s="327">
        <v>-9999</v>
      </c>
      <c r="CA1495" s="369" t="s">
        <v>974</v>
      </c>
      <c r="CB1495" s="475"/>
      <c r="CC1495" s="327">
        <v>1</v>
      </c>
      <c r="CD1495" s="327">
        <v>10</v>
      </c>
      <c r="CE1495" s="342">
        <v>10.436450839328538</v>
      </c>
      <c r="CF1495" s="342">
        <v>24.46043165467626</v>
      </c>
      <c r="CG1495" s="143">
        <v>10</v>
      </c>
    </row>
    <row r="1496" spans="1:89" s="13" customFormat="1" ht="12.75" customHeight="1" x14ac:dyDescent="0.2">
      <c r="A1496" s="259" t="s">
        <v>972</v>
      </c>
      <c r="B1496" s="259" t="s">
        <v>1250</v>
      </c>
      <c r="C1496" s="259" t="s">
        <v>633</v>
      </c>
      <c r="D1496" s="259" t="s">
        <v>553</v>
      </c>
      <c r="E1496" s="259" t="s">
        <v>901</v>
      </c>
      <c r="F1496" s="259">
        <v>1</v>
      </c>
      <c r="G1496" s="259">
        <v>11</v>
      </c>
      <c r="H1496" s="259">
        <v>11</v>
      </c>
      <c r="I1496" s="259" t="s">
        <v>856</v>
      </c>
      <c r="J1496" s="259">
        <v>1995</v>
      </c>
      <c r="K1496" s="259" t="s">
        <v>856</v>
      </c>
      <c r="L1496" s="592">
        <v>2006</v>
      </c>
      <c r="M1496" s="288">
        <v>-9999</v>
      </c>
      <c r="N1496" s="259">
        <v>-9999</v>
      </c>
      <c r="O1496" s="657">
        <f>1/0.834</f>
        <v>1.1990407673860912</v>
      </c>
      <c r="P1496" s="590">
        <f t="shared" si="161"/>
        <v>128.82494004796163</v>
      </c>
      <c r="Q1496" s="260">
        <v>-9999</v>
      </c>
      <c r="R1496" s="376">
        <f t="shared" si="164"/>
        <v>107.44</v>
      </c>
      <c r="S1496" s="630"/>
      <c r="T1496" s="590">
        <f t="shared" si="162"/>
        <v>11.71135818617833</v>
      </c>
      <c r="U1496" s="260">
        <v>-9999</v>
      </c>
      <c r="V1496" s="631">
        <v>9.7672727272727276</v>
      </c>
      <c r="W1496" s="376">
        <f>20.4*O1496</f>
        <v>24.46043165467626</v>
      </c>
      <c r="X1496" s="260">
        <v>-9999</v>
      </c>
      <c r="Y1496" s="259">
        <v>20.399999999999999</v>
      </c>
      <c r="Z1496" s="259" t="s">
        <v>1709</v>
      </c>
      <c r="AA1496" s="621">
        <f t="shared" si="163"/>
        <v>1070</v>
      </c>
      <c r="AB1496" s="288">
        <v>0.85607476635514024</v>
      </c>
      <c r="AC1496" s="259">
        <v>0.2</v>
      </c>
      <c r="AD1496" s="259">
        <v>2.5999999999999999E-2</v>
      </c>
      <c r="AE1496" s="259" t="s">
        <v>963</v>
      </c>
      <c r="AF1496" s="259">
        <v>3</v>
      </c>
      <c r="AG1496" s="259" t="s">
        <v>878</v>
      </c>
      <c r="AH1496" s="259" t="s">
        <v>857</v>
      </c>
      <c r="AI1496" s="259" t="s">
        <v>858</v>
      </c>
      <c r="AJ1496" s="259" t="s">
        <v>859</v>
      </c>
      <c r="AK1496" s="259" t="s">
        <v>860</v>
      </c>
      <c r="AL1496" s="259" t="s">
        <v>828</v>
      </c>
      <c r="AM1496" s="259" t="s">
        <v>861</v>
      </c>
      <c r="AN1496" s="259" t="s">
        <v>631</v>
      </c>
      <c r="AO1496" s="259" t="s">
        <v>869</v>
      </c>
      <c r="AP1496" s="259" t="s">
        <v>870</v>
      </c>
      <c r="AQ1496" s="259" t="s">
        <v>631</v>
      </c>
      <c r="AR1496" s="259">
        <v>0</v>
      </c>
      <c r="AS1496" s="259">
        <v>-9999</v>
      </c>
      <c r="AT1496" s="259"/>
      <c r="AU1496" s="259">
        <v>0</v>
      </c>
      <c r="AV1496" s="259">
        <v>-9999</v>
      </c>
      <c r="AW1496" s="259">
        <v>-9999</v>
      </c>
      <c r="AX1496" s="259">
        <v>0</v>
      </c>
      <c r="AY1496" s="259">
        <v>-9999</v>
      </c>
      <c r="AZ1496" s="259">
        <v>-9999</v>
      </c>
      <c r="BA1496" s="259" t="s">
        <v>869</v>
      </c>
      <c r="BB1496" s="259" t="s">
        <v>626</v>
      </c>
      <c r="BC1496" s="259" t="s">
        <v>864</v>
      </c>
      <c r="BD1496" s="259"/>
      <c r="BE1496" s="259" t="s">
        <v>865</v>
      </c>
      <c r="BF1496" s="259">
        <v>-9999</v>
      </c>
      <c r="BG1496" s="259">
        <v>-9999</v>
      </c>
      <c r="BH1496" s="259">
        <v>-9999</v>
      </c>
      <c r="BI1496" s="259" t="s">
        <v>866</v>
      </c>
      <c r="BJ1496" s="259">
        <v>30.5</v>
      </c>
      <c r="BK1496" s="259">
        <v>-9999</v>
      </c>
      <c r="BL1496" s="259">
        <v>16</v>
      </c>
      <c r="BM1496" s="259">
        <v>-9999</v>
      </c>
      <c r="BN1496" s="289">
        <v>21.1</v>
      </c>
      <c r="BO1496" s="259">
        <v>-9999</v>
      </c>
      <c r="BP1496" s="259">
        <v>-9999</v>
      </c>
      <c r="BQ1496" s="259">
        <v>-9999</v>
      </c>
      <c r="BR1496" s="259">
        <v>-9999</v>
      </c>
      <c r="BS1496" s="260">
        <v>-9999</v>
      </c>
      <c r="BT1496" s="259">
        <v>-9999</v>
      </c>
      <c r="BU1496" s="259">
        <v>-9999</v>
      </c>
      <c r="BV1496" s="259">
        <v>-9999</v>
      </c>
      <c r="BW1496" s="259"/>
      <c r="BX1496" s="259">
        <v>-9999</v>
      </c>
      <c r="BY1496" s="259">
        <v>-9999</v>
      </c>
      <c r="BZ1496" s="259">
        <v>-9999</v>
      </c>
      <c r="CA1496" s="337" t="s">
        <v>974</v>
      </c>
      <c r="CB1496" s="592"/>
      <c r="CC1496" s="259">
        <v>1</v>
      </c>
      <c r="CD1496" s="259">
        <v>11</v>
      </c>
      <c r="CE1496" s="99">
        <v>11.71135818617833</v>
      </c>
      <c r="CF1496" s="99">
        <v>24.46043165467626</v>
      </c>
      <c r="CG1496" s="211">
        <v>11</v>
      </c>
      <c r="CH1496" s="13" t="s">
        <v>1757</v>
      </c>
    </row>
    <row r="1497" spans="1:89" s="13" customFormat="1" ht="12.75" customHeight="1" x14ac:dyDescent="0.2">
      <c r="A1497" s="111"/>
      <c r="B1497" s="35"/>
      <c r="C1497" s="111"/>
      <c r="D1497" s="111"/>
      <c r="E1497" s="111"/>
      <c r="F1497" s="146"/>
      <c r="G1497" s="111"/>
      <c r="H1497" s="147"/>
      <c r="I1497" s="111"/>
      <c r="J1497" s="111"/>
      <c r="K1497" s="111"/>
      <c r="L1497" s="362"/>
      <c r="M1497" s="742"/>
      <c r="N1497" s="111"/>
      <c r="O1497" s="111"/>
      <c r="P1497" s="742"/>
      <c r="Q1497" s="111"/>
      <c r="R1497" s="742"/>
      <c r="S1497" s="111"/>
      <c r="T1497" s="736"/>
      <c r="U1497" s="147"/>
      <c r="V1497" s="147"/>
      <c r="W1497" s="736"/>
      <c r="X1497" s="147"/>
      <c r="Y1497" s="147"/>
      <c r="Z1497" s="111"/>
      <c r="AA1497" s="111"/>
      <c r="AB1497" s="338"/>
      <c r="AC1497" s="111"/>
      <c r="AD1497" s="111"/>
      <c r="AE1497" s="111"/>
      <c r="AF1497" s="111"/>
      <c r="AG1497" s="111"/>
      <c r="AH1497" s="111"/>
      <c r="AI1497" s="362"/>
      <c r="AJ1497" s="362"/>
      <c r="AK1497" s="111"/>
      <c r="AL1497" s="111"/>
      <c r="AM1497" s="111"/>
      <c r="AN1497" s="111"/>
      <c r="AO1497" s="146"/>
      <c r="AP1497" s="146"/>
      <c r="AQ1497" s="111"/>
      <c r="AR1497" s="146"/>
      <c r="AS1497" s="146"/>
      <c r="AT1497" s="146"/>
      <c r="AU1497" s="146"/>
      <c r="AV1497" s="146"/>
      <c r="AW1497" s="146"/>
      <c r="AX1497" s="146"/>
      <c r="AY1497" s="146"/>
      <c r="AZ1497" s="146"/>
      <c r="BA1497" s="111"/>
      <c r="BB1497" s="111"/>
      <c r="BC1497" s="111"/>
      <c r="BD1497" s="111"/>
      <c r="BE1497" s="111"/>
      <c r="BF1497" s="111"/>
      <c r="BG1497" s="111"/>
      <c r="BH1497" s="111"/>
      <c r="BI1497" s="111"/>
      <c r="BJ1497" s="146"/>
      <c r="BK1497" s="146"/>
      <c r="BL1497" s="111"/>
      <c r="BM1497" s="111"/>
      <c r="BN1497" s="111"/>
      <c r="BO1497" s="111"/>
      <c r="BP1497" s="111"/>
      <c r="BQ1497" s="111"/>
      <c r="BR1497" s="111"/>
      <c r="BS1497" s="291"/>
      <c r="BT1497" s="111"/>
      <c r="BU1497" s="111"/>
      <c r="BV1497" s="111"/>
      <c r="BW1497" s="111"/>
      <c r="BX1497" s="111"/>
      <c r="BY1497" s="111"/>
      <c r="BZ1497" s="111"/>
      <c r="CA1497" s="365"/>
      <c r="CC1497" s="146"/>
      <c r="CD1497" s="111"/>
      <c r="CE1497" s="99"/>
      <c r="CF1497" s="99"/>
      <c r="CG1497" s="147"/>
    </row>
    <row r="1498" spans="1:89" s="13" customFormat="1" ht="12" customHeight="1" x14ac:dyDescent="0.2">
      <c r="A1498" s="18" t="s">
        <v>134</v>
      </c>
      <c r="B1498" s="18"/>
      <c r="C1498" s="18"/>
      <c r="D1498" s="18"/>
      <c r="E1498" s="18"/>
      <c r="F1498" s="18"/>
      <c r="G1498" s="18"/>
      <c r="H1498" s="21"/>
      <c r="I1498" s="18"/>
      <c r="J1498" s="18"/>
      <c r="K1498" s="18"/>
      <c r="L1498" s="18"/>
      <c r="M1498" s="21"/>
      <c r="N1498" s="18"/>
      <c r="O1498" s="18"/>
      <c r="P1498" s="21"/>
      <c r="Q1498" s="18"/>
      <c r="R1498" s="21"/>
      <c r="S1498" s="18"/>
      <c r="T1498" s="22"/>
      <c r="U1498" s="20"/>
      <c r="V1498" s="20"/>
      <c r="W1498" s="21"/>
      <c r="X1498" s="20"/>
      <c r="Y1498" s="20"/>
      <c r="Z1498" s="18"/>
      <c r="AA1498" s="18"/>
      <c r="AB1498" s="311"/>
      <c r="AC1498" s="18"/>
      <c r="AD1498" s="323"/>
      <c r="AE1498" s="323"/>
      <c r="AF1498" s="18"/>
      <c r="AG1498" s="18"/>
      <c r="AH1498" s="18"/>
      <c r="AI1498" s="18"/>
      <c r="AJ1498" s="18"/>
      <c r="AK1498" s="18"/>
      <c r="AL1498" s="18"/>
      <c r="AM1498" s="18"/>
      <c r="AN1498" s="18"/>
      <c r="AO1498" s="18"/>
      <c r="AP1498" s="18"/>
      <c r="AQ1498" s="18"/>
      <c r="AR1498" s="18"/>
      <c r="AS1498" s="18"/>
      <c r="AT1498" s="18"/>
      <c r="AU1498" s="18"/>
      <c r="AV1498" s="18"/>
      <c r="AW1498" s="18"/>
      <c r="AX1498" s="18"/>
      <c r="AY1498" s="18"/>
      <c r="AZ1498" s="18"/>
      <c r="BA1498" s="18"/>
      <c r="BB1498" s="18"/>
      <c r="BC1498" s="18"/>
      <c r="BD1498" s="18"/>
      <c r="BE1498" s="18"/>
      <c r="BF1498" s="18"/>
      <c r="BG1498" s="18"/>
      <c r="BH1498" s="18"/>
      <c r="BI1498" s="18"/>
      <c r="BJ1498" s="18"/>
      <c r="BK1498" s="18"/>
      <c r="BL1498" s="18"/>
      <c r="BM1498" s="18"/>
      <c r="BN1498" s="18"/>
      <c r="BO1498" s="18"/>
      <c r="BP1498" s="18"/>
      <c r="BQ1498" s="18"/>
      <c r="BR1498" s="18"/>
      <c r="BS1498" s="291">
        <v>-9999</v>
      </c>
      <c r="BT1498" s="18"/>
      <c r="BU1498" s="18"/>
      <c r="BV1498" s="18"/>
      <c r="BW1498" s="18"/>
      <c r="BX1498" s="18"/>
      <c r="BY1498" s="18"/>
      <c r="BZ1498" s="18"/>
      <c r="CA1498" s="73"/>
      <c r="CC1498" s="18"/>
      <c r="CD1498" s="18" t="s">
        <v>1577</v>
      </c>
      <c r="CE1498" s="99" t="s">
        <v>1635</v>
      </c>
      <c r="CF1498" s="99"/>
      <c r="CG1498" s="21"/>
    </row>
    <row r="1499" spans="1:89" s="13" customFormat="1" ht="12.75" customHeight="1" x14ac:dyDescent="0.25">
      <c r="A1499" s="259" t="s">
        <v>852</v>
      </c>
      <c r="B1499" s="259" t="s">
        <v>1250</v>
      </c>
      <c r="C1499" s="259" t="s">
        <v>854</v>
      </c>
      <c r="D1499" s="259" t="s">
        <v>553</v>
      </c>
      <c r="E1499" s="259" t="s">
        <v>901</v>
      </c>
      <c r="F1499" s="259">
        <v>1</v>
      </c>
      <c r="G1499" s="259">
        <v>6</v>
      </c>
      <c r="H1499" s="260">
        <v>6</v>
      </c>
      <c r="I1499" s="266" t="s">
        <v>1943</v>
      </c>
      <c r="J1499" s="266">
        <v>1995</v>
      </c>
      <c r="K1499" s="259" t="s">
        <v>842</v>
      </c>
      <c r="L1499" s="259">
        <v>2002</v>
      </c>
      <c r="M1499" s="288">
        <v>-9999</v>
      </c>
      <c r="N1499" s="259">
        <v>-9999</v>
      </c>
      <c r="O1499" s="18"/>
      <c r="P1499" s="288">
        <v>91.4</v>
      </c>
      <c r="Q1499" s="259">
        <v>-9999</v>
      </c>
      <c r="R1499" s="288"/>
      <c r="S1499" s="259"/>
      <c r="T1499" s="590">
        <f>+P1499/G1499</f>
        <v>15.233333333333334</v>
      </c>
      <c r="U1499" s="260">
        <v>-9999</v>
      </c>
      <c r="V1499" s="260"/>
      <c r="W1499" s="288">
        <v>-9999</v>
      </c>
      <c r="X1499" s="260">
        <v>-9999</v>
      </c>
      <c r="Y1499" s="260"/>
      <c r="Z1499" s="259" t="s">
        <v>1949</v>
      </c>
      <c r="AA1499" s="259">
        <v>1126</v>
      </c>
      <c r="AB1499" s="288">
        <v>-9999</v>
      </c>
      <c r="AC1499" s="259">
        <v>4.5</v>
      </c>
      <c r="AD1499" s="259">
        <v>1866</v>
      </c>
      <c r="AE1499" s="259" t="s">
        <v>1948</v>
      </c>
      <c r="AF1499" s="259">
        <v>4</v>
      </c>
      <c r="AG1499" s="259" t="s">
        <v>843</v>
      </c>
      <c r="AH1499" s="259" t="s">
        <v>857</v>
      </c>
      <c r="AI1499" s="259" t="s">
        <v>858</v>
      </c>
      <c r="AJ1499" s="259" t="s">
        <v>859</v>
      </c>
      <c r="AK1499" s="259" t="s">
        <v>860</v>
      </c>
      <c r="AL1499" s="259" t="s">
        <v>828</v>
      </c>
      <c r="AM1499" s="259" t="s">
        <v>861</v>
      </c>
      <c r="AN1499" s="259" t="s">
        <v>626</v>
      </c>
      <c r="AO1499" s="259" t="s">
        <v>826</v>
      </c>
      <c r="AP1499" s="259" t="s">
        <v>862</v>
      </c>
      <c r="AQ1499" s="259" t="s">
        <v>626</v>
      </c>
      <c r="AR1499" s="259">
        <v>537</v>
      </c>
      <c r="AS1499" s="259" t="s">
        <v>542</v>
      </c>
      <c r="AT1499" s="259" t="s">
        <v>541</v>
      </c>
      <c r="AU1499" s="259">
        <v>126</v>
      </c>
      <c r="AV1499" s="259" t="s">
        <v>543</v>
      </c>
      <c r="AW1499" s="259" t="s">
        <v>541</v>
      </c>
      <c r="AX1499" s="259">
        <v>510</v>
      </c>
      <c r="AY1499" s="259" t="s">
        <v>544</v>
      </c>
      <c r="AZ1499" s="259" t="s">
        <v>541</v>
      </c>
      <c r="BA1499" s="259" t="s">
        <v>863</v>
      </c>
      <c r="BB1499" s="259" t="s">
        <v>626</v>
      </c>
      <c r="BC1499" s="259" t="s">
        <v>864</v>
      </c>
      <c r="BD1499" s="259"/>
      <c r="BE1499" s="259" t="s">
        <v>865</v>
      </c>
      <c r="BF1499" s="259">
        <v>-9999</v>
      </c>
      <c r="BG1499" s="259">
        <v>-9999</v>
      </c>
      <c r="BH1499" s="259">
        <v>-9999</v>
      </c>
      <c r="BI1499" s="259" t="s">
        <v>866</v>
      </c>
      <c r="BJ1499" s="259">
        <v>-9999</v>
      </c>
      <c r="BK1499" s="259">
        <v>-9999</v>
      </c>
      <c r="BL1499" s="259">
        <v>10.26</v>
      </c>
      <c r="BM1499" s="259">
        <v>0.06</v>
      </c>
      <c r="BN1499" s="259">
        <v>17.68</v>
      </c>
      <c r="BO1499" s="259">
        <v>0.2</v>
      </c>
      <c r="BP1499" s="259">
        <v>-9999</v>
      </c>
      <c r="BQ1499" s="259">
        <v>-9999</v>
      </c>
      <c r="BR1499" s="259">
        <v>25.48</v>
      </c>
      <c r="BS1499" s="260">
        <v>-9999</v>
      </c>
      <c r="BT1499" s="259">
        <v>-9999</v>
      </c>
      <c r="BU1499" s="259">
        <v>-9999</v>
      </c>
      <c r="BV1499" s="259">
        <v>-9999</v>
      </c>
      <c r="BW1499" s="259"/>
      <c r="BX1499" s="259">
        <v>-9999</v>
      </c>
      <c r="BY1499" s="259">
        <v>-9999</v>
      </c>
      <c r="BZ1499" s="259">
        <v>-9999</v>
      </c>
      <c r="CA1499" s="337" t="s">
        <v>867</v>
      </c>
      <c r="CB1499" s="592"/>
      <c r="CC1499" s="259">
        <v>1</v>
      </c>
      <c r="CD1499" s="259" t="s">
        <v>854</v>
      </c>
      <c r="CE1499" s="99">
        <v>15.233333333333334</v>
      </c>
      <c r="CF1499" s="99">
        <v>-9999</v>
      </c>
      <c r="CG1499" s="212">
        <v>6</v>
      </c>
      <c r="CH1499" s="13" t="s">
        <v>1757</v>
      </c>
      <c r="CK1499" s="13" t="s">
        <v>208</v>
      </c>
    </row>
    <row r="1500" spans="1:89" s="13" customFormat="1" ht="12.75" customHeight="1" x14ac:dyDescent="0.25">
      <c r="A1500" s="259" t="s">
        <v>852</v>
      </c>
      <c r="B1500" s="259" t="s">
        <v>1250</v>
      </c>
      <c r="C1500" s="259" t="s">
        <v>868</v>
      </c>
      <c r="D1500" s="259" t="s">
        <v>553</v>
      </c>
      <c r="E1500" s="259" t="s">
        <v>901</v>
      </c>
      <c r="F1500" s="259">
        <v>1</v>
      </c>
      <c r="G1500" s="259">
        <v>6</v>
      </c>
      <c r="H1500" s="260">
        <v>6</v>
      </c>
      <c r="I1500" s="266" t="s">
        <v>1943</v>
      </c>
      <c r="J1500" s="266">
        <v>1995</v>
      </c>
      <c r="K1500" s="259" t="s">
        <v>842</v>
      </c>
      <c r="L1500" s="259">
        <v>2002</v>
      </c>
      <c r="M1500" s="288">
        <v>-9999</v>
      </c>
      <c r="N1500" s="259">
        <v>-9999</v>
      </c>
      <c r="O1500" s="18"/>
      <c r="P1500" s="288">
        <v>68.7</v>
      </c>
      <c r="Q1500" s="259">
        <v>-9999</v>
      </c>
      <c r="R1500" s="288"/>
      <c r="S1500" s="259"/>
      <c r="T1500" s="590">
        <f>+P1500/G1500</f>
        <v>11.450000000000001</v>
      </c>
      <c r="U1500" s="260">
        <v>-9999</v>
      </c>
      <c r="V1500" s="260"/>
      <c r="W1500" s="288">
        <v>-9999</v>
      </c>
      <c r="X1500" s="260">
        <v>-9999</v>
      </c>
      <c r="Y1500" s="260"/>
      <c r="Z1500" s="259" t="s">
        <v>1949</v>
      </c>
      <c r="AA1500" s="259">
        <v>1126</v>
      </c>
      <c r="AB1500" s="288">
        <v>-9999</v>
      </c>
      <c r="AC1500" s="259">
        <v>4.5</v>
      </c>
      <c r="AD1500" s="259">
        <v>1866</v>
      </c>
      <c r="AE1500" s="259" t="s">
        <v>1948</v>
      </c>
      <c r="AF1500" s="259">
        <v>4</v>
      </c>
      <c r="AG1500" s="259" t="s">
        <v>843</v>
      </c>
      <c r="AH1500" s="259" t="s">
        <v>857</v>
      </c>
      <c r="AI1500" s="259" t="s">
        <v>858</v>
      </c>
      <c r="AJ1500" s="259" t="s">
        <v>859</v>
      </c>
      <c r="AK1500" s="259" t="s">
        <v>860</v>
      </c>
      <c r="AL1500" s="259" t="s">
        <v>828</v>
      </c>
      <c r="AM1500" s="259" t="s">
        <v>861</v>
      </c>
      <c r="AN1500" s="259" t="s">
        <v>626</v>
      </c>
      <c r="AO1500" s="259" t="s">
        <v>826</v>
      </c>
      <c r="AP1500" s="259" t="s">
        <v>862</v>
      </c>
      <c r="AQ1500" s="259" t="s">
        <v>626</v>
      </c>
      <c r="AR1500" s="259">
        <v>537</v>
      </c>
      <c r="AS1500" s="259" t="s">
        <v>542</v>
      </c>
      <c r="AT1500" s="259" t="s">
        <v>541</v>
      </c>
      <c r="AU1500" s="259">
        <v>126</v>
      </c>
      <c r="AV1500" s="259" t="s">
        <v>543</v>
      </c>
      <c r="AW1500" s="259" t="s">
        <v>541</v>
      </c>
      <c r="AX1500" s="259">
        <v>510</v>
      </c>
      <c r="AY1500" s="259" t="s">
        <v>544</v>
      </c>
      <c r="AZ1500" s="259" t="s">
        <v>541</v>
      </c>
      <c r="BA1500" s="259" t="s">
        <v>869</v>
      </c>
      <c r="BB1500" s="259" t="s">
        <v>626</v>
      </c>
      <c r="BC1500" s="259" t="s">
        <v>864</v>
      </c>
      <c r="BD1500" s="259"/>
      <c r="BE1500" s="259" t="s">
        <v>865</v>
      </c>
      <c r="BF1500" s="259">
        <v>-9999</v>
      </c>
      <c r="BG1500" s="259">
        <v>-9999</v>
      </c>
      <c r="BH1500" s="259">
        <v>-9999</v>
      </c>
      <c r="BI1500" s="259" t="s">
        <v>866</v>
      </c>
      <c r="BJ1500" s="259">
        <v>-9999</v>
      </c>
      <c r="BK1500" s="259">
        <v>-9999</v>
      </c>
      <c r="BL1500" s="259">
        <v>9.11</v>
      </c>
      <c r="BM1500" s="259">
        <v>0.1</v>
      </c>
      <c r="BN1500" s="259">
        <v>15.51</v>
      </c>
      <c r="BO1500" s="259">
        <v>0.2</v>
      </c>
      <c r="BP1500" s="259">
        <v>-9999</v>
      </c>
      <c r="BQ1500" s="259">
        <v>-9999</v>
      </c>
      <c r="BR1500" s="259">
        <v>22.28</v>
      </c>
      <c r="BS1500" s="260">
        <v>-9999</v>
      </c>
      <c r="BT1500" s="259">
        <v>-9999</v>
      </c>
      <c r="BU1500" s="259">
        <v>-9999</v>
      </c>
      <c r="BV1500" s="259">
        <v>-9999</v>
      </c>
      <c r="BW1500" s="259"/>
      <c r="BX1500" s="259">
        <v>-9999</v>
      </c>
      <c r="BY1500" s="259">
        <v>-9999</v>
      </c>
      <c r="BZ1500" s="259">
        <v>-9999</v>
      </c>
      <c r="CA1500" s="337" t="s">
        <v>867</v>
      </c>
      <c r="CB1500" s="592"/>
      <c r="CC1500" s="259">
        <v>1</v>
      </c>
      <c r="CD1500" s="259" t="s">
        <v>868</v>
      </c>
      <c r="CE1500" s="99">
        <v>11.450000000000001</v>
      </c>
      <c r="CF1500" s="99">
        <v>-9999</v>
      </c>
      <c r="CG1500" s="212">
        <v>6</v>
      </c>
      <c r="CH1500" s="13" t="s">
        <v>1757</v>
      </c>
    </row>
    <row r="1501" spans="1:89" s="301" customFormat="1" ht="12.75" customHeight="1" x14ac:dyDescent="0.2">
      <c r="A1501" s="327" t="s">
        <v>852</v>
      </c>
      <c r="B1501" s="327" t="s">
        <v>1250</v>
      </c>
      <c r="C1501" s="327" t="s">
        <v>633</v>
      </c>
      <c r="D1501" s="327" t="s">
        <v>553</v>
      </c>
      <c r="E1501" s="327" t="s">
        <v>901</v>
      </c>
      <c r="F1501" s="327">
        <v>1</v>
      </c>
      <c r="G1501" s="327">
        <v>6</v>
      </c>
      <c r="H1501" s="328">
        <v>6</v>
      </c>
      <c r="I1501" s="265" t="s">
        <v>1943</v>
      </c>
      <c r="J1501" s="265">
        <v>1995</v>
      </c>
      <c r="K1501" s="327" t="s">
        <v>842</v>
      </c>
      <c r="L1501" s="327">
        <v>2002</v>
      </c>
      <c r="M1501" s="368">
        <v>-9999</v>
      </c>
      <c r="N1501" s="327">
        <v>-9999</v>
      </c>
      <c r="O1501" s="323"/>
      <c r="P1501" s="368">
        <v>48.4</v>
      </c>
      <c r="Q1501" s="327">
        <v>-9999</v>
      </c>
      <c r="R1501" s="368"/>
      <c r="S1501" s="327"/>
      <c r="T1501" s="370">
        <f>+P1501/G1501</f>
        <v>8.0666666666666664</v>
      </c>
      <c r="U1501" s="328">
        <v>-9999</v>
      </c>
      <c r="V1501" s="328"/>
      <c r="W1501" s="368">
        <v>-9999</v>
      </c>
      <c r="X1501" s="328">
        <v>-9999</v>
      </c>
      <c r="Y1501" s="328"/>
      <c r="Z1501" s="327" t="s">
        <v>1949</v>
      </c>
      <c r="AA1501" s="327">
        <v>1126</v>
      </c>
      <c r="AB1501" s="368">
        <v>-9999</v>
      </c>
      <c r="AC1501" s="327">
        <v>4.5</v>
      </c>
      <c r="AD1501" s="327">
        <v>1866</v>
      </c>
      <c r="AE1501" s="327" t="s">
        <v>1948</v>
      </c>
      <c r="AF1501" s="327">
        <v>4</v>
      </c>
      <c r="AG1501" s="327" t="s">
        <v>843</v>
      </c>
      <c r="AH1501" s="327" t="s">
        <v>857</v>
      </c>
      <c r="AI1501" s="327" t="s">
        <v>858</v>
      </c>
      <c r="AJ1501" s="327" t="s">
        <v>859</v>
      </c>
      <c r="AK1501" s="327" t="s">
        <v>860</v>
      </c>
      <c r="AL1501" s="327" t="s">
        <v>828</v>
      </c>
      <c r="AM1501" s="327" t="s">
        <v>861</v>
      </c>
      <c r="AN1501" s="327" t="s">
        <v>631</v>
      </c>
      <c r="AO1501" s="327" t="s">
        <v>869</v>
      </c>
      <c r="AP1501" s="327" t="s">
        <v>870</v>
      </c>
      <c r="AQ1501" s="327" t="s">
        <v>631</v>
      </c>
      <c r="AR1501" s="327">
        <v>0</v>
      </c>
      <c r="AS1501" s="327">
        <v>-9999</v>
      </c>
      <c r="AT1501" s="327" t="s">
        <v>871</v>
      </c>
      <c r="AU1501" s="327">
        <v>0</v>
      </c>
      <c r="AV1501" s="327">
        <v>-9999</v>
      </c>
      <c r="AW1501" s="327" t="s">
        <v>871</v>
      </c>
      <c r="AX1501" s="327">
        <v>0</v>
      </c>
      <c r="AY1501" s="327">
        <v>-9999</v>
      </c>
      <c r="AZ1501" s="327" t="s">
        <v>871</v>
      </c>
      <c r="BA1501" s="327" t="s">
        <v>869</v>
      </c>
      <c r="BB1501" s="327" t="s">
        <v>626</v>
      </c>
      <c r="BC1501" s="327" t="s">
        <v>864</v>
      </c>
      <c r="BD1501" s="327"/>
      <c r="BE1501" s="327" t="s">
        <v>865</v>
      </c>
      <c r="BF1501" s="327">
        <v>-9999</v>
      </c>
      <c r="BG1501" s="327">
        <v>-9999</v>
      </c>
      <c r="BH1501" s="327">
        <v>-9999</v>
      </c>
      <c r="BI1501" s="327" t="s">
        <v>866</v>
      </c>
      <c r="BJ1501" s="327">
        <v>-9999</v>
      </c>
      <c r="BK1501" s="327">
        <v>-9999</v>
      </c>
      <c r="BL1501" s="327">
        <v>7.55</v>
      </c>
      <c r="BM1501" s="327">
        <v>0.08</v>
      </c>
      <c r="BN1501" s="327">
        <v>13.38</v>
      </c>
      <c r="BO1501" s="327">
        <v>0.13</v>
      </c>
      <c r="BP1501" s="327">
        <v>-9999</v>
      </c>
      <c r="BQ1501" s="327">
        <v>-9999</v>
      </c>
      <c r="BR1501" s="327">
        <v>19.63</v>
      </c>
      <c r="BS1501" s="328">
        <v>-9999</v>
      </c>
      <c r="BT1501" s="327">
        <v>-9999</v>
      </c>
      <c r="BU1501" s="327">
        <v>-9999</v>
      </c>
      <c r="BV1501" s="327">
        <v>-9999</v>
      </c>
      <c r="BW1501" s="327"/>
      <c r="BX1501" s="327">
        <v>-9999</v>
      </c>
      <c r="BY1501" s="327">
        <v>-9999</v>
      </c>
      <c r="BZ1501" s="327">
        <v>-9999</v>
      </c>
      <c r="CA1501" s="369" t="s">
        <v>867</v>
      </c>
      <c r="CB1501" s="475"/>
      <c r="CC1501" s="327">
        <v>1</v>
      </c>
      <c r="CD1501" s="327" t="s">
        <v>633</v>
      </c>
      <c r="CE1501" s="342">
        <v>8.0666666666666664</v>
      </c>
      <c r="CF1501" s="342">
        <v>-9999</v>
      </c>
      <c r="CG1501" s="355">
        <v>6</v>
      </c>
      <c r="CH1501" s="301" t="s">
        <v>1757</v>
      </c>
    </row>
    <row r="1502" spans="1:89" s="13" customFormat="1" ht="12.75" customHeight="1" x14ac:dyDescent="0.2">
      <c r="A1502" s="18"/>
      <c r="B1502" s="18"/>
      <c r="C1502" s="18"/>
      <c r="D1502" s="323"/>
      <c r="E1502" s="18"/>
      <c r="F1502" s="18"/>
      <c r="G1502" s="18"/>
      <c r="H1502" s="20"/>
      <c r="I1502" s="18"/>
      <c r="J1502" s="18"/>
      <c r="K1502" s="18"/>
      <c r="L1502" s="18"/>
      <c r="M1502" s="21"/>
      <c r="N1502" s="18"/>
      <c r="O1502" s="18"/>
      <c r="P1502" s="21"/>
      <c r="Q1502" s="18"/>
      <c r="R1502" s="21"/>
      <c r="S1502" s="18"/>
      <c r="T1502" s="22"/>
      <c r="U1502" s="18"/>
      <c r="V1502" s="18"/>
      <c r="W1502" s="21"/>
      <c r="X1502" s="21"/>
      <c r="Y1502" s="21"/>
      <c r="Z1502" s="18"/>
      <c r="AA1502" s="18"/>
      <c r="AB1502" s="21"/>
      <c r="AC1502" s="18"/>
      <c r="AD1502" s="18"/>
      <c r="AE1502" s="18"/>
      <c r="AF1502" s="18"/>
      <c r="AG1502" s="18"/>
      <c r="AH1502" s="18"/>
      <c r="AI1502" s="18"/>
      <c r="AJ1502" s="18"/>
      <c r="AK1502" s="18"/>
      <c r="AL1502" s="18"/>
      <c r="AM1502" s="18"/>
      <c r="AN1502" s="18"/>
      <c r="AO1502" s="18"/>
      <c r="AP1502" s="18"/>
      <c r="AQ1502" s="18"/>
      <c r="AR1502" s="18"/>
      <c r="AS1502" s="18"/>
      <c r="AT1502" s="18"/>
      <c r="AU1502" s="18"/>
      <c r="AV1502" s="18"/>
      <c r="AW1502" s="18"/>
      <c r="AX1502" s="18"/>
      <c r="AY1502" s="18"/>
      <c r="AZ1502" s="18"/>
      <c r="BA1502" s="18"/>
      <c r="BB1502" s="18"/>
      <c r="BC1502" s="18"/>
      <c r="BD1502" s="18"/>
      <c r="BE1502" s="18"/>
      <c r="BF1502" s="18"/>
      <c r="BG1502" s="18"/>
      <c r="BH1502" s="18"/>
      <c r="BI1502" s="18"/>
      <c r="BJ1502" s="18"/>
      <c r="BK1502" s="18"/>
      <c r="BL1502" s="18"/>
      <c r="BM1502" s="18"/>
      <c r="BN1502" s="18"/>
      <c r="BO1502" s="18"/>
      <c r="BP1502" s="18"/>
      <c r="BQ1502" s="18"/>
      <c r="BR1502" s="18"/>
      <c r="BS1502" s="20"/>
      <c r="BT1502" s="18"/>
      <c r="BU1502" s="18"/>
      <c r="BV1502" s="18"/>
      <c r="BW1502" s="18"/>
      <c r="BX1502" s="18"/>
      <c r="BY1502" s="18"/>
      <c r="BZ1502" s="18"/>
      <c r="CA1502" s="73"/>
      <c r="CC1502" s="18"/>
      <c r="CD1502" s="18"/>
      <c r="CE1502" s="99"/>
      <c r="CF1502" s="99"/>
      <c r="CG1502" s="20"/>
      <c r="CH1502" s="13" t="s">
        <v>1721</v>
      </c>
    </row>
    <row r="1503" spans="1:89" s="61" customFormat="1" ht="12.75" customHeight="1" x14ac:dyDescent="0.2">
      <c r="A1503" s="259" t="s">
        <v>127</v>
      </c>
      <c r="B1503" s="327"/>
      <c r="C1503" s="255"/>
      <c r="D1503" s="327"/>
      <c r="E1503" s="255"/>
      <c r="F1503" s="255"/>
      <c r="G1503" s="255"/>
      <c r="H1503" s="358"/>
      <c r="I1503" s="255"/>
      <c r="J1503" s="255"/>
      <c r="K1503" s="255"/>
      <c r="L1503" s="255"/>
      <c r="M1503" s="297"/>
      <c r="N1503" s="255"/>
      <c r="O1503" s="65"/>
      <c r="P1503" s="297"/>
      <c r="Q1503" s="255"/>
      <c r="R1503" s="297"/>
      <c r="S1503" s="255"/>
      <c r="T1503" s="297"/>
      <c r="U1503" s="255"/>
      <c r="V1503" s="255"/>
      <c r="W1503" s="297"/>
      <c r="X1503" s="255"/>
      <c r="Y1503" s="255"/>
      <c r="Z1503" s="255"/>
      <c r="AA1503" s="255"/>
      <c r="AB1503" s="297"/>
      <c r="AC1503" s="255"/>
      <c r="AD1503" s="255"/>
      <c r="AE1503" s="255"/>
      <c r="AF1503" s="255"/>
      <c r="AG1503" s="255"/>
      <c r="AH1503" s="255"/>
      <c r="AI1503" s="255"/>
      <c r="AJ1503" s="255"/>
      <c r="AK1503" s="255"/>
      <c r="AL1503" s="255"/>
      <c r="AM1503" s="255"/>
      <c r="AN1503" s="255"/>
      <c r="AO1503" s="255"/>
      <c r="AP1503" s="255"/>
      <c r="AQ1503" s="255"/>
      <c r="AR1503" s="255"/>
      <c r="AS1503" s="255"/>
      <c r="AT1503" s="255"/>
      <c r="AU1503" s="255"/>
      <c r="AV1503" s="255"/>
      <c r="AW1503" s="255"/>
      <c r="AX1503" s="255"/>
      <c r="AY1503" s="255"/>
      <c r="AZ1503" s="255"/>
      <c r="BA1503" s="255"/>
      <c r="BB1503" s="255"/>
      <c r="BC1503" s="255"/>
      <c r="BD1503" s="255"/>
      <c r="BE1503" s="255"/>
      <c r="BF1503" s="255"/>
      <c r="BG1503" s="255"/>
      <c r="BH1503" s="255"/>
      <c r="BI1503" s="255"/>
      <c r="BJ1503" s="259"/>
      <c r="BK1503" s="259"/>
      <c r="BL1503" s="255"/>
      <c r="BM1503" s="255"/>
      <c r="BN1503" s="255"/>
      <c r="BO1503" s="255"/>
      <c r="BP1503" s="255"/>
      <c r="BQ1503" s="255"/>
      <c r="BR1503" s="255"/>
      <c r="BS1503" s="358"/>
      <c r="BT1503" s="255"/>
      <c r="BU1503" s="255"/>
      <c r="BV1503" s="255"/>
      <c r="BW1503" s="255"/>
      <c r="BX1503" s="255"/>
      <c r="BY1503" s="255"/>
      <c r="BZ1503" s="255"/>
      <c r="CA1503" s="371"/>
      <c r="CB1503" s="357"/>
      <c r="CC1503" s="255"/>
      <c r="CD1503" s="327" t="s">
        <v>1018</v>
      </c>
      <c r="CE1503" s="342" t="s">
        <v>1635</v>
      </c>
      <c r="CF1503" s="340"/>
      <c r="CG1503" s="97"/>
    </row>
    <row r="1504" spans="1:89" s="301" customFormat="1" ht="12.75" customHeight="1" x14ac:dyDescent="0.2">
      <c r="A1504" s="636" t="s">
        <v>872</v>
      </c>
      <c r="B1504" s="367" t="s">
        <v>873</v>
      </c>
      <c r="C1504" s="367" t="s">
        <v>623</v>
      </c>
      <c r="D1504" s="327" t="s">
        <v>553</v>
      </c>
      <c r="E1504" s="367" t="s">
        <v>901</v>
      </c>
      <c r="F1504" s="367">
        <v>1</v>
      </c>
      <c r="G1504" s="367">
        <v>6</v>
      </c>
      <c r="H1504" s="637">
        <v>6</v>
      </c>
      <c r="I1504" s="256" t="s">
        <v>275</v>
      </c>
      <c r="J1504" s="367">
        <v>1997</v>
      </c>
      <c r="K1504" s="367" t="s">
        <v>1211</v>
      </c>
      <c r="L1504" s="367">
        <v>2002</v>
      </c>
      <c r="M1504" s="638">
        <v>-9999</v>
      </c>
      <c r="N1504" s="367">
        <v>-9999</v>
      </c>
      <c r="O1504" s="339"/>
      <c r="P1504" s="638">
        <f>44.09</f>
        <v>44.09</v>
      </c>
      <c r="Q1504" s="367">
        <v>-9999</v>
      </c>
      <c r="R1504" s="638"/>
      <c r="S1504" s="367"/>
      <c r="T1504" s="646">
        <f>+P1504/G1504</f>
        <v>7.3483333333333336</v>
      </c>
      <c r="U1504" s="367">
        <v>-9999</v>
      </c>
      <c r="V1504" s="367"/>
      <c r="W1504" s="638">
        <v>-9999</v>
      </c>
      <c r="X1504" s="367">
        <v>-9999</v>
      </c>
      <c r="Y1504" s="367"/>
      <c r="Z1504" s="367" t="s">
        <v>875</v>
      </c>
      <c r="AA1504" s="367">
        <v>1794</v>
      </c>
      <c r="AB1504" s="638">
        <v>0.99</v>
      </c>
      <c r="AC1504" s="367">
        <v>11.7</v>
      </c>
      <c r="AD1504" s="262">
        <v>943</v>
      </c>
      <c r="AE1504" s="262" t="s">
        <v>1969</v>
      </c>
      <c r="AF1504" s="367">
        <v>3</v>
      </c>
      <c r="AG1504" s="639" t="s">
        <v>843</v>
      </c>
      <c r="AH1504" s="367" t="s">
        <v>876</v>
      </c>
      <c r="AI1504" s="367" t="s">
        <v>858</v>
      </c>
      <c r="AJ1504" s="327">
        <v>-9999</v>
      </c>
      <c r="AK1504" s="367" t="s">
        <v>877</v>
      </c>
      <c r="AL1504" s="367" t="s">
        <v>828</v>
      </c>
      <c r="AM1504" s="639">
        <v>-9999</v>
      </c>
      <c r="AN1504" s="367" t="s">
        <v>631</v>
      </c>
      <c r="AO1504" s="367" t="s">
        <v>871</v>
      </c>
      <c r="AP1504" s="327" t="s">
        <v>871</v>
      </c>
      <c r="AQ1504" s="327" t="s">
        <v>631</v>
      </c>
      <c r="AR1504" s="327">
        <v>0</v>
      </c>
      <c r="AS1504" s="327">
        <v>-9999</v>
      </c>
      <c r="AT1504" s="327" t="s">
        <v>871</v>
      </c>
      <c r="AU1504" s="327">
        <v>0</v>
      </c>
      <c r="AV1504" s="327">
        <v>-9999</v>
      </c>
      <c r="AW1504" s="327" t="s">
        <v>871</v>
      </c>
      <c r="AX1504" s="327">
        <v>0</v>
      </c>
      <c r="AY1504" s="327">
        <v>-9999</v>
      </c>
      <c r="AZ1504" s="327" t="s">
        <v>871</v>
      </c>
      <c r="BA1504" s="327"/>
      <c r="BB1504" s="367" t="s">
        <v>626</v>
      </c>
      <c r="BC1504" s="367" t="s">
        <v>881</v>
      </c>
      <c r="BD1504" s="367" t="s">
        <v>121</v>
      </c>
      <c r="BE1504" s="367" t="s">
        <v>122</v>
      </c>
      <c r="BF1504" s="367" t="s">
        <v>120</v>
      </c>
      <c r="BG1504" s="367">
        <v>-9999</v>
      </c>
      <c r="BH1504" s="367">
        <v>-9999</v>
      </c>
      <c r="BI1504" s="367" t="s">
        <v>123</v>
      </c>
      <c r="BJ1504" s="367">
        <v>15.67</v>
      </c>
      <c r="BK1504" s="367">
        <v>2.7</v>
      </c>
      <c r="BL1504" s="367">
        <v>8.69</v>
      </c>
      <c r="BM1504" s="367">
        <v>0.83</v>
      </c>
      <c r="BN1504" s="367">
        <v>10.199999999999999</v>
      </c>
      <c r="BO1504" s="367">
        <v>0.8</v>
      </c>
      <c r="BP1504" s="367">
        <v>-9999</v>
      </c>
      <c r="BQ1504" s="367">
        <v>-9999</v>
      </c>
      <c r="BR1504" s="367">
        <v>-9999</v>
      </c>
      <c r="BS1504" s="637">
        <f>+BT1504*14.286</f>
        <v>1054.02108</v>
      </c>
      <c r="BT1504" s="367">
        <v>73.78</v>
      </c>
      <c r="BU1504" s="367">
        <v>-9999</v>
      </c>
      <c r="BV1504" s="367">
        <v>15.46</v>
      </c>
      <c r="BW1504" s="367"/>
      <c r="BX1504" s="367">
        <v>-9999</v>
      </c>
      <c r="BY1504" s="367">
        <v>-9999</v>
      </c>
      <c r="BZ1504" s="367">
        <v>-9999</v>
      </c>
      <c r="CA1504" s="369" t="s">
        <v>867</v>
      </c>
      <c r="CB1504" s="475"/>
      <c r="CC1504" s="367">
        <v>1</v>
      </c>
      <c r="CD1504" s="367" t="s">
        <v>623</v>
      </c>
      <c r="CE1504" s="342">
        <v>7.3483333333333336</v>
      </c>
      <c r="CF1504" s="342">
        <v>-9999</v>
      </c>
      <c r="CG1504" s="356">
        <v>6</v>
      </c>
      <c r="CH1504" s="301" t="s">
        <v>1757</v>
      </c>
    </row>
    <row r="1505" spans="1:86" s="301" customFormat="1" ht="12.75" customHeight="1" x14ac:dyDescent="0.2">
      <c r="A1505" s="366" t="s">
        <v>872</v>
      </c>
      <c r="B1505" s="327" t="s">
        <v>873</v>
      </c>
      <c r="C1505" s="327" t="s">
        <v>1636</v>
      </c>
      <c r="D1505" s="327" t="s">
        <v>553</v>
      </c>
      <c r="E1505" s="327" t="s">
        <v>901</v>
      </c>
      <c r="F1505" s="327">
        <v>1</v>
      </c>
      <c r="G1505" s="327">
        <v>6</v>
      </c>
      <c r="H1505" s="328">
        <v>6</v>
      </c>
      <c r="I1505" s="256" t="s">
        <v>275</v>
      </c>
      <c r="J1505" s="327">
        <v>1997</v>
      </c>
      <c r="K1505" s="367" t="s">
        <v>1211</v>
      </c>
      <c r="L1505" s="327">
        <v>2002</v>
      </c>
      <c r="M1505" s="368">
        <v>-9999</v>
      </c>
      <c r="N1505" s="327">
        <v>-9999</v>
      </c>
      <c r="O1505" s="323"/>
      <c r="P1505" s="368">
        <f>52.84</f>
        <v>52.84</v>
      </c>
      <c r="Q1505" s="327">
        <v>-9999</v>
      </c>
      <c r="R1505" s="368"/>
      <c r="S1505" s="327"/>
      <c r="T1505" s="370">
        <f>+P1505/G1505</f>
        <v>8.8066666666666666</v>
      </c>
      <c r="U1505" s="327">
        <v>-9999</v>
      </c>
      <c r="V1505" s="327"/>
      <c r="W1505" s="368">
        <v>-9999</v>
      </c>
      <c r="X1505" s="327">
        <v>-9999</v>
      </c>
      <c r="Y1505" s="327"/>
      <c r="Z1505" s="327" t="s">
        <v>875</v>
      </c>
      <c r="AA1505" s="327">
        <v>1794</v>
      </c>
      <c r="AB1505" s="368">
        <v>0.99</v>
      </c>
      <c r="AC1505" s="327">
        <v>11.7</v>
      </c>
      <c r="AD1505" s="262">
        <v>943</v>
      </c>
      <c r="AE1505" s="262" t="s">
        <v>1969</v>
      </c>
      <c r="AF1505" s="327">
        <v>3</v>
      </c>
      <c r="AG1505" s="255" t="s">
        <v>843</v>
      </c>
      <c r="AH1505" s="327" t="s">
        <v>876</v>
      </c>
      <c r="AI1505" s="327" t="s">
        <v>858</v>
      </c>
      <c r="AJ1505" s="327">
        <v>-9999</v>
      </c>
      <c r="AK1505" s="327" t="s">
        <v>877</v>
      </c>
      <c r="AL1505" s="327" t="s">
        <v>828</v>
      </c>
      <c r="AM1505" s="255">
        <v>-9999</v>
      </c>
      <c r="AN1505" s="327" t="s">
        <v>626</v>
      </c>
      <c r="AO1505" s="327" t="s">
        <v>826</v>
      </c>
      <c r="AP1505" s="327" t="s">
        <v>879</v>
      </c>
      <c r="AQ1505" s="327" t="s">
        <v>631</v>
      </c>
      <c r="AR1505" s="327">
        <v>0</v>
      </c>
      <c r="AS1505" s="327">
        <v>-9999</v>
      </c>
      <c r="AT1505" s="327" t="s">
        <v>871</v>
      </c>
      <c r="AU1505" s="327">
        <v>0</v>
      </c>
      <c r="AV1505" s="327">
        <v>-9999</v>
      </c>
      <c r="AW1505" s="327" t="s">
        <v>871</v>
      </c>
      <c r="AX1505" s="327">
        <v>0</v>
      </c>
      <c r="AY1505" s="327">
        <v>-9999</v>
      </c>
      <c r="AZ1505" s="327" t="s">
        <v>871</v>
      </c>
      <c r="BA1505" s="327"/>
      <c r="BB1505" s="327" t="s">
        <v>626</v>
      </c>
      <c r="BC1505" s="327" t="s">
        <v>881</v>
      </c>
      <c r="BD1505" s="327" t="s">
        <v>121</v>
      </c>
      <c r="BE1505" s="327" t="s">
        <v>122</v>
      </c>
      <c r="BF1505" s="327" t="s">
        <v>120</v>
      </c>
      <c r="BG1505" s="327">
        <v>-9999</v>
      </c>
      <c r="BH1505" s="327">
        <v>-9999</v>
      </c>
      <c r="BI1505" s="327" t="s">
        <v>123</v>
      </c>
      <c r="BJ1505" s="327">
        <v>18.809999999999999</v>
      </c>
      <c r="BK1505" s="327">
        <v>1.37</v>
      </c>
      <c r="BL1505" s="327">
        <v>9.48</v>
      </c>
      <c r="BM1505" s="327">
        <v>0.31</v>
      </c>
      <c r="BN1505" s="327">
        <v>11.5</v>
      </c>
      <c r="BO1505" s="327">
        <v>0.4</v>
      </c>
      <c r="BP1505" s="327">
        <v>-9999</v>
      </c>
      <c r="BQ1505" s="327">
        <v>-9999</v>
      </c>
      <c r="BR1505" s="327">
        <v>-9999</v>
      </c>
      <c r="BS1505" s="637">
        <f t="shared" ref="BS1505:BS1514" si="165">+BT1505*14.286</f>
        <v>1319.45496</v>
      </c>
      <c r="BT1505" s="327">
        <v>92.36</v>
      </c>
      <c r="BU1505" s="327">
        <v>-9999</v>
      </c>
      <c r="BV1505" s="327">
        <v>8.39</v>
      </c>
      <c r="BW1505" s="327"/>
      <c r="BX1505" s="327">
        <v>-9999</v>
      </c>
      <c r="BY1505" s="327">
        <v>-9999</v>
      </c>
      <c r="BZ1505" s="327">
        <v>-9999</v>
      </c>
      <c r="CA1505" s="369" t="s">
        <v>867</v>
      </c>
      <c r="CB1505" s="475"/>
      <c r="CC1505" s="327">
        <v>1</v>
      </c>
      <c r="CD1505" s="327" t="s">
        <v>1636</v>
      </c>
      <c r="CE1505" s="342">
        <v>8.8066666666666666</v>
      </c>
      <c r="CF1505" s="342">
        <v>-9999</v>
      </c>
      <c r="CG1505" s="328">
        <v>6</v>
      </c>
    </row>
    <row r="1506" spans="1:86" s="13" customFormat="1" ht="12.75" customHeight="1" x14ac:dyDescent="0.25">
      <c r="A1506" s="258" t="s">
        <v>872</v>
      </c>
      <c r="B1506" s="259" t="s">
        <v>873</v>
      </c>
      <c r="C1506" s="259" t="s">
        <v>1637</v>
      </c>
      <c r="D1506" s="259" t="s">
        <v>553</v>
      </c>
      <c r="E1506" s="259" t="s">
        <v>901</v>
      </c>
      <c r="F1506" s="259">
        <v>1</v>
      </c>
      <c r="G1506" s="259">
        <v>6</v>
      </c>
      <c r="H1506" s="260">
        <v>6</v>
      </c>
      <c r="I1506" s="640" t="s">
        <v>275</v>
      </c>
      <c r="J1506" s="259">
        <v>1997</v>
      </c>
      <c r="K1506" s="262" t="s">
        <v>1211</v>
      </c>
      <c r="L1506" s="259">
        <v>2002</v>
      </c>
      <c r="M1506" s="288">
        <v>-9999</v>
      </c>
      <c r="N1506" s="259">
        <v>-9999</v>
      </c>
      <c r="O1506" s="18"/>
      <c r="P1506" s="288">
        <f>65.63</f>
        <v>65.63</v>
      </c>
      <c r="Q1506" s="259">
        <v>-9999</v>
      </c>
      <c r="R1506" s="288"/>
      <c r="S1506" s="259"/>
      <c r="T1506" s="590">
        <f>+P1506/G1506</f>
        <v>10.938333333333333</v>
      </c>
      <c r="U1506" s="259">
        <v>-9999</v>
      </c>
      <c r="V1506" s="259"/>
      <c r="W1506" s="288">
        <v>-9999</v>
      </c>
      <c r="X1506" s="259">
        <v>-9999</v>
      </c>
      <c r="Y1506" s="259"/>
      <c r="Z1506" s="259" t="s">
        <v>875</v>
      </c>
      <c r="AA1506" s="259">
        <v>1794</v>
      </c>
      <c r="AB1506" s="288">
        <v>0.99</v>
      </c>
      <c r="AC1506" s="259">
        <v>11.7</v>
      </c>
      <c r="AD1506" s="262">
        <v>943</v>
      </c>
      <c r="AE1506" s="262" t="s">
        <v>1969</v>
      </c>
      <c r="AF1506" s="259">
        <v>3</v>
      </c>
      <c r="AG1506" s="259" t="s">
        <v>843</v>
      </c>
      <c r="AH1506" s="259" t="s">
        <v>876</v>
      </c>
      <c r="AI1506" s="259" t="s">
        <v>858</v>
      </c>
      <c r="AJ1506" s="259">
        <v>-9999</v>
      </c>
      <c r="AK1506" s="259" t="s">
        <v>877</v>
      </c>
      <c r="AL1506" s="259" t="s">
        <v>828</v>
      </c>
      <c r="AM1506" s="259">
        <v>-9999</v>
      </c>
      <c r="AN1506" s="259" t="s">
        <v>626</v>
      </c>
      <c r="AO1506" s="259" t="s">
        <v>826</v>
      </c>
      <c r="AP1506" s="259" t="s">
        <v>879</v>
      </c>
      <c r="AQ1506" s="259" t="s">
        <v>626</v>
      </c>
      <c r="AR1506" s="259">
        <f>57*6</f>
        <v>342</v>
      </c>
      <c r="AS1506" s="259" t="s">
        <v>554</v>
      </c>
      <c r="AT1506" s="259" t="s">
        <v>546</v>
      </c>
      <c r="AU1506" s="259">
        <f>8.3*6</f>
        <v>49.800000000000004</v>
      </c>
      <c r="AV1506" s="259" t="s">
        <v>548</v>
      </c>
      <c r="AW1506" s="259" t="s">
        <v>546</v>
      </c>
      <c r="AX1506" s="259">
        <f>31.5*6</f>
        <v>189</v>
      </c>
      <c r="AY1506" s="259" t="s">
        <v>550</v>
      </c>
      <c r="AZ1506" s="259" t="s">
        <v>546</v>
      </c>
      <c r="BA1506" s="259"/>
      <c r="BB1506" s="259" t="s">
        <v>626</v>
      </c>
      <c r="BC1506" s="259" t="s">
        <v>881</v>
      </c>
      <c r="BD1506" s="259" t="s">
        <v>121</v>
      </c>
      <c r="BE1506" s="259" t="s">
        <v>122</v>
      </c>
      <c r="BF1506" s="259" t="s">
        <v>880</v>
      </c>
      <c r="BG1506" s="259">
        <v>-9999</v>
      </c>
      <c r="BH1506" s="259">
        <v>-9999</v>
      </c>
      <c r="BI1506" s="259" t="s">
        <v>123</v>
      </c>
      <c r="BJ1506" s="259">
        <v>27.72</v>
      </c>
      <c r="BK1506" s="259">
        <v>6.02</v>
      </c>
      <c r="BL1506" s="259">
        <v>9.76</v>
      </c>
      <c r="BM1506" s="259">
        <v>0.35</v>
      </c>
      <c r="BN1506" s="259">
        <v>11.5</v>
      </c>
      <c r="BO1506" s="259">
        <v>1</v>
      </c>
      <c r="BP1506" s="259">
        <v>-9999</v>
      </c>
      <c r="BQ1506" s="259">
        <v>-9999</v>
      </c>
      <c r="BR1506" s="259">
        <v>-9999</v>
      </c>
      <c r="BS1506" s="619">
        <f t="shared" si="165"/>
        <v>1657.7474400000001</v>
      </c>
      <c r="BT1506" s="259">
        <v>116.04</v>
      </c>
      <c r="BU1506" s="259">
        <v>-9999</v>
      </c>
      <c r="BV1506" s="259">
        <v>8</v>
      </c>
      <c r="BW1506" s="259"/>
      <c r="BX1506" s="259">
        <v>-9999</v>
      </c>
      <c r="BY1506" s="259">
        <v>-9999</v>
      </c>
      <c r="BZ1506" s="259">
        <v>-9999</v>
      </c>
      <c r="CA1506" s="337" t="s">
        <v>867</v>
      </c>
      <c r="CB1506" s="592"/>
      <c r="CC1506" s="259">
        <v>1</v>
      </c>
      <c r="CD1506" s="259" t="s">
        <v>1637</v>
      </c>
      <c r="CE1506" s="99">
        <v>10.938333333333333</v>
      </c>
      <c r="CF1506" s="99">
        <v>-9999</v>
      </c>
      <c r="CG1506" s="212">
        <v>6</v>
      </c>
      <c r="CH1506" s="13" t="s">
        <v>1757</v>
      </c>
    </row>
    <row r="1507" spans="1:86" s="13" customFormat="1" ht="12.75" customHeight="1" x14ac:dyDescent="0.25">
      <c r="A1507" s="258" t="s">
        <v>872</v>
      </c>
      <c r="B1507" s="259" t="s">
        <v>873</v>
      </c>
      <c r="C1507" s="259" t="s">
        <v>1638</v>
      </c>
      <c r="D1507" s="259" t="s">
        <v>553</v>
      </c>
      <c r="E1507" s="259" t="s">
        <v>901</v>
      </c>
      <c r="F1507" s="259">
        <v>1</v>
      </c>
      <c r="G1507" s="259">
        <v>6</v>
      </c>
      <c r="H1507" s="260">
        <v>6</v>
      </c>
      <c r="I1507" s="640" t="s">
        <v>275</v>
      </c>
      <c r="J1507" s="259">
        <v>1997</v>
      </c>
      <c r="K1507" s="262" t="s">
        <v>1211</v>
      </c>
      <c r="L1507" s="259">
        <v>2002</v>
      </c>
      <c r="M1507" s="288">
        <v>-9999</v>
      </c>
      <c r="N1507" s="259">
        <v>-9999</v>
      </c>
      <c r="O1507" s="18"/>
      <c r="P1507" s="288">
        <f>79.16</f>
        <v>79.16</v>
      </c>
      <c r="Q1507" s="259">
        <v>-9999</v>
      </c>
      <c r="R1507" s="288"/>
      <c r="S1507" s="259"/>
      <c r="T1507" s="590">
        <f>+P1507/G1507</f>
        <v>13.193333333333333</v>
      </c>
      <c r="U1507" s="259">
        <v>-9999</v>
      </c>
      <c r="V1507" s="259"/>
      <c r="W1507" s="288">
        <v>-9999</v>
      </c>
      <c r="X1507" s="259">
        <v>-9999</v>
      </c>
      <c r="Y1507" s="259"/>
      <c r="Z1507" s="259" t="s">
        <v>875</v>
      </c>
      <c r="AA1507" s="259">
        <v>1794</v>
      </c>
      <c r="AB1507" s="288">
        <v>0.99</v>
      </c>
      <c r="AC1507" s="259">
        <v>11.7</v>
      </c>
      <c r="AD1507" s="262">
        <v>943</v>
      </c>
      <c r="AE1507" s="262" t="s">
        <v>1969</v>
      </c>
      <c r="AF1507" s="259">
        <v>3</v>
      </c>
      <c r="AG1507" s="259" t="s">
        <v>843</v>
      </c>
      <c r="AH1507" s="259" t="s">
        <v>876</v>
      </c>
      <c r="AI1507" s="259" t="s">
        <v>858</v>
      </c>
      <c r="AJ1507" s="259">
        <v>-9999</v>
      </c>
      <c r="AK1507" s="259" t="s">
        <v>877</v>
      </c>
      <c r="AL1507" s="259" t="s">
        <v>828</v>
      </c>
      <c r="AM1507" s="259">
        <v>-9999</v>
      </c>
      <c r="AN1507" s="259" t="s">
        <v>626</v>
      </c>
      <c r="AO1507" s="259" t="s">
        <v>826</v>
      </c>
      <c r="AP1507" s="259" t="s">
        <v>879</v>
      </c>
      <c r="AQ1507" s="259" t="s">
        <v>626</v>
      </c>
      <c r="AR1507" s="259">
        <f>85*6</f>
        <v>510</v>
      </c>
      <c r="AS1507" s="259" t="s">
        <v>554</v>
      </c>
      <c r="AT1507" s="259" t="s">
        <v>546</v>
      </c>
      <c r="AU1507" s="259">
        <f>12.45*6</f>
        <v>74.699999999999989</v>
      </c>
      <c r="AV1507" s="259" t="s">
        <v>548</v>
      </c>
      <c r="AW1507" s="259" t="s">
        <v>546</v>
      </c>
      <c r="AX1507" s="259">
        <f>47.25*6</f>
        <v>283.5</v>
      </c>
      <c r="AY1507" s="259" t="s">
        <v>550</v>
      </c>
      <c r="AZ1507" s="259" t="s">
        <v>546</v>
      </c>
      <c r="BA1507" s="259"/>
      <c r="BB1507" s="259" t="s">
        <v>626</v>
      </c>
      <c r="BC1507" s="259" t="s">
        <v>881</v>
      </c>
      <c r="BD1507" s="259" t="s">
        <v>121</v>
      </c>
      <c r="BE1507" s="259" t="s">
        <v>122</v>
      </c>
      <c r="BF1507" s="259" t="s">
        <v>880</v>
      </c>
      <c r="BG1507" s="259">
        <v>-9999</v>
      </c>
      <c r="BH1507" s="259">
        <v>-9999</v>
      </c>
      <c r="BI1507" s="259" t="s">
        <v>123</v>
      </c>
      <c r="BJ1507" s="259">
        <v>26.33</v>
      </c>
      <c r="BK1507" s="259">
        <v>1.76</v>
      </c>
      <c r="BL1507" s="259">
        <v>10.86</v>
      </c>
      <c r="BM1507" s="259">
        <v>0.36</v>
      </c>
      <c r="BN1507" s="259">
        <v>13.7</v>
      </c>
      <c r="BO1507" s="259">
        <v>0.6</v>
      </c>
      <c r="BP1507" s="259">
        <v>-9999</v>
      </c>
      <c r="BQ1507" s="259">
        <v>-9999</v>
      </c>
      <c r="BR1507" s="259">
        <v>-9999</v>
      </c>
      <c r="BS1507" s="619">
        <f t="shared" si="165"/>
        <v>2031.8977799999998</v>
      </c>
      <c r="BT1507" s="259">
        <v>142.22999999999999</v>
      </c>
      <c r="BU1507" s="259">
        <v>-9999</v>
      </c>
      <c r="BV1507" s="259">
        <v>13.03</v>
      </c>
      <c r="BW1507" s="259"/>
      <c r="BX1507" s="259">
        <v>-9999</v>
      </c>
      <c r="BY1507" s="259">
        <v>-9999</v>
      </c>
      <c r="BZ1507" s="259">
        <v>-9999</v>
      </c>
      <c r="CA1507" s="337" t="s">
        <v>867</v>
      </c>
      <c r="CB1507" s="592"/>
      <c r="CC1507" s="259">
        <v>1</v>
      </c>
      <c r="CD1507" s="259" t="s">
        <v>1638</v>
      </c>
      <c r="CE1507" s="99">
        <v>13.193333333333333</v>
      </c>
      <c r="CF1507" s="99">
        <v>-9999</v>
      </c>
      <c r="CG1507" s="212">
        <v>6</v>
      </c>
      <c r="CH1507" s="13" t="s">
        <v>1757</v>
      </c>
    </row>
    <row r="1508" spans="1:86" s="13" customFormat="1" ht="12.75" customHeight="1" x14ac:dyDescent="0.25">
      <c r="A1508" s="258" t="s">
        <v>872</v>
      </c>
      <c r="B1508" s="259" t="s">
        <v>873</v>
      </c>
      <c r="C1508" s="259" t="s">
        <v>1639</v>
      </c>
      <c r="D1508" s="259" t="s">
        <v>553</v>
      </c>
      <c r="E1508" s="259" t="s">
        <v>901</v>
      </c>
      <c r="F1508" s="259">
        <v>1</v>
      </c>
      <c r="G1508" s="259">
        <v>6</v>
      </c>
      <c r="H1508" s="260">
        <v>6</v>
      </c>
      <c r="I1508" s="640" t="s">
        <v>275</v>
      </c>
      <c r="J1508" s="259">
        <v>1997</v>
      </c>
      <c r="K1508" s="262" t="s">
        <v>1211</v>
      </c>
      <c r="L1508" s="259">
        <v>2002</v>
      </c>
      <c r="M1508" s="288">
        <v>-9999</v>
      </c>
      <c r="N1508" s="259">
        <v>-9999</v>
      </c>
      <c r="O1508" s="18"/>
      <c r="P1508" s="288">
        <f>72.2</f>
        <v>72.2</v>
      </c>
      <c r="Q1508" s="259">
        <v>-9999</v>
      </c>
      <c r="R1508" s="288"/>
      <c r="S1508" s="259"/>
      <c r="T1508" s="590">
        <f>+P1508/G1508</f>
        <v>12.033333333333333</v>
      </c>
      <c r="U1508" s="259">
        <v>-9999</v>
      </c>
      <c r="V1508" s="259"/>
      <c r="W1508" s="288">
        <v>-9999</v>
      </c>
      <c r="X1508" s="259">
        <v>-9999</v>
      </c>
      <c r="Y1508" s="259"/>
      <c r="Z1508" s="259" t="s">
        <v>875</v>
      </c>
      <c r="AA1508" s="259">
        <v>1794</v>
      </c>
      <c r="AB1508" s="288">
        <v>0.99</v>
      </c>
      <c r="AC1508" s="259">
        <v>11.7</v>
      </c>
      <c r="AD1508" s="262">
        <v>943</v>
      </c>
      <c r="AE1508" s="262" t="s">
        <v>1969</v>
      </c>
      <c r="AF1508" s="259">
        <v>3</v>
      </c>
      <c r="AG1508" s="259" t="s">
        <v>843</v>
      </c>
      <c r="AH1508" s="259" t="s">
        <v>876</v>
      </c>
      <c r="AI1508" s="259" t="s">
        <v>858</v>
      </c>
      <c r="AJ1508" s="259">
        <v>-9999</v>
      </c>
      <c r="AK1508" s="259" t="s">
        <v>877</v>
      </c>
      <c r="AL1508" s="259" t="s">
        <v>828</v>
      </c>
      <c r="AM1508" s="259">
        <v>-9999</v>
      </c>
      <c r="AN1508" s="259" t="s">
        <v>626</v>
      </c>
      <c r="AO1508" s="259" t="s">
        <v>826</v>
      </c>
      <c r="AP1508" s="259" t="s">
        <v>879</v>
      </c>
      <c r="AQ1508" s="259" t="s">
        <v>626</v>
      </c>
      <c r="AR1508" s="259">
        <f>114*6</f>
        <v>684</v>
      </c>
      <c r="AS1508" s="259" t="s">
        <v>554</v>
      </c>
      <c r="AT1508" s="259" t="s">
        <v>546</v>
      </c>
      <c r="AU1508" s="259">
        <f>16.6*6</f>
        <v>99.600000000000009</v>
      </c>
      <c r="AV1508" s="259" t="s">
        <v>548</v>
      </c>
      <c r="AW1508" s="259" t="s">
        <v>546</v>
      </c>
      <c r="AX1508" s="259">
        <f>63*6</f>
        <v>378</v>
      </c>
      <c r="AY1508" s="259" t="s">
        <v>550</v>
      </c>
      <c r="AZ1508" s="259" t="s">
        <v>546</v>
      </c>
      <c r="BA1508" s="259"/>
      <c r="BB1508" s="259" t="s">
        <v>626</v>
      </c>
      <c r="BC1508" s="259" t="s">
        <v>881</v>
      </c>
      <c r="BD1508" s="259" t="s">
        <v>121</v>
      </c>
      <c r="BE1508" s="259" t="s">
        <v>122</v>
      </c>
      <c r="BF1508" s="259" t="s">
        <v>880</v>
      </c>
      <c r="BG1508" s="259">
        <v>-9999</v>
      </c>
      <c r="BH1508" s="259">
        <v>-9999</v>
      </c>
      <c r="BI1508" s="259" t="s">
        <v>123</v>
      </c>
      <c r="BJ1508" s="259">
        <v>24.78</v>
      </c>
      <c r="BK1508" s="259">
        <v>1.85</v>
      </c>
      <c r="BL1508" s="259">
        <v>10.37</v>
      </c>
      <c r="BM1508" s="259">
        <v>0.32</v>
      </c>
      <c r="BN1508" s="259">
        <v>13.3</v>
      </c>
      <c r="BO1508" s="259">
        <v>0.5</v>
      </c>
      <c r="BP1508" s="259">
        <v>-9999</v>
      </c>
      <c r="BQ1508" s="259">
        <v>-9999</v>
      </c>
      <c r="BR1508" s="259">
        <v>-9999</v>
      </c>
      <c r="BS1508" s="619">
        <f t="shared" si="165"/>
        <v>1849.8941400000001</v>
      </c>
      <c r="BT1508" s="259">
        <v>129.49</v>
      </c>
      <c r="BU1508" s="259">
        <v>-9999</v>
      </c>
      <c r="BV1508" s="259">
        <v>11.67</v>
      </c>
      <c r="BW1508" s="259"/>
      <c r="BX1508" s="259">
        <v>-9999</v>
      </c>
      <c r="BY1508" s="259">
        <v>-9999</v>
      </c>
      <c r="BZ1508" s="259">
        <v>-9999</v>
      </c>
      <c r="CA1508" s="337" t="s">
        <v>867</v>
      </c>
      <c r="CB1508" s="592"/>
      <c r="CC1508" s="259">
        <v>1</v>
      </c>
      <c r="CD1508" s="259" t="s">
        <v>1639</v>
      </c>
      <c r="CE1508" s="99">
        <v>12.033333333333333</v>
      </c>
      <c r="CF1508" s="99">
        <v>-9999</v>
      </c>
      <c r="CG1508" s="212">
        <v>6</v>
      </c>
      <c r="CH1508" s="13" t="s">
        <v>1757</v>
      </c>
    </row>
    <row r="1509" spans="1:86" s="13" customFormat="1" ht="12.75" customHeight="1" x14ac:dyDescent="0.2">
      <c r="A1509" s="258"/>
      <c r="B1509" s="259"/>
      <c r="C1509" s="259"/>
      <c r="D1509" s="327"/>
      <c r="E1509" s="259"/>
      <c r="F1509" s="259"/>
      <c r="G1509" s="259"/>
      <c r="H1509" s="260"/>
      <c r="I1509" s="256"/>
      <c r="J1509" s="259"/>
      <c r="K1509" s="367"/>
      <c r="L1509" s="259"/>
      <c r="M1509" s="288"/>
      <c r="N1509" s="259"/>
      <c r="O1509" s="18"/>
      <c r="P1509" s="288"/>
      <c r="Q1509" s="259"/>
      <c r="R1509" s="288"/>
      <c r="S1509" s="259"/>
      <c r="T1509" s="590"/>
      <c r="U1509" s="259"/>
      <c r="V1509" s="259"/>
      <c r="W1509" s="288"/>
      <c r="X1509" s="259"/>
      <c r="Y1509" s="259"/>
      <c r="Z1509" s="259"/>
      <c r="AA1509" s="259"/>
      <c r="AB1509" s="288"/>
      <c r="AC1509" s="259"/>
      <c r="AD1509" s="262"/>
      <c r="AE1509" s="259"/>
      <c r="AF1509" s="259"/>
      <c r="AG1509" s="259"/>
      <c r="AH1509" s="259"/>
      <c r="AI1509" s="259"/>
      <c r="AJ1509" s="259"/>
      <c r="AK1509" s="259"/>
      <c r="AL1509" s="259"/>
      <c r="AM1509" s="259"/>
      <c r="AN1509" s="259"/>
      <c r="AO1509" s="259"/>
      <c r="AP1509" s="259"/>
      <c r="AQ1509" s="259"/>
      <c r="AR1509" s="259"/>
      <c r="AS1509" s="259"/>
      <c r="AT1509" s="259"/>
      <c r="AU1509" s="259"/>
      <c r="AV1509" s="259"/>
      <c r="AW1509" s="259"/>
      <c r="AX1509" s="259"/>
      <c r="AY1509" s="259"/>
      <c r="AZ1509" s="259"/>
      <c r="BA1509" s="259"/>
      <c r="BB1509" s="259"/>
      <c r="BC1509" s="259"/>
      <c r="BD1509" s="259"/>
      <c r="BE1509" s="259"/>
      <c r="BF1509" s="259"/>
      <c r="BG1509" s="259"/>
      <c r="BH1509" s="259"/>
      <c r="BI1509" s="259"/>
      <c r="BJ1509" s="259"/>
      <c r="BK1509" s="259"/>
      <c r="BL1509" s="259"/>
      <c r="BM1509" s="259"/>
      <c r="BN1509" s="259"/>
      <c r="BO1509" s="259"/>
      <c r="BP1509" s="259"/>
      <c r="BQ1509" s="259"/>
      <c r="BR1509" s="259"/>
      <c r="BS1509" s="619"/>
      <c r="BT1509" s="259"/>
      <c r="BU1509" s="259"/>
      <c r="BV1509" s="259"/>
      <c r="BW1509" s="259"/>
      <c r="BX1509" s="259"/>
      <c r="BY1509" s="259"/>
      <c r="BZ1509" s="259"/>
      <c r="CA1509" s="337"/>
      <c r="CB1509" s="592"/>
      <c r="CC1509" s="259"/>
      <c r="CD1509" s="327"/>
      <c r="CE1509" s="342"/>
      <c r="CF1509" s="99"/>
      <c r="CG1509" s="260"/>
    </row>
    <row r="1510" spans="1:86" s="301" customFormat="1" ht="12.75" customHeight="1" x14ac:dyDescent="0.2">
      <c r="A1510" s="366" t="s">
        <v>872</v>
      </c>
      <c r="B1510" s="327" t="s">
        <v>873</v>
      </c>
      <c r="C1510" s="327" t="s">
        <v>623</v>
      </c>
      <c r="D1510" s="327" t="s">
        <v>553</v>
      </c>
      <c r="E1510" s="327" t="s">
        <v>980</v>
      </c>
      <c r="F1510" s="327">
        <v>1</v>
      </c>
      <c r="G1510" s="327">
        <v>6</v>
      </c>
      <c r="H1510" s="328">
        <v>6</v>
      </c>
      <c r="I1510" s="256" t="s">
        <v>275</v>
      </c>
      <c r="J1510" s="327">
        <v>1997</v>
      </c>
      <c r="K1510" s="367" t="s">
        <v>1211</v>
      </c>
      <c r="L1510" s="327">
        <v>2002</v>
      </c>
      <c r="M1510" s="368">
        <v>-9999</v>
      </c>
      <c r="N1510" s="327">
        <v>-9999</v>
      </c>
      <c r="O1510" s="323"/>
      <c r="P1510" s="368">
        <f>30.87</f>
        <v>30.87</v>
      </c>
      <c r="Q1510" s="327">
        <v>-9999</v>
      </c>
      <c r="R1510" s="368"/>
      <c r="S1510" s="327"/>
      <c r="T1510" s="370">
        <f>+P1510/G1510</f>
        <v>5.1450000000000005</v>
      </c>
      <c r="U1510" s="327">
        <v>-9999</v>
      </c>
      <c r="V1510" s="327"/>
      <c r="W1510" s="368">
        <v>-9999</v>
      </c>
      <c r="X1510" s="327">
        <v>-9999</v>
      </c>
      <c r="Y1510" s="327"/>
      <c r="Z1510" s="327" t="s">
        <v>875</v>
      </c>
      <c r="AA1510" s="327">
        <v>1794</v>
      </c>
      <c r="AB1510" s="297">
        <v>0.98</v>
      </c>
      <c r="AC1510" s="327">
        <v>11.7</v>
      </c>
      <c r="AD1510" s="262">
        <v>943</v>
      </c>
      <c r="AE1510" s="262" t="s">
        <v>1969</v>
      </c>
      <c r="AF1510" s="327">
        <v>3</v>
      </c>
      <c r="AG1510" s="255" t="s">
        <v>843</v>
      </c>
      <c r="AH1510" s="327" t="s">
        <v>876</v>
      </c>
      <c r="AI1510" s="327" t="s">
        <v>858</v>
      </c>
      <c r="AJ1510" s="327">
        <v>-9999</v>
      </c>
      <c r="AK1510" s="327" t="s">
        <v>877</v>
      </c>
      <c r="AL1510" s="327" t="s">
        <v>828</v>
      </c>
      <c r="AM1510" s="327">
        <v>-9999</v>
      </c>
      <c r="AN1510" s="327" t="s">
        <v>631</v>
      </c>
      <c r="AO1510" s="327" t="s">
        <v>871</v>
      </c>
      <c r="AP1510" s="327" t="s">
        <v>871</v>
      </c>
      <c r="AQ1510" s="327" t="s">
        <v>631</v>
      </c>
      <c r="AR1510" s="327">
        <v>0</v>
      </c>
      <c r="AS1510" s="327">
        <v>-9999</v>
      </c>
      <c r="AT1510" s="327" t="s">
        <v>871</v>
      </c>
      <c r="AU1510" s="327">
        <v>0</v>
      </c>
      <c r="AV1510" s="327">
        <v>-9999</v>
      </c>
      <c r="AW1510" s="327" t="s">
        <v>871</v>
      </c>
      <c r="AX1510" s="327">
        <v>0</v>
      </c>
      <c r="AY1510" s="327">
        <v>-9999</v>
      </c>
      <c r="AZ1510" s="327" t="s">
        <v>871</v>
      </c>
      <c r="BA1510" s="327"/>
      <c r="BB1510" s="327" t="s">
        <v>626</v>
      </c>
      <c r="BC1510" s="327" t="s">
        <v>881</v>
      </c>
      <c r="BD1510" s="327" t="s">
        <v>121</v>
      </c>
      <c r="BE1510" s="327" t="s">
        <v>122</v>
      </c>
      <c r="BF1510" s="327" t="s">
        <v>120</v>
      </c>
      <c r="BG1510" s="327">
        <v>-9999</v>
      </c>
      <c r="BH1510" s="327">
        <v>-9999</v>
      </c>
      <c r="BI1510" s="327" t="s">
        <v>123</v>
      </c>
      <c r="BJ1510" s="327">
        <v>12.25</v>
      </c>
      <c r="BK1510" s="327">
        <v>1.64</v>
      </c>
      <c r="BL1510" s="327">
        <v>6.19</v>
      </c>
      <c r="BM1510" s="327">
        <v>0.22</v>
      </c>
      <c r="BN1510" s="327">
        <v>9.8000000000000007</v>
      </c>
      <c r="BO1510" s="327">
        <v>0.7</v>
      </c>
      <c r="BP1510" s="327">
        <v>-9999</v>
      </c>
      <c r="BQ1510" s="327">
        <v>-9999</v>
      </c>
      <c r="BR1510" s="327">
        <v>-9999</v>
      </c>
      <c r="BS1510" s="637">
        <f t="shared" si="165"/>
        <v>722.87159999999994</v>
      </c>
      <c r="BT1510" s="327">
        <v>50.6</v>
      </c>
      <c r="BU1510" s="327">
        <v>-9999</v>
      </c>
      <c r="BV1510" s="327">
        <v>6.95</v>
      </c>
      <c r="BW1510" s="327"/>
      <c r="BX1510" s="327">
        <v>-9999</v>
      </c>
      <c r="BY1510" s="327">
        <v>-9999</v>
      </c>
      <c r="BZ1510" s="327">
        <v>-9999</v>
      </c>
      <c r="CA1510" s="369" t="s">
        <v>867</v>
      </c>
      <c r="CB1510" s="475"/>
      <c r="CC1510" s="327">
        <v>1</v>
      </c>
      <c r="CD1510" s="327" t="s">
        <v>623</v>
      </c>
      <c r="CE1510" s="342">
        <v>5.1450000000000005</v>
      </c>
      <c r="CF1510" s="342">
        <v>-9999</v>
      </c>
      <c r="CG1510" s="347">
        <v>6</v>
      </c>
      <c r="CH1510" s="301">
        <v>8</v>
      </c>
    </row>
    <row r="1511" spans="1:86" s="301" customFormat="1" ht="12.75" customHeight="1" x14ac:dyDescent="0.2">
      <c r="A1511" s="366" t="s">
        <v>872</v>
      </c>
      <c r="B1511" s="327" t="s">
        <v>873</v>
      </c>
      <c r="C1511" s="327" t="s">
        <v>1636</v>
      </c>
      <c r="D1511" s="327" t="s">
        <v>553</v>
      </c>
      <c r="E1511" s="327" t="s">
        <v>980</v>
      </c>
      <c r="F1511" s="327">
        <v>1</v>
      </c>
      <c r="G1511" s="327">
        <v>6</v>
      </c>
      <c r="H1511" s="328">
        <v>6</v>
      </c>
      <c r="I1511" s="256" t="s">
        <v>275</v>
      </c>
      <c r="J1511" s="327">
        <v>1997</v>
      </c>
      <c r="K1511" s="367" t="s">
        <v>1211</v>
      </c>
      <c r="L1511" s="327">
        <v>2002</v>
      </c>
      <c r="M1511" s="368">
        <v>-9999</v>
      </c>
      <c r="N1511" s="327">
        <v>-9999</v>
      </c>
      <c r="O1511" s="323"/>
      <c r="P1511" s="368">
        <f>37.11</f>
        <v>37.11</v>
      </c>
      <c r="Q1511" s="327">
        <v>-9999</v>
      </c>
      <c r="R1511" s="368"/>
      <c r="S1511" s="327"/>
      <c r="T1511" s="370">
        <f>+P1511/G1511</f>
        <v>6.1849999999999996</v>
      </c>
      <c r="U1511" s="327">
        <v>-9999</v>
      </c>
      <c r="V1511" s="327"/>
      <c r="W1511" s="368">
        <v>-9999</v>
      </c>
      <c r="X1511" s="327">
        <v>-9999</v>
      </c>
      <c r="Y1511" s="327"/>
      <c r="Z1511" s="327" t="s">
        <v>875</v>
      </c>
      <c r="AA1511" s="327">
        <v>1794</v>
      </c>
      <c r="AB1511" s="297">
        <v>0.98</v>
      </c>
      <c r="AC1511" s="327">
        <v>11.7</v>
      </c>
      <c r="AD1511" s="262">
        <v>943</v>
      </c>
      <c r="AE1511" s="262" t="s">
        <v>1969</v>
      </c>
      <c r="AF1511" s="327">
        <v>3</v>
      </c>
      <c r="AG1511" s="255" t="s">
        <v>843</v>
      </c>
      <c r="AH1511" s="327" t="s">
        <v>876</v>
      </c>
      <c r="AI1511" s="327" t="s">
        <v>858</v>
      </c>
      <c r="AJ1511" s="327">
        <v>-9999</v>
      </c>
      <c r="AK1511" s="327" t="s">
        <v>877</v>
      </c>
      <c r="AL1511" s="327" t="s">
        <v>828</v>
      </c>
      <c r="AM1511" s="327">
        <v>-9999</v>
      </c>
      <c r="AN1511" s="327" t="s">
        <v>626</v>
      </c>
      <c r="AO1511" s="327" t="s">
        <v>826</v>
      </c>
      <c r="AP1511" s="327" t="s">
        <v>879</v>
      </c>
      <c r="AQ1511" s="327" t="s">
        <v>631</v>
      </c>
      <c r="AR1511" s="327">
        <v>0</v>
      </c>
      <c r="AS1511" s="327">
        <v>-9999</v>
      </c>
      <c r="AT1511" s="327" t="s">
        <v>871</v>
      </c>
      <c r="AU1511" s="327">
        <v>0</v>
      </c>
      <c r="AV1511" s="327">
        <v>-9999</v>
      </c>
      <c r="AW1511" s="327" t="s">
        <v>871</v>
      </c>
      <c r="AX1511" s="327">
        <v>0</v>
      </c>
      <c r="AY1511" s="327">
        <v>-9999</v>
      </c>
      <c r="AZ1511" s="327" t="s">
        <v>871</v>
      </c>
      <c r="BA1511" s="327"/>
      <c r="BB1511" s="327" t="s">
        <v>626</v>
      </c>
      <c r="BC1511" s="327" t="s">
        <v>881</v>
      </c>
      <c r="BD1511" s="327" t="s">
        <v>121</v>
      </c>
      <c r="BE1511" s="327" t="s">
        <v>122</v>
      </c>
      <c r="BF1511" s="327" t="s">
        <v>120</v>
      </c>
      <c r="BG1511" s="327">
        <v>-9999</v>
      </c>
      <c r="BH1511" s="327">
        <v>-9999</v>
      </c>
      <c r="BI1511" s="327" t="s">
        <v>123</v>
      </c>
      <c r="BJ1511" s="327">
        <v>13.84</v>
      </c>
      <c r="BK1511" s="327">
        <v>1.35</v>
      </c>
      <c r="BL1511" s="327">
        <v>7.14</v>
      </c>
      <c r="BM1511" s="327">
        <v>0.3</v>
      </c>
      <c r="BN1511" s="327">
        <v>10.8</v>
      </c>
      <c r="BO1511" s="327">
        <v>0.8</v>
      </c>
      <c r="BP1511" s="327">
        <v>-9999</v>
      </c>
      <c r="BQ1511" s="327">
        <v>-9999</v>
      </c>
      <c r="BR1511" s="327">
        <v>-9999</v>
      </c>
      <c r="BS1511" s="637">
        <f t="shared" si="165"/>
        <v>897.58938000000001</v>
      </c>
      <c r="BT1511" s="327">
        <v>62.83</v>
      </c>
      <c r="BU1511" s="327">
        <v>-9999</v>
      </c>
      <c r="BV1511" s="327">
        <v>7.55</v>
      </c>
      <c r="BW1511" s="327"/>
      <c r="BX1511" s="327">
        <v>-9999</v>
      </c>
      <c r="BY1511" s="327">
        <v>-9999</v>
      </c>
      <c r="BZ1511" s="327">
        <v>-9999</v>
      </c>
      <c r="CA1511" s="369" t="s">
        <v>867</v>
      </c>
      <c r="CB1511" s="475"/>
      <c r="CC1511" s="327">
        <v>1</v>
      </c>
      <c r="CD1511" s="327" t="s">
        <v>1636</v>
      </c>
      <c r="CE1511" s="342">
        <v>6.1849999999999996</v>
      </c>
      <c r="CF1511" s="342">
        <v>-9999</v>
      </c>
      <c r="CG1511" s="347">
        <v>6</v>
      </c>
    </row>
    <row r="1512" spans="1:86" s="301" customFormat="1" ht="12.75" customHeight="1" x14ac:dyDescent="0.3">
      <c r="A1512" s="366" t="s">
        <v>872</v>
      </c>
      <c r="B1512" s="327" t="s">
        <v>873</v>
      </c>
      <c r="C1512" s="327" t="s">
        <v>1637</v>
      </c>
      <c r="D1512" s="327" t="s">
        <v>553</v>
      </c>
      <c r="E1512" s="327" t="s">
        <v>980</v>
      </c>
      <c r="F1512" s="327">
        <v>1</v>
      </c>
      <c r="G1512" s="327">
        <v>6</v>
      </c>
      <c r="H1512" s="328">
        <v>6</v>
      </c>
      <c r="I1512" s="256" t="s">
        <v>275</v>
      </c>
      <c r="J1512" s="327">
        <v>1997</v>
      </c>
      <c r="K1512" s="367" t="s">
        <v>1211</v>
      </c>
      <c r="L1512" s="327">
        <v>2002</v>
      </c>
      <c r="M1512" s="368">
        <v>-9999</v>
      </c>
      <c r="N1512" s="327">
        <v>-9999</v>
      </c>
      <c r="O1512" s="323"/>
      <c r="P1512" s="368">
        <f>51.41</f>
        <v>51.41</v>
      </c>
      <c r="Q1512" s="327">
        <v>-9999</v>
      </c>
      <c r="R1512" s="368"/>
      <c r="S1512" s="327"/>
      <c r="T1512" s="370">
        <f>+P1512/G1512</f>
        <v>8.5683333333333334</v>
      </c>
      <c r="U1512" s="327">
        <v>-9999</v>
      </c>
      <c r="V1512" s="327"/>
      <c r="W1512" s="368">
        <v>-9999</v>
      </c>
      <c r="X1512" s="327">
        <v>-9999</v>
      </c>
      <c r="Y1512" s="327"/>
      <c r="Z1512" s="327" t="s">
        <v>875</v>
      </c>
      <c r="AA1512" s="327">
        <v>1794</v>
      </c>
      <c r="AB1512" s="297">
        <v>0.98</v>
      </c>
      <c r="AC1512" s="327">
        <v>11.7</v>
      </c>
      <c r="AD1512" s="262">
        <v>943</v>
      </c>
      <c r="AE1512" s="262" t="s">
        <v>1969</v>
      </c>
      <c r="AF1512" s="327">
        <v>3</v>
      </c>
      <c r="AG1512" s="255" t="s">
        <v>843</v>
      </c>
      <c r="AH1512" s="327" t="s">
        <v>876</v>
      </c>
      <c r="AI1512" s="327" t="s">
        <v>858</v>
      </c>
      <c r="AJ1512" s="327">
        <v>-9999</v>
      </c>
      <c r="AK1512" s="327" t="s">
        <v>877</v>
      </c>
      <c r="AL1512" s="327" t="s">
        <v>828</v>
      </c>
      <c r="AM1512" s="327">
        <v>-9999</v>
      </c>
      <c r="AN1512" s="327" t="s">
        <v>626</v>
      </c>
      <c r="AO1512" s="327" t="s">
        <v>826</v>
      </c>
      <c r="AP1512" s="327" t="s">
        <v>879</v>
      </c>
      <c r="AQ1512" s="327" t="s">
        <v>626</v>
      </c>
      <c r="AR1512" s="327">
        <f>57*6</f>
        <v>342</v>
      </c>
      <c r="AS1512" s="327" t="s">
        <v>547</v>
      </c>
      <c r="AT1512" s="327" t="s">
        <v>546</v>
      </c>
      <c r="AU1512" s="327">
        <f>8.3*6</f>
        <v>49.800000000000004</v>
      </c>
      <c r="AV1512" s="327" t="s">
        <v>549</v>
      </c>
      <c r="AW1512" s="327" t="s">
        <v>546</v>
      </c>
      <c r="AX1512" s="327">
        <f>31.5*6</f>
        <v>189</v>
      </c>
      <c r="AY1512" s="327" t="s">
        <v>551</v>
      </c>
      <c r="AZ1512" s="327" t="s">
        <v>546</v>
      </c>
      <c r="BA1512" s="327"/>
      <c r="BB1512" s="327" t="s">
        <v>626</v>
      </c>
      <c r="BC1512" s="327" t="s">
        <v>881</v>
      </c>
      <c r="BD1512" s="327" t="s">
        <v>121</v>
      </c>
      <c r="BE1512" s="327" t="s">
        <v>122</v>
      </c>
      <c r="BF1512" s="327" t="s">
        <v>880</v>
      </c>
      <c r="BG1512" s="327">
        <v>-9999</v>
      </c>
      <c r="BH1512" s="327">
        <v>-9999</v>
      </c>
      <c r="BI1512" s="327" t="s">
        <v>123</v>
      </c>
      <c r="BJ1512" s="327">
        <v>18.48</v>
      </c>
      <c r="BK1512" s="327">
        <v>0.95</v>
      </c>
      <c r="BL1512" s="327">
        <v>7.81</v>
      </c>
      <c r="BM1512" s="327">
        <v>0.22</v>
      </c>
      <c r="BN1512" s="327">
        <v>12</v>
      </c>
      <c r="BO1512" s="327">
        <v>0.2</v>
      </c>
      <c r="BP1512" s="327">
        <v>-9999</v>
      </c>
      <c r="BQ1512" s="327">
        <v>-9999</v>
      </c>
      <c r="BR1512" s="327">
        <v>-9999</v>
      </c>
      <c r="BS1512" s="637">
        <f t="shared" si="165"/>
        <v>1262.0252399999999</v>
      </c>
      <c r="BT1512" s="327">
        <v>88.34</v>
      </c>
      <c r="BU1512" s="327">
        <v>-9999</v>
      </c>
      <c r="BV1512" s="327">
        <v>6.55</v>
      </c>
      <c r="BW1512" s="327"/>
      <c r="BX1512" s="327">
        <v>-9999</v>
      </c>
      <c r="BY1512" s="327">
        <v>-9999</v>
      </c>
      <c r="BZ1512" s="327">
        <v>-9999</v>
      </c>
      <c r="CA1512" s="369" t="s">
        <v>867</v>
      </c>
      <c r="CB1512" s="475"/>
      <c r="CC1512" s="327">
        <v>1</v>
      </c>
      <c r="CD1512" s="327" t="s">
        <v>1637</v>
      </c>
      <c r="CE1512" s="342">
        <v>8.5683333333333334</v>
      </c>
      <c r="CF1512" s="342">
        <v>-9999</v>
      </c>
      <c r="CG1512" s="347">
        <v>6</v>
      </c>
    </row>
    <row r="1513" spans="1:86" s="301" customFormat="1" ht="12.75" customHeight="1" x14ac:dyDescent="0.3">
      <c r="A1513" s="366" t="s">
        <v>872</v>
      </c>
      <c r="B1513" s="327" t="s">
        <v>873</v>
      </c>
      <c r="C1513" s="327" t="s">
        <v>1638</v>
      </c>
      <c r="D1513" s="327" t="s">
        <v>553</v>
      </c>
      <c r="E1513" s="327" t="s">
        <v>980</v>
      </c>
      <c r="F1513" s="327">
        <v>1</v>
      </c>
      <c r="G1513" s="327">
        <v>6</v>
      </c>
      <c r="H1513" s="328">
        <v>6</v>
      </c>
      <c r="I1513" s="256" t="s">
        <v>275</v>
      </c>
      <c r="J1513" s="327">
        <v>1997</v>
      </c>
      <c r="K1513" s="367" t="s">
        <v>1211</v>
      </c>
      <c r="L1513" s="327">
        <v>2002</v>
      </c>
      <c r="M1513" s="368">
        <v>-9999</v>
      </c>
      <c r="N1513" s="327">
        <v>-9999</v>
      </c>
      <c r="O1513" s="323"/>
      <c r="P1513" s="368">
        <f>58.96</f>
        <v>58.96</v>
      </c>
      <c r="Q1513" s="327">
        <v>-9999</v>
      </c>
      <c r="R1513" s="368"/>
      <c r="S1513" s="327"/>
      <c r="T1513" s="370">
        <f>+P1513/G1513</f>
        <v>9.8266666666666662</v>
      </c>
      <c r="U1513" s="327">
        <v>-9999</v>
      </c>
      <c r="V1513" s="327"/>
      <c r="W1513" s="368">
        <v>-9999</v>
      </c>
      <c r="X1513" s="327">
        <v>-9999</v>
      </c>
      <c r="Y1513" s="327"/>
      <c r="Z1513" s="327" t="s">
        <v>875</v>
      </c>
      <c r="AA1513" s="327">
        <v>1794</v>
      </c>
      <c r="AB1513" s="368">
        <v>0.98</v>
      </c>
      <c r="AC1513" s="327">
        <v>11.7</v>
      </c>
      <c r="AD1513" s="367">
        <v>943</v>
      </c>
      <c r="AE1513" s="367" t="s">
        <v>1969</v>
      </c>
      <c r="AF1513" s="327">
        <v>3</v>
      </c>
      <c r="AG1513" s="327" t="s">
        <v>843</v>
      </c>
      <c r="AH1513" s="327" t="s">
        <v>876</v>
      </c>
      <c r="AI1513" s="327" t="s">
        <v>858</v>
      </c>
      <c r="AJ1513" s="327">
        <v>-9999</v>
      </c>
      <c r="AK1513" s="327" t="s">
        <v>877</v>
      </c>
      <c r="AL1513" s="327" t="s">
        <v>828</v>
      </c>
      <c r="AM1513" s="327">
        <v>-9999</v>
      </c>
      <c r="AN1513" s="327" t="s">
        <v>626</v>
      </c>
      <c r="AO1513" s="327" t="s">
        <v>826</v>
      </c>
      <c r="AP1513" s="327" t="s">
        <v>879</v>
      </c>
      <c r="AQ1513" s="327" t="s">
        <v>626</v>
      </c>
      <c r="AR1513" s="327">
        <f>85*6</f>
        <v>510</v>
      </c>
      <c r="AS1513" s="327" t="s">
        <v>547</v>
      </c>
      <c r="AT1513" s="327" t="s">
        <v>546</v>
      </c>
      <c r="AU1513" s="327">
        <f>12.45*6</f>
        <v>74.699999999999989</v>
      </c>
      <c r="AV1513" s="327" t="s">
        <v>549</v>
      </c>
      <c r="AW1513" s="327" t="s">
        <v>546</v>
      </c>
      <c r="AX1513" s="327">
        <f>47.25*6</f>
        <v>283.5</v>
      </c>
      <c r="AY1513" s="327" t="s">
        <v>551</v>
      </c>
      <c r="AZ1513" s="327" t="s">
        <v>546</v>
      </c>
      <c r="BA1513" s="327"/>
      <c r="BB1513" s="327" t="s">
        <v>626</v>
      </c>
      <c r="BC1513" s="327" t="s">
        <v>881</v>
      </c>
      <c r="BD1513" s="327" t="s">
        <v>121</v>
      </c>
      <c r="BE1513" s="327" t="s">
        <v>122</v>
      </c>
      <c r="BF1513" s="327" t="s">
        <v>880</v>
      </c>
      <c r="BG1513" s="327">
        <v>-9999</v>
      </c>
      <c r="BH1513" s="327">
        <v>-9999</v>
      </c>
      <c r="BI1513" s="327" t="s">
        <v>123</v>
      </c>
      <c r="BJ1513" s="327">
        <v>19.98</v>
      </c>
      <c r="BK1513" s="327">
        <v>0.6</v>
      </c>
      <c r="BL1513" s="327">
        <v>8.24</v>
      </c>
      <c r="BM1513" s="327">
        <v>0.15</v>
      </c>
      <c r="BN1513" s="327">
        <v>12.3</v>
      </c>
      <c r="BO1513" s="327">
        <v>0.1</v>
      </c>
      <c r="BP1513" s="327">
        <v>-9999</v>
      </c>
      <c r="BQ1513" s="327">
        <v>-9999</v>
      </c>
      <c r="BR1513" s="327">
        <v>-9999</v>
      </c>
      <c r="BS1513" s="637">
        <f t="shared" si="165"/>
        <v>1415.5997400000001</v>
      </c>
      <c r="BT1513" s="327">
        <v>99.09</v>
      </c>
      <c r="BU1513" s="327">
        <v>-9999</v>
      </c>
      <c r="BV1513" s="327">
        <v>4.3099999999999996</v>
      </c>
      <c r="BW1513" s="327"/>
      <c r="BX1513" s="327">
        <v>-9999</v>
      </c>
      <c r="BY1513" s="327">
        <v>-9999</v>
      </c>
      <c r="BZ1513" s="327">
        <v>-9999</v>
      </c>
      <c r="CA1513" s="369" t="s">
        <v>867</v>
      </c>
      <c r="CB1513" s="475"/>
      <c r="CC1513" s="327">
        <v>1</v>
      </c>
      <c r="CD1513" s="327" t="s">
        <v>1638</v>
      </c>
      <c r="CE1513" s="342">
        <v>9.8266666666666662</v>
      </c>
      <c r="CF1513" s="342">
        <v>-9999</v>
      </c>
      <c r="CG1513" s="347">
        <v>6</v>
      </c>
    </row>
    <row r="1514" spans="1:86" s="301" customFormat="1" ht="12.75" customHeight="1" x14ac:dyDescent="0.3">
      <c r="A1514" s="366" t="s">
        <v>872</v>
      </c>
      <c r="B1514" s="327" t="s">
        <v>873</v>
      </c>
      <c r="C1514" s="327" t="s">
        <v>1640</v>
      </c>
      <c r="D1514" s="327" t="s">
        <v>553</v>
      </c>
      <c r="E1514" s="327" t="s">
        <v>980</v>
      </c>
      <c r="F1514" s="327">
        <v>1</v>
      </c>
      <c r="G1514" s="327">
        <v>6</v>
      </c>
      <c r="H1514" s="328">
        <v>6</v>
      </c>
      <c r="I1514" s="256" t="s">
        <v>275</v>
      </c>
      <c r="J1514" s="327">
        <v>1997</v>
      </c>
      <c r="K1514" s="367" t="s">
        <v>1211</v>
      </c>
      <c r="L1514" s="327">
        <v>2002</v>
      </c>
      <c r="M1514" s="368">
        <v>-9999</v>
      </c>
      <c r="N1514" s="327">
        <v>-9999</v>
      </c>
      <c r="O1514" s="323"/>
      <c r="P1514" s="368">
        <f>55.81</f>
        <v>55.81</v>
      </c>
      <c r="Q1514" s="327">
        <v>-9999</v>
      </c>
      <c r="R1514" s="368"/>
      <c r="S1514" s="327"/>
      <c r="T1514" s="370">
        <f>+P1514/G1514</f>
        <v>9.3016666666666676</v>
      </c>
      <c r="U1514" s="327">
        <v>-9999</v>
      </c>
      <c r="V1514" s="327"/>
      <c r="W1514" s="368">
        <v>-9999</v>
      </c>
      <c r="X1514" s="327">
        <v>-9999</v>
      </c>
      <c r="Y1514" s="327"/>
      <c r="Z1514" s="327" t="s">
        <v>875</v>
      </c>
      <c r="AA1514" s="327">
        <v>1794</v>
      </c>
      <c r="AB1514" s="297">
        <v>0.98</v>
      </c>
      <c r="AC1514" s="327">
        <v>11.7</v>
      </c>
      <c r="AD1514" s="262">
        <v>943</v>
      </c>
      <c r="AE1514" s="262" t="s">
        <v>1969</v>
      </c>
      <c r="AF1514" s="327">
        <v>3</v>
      </c>
      <c r="AG1514" s="255" t="s">
        <v>843</v>
      </c>
      <c r="AH1514" s="327" t="s">
        <v>876</v>
      </c>
      <c r="AI1514" s="327" t="s">
        <v>858</v>
      </c>
      <c r="AJ1514" s="327">
        <v>-9999</v>
      </c>
      <c r="AK1514" s="327" t="s">
        <v>877</v>
      </c>
      <c r="AL1514" s="327" t="s">
        <v>828</v>
      </c>
      <c r="AM1514" s="327">
        <v>-9999</v>
      </c>
      <c r="AN1514" s="327" t="s">
        <v>626</v>
      </c>
      <c r="AO1514" s="327" t="s">
        <v>826</v>
      </c>
      <c r="AP1514" s="327" t="s">
        <v>879</v>
      </c>
      <c r="AQ1514" s="327" t="s">
        <v>626</v>
      </c>
      <c r="AR1514" s="327">
        <f>114*6</f>
        <v>684</v>
      </c>
      <c r="AS1514" s="327" t="s">
        <v>547</v>
      </c>
      <c r="AT1514" s="327" t="s">
        <v>546</v>
      </c>
      <c r="AU1514" s="327">
        <f>16.6*6</f>
        <v>99.600000000000009</v>
      </c>
      <c r="AV1514" s="327" t="s">
        <v>549</v>
      </c>
      <c r="AW1514" s="327" t="s">
        <v>546</v>
      </c>
      <c r="AX1514" s="327">
        <f>63*6</f>
        <v>378</v>
      </c>
      <c r="AY1514" s="327" t="s">
        <v>551</v>
      </c>
      <c r="AZ1514" s="327" t="s">
        <v>546</v>
      </c>
      <c r="BA1514" s="327"/>
      <c r="BB1514" s="327" t="s">
        <v>626</v>
      </c>
      <c r="BC1514" s="327" t="s">
        <v>881</v>
      </c>
      <c r="BD1514" s="327" t="s">
        <v>121</v>
      </c>
      <c r="BE1514" s="327" t="s">
        <v>122</v>
      </c>
      <c r="BF1514" s="327" t="s">
        <v>880</v>
      </c>
      <c r="BG1514" s="327">
        <v>-9999</v>
      </c>
      <c r="BH1514" s="327">
        <v>-9999</v>
      </c>
      <c r="BI1514" s="327" t="s">
        <v>123</v>
      </c>
      <c r="BJ1514" s="327">
        <v>19.41</v>
      </c>
      <c r="BK1514" s="327">
        <v>1.05</v>
      </c>
      <c r="BL1514" s="327">
        <v>8.11</v>
      </c>
      <c r="BM1514" s="327">
        <v>0.11</v>
      </c>
      <c r="BN1514" s="327">
        <v>12.6</v>
      </c>
      <c r="BO1514" s="327">
        <v>0.5</v>
      </c>
      <c r="BP1514" s="327">
        <v>-9999</v>
      </c>
      <c r="BQ1514" s="327">
        <v>-9999</v>
      </c>
      <c r="BR1514" s="327">
        <v>-9999</v>
      </c>
      <c r="BS1514" s="637">
        <f t="shared" si="165"/>
        <v>1360.0272</v>
      </c>
      <c r="BT1514" s="327">
        <v>95.2</v>
      </c>
      <c r="BU1514" s="327">
        <v>-9999</v>
      </c>
      <c r="BV1514" s="327">
        <v>5.7</v>
      </c>
      <c r="BW1514" s="327"/>
      <c r="BX1514" s="327">
        <v>-9999</v>
      </c>
      <c r="BY1514" s="327">
        <v>-9999</v>
      </c>
      <c r="BZ1514" s="327">
        <v>-9999</v>
      </c>
      <c r="CA1514" s="369" t="s">
        <v>867</v>
      </c>
      <c r="CB1514" s="475"/>
      <c r="CC1514" s="327">
        <v>1</v>
      </c>
      <c r="CD1514" s="327" t="s">
        <v>1640</v>
      </c>
      <c r="CE1514" s="342">
        <v>9.3016666666666676</v>
      </c>
      <c r="CF1514" s="342">
        <v>-9999</v>
      </c>
      <c r="CG1514" s="347">
        <v>6</v>
      </c>
    </row>
    <row r="1515" spans="1:86" s="301" customFormat="1" ht="12.75" customHeight="1" x14ac:dyDescent="0.2">
      <c r="A1515" s="642"/>
      <c r="B1515" s="323"/>
      <c r="C1515" s="65"/>
      <c r="D1515" s="65"/>
      <c r="E1515" s="65"/>
      <c r="F1515" s="65"/>
      <c r="G1515" s="65"/>
      <c r="H1515" s="65"/>
      <c r="I1515" s="65"/>
      <c r="J1515" s="65"/>
      <c r="K1515" s="65"/>
      <c r="L1515" s="65"/>
      <c r="M1515" s="67"/>
      <c r="N1515" s="65"/>
      <c r="O1515" s="65"/>
      <c r="P1515" s="311"/>
      <c r="Q1515" s="65"/>
      <c r="R1515" s="67"/>
      <c r="S1515" s="65"/>
      <c r="T1515" s="67"/>
      <c r="U1515" s="65"/>
      <c r="V1515" s="65"/>
      <c r="W1515" s="67"/>
      <c r="X1515" s="65"/>
      <c r="Y1515" s="65"/>
      <c r="Z1515" s="323"/>
      <c r="AA1515" s="323"/>
      <c r="AB1515" s="311"/>
      <c r="AC1515" s="323"/>
      <c r="AD1515" s="323"/>
      <c r="AE1515" s="323"/>
      <c r="AF1515" s="323"/>
      <c r="AG1515" s="65"/>
      <c r="AH1515" s="323"/>
      <c r="AI1515" s="323"/>
      <c r="AJ1515" s="18"/>
      <c r="AK1515" s="323"/>
      <c r="AL1515" s="323"/>
      <c r="AM1515" s="323"/>
      <c r="AN1515" s="323"/>
      <c r="AO1515" s="323"/>
      <c r="AP1515" s="323"/>
      <c r="AQ1515" s="323"/>
      <c r="AR1515" s="323"/>
      <c r="AS1515" s="323"/>
      <c r="AT1515" s="323"/>
      <c r="AU1515" s="323"/>
      <c r="AV1515" s="323"/>
      <c r="AW1515" s="323"/>
      <c r="AX1515" s="323"/>
      <c r="AY1515" s="323"/>
      <c r="AZ1515" s="323"/>
      <c r="BA1515" s="323"/>
      <c r="BB1515" s="323"/>
      <c r="BC1515" s="323"/>
      <c r="BD1515" s="323"/>
      <c r="BE1515" s="323"/>
      <c r="BF1515" s="323"/>
      <c r="BG1515" s="323"/>
      <c r="BH1515" s="323"/>
      <c r="BI1515" s="323"/>
      <c r="BJ1515" s="323"/>
      <c r="BK1515" s="323"/>
      <c r="BL1515" s="323"/>
      <c r="BM1515" s="323"/>
      <c r="BN1515" s="323"/>
      <c r="BO1515" s="323"/>
      <c r="BP1515" s="323"/>
      <c r="BQ1515" s="323"/>
      <c r="BR1515" s="323"/>
      <c r="BS1515" s="291"/>
      <c r="BT1515" s="323"/>
      <c r="BU1515" s="323"/>
      <c r="BV1515" s="323"/>
      <c r="BW1515" s="323"/>
      <c r="BX1515" s="323"/>
      <c r="BY1515" s="323"/>
      <c r="BZ1515" s="323"/>
      <c r="CA1515" s="365"/>
      <c r="CC1515" s="65"/>
      <c r="CG1515" s="65"/>
    </row>
    <row r="1516" spans="1:86" s="61" customFormat="1" ht="12.75" customHeight="1" x14ac:dyDescent="0.2">
      <c r="A1516" s="18" t="s">
        <v>127</v>
      </c>
      <c r="B1516" s="323"/>
      <c r="C1516" s="65"/>
      <c r="D1516" s="65"/>
      <c r="E1516" s="65"/>
      <c r="F1516" s="65"/>
      <c r="G1516" s="65"/>
      <c r="H1516" s="68"/>
      <c r="I1516" s="65"/>
      <c r="J1516" s="65"/>
      <c r="K1516" s="65"/>
      <c r="L1516" s="65"/>
      <c r="M1516" s="67"/>
      <c r="N1516" s="65"/>
      <c r="O1516" s="65"/>
      <c r="P1516" s="67"/>
      <c r="Q1516" s="65"/>
      <c r="R1516" s="67"/>
      <c r="S1516" s="65"/>
      <c r="T1516" s="737"/>
      <c r="U1516" s="65"/>
      <c r="V1516" s="311"/>
      <c r="W1516" s="67"/>
      <c r="X1516" s="65"/>
      <c r="Y1516" s="311"/>
      <c r="Z1516" s="65"/>
      <c r="AA1516" s="65"/>
      <c r="AB1516" s="67"/>
      <c r="AC1516" s="65"/>
      <c r="AD1516" s="65"/>
      <c r="AE1516" s="65"/>
      <c r="AF1516" s="65"/>
      <c r="AG1516" s="65"/>
      <c r="AH1516" s="65"/>
      <c r="AI1516" s="65"/>
      <c r="AJ1516" s="65"/>
      <c r="AK1516" s="65"/>
      <c r="AL1516" s="65"/>
      <c r="AM1516" s="65"/>
      <c r="AN1516" s="323"/>
      <c r="AO1516" s="65"/>
      <c r="AP1516" s="65"/>
      <c r="AQ1516" s="65"/>
      <c r="AR1516" s="65"/>
      <c r="AS1516" s="65"/>
      <c r="AT1516" s="65"/>
      <c r="AU1516" s="65"/>
      <c r="AV1516" s="65"/>
      <c r="AW1516" s="65"/>
      <c r="AX1516" s="65"/>
      <c r="AY1516" s="65"/>
      <c r="AZ1516" s="65"/>
      <c r="BA1516" s="65"/>
      <c r="BB1516" s="65"/>
      <c r="BC1516" s="65"/>
      <c r="BD1516" s="65"/>
      <c r="BE1516" s="65"/>
      <c r="BF1516" s="65"/>
      <c r="BG1516" s="65"/>
      <c r="BH1516" s="65"/>
      <c r="BI1516" s="323"/>
      <c r="BJ1516" s="65"/>
      <c r="BK1516" s="65"/>
      <c r="BL1516" s="65"/>
      <c r="BM1516" s="65"/>
      <c r="BN1516" s="65"/>
      <c r="BO1516" s="65"/>
      <c r="BP1516" s="65"/>
      <c r="BQ1516" s="65"/>
      <c r="BR1516" s="65"/>
      <c r="BS1516" s="68"/>
      <c r="BT1516" s="65"/>
      <c r="BU1516" s="65"/>
      <c r="BV1516" s="65"/>
      <c r="BW1516" s="65"/>
      <c r="BX1516" s="65"/>
      <c r="BY1516" s="65"/>
      <c r="BZ1516" s="65"/>
      <c r="CA1516" s="69"/>
      <c r="CC1516" s="65"/>
      <c r="CD1516" s="323" t="s">
        <v>1641</v>
      </c>
      <c r="CE1516" s="340"/>
      <c r="CF1516" s="340"/>
      <c r="CG1516" s="68"/>
    </row>
    <row r="1517" spans="1:86" s="301" customFormat="1" ht="12.75" customHeight="1" x14ac:dyDescent="0.2">
      <c r="A1517" s="327" t="s">
        <v>981</v>
      </c>
      <c r="B1517" s="327" t="s">
        <v>982</v>
      </c>
      <c r="C1517" s="327" t="s">
        <v>983</v>
      </c>
      <c r="D1517" s="327" t="s">
        <v>553</v>
      </c>
      <c r="E1517" s="327" t="s">
        <v>901</v>
      </c>
      <c r="F1517" s="327">
        <v>1</v>
      </c>
      <c r="G1517" s="328">
        <v>1</v>
      </c>
      <c r="H1517" s="328">
        <v>1</v>
      </c>
      <c r="I1517" s="327" t="s">
        <v>783</v>
      </c>
      <c r="J1517" s="327">
        <v>1987</v>
      </c>
      <c r="K1517" s="327" t="s">
        <v>783</v>
      </c>
      <c r="L1517" s="327">
        <v>1988</v>
      </c>
      <c r="M1517" s="368">
        <v>-9999</v>
      </c>
      <c r="N1517" s="327">
        <v>-9999</v>
      </c>
      <c r="O1517" s="323">
        <v>-9999</v>
      </c>
      <c r="P1517" s="368">
        <v>-9999</v>
      </c>
      <c r="Q1517" s="327">
        <v>-9999</v>
      </c>
      <c r="R1517" s="368">
        <v>-9999</v>
      </c>
      <c r="S1517" s="327"/>
      <c r="T1517" s="368">
        <v>-9999</v>
      </c>
      <c r="U1517" s="367">
        <v>-9999</v>
      </c>
      <c r="V1517" s="327">
        <v>-9999</v>
      </c>
      <c r="W1517" s="368">
        <v>-9999</v>
      </c>
      <c r="X1517" s="367">
        <v>-9999</v>
      </c>
      <c r="Y1517" s="327">
        <v>-9999</v>
      </c>
      <c r="Z1517" s="327" t="s">
        <v>1707</v>
      </c>
      <c r="AA1517" s="327">
        <v>1660</v>
      </c>
      <c r="AB1517" s="368">
        <v>1</v>
      </c>
      <c r="AC1517" s="327">
        <f>0.15*4</f>
        <v>0.6</v>
      </c>
      <c r="AD1517" s="327">
        <v>0.15</v>
      </c>
      <c r="AE1517" s="328" t="s">
        <v>1970</v>
      </c>
      <c r="AF1517" s="327">
        <v>4</v>
      </c>
      <c r="AG1517" s="327" t="s">
        <v>843</v>
      </c>
      <c r="AH1517" s="327" t="s">
        <v>876</v>
      </c>
      <c r="AI1517" s="327" t="s">
        <v>985</v>
      </c>
      <c r="AJ1517" s="327" t="s">
        <v>892</v>
      </c>
      <c r="AK1517" s="327" t="s">
        <v>966</v>
      </c>
      <c r="AL1517" s="327" t="s">
        <v>828</v>
      </c>
      <c r="AM1517" s="327" t="s">
        <v>871</v>
      </c>
      <c r="AN1517" s="327" t="s">
        <v>631</v>
      </c>
      <c r="AO1517" s="327">
        <v>-9999</v>
      </c>
      <c r="AP1517" s="327">
        <v>-9999</v>
      </c>
      <c r="AQ1517" s="367" t="s">
        <v>631</v>
      </c>
      <c r="AR1517" s="327">
        <v>0</v>
      </c>
      <c r="AS1517" s="327">
        <v>-9999</v>
      </c>
      <c r="AT1517" s="327">
        <v>-9999</v>
      </c>
      <c r="AU1517" s="327">
        <v>0</v>
      </c>
      <c r="AV1517" s="327">
        <v>-9999</v>
      </c>
      <c r="AW1517" s="327">
        <v>-9999</v>
      </c>
      <c r="AX1517" s="327">
        <v>0</v>
      </c>
      <c r="AY1517" s="327">
        <v>-9999</v>
      </c>
      <c r="AZ1517" s="327">
        <v>-9999</v>
      </c>
      <c r="BA1517" s="327">
        <v>-9999</v>
      </c>
      <c r="BB1517" s="327" t="s">
        <v>631</v>
      </c>
      <c r="BC1517" s="327">
        <v>-9999</v>
      </c>
      <c r="BD1517" s="327">
        <v>-9999</v>
      </c>
      <c r="BE1517" s="327">
        <v>-9999</v>
      </c>
      <c r="BF1517" s="327">
        <v>-9999</v>
      </c>
      <c r="BG1517" s="327">
        <v>-9999</v>
      </c>
      <c r="BH1517" s="327">
        <v>-9999</v>
      </c>
      <c r="BI1517" s="327">
        <v>-9999</v>
      </c>
      <c r="BJ1517" s="327">
        <v>-9999</v>
      </c>
      <c r="BK1517" s="327">
        <v>-9999</v>
      </c>
      <c r="BL1517" s="368">
        <v>1.01654</v>
      </c>
      <c r="BM1517" s="327">
        <v>-9999</v>
      </c>
      <c r="BN1517" s="327">
        <v>-9999</v>
      </c>
      <c r="BO1517" s="327">
        <v>-9999</v>
      </c>
      <c r="BP1517" s="327">
        <v>-9999</v>
      </c>
      <c r="BQ1517" s="327">
        <v>-9999</v>
      </c>
      <c r="BR1517" s="327">
        <v>-9999</v>
      </c>
      <c r="BS1517" s="328">
        <v>-9999</v>
      </c>
      <c r="BT1517" s="327">
        <v>-9999</v>
      </c>
      <c r="BU1517" s="327">
        <v>-9999</v>
      </c>
      <c r="BV1517" s="327">
        <v>-9999</v>
      </c>
      <c r="BW1517" s="327"/>
      <c r="BX1517" s="327">
        <v>-9999</v>
      </c>
      <c r="BY1517" s="327">
        <v>-9999</v>
      </c>
      <c r="BZ1517" s="327">
        <v>-9999</v>
      </c>
      <c r="CA1517" s="369">
        <v>-9999</v>
      </c>
      <c r="CB1517" s="475"/>
      <c r="CC1517" s="327">
        <v>1</v>
      </c>
      <c r="CD1517" s="328">
        <v>1</v>
      </c>
      <c r="CE1517" s="342"/>
      <c r="CF1517" s="342"/>
      <c r="CG1517" s="359">
        <v>1</v>
      </c>
    </row>
    <row r="1518" spans="1:86" s="301" customFormat="1" ht="12.75" customHeight="1" x14ac:dyDescent="0.2">
      <c r="A1518" s="327" t="s">
        <v>981</v>
      </c>
      <c r="B1518" s="327" t="s">
        <v>982</v>
      </c>
      <c r="C1518" s="327" t="s">
        <v>983</v>
      </c>
      <c r="D1518" s="327" t="s">
        <v>553</v>
      </c>
      <c r="E1518" s="327" t="s">
        <v>901</v>
      </c>
      <c r="F1518" s="327">
        <v>1</v>
      </c>
      <c r="G1518" s="328">
        <v>2</v>
      </c>
      <c r="H1518" s="328">
        <v>2</v>
      </c>
      <c r="I1518" s="327" t="s">
        <v>783</v>
      </c>
      <c r="J1518" s="327">
        <v>1987</v>
      </c>
      <c r="K1518" s="327" t="s">
        <v>783</v>
      </c>
      <c r="L1518" s="327">
        <v>1989</v>
      </c>
      <c r="M1518" s="368">
        <v>-9999</v>
      </c>
      <c r="N1518" s="327">
        <v>-9999</v>
      </c>
      <c r="O1518" s="323">
        <v>-9999</v>
      </c>
      <c r="P1518" s="368">
        <v>-9999</v>
      </c>
      <c r="Q1518" s="327">
        <v>-9999</v>
      </c>
      <c r="R1518" s="368">
        <v>-9999</v>
      </c>
      <c r="S1518" s="327"/>
      <c r="T1518" s="368">
        <v>-9999</v>
      </c>
      <c r="U1518" s="327">
        <v>-9999</v>
      </c>
      <c r="V1518" s="327">
        <v>-9999</v>
      </c>
      <c r="W1518" s="368">
        <v>-9999</v>
      </c>
      <c r="X1518" s="327">
        <v>-9999</v>
      </c>
      <c r="Y1518" s="327">
        <v>-9999</v>
      </c>
      <c r="Z1518" s="327" t="s">
        <v>1707</v>
      </c>
      <c r="AA1518" s="327">
        <v>1660</v>
      </c>
      <c r="AB1518" s="327">
        <v>-9999</v>
      </c>
      <c r="AC1518" s="327">
        <f t="shared" ref="AC1518:AC1531" si="166">0.15*4</f>
        <v>0.6</v>
      </c>
      <c r="AD1518" s="327">
        <v>0.15</v>
      </c>
      <c r="AE1518" s="328" t="s">
        <v>1970</v>
      </c>
      <c r="AF1518" s="327">
        <v>4</v>
      </c>
      <c r="AG1518" s="327" t="s">
        <v>843</v>
      </c>
      <c r="AH1518" s="327" t="s">
        <v>876</v>
      </c>
      <c r="AI1518" s="327" t="s">
        <v>985</v>
      </c>
      <c r="AJ1518" s="327" t="s">
        <v>892</v>
      </c>
      <c r="AK1518" s="327" t="s">
        <v>966</v>
      </c>
      <c r="AL1518" s="327" t="s">
        <v>828</v>
      </c>
      <c r="AM1518" s="327" t="s">
        <v>871</v>
      </c>
      <c r="AN1518" s="327" t="s">
        <v>631</v>
      </c>
      <c r="AO1518" s="327">
        <v>-9999</v>
      </c>
      <c r="AP1518" s="327">
        <v>-9999</v>
      </c>
      <c r="AQ1518" s="367" t="s">
        <v>631</v>
      </c>
      <c r="AR1518" s="327">
        <v>0</v>
      </c>
      <c r="AS1518" s="327">
        <v>-9999</v>
      </c>
      <c r="AT1518" s="327">
        <v>-9999</v>
      </c>
      <c r="AU1518" s="327">
        <v>0</v>
      </c>
      <c r="AV1518" s="327">
        <v>-9999</v>
      </c>
      <c r="AW1518" s="327">
        <v>-9999</v>
      </c>
      <c r="AX1518" s="327">
        <v>0</v>
      </c>
      <c r="AY1518" s="327">
        <v>-9999</v>
      </c>
      <c r="AZ1518" s="327">
        <v>-9999</v>
      </c>
      <c r="BA1518" s="327">
        <v>-9999</v>
      </c>
      <c r="BB1518" s="327" t="s">
        <v>631</v>
      </c>
      <c r="BC1518" s="327">
        <v>-9999</v>
      </c>
      <c r="BD1518" s="327">
        <v>-9999</v>
      </c>
      <c r="BE1518" s="327">
        <v>-9999</v>
      </c>
      <c r="BF1518" s="327">
        <v>-9999</v>
      </c>
      <c r="BG1518" s="327">
        <v>-9999</v>
      </c>
      <c r="BH1518" s="327">
        <v>-9999</v>
      </c>
      <c r="BI1518" s="327">
        <v>-9999</v>
      </c>
      <c r="BJ1518" s="327">
        <v>-9999</v>
      </c>
      <c r="BK1518" s="327">
        <v>-9999</v>
      </c>
      <c r="BL1518" s="368">
        <v>2.0168900000000001</v>
      </c>
      <c r="BM1518" s="327">
        <v>-9999</v>
      </c>
      <c r="BN1518" s="327">
        <v>-9999</v>
      </c>
      <c r="BO1518" s="327">
        <v>-9999</v>
      </c>
      <c r="BP1518" s="327">
        <v>-9999</v>
      </c>
      <c r="BQ1518" s="327">
        <v>-9999</v>
      </c>
      <c r="BR1518" s="327">
        <v>-9999</v>
      </c>
      <c r="BS1518" s="328">
        <v>-9999</v>
      </c>
      <c r="BT1518" s="327">
        <v>-9999</v>
      </c>
      <c r="BU1518" s="327">
        <v>-9999</v>
      </c>
      <c r="BV1518" s="327">
        <v>-9999</v>
      </c>
      <c r="BW1518" s="327"/>
      <c r="BX1518" s="327">
        <v>-9999</v>
      </c>
      <c r="BY1518" s="327">
        <v>-9999</v>
      </c>
      <c r="BZ1518" s="327">
        <v>-9999</v>
      </c>
      <c r="CA1518" s="369">
        <v>-9999</v>
      </c>
      <c r="CB1518" s="475"/>
      <c r="CC1518" s="327">
        <v>1</v>
      </c>
      <c r="CD1518" s="328">
        <v>2</v>
      </c>
      <c r="CE1518" s="342" t="s">
        <v>1576</v>
      </c>
      <c r="CF1518" s="342" t="s">
        <v>1575</v>
      </c>
      <c r="CG1518" s="359">
        <v>2</v>
      </c>
    </row>
    <row r="1519" spans="1:86" s="301" customFormat="1" ht="12.75" customHeight="1" x14ac:dyDescent="0.2">
      <c r="A1519" s="327" t="s">
        <v>981</v>
      </c>
      <c r="B1519" s="327" t="s">
        <v>982</v>
      </c>
      <c r="C1519" s="327" t="s">
        <v>983</v>
      </c>
      <c r="D1519" s="327" t="s">
        <v>553</v>
      </c>
      <c r="E1519" s="327" t="s">
        <v>901</v>
      </c>
      <c r="F1519" s="327">
        <v>1</v>
      </c>
      <c r="G1519" s="328">
        <v>3</v>
      </c>
      <c r="H1519" s="328">
        <v>3</v>
      </c>
      <c r="I1519" s="327" t="s">
        <v>783</v>
      </c>
      <c r="J1519" s="327">
        <v>1987</v>
      </c>
      <c r="K1519" s="327" t="s">
        <v>783</v>
      </c>
      <c r="L1519" s="327">
        <v>1990</v>
      </c>
      <c r="M1519" s="368">
        <v>-9999</v>
      </c>
      <c r="N1519" s="327">
        <v>-9999</v>
      </c>
      <c r="O1519" s="71">
        <v>2.78</v>
      </c>
      <c r="P1519" s="370">
        <f t="shared" ref="P1519:P1531" si="167">+R1519*O1519</f>
        <v>0.20471919999999999</v>
      </c>
      <c r="Q1519" s="327">
        <v>-9999</v>
      </c>
      <c r="R1519" s="287">
        <f>+Y1519</f>
        <v>7.3639999999999997E-2</v>
      </c>
      <c r="S1519" s="368"/>
      <c r="T1519" s="287">
        <f t="shared" ref="T1519:T1531" si="168">V1519*O1519</f>
        <v>0.20471919999999999</v>
      </c>
      <c r="U1519" s="413">
        <v>-9999</v>
      </c>
      <c r="V1519" s="297">
        <v>7.3639999999999997E-2</v>
      </c>
      <c r="W1519" s="287">
        <f t="shared" ref="W1519:W1531" si="169">Y1519*O1519</f>
        <v>0.20471919999999999</v>
      </c>
      <c r="X1519" s="327">
        <v>-9999</v>
      </c>
      <c r="Y1519" s="297">
        <v>7.3639999999999997E-2</v>
      </c>
      <c r="Z1519" s="327" t="s">
        <v>1707</v>
      </c>
      <c r="AA1519" s="327">
        <v>1660</v>
      </c>
      <c r="AB1519" s="327">
        <v>-9999</v>
      </c>
      <c r="AC1519" s="327">
        <f t="shared" si="166"/>
        <v>0.6</v>
      </c>
      <c r="AD1519" s="327">
        <v>0.15</v>
      </c>
      <c r="AE1519" s="328" t="s">
        <v>1970</v>
      </c>
      <c r="AF1519" s="327">
        <v>4</v>
      </c>
      <c r="AG1519" s="327" t="s">
        <v>843</v>
      </c>
      <c r="AH1519" s="327" t="s">
        <v>876</v>
      </c>
      <c r="AI1519" s="327" t="s">
        <v>985</v>
      </c>
      <c r="AJ1519" s="327" t="s">
        <v>892</v>
      </c>
      <c r="AK1519" s="327" t="s">
        <v>966</v>
      </c>
      <c r="AL1519" s="327" t="s">
        <v>828</v>
      </c>
      <c r="AM1519" s="327" t="s">
        <v>871</v>
      </c>
      <c r="AN1519" s="327" t="s">
        <v>631</v>
      </c>
      <c r="AO1519" s="327">
        <v>-9999</v>
      </c>
      <c r="AP1519" s="327">
        <v>-9999</v>
      </c>
      <c r="AQ1519" s="367" t="s">
        <v>631</v>
      </c>
      <c r="AR1519" s="327">
        <v>0</v>
      </c>
      <c r="AS1519" s="327">
        <v>-9999</v>
      </c>
      <c r="AT1519" s="327">
        <v>-9999</v>
      </c>
      <c r="AU1519" s="327">
        <v>0</v>
      </c>
      <c r="AV1519" s="327">
        <v>-9999</v>
      </c>
      <c r="AW1519" s="327">
        <v>-9999</v>
      </c>
      <c r="AX1519" s="327">
        <v>0</v>
      </c>
      <c r="AY1519" s="327">
        <v>-9999</v>
      </c>
      <c r="AZ1519" s="327">
        <v>-9999</v>
      </c>
      <c r="BA1519" s="327">
        <v>-9999</v>
      </c>
      <c r="BB1519" s="327" t="s">
        <v>631</v>
      </c>
      <c r="BC1519" s="327">
        <v>-9999</v>
      </c>
      <c r="BD1519" s="327">
        <v>-9999</v>
      </c>
      <c r="BE1519" s="327">
        <v>-9999</v>
      </c>
      <c r="BF1519" s="327">
        <v>-9999</v>
      </c>
      <c r="BG1519" s="327">
        <v>-9999</v>
      </c>
      <c r="BH1519" s="327">
        <v>-9999</v>
      </c>
      <c r="BI1519" s="327">
        <v>-9999</v>
      </c>
      <c r="BJ1519" s="327">
        <v>-9999</v>
      </c>
      <c r="BK1519" s="327">
        <v>-9999</v>
      </c>
      <c r="BL1519" s="368">
        <v>2.9853200000000002</v>
      </c>
      <c r="BM1519" s="327">
        <v>-9999</v>
      </c>
      <c r="BN1519" s="327">
        <v>-9999</v>
      </c>
      <c r="BO1519" s="327">
        <v>-9999</v>
      </c>
      <c r="BP1519" s="327">
        <v>-9999</v>
      </c>
      <c r="BQ1519" s="327">
        <v>-9999</v>
      </c>
      <c r="BR1519" s="327">
        <v>-9999</v>
      </c>
      <c r="BS1519" s="328">
        <v>-9999</v>
      </c>
      <c r="BT1519" s="327">
        <v>-9999</v>
      </c>
      <c r="BU1519" s="327">
        <v>-9999</v>
      </c>
      <c r="BV1519" s="327">
        <v>-9999</v>
      </c>
      <c r="BW1519" s="327"/>
      <c r="BX1519" s="327">
        <v>-9999</v>
      </c>
      <c r="BY1519" s="327">
        <v>-9999</v>
      </c>
      <c r="BZ1519" s="327">
        <v>-9999</v>
      </c>
      <c r="CA1519" s="369">
        <v>-9999</v>
      </c>
      <c r="CB1519" s="475"/>
      <c r="CC1519" s="327">
        <v>1</v>
      </c>
      <c r="CD1519" s="328">
        <v>3</v>
      </c>
      <c r="CE1519" s="342">
        <v>0.20471919999999999</v>
      </c>
      <c r="CF1519" s="342">
        <v>0.20471919999999999</v>
      </c>
      <c r="CG1519" s="359">
        <v>3</v>
      </c>
    </row>
    <row r="1520" spans="1:86" s="301" customFormat="1" ht="12.75" customHeight="1" x14ac:dyDescent="0.2">
      <c r="A1520" s="327" t="s">
        <v>981</v>
      </c>
      <c r="B1520" s="327" t="s">
        <v>982</v>
      </c>
      <c r="C1520" s="327" t="s">
        <v>983</v>
      </c>
      <c r="D1520" s="327" t="s">
        <v>553</v>
      </c>
      <c r="E1520" s="327" t="s">
        <v>901</v>
      </c>
      <c r="F1520" s="327">
        <v>1</v>
      </c>
      <c r="G1520" s="328">
        <v>4</v>
      </c>
      <c r="H1520" s="328">
        <v>4</v>
      </c>
      <c r="I1520" s="327" t="s">
        <v>783</v>
      </c>
      <c r="J1520" s="327">
        <v>1987</v>
      </c>
      <c r="K1520" s="327" t="s">
        <v>783</v>
      </c>
      <c r="L1520" s="327">
        <v>1991</v>
      </c>
      <c r="M1520" s="368">
        <v>-9999</v>
      </c>
      <c r="N1520" s="327">
        <v>-9999</v>
      </c>
      <c r="O1520" s="71">
        <v>2.2200000000000002</v>
      </c>
      <c r="P1520" s="370">
        <f t="shared" si="167"/>
        <v>2.4521454</v>
      </c>
      <c r="Q1520" s="327">
        <v>-9999</v>
      </c>
      <c r="R1520" s="287">
        <f t="shared" ref="R1520:R1531" si="170">+R1519+Y1520</f>
        <v>1.1045699999999998</v>
      </c>
      <c r="S1520" s="368"/>
      <c r="T1520" s="287">
        <f t="shared" si="168"/>
        <v>0.57216060000000013</v>
      </c>
      <c r="U1520" s="413">
        <v>-9999</v>
      </c>
      <c r="V1520" s="297">
        <v>0.25773000000000001</v>
      </c>
      <c r="W1520" s="287">
        <f t="shared" si="169"/>
        <v>2.2886646000000002</v>
      </c>
      <c r="X1520" s="327">
        <v>-9999</v>
      </c>
      <c r="Y1520" s="297">
        <v>1.0309299999999999</v>
      </c>
      <c r="Z1520" s="327" t="s">
        <v>1707</v>
      </c>
      <c r="AA1520" s="327">
        <v>1660</v>
      </c>
      <c r="AB1520" s="327">
        <v>-9999</v>
      </c>
      <c r="AC1520" s="327">
        <f t="shared" si="166"/>
        <v>0.6</v>
      </c>
      <c r="AD1520" s="327">
        <v>0.15</v>
      </c>
      <c r="AE1520" s="328" t="s">
        <v>1970</v>
      </c>
      <c r="AF1520" s="327">
        <v>4</v>
      </c>
      <c r="AG1520" s="327" t="s">
        <v>843</v>
      </c>
      <c r="AH1520" s="327" t="s">
        <v>876</v>
      </c>
      <c r="AI1520" s="327" t="s">
        <v>985</v>
      </c>
      <c r="AJ1520" s="327" t="s">
        <v>892</v>
      </c>
      <c r="AK1520" s="327" t="s">
        <v>966</v>
      </c>
      <c r="AL1520" s="327" t="s">
        <v>828</v>
      </c>
      <c r="AM1520" s="327" t="s">
        <v>871</v>
      </c>
      <c r="AN1520" s="327" t="s">
        <v>631</v>
      </c>
      <c r="AO1520" s="327">
        <v>-9999</v>
      </c>
      <c r="AP1520" s="327">
        <v>-9999</v>
      </c>
      <c r="AQ1520" s="367" t="s">
        <v>631</v>
      </c>
      <c r="AR1520" s="327">
        <v>0</v>
      </c>
      <c r="AS1520" s="327">
        <v>-9999</v>
      </c>
      <c r="AT1520" s="327">
        <v>-9999</v>
      </c>
      <c r="AU1520" s="327">
        <v>0</v>
      </c>
      <c r="AV1520" s="327">
        <v>-9999</v>
      </c>
      <c r="AW1520" s="327">
        <v>-9999</v>
      </c>
      <c r="AX1520" s="327">
        <v>0</v>
      </c>
      <c r="AY1520" s="327">
        <v>-9999</v>
      </c>
      <c r="AZ1520" s="327">
        <v>-9999</v>
      </c>
      <c r="BA1520" s="327">
        <v>-9999</v>
      </c>
      <c r="BB1520" s="327" t="s">
        <v>631</v>
      </c>
      <c r="BC1520" s="327">
        <v>-9999</v>
      </c>
      <c r="BD1520" s="327">
        <v>-9999</v>
      </c>
      <c r="BE1520" s="327">
        <v>-9999</v>
      </c>
      <c r="BF1520" s="327">
        <v>-9999</v>
      </c>
      <c r="BG1520" s="327">
        <v>-9999</v>
      </c>
      <c r="BH1520" s="327">
        <v>-9999</v>
      </c>
      <c r="BI1520" s="327">
        <v>-9999</v>
      </c>
      <c r="BJ1520" s="327">
        <v>1</v>
      </c>
      <c r="BK1520" s="327">
        <v>-9999</v>
      </c>
      <c r="BL1520" s="368">
        <v>4.0183999999999997</v>
      </c>
      <c r="BM1520" s="327">
        <v>-9999</v>
      </c>
      <c r="BN1520" s="327">
        <v>-9999</v>
      </c>
      <c r="BO1520" s="327">
        <v>-9999</v>
      </c>
      <c r="BP1520" s="327">
        <v>-9999</v>
      </c>
      <c r="BQ1520" s="327">
        <v>-9999</v>
      </c>
      <c r="BR1520" s="327">
        <v>-9999</v>
      </c>
      <c r="BS1520" s="328">
        <v>-9999</v>
      </c>
      <c r="BT1520" s="327">
        <v>-9999</v>
      </c>
      <c r="BU1520" s="327">
        <v>-9999</v>
      </c>
      <c r="BV1520" s="327">
        <v>-9999</v>
      </c>
      <c r="BW1520" s="327"/>
      <c r="BX1520" s="327">
        <v>-9999</v>
      </c>
      <c r="BY1520" s="327">
        <v>-9999</v>
      </c>
      <c r="BZ1520" s="327">
        <v>-9999</v>
      </c>
      <c r="CA1520" s="369">
        <v>-9999</v>
      </c>
      <c r="CB1520" s="475"/>
      <c r="CC1520" s="327">
        <v>1</v>
      </c>
      <c r="CD1520" s="328">
        <v>4</v>
      </c>
      <c r="CE1520" s="342">
        <v>0.57216060000000013</v>
      </c>
      <c r="CF1520" s="342">
        <v>2.2886646000000002</v>
      </c>
      <c r="CG1520" s="359">
        <v>4</v>
      </c>
    </row>
    <row r="1521" spans="1:86" s="301" customFormat="1" ht="12.75" customHeight="1" x14ac:dyDescent="0.2">
      <c r="A1521" s="327" t="s">
        <v>981</v>
      </c>
      <c r="B1521" s="327" t="s">
        <v>982</v>
      </c>
      <c r="C1521" s="327" t="s">
        <v>983</v>
      </c>
      <c r="D1521" s="327" t="s">
        <v>553</v>
      </c>
      <c r="E1521" s="327" t="s">
        <v>901</v>
      </c>
      <c r="F1521" s="327">
        <v>1</v>
      </c>
      <c r="G1521" s="328">
        <v>5</v>
      </c>
      <c r="H1521" s="328">
        <v>5</v>
      </c>
      <c r="I1521" s="327" t="s">
        <v>783</v>
      </c>
      <c r="J1521" s="327">
        <v>1987</v>
      </c>
      <c r="K1521" s="327" t="s">
        <v>783</v>
      </c>
      <c r="L1521" s="327">
        <v>1992</v>
      </c>
      <c r="M1521" s="368">
        <v>-9999</v>
      </c>
      <c r="N1521" s="327">
        <v>-9999</v>
      </c>
      <c r="O1521" s="71">
        <v>1.82</v>
      </c>
      <c r="P1521" s="370">
        <f t="shared" si="167"/>
        <v>7.3711455999999993</v>
      </c>
      <c r="Q1521" s="327">
        <v>-9999</v>
      </c>
      <c r="R1521" s="287">
        <f t="shared" si="170"/>
        <v>4.0500799999999995</v>
      </c>
      <c r="S1521" s="368"/>
      <c r="T1521" s="287">
        <f t="shared" si="168"/>
        <v>1.3402116000000002</v>
      </c>
      <c r="U1521" s="413">
        <v>-9999</v>
      </c>
      <c r="V1521" s="297">
        <v>0.73638000000000003</v>
      </c>
      <c r="W1521" s="287">
        <f t="shared" si="169"/>
        <v>5.3608282000000003</v>
      </c>
      <c r="X1521" s="327">
        <v>-9999</v>
      </c>
      <c r="Y1521" s="297">
        <v>2.9455100000000001</v>
      </c>
      <c r="Z1521" s="327" t="s">
        <v>1707</v>
      </c>
      <c r="AA1521" s="327">
        <v>1660</v>
      </c>
      <c r="AB1521" s="327">
        <v>-9999</v>
      </c>
      <c r="AC1521" s="327">
        <f t="shared" si="166"/>
        <v>0.6</v>
      </c>
      <c r="AD1521" s="327">
        <v>0.15</v>
      </c>
      <c r="AE1521" s="328" t="s">
        <v>1970</v>
      </c>
      <c r="AF1521" s="327">
        <v>4</v>
      </c>
      <c r="AG1521" s="327" t="s">
        <v>843</v>
      </c>
      <c r="AH1521" s="327" t="s">
        <v>876</v>
      </c>
      <c r="AI1521" s="327" t="s">
        <v>985</v>
      </c>
      <c r="AJ1521" s="327" t="s">
        <v>892</v>
      </c>
      <c r="AK1521" s="327" t="s">
        <v>966</v>
      </c>
      <c r="AL1521" s="327" t="s">
        <v>828</v>
      </c>
      <c r="AM1521" s="327" t="s">
        <v>871</v>
      </c>
      <c r="AN1521" s="327" t="s">
        <v>631</v>
      </c>
      <c r="AO1521" s="327">
        <v>-9999</v>
      </c>
      <c r="AP1521" s="327">
        <v>-9999</v>
      </c>
      <c r="AQ1521" s="367" t="s">
        <v>631</v>
      </c>
      <c r="AR1521" s="327">
        <v>0</v>
      </c>
      <c r="AS1521" s="327">
        <v>-9999</v>
      </c>
      <c r="AT1521" s="327">
        <v>-9999</v>
      </c>
      <c r="AU1521" s="327">
        <v>0</v>
      </c>
      <c r="AV1521" s="327">
        <v>-9999</v>
      </c>
      <c r="AW1521" s="327">
        <v>-9999</v>
      </c>
      <c r="AX1521" s="327">
        <v>0</v>
      </c>
      <c r="AY1521" s="327">
        <v>-9999</v>
      </c>
      <c r="AZ1521" s="327">
        <v>-9999</v>
      </c>
      <c r="BA1521" s="327">
        <v>-9999</v>
      </c>
      <c r="BB1521" s="327" t="s">
        <v>631</v>
      </c>
      <c r="BC1521" s="327">
        <v>-9999</v>
      </c>
      <c r="BD1521" s="327">
        <v>-9999</v>
      </c>
      <c r="BE1521" s="327">
        <v>-9999</v>
      </c>
      <c r="BF1521" s="327">
        <v>-9999</v>
      </c>
      <c r="BG1521" s="327">
        <v>-9999</v>
      </c>
      <c r="BH1521" s="327">
        <v>-9999</v>
      </c>
      <c r="BI1521" s="327">
        <v>-9999</v>
      </c>
      <c r="BJ1521" s="327">
        <v>3</v>
      </c>
      <c r="BK1521" s="327">
        <v>-9999</v>
      </c>
      <c r="BL1521" s="368">
        <v>4.9874599999999996</v>
      </c>
      <c r="BM1521" s="327">
        <v>-9999</v>
      </c>
      <c r="BN1521" s="327">
        <v>-9999</v>
      </c>
      <c r="BO1521" s="327">
        <v>-9999</v>
      </c>
      <c r="BP1521" s="327">
        <v>-9999</v>
      </c>
      <c r="BQ1521" s="327">
        <v>-9999</v>
      </c>
      <c r="BR1521" s="327">
        <v>-9999</v>
      </c>
      <c r="BS1521" s="328">
        <v>-9999</v>
      </c>
      <c r="BT1521" s="327">
        <v>-9999</v>
      </c>
      <c r="BU1521" s="327">
        <v>-9999</v>
      </c>
      <c r="BV1521" s="327">
        <v>-9999</v>
      </c>
      <c r="BW1521" s="327"/>
      <c r="BX1521" s="327">
        <v>-9999</v>
      </c>
      <c r="BY1521" s="327">
        <v>-9999</v>
      </c>
      <c r="BZ1521" s="327">
        <v>-9999</v>
      </c>
      <c r="CA1521" s="369">
        <v>-9999</v>
      </c>
      <c r="CB1521" s="475"/>
      <c r="CC1521" s="327">
        <v>1</v>
      </c>
      <c r="CD1521" s="328">
        <v>5</v>
      </c>
      <c r="CE1521" s="342">
        <v>1.3402116000000002</v>
      </c>
      <c r="CF1521" s="342">
        <v>5.3608282000000003</v>
      </c>
      <c r="CG1521" s="359">
        <v>5</v>
      </c>
    </row>
    <row r="1522" spans="1:86" s="301" customFormat="1" ht="12.75" customHeight="1" x14ac:dyDescent="0.2">
      <c r="A1522" s="327" t="s">
        <v>981</v>
      </c>
      <c r="B1522" s="327" t="s">
        <v>982</v>
      </c>
      <c r="C1522" s="327" t="s">
        <v>983</v>
      </c>
      <c r="D1522" s="327" t="s">
        <v>553</v>
      </c>
      <c r="E1522" s="327" t="s">
        <v>901</v>
      </c>
      <c r="F1522" s="327">
        <v>1</v>
      </c>
      <c r="G1522" s="328">
        <v>6</v>
      </c>
      <c r="H1522" s="328">
        <v>6</v>
      </c>
      <c r="I1522" s="327" t="s">
        <v>783</v>
      </c>
      <c r="J1522" s="327">
        <v>1987</v>
      </c>
      <c r="K1522" s="327" t="s">
        <v>783</v>
      </c>
      <c r="L1522" s="327">
        <v>1993</v>
      </c>
      <c r="M1522" s="368">
        <v>-9999</v>
      </c>
      <c r="N1522" s="327">
        <v>-9999</v>
      </c>
      <c r="O1522" s="71">
        <v>1.69</v>
      </c>
      <c r="P1522" s="370">
        <f t="shared" si="167"/>
        <v>14.249268799999998</v>
      </c>
      <c r="Q1522" s="327">
        <v>-9999</v>
      </c>
      <c r="R1522" s="287">
        <f t="shared" si="170"/>
        <v>8.431519999999999</v>
      </c>
      <c r="S1522" s="368"/>
      <c r="T1522" s="287">
        <f t="shared" si="168"/>
        <v>2.2400612</v>
      </c>
      <c r="U1522" s="413">
        <v>-9999</v>
      </c>
      <c r="V1522" s="297">
        <v>1.32548</v>
      </c>
      <c r="W1522" s="287">
        <f t="shared" si="169"/>
        <v>7.4046335999999986</v>
      </c>
      <c r="X1522" s="327">
        <v>-9999</v>
      </c>
      <c r="Y1522" s="297">
        <v>4.3814399999999996</v>
      </c>
      <c r="Z1522" s="327" t="s">
        <v>1707</v>
      </c>
      <c r="AA1522" s="327">
        <v>1660</v>
      </c>
      <c r="AB1522" s="327">
        <v>-9999</v>
      </c>
      <c r="AC1522" s="327">
        <f t="shared" si="166"/>
        <v>0.6</v>
      </c>
      <c r="AD1522" s="327">
        <v>0.15</v>
      </c>
      <c r="AE1522" s="328" t="s">
        <v>1970</v>
      </c>
      <c r="AF1522" s="327">
        <v>4</v>
      </c>
      <c r="AG1522" s="327" t="s">
        <v>843</v>
      </c>
      <c r="AH1522" s="327" t="s">
        <v>876</v>
      </c>
      <c r="AI1522" s="327" t="s">
        <v>985</v>
      </c>
      <c r="AJ1522" s="327" t="s">
        <v>892</v>
      </c>
      <c r="AK1522" s="327" t="s">
        <v>966</v>
      </c>
      <c r="AL1522" s="327" t="s">
        <v>828</v>
      </c>
      <c r="AM1522" s="327" t="s">
        <v>871</v>
      </c>
      <c r="AN1522" s="327" t="s">
        <v>631</v>
      </c>
      <c r="AO1522" s="327">
        <v>-9999</v>
      </c>
      <c r="AP1522" s="327">
        <v>-9999</v>
      </c>
      <c r="AQ1522" s="367" t="s">
        <v>631</v>
      </c>
      <c r="AR1522" s="327">
        <v>0</v>
      </c>
      <c r="AS1522" s="327">
        <v>-9999</v>
      </c>
      <c r="AT1522" s="327">
        <v>-9999</v>
      </c>
      <c r="AU1522" s="327">
        <v>0</v>
      </c>
      <c r="AV1522" s="327">
        <v>-9999</v>
      </c>
      <c r="AW1522" s="327">
        <v>-9999</v>
      </c>
      <c r="AX1522" s="327">
        <v>0</v>
      </c>
      <c r="AY1522" s="327">
        <v>-9999</v>
      </c>
      <c r="AZ1522" s="327">
        <v>-9999</v>
      </c>
      <c r="BA1522" s="327">
        <v>-9999</v>
      </c>
      <c r="BB1522" s="327" t="s">
        <v>631</v>
      </c>
      <c r="BC1522" s="327">
        <v>-9999</v>
      </c>
      <c r="BD1522" s="327">
        <v>-9999</v>
      </c>
      <c r="BE1522" s="327">
        <v>-9999</v>
      </c>
      <c r="BF1522" s="327">
        <v>-9999</v>
      </c>
      <c r="BG1522" s="327">
        <v>-9999</v>
      </c>
      <c r="BH1522" s="327">
        <v>-9999</v>
      </c>
      <c r="BI1522" s="327">
        <v>-9999</v>
      </c>
      <c r="BJ1522" s="327">
        <v>7</v>
      </c>
      <c r="BK1522" s="327">
        <v>-9999</v>
      </c>
      <c r="BL1522" s="368">
        <v>5.9887699999999997</v>
      </c>
      <c r="BM1522" s="327">
        <v>-9999</v>
      </c>
      <c r="BN1522" s="327">
        <v>-9999</v>
      </c>
      <c r="BO1522" s="327">
        <v>-9999</v>
      </c>
      <c r="BP1522" s="327">
        <v>-9999</v>
      </c>
      <c r="BQ1522" s="327">
        <v>-9999</v>
      </c>
      <c r="BR1522" s="327">
        <v>-9999</v>
      </c>
      <c r="BS1522" s="328">
        <v>-9999</v>
      </c>
      <c r="BT1522" s="327">
        <v>-9999</v>
      </c>
      <c r="BU1522" s="327">
        <v>-9999</v>
      </c>
      <c r="BV1522" s="327">
        <v>-9999</v>
      </c>
      <c r="BW1522" s="327"/>
      <c r="BX1522" s="327">
        <v>-9999</v>
      </c>
      <c r="BY1522" s="327">
        <v>-9999</v>
      </c>
      <c r="BZ1522" s="327">
        <v>-9999</v>
      </c>
      <c r="CA1522" s="369">
        <v>-9999</v>
      </c>
      <c r="CB1522" s="475"/>
      <c r="CC1522" s="327">
        <v>1</v>
      </c>
      <c r="CD1522" s="328">
        <v>6</v>
      </c>
      <c r="CE1522" s="342">
        <v>2.2400612</v>
      </c>
      <c r="CF1522" s="342">
        <v>7.4046335999999986</v>
      </c>
      <c r="CG1522" s="359">
        <v>6</v>
      </c>
    </row>
    <row r="1523" spans="1:86" s="301" customFormat="1" ht="12.75" customHeight="1" x14ac:dyDescent="0.2">
      <c r="A1523" s="327" t="s">
        <v>981</v>
      </c>
      <c r="B1523" s="327" t="s">
        <v>982</v>
      </c>
      <c r="C1523" s="327" t="s">
        <v>983</v>
      </c>
      <c r="D1523" s="327" t="s">
        <v>553</v>
      </c>
      <c r="E1523" s="327" t="s">
        <v>901</v>
      </c>
      <c r="F1523" s="327">
        <v>1</v>
      </c>
      <c r="G1523" s="328">
        <v>7</v>
      </c>
      <c r="H1523" s="328">
        <v>7</v>
      </c>
      <c r="I1523" s="327" t="s">
        <v>783</v>
      </c>
      <c r="J1523" s="327">
        <v>1987</v>
      </c>
      <c r="K1523" s="327" t="s">
        <v>783</v>
      </c>
      <c r="L1523" s="327">
        <v>1994</v>
      </c>
      <c r="M1523" s="368">
        <v>-9999</v>
      </c>
      <c r="N1523" s="327">
        <v>-9999</v>
      </c>
      <c r="O1523" s="71">
        <v>1.64</v>
      </c>
      <c r="P1523" s="370">
        <f t="shared" si="167"/>
        <v>21.979378399999998</v>
      </c>
      <c r="Q1523" s="327">
        <v>-9999</v>
      </c>
      <c r="R1523" s="287">
        <f t="shared" si="170"/>
        <v>13.402059999999999</v>
      </c>
      <c r="S1523" s="368"/>
      <c r="T1523" s="287">
        <f t="shared" si="168"/>
        <v>3.0191415999999998</v>
      </c>
      <c r="U1523" s="413">
        <v>-9999</v>
      </c>
      <c r="V1523" s="297">
        <v>1.84094</v>
      </c>
      <c r="W1523" s="287">
        <f t="shared" si="169"/>
        <v>8.1516855999999986</v>
      </c>
      <c r="X1523" s="327">
        <v>-9999</v>
      </c>
      <c r="Y1523" s="297">
        <v>4.9705399999999997</v>
      </c>
      <c r="Z1523" s="327" t="s">
        <v>1707</v>
      </c>
      <c r="AA1523" s="327">
        <v>1660</v>
      </c>
      <c r="AB1523" s="327">
        <v>-9999</v>
      </c>
      <c r="AC1523" s="327">
        <f t="shared" si="166"/>
        <v>0.6</v>
      </c>
      <c r="AD1523" s="327">
        <v>0.15</v>
      </c>
      <c r="AE1523" s="328" t="s">
        <v>1970</v>
      </c>
      <c r="AF1523" s="327">
        <v>4</v>
      </c>
      <c r="AG1523" s="327" t="s">
        <v>843</v>
      </c>
      <c r="AH1523" s="327" t="s">
        <v>876</v>
      </c>
      <c r="AI1523" s="327" t="s">
        <v>985</v>
      </c>
      <c r="AJ1523" s="327" t="s">
        <v>892</v>
      </c>
      <c r="AK1523" s="327" t="s">
        <v>966</v>
      </c>
      <c r="AL1523" s="327" t="s">
        <v>828</v>
      </c>
      <c r="AM1523" s="327" t="s">
        <v>871</v>
      </c>
      <c r="AN1523" s="327" t="s">
        <v>631</v>
      </c>
      <c r="AO1523" s="327">
        <v>-9999</v>
      </c>
      <c r="AP1523" s="327">
        <v>-9999</v>
      </c>
      <c r="AQ1523" s="367" t="s">
        <v>631</v>
      </c>
      <c r="AR1523" s="327">
        <v>0</v>
      </c>
      <c r="AS1523" s="327">
        <v>-9999</v>
      </c>
      <c r="AT1523" s="327">
        <v>-9999</v>
      </c>
      <c r="AU1523" s="327">
        <v>0</v>
      </c>
      <c r="AV1523" s="327">
        <v>-9999</v>
      </c>
      <c r="AW1523" s="327">
        <v>-9999</v>
      </c>
      <c r="AX1523" s="327">
        <v>0</v>
      </c>
      <c r="AY1523" s="327">
        <v>-9999</v>
      </c>
      <c r="AZ1523" s="327">
        <v>-9999</v>
      </c>
      <c r="BA1523" s="327">
        <v>-9999</v>
      </c>
      <c r="BB1523" s="327" t="s">
        <v>631</v>
      </c>
      <c r="BC1523" s="327">
        <v>-9999</v>
      </c>
      <c r="BD1523" s="327">
        <v>-9999</v>
      </c>
      <c r="BE1523" s="327">
        <v>-9999</v>
      </c>
      <c r="BF1523" s="327">
        <v>-9999</v>
      </c>
      <c r="BG1523" s="327">
        <v>-9999</v>
      </c>
      <c r="BH1523" s="327">
        <v>-9999</v>
      </c>
      <c r="BI1523" s="327">
        <v>-9999</v>
      </c>
      <c r="BJ1523" s="327">
        <v>10</v>
      </c>
      <c r="BK1523" s="327">
        <v>-9999</v>
      </c>
      <c r="BL1523" s="368">
        <v>6.9898100000000003</v>
      </c>
      <c r="BM1523" s="327">
        <v>-9999</v>
      </c>
      <c r="BN1523" s="327">
        <v>-9999</v>
      </c>
      <c r="BO1523" s="327">
        <v>-9999</v>
      </c>
      <c r="BP1523" s="327">
        <v>-9999</v>
      </c>
      <c r="BQ1523" s="327">
        <v>-9999</v>
      </c>
      <c r="BR1523" s="327">
        <v>-9999</v>
      </c>
      <c r="BS1523" s="328">
        <v>-9999</v>
      </c>
      <c r="BT1523" s="327">
        <v>-9999</v>
      </c>
      <c r="BU1523" s="327">
        <v>-9999</v>
      </c>
      <c r="BV1523" s="327">
        <v>-9999</v>
      </c>
      <c r="BW1523" s="327"/>
      <c r="BX1523" s="327">
        <v>-9999</v>
      </c>
      <c r="BY1523" s="327">
        <v>-9999</v>
      </c>
      <c r="BZ1523" s="327">
        <v>-9999</v>
      </c>
      <c r="CA1523" s="369">
        <v>-9999</v>
      </c>
      <c r="CB1523" s="475"/>
      <c r="CC1523" s="327">
        <v>1</v>
      </c>
      <c r="CD1523" s="328">
        <v>7</v>
      </c>
      <c r="CE1523" s="342">
        <v>3.0191415999999998</v>
      </c>
      <c r="CF1523" s="342">
        <v>8.1516855999999986</v>
      </c>
      <c r="CG1523" s="359">
        <v>7</v>
      </c>
    </row>
    <row r="1524" spans="1:86" s="301" customFormat="1" ht="12.75" customHeight="1" x14ac:dyDescent="0.2">
      <c r="A1524" s="327" t="s">
        <v>981</v>
      </c>
      <c r="B1524" s="327" t="s">
        <v>982</v>
      </c>
      <c r="C1524" s="327" t="s">
        <v>983</v>
      </c>
      <c r="D1524" s="327" t="s">
        <v>553</v>
      </c>
      <c r="E1524" s="327" t="s">
        <v>901</v>
      </c>
      <c r="F1524" s="327">
        <v>1</v>
      </c>
      <c r="G1524" s="328">
        <v>8</v>
      </c>
      <c r="H1524" s="328">
        <v>8</v>
      </c>
      <c r="I1524" s="327" t="s">
        <v>783</v>
      </c>
      <c r="J1524" s="327">
        <v>1987</v>
      </c>
      <c r="K1524" s="327" t="s">
        <v>783</v>
      </c>
      <c r="L1524" s="327">
        <v>1995</v>
      </c>
      <c r="M1524" s="368">
        <v>-9999</v>
      </c>
      <c r="N1524" s="327">
        <v>-9999</v>
      </c>
      <c r="O1524" s="71">
        <v>1.56</v>
      </c>
      <c r="P1524" s="370">
        <f t="shared" si="167"/>
        <v>29.752569599999998</v>
      </c>
      <c r="Q1524" s="327">
        <v>-9999</v>
      </c>
      <c r="R1524" s="287">
        <f t="shared" si="170"/>
        <v>19.072159999999997</v>
      </c>
      <c r="S1524" s="368"/>
      <c r="T1524" s="287">
        <f t="shared" si="168"/>
        <v>3.6759995999999999</v>
      </c>
      <c r="U1524" s="413">
        <v>-9999</v>
      </c>
      <c r="V1524" s="297">
        <v>2.3564099999999999</v>
      </c>
      <c r="W1524" s="287">
        <f t="shared" si="169"/>
        <v>8.8453560000000007</v>
      </c>
      <c r="X1524" s="327">
        <v>-9999</v>
      </c>
      <c r="Y1524" s="297">
        <v>5.6700999999999997</v>
      </c>
      <c r="Z1524" s="327" t="s">
        <v>1707</v>
      </c>
      <c r="AA1524" s="327">
        <v>1660</v>
      </c>
      <c r="AB1524" s="327">
        <v>-9999</v>
      </c>
      <c r="AC1524" s="327">
        <f t="shared" si="166"/>
        <v>0.6</v>
      </c>
      <c r="AD1524" s="327">
        <v>0.15</v>
      </c>
      <c r="AE1524" s="328" t="s">
        <v>1970</v>
      </c>
      <c r="AF1524" s="327">
        <v>4</v>
      </c>
      <c r="AG1524" s="327" t="s">
        <v>843</v>
      </c>
      <c r="AH1524" s="327" t="s">
        <v>876</v>
      </c>
      <c r="AI1524" s="327" t="s">
        <v>985</v>
      </c>
      <c r="AJ1524" s="327" t="s">
        <v>892</v>
      </c>
      <c r="AK1524" s="327" t="s">
        <v>966</v>
      </c>
      <c r="AL1524" s="327" t="s">
        <v>828</v>
      </c>
      <c r="AM1524" s="327" t="s">
        <v>871</v>
      </c>
      <c r="AN1524" s="327" t="s">
        <v>631</v>
      </c>
      <c r="AO1524" s="327">
        <v>-9999</v>
      </c>
      <c r="AP1524" s="327">
        <v>-9999</v>
      </c>
      <c r="AQ1524" s="367" t="s">
        <v>631</v>
      </c>
      <c r="AR1524" s="327">
        <v>0</v>
      </c>
      <c r="AS1524" s="327">
        <v>-9999</v>
      </c>
      <c r="AT1524" s="327">
        <v>-9999</v>
      </c>
      <c r="AU1524" s="327">
        <v>0</v>
      </c>
      <c r="AV1524" s="327">
        <v>-9999</v>
      </c>
      <c r="AW1524" s="327">
        <v>-9999</v>
      </c>
      <c r="AX1524" s="327">
        <v>0</v>
      </c>
      <c r="AY1524" s="327">
        <v>-9999</v>
      </c>
      <c r="AZ1524" s="327">
        <v>-9999</v>
      </c>
      <c r="BA1524" s="327">
        <v>-9999</v>
      </c>
      <c r="BB1524" s="327" t="s">
        <v>631</v>
      </c>
      <c r="BC1524" s="327">
        <v>-9999</v>
      </c>
      <c r="BD1524" s="327">
        <v>-9999</v>
      </c>
      <c r="BE1524" s="327">
        <v>-9999</v>
      </c>
      <c r="BF1524" s="327">
        <v>-9999</v>
      </c>
      <c r="BG1524" s="327">
        <v>-9999</v>
      </c>
      <c r="BH1524" s="327">
        <v>-9999</v>
      </c>
      <c r="BI1524" s="327">
        <v>-9999</v>
      </c>
      <c r="BJ1524" s="327">
        <v>12</v>
      </c>
      <c r="BK1524" s="327">
        <v>-9999</v>
      </c>
      <c r="BL1524" s="368">
        <v>7.9909100000000004</v>
      </c>
      <c r="BM1524" s="327">
        <v>-9999</v>
      </c>
      <c r="BN1524" s="327">
        <v>-9999</v>
      </c>
      <c r="BO1524" s="327">
        <v>-9999</v>
      </c>
      <c r="BP1524" s="327">
        <v>-9999</v>
      </c>
      <c r="BQ1524" s="327">
        <v>-9999</v>
      </c>
      <c r="BR1524" s="327">
        <v>-9999</v>
      </c>
      <c r="BS1524" s="328">
        <v>-9999</v>
      </c>
      <c r="BT1524" s="327">
        <v>-9999</v>
      </c>
      <c r="BU1524" s="327">
        <v>-9999</v>
      </c>
      <c r="BV1524" s="327">
        <v>-9999</v>
      </c>
      <c r="BW1524" s="327"/>
      <c r="BX1524" s="327">
        <v>-9999</v>
      </c>
      <c r="BY1524" s="327">
        <v>-9999</v>
      </c>
      <c r="BZ1524" s="327">
        <v>-9999</v>
      </c>
      <c r="CA1524" s="369">
        <v>-9999</v>
      </c>
      <c r="CB1524" s="475"/>
      <c r="CC1524" s="327">
        <v>1</v>
      </c>
      <c r="CD1524" s="328">
        <v>8</v>
      </c>
      <c r="CE1524" s="342">
        <v>3.6759995999999999</v>
      </c>
      <c r="CF1524" s="342">
        <v>8.8453560000000007</v>
      </c>
      <c r="CG1524" s="359">
        <v>8</v>
      </c>
    </row>
    <row r="1525" spans="1:86" s="301" customFormat="1" ht="12.75" customHeight="1" x14ac:dyDescent="0.2">
      <c r="A1525" s="327" t="s">
        <v>981</v>
      </c>
      <c r="B1525" s="327" t="s">
        <v>982</v>
      </c>
      <c r="C1525" s="327" t="s">
        <v>983</v>
      </c>
      <c r="D1525" s="327" t="s">
        <v>553</v>
      </c>
      <c r="E1525" s="327" t="s">
        <v>901</v>
      </c>
      <c r="F1525" s="327">
        <v>1</v>
      </c>
      <c r="G1525" s="328">
        <v>9</v>
      </c>
      <c r="H1525" s="328">
        <v>9</v>
      </c>
      <c r="I1525" s="327" t="s">
        <v>783</v>
      </c>
      <c r="J1525" s="327">
        <v>1987</v>
      </c>
      <c r="K1525" s="327" t="s">
        <v>783</v>
      </c>
      <c r="L1525" s="327">
        <v>1996</v>
      </c>
      <c r="M1525" s="368">
        <v>-9999</v>
      </c>
      <c r="N1525" s="327">
        <v>-9999</v>
      </c>
      <c r="O1525" s="71">
        <v>1.52</v>
      </c>
      <c r="P1525" s="370">
        <f t="shared" si="167"/>
        <v>40.4064792</v>
      </c>
      <c r="Q1525" s="327">
        <v>-9999</v>
      </c>
      <c r="R1525" s="287">
        <f t="shared" si="170"/>
        <v>26.583209999999998</v>
      </c>
      <c r="S1525" s="368"/>
      <c r="T1525" s="287">
        <f t="shared" si="168"/>
        <v>4.3652423999999996</v>
      </c>
      <c r="U1525" s="413">
        <v>-9999</v>
      </c>
      <c r="V1525" s="297">
        <v>2.8718699999999999</v>
      </c>
      <c r="W1525" s="287">
        <f t="shared" si="169"/>
        <v>11.416796</v>
      </c>
      <c r="X1525" s="327">
        <v>-9999</v>
      </c>
      <c r="Y1525" s="297">
        <v>7.51105</v>
      </c>
      <c r="Z1525" s="327" t="s">
        <v>1707</v>
      </c>
      <c r="AA1525" s="327">
        <v>1660</v>
      </c>
      <c r="AB1525" s="327">
        <v>-9999</v>
      </c>
      <c r="AC1525" s="327">
        <f t="shared" si="166"/>
        <v>0.6</v>
      </c>
      <c r="AD1525" s="327">
        <v>0.15</v>
      </c>
      <c r="AE1525" s="328" t="s">
        <v>1970</v>
      </c>
      <c r="AF1525" s="327">
        <v>4</v>
      </c>
      <c r="AG1525" s="327" t="s">
        <v>843</v>
      </c>
      <c r="AH1525" s="327" t="s">
        <v>876</v>
      </c>
      <c r="AI1525" s="327" t="s">
        <v>985</v>
      </c>
      <c r="AJ1525" s="327" t="s">
        <v>892</v>
      </c>
      <c r="AK1525" s="327" t="s">
        <v>966</v>
      </c>
      <c r="AL1525" s="327" t="s">
        <v>828</v>
      </c>
      <c r="AM1525" s="327" t="s">
        <v>871</v>
      </c>
      <c r="AN1525" s="327" t="s">
        <v>631</v>
      </c>
      <c r="AO1525" s="327">
        <v>-9999</v>
      </c>
      <c r="AP1525" s="327">
        <v>-9999</v>
      </c>
      <c r="AQ1525" s="367" t="s">
        <v>631</v>
      </c>
      <c r="AR1525" s="327">
        <v>0</v>
      </c>
      <c r="AS1525" s="327">
        <v>-9999</v>
      </c>
      <c r="AT1525" s="327">
        <v>-9999</v>
      </c>
      <c r="AU1525" s="327">
        <v>0</v>
      </c>
      <c r="AV1525" s="327">
        <v>-9999</v>
      </c>
      <c r="AW1525" s="327">
        <v>-9999</v>
      </c>
      <c r="AX1525" s="327">
        <v>0</v>
      </c>
      <c r="AY1525" s="327">
        <v>-9999</v>
      </c>
      <c r="AZ1525" s="327">
        <v>-9999</v>
      </c>
      <c r="BA1525" s="327">
        <v>-9999</v>
      </c>
      <c r="BB1525" s="327" t="s">
        <v>631</v>
      </c>
      <c r="BC1525" s="327">
        <v>-9999</v>
      </c>
      <c r="BD1525" s="327">
        <v>-9999</v>
      </c>
      <c r="BE1525" s="327">
        <v>-9999</v>
      </c>
      <c r="BF1525" s="327">
        <v>-9999</v>
      </c>
      <c r="BG1525" s="327">
        <v>-9999</v>
      </c>
      <c r="BH1525" s="327">
        <v>-9999</v>
      </c>
      <c r="BI1525" s="327">
        <v>-9999</v>
      </c>
      <c r="BJ1525" s="327">
        <v>15</v>
      </c>
      <c r="BK1525" s="327">
        <v>-9999</v>
      </c>
      <c r="BL1525" s="368">
        <v>8.9598300000000002</v>
      </c>
      <c r="BM1525" s="327">
        <v>-9999</v>
      </c>
      <c r="BN1525" s="327">
        <v>-9999</v>
      </c>
      <c r="BO1525" s="327">
        <v>-9999</v>
      </c>
      <c r="BP1525" s="327">
        <v>-9999</v>
      </c>
      <c r="BQ1525" s="327">
        <v>-9999</v>
      </c>
      <c r="BR1525" s="327">
        <v>-9999</v>
      </c>
      <c r="BS1525" s="328">
        <v>-9999</v>
      </c>
      <c r="BT1525" s="327">
        <v>-9999</v>
      </c>
      <c r="BU1525" s="327">
        <v>-9999</v>
      </c>
      <c r="BV1525" s="327">
        <v>-9999</v>
      </c>
      <c r="BW1525" s="327"/>
      <c r="BX1525" s="327">
        <v>-9999</v>
      </c>
      <c r="BY1525" s="327">
        <v>-9999</v>
      </c>
      <c r="BZ1525" s="327">
        <v>-9999</v>
      </c>
      <c r="CA1525" s="369">
        <v>-9999</v>
      </c>
      <c r="CB1525" s="475"/>
      <c r="CC1525" s="327">
        <v>1</v>
      </c>
      <c r="CD1525" s="328">
        <v>9</v>
      </c>
      <c r="CE1525" s="342">
        <v>4.3652423999999996</v>
      </c>
      <c r="CF1525" s="342">
        <v>11.416796</v>
      </c>
      <c r="CG1525" s="359">
        <v>9</v>
      </c>
    </row>
    <row r="1526" spans="1:86" s="301" customFormat="1" ht="12.75" customHeight="1" x14ac:dyDescent="0.2">
      <c r="A1526" s="327" t="s">
        <v>981</v>
      </c>
      <c r="B1526" s="327" t="s">
        <v>982</v>
      </c>
      <c r="C1526" s="327" t="s">
        <v>983</v>
      </c>
      <c r="D1526" s="327" t="s">
        <v>553</v>
      </c>
      <c r="E1526" s="327" t="s">
        <v>901</v>
      </c>
      <c r="F1526" s="327">
        <v>1</v>
      </c>
      <c r="G1526" s="328">
        <v>10</v>
      </c>
      <c r="H1526" s="328">
        <v>10</v>
      </c>
      <c r="I1526" s="327" t="s">
        <v>783</v>
      </c>
      <c r="J1526" s="327">
        <v>1987</v>
      </c>
      <c r="K1526" s="327" t="s">
        <v>783</v>
      </c>
      <c r="L1526" s="327">
        <v>1997</v>
      </c>
      <c r="M1526" s="368">
        <v>-9999</v>
      </c>
      <c r="N1526" s="327">
        <v>-9999</v>
      </c>
      <c r="O1526" s="71">
        <v>1.47</v>
      </c>
      <c r="P1526" s="370">
        <f t="shared" si="167"/>
        <v>48.819581999999997</v>
      </c>
      <c r="Q1526" s="327">
        <v>-9999</v>
      </c>
      <c r="R1526" s="287">
        <f t="shared" si="170"/>
        <v>33.210599999999999</v>
      </c>
      <c r="S1526" s="368"/>
      <c r="T1526" s="287">
        <f t="shared" si="168"/>
        <v>4.8170135999999992</v>
      </c>
      <c r="U1526" s="413">
        <v>-9999</v>
      </c>
      <c r="V1526" s="297">
        <v>3.2768799999999998</v>
      </c>
      <c r="W1526" s="287">
        <f t="shared" si="169"/>
        <v>9.7422632999999994</v>
      </c>
      <c r="X1526" s="327">
        <v>-9999</v>
      </c>
      <c r="Y1526" s="297">
        <v>6.6273900000000001</v>
      </c>
      <c r="Z1526" s="327" t="s">
        <v>1707</v>
      </c>
      <c r="AA1526" s="327">
        <v>1660</v>
      </c>
      <c r="AB1526" s="327">
        <v>-9999</v>
      </c>
      <c r="AC1526" s="327">
        <f t="shared" si="166"/>
        <v>0.6</v>
      </c>
      <c r="AD1526" s="327">
        <v>0.15</v>
      </c>
      <c r="AE1526" s="328" t="s">
        <v>1970</v>
      </c>
      <c r="AF1526" s="327">
        <v>4</v>
      </c>
      <c r="AG1526" s="327" t="s">
        <v>843</v>
      </c>
      <c r="AH1526" s="327" t="s">
        <v>876</v>
      </c>
      <c r="AI1526" s="327" t="s">
        <v>985</v>
      </c>
      <c r="AJ1526" s="327" t="s">
        <v>892</v>
      </c>
      <c r="AK1526" s="327" t="s">
        <v>966</v>
      </c>
      <c r="AL1526" s="327" t="s">
        <v>828</v>
      </c>
      <c r="AM1526" s="327" t="s">
        <v>871</v>
      </c>
      <c r="AN1526" s="327" t="s">
        <v>631</v>
      </c>
      <c r="AO1526" s="327">
        <v>-9999</v>
      </c>
      <c r="AP1526" s="327">
        <v>-9999</v>
      </c>
      <c r="AQ1526" s="367" t="s">
        <v>631</v>
      </c>
      <c r="AR1526" s="327">
        <v>0</v>
      </c>
      <c r="AS1526" s="327">
        <v>-9999</v>
      </c>
      <c r="AT1526" s="327">
        <v>-9999</v>
      </c>
      <c r="AU1526" s="327">
        <v>0</v>
      </c>
      <c r="AV1526" s="327">
        <v>-9999</v>
      </c>
      <c r="AW1526" s="327">
        <v>-9999</v>
      </c>
      <c r="AX1526" s="327">
        <v>0</v>
      </c>
      <c r="AY1526" s="327">
        <v>-9999</v>
      </c>
      <c r="AZ1526" s="327">
        <v>-9999</v>
      </c>
      <c r="BA1526" s="327">
        <v>-9999</v>
      </c>
      <c r="BB1526" s="327" t="s">
        <v>631</v>
      </c>
      <c r="BC1526" s="327">
        <v>-9999</v>
      </c>
      <c r="BD1526" s="327">
        <v>-9999</v>
      </c>
      <c r="BE1526" s="327">
        <v>-9999</v>
      </c>
      <c r="BF1526" s="327">
        <v>-9999</v>
      </c>
      <c r="BG1526" s="327">
        <v>-9999</v>
      </c>
      <c r="BH1526" s="327">
        <v>-9999</v>
      </c>
      <c r="BI1526" s="327">
        <v>-9999</v>
      </c>
      <c r="BJ1526" s="327">
        <v>17</v>
      </c>
      <c r="BK1526" s="327">
        <v>-9999</v>
      </c>
      <c r="BL1526" s="368">
        <v>9.9608000000000008</v>
      </c>
      <c r="BM1526" s="327">
        <v>-9999</v>
      </c>
      <c r="BN1526" s="327">
        <v>-9999</v>
      </c>
      <c r="BO1526" s="327">
        <v>-9999</v>
      </c>
      <c r="BP1526" s="327">
        <v>-9999</v>
      </c>
      <c r="BQ1526" s="327">
        <v>-9999</v>
      </c>
      <c r="BR1526" s="327">
        <v>-9999</v>
      </c>
      <c r="BS1526" s="328">
        <v>-9999</v>
      </c>
      <c r="BT1526" s="327">
        <v>-9999</v>
      </c>
      <c r="BU1526" s="327">
        <v>-9999</v>
      </c>
      <c r="BV1526" s="327">
        <v>-9999</v>
      </c>
      <c r="BW1526" s="327"/>
      <c r="BX1526" s="327">
        <v>-9999</v>
      </c>
      <c r="BY1526" s="327">
        <v>-9999</v>
      </c>
      <c r="BZ1526" s="327">
        <v>-9999</v>
      </c>
      <c r="CA1526" s="369">
        <v>-9999</v>
      </c>
      <c r="CB1526" s="475"/>
      <c r="CC1526" s="327">
        <v>1</v>
      </c>
      <c r="CD1526" s="328">
        <v>10</v>
      </c>
      <c r="CE1526" s="342">
        <v>4.8170135999999992</v>
      </c>
      <c r="CF1526" s="342">
        <v>9.7422632999999994</v>
      </c>
      <c r="CG1526" s="359">
        <v>10</v>
      </c>
    </row>
    <row r="1527" spans="1:86" s="301" customFormat="1" ht="12.75" customHeight="1" x14ac:dyDescent="0.2">
      <c r="A1527" s="327" t="s">
        <v>981</v>
      </c>
      <c r="B1527" s="327" t="s">
        <v>982</v>
      </c>
      <c r="C1527" s="327" t="s">
        <v>983</v>
      </c>
      <c r="D1527" s="327" t="s">
        <v>553</v>
      </c>
      <c r="E1527" s="327" t="s">
        <v>901</v>
      </c>
      <c r="F1527" s="327">
        <v>1</v>
      </c>
      <c r="G1527" s="328">
        <v>11</v>
      </c>
      <c r="H1527" s="328">
        <v>11</v>
      </c>
      <c r="I1527" s="327" t="s">
        <v>783</v>
      </c>
      <c r="J1527" s="327">
        <v>1987</v>
      </c>
      <c r="K1527" s="327" t="s">
        <v>783</v>
      </c>
      <c r="L1527" s="327">
        <v>1998</v>
      </c>
      <c r="M1527" s="368">
        <v>-9999</v>
      </c>
      <c r="N1527" s="327">
        <v>-9999</v>
      </c>
      <c r="O1527" s="71">
        <v>1.47</v>
      </c>
      <c r="P1527" s="370">
        <f t="shared" si="167"/>
        <v>59.590198499999993</v>
      </c>
      <c r="Q1527" s="327">
        <v>-9999</v>
      </c>
      <c r="R1527" s="287">
        <f t="shared" si="170"/>
        <v>40.537549999999996</v>
      </c>
      <c r="S1527" s="368"/>
      <c r="T1527" s="287">
        <f t="shared" si="168"/>
        <v>5.3582529000000001</v>
      </c>
      <c r="U1527" s="413">
        <v>-9999</v>
      </c>
      <c r="V1527" s="297">
        <v>3.64507</v>
      </c>
      <c r="W1527" s="287">
        <f t="shared" si="169"/>
        <v>10.770616499999999</v>
      </c>
      <c r="X1527" s="327">
        <v>-9999</v>
      </c>
      <c r="Y1527" s="297">
        <v>7.3269500000000001</v>
      </c>
      <c r="Z1527" s="327" t="s">
        <v>1707</v>
      </c>
      <c r="AA1527" s="327">
        <v>1660</v>
      </c>
      <c r="AB1527" s="327">
        <v>-9999</v>
      </c>
      <c r="AC1527" s="327">
        <f t="shared" si="166"/>
        <v>0.6</v>
      </c>
      <c r="AD1527" s="327">
        <v>0.15</v>
      </c>
      <c r="AE1527" s="328" t="s">
        <v>1970</v>
      </c>
      <c r="AF1527" s="327">
        <v>4</v>
      </c>
      <c r="AG1527" s="327" t="s">
        <v>843</v>
      </c>
      <c r="AH1527" s="327" t="s">
        <v>876</v>
      </c>
      <c r="AI1527" s="327" t="s">
        <v>985</v>
      </c>
      <c r="AJ1527" s="327" t="s">
        <v>892</v>
      </c>
      <c r="AK1527" s="327" t="s">
        <v>966</v>
      </c>
      <c r="AL1527" s="327" t="s">
        <v>828</v>
      </c>
      <c r="AM1527" s="327" t="s">
        <v>871</v>
      </c>
      <c r="AN1527" s="327" t="s">
        <v>631</v>
      </c>
      <c r="AO1527" s="327">
        <v>-9999</v>
      </c>
      <c r="AP1527" s="327">
        <v>-9999</v>
      </c>
      <c r="AQ1527" s="367" t="s">
        <v>631</v>
      </c>
      <c r="AR1527" s="327">
        <v>0</v>
      </c>
      <c r="AS1527" s="327">
        <v>-9999</v>
      </c>
      <c r="AT1527" s="327">
        <v>-9999</v>
      </c>
      <c r="AU1527" s="327">
        <v>0</v>
      </c>
      <c r="AV1527" s="327">
        <v>-9999</v>
      </c>
      <c r="AW1527" s="327">
        <v>-9999</v>
      </c>
      <c r="AX1527" s="327">
        <v>0</v>
      </c>
      <c r="AY1527" s="327">
        <v>-9999</v>
      </c>
      <c r="AZ1527" s="327">
        <v>-9999</v>
      </c>
      <c r="BA1527" s="327">
        <v>-9999</v>
      </c>
      <c r="BB1527" s="327" t="s">
        <v>631</v>
      </c>
      <c r="BC1527" s="327">
        <v>-9999</v>
      </c>
      <c r="BD1527" s="327">
        <v>-9999</v>
      </c>
      <c r="BE1527" s="327">
        <v>-9999</v>
      </c>
      <c r="BF1527" s="327">
        <v>-9999</v>
      </c>
      <c r="BG1527" s="327">
        <v>-9999</v>
      </c>
      <c r="BH1527" s="327">
        <v>-9999</v>
      </c>
      <c r="BI1527" s="327">
        <v>-9999</v>
      </c>
      <c r="BJ1527" s="327">
        <v>19</v>
      </c>
      <c r="BK1527" s="327">
        <v>-9999</v>
      </c>
      <c r="BL1527" s="368">
        <v>10.96162</v>
      </c>
      <c r="BM1527" s="327">
        <v>-9999</v>
      </c>
      <c r="BN1527" s="327">
        <v>-9999</v>
      </c>
      <c r="BO1527" s="327">
        <v>-9999</v>
      </c>
      <c r="BP1527" s="327">
        <v>-9999</v>
      </c>
      <c r="BQ1527" s="327">
        <v>-9999</v>
      </c>
      <c r="BR1527" s="327">
        <v>-9999</v>
      </c>
      <c r="BS1527" s="328">
        <v>-9999</v>
      </c>
      <c r="BT1527" s="327">
        <v>-9999</v>
      </c>
      <c r="BU1527" s="327">
        <v>-9999</v>
      </c>
      <c r="BV1527" s="327">
        <v>-9999</v>
      </c>
      <c r="BW1527" s="327"/>
      <c r="BX1527" s="327">
        <v>-9999</v>
      </c>
      <c r="BY1527" s="327">
        <v>-9999</v>
      </c>
      <c r="BZ1527" s="327">
        <v>-9999</v>
      </c>
      <c r="CA1527" s="369">
        <v>-9999</v>
      </c>
      <c r="CB1527" s="475"/>
      <c r="CC1527" s="327">
        <v>1</v>
      </c>
      <c r="CD1527" s="328">
        <v>11</v>
      </c>
      <c r="CE1527" s="342">
        <v>5.3582529000000001</v>
      </c>
      <c r="CF1527" s="342">
        <v>10.770616499999999</v>
      </c>
      <c r="CG1527" s="359">
        <v>11</v>
      </c>
    </row>
    <row r="1528" spans="1:86" s="301" customFormat="1" ht="12.75" customHeight="1" x14ac:dyDescent="0.2">
      <c r="A1528" s="327" t="s">
        <v>981</v>
      </c>
      <c r="B1528" s="327" t="s">
        <v>982</v>
      </c>
      <c r="C1528" s="327" t="s">
        <v>983</v>
      </c>
      <c r="D1528" s="327" t="s">
        <v>553</v>
      </c>
      <c r="E1528" s="327" t="s">
        <v>901</v>
      </c>
      <c r="F1528" s="327">
        <v>1</v>
      </c>
      <c r="G1528" s="328">
        <v>12</v>
      </c>
      <c r="H1528" s="328">
        <v>12</v>
      </c>
      <c r="I1528" s="327" t="s">
        <v>783</v>
      </c>
      <c r="J1528" s="327">
        <v>1987</v>
      </c>
      <c r="K1528" s="327" t="s">
        <v>783</v>
      </c>
      <c r="L1528" s="327">
        <v>1999</v>
      </c>
      <c r="M1528" s="368">
        <v>-9999</v>
      </c>
      <c r="N1528" s="327">
        <v>-9999</v>
      </c>
      <c r="O1528" s="71">
        <v>1.47</v>
      </c>
      <c r="P1528" s="370">
        <f t="shared" si="167"/>
        <v>73.662361500000003</v>
      </c>
      <c r="Q1528" s="327">
        <v>-9999</v>
      </c>
      <c r="R1528" s="287">
        <f t="shared" si="170"/>
        <v>50.11045</v>
      </c>
      <c r="S1528" s="368"/>
      <c r="T1528" s="287">
        <f t="shared" si="168"/>
        <v>6.0618536999999995</v>
      </c>
      <c r="U1528" s="413">
        <v>-9999</v>
      </c>
      <c r="V1528" s="297">
        <v>4.12371</v>
      </c>
      <c r="W1528" s="287">
        <f t="shared" si="169"/>
        <v>14.072163000000002</v>
      </c>
      <c r="X1528" s="327">
        <v>-9999</v>
      </c>
      <c r="Y1528" s="297">
        <v>9.5729000000000006</v>
      </c>
      <c r="Z1528" s="327" t="s">
        <v>1707</v>
      </c>
      <c r="AA1528" s="327">
        <v>1660</v>
      </c>
      <c r="AB1528" s="327">
        <v>-9999</v>
      </c>
      <c r="AC1528" s="327">
        <f t="shared" si="166"/>
        <v>0.6</v>
      </c>
      <c r="AD1528" s="327">
        <v>0.15</v>
      </c>
      <c r="AE1528" s="328" t="s">
        <v>1970</v>
      </c>
      <c r="AF1528" s="327">
        <v>4</v>
      </c>
      <c r="AG1528" s="327" t="s">
        <v>843</v>
      </c>
      <c r="AH1528" s="327" t="s">
        <v>876</v>
      </c>
      <c r="AI1528" s="327" t="s">
        <v>985</v>
      </c>
      <c r="AJ1528" s="327" t="s">
        <v>892</v>
      </c>
      <c r="AK1528" s="327" t="s">
        <v>966</v>
      </c>
      <c r="AL1528" s="327" t="s">
        <v>828</v>
      </c>
      <c r="AM1528" s="327" t="s">
        <v>871</v>
      </c>
      <c r="AN1528" s="327" t="s">
        <v>631</v>
      </c>
      <c r="AO1528" s="327">
        <v>-9999</v>
      </c>
      <c r="AP1528" s="327">
        <v>-9999</v>
      </c>
      <c r="AQ1528" s="367" t="s">
        <v>631</v>
      </c>
      <c r="AR1528" s="327">
        <v>0</v>
      </c>
      <c r="AS1528" s="327">
        <v>-9999</v>
      </c>
      <c r="AT1528" s="327">
        <v>-9999</v>
      </c>
      <c r="AU1528" s="327">
        <v>0</v>
      </c>
      <c r="AV1528" s="327">
        <v>-9999</v>
      </c>
      <c r="AW1528" s="327">
        <v>-9999</v>
      </c>
      <c r="AX1528" s="327">
        <v>0</v>
      </c>
      <c r="AY1528" s="327">
        <v>-9999</v>
      </c>
      <c r="AZ1528" s="327">
        <v>-9999</v>
      </c>
      <c r="BA1528" s="327">
        <v>-9999</v>
      </c>
      <c r="BB1528" s="327" t="s">
        <v>631</v>
      </c>
      <c r="BC1528" s="327">
        <v>-9999</v>
      </c>
      <c r="BD1528" s="327">
        <v>-9999</v>
      </c>
      <c r="BE1528" s="327">
        <v>-9999</v>
      </c>
      <c r="BF1528" s="327">
        <v>-9999</v>
      </c>
      <c r="BG1528" s="327">
        <v>-9999</v>
      </c>
      <c r="BH1528" s="327">
        <v>-9999</v>
      </c>
      <c r="BI1528" s="327">
        <v>-9999</v>
      </c>
      <c r="BJ1528" s="327">
        <v>21</v>
      </c>
      <c r="BK1528" s="327">
        <v>-9999</v>
      </c>
      <c r="BL1528" s="368">
        <v>11.96266</v>
      </c>
      <c r="BM1528" s="327">
        <v>-9999</v>
      </c>
      <c r="BN1528" s="327">
        <v>-9999</v>
      </c>
      <c r="BO1528" s="327">
        <v>-9999</v>
      </c>
      <c r="BP1528" s="327">
        <v>-9999</v>
      </c>
      <c r="BQ1528" s="327">
        <v>-9999</v>
      </c>
      <c r="BR1528" s="327">
        <v>-9999</v>
      </c>
      <c r="BS1528" s="328">
        <v>-9999</v>
      </c>
      <c r="BT1528" s="327">
        <v>-9999</v>
      </c>
      <c r="BU1528" s="327">
        <v>-9999</v>
      </c>
      <c r="BV1528" s="327">
        <v>-9999</v>
      </c>
      <c r="BW1528" s="327"/>
      <c r="BX1528" s="327">
        <v>-9999</v>
      </c>
      <c r="BY1528" s="327">
        <v>-9999</v>
      </c>
      <c r="BZ1528" s="327">
        <v>-9999</v>
      </c>
      <c r="CA1528" s="369">
        <v>-9999</v>
      </c>
      <c r="CB1528" s="475"/>
      <c r="CC1528" s="327">
        <v>1</v>
      </c>
      <c r="CD1528" s="328">
        <v>12</v>
      </c>
      <c r="CE1528" s="342">
        <v>6.0618536999999995</v>
      </c>
      <c r="CF1528" s="342">
        <v>14.072163000000002</v>
      </c>
      <c r="CG1528" s="359">
        <v>12</v>
      </c>
    </row>
    <row r="1529" spans="1:86" s="301" customFormat="1" ht="12.75" customHeight="1" x14ac:dyDescent="0.2">
      <c r="A1529" s="327" t="s">
        <v>981</v>
      </c>
      <c r="B1529" s="327" t="s">
        <v>982</v>
      </c>
      <c r="C1529" s="327" t="s">
        <v>983</v>
      </c>
      <c r="D1529" s="327" t="s">
        <v>553</v>
      </c>
      <c r="E1529" s="327" t="s">
        <v>901</v>
      </c>
      <c r="F1529" s="327">
        <v>1</v>
      </c>
      <c r="G1529" s="328">
        <v>13</v>
      </c>
      <c r="H1529" s="328">
        <v>13</v>
      </c>
      <c r="I1529" s="327" t="s">
        <v>783</v>
      </c>
      <c r="J1529" s="327">
        <v>1987</v>
      </c>
      <c r="K1529" s="327" t="s">
        <v>783</v>
      </c>
      <c r="L1529" s="327">
        <v>2000</v>
      </c>
      <c r="M1529" s="368">
        <v>-9999</v>
      </c>
      <c r="N1529" s="327">
        <v>-9999</v>
      </c>
      <c r="O1529" s="71">
        <v>1.43</v>
      </c>
      <c r="P1529" s="370">
        <f t="shared" si="167"/>
        <v>84.294167099999996</v>
      </c>
      <c r="Q1529" s="327">
        <v>-9999</v>
      </c>
      <c r="R1529" s="287">
        <f t="shared" si="170"/>
        <v>58.94697</v>
      </c>
      <c r="S1529" s="368"/>
      <c r="T1529" s="287">
        <f t="shared" si="168"/>
        <v>6.4760695999999998</v>
      </c>
      <c r="U1529" s="413">
        <v>-9999</v>
      </c>
      <c r="V1529" s="297">
        <v>4.5287199999999999</v>
      </c>
      <c r="W1529" s="287">
        <f t="shared" si="169"/>
        <v>12.636223599999999</v>
      </c>
      <c r="X1529" s="327">
        <v>-9999</v>
      </c>
      <c r="Y1529" s="297">
        <v>8.8365200000000002</v>
      </c>
      <c r="Z1529" s="327" t="s">
        <v>1707</v>
      </c>
      <c r="AA1529" s="327">
        <v>1660</v>
      </c>
      <c r="AB1529" s="327">
        <v>-9999</v>
      </c>
      <c r="AC1529" s="327">
        <f t="shared" si="166"/>
        <v>0.6</v>
      </c>
      <c r="AD1529" s="327">
        <v>0.15</v>
      </c>
      <c r="AE1529" s="328" t="s">
        <v>1970</v>
      </c>
      <c r="AF1529" s="327">
        <v>4</v>
      </c>
      <c r="AG1529" s="327" t="s">
        <v>843</v>
      </c>
      <c r="AH1529" s="327" t="s">
        <v>876</v>
      </c>
      <c r="AI1529" s="327" t="s">
        <v>985</v>
      </c>
      <c r="AJ1529" s="327" t="s">
        <v>892</v>
      </c>
      <c r="AK1529" s="327" t="s">
        <v>966</v>
      </c>
      <c r="AL1529" s="327" t="s">
        <v>828</v>
      </c>
      <c r="AM1529" s="327" t="s">
        <v>871</v>
      </c>
      <c r="AN1529" s="327" t="s">
        <v>631</v>
      </c>
      <c r="AO1529" s="327">
        <v>-9999</v>
      </c>
      <c r="AP1529" s="327">
        <v>-9999</v>
      </c>
      <c r="AQ1529" s="367" t="s">
        <v>631</v>
      </c>
      <c r="AR1529" s="327">
        <v>0</v>
      </c>
      <c r="AS1529" s="327">
        <v>-9999</v>
      </c>
      <c r="AT1529" s="327">
        <v>-9999</v>
      </c>
      <c r="AU1529" s="327">
        <v>0</v>
      </c>
      <c r="AV1529" s="327">
        <v>-9999</v>
      </c>
      <c r="AW1529" s="327">
        <v>-9999</v>
      </c>
      <c r="AX1529" s="327">
        <v>0</v>
      </c>
      <c r="AY1529" s="327">
        <v>-9999</v>
      </c>
      <c r="AZ1529" s="327">
        <v>-9999</v>
      </c>
      <c r="BA1529" s="327">
        <v>-9999</v>
      </c>
      <c r="BB1529" s="327" t="s">
        <v>631</v>
      </c>
      <c r="BC1529" s="327">
        <v>-9999</v>
      </c>
      <c r="BD1529" s="327">
        <v>-9999</v>
      </c>
      <c r="BE1529" s="327">
        <v>-9999</v>
      </c>
      <c r="BF1529" s="327">
        <v>-9999</v>
      </c>
      <c r="BG1529" s="327">
        <v>-9999</v>
      </c>
      <c r="BH1529" s="327">
        <v>-9999</v>
      </c>
      <c r="BI1529" s="327">
        <v>-9999</v>
      </c>
      <c r="BJ1529" s="327">
        <v>22</v>
      </c>
      <c r="BK1529" s="327">
        <v>-9999</v>
      </c>
      <c r="BL1529" s="368">
        <v>12.963559999999999</v>
      </c>
      <c r="BM1529" s="327">
        <v>-9999</v>
      </c>
      <c r="BN1529" s="327">
        <v>-9999</v>
      </c>
      <c r="BO1529" s="327">
        <v>-9999</v>
      </c>
      <c r="BP1529" s="327">
        <v>-9999</v>
      </c>
      <c r="BQ1529" s="327">
        <v>-9999</v>
      </c>
      <c r="BR1529" s="327">
        <v>-9999</v>
      </c>
      <c r="BS1529" s="328">
        <v>-9999</v>
      </c>
      <c r="BT1529" s="327">
        <v>-9999</v>
      </c>
      <c r="BU1529" s="327">
        <v>-9999</v>
      </c>
      <c r="BV1529" s="327">
        <v>-9999</v>
      </c>
      <c r="BW1529" s="327"/>
      <c r="BX1529" s="327">
        <v>-9999</v>
      </c>
      <c r="BY1529" s="327">
        <v>-9999</v>
      </c>
      <c r="BZ1529" s="327">
        <v>-9999</v>
      </c>
      <c r="CA1529" s="369">
        <v>-9999</v>
      </c>
      <c r="CB1529" s="475"/>
      <c r="CC1529" s="327">
        <v>1</v>
      </c>
      <c r="CD1529" s="328">
        <v>13</v>
      </c>
      <c r="CE1529" s="342">
        <v>6.4760695999999998</v>
      </c>
      <c r="CF1529" s="342">
        <v>12.636223599999999</v>
      </c>
      <c r="CG1529" s="359">
        <v>13</v>
      </c>
    </row>
    <row r="1530" spans="1:86" s="301" customFormat="1" ht="12.75" customHeight="1" x14ac:dyDescent="0.2">
      <c r="A1530" s="327" t="s">
        <v>981</v>
      </c>
      <c r="B1530" s="327" t="s">
        <v>982</v>
      </c>
      <c r="C1530" s="327" t="s">
        <v>983</v>
      </c>
      <c r="D1530" s="327" t="s">
        <v>553</v>
      </c>
      <c r="E1530" s="327" t="s">
        <v>901</v>
      </c>
      <c r="F1530" s="327">
        <v>1</v>
      </c>
      <c r="G1530" s="328">
        <v>14</v>
      </c>
      <c r="H1530" s="328">
        <v>14</v>
      </c>
      <c r="I1530" s="327" t="s">
        <v>783</v>
      </c>
      <c r="J1530" s="327">
        <v>1987</v>
      </c>
      <c r="K1530" s="327" t="s">
        <v>783</v>
      </c>
      <c r="L1530" s="327">
        <v>2001</v>
      </c>
      <c r="M1530" s="368">
        <v>-9999</v>
      </c>
      <c r="N1530" s="327">
        <v>-9999</v>
      </c>
      <c r="O1530" s="71">
        <v>1.43</v>
      </c>
      <c r="P1530" s="370">
        <f t="shared" si="167"/>
        <v>96.93039069999999</v>
      </c>
      <c r="Q1530" s="327">
        <v>-9999</v>
      </c>
      <c r="R1530" s="287">
        <f t="shared" si="170"/>
        <v>67.78349</v>
      </c>
      <c r="S1530" s="368"/>
      <c r="T1530" s="287">
        <f t="shared" si="168"/>
        <v>6.8972761</v>
      </c>
      <c r="U1530" s="413">
        <v>-9999</v>
      </c>
      <c r="V1530" s="297">
        <v>4.8232699999999999</v>
      </c>
      <c r="W1530" s="287">
        <f t="shared" si="169"/>
        <v>12.636223599999999</v>
      </c>
      <c r="X1530" s="327">
        <v>-9999</v>
      </c>
      <c r="Y1530" s="297">
        <v>8.8365200000000002</v>
      </c>
      <c r="Z1530" s="327" t="s">
        <v>1707</v>
      </c>
      <c r="AA1530" s="327">
        <v>1660</v>
      </c>
      <c r="AB1530" s="327">
        <v>-9999</v>
      </c>
      <c r="AC1530" s="327">
        <f t="shared" si="166"/>
        <v>0.6</v>
      </c>
      <c r="AD1530" s="327">
        <v>0.15</v>
      </c>
      <c r="AE1530" s="328" t="s">
        <v>1970</v>
      </c>
      <c r="AF1530" s="327">
        <v>4</v>
      </c>
      <c r="AG1530" s="327" t="s">
        <v>843</v>
      </c>
      <c r="AH1530" s="327" t="s">
        <v>876</v>
      </c>
      <c r="AI1530" s="327" t="s">
        <v>985</v>
      </c>
      <c r="AJ1530" s="327" t="s">
        <v>892</v>
      </c>
      <c r="AK1530" s="327" t="s">
        <v>966</v>
      </c>
      <c r="AL1530" s="327" t="s">
        <v>828</v>
      </c>
      <c r="AM1530" s="327" t="s">
        <v>871</v>
      </c>
      <c r="AN1530" s="327" t="s">
        <v>631</v>
      </c>
      <c r="AO1530" s="327">
        <v>-9999</v>
      </c>
      <c r="AP1530" s="327">
        <v>-9999</v>
      </c>
      <c r="AQ1530" s="367" t="s">
        <v>631</v>
      </c>
      <c r="AR1530" s="327">
        <v>0</v>
      </c>
      <c r="AS1530" s="327">
        <v>-9999</v>
      </c>
      <c r="AT1530" s="327">
        <v>-9999</v>
      </c>
      <c r="AU1530" s="327">
        <v>0</v>
      </c>
      <c r="AV1530" s="327">
        <v>-9999</v>
      </c>
      <c r="AW1530" s="327">
        <v>-9999</v>
      </c>
      <c r="AX1530" s="327">
        <v>0</v>
      </c>
      <c r="AY1530" s="327">
        <v>-9999</v>
      </c>
      <c r="AZ1530" s="327">
        <v>-9999</v>
      </c>
      <c r="BA1530" s="327">
        <v>-9999</v>
      </c>
      <c r="BB1530" s="327" t="s">
        <v>631</v>
      </c>
      <c r="BC1530" s="327">
        <v>-9999</v>
      </c>
      <c r="BD1530" s="327">
        <v>-9999</v>
      </c>
      <c r="BE1530" s="327">
        <v>-9999</v>
      </c>
      <c r="BF1530" s="327">
        <v>-9999</v>
      </c>
      <c r="BG1530" s="327">
        <v>-9999</v>
      </c>
      <c r="BH1530" s="327">
        <v>-9999</v>
      </c>
      <c r="BI1530" s="327">
        <v>-9999</v>
      </c>
      <c r="BJ1530" s="327">
        <v>24</v>
      </c>
      <c r="BK1530" s="327">
        <v>-9999</v>
      </c>
      <c r="BL1530" s="368">
        <v>13.96425</v>
      </c>
      <c r="BM1530" s="327">
        <v>-9999</v>
      </c>
      <c r="BN1530" s="327">
        <v>-9999</v>
      </c>
      <c r="BO1530" s="327">
        <v>-9999</v>
      </c>
      <c r="BP1530" s="327">
        <v>-9999</v>
      </c>
      <c r="BQ1530" s="327">
        <v>-9999</v>
      </c>
      <c r="BR1530" s="327">
        <v>-9999</v>
      </c>
      <c r="BS1530" s="328">
        <v>-9999</v>
      </c>
      <c r="BT1530" s="327">
        <v>-9999</v>
      </c>
      <c r="BU1530" s="327">
        <v>-9999</v>
      </c>
      <c r="BV1530" s="327">
        <v>-9999</v>
      </c>
      <c r="BW1530" s="327"/>
      <c r="BX1530" s="327">
        <v>-9999</v>
      </c>
      <c r="BY1530" s="327">
        <v>-9999</v>
      </c>
      <c r="BZ1530" s="327">
        <v>-9999</v>
      </c>
      <c r="CA1530" s="369">
        <v>-9999</v>
      </c>
      <c r="CB1530" s="475"/>
      <c r="CC1530" s="327">
        <v>1</v>
      </c>
      <c r="CD1530" s="328">
        <v>14</v>
      </c>
      <c r="CE1530" s="342">
        <v>6.8972761</v>
      </c>
      <c r="CF1530" s="342">
        <v>12.636223599999999</v>
      </c>
      <c r="CG1530" s="359">
        <v>14</v>
      </c>
    </row>
    <row r="1531" spans="1:86" s="301" customFormat="1" ht="12.75" customHeight="1" x14ac:dyDescent="0.2">
      <c r="A1531" s="327" t="s">
        <v>981</v>
      </c>
      <c r="B1531" s="327" t="s">
        <v>982</v>
      </c>
      <c r="C1531" s="327" t="s">
        <v>983</v>
      </c>
      <c r="D1531" s="327" t="s">
        <v>553</v>
      </c>
      <c r="E1531" s="327" t="s">
        <v>901</v>
      </c>
      <c r="F1531" s="327">
        <v>1</v>
      </c>
      <c r="G1531" s="328">
        <v>15</v>
      </c>
      <c r="H1531" s="328">
        <v>15</v>
      </c>
      <c r="I1531" s="327" t="s">
        <v>783</v>
      </c>
      <c r="J1531" s="327">
        <v>1987</v>
      </c>
      <c r="K1531" s="327" t="s">
        <v>783</v>
      </c>
      <c r="L1531" s="327">
        <v>2002</v>
      </c>
      <c r="M1531" s="368">
        <v>-9999</v>
      </c>
      <c r="N1531" s="327">
        <v>-9999</v>
      </c>
      <c r="O1531" s="71">
        <v>1.43</v>
      </c>
      <c r="P1531" s="370">
        <f t="shared" si="167"/>
        <v>112.6203793</v>
      </c>
      <c r="Q1531" s="327">
        <v>-9999</v>
      </c>
      <c r="R1531" s="287">
        <f t="shared" si="170"/>
        <v>78.755510000000001</v>
      </c>
      <c r="S1531" s="368"/>
      <c r="T1531" s="287">
        <f t="shared" si="168"/>
        <v>7.5290930000000005</v>
      </c>
      <c r="U1531" s="413">
        <v>-9999</v>
      </c>
      <c r="V1531" s="368">
        <v>5.2651000000000003</v>
      </c>
      <c r="W1531" s="287">
        <f t="shared" si="169"/>
        <v>15.6899886</v>
      </c>
      <c r="X1531" s="327">
        <v>-9999</v>
      </c>
      <c r="Y1531" s="368">
        <v>10.972020000000001</v>
      </c>
      <c r="Z1531" s="327" t="s">
        <v>1707</v>
      </c>
      <c r="AA1531" s="328">
        <v>1660</v>
      </c>
      <c r="AB1531" s="368">
        <v>0.97</v>
      </c>
      <c r="AC1531" s="327">
        <f t="shared" si="166"/>
        <v>0.6</v>
      </c>
      <c r="AD1531" s="327">
        <v>0.15</v>
      </c>
      <c r="AE1531" s="328" t="s">
        <v>1970</v>
      </c>
      <c r="AF1531" s="327">
        <v>4</v>
      </c>
      <c r="AG1531" s="327" t="s">
        <v>843</v>
      </c>
      <c r="AH1531" s="327" t="s">
        <v>876</v>
      </c>
      <c r="AI1531" s="327" t="s">
        <v>985</v>
      </c>
      <c r="AJ1531" s="327" t="s">
        <v>892</v>
      </c>
      <c r="AK1531" s="327" t="s">
        <v>966</v>
      </c>
      <c r="AL1531" s="327" t="s">
        <v>828</v>
      </c>
      <c r="AM1531" s="327" t="s">
        <v>871</v>
      </c>
      <c r="AN1531" s="327" t="s">
        <v>631</v>
      </c>
      <c r="AO1531" s="327">
        <v>-9999</v>
      </c>
      <c r="AP1531" s="327">
        <v>-9999</v>
      </c>
      <c r="AQ1531" s="367" t="s">
        <v>631</v>
      </c>
      <c r="AR1531" s="327">
        <v>0</v>
      </c>
      <c r="AS1531" s="327">
        <v>-9999</v>
      </c>
      <c r="AT1531" s="327">
        <v>-9999</v>
      </c>
      <c r="AU1531" s="327">
        <v>0</v>
      </c>
      <c r="AV1531" s="327">
        <v>-9999</v>
      </c>
      <c r="AW1531" s="327">
        <v>-9999</v>
      </c>
      <c r="AX1531" s="327">
        <v>0</v>
      </c>
      <c r="AY1531" s="327">
        <v>-9999</v>
      </c>
      <c r="AZ1531" s="327">
        <v>-9999</v>
      </c>
      <c r="BA1531" s="327">
        <v>-9999</v>
      </c>
      <c r="BB1531" s="327" t="s">
        <v>631</v>
      </c>
      <c r="BC1531" s="327">
        <v>-9999</v>
      </c>
      <c r="BD1531" s="327">
        <v>-9999</v>
      </c>
      <c r="BE1531" s="327">
        <v>-9999</v>
      </c>
      <c r="BF1531" s="327">
        <v>-9999</v>
      </c>
      <c r="BG1531" s="327">
        <v>-9999</v>
      </c>
      <c r="BH1531" s="327">
        <v>-9999</v>
      </c>
      <c r="BI1531" s="327">
        <v>-9999</v>
      </c>
      <c r="BJ1531" s="327">
        <v>27</v>
      </c>
      <c r="BK1531" s="327">
        <v>-9999</v>
      </c>
      <c r="BL1531" s="368">
        <v>14.932399999999999</v>
      </c>
      <c r="BM1531" s="327">
        <v>-9999</v>
      </c>
      <c r="BN1531" s="327">
        <v>14</v>
      </c>
      <c r="BO1531" s="327">
        <v>-9999</v>
      </c>
      <c r="BP1531" s="327">
        <v>-9999</v>
      </c>
      <c r="BQ1531" s="327">
        <v>-9999</v>
      </c>
      <c r="BR1531" s="327">
        <v>-9999</v>
      </c>
      <c r="BS1531" s="328">
        <v>-9999</v>
      </c>
      <c r="BT1531" s="327">
        <v>-9999</v>
      </c>
      <c r="BU1531" s="327">
        <v>-9999</v>
      </c>
      <c r="BV1531" s="327">
        <v>-9999</v>
      </c>
      <c r="BW1531" s="327"/>
      <c r="BX1531" s="327">
        <v>-9999</v>
      </c>
      <c r="BY1531" s="327">
        <v>-9999</v>
      </c>
      <c r="BZ1531" s="327">
        <v>-9999</v>
      </c>
      <c r="CA1531" s="369">
        <v>-9999</v>
      </c>
      <c r="CB1531" s="475"/>
      <c r="CC1531" s="327">
        <v>1</v>
      </c>
      <c r="CD1531" s="328">
        <v>15</v>
      </c>
      <c r="CE1531" s="342">
        <v>7.5290930000000005</v>
      </c>
      <c r="CF1531" s="342">
        <v>15.6899886</v>
      </c>
      <c r="CG1531" s="355">
        <v>15</v>
      </c>
      <c r="CH1531" s="301" t="s">
        <v>1757</v>
      </c>
    </row>
    <row r="1532" spans="1:86" s="13" customFormat="1" ht="12.75" customHeight="1" x14ac:dyDescent="0.2">
      <c r="A1532" s="259"/>
      <c r="B1532" s="259"/>
      <c r="C1532" s="259"/>
      <c r="D1532" s="327"/>
      <c r="E1532" s="259"/>
      <c r="F1532" s="259"/>
      <c r="G1532" s="260"/>
      <c r="H1532" s="260"/>
      <c r="I1532" s="259"/>
      <c r="J1532" s="259"/>
      <c r="K1532" s="259"/>
      <c r="L1532" s="259"/>
      <c r="M1532" s="288"/>
      <c r="N1532" s="259"/>
      <c r="O1532" s="94"/>
      <c r="P1532" s="590"/>
      <c r="Q1532" s="259"/>
      <c r="R1532" s="288"/>
      <c r="S1532" s="259"/>
      <c r="T1532" s="738"/>
      <c r="U1532" s="259"/>
      <c r="V1532" s="368"/>
      <c r="W1532" s="274"/>
      <c r="X1532" s="259"/>
      <c r="Y1532" s="368"/>
      <c r="Z1532" s="259"/>
      <c r="AA1532" s="260"/>
      <c r="AB1532" s="288"/>
      <c r="AC1532" s="259"/>
      <c r="AD1532" s="259"/>
      <c r="AE1532" s="259"/>
      <c r="AF1532" s="259"/>
      <c r="AG1532" s="259"/>
      <c r="AH1532" s="259"/>
      <c r="AI1532" s="259"/>
      <c r="AJ1532" s="259"/>
      <c r="AK1532" s="327"/>
      <c r="AL1532" s="327"/>
      <c r="AM1532" s="327"/>
      <c r="AN1532" s="259"/>
      <c r="AO1532" s="259"/>
      <c r="AP1532" s="259"/>
      <c r="AQ1532" s="367"/>
      <c r="AR1532" s="327"/>
      <c r="AS1532" s="327"/>
      <c r="AT1532" s="327"/>
      <c r="AU1532" s="327"/>
      <c r="AV1532" s="327"/>
      <c r="AW1532" s="327"/>
      <c r="AX1532" s="327"/>
      <c r="AY1532" s="327"/>
      <c r="AZ1532" s="327"/>
      <c r="BA1532" s="259"/>
      <c r="BB1532" s="259"/>
      <c r="BC1532" s="259"/>
      <c r="BD1532" s="259"/>
      <c r="BE1532" s="259"/>
      <c r="BF1532" s="259"/>
      <c r="BG1532" s="259"/>
      <c r="BH1532" s="259"/>
      <c r="BI1532" s="259"/>
      <c r="BJ1532" s="259"/>
      <c r="BK1532" s="259"/>
      <c r="BL1532" s="288"/>
      <c r="BM1532" s="259"/>
      <c r="BN1532" s="259"/>
      <c r="BO1532" s="259"/>
      <c r="BP1532" s="259"/>
      <c r="BQ1532" s="259"/>
      <c r="BR1532" s="259"/>
      <c r="BS1532" s="260"/>
      <c r="BT1532" s="259"/>
      <c r="BU1532" s="259"/>
      <c r="BV1532" s="259"/>
      <c r="BW1532" s="259"/>
      <c r="BX1532" s="259"/>
      <c r="BY1532" s="259"/>
      <c r="BZ1532" s="259"/>
      <c r="CA1532" s="337"/>
      <c r="CB1532" s="592"/>
      <c r="CC1532" s="259"/>
      <c r="CD1532" s="260"/>
      <c r="CG1532" s="101"/>
    </row>
    <row r="1533" spans="1:86" s="301" customFormat="1" ht="12.75" customHeight="1" x14ac:dyDescent="0.2">
      <c r="A1533" s="327" t="s">
        <v>981</v>
      </c>
      <c r="B1533" s="327" t="s">
        <v>982</v>
      </c>
      <c r="C1533" s="327" t="s">
        <v>986</v>
      </c>
      <c r="D1533" s="327" t="s">
        <v>553</v>
      </c>
      <c r="E1533" s="327" t="s">
        <v>901</v>
      </c>
      <c r="F1533" s="327">
        <v>1</v>
      </c>
      <c r="G1533" s="328">
        <v>1</v>
      </c>
      <c r="H1533" s="328">
        <v>1</v>
      </c>
      <c r="I1533" s="327" t="s">
        <v>783</v>
      </c>
      <c r="J1533" s="327">
        <v>1987</v>
      </c>
      <c r="K1533" s="327" t="s">
        <v>783</v>
      </c>
      <c r="L1533" s="327">
        <v>1988</v>
      </c>
      <c r="M1533" s="368">
        <v>-9999</v>
      </c>
      <c r="N1533" s="327">
        <v>-9999</v>
      </c>
      <c r="O1533" s="323">
        <v>-9999</v>
      </c>
      <c r="P1533" s="368">
        <v>-9999</v>
      </c>
      <c r="Q1533" s="327">
        <v>-9999</v>
      </c>
      <c r="R1533" s="368">
        <v>-9999</v>
      </c>
      <c r="S1533" s="327"/>
      <c r="T1533" s="638">
        <v>-9999</v>
      </c>
      <c r="U1533" s="367">
        <v>-9999</v>
      </c>
      <c r="V1533" s="327">
        <v>-9999</v>
      </c>
      <c r="W1533" s="638">
        <v>-9999</v>
      </c>
      <c r="X1533" s="367">
        <v>-9999</v>
      </c>
      <c r="Y1533" s="327">
        <v>-9999</v>
      </c>
      <c r="Z1533" s="327" t="s">
        <v>1707</v>
      </c>
      <c r="AA1533" s="327">
        <v>1660</v>
      </c>
      <c r="AB1533" s="368">
        <v>1</v>
      </c>
      <c r="AC1533" s="327">
        <f t="shared" ref="AC1533:AC1547" si="171">0.15*4</f>
        <v>0.6</v>
      </c>
      <c r="AD1533" s="327">
        <v>0.15</v>
      </c>
      <c r="AE1533" s="328" t="s">
        <v>1970</v>
      </c>
      <c r="AF1533" s="327">
        <v>4</v>
      </c>
      <c r="AG1533" s="327" t="s">
        <v>843</v>
      </c>
      <c r="AH1533" s="327" t="s">
        <v>876</v>
      </c>
      <c r="AI1533" s="327" t="s">
        <v>985</v>
      </c>
      <c r="AJ1533" s="327" t="s">
        <v>892</v>
      </c>
      <c r="AK1533" s="327" t="s">
        <v>966</v>
      </c>
      <c r="AL1533" s="327" t="s">
        <v>828</v>
      </c>
      <c r="AM1533" s="327" t="s">
        <v>871</v>
      </c>
      <c r="AN1533" s="327" t="s">
        <v>631</v>
      </c>
      <c r="AO1533" s="327">
        <v>-9999</v>
      </c>
      <c r="AP1533" s="327">
        <v>-9999</v>
      </c>
      <c r="AQ1533" s="367" t="s">
        <v>631</v>
      </c>
      <c r="AR1533" s="327">
        <v>0</v>
      </c>
      <c r="AS1533" s="327">
        <v>-9999</v>
      </c>
      <c r="AT1533" s="327">
        <v>-9999</v>
      </c>
      <c r="AU1533" s="327">
        <v>0</v>
      </c>
      <c r="AV1533" s="327">
        <v>-9999</v>
      </c>
      <c r="AW1533" s="327">
        <v>-9999</v>
      </c>
      <c r="AX1533" s="327">
        <v>0</v>
      </c>
      <c r="AY1533" s="327">
        <v>-9999</v>
      </c>
      <c r="AZ1533" s="327">
        <v>-9999</v>
      </c>
      <c r="BA1533" s="327">
        <v>-9999</v>
      </c>
      <c r="BB1533" s="327" t="s">
        <v>626</v>
      </c>
      <c r="BC1533" s="327" t="s">
        <v>987</v>
      </c>
      <c r="BD1533" s="327" t="s">
        <v>988</v>
      </c>
      <c r="BE1533" s="327" t="s">
        <v>989</v>
      </c>
      <c r="BF1533" s="327" t="s">
        <v>881</v>
      </c>
      <c r="BG1533" s="327" t="s">
        <v>990</v>
      </c>
      <c r="BH1533" s="327" t="s">
        <v>991</v>
      </c>
      <c r="BI1533" s="327">
        <v>-9999</v>
      </c>
      <c r="BJ1533" s="327">
        <v>-9999</v>
      </c>
      <c r="BK1533" s="327">
        <v>-9999</v>
      </c>
      <c r="BL1533" s="368">
        <v>0.63419000000000003</v>
      </c>
      <c r="BM1533" s="327">
        <v>-9999</v>
      </c>
      <c r="BN1533" s="327">
        <v>-9999</v>
      </c>
      <c r="BO1533" s="327">
        <v>-9999</v>
      </c>
      <c r="BP1533" s="327">
        <v>-9999</v>
      </c>
      <c r="BQ1533" s="327">
        <v>-9999</v>
      </c>
      <c r="BR1533" s="327">
        <v>-9999</v>
      </c>
      <c r="BS1533" s="328">
        <v>-9999</v>
      </c>
      <c r="BT1533" s="327">
        <v>-9999</v>
      </c>
      <c r="BU1533" s="327">
        <v>-9999</v>
      </c>
      <c r="BV1533" s="327">
        <v>-9999</v>
      </c>
      <c r="BW1533" s="327"/>
      <c r="BX1533" s="327">
        <v>-9999</v>
      </c>
      <c r="BY1533" s="327">
        <v>-9999</v>
      </c>
      <c r="BZ1533" s="327">
        <v>-9999</v>
      </c>
      <c r="CA1533" s="369">
        <v>-9999</v>
      </c>
      <c r="CB1533" s="475"/>
      <c r="CC1533" s="327">
        <v>1</v>
      </c>
      <c r="CD1533" s="328"/>
      <c r="CE1533" s="342"/>
      <c r="CF1533" s="342"/>
      <c r="CG1533" s="359">
        <v>1</v>
      </c>
    </row>
    <row r="1534" spans="1:86" s="301" customFormat="1" ht="12.75" customHeight="1" x14ac:dyDescent="0.2">
      <c r="A1534" s="327" t="s">
        <v>981</v>
      </c>
      <c r="B1534" s="327" t="s">
        <v>982</v>
      </c>
      <c r="C1534" s="327" t="s">
        <v>986</v>
      </c>
      <c r="D1534" s="327" t="s">
        <v>553</v>
      </c>
      <c r="E1534" s="327" t="s">
        <v>901</v>
      </c>
      <c r="F1534" s="327">
        <v>1</v>
      </c>
      <c r="G1534" s="328">
        <v>2</v>
      </c>
      <c r="H1534" s="328">
        <v>2</v>
      </c>
      <c r="I1534" s="327" t="s">
        <v>783</v>
      </c>
      <c r="J1534" s="327">
        <v>1987</v>
      </c>
      <c r="K1534" s="327" t="s">
        <v>783</v>
      </c>
      <c r="L1534" s="327">
        <v>1989</v>
      </c>
      <c r="M1534" s="368">
        <v>-9999</v>
      </c>
      <c r="N1534" s="327">
        <v>-9999</v>
      </c>
      <c r="O1534" s="323">
        <v>-9999</v>
      </c>
      <c r="P1534" s="368">
        <v>-9999</v>
      </c>
      <c r="Q1534" s="327">
        <v>-9999</v>
      </c>
      <c r="R1534" s="368">
        <v>-9999</v>
      </c>
      <c r="S1534" s="327"/>
      <c r="T1534" s="368">
        <v>-9999</v>
      </c>
      <c r="U1534" s="327">
        <v>-9999</v>
      </c>
      <c r="V1534" s="327">
        <v>-9999</v>
      </c>
      <c r="W1534" s="368">
        <v>-9999</v>
      </c>
      <c r="X1534" s="327">
        <v>-9999</v>
      </c>
      <c r="Y1534" s="327">
        <v>-9999</v>
      </c>
      <c r="Z1534" s="327" t="s">
        <v>1707</v>
      </c>
      <c r="AA1534" s="327">
        <v>1660</v>
      </c>
      <c r="AB1534" s="327">
        <v>-9999</v>
      </c>
      <c r="AC1534" s="327">
        <f t="shared" si="171"/>
        <v>0.6</v>
      </c>
      <c r="AD1534" s="327">
        <v>0.15</v>
      </c>
      <c r="AE1534" s="328" t="s">
        <v>1970</v>
      </c>
      <c r="AF1534" s="327">
        <v>4</v>
      </c>
      <c r="AG1534" s="327" t="s">
        <v>843</v>
      </c>
      <c r="AH1534" s="327" t="s">
        <v>876</v>
      </c>
      <c r="AI1534" s="327" t="s">
        <v>985</v>
      </c>
      <c r="AJ1534" s="327" t="s">
        <v>892</v>
      </c>
      <c r="AK1534" s="327" t="s">
        <v>966</v>
      </c>
      <c r="AL1534" s="327" t="s">
        <v>828</v>
      </c>
      <c r="AM1534" s="327" t="s">
        <v>871</v>
      </c>
      <c r="AN1534" s="327" t="s">
        <v>631</v>
      </c>
      <c r="AO1534" s="327">
        <v>-9999</v>
      </c>
      <c r="AP1534" s="327">
        <v>-9999</v>
      </c>
      <c r="AQ1534" s="367" t="s">
        <v>631</v>
      </c>
      <c r="AR1534" s="327">
        <v>0</v>
      </c>
      <c r="AS1534" s="327">
        <v>-9999</v>
      </c>
      <c r="AT1534" s="327">
        <v>-9999</v>
      </c>
      <c r="AU1534" s="327">
        <v>0</v>
      </c>
      <c r="AV1534" s="327">
        <v>-9999</v>
      </c>
      <c r="AW1534" s="327">
        <v>-9999</v>
      </c>
      <c r="AX1534" s="327">
        <v>0</v>
      </c>
      <c r="AY1534" s="327">
        <v>-9999</v>
      </c>
      <c r="AZ1534" s="327">
        <v>-9999</v>
      </c>
      <c r="BA1534" s="327">
        <v>-9999</v>
      </c>
      <c r="BB1534" s="327" t="s">
        <v>626</v>
      </c>
      <c r="BC1534" s="327" t="s">
        <v>987</v>
      </c>
      <c r="BD1534" s="327" t="s">
        <v>988</v>
      </c>
      <c r="BE1534" s="327" t="s">
        <v>989</v>
      </c>
      <c r="BF1534" s="327" t="s">
        <v>881</v>
      </c>
      <c r="BG1534" s="327" t="s">
        <v>990</v>
      </c>
      <c r="BH1534" s="327" t="s">
        <v>991</v>
      </c>
      <c r="BI1534" s="327">
        <v>-9999</v>
      </c>
      <c r="BJ1534" s="327">
        <v>-9999</v>
      </c>
      <c r="BK1534" s="327">
        <v>-9999</v>
      </c>
      <c r="BL1534" s="368">
        <v>1.42523</v>
      </c>
      <c r="BM1534" s="327">
        <v>-9999</v>
      </c>
      <c r="BN1534" s="327">
        <v>-9999</v>
      </c>
      <c r="BO1534" s="327">
        <v>-9999</v>
      </c>
      <c r="BP1534" s="327">
        <v>-9999</v>
      </c>
      <c r="BQ1534" s="327">
        <v>-9999</v>
      </c>
      <c r="BR1534" s="327">
        <v>-9999</v>
      </c>
      <c r="BS1534" s="328">
        <v>-9999</v>
      </c>
      <c r="BT1534" s="327">
        <v>-9999</v>
      </c>
      <c r="BU1534" s="327">
        <v>-9999</v>
      </c>
      <c r="BV1534" s="327">
        <v>-9999</v>
      </c>
      <c r="BW1534" s="327"/>
      <c r="BX1534" s="327">
        <v>-9999</v>
      </c>
      <c r="BY1534" s="327">
        <v>-9999</v>
      </c>
      <c r="BZ1534" s="327">
        <v>-9999</v>
      </c>
      <c r="CA1534" s="369">
        <v>-9999</v>
      </c>
      <c r="CB1534" s="475"/>
      <c r="CC1534" s="327">
        <v>1</v>
      </c>
      <c r="CD1534" s="328"/>
      <c r="CE1534" s="342" t="s">
        <v>1576</v>
      </c>
      <c r="CF1534" s="342" t="s">
        <v>1575</v>
      </c>
      <c r="CG1534" s="359">
        <v>2</v>
      </c>
    </row>
    <row r="1535" spans="1:86" s="301" customFormat="1" ht="12.75" customHeight="1" x14ac:dyDescent="0.2">
      <c r="A1535" s="327" t="s">
        <v>981</v>
      </c>
      <c r="B1535" s="327" t="s">
        <v>982</v>
      </c>
      <c r="C1535" s="327" t="s">
        <v>986</v>
      </c>
      <c r="D1535" s="327" t="s">
        <v>553</v>
      </c>
      <c r="E1535" s="327" t="s">
        <v>901</v>
      </c>
      <c r="F1535" s="327">
        <v>1</v>
      </c>
      <c r="G1535" s="328">
        <v>3</v>
      </c>
      <c r="H1535" s="328">
        <v>3</v>
      </c>
      <c r="I1535" s="327" t="s">
        <v>783</v>
      </c>
      <c r="J1535" s="327">
        <v>1987</v>
      </c>
      <c r="K1535" s="327" t="s">
        <v>783</v>
      </c>
      <c r="L1535" s="327">
        <v>1990</v>
      </c>
      <c r="M1535" s="368">
        <v>-9999</v>
      </c>
      <c r="N1535" s="327">
        <v>-9999</v>
      </c>
      <c r="O1535" s="70">
        <v>2.5</v>
      </c>
      <c r="P1535" s="370">
        <f t="shared" ref="P1535:P1547" si="172">+R1535*O1535</f>
        <v>5.706925</v>
      </c>
      <c r="Q1535" s="327">
        <v>-9999</v>
      </c>
      <c r="R1535" s="287">
        <f>+Y1535</f>
        <v>2.2827700000000002</v>
      </c>
      <c r="S1535" s="368"/>
      <c r="T1535" s="287">
        <f t="shared" ref="T1535:T1547" si="173">V1535*O1535</f>
        <v>1.6568499999999999</v>
      </c>
      <c r="U1535" s="413">
        <v>-9999</v>
      </c>
      <c r="V1535" s="297">
        <v>0.66274</v>
      </c>
      <c r="W1535" s="287">
        <f t="shared" ref="W1535:W1547" si="174">Y1535*O1535</f>
        <v>5.706925</v>
      </c>
      <c r="X1535" s="327">
        <v>-9999</v>
      </c>
      <c r="Y1535" s="297">
        <v>2.2827700000000002</v>
      </c>
      <c r="Z1535" s="327" t="s">
        <v>1707</v>
      </c>
      <c r="AA1535" s="327">
        <v>1660</v>
      </c>
      <c r="AB1535" s="327">
        <v>-9999</v>
      </c>
      <c r="AC1535" s="327">
        <f t="shared" si="171"/>
        <v>0.6</v>
      </c>
      <c r="AD1535" s="327">
        <v>0.15</v>
      </c>
      <c r="AE1535" s="328" t="s">
        <v>1970</v>
      </c>
      <c r="AF1535" s="327">
        <v>4</v>
      </c>
      <c r="AG1535" s="327" t="s">
        <v>843</v>
      </c>
      <c r="AH1535" s="327" t="s">
        <v>876</v>
      </c>
      <c r="AI1535" s="327" t="s">
        <v>985</v>
      </c>
      <c r="AJ1535" s="327" t="s">
        <v>892</v>
      </c>
      <c r="AK1535" s="327" t="s">
        <v>966</v>
      </c>
      <c r="AL1535" s="327" t="s">
        <v>828</v>
      </c>
      <c r="AM1535" s="327" t="s">
        <v>871</v>
      </c>
      <c r="AN1535" s="327" t="s">
        <v>631</v>
      </c>
      <c r="AO1535" s="327">
        <v>-9999</v>
      </c>
      <c r="AP1535" s="327">
        <v>-9999</v>
      </c>
      <c r="AQ1535" s="367" t="s">
        <v>631</v>
      </c>
      <c r="AR1535" s="327">
        <v>0</v>
      </c>
      <c r="AS1535" s="327">
        <v>-9999</v>
      </c>
      <c r="AT1535" s="327">
        <v>-9999</v>
      </c>
      <c r="AU1535" s="327">
        <v>0</v>
      </c>
      <c r="AV1535" s="327">
        <v>-9999</v>
      </c>
      <c r="AW1535" s="327">
        <v>-9999</v>
      </c>
      <c r="AX1535" s="327">
        <v>0</v>
      </c>
      <c r="AY1535" s="327">
        <v>-9999</v>
      </c>
      <c r="AZ1535" s="327">
        <v>-9999</v>
      </c>
      <c r="BA1535" s="327">
        <v>-9999</v>
      </c>
      <c r="BB1535" s="327" t="s">
        <v>626</v>
      </c>
      <c r="BC1535" s="327" t="s">
        <v>987</v>
      </c>
      <c r="BD1535" s="327" t="s">
        <v>988</v>
      </c>
      <c r="BE1535" s="327" t="s">
        <v>989</v>
      </c>
      <c r="BF1535" s="327" t="s">
        <v>881</v>
      </c>
      <c r="BG1535" s="327" t="s">
        <v>990</v>
      </c>
      <c r="BH1535" s="327" t="s">
        <v>991</v>
      </c>
      <c r="BI1535" s="327">
        <v>-9999</v>
      </c>
      <c r="BJ1535" s="328">
        <v>2.7337799999999999</v>
      </c>
      <c r="BK1535" s="327">
        <v>-9999</v>
      </c>
      <c r="BL1535" s="368">
        <v>3.3305500000000001</v>
      </c>
      <c r="BM1535" s="327">
        <v>-9999</v>
      </c>
      <c r="BN1535" s="327">
        <v>-9999</v>
      </c>
      <c r="BO1535" s="327">
        <v>-9999</v>
      </c>
      <c r="BP1535" s="327">
        <v>-9999</v>
      </c>
      <c r="BQ1535" s="327">
        <v>-9999</v>
      </c>
      <c r="BR1535" s="327">
        <v>-9999</v>
      </c>
      <c r="BS1535" s="328">
        <v>-9999</v>
      </c>
      <c r="BT1535" s="327">
        <v>-9999</v>
      </c>
      <c r="BU1535" s="327">
        <v>-9999</v>
      </c>
      <c r="BV1535" s="327">
        <v>-9999</v>
      </c>
      <c r="BW1535" s="327"/>
      <c r="BX1535" s="327">
        <v>-9999</v>
      </c>
      <c r="BY1535" s="327">
        <v>-9999</v>
      </c>
      <c r="BZ1535" s="327">
        <v>-9999</v>
      </c>
      <c r="CA1535" s="369">
        <v>-9999</v>
      </c>
      <c r="CB1535" s="475"/>
      <c r="CC1535" s="327">
        <v>1</v>
      </c>
      <c r="CD1535" s="328">
        <v>3</v>
      </c>
      <c r="CE1535" s="342">
        <v>1.6568499999999999</v>
      </c>
      <c r="CF1535" s="342">
        <v>5.706925</v>
      </c>
      <c r="CG1535" s="359">
        <v>3</v>
      </c>
    </row>
    <row r="1536" spans="1:86" s="301" customFormat="1" ht="12.75" customHeight="1" x14ac:dyDescent="0.2">
      <c r="A1536" s="327" t="s">
        <v>981</v>
      </c>
      <c r="B1536" s="327" t="s">
        <v>982</v>
      </c>
      <c r="C1536" s="327" t="s">
        <v>986</v>
      </c>
      <c r="D1536" s="327" t="s">
        <v>553</v>
      </c>
      <c r="E1536" s="327" t="s">
        <v>901</v>
      </c>
      <c r="F1536" s="327">
        <v>1</v>
      </c>
      <c r="G1536" s="328">
        <v>4</v>
      </c>
      <c r="H1536" s="328">
        <v>4</v>
      </c>
      <c r="I1536" s="327" t="s">
        <v>783</v>
      </c>
      <c r="J1536" s="327">
        <v>1987</v>
      </c>
      <c r="K1536" s="327" t="s">
        <v>783</v>
      </c>
      <c r="L1536" s="327">
        <v>1991</v>
      </c>
      <c r="M1536" s="368">
        <v>-9999</v>
      </c>
      <c r="N1536" s="327">
        <v>-9999</v>
      </c>
      <c r="O1536" s="70">
        <v>2.0833333333333335</v>
      </c>
      <c r="P1536" s="370">
        <f t="shared" si="172"/>
        <v>13.040020833333335</v>
      </c>
      <c r="Q1536" s="327">
        <v>-9999</v>
      </c>
      <c r="R1536" s="287">
        <f t="shared" ref="R1536:R1547" si="175">+R1535+Y1536</f>
        <v>6.2592100000000004</v>
      </c>
      <c r="S1536" s="368"/>
      <c r="T1536" s="287">
        <f t="shared" si="173"/>
        <v>3.1449375000000006</v>
      </c>
      <c r="U1536" s="413">
        <v>-9999</v>
      </c>
      <c r="V1536" s="297">
        <v>1.5095700000000001</v>
      </c>
      <c r="W1536" s="287">
        <f t="shared" si="174"/>
        <v>8.2842500000000001</v>
      </c>
      <c r="X1536" s="327">
        <v>-9999</v>
      </c>
      <c r="Y1536" s="297">
        <v>3.9764400000000002</v>
      </c>
      <c r="Z1536" s="327" t="s">
        <v>1707</v>
      </c>
      <c r="AA1536" s="327">
        <v>1660</v>
      </c>
      <c r="AB1536" s="327">
        <v>-9999</v>
      </c>
      <c r="AC1536" s="327">
        <f t="shared" si="171"/>
        <v>0.6</v>
      </c>
      <c r="AD1536" s="327">
        <v>0.15</v>
      </c>
      <c r="AE1536" s="328" t="s">
        <v>1970</v>
      </c>
      <c r="AF1536" s="327">
        <v>4</v>
      </c>
      <c r="AG1536" s="327" t="s">
        <v>843</v>
      </c>
      <c r="AH1536" s="327" t="s">
        <v>876</v>
      </c>
      <c r="AI1536" s="327" t="s">
        <v>985</v>
      </c>
      <c r="AJ1536" s="327" t="s">
        <v>892</v>
      </c>
      <c r="AK1536" s="327" t="s">
        <v>966</v>
      </c>
      <c r="AL1536" s="327" t="s">
        <v>828</v>
      </c>
      <c r="AM1536" s="327" t="s">
        <v>871</v>
      </c>
      <c r="AN1536" s="327" t="s">
        <v>631</v>
      </c>
      <c r="AO1536" s="327">
        <v>-9999</v>
      </c>
      <c r="AP1536" s="327">
        <v>-9999</v>
      </c>
      <c r="AQ1536" s="367" t="s">
        <v>631</v>
      </c>
      <c r="AR1536" s="327">
        <v>0</v>
      </c>
      <c r="AS1536" s="327">
        <v>-9999</v>
      </c>
      <c r="AT1536" s="327">
        <v>-9999</v>
      </c>
      <c r="AU1536" s="327">
        <v>0</v>
      </c>
      <c r="AV1536" s="327">
        <v>-9999</v>
      </c>
      <c r="AW1536" s="327">
        <v>-9999</v>
      </c>
      <c r="AX1536" s="327">
        <v>0</v>
      </c>
      <c r="AY1536" s="327">
        <v>-9999</v>
      </c>
      <c r="AZ1536" s="327">
        <v>-9999</v>
      </c>
      <c r="BA1536" s="327">
        <v>-9999</v>
      </c>
      <c r="BB1536" s="327" t="s">
        <v>626</v>
      </c>
      <c r="BC1536" s="327" t="s">
        <v>987</v>
      </c>
      <c r="BD1536" s="327" t="s">
        <v>988</v>
      </c>
      <c r="BE1536" s="327" t="s">
        <v>989</v>
      </c>
      <c r="BF1536" s="327" t="s">
        <v>881</v>
      </c>
      <c r="BG1536" s="327" t="s">
        <v>990</v>
      </c>
      <c r="BH1536" s="327" t="s">
        <v>991</v>
      </c>
      <c r="BI1536" s="327">
        <v>-9999</v>
      </c>
      <c r="BJ1536" s="328">
        <v>6.2631100000000002</v>
      </c>
      <c r="BK1536" s="327">
        <v>-9999</v>
      </c>
      <c r="BL1536" s="368">
        <v>4.9175800000000001</v>
      </c>
      <c r="BM1536" s="327">
        <v>-9999</v>
      </c>
      <c r="BN1536" s="327">
        <v>-9999</v>
      </c>
      <c r="BO1536" s="327">
        <v>-9999</v>
      </c>
      <c r="BP1536" s="327">
        <v>-9999</v>
      </c>
      <c r="BQ1536" s="327">
        <v>-9999</v>
      </c>
      <c r="BR1536" s="327">
        <v>-9999</v>
      </c>
      <c r="BS1536" s="328">
        <v>-9999</v>
      </c>
      <c r="BT1536" s="327">
        <v>-9999</v>
      </c>
      <c r="BU1536" s="327">
        <v>-9999</v>
      </c>
      <c r="BV1536" s="327">
        <v>-9999</v>
      </c>
      <c r="BW1536" s="327"/>
      <c r="BX1536" s="327">
        <v>-9999</v>
      </c>
      <c r="BY1536" s="327">
        <v>-9999</v>
      </c>
      <c r="BZ1536" s="327">
        <v>-9999</v>
      </c>
      <c r="CA1536" s="369">
        <v>-9999</v>
      </c>
      <c r="CB1536" s="475"/>
      <c r="CC1536" s="327">
        <v>1</v>
      </c>
      <c r="CD1536" s="328">
        <v>4</v>
      </c>
      <c r="CE1536" s="342">
        <v>3.1449375000000006</v>
      </c>
      <c r="CF1536" s="342">
        <v>8.2842500000000001</v>
      </c>
      <c r="CG1536" s="359">
        <v>4</v>
      </c>
    </row>
    <row r="1537" spans="1:96" s="301" customFormat="1" ht="12.75" customHeight="1" x14ac:dyDescent="0.2">
      <c r="A1537" s="327" t="s">
        <v>981</v>
      </c>
      <c r="B1537" s="327" t="s">
        <v>982</v>
      </c>
      <c r="C1537" s="327" t="s">
        <v>986</v>
      </c>
      <c r="D1537" s="327" t="s">
        <v>553</v>
      </c>
      <c r="E1537" s="327" t="s">
        <v>901</v>
      </c>
      <c r="F1537" s="327">
        <v>1</v>
      </c>
      <c r="G1537" s="328">
        <v>5</v>
      </c>
      <c r="H1537" s="328">
        <v>5</v>
      </c>
      <c r="I1537" s="327" t="s">
        <v>783</v>
      </c>
      <c r="J1537" s="327">
        <v>1987</v>
      </c>
      <c r="K1537" s="327" t="s">
        <v>783</v>
      </c>
      <c r="L1537" s="327">
        <v>1992</v>
      </c>
      <c r="M1537" s="368">
        <v>-9999</v>
      </c>
      <c r="N1537" s="327">
        <v>-9999</v>
      </c>
      <c r="O1537" s="70">
        <v>1.7241379310344827</v>
      </c>
      <c r="P1537" s="370">
        <f t="shared" si="172"/>
        <v>24.694034482758621</v>
      </c>
      <c r="Q1537" s="327">
        <v>-9999</v>
      </c>
      <c r="R1537" s="287">
        <f t="shared" si="175"/>
        <v>14.32254</v>
      </c>
      <c r="S1537" s="368"/>
      <c r="T1537" s="287">
        <f t="shared" si="173"/>
        <v>4.7610517241379311</v>
      </c>
      <c r="U1537" s="413">
        <v>-9999</v>
      </c>
      <c r="V1537" s="297">
        <v>2.7614100000000001</v>
      </c>
      <c r="W1537" s="287">
        <f t="shared" si="174"/>
        <v>13.902293103448276</v>
      </c>
      <c r="X1537" s="327">
        <v>-9999</v>
      </c>
      <c r="Y1537" s="297">
        <v>8.0633300000000006</v>
      </c>
      <c r="Z1537" s="327" t="s">
        <v>1707</v>
      </c>
      <c r="AA1537" s="327">
        <v>1660</v>
      </c>
      <c r="AB1537" s="327">
        <v>-9999</v>
      </c>
      <c r="AC1537" s="327">
        <f t="shared" si="171"/>
        <v>0.6</v>
      </c>
      <c r="AD1537" s="327">
        <v>0.15</v>
      </c>
      <c r="AE1537" s="328" t="s">
        <v>1970</v>
      </c>
      <c r="AF1537" s="327">
        <v>4</v>
      </c>
      <c r="AG1537" s="327" t="s">
        <v>843</v>
      </c>
      <c r="AH1537" s="327" t="s">
        <v>876</v>
      </c>
      <c r="AI1537" s="327" t="s">
        <v>985</v>
      </c>
      <c r="AJ1537" s="327" t="s">
        <v>892</v>
      </c>
      <c r="AK1537" s="327" t="s">
        <v>966</v>
      </c>
      <c r="AL1537" s="327" t="s">
        <v>828</v>
      </c>
      <c r="AM1537" s="327" t="s">
        <v>871</v>
      </c>
      <c r="AN1537" s="327" t="s">
        <v>631</v>
      </c>
      <c r="AO1537" s="327">
        <v>-9999</v>
      </c>
      <c r="AP1537" s="327">
        <v>-9999</v>
      </c>
      <c r="AQ1537" s="367" t="s">
        <v>631</v>
      </c>
      <c r="AR1537" s="327">
        <v>0</v>
      </c>
      <c r="AS1537" s="327">
        <v>-9999</v>
      </c>
      <c r="AT1537" s="327">
        <v>-9999</v>
      </c>
      <c r="AU1537" s="327">
        <v>0</v>
      </c>
      <c r="AV1537" s="327">
        <v>-9999</v>
      </c>
      <c r="AW1537" s="327">
        <v>-9999</v>
      </c>
      <c r="AX1537" s="327">
        <v>0</v>
      </c>
      <c r="AY1537" s="327">
        <v>-9999</v>
      </c>
      <c r="AZ1537" s="327">
        <v>-9999</v>
      </c>
      <c r="BA1537" s="327">
        <v>-9999</v>
      </c>
      <c r="BB1537" s="327" t="s">
        <v>626</v>
      </c>
      <c r="BC1537" s="327" t="s">
        <v>987</v>
      </c>
      <c r="BD1537" s="327" t="s">
        <v>988</v>
      </c>
      <c r="BE1537" s="327" t="s">
        <v>989</v>
      </c>
      <c r="BF1537" s="327" t="s">
        <v>881</v>
      </c>
      <c r="BG1537" s="327" t="s">
        <v>990</v>
      </c>
      <c r="BH1537" s="327" t="s">
        <v>991</v>
      </c>
      <c r="BI1537" s="327">
        <v>-9999</v>
      </c>
      <c r="BJ1537" s="328">
        <v>11.553800000000001</v>
      </c>
      <c r="BK1537" s="327">
        <v>-9999</v>
      </c>
      <c r="BL1537" s="368">
        <v>6.9026899999999998</v>
      </c>
      <c r="BM1537" s="327">
        <v>-9999</v>
      </c>
      <c r="BN1537" s="327">
        <v>-9999</v>
      </c>
      <c r="BO1537" s="327">
        <v>-9999</v>
      </c>
      <c r="BP1537" s="327">
        <v>-9999</v>
      </c>
      <c r="BQ1537" s="327">
        <v>-9999</v>
      </c>
      <c r="BR1537" s="327">
        <v>-9999</v>
      </c>
      <c r="BS1537" s="328">
        <v>-9999</v>
      </c>
      <c r="BT1537" s="327">
        <v>-9999</v>
      </c>
      <c r="BU1537" s="327">
        <v>-9999</v>
      </c>
      <c r="BV1537" s="327">
        <v>-9999</v>
      </c>
      <c r="BW1537" s="327"/>
      <c r="BX1537" s="327">
        <v>-9999</v>
      </c>
      <c r="BY1537" s="327">
        <v>-9999</v>
      </c>
      <c r="BZ1537" s="327">
        <v>-9999</v>
      </c>
      <c r="CA1537" s="369">
        <v>-9999</v>
      </c>
      <c r="CB1537" s="475"/>
      <c r="CC1537" s="327">
        <v>1</v>
      </c>
      <c r="CD1537" s="328">
        <v>5</v>
      </c>
      <c r="CE1537" s="342">
        <v>4.7610517241379311</v>
      </c>
      <c r="CF1537" s="342">
        <v>13.902293103448276</v>
      </c>
      <c r="CG1537" s="359">
        <v>5</v>
      </c>
    </row>
    <row r="1538" spans="1:96" s="301" customFormat="1" ht="12.75" customHeight="1" x14ac:dyDescent="0.2">
      <c r="A1538" s="327" t="s">
        <v>981</v>
      </c>
      <c r="B1538" s="327" t="s">
        <v>982</v>
      </c>
      <c r="C1538" s="327" t="s">
        <v>986</v>
      </c>
      <c r="D1538" s="327" t="s">
        <v>553</v>
      </c>
      <c r="E1538" s="327" t="s">
        <v>901</v>
      </c>
      <c r="F1538" s="327">
        <v>1</v>
      </c>
      <c r="G1538" s="328">
        <v>6</v>
      </c>
      <c r="H1538" s="328">
        <v>6</v>
      </c>
      <c r="I1538" s="327" t="s">
        <v>783</v>
      </c>
      <c r="J1538" s="327">
        <v>1987</v>
      </c>
      <c r="K1538" s="327" t="s">
        <v>783</v>
      </c>
      <c r="L1538" s="327">
        <v>1993</v>
      </c>
      <c r="M1538" s="368">
        <v>-9999</v>
      </c>
      <c r="N1538" s="327">
        <v>-9999</v>
      </c>
      <c r="O1538" s="70">
        <v>1.639344262295082</v>
      </c>
      <c r="P1538" s="370">
        <f t="shared" si="172"/>
        <v>37.060295081967212</v>
      </c>
      <c r="Q1538" s="327">
        <v>-9999</v>
      </c>
      <c r="R1538" s="287">
        <f t="shared" si="175"/>
        <v>22.606780000000001</v>
      </c>
      <c r="S1538" s="368"/>
      <c r="T1538" s="287">
        <f t="shared" si="173"/>
        <v>6.0962295081967213</v>
      </c>
      <c r="U1538" s="413">
        <v>-9999</v>
      </c>
      <c r="V1538" s="297">
        <v>3.7187000000000001</v>
      </c>
      <c r="W1538" s="287">
        <f t="shared" si="174"/>
        <v>13.580721311475411</v>
      </c>
      <c r="X1538" s="327">
        <v>-9999</v>
      </c>
      <c r="Y1538" s="297">
        <v>8.2842400000000005</v>
      </c>
      <c r="Z1538" s="327" t="s">
        <v>1707</v>
      </c>
      <c r="AA1538" s="327">
        <v>1660</v>
      </c>
      <c r="AB1538" s="327">
        <v>-9999</v>
      </c>
      <c r="AC1538" s="327">
        <f t="shared" si="171"/>
        <v>0.6</v>
      </c>
      <c r="AD1538" s="327">
        <v>0.15</v>
      </c>
      <c r="AE1538" s="328" t="s">
        <v>1970</v>
      </c>
      <c r="AF1538" s="327">
        <v>4</v>
      </c>
      <c r="AG1538" s="327" t="s">
        <v>843</v>
      </c>
      <c r="AH1538" s="327" t="s">
        <v>876</v>
      </c>
      <c r="AI1538" s="327" t="s">
        <v>985</v>
      </c>
      <c r="AJ1538" s="327" t="s">
        <v>892</v>
      </c>
      <c r="AK1538" s="327" t="s">
        <v>966</v>
      </c>
      <c r="AL1538" s="327" t="s">
        <v>828</v>
      </c>
      <c r="AM1538" s="327" t="s">
        <v>871</v>
      </c>
      <c r="AN1538" s="327" t="s">
        <v>631</v>
      </c>
      <c r="AO1538" s="327">
        <v>-9999</v>
      </c>
      <c r="AP1538" s="327">
        <v>-9999</v>
      </c>
      <c r="AQ1538" s="367" t="s">
        <v>631</v>
      </c>
      <c r="AR1538" s="327">
        <v>0</v>
      </c>
      <c r="AS1538" s="327">
        <v>-9999</v>
      </c>
      <c r="AT1538" s="327">
        <v>-9999</v>
      </c>
      <c r="AU1538" s="327">
        <v>0</v>
      </c>
      <c r="AV1538" s="327">
        <v>-9999</v>
      </c>
      <c r="AW1538" s="327">
        <v>-9999</v>
      </c>
      <c r="AX1538" s="327">
        <v>0</v>
      </c>
      <c r="AY1538" s="327">
        <v>-9999</v>
      </c>
      <c r="AZ1538" s="327">
        <v>-9999</v>
      </c>
      <c r="BA1538" s="327">
        <v>-9999</v>
      </c>
      <c r="BB1538" s="327" t="s">
        <v>626</v>
      </c>
      <c r="BC1538" s="327" t="s">
        <v>987</v>
      </c>
      <c r="BD1538" s="327" t="s">
        <v>988</v>
      </c>
      <c r="BE1538" s="327" t="s">
        <v>989</v>
      </c>
      <c r="BF1538" s="327" t="s">
        <v>881</v>
      </c>
      <c r="BG1538" s="327" t="s">
        <v>990</v>
      </c>
      <c r="BH1538" s="327" t="s">
        <v>991</v>
      </c>
      <c r="BI1538" s="327">
        <v>-9999</v>
      </c>
      <c r="BJ1538" s="328">
        <v>15.200799999999999</v>
      </c>
      <c r="BK1538" s="327">
        <v>-9999</v>
      </c>
      <c r="BL1538" s="368">
        <v>8.5696700000000003</v>
      </c>
      <c r="BM1538" s="327">
        <v>-9999</v>
      </c>
      <c r="BN1538" s="327">
        <v>-9999</v>
      </c>
      <c r="BO1538" s="327">
        <v>-9999</v>
      </c>
      <c r="BP1538" s="327">
        <v>-9999</v>
      </c>
      <c r="BQ1538" s="327">
        <v>-9999</v>
      </c>
      <c r="BR1538" s="327">
        <v>-9999</v>
      </c>
      <c r="BS1538" s="328">
        <v>-9999</v>
      </c>
      <c r="BT1538" s="327">
        <v>-9999</v>
      </c>
      <c r="BU1538" s="327">
        <v>-9999</v>
      </c>
      <c r="BV1538" s="327">
        <v>-9999</v>
      </c>
      <c r="BW1538" s="327"/>
      <c r="BX1538" s="327">
        <v>-9999</v>
      </c>
      <c r="BY1538" s="327">
        <v>-9999</v>
      </c>
      <c r="BZ1538" s="327">
        <v>-9999</v>
      </c>
      <c r="CA1538" s="369">
        <v>-9999</v>
      </c>
      <c r="CB1538" s="475"/>
      <c r="CC1538" s="327">
        <v>1</v>
      </c>
      <c r="CD1538" s="328">
        <v>6</v>
      </c>
      <c r="CE1538" s="342">
        <v>6.0962295081967213</v>
      </c>
      <c r="CF1538" s="342">
        <v>13.580721311475411</v>
      </c>
      <c r="CG1538" s="359">
        <v>6</v>
      </c>
    </row>
    <row r="1539" spans="1:96" s="301" customFormat="1" ht="12.75" customHeight="1" x14ac:dyDescent="0.2">
      <c r="A1539" s="327" t="s">
        <v>981</v>
      </c>
      <c r="B1539" s="327" t="s">
        <v>982</v>
      </c>
      <c r="C1539" s="327" t="s">
        <v>986</v>
      </c>
      <c r="D1539" s="327" t="s">
        <v>553</v>
      </c>
      <c r="E1539" s="327" t="s">
        <v>901</v>
      </c>
      <c r="F1539" s="327">
        <v>1</v>
      </c>
      <c r="G1539" s="328">
        <v>7</v>
      </c>
      <c r="H1539" s="328">
        <v>7</v>
      </c>
      <c r="I1539" s="327" t="s">
        <v>783</v>
      </c>
      <c r="J1539" s="327">
        <v>1987</v>
      </c>
      <c r="K1539" s="327" t="s">
        <v>783</v>
      </c>
      <c r="L1539" s="327">
        <v>1994</v>
      </c>
      <c r="M1539" s="368">
        <v>-9999</v>
      </c>
      <c r="N1539" s="327">
        <v>-9999</v>
      </c>
      <c r="O1539" s="70">
        <v>1.6129032258064515</v>
      </c>
      <c r="P1539" s="370">
        <f t="shared" si="172"/>
        <v>49.052225806451609</v>
      </c>
      <c r="Q1539" s="327">
        <v>-9999</v>
      </c>
      <c r="R1539" s="287">
        <f t="shared" si="175"/>
        <v>30.412379999999999</v>
      </c>
      <c r="S1539" s="368"/>
      <c r="T1539" s="287">
        <f t="shared" si="173"/>
        <v>6.8886935483870966</v>
      </c>
      <c r="U1539" s="413">
        <v>-9999</v>
      </c>
      <c r="V1539" s="297">
        <v>4.2709900000000003</v>
      </c>
      <c r="W1539" s="287">
        <f t="shared" si="174"/>
        <v>12.589677419354839</v>
      </c>
      <c r="X1539" s="327">
        <v>-9999</v>
      </c>
      <c r="Y1539" s="297">
        <v>7.8056000000000001</v>
      </c>
      <c r="Z1539" s="327" t="s">
        <v>1707</v>
      </c>
      <c r="AA1539" s="327">
        <v>1660</v>
      </c>
      <c r="AB1539" s="327">
        <v>-9999</v>
      </c>
      <c r="AC1539" s="327">
        <f t="shared" si="171"/>
        <v>0.6</v>
      </c>
      <c r="AD1539" s="327">
        <v>0.15</v>
      </c>
      <c r="AE1539" s="328" t="s">
        <v>1970</v>
      </c>
      <c r="AF1539" s="327">
        <v>4</v>
      </c>
      <c r="AG1539" s="327" t="s">
        <v>843</v>
      </c>
      <c r="AH1539" s="327" t="s">
        <v>876</v>
      </c>
      <c r="AI1539" s="327" t="s">
        <v>985</v>
      </c>
      <c r="AJ1539" s="327" t="s">
        <v>892</v>
      </c>
      <c r="AK1539" s="327" t="s">
        <v>966</v>
      </c>
      <c r="AL1539" s="327" t="s">
        <v>828</v>
      </c>
      <c r="AM1539" s="327" t="s">
        <v>871</v>
      </c>
      <c r="AN1539" s="327" t="s">
        <v>631</v>
      </c>
      <c r="AO1539" s="327">
        <v>-9999</v>
      </c>
      <c r="AP1539" s="327">
        <v>-9999</v>
      </c>
      <c r="AQ1539" s="367" t="s">
        <v>631</v>
      </c>
      <c r="AR1539" s="327">
        <v>0</v>
      </c>
      <c r="AS1539" s="327">
        <v>-9999</v>
      </c>
      <c r="AT1539" s="327">
        <v>-9999</v>
      </c>
      <c r="AU1539" s="327">
        <v>0</v>
      </c>
      <c r="AV1539" s="327">
        <v>-9999</v>
      </c>
      <c r="AW1539" s="327">
        <v>-9999</v>
      </c>
      <c r="AX1539" s="327">
        <v>0</v>
      </c>
      <c r="AY1539" s="327">
        <v>-9999</v>
      </c>
      <c r="AZ1539" s="327">
        <v>-9999</v>
      </c>
      <c r="BA1539" s="327">
        <v>-9999</v>
      </c>
      <c r="BB1539" s="327" t="s">
        <v>626</v>
      </c>
      <c r="BC1539" s="327" t="s">
        <v>987</v>
      </c>
      <c r="BD1539" s="327" t="s">
        <v>988</v>
      </c>
      <c r="BE1539" s="327" t="s">
        <v>989</v>
      </c>
      <c r="BF1539" s="327" t="s">
        <v>881</v>
      </c>
      <c r="BG1539" s="327" t="s">
        <v>990</v>
      </c>
      <c r="BH1539" s="327" t="s">
        <v>991</v>
      </c>
      <c r="BI1539" s="327">
        <v>-9999</v>
      </c>
      <c r="BJ1539" s="328">
        <v>18.1419</v>
      </c>
      <c r="BK1539" s="327">
        <v>-9999</v>
      </c>
      <c r="BL1539" s="368">
        <v>9.6788299999999996</v>
      </c>
      <c r="BM1539" s="327">
        <v>-9999</v>
      </c>
      <c r="BN1539" s="327">
        <v>-9999</v>
      </c>
      <c r="BO1539" s="327">
        <v>-9999</v>
      </c>
      <c r="BP1539" s="327">
        <v>-9999</v>
      </c>
      <c r="BQ1539" s="327">
        <v>-9999</v>
      </c>
      <c r="BR1539" s="327">
        <v>-9999</v>
      </c>
      <c r="BS1539" s="328">
        <v>-9999</v>
      </c>
      <c r="BT1539" s="327">
        <v>-9999</v>
      </c>
      <c r="BU1539" s="327">
        <v>-9999</v>
      </c>
      <c r="BV1539" s="327">
        <v>-9999</v>
      </c>
      <c r="BW1539" s="327"/>
      <c r="BX1539" s="327">
        <v>-9999</v>
      </c>
      <c r="BY1539" s="327">
        <v>-9999</v>
      </c>
      <c r="BZ1539" s="327">
        <v>-9999</v>
      </c>
      <c r="CA1539" s="369">
        <v>-9999</v>
      </c>
      <c r="CB1539" s="475"/>
      <c r="CC1539" s="327">
        <v>1</v>
      </c>
      <c r="CD1539" s="328">
        <v>7</v>
      </c>
      <c r="CE1539" s="342">
        <v>6.8886935483870966</v>
      </c>
      <c r="CF1539" s="342">
        <v>12.589677419354839</v>
      </c>
      <c r="CG1539" s="359">
        <v>7</v>
      </c>
    </row>
    <row r="1540" spans="1:96" s="301" customFormat="1" ht="12.75" customHeight="1" x14ac:dyDescent="0.2">
      <c r="A1540" s="327" t="s">
        <v>981</v>
      </c>
      <c r="B1540" s="327" t="s">
        <v>982</v>
      </c>
      <c r="C1540" s="327" t="s">
        <v>986</v>
      </c>
      <c r="D1540" s="327" t="s">
        <v>553</v>
      </c>
      <c r="E1540" s="327" t="s">
        <v>901</v>
      </c>
      <c r="F1540" s="327">
        <v>1</v>
      </c>
      <c r="G1540" s="328">
        <v>8</v>
      </c>
      <c r="H1540" s="328">
        <v>8</v>
      </c>
      <c r="I1540" s="327" t="s">
        <v>783</v>
      </c>
      <c r="J1540" s="327">
        <v>1987</v>
      </c>
      <c r="K1540" s="327" t="s">
        <v>783</v>
      </c>
      <c r="L1540" s="327">
        <v>1995</v>
      </c>
      <c r="M1540" s="368">
        <v>-9999</v>
      </c>
      <c r="N1540" s="327">
        <v>-9999</v>
      </c>
      <c r="O1540" s="70">
        <v>1.5625</v>
      </c>
      <c r="P1540" s="370">
        <f t="shared" si="172"/>
        <v>60.348406249999996</v>
      </c>
      <c r="Q1540" s="327">
        <v>-9999</v>
      </c>
      <c r="R1540" s="287">
        <f t="shared" si="175"/>
        <v>38.622979999999998</v>
      </c>
      <c r="S1540" s="368"/>
      <c r="T1540" s="287">
        <f t="shared" si="173"/>
        <v>7.4212968749999995</v>
      </c>
      <c r="U1540" s="413">
        <v>-9999</v>
      </c>
      <c r="V1540" s="297">
        <v>4.7496299999999998</v>
      </c>
      <c r="W1540" s="287">
        <f t="shared" si="174"/>
        <v>12.829062499999999</v>
      </c>
      <c r="X1540" s="327">
        <v>-9999</v>
      </c>
      <c r="Y1540" s="297">
        <v>8.2105999999999995</v>
      </c>
      <c r="Z1540" s="327" t="s">
        <v>1707</v>
      </c>
      <c r="AA1540" s="327">
        <v>1660</v>
      </c>
      <c r="AB1540" s="327">
        <v>-9999</v>
      </c>
      <c r="AC1540" s="327">
        <f t="shared" si="171"/>
        <v>0.6</v>
      </c>
      <c r="AD1540" s="327">
        <v>0.15</v>
      </c>
      <c r="AE1540" s="328" t="s">
        <v>1970</v>
      </c>
      <c r="AF1540" s="327">
        <v>4</v>
      </c>
      <c r="AG1540" s="327" t="s">
        <v>843</v>
      </c>
      <c r="AH1540" s="327" t="s">
        <v>876</v>
      </c>
      <c r="AI1540" s="327" t="s">
        <v>985</v>
      </c>
      <c r="AJ1540" s="327" t="s">
        <v>892</v>
      </c>
      <c r="AK1540" s="327" t="s">
        <v>966</v>
      </c>
      <c r="AL1540" s="327" t="s">
        <v>828</v>
      </c>
      <c r="AM1540" s="327" t="s">
        <v>871</v>
      </c>
      <c r="AN1540" s="327" t="s">
        <v>631</v>
      </c>
      <c r="AO1540" s="327">
        <v>-9999</v>
      </c>
      <c r="AP1540" s="327">
        <v>-9999</v>
      </c>
      <c r="AQ1540" s="367" t="s">
        <v>631</v>
      </c>
      <c r="AR1540" s="327">
        <v>0</v>
      </c>
      <c r="AS1540" s="327">
        <v>-9999</v>
      </c>
      <c r="AT1540" s="327">
        <v>-9999</v>
      </c>
      <c r="AU1540" s="327">
        <v>0</v>
      </c>
      <c r="AV1540" s="327">
        <v>-9999</v>
      </c>
      <c r="AW1540" s="327">
        <v>-9999</v>
      </c>
      <c r="AX1540" s="327">
        <v>0</v>
      </c>
      <c r="AY1540" s="327">
        <v>-9999</v>
      </c>
      <c r="AZ1540" s="327">
        <v>-9999</v>
      </c>
      <c r="BA1540" s="327">
        <v>-9999</v>
      </c>
      <c r="BB1540" s="327" t="s">
        <v>626</v>
      </c>
      <c r="BC1540" s="327" t="s">
        <v>987</v>
      </c>
      <c r="BD1540" s="327" t="s">
        <v>988</v>
      </c>
      <c r="BE1540" s="327" t="s">
        <v>989</v>
      </c>
      <c r="BF1540" s="327" t="s">
        <v>881</v>
      </c>
      <c r="BG1540" s="327" t="s">
        <v>990</v>
      </c>
      <c r="BH1540" s="327" t="s">
        <v>991</v>
      </c>
      <c r="BI1540" s="327">
        <v>-9999</v>
      </c>
      <c r="BJ1540" s="328">
        <v>20.729500000000002</v>
      </c>
      <c r="BK1540" s="327">
        <v>-9999</v>
      </c>
      <c r="BL1540" s="368">
        <v>10.78815</v>
      </c>
      <c r="BM1540" s="327">
        <v>-9999</v>
      </c>
      <c r="BN1540" s="327">
        <v>-9999</v>
      </c>
      <c r="BO1540" s="327">
        <v>-9999</v>
      </c>
      <c r="BP1540" s="327">
        <v>-9999</v>
      </c>
      <c r="BQ1540" s="327">
        <v>-9999</v>
      </c>
      <c r="BR1540" s="327">
        <v>-9999</v>
      </c>
      <c r="BS1540" s="328">
        <v>-9999</v>
      </c>
      <c r="BT1540" s="327">
        <v>-9999</v>
      </c>
      <c r="BU1540" s="327">
        <v>-9999</v>
      </c>
      <c r="BV1540" s="327">
        <v>-9999</v>
      </c>
      <c r="BW1540" s="327"/>
      <c r="BX1540" s="327">
        <v>-9999</v>
      </c>
      <c r="BY1540" s="327">
        <v>-9999</v>
      </c>
      <c r="BZ1540" s="327">
        <v>-9999</v>
      </c>
      <c r="CA1540" s="369">
        <v>-9999</v>
      </c>
      <c r="CB1540" s="475"/>
      <c r="CC1540" s="327">
        <v>1</v>
      </c>
      <c r="CD1540" s="328">
        <v>8</v>
      </c>
      <c r="CE1540" s="342">
        <v>7.4212968749999995</v>
      </c>
      <c r="CF1540" s="342">
        <v>12.829062499999999</v>
      </c>
      <c r="CG1540" s="359">
        <v>8</v>
      </c>
    </row>
    <row r="1541" spans="1:96" s="301" customFormat="1" ht="12.75" customHeight="1" x14ac:dyDescent="0.2">
      <c r="A1541" s="327" t="s">
        <v>981</v>
      </c>
      <c r="B1541" s="327" t="s">
        <v>982</v>
      </c>
      <c r="C1541" s="327" t="s">
        <v>986</v>
      </c>
      <c r="D1541" s="327" t="s">
        <v>553</v>
      </c>
      <c r="E1541" s="327" t="s">
        <v>901</v>
      </c>
      <c r="F1541" s="327">
        <v>1</v>
      </c>
      <c r="G1541" s="328">
        <v>9</v>
      </c>
      <c r="H1541" s="328">
        <v>9</v>
      </c>
      <c r="I1541" s="327" t="s">
        <v>783</v>
      </c>
      <c r="J1541" s="327">
        <v>1987</v>
      </c>
      <c r="K1541" s="327" t="s">
        <v>783</v>
      </c>
      <c r="L1541" s="327">
        <v>1996</v>
      </c>
      <c r="M1541" s="368">
        <v>-9999</v>
      </c>
      <c r="N1541" s="327">
        <v>-9999</v>
      </c>
      <c r="O1541" s="70">
        <v>1.5384615384615385</v>
      </c>
      <c r="P1541" s="370">
        <f t="shared" si="172"/>
        <v>71.768446153846156</v>
      </c>
      <c r="Q1541" s="327">
        <v>-9999</v>
      </c>
      <c r="R1541" s="287">
        <f t="shared" si="175"/>
        <v>46.64949</v>
      </c>
      <c r="S1541" s="368"/>
      <c r="T1541" s="287">
        <f t="shared" si="173"/>
        <v>7.8735692307692311</v>
      </c>
      <c r="U1541" s="413">
        <v>-9999</v>
      </c>
      <c r="V1541" s="297">
        <v>5.11782</v>
      </c>
      <c r="W1541" s="287">
        <f t="shared" si="174"/>
        <v>12.348476923076923</v>
      </c>
      <c r="X1541" s="327">
        <v>-9999</v>
      </c>
      <c r="Y1541" s="297">
        <v>8.02651</v>
      </c>
      <c r="Z1541" s="327" t="s">
        <v>1707</v>
      </c>
      <c r="AA1541" s="327">
        <v>1660</v>
      </c>
      <c r="AB1541" s="327">
        <v>-9999</v>
      </c>
      <c r="AC1541" s="327">
        <f t="shared" si="171"/>
        <v>0.6</v>
      </c>
      <c r="AD1541" s="327">
        <v>0.15</v>
      </c>
      <c r="AE1541" s="328" t="s">
        <v>1970</v>
      </c>
      <c r="AF1541" s="327">
        <v>4</v>
      </c>
      <c r="AG1541" s="327" t="s">
        <v>843</v>
      </c>
      <c r="AH1541" s="327" t="s">
        <v>876</v>
      </c>
      <c r="AI1541" s="327" t="s">
        <v>985</v>
      </c>
      <c r="AJ1541" s="327" t="s">
        <v>892</v>
      </c>
      <c r="AK1541" s="327" t="s">
        <v>966</v>
      </c>
      <c r="AL1541" s="327" t="s">
        <v>828</v>
      </c>
      <c r="AM1541" s="327" t="s">
        <v>871</v>
      </c>
      <c r="AN1541" s="327" t="s">
        <v>631</v>
      </c>
      <c r="AO1541" s="327">
        <v>-9999</v>
      </c>
      <c r="AP1541" s="327">
        <v>-9999</v>
      </c>
      <c r="AQ1541" s="367" t="s">
        <v>631</v>
      </c>
      <c r="AR1541" s="327">
        <v>0</v>
      </c>
      <c r="AS1541" s="327">
        <v>-9999</v>
      </c>
      <c r="AT1541" s="327">
        <v>-9999</v>
      </c>
      <c r="AU1541" s="327">
        <v>0</v>
      </c>
      <c r="AV1541" s="327">
        <v>-9999</v>
      </c>
      <c r="AW1541" s="327">
        <v>-9999</v>
      </c>
      <c r="AX1541" s="327">
        <v>0</v>
      </c>
      <c r="AY1541" s="327">
        <v>-9999</v>
      </c>
      <c r="AZ1541" s="327">
        <v>-9999</v>
      </c>
      <c r="BA1541" s="327">
        <v>-9999</v>
      </c>
      <c r="BB1541" s="327" t="s">
        <v>626</v>
      </c>
      <c r="BC1541" s="327" t="s">
        <v>987</v>
      </c>
      <c r="BD1541" s="327" t="s">
        <v>988</v>
      </c>
      <c r="BE1541" s="327" t="s">
        <v>989</v>
      </c>
      <c r="BF1541" s="327" t="s">
        <v>881</v>
      </c>
      <c r="BG1541" s="327" t="s">
        <v>990</v>
      </c>
      <c r="BH1541" s="327" t="s">
        <v>991</v>
      </c>
      <c r="BI1541" s="327">
        <v>-9999</v>
      </c>
      <c r="BJ1541" s="328">
        <v>23.080200000000001</v>
      </c>
      <c r="BK1541" s="327">
        <v>-9999</v>
      </c>
      <c r="BL1541" s="368">
        <v>11.57901</v>
      </c>
      <c r="BM1541" s="327">
        <v>-9999</v>
      </c>
      <c r="BN1541" s="327">
        <v>-9999</v>
      </c>
      <c r="BO1541" s="327">
        <v>-9999</v>
      </c>
      <c r="BP1541" s="327">
        <v>-9999</v>
      </c>
      <c r="BQ1541" s="327">
        <v>-9999</v>
      </c>
      <c r="BR1541" s="327">
        <v>-9999</v>
      </c>
      <c r="BS1541" s="328">
        <v>-9999</v>
      </c>
      <c r="BT1541" s="327">
        <v>-9999</v>
      </c>
      <c r="BU1541" s="327">
        <v>-9999</v>
      </c>
      <c r="BV1541" s="327">
        <v>-9999</v>
      </c>
      <c r="BW1541" s="327"/>
      <c r="BX1541" s="327">
        <v>-9999</v>
      </c>
      <c r="BY1541" s="327">
        <v>-9999</v>
      </c>
      <c r="BZ1541" s="327">
        <v>-9999</v>
      </c>
      <c r="CA1541" s="369">
        <v>-9999</v>
      </c>
      <c r="CB1541" s="475"/>
      <c r="CC1541" s="327">
        <v>1</v>
      </c>
      <c r="CD1541" s="328">
        <v>9</v>
      </c>
      <c r="CE1541" s="342">
        <v>7.8735692307692311</v>
      </c>
      <c r="CF1541" s="342">
        <v>12.348476923076923</v>
      </c>
      <c r="CG1541" s="359">
        <v>9</v>
      </c>
    </row>
    <row r="1542" spans="1:96" s="301" customFormat="1" ht="12.75" customHeight="1" x14ac:dyDescent="0.2">
      <c r="A1542" s="327" t="s">
        <v>981</v>
      </c>
      <c r="B1542" s="327" t="s">
        <v>982</v>
      </c>
      <c r="C1542" s="327" t="s">
        <v>986</v>
      </c>
      <c r="D1542" s="327" t="s">
        <v>553</v>
      </c>
      <c r="E1542" s="327" t="s">
        <v>901</v>
      </c>
      <c r="F1542" s="327">
        <v>1</v>
      </c>
      <c r="G1542" s="328">
        <v>10</v>
      </c>
      <c r="H1542" s="328">
        <v>10</v>
      </c>
      <c r="I1542" s="327" t="s">
        <v>783</v>
      </c>
      <c r="J1542" s="327">
        <v>1987</v>
      </c>
      <c r="K1542" s="327" t="s">
        <v>783</v>
      </c>
      <c r="L1542" s="327">
        <v>1997</v>
      </c>
      <c r="M1542" s="368">
        <v>-9999</v>
      </c>
      <c r="N1542" s="327">
        <v>-9999</v>
      </c>
      <c r="O1542" s="70">
        <v>1.5151515151515151</v>
      </c>
      <c r="P1542" s="370">
        <f t="shared" si="172"/>
        <v>82.786636363636362</v>
      </c>
      <c r="Q1542" s="327">
        <v>-9999</v>
      </c>
      <c r="R1542" s="287">
        <f t="shared" si="175"/>
        <v>54.639180000000003</v>
      </c>
      <c r="S1542" s="368"/>
      <c r="T1542" s="287">
        <f t="shared" si="173"/>
        <v>8.2005606060606056</v>
      </c>
      <c r="U1542" s="413">
        <v>-9999</v>
      </c>
      <c r="V1542" s="297">
        <v>5.4123700000000001</v>
      </c>
      <c r="W1542" s="287">
        <f t="shared" si="174"/>
        <v>12.10559090909091</v>
      </c>
      <c r="X1542" s="327">
        <v>-9999</v>
      </c>
      <c r="Y1542" s="297">
        <v>7.9896900000000004</v>
      </c>
      <c r="Z1542" s="327" t="s">
        <v>1707</v>
      </c>
      <c r="AA1542" s="327">
        <v>1660</v>
      </c>
      <c r="AB1542" s="327">
        <v>-9999</v>
      </c>
      <c r="AC1542" s="327">
        <f t="shared" si="171"/>
        <v>0.6</v>
      </c>
      <c r="AD1542" s="327">
        <v>0.15</v>
      </c>
      <c r="AE1542" s="328" t="s">
        <v>1970</v>
      </c>
      <c r="AF1542" s="327">
        <v>4</v>
      </c>
      <c r="AG1542" s="327" t="s">
        <v>843</v>
      </c>
      <c r="AH1542" s="327" t="s">
        <v>876</v>
      </c>
      <c r="AI1542" s="327" t="s">
        <v>985</v>
      </c>
      <c r="AJ1542" s="327" t="s">
        <v>892</v>
      </c>
      <c r="AK1542" s="327" t="s">
        <v>966</v>
      </c>
      <c r="AL1542" s="327" t="s">
        <v>828</v>
      </c>
      <c r="AM1542" s="327" t="s">
        <v>871</v>
      </c>
      <c r="AN1542" s="327" t="s">
        <v>631</v>
      </c>
      <c r="AO1542" s="327">
        <v>-9999</v>
      </c>
      <c r="AP1542" s="327">
        <v>-9999</v>
      </c>
      <c r="AQ1542" s="367" t="s">
        <v>631</v>
      </c>
      <c r="AR1542" s="327">
        <v>0</v>
      </c>
      <c r="AS1542" s="327">
        <v>-9999</v>
      </c>
      <c r="AT1542" s="327">
        <v>-9999</v>
      </c>
      <c r="AU1542" s="327">
        <v>0</v>
      </c>
      <c r="AV1542" s="327">
        <v>-9999</v>
      </c>
      <c r="AW1542" s="327">
        <v>-9999</v>
      </c>
      <c r="AX1542" s="327">
        <v>0</v>
      </c>
      <c r="AY1542" s="327">
        <v>-9999</v>
      </c>
      <c r="AZ1542" s="327">
        <v>-9999</v>
      </c>
      <c r="BA1542" s="327">
        <v>-9999</v>
      </c>
      <c r="BB1542" s="327" t="s">
        <v>626</v>
      </c>
      <c r="BC1542" s="327" t="s">
        <v>987</v>
      </c>
      <c r="BD1542" s="327" t="s">
        <v>988</v>
      </c>
      <c r="BE1542" s="327" t="s">
        <v>989</v>
      </c>
      <c r="BF1542" s="327" t="s">
        <v>881</v>
      </c>
      <c r="BG1542" s="327" t="s">
        <v>990</v>
      </c>
      <c r="BH1542" s="327" t="s">
        <v>991</v>
      </c>
      <c r="BI1542" s="327">
        <v>-9999</v>
      </c>
      <c r="BJ1542" s="328">
        <v>24.8443</v>
      </c>
      <c r="BK1542" s="327">
        <v>-9999</v>
      </c>
      <c r="BL1542" s="368">
        <v>12.449490000000001</v>
      </c>
      <c r="BM1542" s="327">
        <v>-9999</v>
      </c>
      <c r="BN1542" s="327">
        <v>-9999</v>
      </c>
      <c r="BO1542" s="327">
        <v>-9999</v>
      </c>
      <c r="BP1542" s="327">
        <v>-9999</v>
      </c>
      <c r="BQ1542" s="327">
        <v>-9999</v>
      </c>
      <c r="BR1542" s="327">
        <v>-9999</v>
      </c>
      <c r="BS1542" s="328">
        <v>-9999</v>
      </c>
      <c r="BT1542" s="327">
        <v>-9999</v>
      </c>
      <c r="BU1542" s="327">
        <v>-9999</v>
      </c>
      <c r="BV1542" s="327">
        <v>-9999</v>
      </c>
      <c r="BW1542" s="327"/>
      <c r="BX1542" s="327">
        <v>-9999</v>
      </c>
      <c r="BY1542" s="327">
        <v>-9999</v>
      </c>
      <c r="BZ1542" s="327">
        <v>-9999</v>
      </c>
      <c r="CA1542" s="369">
        <v>-9999</v>
      </c>
      <c r="CB1542" s="475"/>
      <c r="CC1542" s="327">
        <v>1</v>
      </c>
      <c r="CD1542" s="328">
        <v>10</v>
      </c>
      <c r="CE1542" s="342">
        <v>8.2005606060606056</v>
      </c>
      <c r="CF1542" s="342">
        <v>12.10559090909091</v>
      </c>
      <c r="CG1542" s="359">
        <v>10</v>
      </c>
    </row>
    <row r="1543" spans="1:96" s="301" customFormat="1" ht="12.75" customHeight="1" x14ac:dyDescent="0.2">
      <c r="A1543" s="327" t="s">
        <v>981</v>
      </c>
      <c r="B1543" s="327" t="s">
        <v>982</v>
      </c>
      <c r="C1543" s="327" t="s">
        <v>986</v>
      </c>
      <c r="D1543" s="327" t="s">
        <v>553</v>
      </c>
      <c r="E1543" s="327" t="s">
        <v>901</v>
      </c>
      <c r="F1543" s="327">
        <v>1</v>
      </c>
      <c r="G1543" s="328">
        <v>11</v>
      </c>
      <c r="H1543" s="328">
        <v>11</v>
      </c>
      <c r="I1543" s="327" t="s">
        <v>783</v>
      </c>
      <c r="J1543" s="327">
        <v>1987</v>
      </c>
      <c r="K1543" s="327" t="s">
        <v>783</v>
      </c>
      <c r="L1543" s="327">
        <v>1998</v>
      </c>
      <c r="M1543" s="368">
        <v>-9999</v>
      </c>
      <c r="N1543" s="327">
        <v>-9999</v>
      </c>
      <c r="O1543" s="70">
        <v>1.4705882352941178</v>
      </c>
      <c r="P1543" s="370">
        <f t="shared" si="172"/>
        <v>93.996367647058833</v>
      </c>
      <c r="Q1543" s="327">
        <v>-9999</v>
      </c>
      <c r="R1543" s="287">
        <f t="shared" si="175"/>
        <v>63.917529999999999</v>
      </c>
      <c r="S1543" s="368"/>
      <c r="T1543" s="287">
        <f t="shared" si="173"/>
        <v>8.5008235294117664</v>
      </c>
      <c r="U1543" s="413">
        <v>-9999</v>
      </c>
      <c r="V1543" s="297">
        <v>5.7805600000000004</v>
      </c>
      <c r="W1543" s="287">
        <f t="shared" si="174"/>
        <v>13.644632352941176</v>
      </c>
      <c r="X1543" s="327">
        <v>-9999</v>
      </c>
      <c r="Y1543" s="297">
        <v>9.2783499999999997</v>
      </c>
      <c r="Z1543" s="327" t="s">
        <v>1707</v>
      </c>
      <c r="AA1543" s="327">
        <v>1660</v>
      </c>
      <c r="AB1543" s="327">
        <v>-9999</v>
      </c>
      <c r="AC1543" s="327">
        <f t="shared" si="171"/>
        <v>0.6</v>
      </c>
      <c r="AD1543" s="327">
        <v>0.15</v>
      </c>
      <c r="AE1543" s="328" t="s">
        <v>1970</v>
      </c>
      <c r="AF1543" s="327">
        <v>4</v>
      </c>
      <c r="AG1543" s="327" t="s">
        <v>843</v>
      </c>
      <c r="AH1543" s="327" t="s">
        <v>876</v>
      </c>
      <c r="AI1543" s="327" t="s">
        <v>985</v>
      </c>
      <c r="AJ1543" s="327" t="s">
        <v>892</v>
      </c>
      <c r="AK1543" s="327" t="s">
        <v>966</v>
      </c>
      <c r="AL1543" s="327" t="s">
        <v>828</v>
      </c>
      <c r="AM1543" s="327" t="s">
        <v>871</v>
      </c>
      <c r="AN1543" s="327" t="s">
        <v>631</v>
      </c>
      <c r="AO1543" s="327">
        <v>-9999</v>
      </c>
      <c r="AP1543" s="327">
        <v>-9999</v>
      </c>
      <c r="AQ1543" s="367" t="s">
        <v>631</v>
      </c>
      <c r="AR1543" s="327">
        <v>0</v>
      </c>
      <c r="AS1543" s="327">
        <v>-9999</v>
      </c>
      <c r="AT1543" s="327">
        <v>-9999</v>
      </c>
      <c r="AU1543" s="327">
        <v>0</v>
      </c>
      <c r="AV1543" s="327">
        <v>-9999</v>
      </c>
      <c r="AW1543" s="327">
        <v>-9999</v>
      </c>
      <c r="AX1543" s="327">
        <v>0</v>
      </c>
      <c r="AY1543" s="327">
        <v>-9999</v>
      </c>
      <c r="AZ1543" s="327">
        <v>-9999</v>
      </c>
      <c r="BA1543" s="327">
        <v>-9999</v>
      </c>
      <c r="BB1543" s="327" t="s">
        <v>626</v>
      </c>
      <c r="BC1543" s="327" t="s">
        <v>987</v>
      </c>
      <c r="BD1543" s="327" t="s">
        <v>988</v>
      </c>
      <c r="BE1543" s="327" t="s">
        <v>989</v>
      </c>
      <c r="BF1543" s="327" t="s">
        <v>881</v>
      </c>
      <c r="BG1543" s="327" t="s">
        <v>990</v>
      </c>
      <c r="BH1543" s="327" t="s">
        <v>991</v>
      </c>
      <c r="BI1543" s="327">
        <v>-9999</v>
      </c>
      <c r="BJ1543" s="328">
        <v>27.079499999999999</v>
      </c>
      <c r="BK1543" s="327">
        <v>-9999</v>
      </c>
      <c r="BL1543" s="368">
        <v>13.240349999999999</v>
      </c>
      <c r="BM1543" s="327">
        <v>-9999</v>
      </c>
      <c r="BN1543" s="327">
        <v>-9999</v>
      </c>
      <c r="BO1543" s="327">
        <v>-9999</v>
      </c>
      <c r="BP1543" s="327">
        <v>-9999</v>
      </c>
      <c r="BQ1543" s="327">
        <v>-9999</v>
      </c>
      <c r="BR1543" s="327">
        <v>-9999</v>
      </c>
      <c r="BS1543" s="328">
        <v>-9999</v>
      </c>
      <c r="BT1543" s="327">
        <v>-9999</v>
      </c>
      <c r="BU1543" s="327">
        <v>-9999</v>
      </c>
      <c r="BV1543" s="327">
        <v>-9999</v>
      </c>
      <c r="BW1543" s="327"/>
      <c r="BX1543" s="327">
        <v>-9999</v>
      </c>
      <c r="BY1543" s="327">
        <v>-9999</v>
      </c>
      <c r="BZ1543" s="327">
        <v>-9999</v>
      </c>
      <c r="CA1543" s="369">
        <v>-9999</v>
      </c>
      <c r="CB1543" s="475"/>
      <c r="CC1543" s="327">
        <v>1</v>
      </c>
      <c r="CD1543" s="328">
        <v>11</v>
      </c>
      <c r="CE1543" s="342">
        <v>8.5008235294117664</v>
      </c>
      <c r="CF1543" s="342">
        <v>13.644632352941176</v>
      </c>
      <c r="CG1543" s="359">
        <v>11</v>
      </c>
    </row>
    <row r="1544" spans="1:96" s="301" customFormat="1" ht="12.75" customHeight="1" x14ac:dyDescent="0.2">
      <c r="A1544" s="327" t="s">
        <v>981</v>
      </c>
      <c r="B1544" s="327" t="s">
        <v>982</v>
      </c>
      <c r="C1544" s="327" t="s">
        <v>986</v>
      </c>
      <c r="D1544" s="327" t="s">
        <v>553</v>
      </c>
      <c r="E1544" s="327" t="s">
        <v>901</v>
      </c>
      <c r="F1544" s="327">
        <v>1</v>
      </c>
      <c r="G1544" s="328">
        <v>12</v>
      </c>
      <c r="H1544" s="328">
        <v>12</v>
      </c>
      <c r="I1544" s="327" t="s">
        <v>783</v>
      </c>
      <c r="J1544" s="327">
        <v>1987</v>
      </c>
      <c r="K1544" s="327" t="s">
        <v>783</v>
      </c>
      <c r="L1544" s="327">
        <v>1999</v>
      </c>
      <c r="M1544" s="368">
        <v>-9999</v>
      </c>
      <c r="N1544" s="327">
        <v>-9999</v>
      </c>
      <c r="O1544" s="70">
        <v>1.4285714285714286</v>
      </c>
      <c r="P1544" s="370">
        <f t="shared" si="172"/>
        <v>104.67074285714286</v>
      </c>
      <c r="Q1544" s="327">
        <v>-9999</v>
      </c>
      <c r="R1544" s="287">
        <f t="shared" si="175"/>
        <v>73.26952</v>
      </c>
      <c r="S1544" s="368"/>
      <c r="T1544" s="287">
        <f t="shared" si="173"/>
        <v>8.6787285714285716</v>
      </c>
      <c r="U1544" s="413">
        <v>-9999</v>
      </c>
      <c r="V1544" s="297">
        <v>6.0751099999999996</v>
      </c>
      <c r="W1544" s="287">
        <f t="shared" si="174"/>
        <v>13.359985714285715</v>
      </c>
      <c r="X1544" s="327">
        <v>-9999</v>
      </c>
      <c r="Y1544" s="297">
        <v>9.3519900000000007</v>
      </c>
      <c r="Z1544" s="327" t="s">
        <v>1707</v>
      </c>
      <c r="AA1544" s="327">
        <v>1660</v>
      </c>
      <c r="AB1544" s="327">
        <v>-9999</v>
      </c>
      <c r="AC1544" s="327">
        <f t="shared" si="171"/>
        <v>0.6</v>
      </c>
      <c r="AD1544" s="327">
        <v>0.15</v>
      </c>
      <c r="AE1544" s="328" t="s">
        <v>1970</v>
      </c>
      <c r="AF1544" s="327">
        <v>4</v>
      </c>
      <c r="AG1544" s="327" t="s">
        <v>843</v>
      </c>
      <c r="AH1544" s="327" t="s">
        <v>876</v>
      </c>
      <c r="AI1544" s="327" t="s">
        <v>985</v>
      </c>
      <c r="AJ1544" s="327" t="s">
        <v>892</v>
      </c>
      <c r="AK1544" s="327" t="s">
        <v>966</v>
      </c>
      <c r="AL1544" s="327" t="s">
        <v>828</v>
      </c>
      <c r="AM1544" s="327" t="s">
        <v>871</v>
      </c>
      <c r="AN1544" s="327" t="s">
        <v>631</v>
      </c>
      <c r="AO1544" s="327">
        <v>-9999</v>
      </c>
      <c r="AP1544" s="327">
        <v>-9999</v>
      </c>
      <c r="AQ1544" s="367" t="s">
        <v>631</v>
      </c>
      <c r="AR1544" s="327">
        <v>0</v>
      </c>
      <c r="AS1544" s="327">
        <v>-9999</v>
      </c>
      <c r="AT1544" s="327">
        <v>-9999</v>
      </c>
      <c r="AU1544" s="327">
        <v>0</v>
      </c>
      <c r="AV1544" s="327">
        <v>-9999</v>
      </c>
      <c r="AW1544" s="327">
        <v>-9999</v>
      </c>
      <c r="AX1544" s="327">
        <v>0</v>
      </c>
      <c r="AY1544" s="327">
        <v>-9999</v>
      </c>
      <c r="AZ1544" s="327">
        <v>-9999</v>
      </c>
      <c r="BA1544" s="327">
        <v>-9999</v>
      </c>
      <c r="BB1544" s="327" t="s">
        <v>626</v>
      </c>
      <c r="BC1544" s="327" t="s">
        <v>987</v>
      </c>
      <c r="BD1544" s="327" t="s">
        <v>988</v>
      </c>
      <c r="BE1544" s="327" t="s">
        <v>989</v>
      </c>
      <c r="BF1544" s="327" t="s">
        <v>881</v>
      </c>
      <c r="BG1544" s="327" t="s">
        <v>990</v>
      </c>
      <c r="BH1544" s="327" t="s">
        <v>991</v>
      </c>
      <c r="BI1544" s="327">
        <v>-9999</v>
      </c>
      <c r="BJ1544" s="328">
        <v>28.491800000000001</v>
      </c>
      <c r="BK1544" s="327">
        <v>-9999</v>
      </c>
      <c r="BL1544" s="368">
        <v>14.19061</v>
      </c>
      <c r="BM1544" s="327">
        <v>-9999</v>
      </c>
      <c r="BN1544" s="327">
        <v>-9999</v>
      </c>
      <c r="BO1544" s="327">
        <v>-9999</v>
      </c>
      <c r="BP1544" s="327">
        <v>-9999</v>
      </c>
      <c r="BQ1544" s="327">
        <v>-9999</v>
      </c>
      <c r="BR1544" s="327">
        <v>-9999</v>
      </c>
      <c r="BS1544" s="328">
        <v>-9999</v>
      </c>
      <c r="BT1544" s="327">
        <v>-9999</v>
      </c>
      <c r="BU1544" s="327">
        <v>-9999</v>
      </c>
      <c r="BV1544" s="327">
        <v>-9999</v>
      </c>
      <c r="BW1544" s="327"/>
      <c r="BX1544" s="327">
        <v>-9999</v>
      </c>
      <c r="BY1544" s="327">
        <v>-9999</v>
      </c>
      <c r="BZ1544" s="327">
        <v>-9999</v>
      </c>
      <c r="CA1544" s="369">
        <v>-9999</v>
      </c>
      <c r="CB1544" s="475"/>
      <c r="CC1544" s="327">
        <v>1</v>
      </c>
      <c r="CD1544" s="328">
        <v>12</v>
      </c>
      <c r="CE1544" s="342">
        <v>8.6787285714285716</v>
      </c>
      <c r="CF1544" s="342">
        <v>13.359985714285715</v>
      </c>
      <c r="CG1544" s="359">
        <v>12</v>
      </c>
    </row>
    <row r="1545" spans="1:96" s="301" customFormat="1" ht="12.75" customHeight="1" x14ac:dyDescent="0.2">
      <c r="A1545" s="327" t="s">
        <v>981</v>
      </c>
      <c r="B1545" s="327" t="s">
        <v>982</v>
      </c>
      <c r="C1545" s="327" t="s">
        <v>986</v>
      </c>
      <c r="D1545" s="327" t="s">
        <v>553</v>
      </c>
      <c r="E1545" s="327" t="s">
        <v>901</v>
      </c>
      <c r="F1545" s="327">
        <v>1</v>
      </c>
      <c r="G1545" s="328">
        <v>13</v>
      </c>
      <c r="H1545" s="328">
        <v>13</v>
      </c>
      <c r="I1545" s="327" t="s">
        <v>783</v>
      </c>
      <c r="J1545" s="327">
        <v>1987</v>
      </c>
      <c r="K1545" s="327" t="s">
        <v>783</v>
      </c>
      <c r="L1545" s="327">
        <v>2000</v>
      </c>
      <c r="M1545" s="368">
        <v>-9999</v>
      </c>
      <c r="N1545" s="327">
        <v>-9999</v>
      </c>
      <c r="O1545" s="70">
        <v>1.3888888888888888</v>
      </c>
      <c r="P1545" s="370">
        <f t="shared" si="172"/>
        <v>113.32025</v>
      </c>
      <c r="Q1545" s="327">
        <v>-9999</v>
      </c>
      <c r="R1545" s="287">
        <f t="shared" si="175"/>
        <v>81.590580000000003</v>
      </c>
      <c r="S1545" s="368"/>
      <c r="T1545" s="287">
        <f t="shared" si="173"/>
        <v>8.6422083333333326</v>
      </c>
      <c r="U1545" s="413">
        <v>-9999</v>
      </c>
      <c r="V1545" s="297">
        <v>6.2223899999999999</v>
      </c>
      <c r="W1545" s="287">
        <f t="shared" si="174"/>
        <v>11.557027777777776</v>
      </c>
      <c r="X1545" s="327">
        <v>-9999</v>
      </c>
      <c r="Y1545" s="297">
        <v>8.3210599999999992</v>
      </c>
      <c r="Z1545" s="327" t="s">
        <v>1707</v>
      </c>
      <c r="AA1545" s="327">
        <v>1660</v>
      </c>
      <c r="AB1545" s="327">
        <v>-9999</v>
      </c>
      <c r="AC1545" s="327">
        <f t="shared" si="171"/>
        <v>0.6</v>
      </c>
      <c r="AD1545" s="327">
        <v>0.15</v>
      </c>
      <c r="AE1545" s="328" t="s">
        <v>1970</v>
      </c>
      <c r="AF1545" s="327">
        <v>4</v>
      </c>
      <c r="AG1545" s="327" t="s">
        <v>843</v>
      </c>
      <c r="AH1545" s="327" t="s">
        <v>876</v>
      </c>
      <c r="AI1545" s="327" t="s">
        <v>985</v>
      </c>
      <c r="AJ1545" s="327" t="s">
        <v>892</v>
      </c>
      <c r="AK1545" s="327" t="s">
        <v>966</v>
      </c>
      <c r="AL1545" s="327" t="s">
        <v>828</v>
      </c>
      <c r="AM1545" s="327" t="s">
        <v>871</v>
      </c>
      <c r="AN1545" s="327" t="s">
        <v>631</v>
      </c>
      <c r="AO1545" s="327">
        <v>-9999</v>
      </c>
      <c r="AP1545" s="327">
        <v>-9999</v>
      </c>
      <c r="AQ1545" s="367" t="s">
        <v>631</v>
      </c>
      <c r="AR1545" s="327">
        <v>0</v>
      </c>
      <c r="AS1545" s="327">
        <v>-9999</v>
      </c>
      <c r="AT1545" s="327">
        <v>-9999</v>
      </c>
      <c r="AU1545" s="327">
        <v>0</v>
      </c>
      <c r="AV1545" s="327">
        <v>-9999</v>
      </c>
      <c r="AW1545" s="327">
        <v>-9999</v>
      </c>
      <c r="AX1545" s="327">
        <v>0</v>
      </c>
      <c r="AY1545" s="327">
        <v>-9999</v>
      </c>
      <c r="AZ1545" s="327">
        <v>-9999</v>
      </c>
      <c r="BA1545" s="327">
        <v>-9999</v>
      </c>
      <c r="BB1545" s="327" t="s">
        <v>626</v>
      </c>
      <c r="BC1545" s="327" t="s">
        <v>987</v>
      </c>
      <c r="BD1545" s="327" t="s">
        <v>988</v>
      </c>
      <c r="BE1545" s="327" t="s">
        <v>989</v>
      </c>
      <c r="BF1545" s="327" t="s">
        <v>881</v>
      </c>
      <c r="BG1545" s="327" t="s">
        <v>990</v>
      </c>
      <c r="BH1545" s="327" t="s">
        <v>991</v>
      </c>
      <c r="BI1545" s="327">
        <v>-9999</v>
      </c>
      <c r="BJ1545" s="328">
        <v>29.900200000000002</v>
      </c>
      <c r="BK1545" s="327">
        <v>-9999</v>
      </c>
      <c r="BL1545" s="368">
        <v>14.822240000000001</v>
      </c>
      <c r="BM1545" s="327">
        <v>-9999</v>
      </c>
      <c r="BN1545" s="327">
        <v>-9999</v>
      </c>
      <c r="BO1545" s="327">
        <v>-9999</v>
      </c>
      <c r="BP1545" s="327">
        <v>-9999</v>
      </c>
      <c r="BQ1545" s="327">
        <v>-9999</v>
      </c>
      <c r="BR1545" s="327">
        <v>-9999</v>
      </c>
      <c r="BS1545" s="328">
        <v>-9999</v>
      </c>
      <c r="BT1545" s="327">
        <v>-9999</v>
      </c>
      <c r="BU1545" s="327">
        <v>-9999</v>
      </c>
      <c r="BV1545" s="327">
        <v>-9999</v>
      </c>
      <c r="BW1545" s="327"/>
      <c r="BX1545" s="327">
        <v>-9999</v>
      </c>
      <c r="BY1545" s="327">
        <v>-9999</v>
      </c>
      <c r="BZ1545" s="327">
        <v>-9999</v>
      </c>
      <c r="CA1545" s="369">
        <v>-9999</v>
      </c>
      <c r="CB1545" s="475"/>
      <c r="CC1545" s="327">
        <v>1</v>
      </c>
      <c r="CD1545" s="328">
        <v>13</v>
      </c>
      <c r="CE1545" s="342">
        <v>8.6422083333333326</v>
      </c>
      <c r="CF1545" s="342">
        <v>11.557027777777776</v>
      </c>
      <c r="CG1545" s="359">
        <v>13</v>
      </c>
    </row>
    <row r="1546" spans="1:96" s="301" customFormat="1" ht="12.75" customHeight="1" x14ac:dyDescent="0.2">
      <c r="A1546" s="327" t="s">
        <v>981</v>
      </c>
      <c r="B1546" s="327" t="s">
        <v>982</v>
      </c>
      <c r="C1546" s="327" t="s">
        <v>986</v>
      </c>
      <c r="D1546" s="327" t="s">
        <v>553</v>
      </c>
      <c r="E1546" s="327" t="s">
        <v>901</v>
      </c>
      <c r="F1546" s="327">
        <v>1</v>
      </c>
      <c r="G1546" s="328">
        <v>14</v>
      </c>
      <c r="H1546" s="328">
        <v>14</v>
      </c>
      <c r="I1546" s="327" t="s">
        <v>783</v>
      </c>
      <c r="J1546" s="327">
        <v>1987</v>
      </c>
      <c r="K1546" s="327" t="s">
        <v>783</v>
      </c>
      <c r="L1546" s="327">
        <v>2001</v>
      </c>
      <c r="M1546" s="368">
        <v>-9999</v>
      </c>
      <c r="N1546" s="327">
        <v>-9999</v>
      </c>
      <c r="O1546" s="70">
        <v>1.3513513513513513</v>
      </c>
      <c r="P1546" s="370">
        <f t="shared" si="172"/>
        <v>121.95001351351351</v>
      </c>
      <c r="Q1546" s="327">
        <v>-9999</v>
      </c>
      <c r="R1546" s="287">
        <f t="shared" si="175"/>
        <v>90.243009999999998</v>
      </c>
      <c r="S1546" s="368"/>
      <c r="T1546" s="287">
        <f t="shared" si="173"/>
        <v>8.6076486486486488</v>
      </c>
      <c r="U1546" s="413">
        <v>-9999</v>
      </c>
      <c r="V1546" s="297">
        <v>6.3696599999999997</v>
      </c>
      <c r="W1546" s="287">
        <f t="shared" si="174"/>
        <v>11.692472972972974</v>
      </c>
      <c r="X1546" s="327">
        <v>-9999</v>
      </c>
      <c r="Y1546" s="297">
        <v>8.6524300000000007</v>
      </c>
      <c r="Z1546" s="327" t="s">
        <v>1707</v>
      </c>
      <c r="AA1546" s="327">
        <v>1660</v>
      </c>
      <c r="AB1546" s="327">
        <v>-9999</v>
      </c>
      <c r="AC1546" s="327">
        <f t="shared" si="171"/>
        <v>0.6</v>
      </c>
      <c r="AD1546" s="327">
        <v>0.15</v>
      </c>
      <c r="AE1546" s="328" t="s">
        <v>1970</v>
      </c>
      <c r="AF1546" s="327">
        <v>4</v>
      </c>
      <c r="AG1546" s="327" t="s">
        <v>843</v>
      </c>
      <c r="AH1546" s="327" t="s">
        <v>876</v>
      </c>
      <c r="AI1546" s="327" t="s">
        <v>985</v>
      </c>
      <c r="AJ1546" s="327" t="s">
        <v>892</v>
      </c>
      <c r="AK1546" s="327" t="s">
        <v>966</v>
      </c>
      <c r="AL1546" s="327" t="s">
        <v>828</v>
      </c>
      <c r="AM1546" s="327" t="s">
        <v>871</v>
      </c>
      <c r="AN1546" s="327" t="s">
        <v>631</v>
      </c>
      <c r="AO1546" s="327">
        <v>-9999</v>
      </c>
      <c r="AP1546" s="327">
        <v>-9999</v>
      </c>
      <c r="AQ1546" s="367" t="s">
        <v>631</v>
      </c>
      <c r="AR1546" s="327">
        <v>0</v>
      </c>
      <c r="AS1546" s="327">
        <v>-9999</v>
      </c>
      <c r="AT1546" s="327">
        <v>-9999</v>
      </c>
      <c r="AU1546" s="327">
        <v>0</v>
      </c>
      <c r="AV1546" s="327">
        <v>-9999</v>
      </c>
      <c r="AW1546" s="327">
        <v>-9999</v>
      </c>
      <c r="AX1546" s="327">
        <v>0</v>
      </c>
      <c r="AY1546" s="327">
        <v>-9999</v>
      </c>
      <c r="AZ1546" s="327">
        <v>-9999</v>
      </c>
      <c r="BA1546" s="327">
        <v>-9999</v>
      </c>
      <c r="BB1546" s="327" t="s">
        <v>626</v>
      </c>
      <c r="BC1546" s="327" t="s">
        <v>987</v>
      </c>
      <c r="BD1546" s="327" t="s">
        <v>988</v>
      </c>
      <c r="BE1546" s="327" t="s">
        <v>989</v>
      </c>
      <c r="BF1546" s="327" t="s">
        <v>881</v>
      </c>
      <c r="BG1546" s="327" t="s">
        <v>990</v>
      </c>
      <c r="BH1546" s="327" t="s">
        <v>991</v>
      </c>
      <c r="BI1546" s="327">
        <v>-9999</v>
      </c>
      <c r="BJ1546" s="328">
        <v>30.9557</v>
      </c>
      <c r="BK1546" s="327">
        <v>-9999</v>
      </c>
      <c r="BL1546" s="368">
        <v>15.29463</v>
      </c>
      <c r="BM1546" s="327">
        <v>-9999</v>
      </c>
      <c r="BN1546" s="327">
        <v>-9999</v>
      </c>
      <c r="BO1546" s="327">
        <v>-9999</v>
      </c>
      <c r="BP1546" s="327">
        <v>-9999</v>
      </c>
      <c r="BQ1546" s="327">
        <v>-9999</v>
      </c>
      <c r="BR1546" s="327">
        <v>-9999</v>
      </c>
      <c r="BS1546" s="328">
        <v>-9999</v>
      </c>
      <c r="BT1546" s="327">
        <v>-9999</v>
      </c>
      <c r="BU1546" s="327">
        <v>-9999</v>
      </c>
      <c r="BV1546" s="327">
        <v>-9999</v>
      </c>
      <c r="BW1546" s="327"/>
      <c r="BX1546" s="327">
        <v>-9999</v>
      </c>
      <c r="BY1546" s="327">
        <v>-9999</v>
      </c>
      <c r="BZ1546" s="327">
        <v>-9999</v>
      </c>
      <c r="CA1546" s="369">
        <v>-9999</v>
      </c>
      <c r="CB1546" s="475"/>
      <c r="CC1546" s="327">
        <v>1</v>
      </c>
      <c r="CD1546" s="328">
        <v>14</v>
      </c>
      <c r="CE1546" s="342">
        <v>8.6076486486486488</v>
      </c>
      <c r="CF1546" s="342">
        <v>11.692472972972974</v>
      </c>
      <c r="CG1546" s="359">
        <v>14</v>
      </c>
    </row>
    <row r="1547" spans="1:96" s="301" customFormat="1" ht="12.75" customHeight="1" x14ac:dyDescent="0.2">
      <c r="A1547" s="327" t="s">
        <v>981</v>
      </c>
      <c r="B1547" s="635" t="s">
        <v>982</v>
      </c>
      <c r="C1547" s="635" t="s">
        <v>986</v>
      </c>
      <c r="D1547" s="635" t="s">
        <v>553</v>
      </c>
      <c r="E1547" s="635" t="s">
        <v>901</v>
      </c>
      <c r="F1547" s="635">
        <v>1</v>
      </c>
      <c r="G1547" s="474">
        <v>15</v>
      </c>
      <c r="H1547" s="474">
        <v>15</v>
      </c>
      <c r="I1547" s="635" t="s">
        <v>783</v>
      </c>
      <c r="J1547" s="635">
        <v>1987</v>
      </c>
      <c r="K1547" s="635" t="s">
        <v>783</v>
      </c>
      <c r="L1547" s="635">
        <v>2002</v>
      </c>
      <c r="M1547" s="372">
        <v>-9999</v>
      </c>
      <c r="N1547" s="635">
        <v>-9999</v>
      </c>
      <c r="O1547" s="321">
        <v>1.3333333333333333</v>
      </c>
      <c r="P1547" s="370">
        <f t="shared" si="172"/>
        <v>137.60433333333333</v>
      </c>
      <c r="Q1547" s="635">
        <v>-9999</v>
      </c>
      <c r="R1547" s="287">
        <f t="shared" si="175"/>
        <v>103.20325</v>
      </c>
      <c r="S1547" s="372"/>
      <c r="T1547" s="643">
        <f t="shared" si="173"/>
        <v>9.131079999999999</v>
      </c>
      <c r="U1547" s="644">
        <v>-9999</v>
      </c>
      <c r="V1547" s="372">
        <v>6.8483099999999997</v>
      </c>
      <c r="W1547" s="643">
        <f t="shared" si="174"/>
        <v>17.28032</v>
      </c>
      <c r="X1547" s="635">
        <v>-9999</v>
      </c>
      <c r="Y1547" s="372">
        <v>12.960240000000001</v>
      </c>
      <c r="Z1547" s="635" t="s">
        <v>1707</v>
      </c>
      <c r="AA1547" s="474">
        <v>1660</v>
      </c>
      <c r="AB1547" s="370">
        <v>0.96</v>
      </c>
      <c r="AC1547" s="327">
        <f t="shared" si="171"/>
        <v>0.6</v>
      </c>
      <c r="AD1547" s="635">
        <v>0.15</v>
      </c>
      <c r="AE1547" s="328" t="s">
        <v>1970</v>
      </c>
      <c r="AF1547" s="635">
        <v>4</v>
      </c>
      <c r="AG1547" s="635" t="s">
        <v>843</v>
      </c>
      <c r="AH1547" s="635" t="s">
        <v>876</v>
      </c>
      <c r="AI1547" s="635" t="s">
        <v>985</v>
      </c>
      <c r="AJ1547" s="635" t="s">
        <v>892</v>
      </c>
      <c r="AK1547" s="635" t="s">
        <v>966</v>
      </c>
      <c r="AL1547" s="635" t="s">
        <v>828</v>
      </c>
      <c r="AM1547" s="635" t="s">
        <v>871</v>
      </c>
      <c r="AN1547" s="635" t="s">
        <v>631</v>
      </c>
      <c r="AO1547" s="635">
        <v>-9999</v>
      </c>
      <c r="AP1547" s="635">
        <v>-9999</v>
      </c>
      <c r="AQ1547" s="633" t="s">
        <v>631</v>
      </c>
      <c r="AR1547" s="635">
        <v>0</v>
      </c>
      <c r="AS1547" s="635">
        <v>-9999</v>
      </c>
      <c r="AT1547" s="635">
        <v>-9999</v>
      </c>
      <c r="AU1547" s="635">
        <v>0</v>
      </c>
      <c r="AV1547" s="635">
        <v>-9999</v>
      </c>
      <c r="AW1547" s="635">
        <v>-9999</v>
      </c>
      <c r="AX1547" s="635">
        <v>0</v>
      </c>
      <c r="AY1547" s="635">
        <v>-9999</v>
      </c>
      <c r="AZ1547" s="635">
        <v>-9999</v>
      </c>
      <c r="BA1547" s="635">
        <v>-9999</v>
      </c>
      <c r="BB1547" s="635" t="s">
        <v>626</v>
      </c>
      <c r="BC1547" s="635" t="s">
        <v>987</v>
      </c>
      <c r="BD1547" s="635" t="s">
        <v>988</v>
      </c>
      <c r="BE1547" s="635" t="s">
        <v>989</v>
      </c>
      <c r="BF1547" s="635" t="s">
        <v>881</v>
      </c>
      <c r="BG1547" s="635" t="s">
        <v>990</v>
      </c>
      <c r="BH1547" s="635" t="s">
        <v>991</v>
      </c>
      <c r="BI1547" s="635">
        <v>-9999</v>
      </c>
      <c r="BJ1547" s="474">
        <v>33.191000000000003</v>
      </c>
      <c r="BK1547" s="635">
        <v>-9999</v>
      </c>
      <c r="BL1547" s="372">
        <v>16.324339999999999</v>
      </c>
      <c r="BM1547" s="635">
        <v>-9999</v>
      </c>
      <c r="BN1547" s="635">
        <v>15.7</v>
      </c>
      <c r="BO1547" s="635">
        <v>-9999</v>
      </c>
      <c r="BP1547" s="635">
        <v>-9999</v>
      </c>
      <c r="BQ1547" s="635">
        <v>-9999</v>
      </c>
      <c r="BR1547" s="635">
        <v>-9999</v>
      </c>
      <c r="BS1547" s="474">
        <v>-9999</v>
      </c>
      <c r="BT1547" s="635">
        <v>-9999</v>
      </c>
      <c r="BU1547" s="635">
        <v>-9999</v>
      </c>
      <c r="BV1547" s="635">
        <v>-9999</v>
      </c>
      <c r="BW1547" s="635"/>
      <c r="BX1547" s="635">
        <v>-9999</v>
      </c>
      <c r="BY1547" s="635">
        <v>-9999</v>
      </c>
      <c r="BZ1547" s="635">
        <v>-9999</v>
      </c>
      <c r="CA1547" s="645">
        <v>-9999</v>
      </c>
      <c r="CB1547" s="475"/>
      <c r="CC1547" s="635">
        <v>1</v>
      </c>
      <c r="CD1547" s="474">
        <v>15</v>
      </c>
      <c r="CE1547" s="409">
        <v>9.131079999999999</v>
      </c>
      <c r="CF1547" s="342">
        <v>17.28032</v>
      </c>
      <c r="CG1547" s="360">
        <v>15</v>
      </c>
      <c r="CH1547" s="435" t="s">
        <v>1757</v>
      </c>
    </row>
    <row r="1548" spans="1:96" s="61" customFormat="1" x14ac:dyDescent="0.2">
      <c r="A1548" s="255"/>
      <c r="B1548" s="327"/>
      <c r="C1548" s="255"/>
      <c r="D1548" s="327"/>
      <c r="E1548" s="255"/>
      <c r="F1548" s="255"/>
      <c r="G1548" s="255"/>
      <c r="H1548" s="255"/>
      <c r="I1548" s="255"/>
      <c r="J1548" s="255"/>
      <c r="K1548" s="255"/>
      <c r="L1548" s="255"/>
      <c r="M1548" s="297"/>
      <c r="N1548" s="255"/>
      <c r="O1548" s="65"/>
      <c r="P1548" s="297"/>
      <c r="Q1548" s="255"/>
      <c r="R1548" s="297"/>
      <c r="S1548" s="255"/>
      <c r="T1548" s="738"/>
      <c r="U1548" s="255"/>
      <c r="V1548" s="368"/>
      <c r="W1548" s="297"/>
      <c r="X1548" s="255"/>
      <c r="Y1548" s="368"/>
      <c r="Z1548" s="255"/>
      <c r="AA1548" s="255"/>
      <c r="AB1548" s="297"/>
      <c r="AC1548" s="255"/>
      <c r="AD1548" s="255"/>
      <c r="AE1548" s="255"/>
      <c r="AF1548" s="255"/>
      <c r="AG1548" s="255"/>
      <c r="AH1548" s="255"/>
      <c r="AI1548" s="255"/>
      <c r="AJ1548" s="255"/>
      <c r="AK1548" s="327"/>
      <c r="AL1548" s="327"/>
      <c r="AM1548" s="327"/>
      <c r="AN1548" s="255"/>
      <c r="AO1548" s="255"/>
      <c r="AP1548" s="255"/>
      <c r="AQ1548" s="255"/>
      <c r="AR1548" s="255"/>
      <c r="AS1548" s="255"/>
      <c r="AT1548" s="255"/>
      <c r="AU1548" s="255"/>
      <c r="AV1548" s="255"/>
      <c r="AW1548" s="255"/>
      <c r="AX1548" s="255"/>
      <c r="AY1548" s="255"/>
      <c r="AZ1548" s="255"/>
      <c r="BA1548" s="255"/>
      <c r="BB1548" s="255"/>
      <c r="BC1548" s="255"/>
      <c r="BD1548" s="255"/>
      <c r="BE1548" s="255"/>
      <c r="BF1548" s="255"/>
      <c r="BG1548" s="255"/>
      <c r="BH1548" s="255"/>
      <c r="BI1548" s="255"/>
      <c r="BJ1548" s="255"/>
      <c r="BK1548" s="255"/>
      <c r="BL1548" s="255"/>
      <c r="BM1548" s="255"/>
      <c r="BN1548" s="255"/>
      <c r="BO1548" s="255"/>
      <c r="BP1548" s="255"/>
      <c r="BQ1548" s="255"/>
      <c r="BR1548" s="255"/>
      <c r="BS1548" s="358"/>
      <c r="BT1548" s="255"/>
      <c r="BU1548" s="255"/>
      <c r="BV1548" s="255"/>
      <c r="BW1548" s="255"/>
      <c r="BX1548" s="255"/>
      <c r="BY1548" s="255"/>
      <c r="BZ1548" s="255"/>
      <c r="CA1548" s="371"/>
      <c r="CB1548" s="357"/>
      <c r="CC1548" s="255"/>
      <c r="CD1548" s="255"/>
      <c r="CE1548" s="340"/>
      <c r="CF1548" s="340"/>
      <c r="CG1548" s="95"/>
      <c r="CR1548" s="301"/>
    </row>
    <row r="1549" spans="1:96" s="301" customFormat="1" ht="12.75" customHeight="1" x14ac:dyDescent="0.3">
      <c r="A1549" s="327" t="s">
        <v>981</v>
      </c>
      <c r="B1549" s="367" t="s">
        <v>982</v>
      </c>
      <c r="C1549" s="367" t="s">
        <v>992</v>
      </c>
      <c r="D1549" s="367" t="s">
        <v>553</v>
      </c>
      <c r="E1549" s="367" t="s">
        <v>901</v>
      </c>
      <c r="F1549" s="367">
        <v>1</v>
      </c>
      <c r="G1549" s="637">
        <v>1</v>
      </c>
      <c r="H1549" s="637">
        <v>1</v>
      </c>
      <c r="I1549" s="367" t="s">
        <v>783</v>
      </c>
      <c r="J1549" s="367">
        <v>1987</v>
      </c>
      <c r="K1549" s="367" t="s">
        <v>783</v>
      </c>
      <c r="L1549" s="367">
        <v>1988</v>
      </c>
      <c r="M1549" s="638">
        <v>-9999</v>
      </c>
      <c r="N1549" s="367">
        <v>-9999</v>
      </c>
      <c r="O1549" s="339">
        <v>-9999</v>
      </c>
      <c r="P1549" s="638">
        <v>-9999</v>
      </c>
      <c r="Q1549" s="367">
        <v>-9999</v>
      </c>
      <c r="R1549" s="368">
        <v>-9999</v>
      </c>
      <c r="S1549" s="367"/>
      <c r="T1549" s="638">
        <v>-9999</v>
      </c>
      <c r="U1549" s="367">
        <v>-9999</v>
      </c>
      <c r="V1549" s="367">
        <v>-9999</v>
      </c>
      <c r="W1549" s="638">
        <v>-9999</v>
      </c>
      <c r="X1549" s="367">
        <v>-9999</v>
      </c>
      <c r="Y1549" s="367">
        <v>-9999</v>
      </c>
      <c r="Z1549" s="327" t="s">
        <v>1707</v>
      </c>
      <c r="AA1549" s="327">
        <v>1660</v>
      </c>
      <c r="AB1549" s="638">
        <v>1</v>
      </c>
      <c r="AC1549" s="327">
        <f t="shared" ref="AC1549:AC1563" si="176">0.15*4</f>
        <v>0.6</v>
      </c>
      <c r="AD1549" s="367">
        <v>0.15</v>
      </c>
      <c r="AE1549" s="328" t="s">
        <v>1970</v>
      </c>
      <c r="AF1549" s="367">
        <v>4</v>
      </c>
      <c r="AG1549" s="367" t="s">
        <v>843</v>
      </c>
      <c r="AH1549" s="367" t="s">
        <v>876</v>
      </c>
      <c r="AI1549" s="367" t="s">
        <v>985</v>
      </c>
      <c r="AJ1549" s="367" t="s">
        <v>892</v>
      </c>
      <c r="AK1549" s="367" t="s">
        <v>966</v>
      </c>
      <c r="AL1549" s="367" t="s">
        <v>828</v>
      </c>
      <c r="AM1549" s="367" t="s">
        <v>871</v>
      </c>
      <c r="AN1549" s="367" t="s">
        <v>631</v>
      </c>
      <c r="AO1549" s="367">
        <v>-9999</v>
      </c>
      <c r="AP1549" s="367">
        <v>-9999</v>
      </c>
      <c r="AQ1549" s="367" t="s">
        <v>626</v>
      </c>
      <c r="AR1549" s="647">
        <f>50.4+(56*0.35)</f>
        <v>70</v>
      </c>
      <c r="AS1549" s="367" t="s">
        <v>139</v>
      </c>
      <c r="AT1549" s="367" t="s">
        <v>136</v>
      </c>
      <c r="AU1549" s="647">
        <f>+(280*0.46)*0.436</f>
        <v>56.156800000000004</v>
      </c>
      <c r="AV1549" s="367" t="s">
        <v>142</v>
      </c>
      <c r="AW1549" s="367" t="s">
        <v>275</v>
      </c>
      <c r="AX1549" s="647">
        <f>112*0.6</f>
        <v>67.2</v>
      </c>
      <c r="AY1549" s="367" t="s">
        <v>768</v>
      </c>
      <c r="AZ1549" s="367" t="s">
        <v>275</v>
      </c>
      <c r="BA1549" s="367">
        <v>-9999</v>
      </c>
      <c r="BB1549" s="367" t="s">
        <v>631</v>
      </c>
      <c r="BC1549" s="367">
        <v>-9999</v>
      </c>
      <c r="BD1549" s="367">
        <v>-9999</v>
      </c>
      <c r="BE1549" s="367">
        <v>-9999</v>
      </c>
      <c r="BF1549" s="367">
        <v>-9999</v>
      </c>
      <c r="BG1549" s="367">
        <v>-9999</v>
      </c>
      <c r="BH1549" s="367">
        <v>-9999</v>
      </c>
      <c r="BI1549" s="367">
        <v>-9999</v>
      </c>
      <c r="BJ1549" s="367">
        <v>-9999</v>
      </c>
      <c r="BK1549" s="367">
        <v>-9999</v>
      </c>
      <c r="BL1549" s="638">
        <v>0.98441999999999996</v>
      </c>
      <c r="BM1549" s="367">
        <v>-9999</v>
      </c>
      <c r="BN1549" s="367">
        <v>-9999</v>
      </c>
      <c r="BO1549" s="367">
        <v>-9999</v>
      </c>
      <c r="BP1549" s="367">
        <v>-9999</v>
      </c>
      <c r="BQ1549" s="367">
        <v>-9999</v>
      </c>
      <c r="BR1549" s="367">
        <v>-9999</v>
      </c>
      <c r="BS1549" s="648">
        <v>-9999</v>
      </c>
      <c r="BT1549" s="367">
        <v>-9999</v>
      </c>
      <c r="BU1549" s="367">
        <v>-9999</v>
      </c>
      <c r="BV1549" s="367">
        <v>-9999</v>
      </c>
      <c r="BW1549" s="367"/>
      <c r="BX1549" s="367">
        <v>-9999</v>
      </c>
      <c r="BY1549" s="367">
        <v>-9999</v>
      </c>
      <c r="BZ1549" s="367">
        <v>-9999</v>
      </c>
      <c r="CA1549" s="649">
        <v>-9999</v>
      </c>
      <c r="CB1549" s="475"/>
      <c r="CC1549" s="367">
        <v>1</v>
      </c>
      <c r="CD1549" s="637"/>
      <c r="CE1549" s="342"/>
      <c r="CF1549" s="342"/>
      <c r="CG1549" s="361">
        <v>1</v>
      </c>
      <c r="CR1549" s="301" t="s">
        <v>1718</v>
      </c>
    </row>
    <row r="1550" spans="1:96" s="301" customFormat="1" ht="12.75" customHeight="1" x14ac:dyDescent="0.3">
      <c r="A1550" s="327" t="s">
        <v>981</v>
      </c>
      <c r="B1550" s="327" t="s">
        <v>982</v>
      </c>
      <c r="C1550" s="327" t="s">
        <v>992</v>
      </c>
      <c r="D1550" s="327" t="s">
        <v>553</v>
      </c>
      <c r="E1550" s="327" t="s">
        <v>901</v>
      </c>
      <c r="F1550" s="327">
        <v>1</v>
      </c>
      <c r="G1550" s="328">
        <v>2</v>
      </c>
      <c r="H1550" s="328">
        <v>2</v>
      </c>
      <c r="I1550" s="327" t="s">
        <v>783</v>
      </c>
      <c r="J1550" s="327">
        <v>1987</v>
      </c>
      <c r="K1550" s="327" t="s">
        <v>783</v>
      </c>
      <c r="L1550" s="327">
        <v>1989</v>
      </c>
      <c r="M1550" s="368">
        <v>-9999</v>
      </c>
      <c r="N1550" s="327">
        <v>-9999</v>
      </c>
      <c r="O1550" s="323">
        <v>-9999</v>
      </c>
      <c r="P1550" s="368">
        <v>-9999</v>
      </c>
      <c r="Q1550" s="327">
        <v>-9999</v>
      </c>
      <c r="R1550" s="368">
        <v>-9999</v>
      </c>
      <c r="S1550" s="327"/>
      <c r="T1550" s="368">
        <v>-9999</v>
      </c>
      <c r="U1550" s="327">
        <v>-9999</v>
      </c>
      <c r="V1550" s="327">
        <v>-9999</v>
      </c>
      <c r="W1550" s="368">
        <v>-9999</v>
      </c>
      <c r="X1550" s="327">
        <v>-9999</v>
      </c>
      <c r="Y1550" s="327">
        <v>-9999</v>
      </c>
      <c r="Z1550" s="327" t="s">
        <v>1707</v>
      </c>
      <c r="AA1550" s="327">
        <v>1660</v>
      </c>
      <c r="AB1550" s="327">
        <v>-9999</v>
      </c>
      <c r="AC1550" s="327">
        <f t="shared" si="176"/>
        <v>0.6</v>
      </c>
      <c r="AD1550" s="327">
        <v>0.15</v>
      </c>
      <c r="AE1550" s="328" t="s">
        <v>1970</v>
      </c>
      <c r="AF1550" s="327">
        <v>4</v>
      </c>
      <c r="AG1550" s="327" t="s">
        <v>843</v>
      </c>
      <c r="AH1550" s="327" t="s">
        <v>876</v>
      </c>
      <c r="AI1550" s="327" t="s">
        <v>985</v>
      </c>
      <c r="AJ1550" s="327" t="s">
        <v>892</v>
      </c>
      <c r="AK1550" s="327" t="s">
        <v>966</v>
      </c>
      <c r="AL1550" s="327" t="s">
        <v>828</v>
      </c>
      <c r="AM1550" s="327" t="s">
        <v>871</v>
      </c>
      <c r="AN1550" s="327" t="s">
        <v>631</v>
      </c>
      <c r="AO1550" s="327">
        <v>-9999</v>
      </c>
      <c r="AP1550" s="327">
        <v>-9999</v>
      </c>
      <c r="AQ1550" s="327" t="s">
        <v>626</v>
      </c>
      <c r="AR1550" s="363">
        <f>50.4+(56*0.35)+AR1549</f>
        <v>140</v>
      </c>
      <c r="AS1550" s="327" t="s">
        <v>139</v>
      </c>
      <c r="AT1550" s="327" t="s">
        <v>136</v>
      </c>
      <c r="AU1550" s="363">
        <f>+((280*0.46)*0.436)+AU1549</f>
        <v>112.31360000000001</v>
      </c>
      <c r="AV1550" s="327" t="s">
        <v>142</v>
      </c>
      <c r="AW1550" s="327" t="s">
        <v>275</v>
      </c>
      <c r="AX1550" s="363">
        <f>+(112*0.6)+AX1549</f>
        <v>134.4</v>
      </c>
      <c r="AY1550" s="327" t="s">
        <v>768</v>
      </c>
      <c r="AZ1550" s="327" t="s">
        <v>275</v>
      </c>
      <c r="BA1550" s="327">
        <v>-9999</v>
      </c>
      <c r="BB1550" s="327" t="s">
        <v>631</v>
      </c>
      <c r="BC1550" s="327">
        <v>-9999</v>
      </c>
      <c r="BD1550" s="327">
        <v>-9999</v>
      </c>
      <c r="BE1550" s="327">
        <v>-9999</v>
      </c>
      <c r="BF1550" s="327">
        <v>-9999</v>
      </c>
      <c r="BG1550" s="327">
        <v>-9999</v>
      </c>
      <c r="BH1550" s="327">
        <v>-9999</v>
      </c>
      <c r="BI1550" s="327">
        <v>-9999</v>
      </c>
      <c r="BJ1550" s="327">
        <v>-9999</v>
      </c>
      <c r="BK1550" s="327">
        <v>-9999</v>
      </c>
      <c r="BL1550" s="368">
        <v>2.0173700000000001</v>
      </c>
      <c r="BM1550" s="327">
        <v>-9999</v>
      </c>
      <c r="BN1550" s="327">
        <v>-9999</v>
      </c>
      <c r="BO1550" s="327">
        <v>-9999</v>
      </c>
      <c r="BP1550" s="327">
        <v>-9999</v>
      </c>
      <c r="BQ1550" s="327">
        <v>-9999</v>
      </c>
      <c r="BR1550" s="327">
        <v>-9999</v>
      </c>
      <c r="BS1550" s="474">
        <v>-9999</v>
      </c>
      <c r="BT1550" s="327">
        <v>-9999</v>
      </c>
      <c r="BU1550" s="327">
        <v>-9999</v>
      </c>
      <c r="BV1550" s="327">
        <v>-9999</v>
      </c>
      <c r="BW1550" s="327"/>
      <c r="BX1550" s="327">
        <v>-9999</v>
      </c>
      <c r="BY1550" s="327">
        <v>-9999</v>
      </c>
      <c r="BZ1550" s="327">
        <v>-9999</v>
      </c>
      <c r="CA1550" s="369">
        <v>-9999</v>
      </c>
      <c r="CB1550" s="475"/>
      <c r="CC1550" s="327">
        <v>1</v>
      </c>
      <c r="CD1550" s="328"/>
      <c r="CE1550" s="342" t="s">
        <v>1576</v>
      </c>
      <c r="CF1550" s="342" t="s">
        <v>1575</v>
      </c>
      <c r="CG1550" s="359">
        <v>2</v>
      </c>
      <c r="CR1550" s="301" t="s">
        <v>1719</v>
      </c>
    </row>
    <row r="1551" spans="1:96" s="301" customFormat="1" ht="12.75" customHeight="1" x14ac:dyDescent="0.3">
      <c r="A1551" s="327" t="s">
        <v>981</v>
      </c>
      <c r="B1551" s="327" t="s">
        <v>982</v>
      </c>
      <c r="C1551" s="327" t="s">
        <v>992</v>
      </c>
      <c r="D1551" s="327" t="s">
        <v>553</v>
      </c>
      <c r="E1551" s="327" t="s">
        <v>901</v>
      </c>
      <c r="F1551" s="327">
        <v>1</v>
      </c>
      <c r="G1551" s="328">
        <v>3</v>
      </c>
      <c r="H1551" s="328">
        <v>3</v>
      </c>
      <c r="I1551" s="327" t="s">
        <v>783</v>
      </c>
      <c r="J1551" s="327">
        <v>1987</v>
      </c>
      <c r="K1551" s="327" t="s">
        <v>783</v>
      </c>
      <c r="L1551" s="327">
        <v>1990</v>
      </c>
      <c r="M1551" s="368">
        <v>-9999</v>
      </c>
      <c r="N1551" s="327">
        <v>-9999</v>
      </c>
      <c r="O1551" s="70">
        <v>2.5</v>
      </c>
      <c r="P1551" s="370">
        <f t="shared" ref="P1551:P1563" si="177">+R1551*O1551</f>
        <v>0.18409999999999999</v>
      </c>
      <c r="Q1551" s="327">
        <v>-9999</v>
      </c>
      <c r="R1551" s="368">
        <f>+Y1551</f>
        <v>7.3639999999999997E-2</v>
      </c>
      <c r="S1551" s="368"/>
      <c r="T1551" s="287">
        <f>0.07364*O1551</f>
        <v>0.18409999999999999</v>
      </c>
      <c r="U1551" s="413">
        <v>-9999</v>
      </c>
      <c r="V1551" s="297">
        <v>7.3639999999999997E-2</v>
      </c>
      <c r="W1551" s="287">
        <f t="shared" ref="W1551:W1563" si="178">Y1551*O1551</f>
        <v>0.18409999999999999</v>
      </c>
      <c r="X1551" s="327">
        <v>-9999</v>
      </c>
      <c r="Y1551" s="297">
        <v>7.3639999999999997E-2</v>
      </c>
      <c r="Z1551" s="327" t="s">
        <v>1707</v>
      </c>
      <c r="AA1551" s="327">
        <v>1660</v>
      </c>
      <c r="AB1551" s="327">
        <v>-9999</v>
      </c>
      <c r="AC1551" s="327">
        <f t="shared" si="176"/>
        <v>0.6</v>
      </c>
      <c r="AD1551" s="327">
        <v>0.15</v>
      </c>
      <c r="AE1551" s="328" t="s">
        <v>1970</v>
      </c>
      <c r="AF1551" s="327">
        <v>4</v>
      </c>
      <c r="AG1551" s="327" t="s">
        <v>843</v>
      </c>
      <c r="AH1551" s="327" t="s">
        <v>876</v>
      </c>
      <c r="AI1551" s="327" t="s">
        <v>985</v>
      </c>
      <c r="AJ1551" s="327" t="s">
        <v>892</v>
      </c>
      <c r="AK1551" s="327" t="s">
        <v>966</v>
      </c>
      <c r="AL1551" s="327" t="s">
        <v>828</v>
      </c>
      <c r="AM1551" s="327" t="s">
        <v>871</v>
      </c>
      <c r="AN1551" s="327" t="s">
        <v>631</v>
      </c>
      <c r="AO1551" s="327">
        <v>-9999</v>
      </c>
      <c r="AP1551" s="327">
        <v>-9999</v>
      </c>
      <c r="AQ1551" s="327" t="s">
        <v>626</v>
      </c>
      <c r="AR1551" s="363">
        <f t="shared" ref="AR1551:AR1557" si="179">+((150*0.35)*1.12)+AR1550</f>
        <v>198.8</v>
      </c>
      <c r="AS1551" s="327" t="s">
        <v>138</v>
      </c>
      <c r="AT1551" s="327" t="s">
        <v>311</v>
      </c>
      <c r="AU1551" s="363">
        <f t="shared" ref="AU1551:AU1557" si="180">0+AU1550</f>
        <v>112.31360000000001</v>
      </c>
      <c r="AV1551" s="327">
        <v>-9999</v>
      </c>
      <c r="AW1551" s="327">
        <v>-9999</v>
      </c>
      <c r="AX1551" s="363">
        <f>0+AX1550</f>
        <v>134.4</v>
      </c>
      <c r="AY1551" s="327">
        <v>-9999</v>
      </c>
      <c r="AZ1551" s="327">
        <v>-9999</v>
      </c>
      <c r="BA1551" s="327">
        <v>-9999</v>
      </c>
      <c r="BB1551" s="327" t="s">
        <v>631</v>
      </c>
      <c r="BC1551" s="327">
        <v>-9999</v>
      </c>
      <c r="BD1551" s="327">
        <v>-9999</v>
      </c>
      <c r="BE1551" s="327">
        <v>-9999</v>
      </c>
      <c r="BF1551" s="327">
        <v>-9999</v>
      </c>
      <c r="BG1551" s="327">
        <v>-9999</v>
      </c>
      <c r="BH1551" s="327">
        <v>-9999</v>
      </c>
      <c r="BI1551" s="327">
        <v>-9999</v>
      </c>
      <c r="BJ1551" s="327">
        <v>-9999</v>
      </c>
      <c r="BK1551" s="327">
        <v>-9999</v>
      </c>
      <c r="BL1551" s="368">
        <v>3.0186799999999998</v>
      </c>
      <c r="BM1551" s="327">
        <v>-9999</v>
      </c>
      <c r="BN1551" s="327">
        <v>-9999</v>
      </c>
      <c r="BO1551" s="327">
        <v>-9999</v>
      </c>
      <c r="BP1551" s="327">
        <v>-9999</v>
      </c>
      <c r="BQ1551" s="327">
        <v>-9999</v>
      </c>
      <c r="BR1551" s="327">
        <v>-9999</v>
      </c>
      <c r="BS1551" s="474">
        <v>-9999</v>
      </c>
      <c r="BT1551" s="327">
        <v>-9999</v>
      </c>
      <c r="BU1551" s="327">
        <v>-9999</v>
      </c>
      <c r="BV1551" s="327">
        <v>-9999</v>
      </c>
      <c r="BW1551" s="327"/>
      <c r="BX1551" s="327">
        <v>-9999</v>
      </c>
      <c r="BY1551" s="327">
        <v>-9999</v>
      </c>
      <c r="BZ1551" s="327">
        <v>-9999</v>
      </c>
      <c r="CA1551" s="369">
        <v>-9999</v>
      </c>
      <c r="CB1551" s="475"/>
      <c r="CC1551" s="327">
        <v>1</v>
      </c>
      <c r="CD1551" s="328">
        <v>3</v>
      </c>
      <c r="CE1551" s="342">
        <v>0.18409999999999999</v>
      </c>
      <c r="CF1551" s="342">
        <v>0.18409999999999999</v>
      </c>
      <c r="CG1551" s="359">
        <v>3</v>
      </c>
    </row>
    <row r="1552" spans="1:96" s="301" customFormat="1" ht="12.75" customHeight="1" x14ac:dyDescent="0.3">
      <c r="A1552" s="327" t="s">
        <v>981</v>
      </c>
      <c r="B1552" s="327" t="s">
        <v>982</v>
      </c>
      <c r="C1552" s="327" t="s">
        <v>992</v>
      </c>
      <c r="D1552" s="327" t="s">
        <v>553</v>
      </c>
      <c r="E1552" s="327" t="s">
        <v>901</v>
      </c>
      <c r="F1552" s="327">
        <v>1</v>
      </c>
      <c r="G1552" s="328">
        <v>4</v>
      </c>
      <c r="H1552" s="328">
        <v>4</v>
      </c>
      <c r="I1552" s="327" t="s">
        <v>783</v>
      </c>
      <c r="J1552" s="327">
        <v>1987</v>
      </c>
      <c r="K1552" s="327" t="s">
        <v>783</v>
      </c>
      <c r="L1552" s="327">
        <v>1991</v>
      </c>
      <c r="M1552" s="368">
        <v>-9999</v>
      </c>
      <c r="N1552" s="327">
        <v>-9999</v>
      </c>
      <c r="O1552" s="70">
        <v>2.0833333333333335</v>
      </c>
      <c r="P1552" s="370">
        <f t="shared" si="177"/>
        <v>11.352479166666667</v>
      </c>
      <c r="Q1552" s="327">
        <v>-9999</v>
      </c>
      <c r="R1552" s="368">
        <f t="shared" ref="R1552:R1563" si="181">+R1551+Y1552</f>
        <v>5.4491899999999998</v>
      </c>
      <c r="S1552" s="368"/>
      <c r="T1552" s="287">
        <f>1.28866*O1552</f>
        <v>2.6847083333333335</v>
      </c>
      <c r="U1552" s="413">
        <v>-9999</v>
      </c>
      <c r="V1552" s="297">
        <v>1.2886599999999999</v>
      </c>
      <c r="W1552" s="287">
        <f t="shared" si="178"/>
        <v>11.1990625</v>
      </c>
      <c r="X1552" s="327">
        <v>-9999</v>
      </c>
      <c r="Y1552" s="297">
        <v>5.3755499999999996</v>
      </c>
      <c r="Z1552" s="327" t="s">
        <v>1707</v>
      </c>
      <c r="AA1552" s="327">
        <v>1660</v>
      </c>
      <c r="AB1552" s="327">
        <v>-9999</v>
      </c>
      <c r="AC1552" s="327">
        <f t="shared" si="176"/>
        <v>0.6</v>
      </c>
      <c r="AD1552" s="327">
        <v>0.15</v>
      </c>
      <c r="AE1552" s="328" t="s">
        <v>1970</v>
      </c>
      <c r="AF1552" s="327">
        <v>4</v>
      </c>
      <c r="AG1552" s="327" t="s">
        <v>843</v>
      </c>
      <c r="AH1552" s="327" t="s">
        <v>876</v>
      </c>
      <c r="AI1552" s="327" t="s">
        <v>985</v>
      </c>
      <c r="AJ1552" s="327" t="s">
        <v>892</v>
      </c>
      <c r="AK1552" s="327" t="s">
        <v>966</v>
      </c>
      <c r="AL1552" s="327" t="s">
        <v>828</v>
      </c>
      <c r="AM1552" s="327" t="s">
        <v>871</v>
      </c>
      <c r="AN1552" s="327" t="s">
        <v>631</v>
      </c>
      <c r="AO1552" s="327">
        <v>-9999</v>
      </c>
      <c r="AP1552" s="327">
        <v>-9999</v>
      </c>
      <c r="AQ1552" s="327" t="s">
        <v>626</v>
      </c>
      <c r="AR1552" s="363">
        <f t="shared" si="179"/>
        <v>257.60000000000002</v>
      </c>
      <c r="AS1552" s="327" t="s">
        <v>138</v>
      </c>
      <c r="AT1552" s="327" t="s">
        <v>311</v>
      </c>
      <c r="AU1552" s="363">
        <f t="shared" si="180"/>
        <v>112.31360000000001</v>
      </c>
      <c r="AV1552" s="327">
        <v>-9999</v>
      </c>
      <c r="AW1552" s="327">
        <v>-9999</v>
      </c>
      <c r="AX1552" s="363">
        <f t="shared" ref="AX1552:AX1558" si="182">0+AX1551</f>
        <v>134.4</v>
      </c>
      <c r="AY1552" s="327">
        <v>-9999</v>
      </c>
      <c r="AZ1552" s="327">
        <v>-9999</v>
      </c>
      <c r="BA1552" s="327">
        <v>-9999</v>
      </c>
      <c r="BB1552" s="327" t="s">
        <v>631</v>
      </c>
      <c r="BC1552" s="327">
        <v>-9999</v>
      </c>
      <c r="BD1552" s="327">
        <v>-9999</v>
      </c>
      <c r="BE1552" s="327">
        <v>-9999</v>
      </c>
      <c r="BF1552" s="327">
        <v>-9999</v>
      </c>
      <c r="BG1552" s="327">
        <v>-9999</v>
      </c>
      <c r="BH1552" s="327">
        <v>-9999</v>
      </c>
      <c r="BI1552" s="327">
        <v>-9999</v>
      </c>
      <c r="BJ1552" s="327">
        <v>-9999</v>
      </c>
      <c r="BK1552" s="327">
        <v>-9999</v>
      </c>
      <c r="BL1552" s="368">
        <v>4.0201399999999996</v>
      </c>
      <c r="BM1552" s="327">
        <v>-9999</v>
      </c>
      <c r="BN1552" s="327">
        <v>-9999</v>
      </c>
      <c r="BO1552" s="327">
        <v>-9999</v>
      </c>
      <c r="BP1552" s="327">
        <v>-9999</v>
      </c>
      <c r="BQ1552" s="327">
        <v>-9999</v>
      </c>
      <c r="BR1552" s="327">
        <v>-9999</v>
      </c>
      <c r="BS1552" s="474">
        <v>-9999</v>
      </c>
      <c r="BT1552" s="327">
        <v>-9999</v>
      </c>
      <c r="BU1552" s="327">
        <v>-9999</v>
      </c>
      <c r="BV1552" s="327">
        <v>-9999</v>
      </c>
      <c r="BW1552" s="327"/>
      <c r="BX1552" s="327">
        <v>-9999</v>
      </c>
      <c r="BY1552" s="327">
        <v>-9999</v>
      </c>
      <c r="BZ1552" s="327">
        <v>-9999</v>
      </c>
      <c r="CA1552" s="369">
        <v>-9999</v>
      </c>
      <c r="CB1552" s="475"/>
      <c r="CC1552" s="327">
        <v>1</v>
      </c>
      <c r="CD1552" s="328">
        <v>4</v>
      </c>
      <c r="CE1552" s="342">
        <v>2.6847083333333335</v>
      </c>
      <c r="CF1552" s="342">
        <v>11.1990625</v>
      </c>
      <c r="CG1552" s="359">
        <v>4</v>
      </c>
      <c r="CR1552" s="301" t="s">
        <v>1720</v>
      </c>
    </row>
    <row r="1553" spans="1:86" s="301" customFormat="1" ht="12.75" customHeight="1" x14ac:dyDescent="0.3">
      <c r="A1553" s="327" t="s">
        <v>981</v>
      </c>
      <c r="B1553" s="327" t="s">
        <v>982</v>
      </c>
      <c r="C1553" s="327" t="s">
        <v>992</v>
      </c>
      <c r="D1553" s="327" t="s">
        <v>553</v>
      </c>
      <c r="E1553" s="327" t="s">
        <v>901</v>
      </c>
      <c r="F1553" s="327">
        <v>1</v>
      </c>
      <c r="G1553" s="328">
        <v>5</v>
      </c>
      <c r="H1553" s="328">
        <v>5</v>
      </c>
      <c r="I1553" s="327" t="s">
        <v>783</v>
      </c>
      <c r="J1553" s="327">
        <v>1987</v>
      </c>
      <c r="K1553" s="327" t="s">
        <v>783</v>
      </c>
      <c r="L1553" s="327">
        <v>1992</v>
      </c>
      <c r="M1553" s="368">
        <v>-9999</v>
      </c>
      <c r="N1553" s="327">
        <v>-9999</v>
      </c>
      <c r="O1553" s="70">
        <v>1.7241379310344827</v>
      </c>
      <c r="P1553" s="370">
        <f t="shared" si="177"/>
        <v>27.931534482758618</v>
      </c>
      <c r="Q1553" s="327">
        <v>-9999</v>
      </c>
      <c r="R1553" s="368">
        <f t="shared" si="181"/>
        <v>16.200289999999999</v>
      </c>
      <c r="S1553" s="368"/>
      <c r="T1553" s="287">
        <f>3.1296*O1553</f>
        <v>5.395862068965517</v>
      </c>
      <c r="U1553" s="413">
        <v>-9999</v>
      </c>
      <c r="V1553" s="297">
        <v>3.1295999999999999</v>
      </c>
      <c r="W1553" s="287">
        <f t="shared" si="178"/>
        <v>18.536379310344824</v>
      </c>
      <c r="X1553" s="327">
        <v>-9999</v>
      </c>
      <c r="Y1553" s="297">
        <v>10.751099999999999</v>
      </c>
      <c r="Z1553" s="327" t="s">
        <v>1707</v>
      </c>
      <c r="AA1553" s="327">
        <v>1660</v>
      </c>
      <c r="AB1553" s="327">
        <v>-9999</v>
      </c>
      <c r="AC1553" s="327">
        <f t="shared" si="176"/>
        <v>0.6</v>
      </c>
      <c r="AD1553" s="327">
        <v>0.15</v>
      </c>
      <c r="AE1553" s="328" t="s">
        <v>1970</v>
      </c>
      <c r="AF1553" s="327">
        <v>4</v>
      </c>
      <c r="AG1553" s="327" t="s">
        <v>843</v>
      </c>
      <c r="AH1553" s="327" t="s">
        <v>876</v>
      </c>
      <c r="AI1553" s="327" t="s">
        <v>985</v>
      </c>
      <c r="AJ1553" s="327" t="s">
        <v>892</v>
      </c>
      <c r="AK1553" s="327" t="s">
        <v>966</v>
      </c>
      <c r="AL1553" s="327" t="s">
        <v>828</v>
      </c>
      <c r="AM1553" s="327" t="s">
        <v>871</v>
      </c>
      <c r="AN1553" s="327" t="s">
        <v>631</v>
      </c>
      <c r="AO1553" s="327">
        <v>-9999</v>
      </c>
      <c r="AP1553" s="327">
        <v>-9999</v>
      </c>
      <c r="AQ1553" s="327" t="s">
        <v>626</v>
      </c>
      <c r="AR1553" s="363">
        <f t="shared" si="179"/>
        <v>316.40000000000003</v>
      </c>
      <c r="AS1553" s="327" t="s">
        <v>138</v>
      </c>
      <c r="AT1553" s="327" t="s">
        <v>311</v>
      </c>
      <c r="AU1553" s="363">
        <f t="shared" si="180"/>
        <v>112.31360000000001</v>
      </c>
      <c r="AV1553" s="327">
        <v>-9999</v>
      </c>
      <c r="AW1553" s="327">
        <v>-9999</v>
      </c>
      <c r="AX1553" s="363">
        <f t="shared" si="182"/>
        <v>134.4</v>
      </c>
      <c r="AY1553" s="327">
        <v>-9999</v>
      </c>
      <c r="AZ1553" s="327">
        <v>-9999</v>
      </c>
      <c r="BA1553" s="327">
        <v>-9999</v>
      </c>
      <c r="BB1553" s="327" t="s">
        <v>631</v>
      </c>
      <c r="BC1553" s="327">
        <v>-9999</v>
      </c>
      <c r="BD1553" s="327">
        <v>-9999</v>
      </c>
      <c r="BE1553" s="327">
        <v>-9999</v>
      </c>
      <c r="BF1553" s="327">
        <v>-9999</v>
      </c>
      <c r="BG1553" s="327">
        <v>-9999</v>
      </c>
      <c r="BH1553" s="327">
        <v>-9999</v>
      </c>
      <c r="BI1553" s="327">
        <v>-9999</v>
      </c>
      <c r="BJ1553" s="328">
        <v>5.4467999999999996</v>
      </c>
      <c r="BK1553" s="327">
        <v>-9999</v>
      </c>
      <c r="BL1553" s="368">
        <v>4.9898899999999999</v>
      </c>
      <c r="BM1553" s="327">
        <v>-9999</v>
      </c>
      <c r="BN1553" s="327">
        <v>-9999</v>
      </c>
      <c r="BO1553" s="327">
        <v>-9999</v>
      </c>
      <c r="BP1553" s="327">
        <v>-9999</v>
      </c>
      <c r="BQ1553" s="327">
        <v>-9999</v>
      </c>
      <c r="BR1553" s="327">
        <v>-9999</v>
      </c>
      <c r="BS1553" s="474">
        <v>-9999</v>
      </c>
      <c r="BT1553" s="327">
        <v>-9999</v>
      </c>
      <c r="BU1553" s="327">
        <v>-9999</v>
      </c>
      <c r="BV1553" s="327">
        <v>-9999</v>
      </c>
      <c r="BW1553" s="327"/>
      <c r="BX1553" s="327">
        <v>-9999</v>
      </c>
      <c r="BY1553" s="327">
        <v>-9999</v>
      </c>
      <c r="BZ1553" s="327">
        <v>-9999</v>
      </c>
      <c r="CA1553" s="369">
        <v>-9999</v>
      </c>
      <c r="CB1553" s="475"/>
      <c r="CC1553" s="327">
        <v>1</v>
      </c>
      <c r="CD1553" s="328">
        <v>5</v>
      </c>
      <c r="CE1553" s="342">
        <v>5.395862068965517</v>
      </c>
      <c r="CF1553" s="342">
        <v>18.536379310344824</v>
      </c>
      <c r="CG1553" s="359">
        <v>5</v>
      </c>
    </row>
    <row r="1554" spans="1:86" s="301" customFormat="1" ht="12.75" customHeight="1" x14ac:dyDescent="0.3">
      <c r="A1554" s="327" t="s">
        <v>981</v>
      </c>
      <c r="B1554" s="327" t="s">
        <v>982</v>
      </c>
      <c r="C1554" s="327" t="s">
        <v>992</v>
      </c>
      <c r="D1554" s="327" t="s">
        <v>553</v>
      </c>
      <c r="E1554" s="327" t="s">
        <v>901</v>
      </c>
      <c r="F1554" s="327">
        <v>1</v>
      </c>
      <c r="G1554" s="328">
        <v>6</v>
      </c>
      <c r="H1554" s="328">
        <v>6</v>
      </c>
      <c r="I1554" s="327" t="s">
        <v>783</v>
      </c>
      <c r="J1554" s="327">
        <v>1987</v>
      </c>
      <c r="K1554" s="327" t="s">
        <v>783</v>
      </c>
      <c r="L1554" s="327">
        <v>1993</v>
      </c>
      <c r="M1554" s="368">
        <v>-9999</v>
      </c>
      <c r="N1554" s="327">
        <v>-9999</v>
      </c>
      <c r="O1554" s="70">
        <v>1.6129032258064515</v>
      </c>
      <c r="P1554" s="370">
        <f t="shared" si="177"/>
        <v>49.64606451612903</v>
      </c>
      <c r="Q1554" s="327">
        <v>-9999</v>
      </c>
      <c r="R1554" s="368">
        <f t="shared" si="181"/>
        <v>30.780560000000001</v>
      </c>
      <c r="S1554" s="368"/>
      <c r="T1554" s="287">
        <f>5.081*O1554</f>
        <v>8.1951612903225808</v>
      </c>
      <c r="U1554" s="413">
        <v>-9999</v>
      </c>
      <c r="V1554" s="297">
        <v>5.0810000000000004</v>
      </c>
      <c r="W1554" s="287">
        <f t="shared" si="178"/>
        <v>23.51656451612903</v>
      </c>
      <c r="X1554" s="327">
        <v>-9999</v>
      </c>
      <c r="Y1554" s="297">
        <v>14.580270000000001</v>
      </c>
      <c r="Z1554" s="327" t="s">
        <v>1707</v>
      </c>
      <c r="AA1554" s="327">
        <v>1660</v>
      </c>
      <c r="AB1554" s="327">
        <v>-9999</v>
      </c>
      <c r="AC1554" s="327">
        <f t="shared" si="176"/>
        <v>0.6</v>
      </c>
      <c r="AD1554" s="327">
        <v>0.15</v>
      </c>
      <c r="AE1554" s="328" t="s">
        <v>1970</v>
      </c>
      <c r="AF1554" s="327">
        <v>4</v>
      </c>
      <c r="AG1554" s="327" t="s">
        <v>843</v>
      </c>
      <c r="AH1554" s="327" t="s">
        <v>876</v>
      </c>
      <c r="AI1554" s="327" t="s">
        <v>985</v>
      </c>
      <c r="AJ1554" s="327" t="s">
        <v>892</v>
      </c>
      <c r="AK1554" s="327" t="s">
        <v>966</v>
      </c>
      <c r="AL1554" s="327" t="s">
        <v>828</v>
      </c>
      <c r="AM1554" s="327" t="s">
        <v>871</v>
      </c>
      <c r="AN1554" s="327" t="s">
        <v>631</v>
      </c>
      <c r="AO1554" s="327">
        <v>-9999</v>
      </c>
      <c r="AP1554" s="327">
        <v>-9999</v>
      </c>
      <c r="AQ1554" s="327" t="s">
        <v>626</v>
      </c>
      <c r="AR1554" s="363">
        <f t="shared" si="179"/>
        <v>375.20000000000005</v>
      </c>
      <c r="AS1554" s="327" t="s">
        <v>138</v>
      </c>
      <c r="AT1554" s="327" t="s">
        <v>311</v>
      </c>
      <c r="AU1554" s="363">
        <f t="shared" si="180"/>
        <v>112.31360000000001</v>
      </c>
      <c r="AV1554" s="327">
        <v>-9999</v>
      </c>
      <c r="AW1554" s="327">
        <v>-9999</v>
      </c>
      <c r="AX1554" s="363">
        <f t="shared" si="182"/>
        <v>134.4</v>
      </c>
      <c r="AY1554" s="327">
        <v>-9999</v>
      </c>
      <c r="AZ1554" s="327">
        <v>-9999</v>
      </c>
      <c r="BA1554" s="327">
        <v>-9999</v>
      </c>
      <c r="BB1554" s="327" t="s">
        <v>631</v>
      </c>
      <c r="BC1554" s="327">
        <v>-9999</v>
      </c>
      <c r="BD1554" s="327">
        <v>-9999</v>
      </c>
      <c r="BE1554" s="327">
        <v>-9999</v>
      </c>
      <c r="BF1554" s="327">
        <v>-9999</v>
      </c>
      <c r="BG1554" s="327">
        <v>-9999</v>
      </c>
      <c r="BH1554" s="327">
        <v>-9999</v>
      </c>
      <c r="BI1554" s="327">
        <v>-9999</v>
      </c>
      <c r="BJ1554" s="328">
        <v>12.7408</v>
      </c>
      <c r="BK1554" s="327">
        <v>-9999</v>
      </c>
      <c r="BL1554" s="368">
        <v>5.9916799999999997</v>
      </c>
      <c r="BM1554" s="327">
        <v>-9999</v>
      </c>
      <c r="BN1554" s="327">
        <v>-9999</v>
      </c>
      <c r="BO1554" s="327">
        <v>-9999</v>
      </c>
      <c r="BP1554" s="327">
        <v>-9999</v>
      </c>
      <c r="BQ1554" s="327">
        <v>-9999</v>
      </c>
      <c r="BR1554" s="327">
        <v>-9999</v>
      </c>
      <c r="BS1554" s="474">
        <v>-9999</v>
      </c>
      <c r="BT1554" s="327">
        <v>-9999</v>
      </c>
      <c r="BU1554" s="327">
        <v>-9999</v>
      </c>
      <c r="BV1554" s="327">
        <v>-9999</v>
      </c>
      <c r="BW1554" s="327"/>
      <c r="BX1554" s="327">
        <v>-9999</v>
      </c>
      <c r="BY1554" s="327">
        <v>-9999</v>
      </c>
      <c r="BZ1554" s="327">
        <v>-9999</v>
      </c>
      <c r="CA1554" s="369">
        <v>-9999</v>
      </c>
      <c r="CB1554" s="475"/>
      <c r="CC1554" s="327">
        <v>1</v>
      </c>
      <c r="CD1554" s="328">
        <v>6</v>
      </c>
      <c r="CE1554" s="342">
        <v>8.1951612903225808</v>
      </c>
      <c r="CF1554" s="342">
        <v>23.51656451612903</v>
      </c>
      <c r="CG1554" s="359">
        <v>6</v>
      </c>
    </row>
    <row r="1555" spans="1:86" s="301" customFormat="1" ht="12.75" customHeight="1" x14ac:dyDescent="0.3">
      <c r="A1555" s="327" t="s">
        <v>981</v>
      </c>
      <c r="B1555" s="327" t="s">
        <v>982</v>
      </c>
      <c r="C1555" s="327" t="s">
        <v>992</v>
      </c>
      <c r="D1555" s="327" t="s">
        <v>553</v>
      </c>
      <c r="E1555" s="327" t="s">
        <v>901</v>
      </c>
      <c r="F1555" s="327">
        <v>1</v>
      </c>
      <c r="G1555" s="328">
        <v>7</v>
      </c>
      <c r="H1555" s="328">
        <v>7</v>
      </c>
      <c r="I1555" s="327" t="s">
        <v>783</v>
      </c>
      <c r="J1555" s="327">
        <v>1987</v>
      </c>
      <c r="K1555" s="327" t="s">
        <v>783</v>
      </c>
      <c r="L1555" s="327">
        <v>1994</v>
      </c>
      <c r="M1555" s="368">
        <v>-9999</v>
      </c>
      <c r="N1555" s="327">
        <v>-9999</v>
      </c>
      <c r="O1555" s="70">
        <v>1.5873015873015872</v>
      </c>
      <c r="P1555" s="370">
        <f t="shared" si="177"/>
        <v>74.16368253968254</v>
      </c>
      <c r="Q1555" s="327">
        <v>-9999</v>
      </c>
      <c r="R1555" s="368">
        <f t="shared" si="181"/>
        <v>46.723120000000002</v>
      </c>
      <c r="S1555" s="368"/>
      <c r="T1555" s="287">
        <f>6.62739*O1555</f>
        <v>10.519666666666666</v>
      </c>
      <c r="U1555" s="413">
        <v>-9999</v>
      </c>
      <c r="V1555" s="297">
        <v>6.6273900000000001</v>
      </c>
      <c r="W1555" s="287">
        <f t="shared" si="178"/>
        <v>25.305650793650791</v>
      </c>
      <c r="X1555" s="327">
        <v>-9999</v>
      </c>
      <c r="Y1555" s="297">
        <v>15.94256</v>
      </c>
      <c r="Z1555" s="327" t="s">
        <v>1707</v>
      </c>
      <c r="AA1555" s="327">
        <v>1660</v>
      </c>
      <c r="AB1555" s="327">
        <v>-9999</v>
      </c>
      <c r="AC1555" s="327">
        <f t="shared" si="176"/>
        <v>0.6</v>
      </c>
      <c r="AD1555" s="327">
        <v>0.15</v>
      </c>
      <c r="AE1555" s="328" t="s">
        <v>1970</v>
      </c>
      <c r="AF1555" s="327">
        <v>4</v>
      </c>
      <c r="AG1555" s="327" t="s">
        <v>843</v>
      </c>
      <c r="AH1555" s="327" t="s">
        <v>876</v>
      </c>
      <c r="AI1555" s="327" t="s">
        <v>985</v>
      </c>
      <c r="AJ1555" s="327" t="s">
        <v>892</v>
      </c>
      <c r="AK1555" s="327" t="s">
        <v>966</v>
      </c>
      <c r="AL1555" s="327" t="s">
        <v>828</v>
      </c>
      <c r="AM1555" s="327" t="s">
        <v>871</v>
      </c>
      <c r="AN1555" s="327" t="s">
        <v>631</v>
      </c>
      <c r="AO1555" s="327">
        <v>-9999</v>
      </c>
      <c r="AP1555" s="327">
        <v>-9999</v>
      </c>
      <c r="AQ1555" s="327" t="s">
        <v>626</v>
      </c>
      <c r="AR1555" s="363">
        <f t="shared" si="179"/>
        <v>434.00000000000006</v>
      </c>
      <c r="AS1555" s="327" t="s">
        <v>138</v>
      </c>
      <c r="AT1555" s="327" t="s">
        <v>311</v>
      </c>
      <c r="AU1555" s="363">
        <f t="shared" si="180"/>
        <v>112.31360000000001</v>
      </c>
      <c r="AV1555" s="327">
        <v>-9999</v>
      </c>
      <c r="AW1555" s="327">
        <v>-9999</v>
      </c>
      <c r="AX1555" s="363">
        <f t="shared" si="182"/>
        <v>134.4</v>
      </c>
      <c r="AY1555" s="327">
        <v>-9999</v>
      </c>
      <c r="AZ1555" s="327">
        <v>-9999</v>
      </c>
      <c r="BA1555" s="327">
        <v>-9999</v>
      </c>
      <c r="BB1555" s="327" t="s">
        <v>631</v>
      </c>
      <c r="BC1555" s="327">
        <v>-9999</v>
      </c>
      <c r="BD1555" s="327">
        <v>-9999</v>
      </c>
      <c r="BE1555" s="327">
        <v>-9999</v>
      </c>
      <c r="BF1555" s="327">
        <v>-9999</v>
      </c>
      <c r="BG1555" s="327">
        <v>-9999</v>
      </c>
      <c r="BH1555" s="327">
        <v>-9999</v>
      </c>
      <c r="BI1555" s="327">
        <v>-9999</v>
      </c>
      <c r="BJ1555" s="328">
        <v>19.682300000000001</v>
      </c>
      <c r="BK1555" s="327">
        <v>-9999</v>
      </c>
      <c r="BL1555" s="368">
        <v>6.9930700000000003</v>
      </c>
      <c r="BM1555" s="327">
        <v>-9999</v>
      </c>
      <c r="BN1555" s="327">
        <v>-9999</v>
      </c>
      <c r="BO1555" s="327">
        <v>-9999</v>
      </c>
      <c r="BP1555" s="327">
        <v>-9999</v>
      </c>
      <c r="BQ1555" s="327">
        <v>-9999</v>
      </c>
      <c r="BR1555" s="327">
        <v>-9999</v>
      </c>
      <c r="BS1555" s="474">
        <v>-9999</v>
      </c>
      <c r="BT1555" s="327">
        <v>-9999</v>
      </c>
      <c r="BU1555" s="327">
        <v>-9999</v>
      </c>
      <c r="BV1555" s="327">
        <v>-9999</v>
      </c>
      <c r="BW1555" s="327"/>
      <c r="BX1555" s="327">
        <v>-9999</v>
      </c>
      <c r="BY1555" s="327">
        <v>-9999</v>
      </c>
      <c r="BZ1555" s="327">
        <v>-9999</v>
      </c>
      <c r="CA1555" s="369">
        <v>-9999</v>
      </c>
      <c r="CB1555" s="475"/>
      <c r="CC1555" s="327">
        <v>1</v>
      </c>
      <c r="CD1555" s="328">
        <v>7</v>
      </c>
      <c r="CE1555" s="342">
        <v>10.519666666666666</v>
      </c>
      <c r="CF1555" s="342">
        <v>25.305650793650791</v>
      </c>
      <c r="CG1555" s="359">
        <v>7</v>
      </c>
    </row>
    <row r="1556" spans="1:86" s="301" customFormat="1" ht="12.75" customHeight="1" x14ac:dyDescent="0.3">
      <c r="A1556" s="327" t="s">
        <v>981</v>
      </c>
      <c r="B1556" s="327" t="s">
        <v>982</v>
      </c>
      <c r="C1556" s="327" t="s">
        <v>992</v>
      </c>
      <c r="D1556" s="327" t="s">
        <v>553</v>
      </c>
      <c r="E1556" s="327" t="s">
        <v>901</v>
      </c>
      <c r="F1556" s="327">
        <v>1</v>
      </c>
      <c r="G1556" s="328">
        <v>8</v>
      </c>
      <c r="H1556" s="328">
        <v>8</v>
      </c>
      <c r="I1556" s="327" t="s">
        <v>783</v>
      </c>
      <c r="J1556" s="327">
        <v>1987</v>
      </c>
      <c r="K1556" s="327" t="s">
        <v>783</v>
      </c>
      <c r="L1556" s="327">
        <v>1995</v>
      </c>
      <c r="M1556" s="368">
        <v>-9999</v>
      </c>
      <c r="N1556" s="327">
        <v>-9999</v>
      </c>
      <c r="O1556" s="70">
        <v>1.5384615384615385</v>
      </c>
      <c r="P1556" s="370">
        <f t="shared" si="177"/>
        <v>98.731169230769254</v>
      </c>
      <c r="Q1556" s="327">
        <v>-9999</v>
      </c>
      <c r="R1556" s="368">
        <f t="shared" si="181"/>
        <v>64.175260000000009</v>
      </c>
      <c r="S1556" s="368"/>
      <c r="T1556" s="287">
        <f>7.95287*O1556</f>
        <v>12.235184615384616</v>
      </c>
      <c r="U1556" s="413">
        <v>-9999</v>
      </c>
      <c r="V1556" s="297">
        <v>7.9528699999999999</v>
      </c>
      <c r="W1556" s="287">
        <f t="shared" si="178"/>
        <v>26.849446153846156</v>
      </c>
      <c r="X1556" s="327">
        <v>-9999</v>
      </c>
      <c r="Y1556" s="297">
        <v>17.45214</v>
      </c>
      <c r="Z1556" s="327" t="s">
        <v>1707</v>
      </c>
      <c r="AA1556" s="327">
        <v>1660</v>
      </c>
      <c r="AB1556" s="327">
        <v>-9999</v>
      </c>
      <c r="AC1556" s="327">
        <f t="shared" si="176"/>
        <v>0.6</v>
      </c>
      <c r="AD1556" s="327">
        <v>0.15</v>
      </c>
      <c r="AE1556" s="328" t="s">
        <v>1970</v>
      </c>
      <c r="AF1556" s="327">
        <v>4</v>
      </c>
      <c r="AG1556" s="327" t="s">
        <v>843</v>
      </c>
      <c r="AH1556" s="327" t="s">
        <v>876</v>
      </c>
      <c r="AI1556" s="327" t="s">
        <v>985</v>
      </c>
      <c r="AJ1556" s="327" t="s">
        <v>892</v>
      </c>
      <c r="AK1556" s="327" t="s">
        <v>966</v>
      </c>
      <c r="AL1556" s="327" t="s">
        <v>828</v>
      </c>
      <c r="AM1556" s="327" t="s">
        <v>871</v>
      </c>
      <c r="AN1556" s="327" t="s">
        <v>631</v>
      </c>
      <c r="AO1556" s="327">
        <v>-9999</v>
      </c>
      <c r="AP1556" s="327">
        <v>-9999</v>
      </c>
      <c r="AQ1556" s="327" t="s">
        <v>626</v>
      </c>
      <c r="AR1556" s="363">
        <f t="shared" si="179"/>
        <v>492.80000000000007</v>
      </c>
      <c r="AS1556" s="327" t="s">
        <v>138</v>
      </c>
      <c r="AT1556" s="327" t="s">
        <v>311</v>
      </c>
      <c r="AU1556" s="363">
        <f t="shared" si="180"/>
        <v>112.31360000000001</v>
      </c>
      <c r="AV1556" s="327">
        <v>-9999</v>
      </c>
      <c r="AW1556" s="327">
        <v>-9999</v>
      </c>
      <c r="AX1556" s="363">
        <f t="shared" si="182"/>
        <v>134.4</v>
      </c>
      <c r="AY1556" s="327">
        <v>-9999</v>
      </c>
      <c r="AZ1556" s="327">
        <v>-9999</v>
      </c>
      <c r="BA1556" s="327">
        <v>-9999</v>
      </c>
      <c r="BB1556" s="327" t="s">
        <v>631</v>
      </c>
      <c r="BC1556" s="327">
        <v>-9999</v>
      </c>
      <c r="BD1556" s="327">
        <v>-9999</v>
      </c>
      <c r="BE1556" s="327">
        <v>-9999</v>
      </c>
      <c r="BF1556" s="327">
        <v>-9999</v>
      </c>
      <c r="BG1556" s="327">
        <v>-9999</v>
      </c>
      <c r="BH1556" s="327">
        <v>-9999</v>
      </c>
      <c r="BI1556" s="327">
        <v>-9999</v>
      </c>
      <c r="BJ1556" s="328">
        <v>25.564599999999999</v>
      </c>
      <c r="BK1556" s="327">
        <v>-9999</v>
      </c>
      <c r="BL1556" s="368">
        <v>7.9945899999999996</v>
      </c>
      <c r="BM1556" s="327">
        <v>-9999</v>
      </c>
      <c r="BN1556" s="327">
        <v>-9999</v>
      </c>
      <c r="BO1556" s="327">
        <v>-9999</v>
      </c>
      <c r="BP1556" s="327">
        <v>-9999</v>
      </c>
      <c r="BQ1556" s="327">
        <v>-9999</v>
      </c>
      <c r="BR1556" s="327">
        <v>-9999</v>
      </c>
      <c r="BS1556" s="474">
        <v>-9999</v>
      </c>
      <c r="BT1556" s="327">
        <v>-9999</v>
      </c>
      <c r="BU1556" s="327">
        <v>-9999</v>
      </c>
      <c r="BV1556" s="327">
        <v>-9999</v>
      </c>
      <c r="BW1556" s="327"/>
      <c r="BX1556" s="327">
        <v>-9999</v>
      </c>
      <c r="BY1556" s="327">
        <v>-9999</v>
      </c>
      <c r="BZ1556" s="327">
        <v>-9999</v>
      </c>
      <c r="CA1556" s="369">
        <v>-9999</v>
      </c>
      <c r="CB1556" s="475"/>
      <c r="CC1556" s="327">
        <v>1</v>
      </c>
      <c r="CD1556" s="328">
        <v>8</v>
      </c>
      <c r="CE1556" s="342">
        <v>12.235184615384616</v>
      </c>
      <c r="CF1556" s="342">
        <v>26.849446153846156</v>
      </c>
      <c r="CG1556" s="359">
        <v>8</v>
      </c>
    </row>
    <row r="1557" spans="1:86" s="301" customFormat="1" ht="12.75" customHeight="1" x14ac:dyDescent="0.3">
      <c r="A1557" s="327" t="s">
        <v>981</v>
      </c>
      <c r="B1557" s="327" t="s">
        <v>982</v>
      </c>
      <c r="C1557" s="327" t="s">
        <v>992</v>
      </c>
      <c r="D1557" s="327" t="s">
        <v>553</v>
      </c>
      <c r="E1557" s="327" t="s">
        <v>901</v>
      </c>
      <c r="F1557" s="327">
        <v>1</v>
      </c>
      <c r="G1557" s="328">
        <v>9</v>
      </c>
      <c r="H1557" s="328">
        <v>9</v>
      </c>
      <c r="I1557" s="327" t="s">
        <v>783</v>
      </c>
      <c r="J1557" s="327">
        <v>1987</v>
      </c>
      <c r="K1557" s="327" t="s">
        <v>783</v>
      </c>
      <c r="L1557" s="327">
        <v>1996</v>
      </c>
      <c r="M1557" s="368">
        <v>-9999</v>
      </c>
      <c r="N1557" s="327">
        <v>-9999</v>
      </c>
      <c r="O1557" s="70">
        <v>1.4705882352941178</v>
      </c>
      <c r="P1557" s="370">
        <f t="shared" si="177"/>
        <v>122.42267647058826</v>
      </c>
      <c r="Q1557" s="327">
        <v>-9999</v>
      </c>
      <c r="R1557" s="368">
        <f t="shared" si="181"/>
        <v>83.247420000000005</v>
      </c>
      <c r="S1557" s="368"/>
      <c r="T1557" s="287">
        <f>9.24153*O1557</f>
        <v>13.590485294117647</v>
      </c>
      <c r="U1557" s="413">
        <v>-9999</v>
      </c>
      <c r="V1557" s="297">
        <v>9.2415299999999991</v>
      </c>
      <c r="W1557" s="287">
        <f t="shared" si="178"/>
        <v>28.047294117647063</v>
      </c>
      <c r="X1557" s="327">
        <v>-9999</v>
      </c>
      <c r="Y1557" s="297">
        <v>19.07216</v>
      </c>
      <c r="Z1557" s="327" t="s">
        <v>1707</v>
      </c>
      <c r="AA1557" s="327">
        <v>1660</v>
      </c>
      <c r="AB1557" s="327">
        <v>-9999</v>
      </c>
      <c r="AC1557" s="327">
        <f t="shared" si="176"/>
        <v>0.6</v>
      </c>
      <c r="AD1557" s="327">
        <v>0.15</v>
      </c>
      <c r="AE1557" s="328" t="s">
        <v>1970</v>
      </c>
      <c r="AF1557" s="327">
        <v>4</v>
      </c>
      <c r="AG1557" s="327" t="s">
        <v>843</v>
      </c>
      <c r="AH1557" s="327" t="s">
        <v>876</v>
      </c>
      <c r="AI1557" s="327" t="s">
        <v>985</v>
      </c>
      <c r="AJ1557" s="327" t="s">
        <v>892</v>
      </c>
      <c r="AK1557" s="327" t="s">
        <v>966</v>
      </c>
      <c r="AL1557" s="327" t="s">
        <v>828</v>
      </c>
      <c r="AM1557" s="327" t="s">
        <v>871</v>
      </c>
      <c r="AN1557" s="327" t="s">
        <v>631</v>
      </c>
      <c r="AO1557" s="327">
        <v>-9999</v>
      </c>
      <c r="AP1557" s="327">
        <v>-9999</v>
      </c>
      <c r="AQ1557" s="327" t="s">
        <v>626</v>
      </c>
      <c r="AR1557" s="363">
        <f t="shared" si="179"/>
        <v>551.6</v>
      </c>
      <c r="AS1557" s="327" t="s">
        <v>138</v>
      </c>
      <c r="AT1557" s="327" t="s">
        <v>311</v>
      </c>
      <c r="AU1557" s="363">
        <f t="shared" si="180"/>
        <v>112.31360000000001</v>
      </c>
      <c r="AV1557" s="327">
        <v>-9999</v>
      </c>
      <c r="AW1557" s="327">
        <v>-9999</v>
      </c>
      <c r="AX1557" s="363">
        <f t="shared" si="182"/>
        <v>134.4</v>
      </c>
      <c r="AY1557" s="327">
        <v>-9999</v>
      </c>
      <c r="AZ1557" s="327">
        <v>-9999</v>
      </c>
      <c r="BA1557" s="327">
        <v>-9999</v>
      </c>
      <c r="BB1557" s="327" t="s">
        <v>631</v>
      </c>
      <c r="BC1557" s="327">
        <v>-9999</v>
      </c>
      <c r="BD1557" s="327">
        <v>-9999</v>
      </c>
      <c r="BE1557" s="327">
        <v>-9999</v>
      </c>
      <c r="BF1557" s="327">
        <v>-9999</v>
      </c>
      <c r="BG1557" s="327">
        <v>-9999</v>
      </c>
      <c r="BH1557" s="327">
        <v>-9999</v>
      </c>
      <c r="BI1557" s="327">
        <v>-9999</v>
      </c>
      <c r="BJ1557" s="328">
        <v>30.6233</v>
      </c>
      <c r="BK1557" s="327">
        <v>-9999</v>
      </c>
      <c r="BL1557" s="368">
        <v>8.9959699999999998</v>
      </c>
      <c r="BM1557" s="327">
        <v>-9999</v>
      </c>
      <c r="BN1557" s="327">
        <v>-9999</v>
      </c>
      <c r="BO1557" s="327">
        <v>-9999</v>
      </c>
      <c r="BP1557" s="327">
        <v>-9999</v>
      </c>
      <c r="BQ1557" s="327">
        <v>-9999</v>
      </c>
      <c r="BR1557" s="327">
        <v>-9999</v>
      </c>
      <c r="BS1557" s="474">
        <v>-9999</v>
      </c>
      <c r="BT1557" s="327">
        <v>-9999</v>
      </c>
      <c r="BU1557" s="327">
        <v>-9999</v>
      </c>
      <c r="BV1557" s="327">
        <v>-9999</v>
      </c>
      <c r="BW1557" s="327"/>
      <c r="BX1557" s="327">
        <v>-9999</v>
      </c>
      <c r="BY1557" s="327">
        <v>-9999</v>
      </c>
      <c r="BZ1557" s="327">
        <v>-9999</v>
      </c>
      <c r="CA1557" s="369">
        <v>-9999</v>
      </c>
      <c r="CB1557" s="475"/>
      <c r="CC1557" s="327">
        <v>1</v>
      </c>
      <c r="CD1557" s="328">
        <v>9</v>
      </c>
      <c r="CE1557" s="342">
        <v>13.590485294117647</v>
      </c>
      <c r="CF1557" s="342">
        <v>28.047294117647063</v>
      </c>
      <c r="CG1557" s="359">
        <v>9</v>
      </c>
    </row>
    <row r="1558" spans="1:86" s="301" customFormat="1" ht="12.75" customHeight="1" x14ac:dyDescent="0.3">
      <c r="A1558" s="327" t="s">
        <v>981</v>
      </c>
      <c r="B1558" s="327" t="s">
        <v>982</v>
      </c>
      <c r="C1558" s="327" t="s">
        <v>992</v>
      </c>
      <c r="D1558" s="327" t="s">
        <v>553</v>
      </c>
      <c r="E1558" s="327" t="s">
        <v>901</v>
      </c>
      <c r="F1558" s="327">
        <v>1</v>
      </c>
      <c r="G1558" s="328">
        <v>10</v>
      </c>
      <c r="H1558" s="328">
        <v>10</v>
      </c>
      <c r="I1558" s="327" t="s">
        <v>783</v>
      </c>
      <c r="J1558" s="327">
        <v>1987</v>
      </c>
      <c r="K1558" s="327" t="s">
        <v>783</v>
      </c>
      <c r="L1558" s="327">
        <v>1997</v>
      </c>
      <c r="M1558" s="368">
        <v>-9999</v>
      </c>
      <c r="N1558" s="327">
        <v>-9999</v>
      </c>
      <c r="O1558" s="70">
        <v>1.4285714285714286</v>
      </c>
      <c r="P1558" s="370">
        <f t="shared" si="177"/>
        <v>144.54028571428572</v>
      </c>
      <c r="Q1558" s="327">
        <v>-9999</v>
      </c>
      <c r="R1558" s="368">
        <f t="shared" si="181"/>
        <v>101.1782</v>
      </c>
      <c r="S1558" s="368"/>
      <c r="T1558" s="287">
        <f>10.08837*O1558</f>
        <v>14.411957142857142</v>
      </c>
      <c r="U1558" s="413">
        <v>-9999</v>
      </c>
      <c r="V1558" s="368">
        <v>10.088369999999999</v>
      </c>
      <c r="W1558" s="287">
        <f t="shared" si="178"/>
        <v>25.615399999999998</v>
      </c>
      <c r="X1558" s="327">
        <v>-9999</v>
      </c>
      <c r="Y1558" s="368">
        <v>17.930779999999999</v>
      </c>
      <c r="Z1558" s="327" t="s">
        <v>1707</v>
      </c>
      <c r="AA1558" s="327">
        <v>1660</v>
      </c>
      <c r="AB1558" s="327">
        <v>-9999</v>
      </c>
      <c r="AC1558" s="327">
        <f t="shared" si="176"/>
        <v>0.6</v>
      </c>
      <c r="AD1558" s="327">
        <v>0.15</v>
      </c>
      <c r="AE1558" s="328" t="s">
        <v>1970</v>
      </c>
      <c r="AF1558" s="327">
        <v>4</v>
      </c>
      <c r="AG1558" s="327" t="s">
        <v>843</v>
      </c>
      <c r="AH1558" s="327" t="s">
        <v>876</v>
      </c>
      <c r="AI1558" s="327" t="s">
        <v>985</v>
      </c>
      <c r="AJ1558" s="327" t="s">
        <v>892</v>
      </c>
      <c r="AK1558" s="327" t="s">
        <v>966</v>
      </c>
      <c r="AL1558" s="327" t="s">
        <v>828</v>
      </c>
      <c r="AM1558" s="327" t="s">
        <v>871</v>
      </c>
      <c r="AN1558" s="327" t="s">
        <v>631</v>
      </c>
      <c r="AO1558" s="327">
        <v>-9999</v>
      </c>
      <c r="AP1558" s="327">
        <v>-9999</v>
      </c>
      <c r="AQ1558" s="327" t="s">
        <v>626</v>
      </c>
      <c r="AR1558" s="363">
        <f>(336*0.35)+AR1557</f>
        <v>669.2</v>
      </c>
      <c r="AS1558" s="327" t="s">
        <v>137</v>
      </c>
      <c r="AT1558" s="327" t="s">
        <v>275</v>
      </c>
      <c r="AU1558" s="363">
        <f>(140*0.45)+AU1557</f>
        <v>175.31360000000001</v>
      </c>
      <c r="AV1558" s="327" t="s">
        <v>312</v>
      </c>
      <c r="AW1558" s="327" t="s">
        <v>275</v>
      </c>
      <c r="AX1558" s="363">
        <f t="shared" si="182"/>
        <v>134.4</v>
      </c>
      <c r="AY1558" s="327">
        <v>-9999</v>
      </c>
      <c r="AZ1558" s="327">
        <v>-9999</v>
      </c>
      <c r="BA1558" s="327">
        <v>-9999</v>
      </c>
      <c r="BB1558" s="327" t="s">
        <v>631</v>
      </c>
      <c r="BC1558" s="327">
        <v>-9999</v>
      </c>
      <c r="BD1558" s="327">
        <v>-9999</v>
      </c>
      <c r="BE1558" s="327">
        <v>-9999</v>
      </c>
      <c r="BF1558" s="327">
        <v>-9999</v>
      </c>
      <c r="BG1558" s="327">
        <v>-9999</v>
      </c>
      <c r="BH1558" s="327">
        <v>-9999</v>
      </c>
      <c r="BI1558" s="327">
        <v>-9999</v>
      </c>
      <c r="BJ1558" s="328">
        <v>34.972799999999999</v>
      </c>
      <c r="BK1558" s="327">
        <v>-9999</v>
      </c>
      <c r="BL1558" s="368">
        <v>9.9652399999999997</v>
      </c>
      <c r="BM1558" s="327">
        <v>-9999</v>
      </c>
      <c r="BN1558" s="327">
        <v>-9999</v>
      </c>
      <c r="BO1558" s="327">
        <v>-9999</v>
      </c>
      <c r="BP1558" s="327">
        <v>-9999</v>
      </c>
      <c r="BQ1558" s="327">
        <v>-9999</v>
      </c>
      <c r="BR1558" s="327">
        <v>-9999</v>
      </c>
      <c r="BS1558" s="474">
        <v>-9999</v>
      </c>
      <c r="BT1558" s="327">
        <v>-9999</v>
      </c>
      <c r="BU1558" s="327">
        <v>-9999</v>
      </c>
      <c r="BV1558" s="327">
        <v>-9999</v>
      </c>
      <c r="BW1558" s="327"/>
      <c r="BX1558" s="327">
        <v>-9999</v>
      </c>
      <c r="BY1558" s="327">
        <v>-9999</v>
      </c>
      <c r="BZ1558" s="327">
        <v>-9999</v>
      </c>
      <c r="CA1558" s="369">
        <v>-9999</v>
      </c>
      <c r="CB1558" s="475"/>
      <c r="CC1558" s="327">
        <v>1</v>
      </c>
      <c r="CD1558" s="328">
        <v>10</v>
      </c>
      <c r="CE1558" s="342">
        <v>14.411957142857142</v>
      </c>
      <c r="CF1558" s="342">
        <v>25.615399999999998</v>
      </c>
      <c r="CG1558" s="359">
        <v>10</v>
      </c>
    </row>
    <row r="1559" spans="1:86" s="301" customFormat="1" ht="12.75" customHeight="1" x14ac:dyDescent="0.2">
      <c r="A1559" s="327" t="s">
        <v>981</v>
      </c>
      <c r="B1559" s="327" t="s">
        <v>982</v>
      </c>
      <c r="C1559" s="327" t="s">
        <v>992</v>
      </c>
      <c r="D1559" s="327" t="s">
        <v>553</v>
      </c>
      <c r="E1559" s="327" t="s">
        <v>901</v>
      </c>
      <c r="F1559" s="327">
        <v>1</v>
      </c>
      <c r="G1559" s="328">
        <v>11</v>
      </c>
      <c r="H1559" s="328">
        <v>11</v>
      </c>
      <c r="I1559" s="327" t="s">
        <v>783</v>
      </c>
      <c r="J1559" s="327">
        <v>1987</v>
      </c>
      <c r="K1559" s="327" t="s">
        <v>783</v>
      </c>
      <c r="L1559" s="327">
        <v>1998</v>
      </c>
      <c r="M1559" s="368">
        <v>-9999</v>
      </c>
      <c r="N1559" s="327">
        <v>-9999</v>
      </c>
      <c r="O1559" s="70">
        <v>1.3888888888888888</v>
      </c>
      <c r="P1559" s="370">
        <f t="shared" si="177"/>
        <v>164.9689027777778</v>
      </c>
      <c r="Q1559" s="327">
        <v>-9999</v>
      </c>
      <c r="R1559" s="368">
        <f t="shared" si="181"/>
        <v>118.77761000000001</v>
      </c>
      <c r="S1559" s="368"/>
      <c r="T1559" s="287">
        <f>10.71429*O1559</f>
        <v>14.880958333333332</v>
      </c>
      <c r="U1559" s="413">
        <v>-9999</v>
      </c>
      <c r="V1559" s="297">
        <v>10.71429</v>
      </c>
      <c r="W1559" s="287">
        <f t="shared" si="178"/>
        <v>24.443624999999997</v>
      </c>
      <c r="X1559" s="327">
        <v>-9999</v>
      </c>
      <c r="Y1559" s="297">
        <v>17.599409999999999</v>
      </c>
      <c r="Z1559" s="327" t="s">
        <v>1707</v>
      </c>
      <c r="AA1559" s="327">
        <v>1660</v>
      </c>
      <c r="AB1559" s="327">
        <v>-9999</v>
      </c>
      <c r="AC1559" s="327">
        <f t="shared" si="176"/>
        <v>0.6</v>
      </c>
      <c r="AD1559" s="327">
        <v>0.15</v>
      </c>
      <c r="AE1559" s="328" t="s">
        <v>1970</v>
      </c>
      <c r="AF1559" s="327">
        <v>4</v>
      </c>
      <c r="AG1559" s="327" t="s">
        <v>843</v>
      </c>
      <c r="AH1559" s="327" t="s">
        <v>876</v>
      </c>
      <c r="AI1559" s="327" t="s">
        <v>985</v>
      </c>
      <c r="AJ1559" s="327" t="s">
        <v>892</v>
      </c>
      <c r="AK1559" s="327" t="s">
        <v>966</v>
      </c>
      <c r="AL1559" s="327" t="s">
        <v>828</v>
      </c>
      <c r="AM1559" s="327" t="s">
        <v>871</v>
      </c>
      <c r="AN1559" s="327" t="s">
        <v>631</v>
      </c>
      <c r="AO1559" s="327">
        <v>-9999</v>
      </c>
      <c r="AP1559" s="327">
        <v>-9999</v>
      </c>
      <c r="AQ1559" s="327" t="s">
        <v>626</v>
      </c>
      <c r="AR1559" s="363">
        <f>(56+(168*0.35))+AR1558</f>
        <v>784</v>
      </c>
      <c r="AS1559" s="327" t="s">
        <v>140</v>
      </c>
      <c r="AT1559" s="327" t="s">
        <v>310</v>
      </c>
      <c r="AU1559" s="363">
        <f>+((560*0.1)*0.436)+AU1558</f>
        <v>199.7296</v>
      </c>
      <c r="AV1559" s="327" t="s">
        <v>313</v>
      </c>
      <c r="AW1559" s="327"/>
      <c r="AX1559" s="363">
        <f>+((560*0.1)*0.83)+AX1558</f>
        <v>180.88</v>
      </c>
      <c r="AY1559" s="327" t="s">
        <v>313</v>
      </c>
      <c r="AZ1559" s="327" t="s">
        <v>275</v>
      </c>
      <c r="BA1559" s="327" t="s">
        <v>979</v>
      </c>
      <c r="BB1559" s="327" t="s">
        <v>631</v>
      </c>
      <c r="BC1559" s="327">
        <v>-9999</v>
      </c>
      <c r="BD1559" s="327">
        <v>-9999</v>
      </c>
      <c r="BE1559" s="327">
        <v>-9999</v>
      </c>
      <c r="BF1559" s="327">
        <v>-9999</v>
      </c>
      <c r="BG1559" s="327">
        <v>-9999</v>
      </c>
      <c r="BH1559" s="327">
        <v>-9999</v>
      </c>
      <c r="BI1559" s="327">
        <v>-9999</v>
      </c>
      <c r="BJ1559" s="328">
        <v>38.246899999999997</v>
      </c>
      <c r="BK1559" s="327">
        <v>-9999</v>
      </c>
      <c r="BL1559" s="368">
        <v>10.96655</v>
      </c>
      <c r="BM1559" s="327">
        <v>-9999</v>
      </c>
      <c r="BN1559" s="327">
        <v>-9999</v>
      </c>
      <c r="BO1559" s="327">
        <v>-9999</v>
      </c>
      <c r="BP1559" s="327">
        <v>-9999</v>
      </c>
      <c r="BQ1559" s="327">
        <v>-9999</v>
      </c>
      <c r="BR1559" s="327">
        <v>-9999</v>
      </c>
      <c r="BS1559" s="474">
        <v>-9999</v>
      </c>
      <c r="BT1559" s="327">
        <v>-9999</v>
      </c>
      <c r="BU1559" s="327">
        <v>-9999</v>
      </c>
      <c r="BV1559" s="327">
        <v>-9999</v>
      </c>
      <c r="BW1559" s="327"/>
      <c r="BX1559" s="327">
        <v>-9999</v>
      </c>
      <c r="BY1559" s="327">
        <v>-9999</v>
      </c>
      <c r="BZ1559" s="327">
        <v>-9999</v>
      </c>
      <c r="CA1559" s="369">
        <v>-9999</v>
      </c>
      <c r="CB1559" s="475"/>
      <c r="CC1559" s="327">
        <v>1</v>
      </c>
      <c r="CD1559" s="328">
        <v>11</v>
      </c>
      <c r="CE1559" s="342">
        <v>14.880958333333332</v>
      </c>
      <c r="CF1559" s="342">
        <v>24.443624999999997</v>
      </c>
      <c r="CG1559" s="359">
        <v>11</v>
      </c>
    </row>
    <row r="1560" spans="1:86" s="301" customFormat="1" ht="12.75" customHeight="1" x14ac:dyDescent="0.2">
      <c r="A1560" s="327" t="s">
        <v>981</v>
      </c>
      <c r="B1560" s="327" t="s">
        <v>982</v>
      </c>
      <c r="C1560" s="327" t="s">
        <v>992</v>
      </c>
      <c r="D1560" s="327" t="s">
        <v>553</v>
      </c>
      <c r="E1560" s="327" t="s">
        <v>901</v>
      </c>
      <c r="F1560" s="327">
        <v>1</v>
      </c>
      <c r="G1560" s="328">
        <v>12</v>
      </c>
      <c r="H1560" s="328">
        <v>12</v>
      </c>
      <c r="I1560" s="327" t="s">
        <v>783</v>
      </c>
      <c r="J1560" s="327">
        <v>1987</v>
      </c>
      <c r="K1560" s="327" t="s">
        <v>783</v>
      </c>
      <c r="L1560" s="327">
        <v>1999</v>
      </c>
      <c r="M1560" s="368">
        <v>-9999</v>
      </c>
      <c r="N1560" s="327">
        <v>-9999</v>
      </c>
      <c r="O1560" s="70">
        <v>1.3513513513513513</v>
      </c>
      <c r="P1560" s="370">
        <f t="shared" si="177"/>
        <v>183.04939189189193</v>
      </c>
      <c r="Q1560" s="327">
        <v>-9999</v>
      </c>
      <c r="R1560" s="368">
        <f t="shared" si="181"/>
        <v>135.45655000000002</v>
      </c>
      <c r="S1560" s="368"/>
      <c r="T1560" s="287">
        <f>11.22975*O1560</f>
        <v>15.175337837837837</v>
      </c>
      <c r="U1560" s="413">
        <v>-9999</v>
      </c>
      <c r="V1560" s="297">
        <v>11.229749999999999</v>
      </c>
      <c r="W1560" s="287">
        <f t="shared" si="178"/>
        <v>22.53910810810811</v>
      </c>
      <c r="X1560" s="327">
        <v>-9999</v>
      </c>
      <c r="Y1560" s="297">
        <v>16.678940000000001</v>
      </c>
      <c r="Z1560" s="327" t="s">
        <v>1707</v>
      </c>
      <c r="AA1560" s="327">
        <v>1660</v>
      </c>
      <c r="AB1560" s="327">
        <v>-9999</v>
      </c>
      <c r="AC1560" s="327">
        <f t="shared" si="176"/>
        <v>0.6</v>
      </c>
      <c r="AD1560" s="327">
        <v>0.15</v>
      </c>
      <c r="AE1560" s="328" t="s">
        <v>1970</v>
      </c>
      <c r="AF1560" s="327">
        <v>4</v>
      </c>
      <c r="AG1560" s="327" t="s">
        <v>843</v>
      </c>
      <c r="AH1560" s="327" t="s">
        <v>876</v>
      </c>
      <c r="AI1560" s="327" t="s">
        <v>985</v>
      </c>
      <c r="AJ1560" s="327" t="s">
        <v>892</v>
      </c>
      <c r="AK1560" s="327" t="s">
        <v>966</v>
      </c>
      <c r="AL1560" s="327" t="s">
        <v>828</v>
      </c>
      <c r="AM1560" s="327" t="s">
        <v>871</v>
      </c>
      <c r="AN1560" s="327" t="s">
        <v>631</v>
      </c>
      <c r="AO1560" s="327">
        <v>-9999</v>
      </c>
      <c r="AP1560" s="327">
        <v>-9999</v>
      </c>
      <c r="AQ1560" s="327" t="s">
        <v>626</v>
      </c>
      <c r="AR1560" s="363">
        <f>(336*0.35)+AR1559</f>
        <v>901.6</v>
      </c>
      <c r="AS1560" s="327" t="s">
        <v>141</v>
      </c>
      <c r="AT1560" s="327" t="s">
        <v>310</v>
      </c>
      <c r="AU1560" s="363">
        <f>0+AU1559</f>
        <v>199.7296</v>
      </c>
      <c r="AV1560" s="327">
        <v>-9999</v>
      </c>
      <c r="AW1560" s="327">
        <v>-9999</v>
      </c>
      <c r="AX1560" s="363">
        <f>0+AX1559</f>
        <v>180.88</v>
      </c>
      <c r="AY1560" s="327">
        <v>-9999</v>
      </c>
      <c r="AZ1560" s="327">
        <v>-9999</v>
      </c>
      <c r="BA1560" s="327">
        <v>-9999</v>
      </c>
      <c r="BB1560" s="327" t="s">
        <v>631</v>
      </c>
      <c r="BC1560" s="327">
        <v>-9999</v>
      </c>
      <c r="BD1560" s="327">
        <v>-9999</v>
      </c>
      <c r="BE1560" s="327">
        <v>-9999</v>
      </c>
      <c r="BF1560" s="327">
        <v>-9999</v>
      </c>
      <c r="BG1560" s="327">
        <v>-9999</v>
      </c>
      <c r="BH1560" s="327">
        <v>-9999</v>
      </c>
      <c r="BI1560" s="327">
        <v>-9999</v>
      </c>
      <c r="BJ1560" s="328">
        <v>41.289099999999998</v>
      </c>
      <c r="BK1560" s="327">
        <v>-9999</v>
      </c>
      <c r="BL1560" s="368">
        <v>11.96752</v>
      </c>
      <c r="BM1560" s="327">
        <v>-9999</v>
      </c>
      <c r="BN1560" s="327">
        <v>-9999</v>
      </c>
      <c r="BO1560" s="327">
        <v>-9999</v>
      </c>
      <c r="BP1560" s="327">
        <v>-9999</v>
      </c>
      <c r="BQ1560" s="327">
        <v>-9999</v>
      </c>
      <c r="BR1560" s="327">
        <v>-9999</v>
      </c>
      <c r="BS1560" s="474">
        <v>-9999</v>
      </c>
      <c r="BT1560" s="327">
        <v>-9999</v>
      </c>
      <c r="BU1560" s="327">
        <v>-9999</v>
      </c>
      <c r="BV1560" s="327">
        <v>-9999</v>
      </c>
      <c r="BW1560" s="327"/>
      <c r="BX1560" s="327">
        <v>-9999</v>
      </c>
      <c r="BY1560" s="327">
        <v>-9999</v>
      </c>
      <c r="BZ1560" s="327">
        <v>-9999</v>
      </c>
      <c r="CA1560" s="369">
        <v>-9999</v>
      </c>
      <c r="CB1560" s="475"/>
      <c r="CC1560" s="327">
        <v>1</v>
      </c>
      <c r="CD1560" s="328">
        <v>12</v>
      </c>
      <c r="CE1560" s="342">
        <v>15.175337837837837</v>
      </c>
      <c r="CF1560" s="342">
        <v>22.53910810810811</v>
      </c>
      <c r="CG1560" s="359">
        <v>12</v>
      </c>
    </row>
    <row r="1561" spans="1:86" s="301" customFormat="1" ht="12.75" customHeight="1" x14ac:dyDescent="0.2">
      <c r="A1561" s="327" t="s">
        <v>981</v>
      </c>
      <c r="B1561" s="327" t="s">
        <v>982</v>
      </c>
      <c r="C1561" s="327" t="s">
        <v>992</v>
      </c>
      <c r="D1561" s="327" t="s">
        <v>553</v>
      </c>
      <c r="E1561" s="327" t="s">
        <v>901</v>
      </c>
      <c r="F1561" s="327">
        <v>1</v>
      </c>
      <c r="G1561" s="328">
        <v>13</v>
      </c>
      <c r="H1561" s="328">
        <v>13</v>
      </c>
      <c r="I1561" s="327" t="s">
        <v>783</v>
      </c>
      <c r="J1561" s="327">
        <v>1987</v>
      </c>
      <c r="K1561" s="327" t="s">
        <v>783</v>
      </c>
      <c r="L1561" s="327">
        <v>2000</v>
      </c>
      <c r="M1561" s="368">
        <v>-9999</v>
      </c>
      <c r="N1561" s="327">
        <v>-9999</v>
      </c>
      <c r="O1561" s="70">
        <v>1.3333333333333333</v>
      </c>
      <c r="P1561" s="370">
        <f t="shared" si="177"/>
        <v>202.3073066666667</v>
      </c>
      <c r="Q1561" s="327">
        <v>-9999</v>
      </c>
      <c r="R1561" s="368">
        <f t="shared" si="181"/>
        <v>151.73048000000003</v>
      </c>
      <c r="S1561" s="368"/>
      <c r="T1561" s="287">
        <f>11.67158*O1561</f>
        <v>15.562106666666667</v>
      </c>
      <c r="U1561" s="413">
        <v>-9999</v>
      </c>
      <c r="V1561" s="297">
        <v>11.671580000000001</v>
      </c>
      <c r="W1561" s="287">
        <f t="shared" si="178"/>
        <v>21.698573333333332</v>
      </c>
      <c r="X1561" s="327">
        <v>-9999</v>
      </c>
      <c r="Y1561" s="297">
        <v>16.27393</v>
      </c>
      <c r="Z1561" s="327" t="s">
        <v>1707</v>
      </c>
      <c r="AA1561" s="327">
        <v>1660</v>
      </c>
      <c r="AB1561" s="327">
        <v>-9999</v>
      </c>
      <c r="AC1561" s="327">
        <f t="shared" si="176"/>
        <v>0.6</v>
      </c>
      <c r="AD1561" s="327">
        <v>0.15</v>
      </c>
      <c r="AE1561" s="328" t="s">
        <v>1970</v>
      </c>
      <c r="AF1561" s="327">
        <v>4</v>
      </c>
      <c r="AG1561" s="327" t="s">
        <v>843</v>
      </c>
      <c r="AH1561" s="327" t="s">
        <v>876</v>
      </c>
      <c r="AI1561" s="327" t="s">
        <v>985</v>
      </c>
      <c r="AJ1561" s="327" t="s">
        <v>892</v>
      </c>
      <c r="AK1561" s="327" t="s">
        <v>966</v>
      </c>
      <c r="AL1561" s="327" t="s">
        <v>828</v>
      </c>
      <c r="AM1561" s="327" t="s">
        <v>871</v>
      </c>
      <c r="AN1561" s="327" t="s">
        <v>631</v>
      </c>
      <c r="AO1561" s="327">
        <v>-9999</v>
      </c>
      <c r="AP1561" s="327">
        <v>-9999</v>
      </c>
      <c r="AQ1561" s="327" t="s">
        <v>626</v>
      </c>
      <c r="AR1561" s="363">
        <f>(336*0.35)+AR1560</f>
        <v>1019.2</v>
      </c>
      <c r="AS1561" s="327" t="s">
        <v>141</v>
      </c>
      <c r="AT1561" s="327" t="s">
        <v>310</v>
      </c>
      <c r="AU1561" s="363">
        <f>0+AU1560</f>
        <v>199.7296</v>
      </c>
      <c r="AV1561" s="327">
        <v>-9999</v>
      </c>
      <c r="AW1561" s="327">
        <v>-9999</v>
      </c>
      <c r="AX1561" s="363">
        <f>0+AX1560</f>
        <v>180.88</v>
      </c>
      <c r="AY1561" s="327">
        <v>-9999</v>
      </c>
      <c r="AZ1561" s="327">
        <v>-9999</v>
      </c>
      <c r="BA1561" s="327">
        <v>-9999</v>
      </c>
      <c r="BB1561" s="327" t="s">
        <v>631</v>
      </c>
      <c r="BC1561" s="327">
        <v>-9999</v>
      </c>
      <c r="BD1561" s="327">
        <v>-9999</v>
      </c>
      <c r="BE1561" s="327">
        <v>-9999</v>
      </c>
      <c r="BF1561" s="327">
        <v>-9999</v>
      </c>
      <c r="BG1561" s="327">
        <v>-9999</v>
      </c>
      <c r="BH1561" s="327">
        <v>-9999</v>
      </c>
      <c r="BI1561" s="327">
        <v>-9999</v>
      </c>
      <c r="BJ1561" s="328">
        <v>42.538800000000002</v>
      </c>
      <c r="BK1561" s="327">
        <v>-9999</v>
      </c>
      <c r="BL1561" s="368">
        <v>12.96869</v>
      </c>
      <c r="BM1561" s="327">
        <v>-9999</v>
      </c>
      <c r="BN1561" s="327">
        <v>-9999</v>
      </c>
      <c r="BO1561" s="327">
        <v>-9999</v>
      </c>
      <c r="BP1561" s="327">
        <v>-9999</v>
      </c>
      <c r="BQ1561" s="327">
        <v>-9999</v>
      </c>
      <c r="BR1561" s="327">
        <v>-9999</v>
      </c>
      <c r="BS1561" s="474">
        <v>-9999</v>
      </c>
      <c r="BT1561" s="327">
        <v>-9999</v>
      </c>
      <c r="BU1561" s="327">
        <v>-9999</v>
      </c>
      <c r="BV1561" s="327">
        <v>-9999</v>
      </c>
      <c r="BW1561" s="327"/>
      <c r="BX1561" s="327">
        <v>-9999</v>
      </c>
      <c r="BY1561" s="327">
        <v>-9999</v>
      </c>
      <c r="BZ1561" s="327">
        <v>-9999</v>
      </c>
      <c r="CA1561" s="369">
        <v>-9999</v>
      </c>
      <c r="CB1561" s="475"/>
      <c r="CC1561" s="327">
        <v>1</v>
      </c>
      <c r="CD1561" s="328">
        <v>13</v>
      </c>
      <c r="CE1561" s="342">
        <v>15.562106666666667</v>
      </c>
      <c r="CF1561" s="342">
        <v>21.698573333333332</v>
      </c>
      <c r="CG1561" s="359">
        <v>13</v>
      </c>
    </row>
    <row r="1562" spans="1:86" s="301" customFormat="1" ht="12.75" customHeight="1" x14ac:dyDescent="0.2">
      <c r="A1562" s="327" t="s">
        <v>981</v>
      </c>
      <c r="B1562" s="327" t="s">
        <v>982</v>
      </c>
      <c r="C1562" s="327" t="s">
        <v>992</v>
      </c>
      <c r="D1562" s="327" t="s">
        <v>553</v>
      </c>
      <c r="E1562" s="327" t="s">
        <v>901</v>
      </c>
      <c r="F1562" s="327">
        <v>1</v>
      </c>
      <c r="G1562" s="328">
        <v>14</v>
      </c>
      <c r="H1562" s="328">
        <v>14</v>
      </c>
      <c r="I1562" s="327" t="s">
        <v>783</v>
      </c>
      <c r="J1562" s="327">
        <v>1987</v>
      </c>
      <c r="K1562" s="327" t="s">
        <v>783</v>
      </c>
      <c r="L1562" s="327">
        <v>2001</v>
      </c>
      <c r="M1562" s="368">
        <v>-9999</v>
      </c>
      <c r="N1562" s="327">
        <v>-9999</v>
      </c>
      <c r="O1562" s="70">
        <v>1.3333333333333333</v>
      </c>
      <c r="P1562" s="370">
        <f t="shared" si="177"/>
        <v>221.84584000000001</v>
      </c>
      <c r="Q1562" s="327">
        <v>-9999</v>
      </c>
      <c r="R1562" s="368">
        <f t="shared" si="181"/>
        <v>166.38438000000002</v>
      </c>
      <c r="S1562" s="368"/>
      <c r="T1562" s="287">
        <f>11.89249*O1562</f>
        <v>15.856653333333334</v>
      </c>
      <c r="U1562" s="413">
        <v>-9999</v>
      </c>
      <c r="V1562" s="297">
        <v>11.89249</v>
      </c>
      <c r="W1562" s="287">
        <f t="shared" si="178"/>
        <v>19.538533333333334</v>
      </c>
      <c r="X1562" s="327">
        <v>-9999</v>
      </c>
      <c r="Y1562" s="297">
        <v>14.6539</v>
      </c>
      <c r="Z1562" s="327" t="s">
        <v>1707</v>
      </c>
      <c r="AA1562" s="327">
        <v>1660</v>
      </c>
      <c r="AB1562" s="327">
        <v>-9999</v>
      </c>
      <c r="AC1562" s="327">
        <f t="shared" si="176"/>
        <v>0.6</v>
      </c>
      <c r="AD1562" s="327">
        <v>0.15</v>
      </c>
      <c r="AE1562" s="328" t="s">
        <v>1970</v>
      </c>
      <c r="AF1562" s="327">
        <v>4</v>
      </c>
      <c r="AG1562" s="327" t="s">
        <v>843</v>
      </c>
      <c r="AH1562" s="327" t="s">
        <v>876</v>
      </c>
      <c r="AI1562" s="327" t="s">
        <v>985</v>
      </c>
      <c r="AJ1562" s="327" t="s">
        <v>892</v>
      </c>
      <c r="AK1562" s="327" t="s">
        <v>966</v>
      </c>
      <c r="AL1562" s="327" t="s">
        <v>828</v>
      </c>
      <c r="AM1562" s="327" t="s">
        <v>871</v>
      </c>
      <c r="AN1562" s="327" t="s">
        <v>631</v>
      </c>
      <c r="AO1562" s="327">
        <v>-9999</v>
      </c>
      <c r="AP1562" s="327">
        <v>-9999</v>
      </c>
      <c r="AQ1562" s="327" t="s">
        <v>626</v>
      </c>
      <c r="AR1562" s="363">
        <f>(336*0.35)+AR1561</f>
        <v>1136.8</v>
      </c>
      <c r="AS1562" s="327" t="s">
        <v>141</v>
      </c>
      <c r="AT1562" s="327" t="s">
        <v>310</v>
      </c>
      <c r="AU1562" s="363">
        <f>0+AU1561</f>
        <v>199.7296</v>
      </c>
      <c r="AV1562" s="327">
        <v>-9999</v>
      </c>
      <c r="AW1562" s="327">
        <v>-9999</v>
      </c>
      <c r="AX1562" s="363">
        <f>0+AX1561</f>
        <v>180.88</v>
      </c>
      <c r="AY1562" s="327">
        <v>-9999</v>
      </c>
      <c r="AZ1562" s="327">
        <v>-9999</v>
      </c>
      <c r="BA1562" s="327">
        <v>-9999</v>
      </c>
      <c r="BB1562" s="327" t="s">
        <v>631</v>
      </c>
      <c r="BC1562" s="327">
        <v>-9999</v>
      </c>
      <c r="BD1562" s="327">
        <v>-9999</v>
      </c>
      <c r="BE1562" s="327">
        <v>-9999</v>
      </c>
      <c r="BF1562" s="327">
        <v>-9999</v>
      </c>
      <c r="BG1562" s="327">
        <v>-9999</v>
      </c>
      <c r="BH1562" s="327">
        <v>-9999</v>
      </c>
      <c r="BI1562" s="327">
        <v>-9999</v>
      </c>
      <c r="BJ1562" s="328">
        <v>42.992800000000003</v>
      </c>
      <c r="BK1562" s="327">
        <v>-9999</v>
      </c>
      <c r="BL1562" s="368">
        <v>13.969519999999999</v>
      </c>
      <c r="BM1562" s="327">
        <v>-9999</v>
      </c>
      <c r="BN1562" s="327">
        <v>-9999</v>
      </c>
      <c r="BO1562" s="327">
        <v>-9999</v>
      </c>
      <c r="BP1562" s="327">
        <v>-9999</v>
      </c>
      <c r="BQ1562" s="327">
        <v>-9999</v>
      </c>
      <c r="BR1562" s="327">
        <v>-9999</v>
      </c>
      <c r="BS1562" s="474">
        <v>-9999</v>
      </c>
      <c r="BT1562" s="327">
        <v>-9999</v>
      </c>
      <c r="BU1562" s="327">
        <v>-9999</v>
      </c>
      <c r="BV1562" s="327">
        <v>-9999</v>
      </c>
      <c r="BW1562" s="327"/>
      <c r="BX1562" s="327">
        <v>-9999</v>
      </c>
      <c r="BY1562" s="327">
        <v>-9999</v>
      </c>
      <c r="BZ1562" s="327">
        <v>-9999</v>
      </c>
      <c r="CA1562" s="369">
        <v>-9999</v>
      </c>
      <c r="CB1562" s="475"/>
      <c r="CC1562" s="327">
        <v>1</v>
      </c>
      <c r="CD1562" s="328">
        <v>14</v>
      </c>
      <c r="CE1562" s="342">
        <v>15.856653333333334</v>
      </c>
      <c r="CF1562" s="342">
        <v>19.538533333333334</v>
      </c>
      <c r="CG1562" s="359">
        <v>14</v>
      </c>
    </row>
    <row r="1563" spans="1:86" s="13" customFormat="1" ht="12.75" customHeight="1" x14ac:dyDescent="0.2">
      <c r="A1563" s="259" t="s">
        <v>981</v>
      </c>
      <c r="B1563" s="259" t="s">
        <v>982</v>
      </c>
      <c r="C1563" s="259" t="s">
        <v>992</v>
      </c>
      <c r="D1563" s="259" t="s">
        <v>553</v>
      </c>
      <c r="E1563" s="259" t="s">
        <v>901</v>
      </c>
      <c r="F1563" s="259">
        <v>1</v>
      </c>
      <c r="G1563" s="260">
        <v>15</v>
      </c>
      <c r="H1563" s="260">
        <v>15</v>
      </c>
      <c r="I1563" s="259" t="s">
        <v>783</v>
      </c>
      <c r="J1563" s="259">
        <v>1987</v>
      </c>
      <c r="K1563" s="259" t="s">
        <v>783</v>
      </c>
      <c r="L1563" s="259">
        <v>2002</v>
      </c>
      <c r="M1563" s="288">
        <v>-9999</v>
      </c>
      <c r="N1563" s="259">
        <v>-9999</v>
      </c>
      <c r="O1563" s="22">
        <v>1.3333333333333333</v>
      </c>
      <c r="P1563" s="590">
        <f t="shared" si="177"/>
        <v>244.91898666666668</v>
      </c>
      <c r="Q1563" s="259">
        <v>-9999</v>
      </c>
      <c r="R1563" s="288">
        <f t="shared" si="181"/>
        <v>183.68924000000001</v>
      </c>
      <c r="S1563" s="288"/>
      <c r="T1563" s="376">
        <f>12.26068*O1563</f>
        <v>16.347573333333333</v>
      </c>
      <c r="U1563" s="630">
        <v>-9999</v>
      </c>
      <c r="V1563" s="288">
        <v>12.260680000000001</v>
      </c>
      <c r="W1563" s="376">
        <f t="shared" si="178"/>
        <v>23.073146666666666</v>
      </c>
      <c r="X1563" s="259">
        <v>-9999</v>
      </c>
      <c r="Y1563" s="288">
        <v>17.304860000000001</v>
      </c>
      <c r="Z1563" s="259" t="s">
        <v>1707</v>
      </c>
      <c r="AA1563" s="260">
        <v>1660</v>
      </c>
      <c r="AB1563" s="590">
        <v>0.77</v>
      </c>
      <c r="AC1563" s="327">
        <f t="shared" si="176"/>
        <v>0.6</v>
      </c>
      <c r="AD1563" s="259">
        <v>0.15</v>
      </c>
      <c r="AE1563" s="260" t="s">
        <v>1970</v>
      </c>
      <c r="AF1563" s="259">
        <v>4</v>
      </c>
      <c r="AG1563" s="259" t="s">
        <v>843</v>
      </c>
      <c r="AH1563" s="259" t="s">
        <v>876</v>
      </c>
      <c r="AI1563" s="259" t="s">
        <v>985</v>
      </c>
      <c r="AJ1563" s="259" t="s">
        <v>892</v>
      </c>
      <c r="AK1563" s="259" t="s">
        <v>966</v>
      </c>
      <c r="AL1563" s="259" t="s">
        <v>828</v>
      </c>
      <c r="AM1563" s="259" t="s">
        <v>871</v>
      </c>
      <c r="AN1563" s="259" t="s">
        <v>631</v>
      </c>
      <c r="AO1563" s="259">
        <v>-9999</v>
      </c>
      <c r="AP1563" s="259">
        <v>-9999</v>
      </c>
      <c r="AQ1563" s="259" t="s">
        <v>626</v>
      </c>
      <c r="AR1563" s="289">
        <f>(336*0.35)+AR1562</f>
        <v>1254.3999999999999</v>
      </c>
      <c r="AS1563" s="259" t="s">
        <v>141</v>
      </c>
      <c r="AT1563" s="259" t="s">
        <v>310</v>
      </c>
      <c r="AU1563" s="289">
        <f>0+AU1562</f>
        <v>199.7296</v>
      </c>
      <c r="AV1563" s="259">
        <v>-9999</v>
      </c>
      <c r="AW1563" s="259">
        <v>-9999</v>
      </c>
      <c r="AX1563" s="289">
        <f>0+AX1562</f>
        <v>180.88</v>
      </c>
      <c r="AY1563" s="259">
        <v>-9999</v>
      </c>
      <c r="AZ1563" s="259">
        <v>-9999</v>
      </c>
      <c r="BA1563" s="259">
        <v>-9999</v>
      </c>
      <c r="BB1563" s="259" t="s">
        <v>631</v>
      </c>
      <c r="BC1563" s="259">
        <v>-9999</v>
      </c>
      <c r="BD1563" s="259">
        <v>-9999</v>
      </c>
      <c r="BE1563" s="259">
        <v>-9999</v>
      </c>
      <c r="BF1563" s="259">
        <v>-9999</v>
      </c>
      <c r="BG1563" s="259">
        <v>-9999</v>
      </c>
      <c r="BH1563" s="259">
        <v>-9999</v>
      </c>
      <c r="BI1563" s="259">
        <v>-9999</v>
      </c>
      <c r="BJ1563" s="260">
        <v>43.546700000000001</v>
      </c>
      <c r="BK1563" s="259">
        <v>-9999</v>
      </c>
      <c r="BL1563" s="288">
        <v>14.970140000000001</v>
      </c>
      <c r="BM1563" s="259">
        <v>-9999</v>
      </c>
      <c r="BN1563" s="259">
        <v>20.2</v>
      </c>
      <c r="BO1563" s="259">
        <v>-9999</v>
      </c>
      <c r="BP1563" s="259">
        <v>-9999</v>
      </c>
      <c r="BQ1563" s="259">
        <v>-9999</v>
      </c>
      <c r="BR1563" s="259">
        <v>-9999</v>
      </c>
      <c r="BS1563" s="634">
        <v>-9999</v>
      </c>
      <c r="BT1563" s="259">
        <v>-9999</v>
      </c>
      <c r="BU1563" s="259">
        <v>-9999</v>
      </c>
      <c r="BV1563" s="259">
        <v>-9999</v>
      </c>
      <c r="BW1563" s="259"/>
      <c r="BX1563" s="259">
        <v>-9999</v>
      </c>
      <c r="BY1563" s="259">
        <v>-9999</v>
      </c>
      <c r="BZ1563" s="259">
        <v>-9999</v>
      </c>
      <c r="CA1563" s="337">
        <v>-9999</v>
      </c>
      <c r="CB1563" s="592"/>
      <c r="CC1563" s="259">
        <v>1</v>
      </c>
      <c r="CD1563" s="260">
        <v>15</v>
      </c>
      <c r="CE1563" s="393">
        <v>16.347573333333333</v>
      </c>
      <c r="CF1563" s="99">
        <v>23.073146666666666</v>
      </c>
      <c r="CG1563" s="212">
        <v>15</v>
      </c>
      <c r="CH1563" s="436" t="s">
        <v>1757</v>
      </c>
    </row>
    <row r="1564" spans="1:86" s="13" customFormat="1" ht="12.75" customHeight="1" x14ac:dyDescent="0.2">
      <c r="A1564" s="259"/>
      <c r="B1564" s="259"/>
      <c r="C1564" s="259"/>
      <c r="D1564" s="327"/>
      <c r="E1564" s="259"/>
      <c r="F1564" s="259"/>
      <c r="G1564" s="260"/>
      <c r="H1564" s="260"/>
      <c r="I1564" s="259"/>
      <c r="J1564" s="259"/>
      <c r="K1564" s="259"/>
      <c r="L1564" s="259"/>
      <c r="M1564" s="288"/>
      <c r="N1564" s="259"/>
      <c r="O1564" s="22"/>
      <c r="P1564" s="590"/>
      <c r="Q1564" s="259"/>
      <c r="R1564" s="288"/>
      <c r="S1564" s="259"/>
      <c r="T1564" s="738"/>
      <c r="U1564" s="297"/>
      <c r="V1564" s="368"/>
      <c r="W1564" s="650"/>
      <c r="X1564" s="297"/>
      <c r="Y1564" s="368"/>
      <c r="Z1564" s="259"/>
      <c r="AA1564" s="260"/>
      <c r="AB1564" s="288"/>
      <c r="AC1564" s="259"/>
      <c r="AD1564" s="259"/>
      <c r="AE1564" s="259"/>
      <c r="AF1564" s="259"/>
      <c r="AG1564" s="259"/>
      <c r="AH1564" s="259"/>
      <c r="AI1564" s="259"/>
      <c r="AJ1564" s="259"/>
      <c r="AK1564" s="327"/>
      <c r="AL1564" s="327"/>
      <c r="AM1564" s="327"/>
      <c r="AN1564" s="259"/>
      <c r="AO1564" s="259"/>
      <c r="AP1564" s="259"/>
      <c r="AQ1564" s="327"/>
      <c r="AR1564" s="327"/>
      <c r="AS1564" s="327"/>
      <c r="AT1564" s="327"/>
      <c r="AU1564" s="327"/>
      <c r="AV1564" s="327"/>
      <c r="AW1564" s="327"/>
      <c r="AX1564" s="327"/>
      <c r="AY1564" s="327"/>
      <c r="AZ1564" s="327"/>
      <c r="BA1564" s="259"/>
      <c r="BB1564" s="259"/>
      <c r="BC1564" s="259"/>
      <c r="BD1564" s="259"/>
      <c r="BE1564" s="259"/>
      <c r="BF1564" s="259"/>
      <c r="BG1564" s="259"/>
      <c r="BH1564" s="259"/>
      <c r="BI1564" s="259"/>
      <c r="BJ1564" s="260"/>
      <c r="BK1564" s="259"/>
      <c r="BL1564" s="288"/>
      <c r="BM1564" s="259"/>
      <c r="BN1564" s="259"/>
      <c r="BO1564" s="259"/>
      <c r="BP1564" s="259"/>
      <c r="BQ1564" s="259"/>
      <c r="BR1564" s="259"/>
      <c r="BS1564" s="474"/>
      <c r="BT1564" s="259"/>
      <c r="BU1564" s="259"/>
      <c r="BV1564" s="259"/>
      <c r="BW1564" s="259"/>
      <c r="BX1564" s="259"/>
      <c r="BY1564" s="259"/>
      <c r="BZ1564" s="259"/>
      <c r="CA1564" s="337"/>
      <c r="CB1564" s="592"/>
      <c r="CC1564" s="259"/>
      <c r="CD1564" s="260"/>
      <c r="CG1564" s="101"/>
    </row>
    <row r="1565" spans="1:86" s="301" customFormat="1" ht="12.75" customHeight="1" x14ac:dyDescent="0.3">
      <c r="A1565" s="327" t="s">
        <v>981</v>
      </c>
      <c r="B1565" s="327" t="s">
        <v>982</v>
      </c>
      <c r="C1565" s="327" t="s">
        <v>994</v>
      </c>
      <c r="D1565" s="327" t="s">
        <v>553</v>
      </c>
      <c r="E1565" s="327" t="s">
        <v>901</v>
      </c>
      <c r="F1565" s="327">
        <v>1</v>
      </c>
      <c r="G1565" s="328">
        <v>1</v>
      </c>
      <c r="H1565" s="328">
        <v>1</v>
      </c>
      <c r="I1565" s="327" t="s">
        <v>783</v>
      </c>
      <c r="J1565" s="327">
        <v>1987</v>
      </c>
      <c r="K1565" s="327" t="s">
        <v>783</v>
      </c>
      <c r="L1565" s="327">
        <v>1988</v>
      </c>
      <c r="M1565" s="368">
        <v>-9999</v>
      </c>
      <c r="N1565" s="327">
        <v>-9999</v>
      </c>
      <c r="O1565" s="323">
        <v>-9999</v>
      </c>
      <c r="P1565" s="368">
        <v>-9999</v>
      </c>
      <c r="Q1565" s="327">
        <v>-9999</v>
      </c>
      <c r="R1565" s="368">
        <v>-9999</v>
      </c>
      <c r="S1565" s="327"/>
      <c r="T1565" s="368">
        <v>-9999</v>
      </c>
      <c r="U1565" s="367">
        <v>-9999</v>
      </c>
      <c r="V1565" s="327">
        <v>-9999</v>
      </c>
      <c r="W1565" s="368">
        <v>-9999</v>
      </c>
      <c r="X1565" s="367">
        <v>-9999</v>
      </c>
      <c r="Y1565" s="327">
        <v>-9999</v>
      </c>
      <c r="Z1565" s="327" t="s">
        <v>1707</v>
      </c>
      <c r="AA1565" s="327">
        <v>1660</v>
      </c>
      <c r="AB1565" s="368">
        <v>1</v>
      </c>
      <c r="AC1565" s="327">
        <f t="shared" ref="AC1565:AC1579" si="183">0.15*4</f>
        <v>0.6</v>
      </c>
      <c r="AD1565" s="327">
        <v>0.15</v>
      </c>
      <c r="AE1565" s="328" t="s">
        <v>1970</v>
      </c>
      <c r="AF1565" s="327">
        <v>4</v>
      </c>
      <c r="AG1565" s="327" t="s">
        <v>843</v>
      </c>
      <c r="AH1565" s="327" t="s">
        <v>876</v>
      </c>
      <c r="AI1565" s="327" t="s">
        <v>985</v>
      </c>
      <c r="AJ1565" s="327" t="s">
        <v>892</v>
      </c>
      <c r="AK1565" s="327" t="s">
        <v>966</v>
      </c>
      <c r="AL1565" s="327" t="s">
        <v>828</v>
      </c>
      <c r="AM1565" s="327" t="s">
        <v>871</v>
      </c>
      <c r="AN1565" s="327" t="s">
        <v>631</v>
      </c>
      <c r="AO1565" s="327">
        <v>-9999</v>
      </c>
      <c r="AP1565" s="327">
        <v>-9999</v>
      </c>
      <c r="AQ1565" s="327" t="s">
        <v>626</v>
      </c>
      <c r="AR1565" s="363">
        <f>50.4+(56*0.35)</f>
        <v>70</v>
      </c>
      <c r="AS1565" s="327" t="s">
        <v>139</v>
      </c>
      <c r="AT1565" s="327" t="s">
        <v>136</v>
      </c>
      <c r="AU1565" s="363">
        <f>+(280*0.46)*0.436</f>
        <v>56.156800000000004</v>
      </c>
      <c r="AV1565" s="327" t="s">
        <v>142</v>
      </c>
      <c r="AW1565" s="327" t="s">
        <v>275</v>
      </c>
      <c r="AX1565" s="363">
        <f>112*0.6</f>
        <v>67.2</v>
      </c>
      <c r="AY1565" s="327" t="s">
        <v>768</v>
      </c>
      <c r="AZ1565" s="327" t="s">
        <v>275</v>
      </c>
      <c r="BA1565" s="327">
        <v>-9999</v>
      </c>
      <c r="BB1565" s="327" t="s">
        <v>626</v>
      </c>
      <c r="BC1565" s="327" t="s">
        <v>987</v>
      </c>
      <c r="BD1565" s="327" t="s">
        <v>988</v>
      </c>
      <c r="BE1565" s="327" t="s">
        <v>989</v>
      </c>
      <c r="BF1565" s="327" t="s">
        <v>881</v>
      </c>
      <c r="BG1565" s="327" t="s">
        <v>990</v>
      </c>
      <c r="BH1565" s="327" t="s">
        <v>991</v>
      </c>
      <c r="BI1565" s="327">
        <v>-9999</v>
      </c>
      <c r="BJ1565" s="327">
        <v>-9999</v>
      </c>
      <c r="BK1565" s="327">
        <v>-9999</v>
      </c>
      <c r="BL1565" s="368">
        <v>0.63436599999999999</v>
      </c>
      <c r="BM1565" s="327">
        <v>-9999</v>
      </c>
      <c r="BN1565" s="327">
        <v>-9999</v>
      </c>
      <c r="BO1565" s="327">
        <v>-9999</v>
      </c>
      <c r="BP1565" s="327">
        <v>-9999</v>
      </c>
      <c r="BQ1565" s="327">
        <v>-9999</v>
      </c>
      <c r="BR1565" s="327">
        <v>-9999</v>
      </c>
      <c r="BS1565" s="474">
        <v>-9999</v>
      </c>
      <c r="BT1565" s="327">
        <v>-9999</v>
      </c>
      <c r="BU1565" s="327">
        <v>-9999</v>
      </c>
      <c r="BV1565" s="327">
        <v>-9999</v>
      </c>
      <c r="BW1565" s="327"/>
      <c r="BX1565" s="327">
        <v>-9999</v>
      </c>
      <c r="BY1565" s="327">
        <v>-9999</v>
      </c>
      <c r="BZ1565" s="327">
        <v>-9999</v>
      </c>
      <c r="CA1565" s="369">
        <v>-9999</v>
      </c>
      <c r="CB1565" s="475"/>
      <c r="CC1565" s="327">
        <v>1</v>
      </c>
      <c r="CD1565" s="328"/>
      <c r="CG1565" s="359">
        <v>1</v>
      </c>
    </row>
    <row r="1566" spans="1:86" s="301" customFormat="1" ht="12.75" customHeight="1" x14ac:dyDescent="0.3">
      <c r="A1566" s="327" t="s">
        <v>981</v>
      </c>
      <c r="B1566" s="327" t="s">
        <v>982</v>
      </c>
      <c r="C1566" s="327" t="s">
        <v>994</v>
      </c>
      <c r="D1566" s="327" t="s">
        <v>553</v>
      </c>
      <c r="E1566" s="327" t="s">
        <v>901</v>
      </c>
      <c r="F1566" s="327">
        <v>1</v>
      </c>
      <c r="G1566" s="328">
        <v>2</v>
      </c>
      <c r="H1566" s="328">
        <v>2</v>
      </c>
      <c r="I1566" s="327" t="s">
        <v>783</v>
      </c>
      <c r="J1566" s="327">
        <v>1987</v>
      </c>
      <c r="K1566" s="327" t="s">
        <v>783</v>
      </c>
      <c r="L1566" s="327">
        <v>1989</v>
      </c>
      <c r="M1566" s="368">
        <v>-9999</v>
      </c>
      <c r="N1566" s="327">
        <v>-9999</v>
      </c>
      <c r="O1566" s="323">
        <v>-9999</v>
      </c>
      <c r="P1566" s="368">
        <v>-9999</v>
      </c>
      <c r="Q1566" s="327">
        <v>-9999</v>
      </c>
      <c r="R1566" s="368">
        <v>-9999</v>
      </c>
      <c r="S1566" s="327"/>
      <c r="T1566" s="368">
        <v>-9999</v>
      </c>
      <c r="U1566" s="327">
        <v>-9999</v>
      </c>
      <c r="V1566" s="327">
        <v>-9999</v>
      </c>
      <c r="W1566" s="368">
        <v>-9999</v>
      </c>
      <c r="X1566" s="327">
        <v>-9999</v>
      </c>
      <c r="Y1566" s="327">
        <v>-9999</v>
      </c>
      <c r="Z1566" s="327" t="s">
        <v>1707</v>
      </c>
      <c r="AA1566" s="327">
        <v>1660</v>
      </c>
      <c r="AB1566" s="327">
        <v>-9999</v>
      </c>
      <c r="AC1566" s="327">
        <f t="shared" si="183"/>
        <v>0.6</v>
      </c>
      <c r="AD1566" s="327">
        <v>0.15</v>
      </c>
      <c r="AE1566" s="328" t="s">
        <v>1970</v>
      </c>
      <c r="AF1566" s="327">
        <v>4</v>
      </c>
      <c r="AG1566" s="327" t="s">
        <v>843</v>
      </c>
      <c r="AH1566" s="327" t="s">
        <v>876</v>
      </c>
      <c r="AI1566" s="327" t="s">
        <v>985</v>
      </c>
      <c r="AJ1566" s="327" t="s">
        <v>892</v>
      </c>
      <c r="AK1566" s="327" t="s">
        <v>966</v>
      </c>
      <c r="AL1566" s="327" t="s">
        <v>828</v>
      </c>
      <c r="AM1566" s="327" t="s">
        <v>871</v>
      </c>
      <c r="AN1566" s="327" t="s">
        <v>631</v>
      </c>
      <c r="AO1566" s="327">
        <v>-9999</v>
      </c>
      <c r="AP1566" s="327">
        <v>-9999</v>
      </c>
      <c r="AQ1566" s="327" t="s">
        <v>626</v>
      </c>
      <c r="AR1566" s="363">
        <f>50.4+(56*0.35)+AR1565</f>
        <v>140</v>
      </c>
      <c r="AS1566" s="327" t="s">
        <v>139</v>
      </c>
      <c r="AT1566" s="327" t="s">
        <v>136</v>
      </c>
      <c r="AU1566" s="363">
        <f>+((280*0.46)*0.436)+AU1565</f>
        <v>112.31360000000001</v>
      </c>
      <c r="AV1566" s="327" t="s">
        <v>142</v>
      </c>
      <c r="AW1566" s="327" t="s">
        <v>275</v>
      </c>
      <c r="AX1566" s="363">
        <f>+(112*0.6)+AX1565</f>
        <v>134.4</v>
      </c>
      <c r="AY1566" s="327" t="s">
        <v>768</v>
      </c>
      <c r="AZ1566" s="327" t="s">
        <v>275</v>
      </c>
      <c r="BA1566" s="327">
        <v>-9999</v>
      </c>
      <c r="BB1566" s="327" t="s">
        <v>626</v>
      </c>
      <c r="BC1566" s="327" t="s">
        <v>987</v>
      </c>
      <c r="BD1566" s="327" t="s">
        <v>988</v>
      </c>
      <c r="BE1566" s="327" t="s">
        <v>989</v>
      </c>
      <c r="BF1566" s="327" t="s">
        <v>881</v>
      </c>
      <c r="BG1566" s="327" t="s">
        <v>990</v>
      </c>
      <c r="BH1566" s="327" t="s">
        <v>991</v>
      </c>
      <c r="BI1566" s="327">
        <v>-9999</v>
      </c>
      <c r="BJ1566" s="327">
        <v>-9999</v>
      </c>
      <c r="BK1566" s="327">
        <v>-9999</v>
      </c>
      <c r="BL1566" s="368">
        <v>1.98254</v>
      </c>
      <c r="BM1566" s="327">
        <v>-9999</v>
      </c>
      <c r="BN1566" s="327">
        <v>-9999</v>
      </c>
      <c r="BO1566" s="327">
        <v>-9999</v>
      </c>
      <c r="BP1566" s="327">
        <v>-9999</v>
      </c>
      <c r="BQ1566" s="327">
        <v>-9999</v>
      </c>
      <c r="BR1566" s="327">
        <v>-9999</v>
      </c>
      <c r="BS1566" s="474">
        <v>-9999</v>
      </c>
      <c r="BT1566" s="327">
        <v>-9999</v>
      </c>
      <c r="BU1566" s="327">
        <v>-9999</v>
      </c>
      <c r="BV1566" s="327">
        <v>-9999</v>
      </c>
      <c r="BW1566" s="327"/>
      <c r="BX1566" s="327">
        <v>-9999</v>
      </c>
      <c r="BY1566" s="327">
        <v>-9999</v>
      </c>
      <c r="BZ1566" s="327">
        <v>-9999</v>
      </c>
      <c r="CA1566" s="369">
        <v>-9999</v>
      </c>
      <c r="CB1566" s="475"/>
      <c r="CC1566" s="327">
        <v>1</v>
      </c>
      <c r="CD1566" s="328"/>
      <c r="CE1566" s="342" t="s">
        <v>1576</v>
      </c>
      <c r="CF1566" s="342" t="s">
        <v>1575</v>
      </c>
      <c r="CG1566" s="359">
        <v>2</v>
      </c>
    </row>
    <row r="1567" spans="1:86" s="301" customFormat="1" ht="12.75" customHeight="1" x14ac:dyDescent="0.3">
      <c r="A1567" s="327" t="s">
        <v>981</v>
      </c>
      <c r="B1567" s="327" t="s">
        <v>982</v>
      </c>
      <c r="C1567" s="327" t="s">
        <v>994</v>
      </c>
      <c r="D1567" s="327" t="s">
        <v>553</v>
      </c>
      <c r="E1567" s="327" t="s">
        <v>901</v>
      </c>
      <c r="F1567" s="327">
        <v>1</v>
      </c>
      <c r="G1567" s="328">
        <v>3</v>
      </c>
      <c r="H1567" s="328">
        <v>3</v>
      </c>
      <c r="I1567" s="327" t="s">
        <v>783</v>
      </c>
      <c r="J1567" s="327">
        <v>1987</v>
      </c>
      <c r="K1567" s="327" t="s">
        <v>783</v>
      </c>
      <c r="L1567" s="327">
        <v>1990</v>
      </c>
      <c r="M1567" s="368">
        <v>-9999</v>
      </c>
      <c r="N1567" s="327">
        <v>-9999</v>
      </c>
      <c r="O1567" s="70">
        <v>2.3809523809523809</v>
      </c>
      <c r="P1567" s="370">
        <f t="shared" ref="P1567:P1579" si="184">+R1567*O1567</f>
        <v>11.922285714285715</v>
      </c>
      <c r="Q1567" s="327">
        <v>-9999</v>
      </c>
      <c r="R1567" s="368">
        <f>+Y1567</f>
        <v>5.0073600000000003</v>
      </c>
      <c r="S1567" s="368"/>
      <c r="T1567" s="287">
        <f t="shared" ref="T1567:T1579" si="185">+V1567*O1567</f>
        <v>4.0325476190476186</v>
      </c>
      <c r="U1567" s="413">
        <v>-9999</v>
      </c>
      <c r="V1567" s="368">
        <v>1.69367</v>
      </c>
      <c r="W1567" s="287">
        <f t="shared" ref="W1567:W1579" si="186">Y1567*O1567</f>
        <v>11.922285714285715</v>
      </c>
      <c r="X1567" s="327">
        <v>-9999</v>
      </c>
      <c r="Y1567" s="368">
        <v>5.0073600000000003</v>
      </c>
      <c r="Z1567" s="327" t="s">
        <v>1707</v>
      </c>
      <c r="AA1567" s="327">
        <v>1660</v>
      </c>
      <c r="AB1567" s="327">
        <v>-9999</v>
      </c>
      <c r="AC1567" s="327">
        <f t="shared" si="183"/>
        <v>0.6</v>
      </c>
      <c r="AD1567" s="327">
        <v>0.15</v>
      </c>
      <c r="AE1567" s="328" t="s">
        <v>1970</v>
      </c>
      <c r="AF1567" s="327">
        <v>4</v>
      </c>
      <c r="AG1567" s="327" t="s">
        <v>843</v>
      </c>
      <c r="AH1567" s="327" t="s">
        <v>876</v>
      </c>
      <c r="AI1567" s="327" t="s">
        <v>985</v>
      </c>
      <c r="AJ1567" s="327" t="s">
        <v>892</v>
      </c>
      <c r="AK1567" s="327" t="s">
        <v>966</v>
      </c>
      <c r="AL1567" s="327" t="s">
        <v>828</v>
      </c>
      <c r="AM1567" s="327" t="s">
        <v>871</v>
      </c>
      <c r="AN1567" s="327" t="s">
        <v>631</v>
      </c>
      <c r="AO1567" s="327">
        <v>-9999</v>
      </c>
      <c r="AP1567" s="327">
        <v>-9999</v>
      </c>
      <c r="AQ1567" s="327" t="s">
        <v>626</v>
      </c>
      <c r="AR1567" s="363">
        <f t="shared" ref="AR1567:AR1573" si="187">+((150*0.35)*1.12)+AR1566</f>
        <v>198.8</v>
      </c>
      <c r="AS1567" s="327" t="s">
        <v>138</v>
      </c>
      <c r="AT1567" s="327" t="s">
        <v>311</v>
      </c>
      <c r="AU1567" s="363">
        <f t="shared" ref="AU1567:AU1573" si="188">0+AU1566</f>
        <v>112.31360000000001</v>
      </c>
      <c r="AV1567" s="327">
        <v>-9999</v>
      </c>
      <c r="AW1567" s="327">
        <v>-9999</v>
      </c>
      <c r="AX1567" s="363">
        <f>0+AX1566</f>
        <v>134.4</v>
      </c>
      <c r="AY1567" s="327">
        <v>-9999</v>
      </c>
      <c r="AZ1567" s="327">
        <v>-9999</v>
      </c>
      <c r="BA1567" s="327">
        <v>-9999</v>
      </c>
      <c r="BB1567" s="327" t="s">
        <v>626</v>
      </c>
      <c r="BC1567" s="327" t="s">
        <v>987</v>
      </c>
      <c r="BD1567" s="327" t="s">
        <v>988</v>
      </c>
      <c r="BE1567" s="327" t="s">
        <v>989</v>
      </c>
      <c r="BF1567" s="327" t="s">
        <v>881</v>
      </c>
      <c r="BG1567" s="327" t="s">
        <v>990</v>
      </c>
      <c r="BH1567" s="327" t="s">
        <v>991</v>
      </c>
      <c r="BI1567" s="327">
        <v>-9999</v>
      </c>
      <c r="BJ1567" s="327">
        <v>-9999</v>
      </c>
      <c r="BK1567" s="327">
        <v>-9999</v>
      </c>
      <c r="BL1567" s="368">
        <v>4.1268900000000004</v>
      </c>
      <c r="BM1567" s="327">
        <v>-9999</v>
      </c>
      <c r="BN1567" s="327">
        <v>-9999</v>
      </c>
      <c r="BO1567" s="327">
        <v>-9999</v>
      </c>
      <c r="BP1567" s="327">
        <v>-9999</v>
      </c>
      <c r="BQ1567" s="327">
        <v>-9999</v>
      </c>
      <c r="BR1567" s="327">
        <v>-9999</v>
      </c>
      <c r="BS1567" s="474">
        <v>-9999</v>
      </c>
      <c r="BT1567" s="327">
        <v>-9999</v>
      </c>
      <c r="BU1567" s="327">
        <v>-9999</v>
      </c>
      <c r="BV1567" s="327">
        <v>-9999</v>
      </c>
      <c r="BW1567" s="327"/>
      <c r="BX1567" s="327">
        <v>-9999</v>
      </c>
      <c r="BY1567" s="327">
        <v>-9999</v>
      </c>
      <c r="BZ1567" s="327">
        <v>-9999</v>
      </c>
      <c r="CA1567" s="369">
        <v>-9999</v>
      </c>
      <c r="CB1567" s="475"/>
      <c r="CC1567" s="327">
        <v>1</v>
      </c>
      <c r="CD1567" s="328">
        <v>3</v>
      </c>
      <c r="CE1567" s="342">
        <v>4.0325476190476186</v>
      </c>
      <c r="CF1567" s="342">
        <v>11.922285714285715</v>
      </c>
      <c r="CG1567" s="359">
        <v>3</v>
      </c>
    </row>
    <row r="1568" spans="1:86" s="301" customFormat="1" ht="12.75" customHeight="1" x14ac:dyDescent="0.3">
      <c r="A1568" s="327" t="s">
        <v>981</v>
      </c>
      <c r="B1568" s="327" t="s">
        <v>982</v>
      </c>
      <c r="C1568" s="327" t="s">
        <v>994</v>
      </c>
      <c r="D1568" s="327" t="s">
        <v>553</v>
      </c>
      <c r="E1568" s="327" t="s">
        <v>901</v>
      </c>
      <c r="F1568" s="327">
        <v>1</v>
      </c>
      <c r="G1568" s="328">
        <v>4</v>
      </c>
      <c r="H1568" s="328">
        <v>4</v>
      </c>
      <c r="I1568" s="327" t="s">
        <v>783</v>
      </c>
      <c r="J1568" s="327">
        <v>1987</v>
      </c>
      <c r="K1568" s="327" t="s">
        <v>783</v>
      </c>
      <c r="L1568" s="327">
        <v>1991</v>
      </c>
      <c r="M1568" s="368">
        <v>-9999</v>
      </c>
      <c r="N1568" s="327">
        <v>-9999</v>
      </c>
      <c r="O1568" s="70">
        <v>1.8518518518518519</v>
      </c>
      <c r="P1568" s="370">
        <f t="shared" si="184"/>
        <v>22.432222222222222</v>
      </c>
      <c r="Q1568" s="327">
        <v>-9999</v>
      </c>
      <c r="R1568" s="368">
        <f t="shared" ref="R1568:R1579" si="189">+R1567+Y1568</f>
        <v>12.1134</v>
      </c>
      <c r="S1568" s="368"/>
      <c r="T1568" s="287">
        <f t="shared" si="185"/>
        <v>5.5910185185185179</v>
      </c>
      <c r="U1568" s="413">
        <v>-9999</v>
      </c>
      <c r="V1568" s="368">
        <v>3.0191499999999998</v>
      </c>
      <c r="W1568" s="287">
        <f t="shared" si="186"/>
        <v>13.159333333333334</v>
      </c>
      <c r="X1568" s="327">
        <v>-9999</v>
      </c>
      <c r="Y1568" s="368">
        <v>7.1060400000000001</v>
      </c>
      <c r="Z1568" s="327" t="s">
        <v>1707</v>
      </c>
      <c r="AA1568" s="327">
        <v>1660</v>
      </c>
      <c r="AB1568" s="327">
        <v>-9999</v>
      </c>
      <c r="AC1568" s="327">
        <f t="shared" si="183"/>
        <v>0.6</v>
      </c>
      <c r="AD1568" s="327">
        <v>0.15</v>
      </c>
      <c r="AE1568" s="328" t="s">
        <v>1970</v>
      </c>
      <c r="AF1568" s="327">
        <v>4</v>
      </c>
      <c r="AG1568" s="327" t="s">
        <v>843</v>
      </c>
      <c r="AH1568" s="327" t="s">
        <v>876</v>
      </c>
      <c r="AI1568" s="327" t="s">
        <v>985</v>
      </c>
      <c r="AJ1568" s="327" t="s">
        <v>892</v>
      </c>
      <c r="AK1568" s="327" t="s">
        <v>966</v>
      </c>
      <c r="AL1568" s="327" t="s">
        <v>828</v>
      </c>
      <c r="AM1568" s="327" t="s">
        <v>871</v>
      </c>
      <c r="AN1568" s="327" t="s">
        <v>631</v>
      </c>
      <c r="AO1568" s="327">
        <v>-9999</v>
      </c>
      <c r="AP1568" s="327">
        <v>-9999</v>
      </c>
      <c r="AQ1568" s="327" t="s">
        <v>626</v>
      </c>
      <c r="AR1568" s="363">
        <f t="shared" si="187"/>
        <v>257.60000000000002</v>
      </c>
      <c r="AS1568" s="327" t="s">
        <v>138</v>
      </c>
      <c r="AT1568" s="327" t="s">
        <v>311</v>
      </c>
      <c r="AU1568" s="363">
        <f t="shared" si="188"/>
        <v>112.31360000000001</v>
      </c>
      <c r="AV1568" s="327">
        <v>-9999</v>
      </c>
      <c r="AW1568" s="327">
        <v>-9999</v>
      </c>
      <c r="AX1568" s="363">
        <f t="shared" ref="AX1568:AX1574" si="190">0+AX1567</f>
        <v>134.4</v>
      </c>
      <c r="AY1568" s="327">
        <v>-9999</v>
      </c>
      <c r="AZ1568" s="327">
        <v>-9999</v>
      </c>
      <c r="BA1568" s="327">
        <v>-9999</v>
      </c>
      <c r="BB1568" s="327" t="s">
        <v>626</v>
      </c>
      <c r="BC1568" s="327" t="s">
        <v>987</v>
      </c>
      <c r="BD1568" s="327" t="s">
        <v>988</v>
      </c>
      <c r="BE1568" s="327" t="s">
        <v>989</v>
      </c>
      <c r="BF1568" s="327" t="s">
        <v>881</v>
      </c>
      <c r="BG1568" s="327" t="s">
        <v>990</v>
      </c>
      <c r="BH1568" s="327" t="s">
        <v>991</v>
      </c>
      <c r="BI1568" s="327">
        <v>-9999</v>
      </c>
      <c r="BJ1568" s="328">
        <v>10.592700000000001</v>
      </c>
      <c r="BK1568" s="327">
        <v>-9999</v>
      </c>
      <c r="BL1568" s="368">
        <v>6.1917900000000001</v>
      </c>
      <c r="BM1568" s="327">
        <v>-9999</v>
      </c>
      <c r="BN1568" s="327">
        <v>-9999</v>
      </c>
      <c r="BO1568" s="327">
        <v>-9999</v>
      </c>
      <c r="BP1568" s="327">
        <v>-9999</v>
      </c>
      <c r="BQ1568" s="327">
        <v>-9999</v>
      </c>
      <c r="BR1568" s="327">
        <v>-9999</v>
      </c>
      <c r="BS1568" s="474">
        <v>-9999</v>
      </c>
      <c r="BT1568" s="327">
        <v>-9999</v>
      </c>
      <c r="BU1568" s="327">
        <v>-9999</v>
      </c>
      <c r="BV1568" s="327">
        <v>-9999</v>
      </c>
      <c r="BW1568" s="327"/>
      <c r="BX1568" s="327">
        <v>-9999</v>
      </c>
      <c r="BY1568" s="327">
        <v>-9999</v>
      </c>
      <c r="BZ1568" s="327">
        <v>-9999</v>
      </c>
      <c r="CA1568" s="369">
        <v>-9999</v>
      </c>
      <c r="CB1568" s="475"/>
      <c r="CC1568" s="327">
        <v>1</v>
      </c>
      <c r="CD1568" s="328">
        <v>4</v>
      </c>
      <c r="CE1568" s="342">
        <v>5.5910185185185179</v>
      </c>
      <c r="CF1568" s="342">
        <v>13.159333333333334</v>
      </c>
      <c r="CG1568" s="359">
        <v>4</v>
      </c>
    </row>
    <row r="1569" spans="1:86" s="301" customFormat="1" ht="12.75" customHeight="1" x14ac:dyDescent="0.3">
      <c r="A1569" s="327" t="s">
        <v>981</v>
      </c>
      <c r="B1569" s="327" t="s">
        <v>982</v>
      </c>
      <c r="C1569" s="327" t="s">
        <v>994</v>
      </c>
      <c r="D1569" s="327" t="s">
        <v>553</v>
      </c>
      <c r="E1569" s="327" t="s">
        <v>901</v>
      </c>
      <c r="F1569" s="327">
        <v>1</v>
      </c>
      <c r="G1569" s="328">
        <v>5</v>
      </c>
      <c r="H1569" s="328">
        <v>5</v>
      </c>
      <c r="I1569" s="327" t="s">
        <v>783</v>
      </c>
      <c r="J1569" s="327">
        <v>1987</v>
      </c>
      <c r="K1569" s="327" t="s">
        <v>783</v>
      </c>
      <c r="L1569" s="327">
        <v>1992</v>
      </c>
      <c r="M1569" s="368">
        <v>-9999</v>
      </c>
      <c r="N1569" s="327">
        <v>-9999</v>
      </c>
      <c r="O1569" s="70">
        <v>1.6666666666666667</v>
      </c>
      <c r="P1569" s="370">
        <f t="shared" si="184"/>
        <v>43.078050000000005</v>
      </c>
      <c r="Q1569" s="327">
        <v>-9999</v>
      </c>
      <c r="R1569" s="368">
        <f t="shared" si="189"/>
        <v>25.846830000000001</v>
      </c>
      <c r="S1569" s="368"/>
      <c r="T1569" s="287">
        <f t="shared" si="185"/>
        <v>8.6524333333333345</v>
      </c>
      <c r="U1569" s="413">
        <v>-9999</v>
      </c>
      <c r="V1569" s="368">
        <v>5.1914600000000002</v>
      </c>
      <c r="W1569" s="287">
        <f t="shared" si="186"/>
        <v>22.889050000000001</v>
      </c>
      <c r="X1569" s="327">
        <v>-9999</v>
      </c>
      <c r="Y1569" s="368">
        <v>13.73343</v>
      </c>
      <c r="Z1569" s="327" t="s">
        <v>1707</v>
      </c>
      <c r="AA1569" s="327">
        <v>1660</v>
      </c>
      <c r="AB1569" s="327">
        <v>-9999</v>
      </c>
      <c r="AC1569" s="327">
        <f t="shared" si="183"/>
        <v>0.6</v>
      </c>
      <c r="AD1569" s="327">
        <v>0.15</v>
      </c>
      <c r="AE1569" s="328" t="s">
        <v>1970</v>
      </c>
      <c r="AF1569" s="327">
        <v>4</v>
      </c>
      <c r="AG1569" s="327" t="s">
        <v>843</v>
      </c>
      <c r="AH1569" s="327" t="s">
        <v>876</v>
      </c>
      <c r="AI1569" s="327" t="s">
        <v>985</v>
      </c>
      <c r="AJ1569" s="327" t="s">
        <v>892</v>
      </c>
      <c r="AK1569" s="327" t="s">
        <v>966</v>
      </c>
      <c r="AL1569" s="327" t="s">
        <v>828</v>
      </c>
      <c r="AM1569" s="327" t="s">
        <v>871</v>
      </c>
      <c r="AN1569" s="327" t="s">
        <v>631</v>
      </c>
      <c r="AO1569" s="327">
        <v>-9999</v>
      </c>
      <c r="AP1569" s="327">
        <v>-9999</v>
      </c>
      <c r="AQ1569" s="327" t="s">
        <v>626</v>
      </c>
      <c r="AR1569" s="363">
        <f t="shared" si="187"/>
        <v>316.40000000000003</v>
      </c>
      <c r="AS1569" s="327" t="s">
        <v>138</v>
      </c>
      <c r="AT1569" s="327" t="s">
        <v>311</v>
      </c>
      <c r="AU1569" s="363">
        <f t="shared" si="188"/>
        <v>112.31360000000001</v>
      </c>
      <c r="AV1569" s="327">
        <v>-9999</v>
      </c>
      <c r="AW1569" s="327">
        <v>-9999</v>
      </c>
      <c r="AX1569" s="363">
        <f t="shared" si="190"/>
        <v>134.4</v>
      </c>
      <c r="AY1569" s="327">
        <v>-9999</v>
      </c>
      <c r="AZ1569" s="327">
        <v>-9999</v>
      </c>
      <c r="BA1569" s="327">
        <v>-9999</v>
      </c>
      <c r="BB1569" s="327" t="s">
        <v>626</v>
      </c>
      <c r="BC1569" s="327" t="s">
        <v>987</v>
      </c>
      <c r="BD1569" s="327" t="s">
        <v>988</v>
      </c>
      <c r="BE1569" s="327" t="s">
        <v>989</v>
      </c>
      <c r="BF1569" s="327" t="s">
        <v>881</v>
      </c>
      <c r="BG1569" s="327" t="s">
        <v>990</v>
      </c>
      <c r="BH1569" s="327" t="s">
        <v>991</v>
      </c>
      <c r="BI1569" s="327">
        <v>-9999</v>
      </c>
      <c r="BJ1569" s="328">
        <v>18.122499999999999</v>
      </c>
      <c r="BK1569" s="327">
        <v>-9999</v>
      </c>
      <c r="BL1569" s="368">
        <v>8.33596</v>
      </c>
      <c r="BM1569" s="327">
        <v>-9999</v>
      </c>
      <c r="BN1569" s="327">
        <v>-9999</v>
      </c>
      <c r="BO1569" s="327">
        <v>-9999</v>
      </c>
      <c r="BP1569" s="327">
        <v>-9999</v>
      </c>
      <c r="BQ1569" s="327">
        <v>-9999</v>
      </c>
      <c r="BR1569" s="327">
        <v>-9999</v>
      </c>
      <c r="BS1569" s="474">
        <v>-9999</v>
      </c>
      <c r="BT1569" s="327">
        <v>-9999</v>
      </c>
      <c r="BU1569" s="327">
        <v>-9999</v>
      </c>
      <c r="BV1569" s="327">
        <v>-9999</v>
      </c>
      <c r="BW1569" s="327"/>
      <c r="BX1569" s="327">
        <v>-9999</v>
      </c>
      <c r="BY1569" s="327">
        <v>-9999</v>
      </c>
      <c r="BZ1569" s="327">
        <v>-9999</v>
      </c>
      <c r="CA1569" s="369">
        <v>-9999</v>
      </c>
      <c r="CB1569" s="475"/>
      <c r="CC1569" s="327">
        <v>1</v>
      </c>
      <c r="CD1569" s="328">
        <v>5</v>
      </c>
      <c r="CE1569" s="342">
        <v>8.6524333333333345</v>
      </c>
      <c r="CF1569" s="342">
        <v>22.889050000000001</v>
      </c>
      <c r="CG1569" s="359">
        <v>5</v>
      </c>
    </row>
    <row r="1570" spans="1:86" s="301" customFormat="1" ht="12.75" customHeight="1" x14ac:dyDescent="0.3">
      <c r="A1570" s="327" t="s">
        <v>981</v>
      </c>
      <c r="B1570" s="327" t="s">
        <v>982</v>
      </c>
      <c r="C1570" s="327" t="s">
        <v>994</v>
      </c>
      <c r="D1570" s="327" t="s">
        <v>553</v>
      </c>
      <c r="E1570" s="327" t="s">
        <v>901</v>
      </c>
      <c r="F1570" s="327">
        <v>1</v>
      </c>
      <c r="G1570" s="328">
        <v>6</v>
      </c>
      <c r="H1570" s="328">
        <v>6</v>
      </c>
      <c r="I1570" s="327" t="s">
        <v>783</v>
      </c>
      <c r="J1570" s="327">
        <v>1987</v>
      </c>
      <c r="K1570" s="327" t="s">
        <v>783</v>
      </c>
      <c r="L1570" s="327">
        <v>1993</v>
      </c>
      <c r="M1570" s="368">
        <v>-9999</v>
      </c>
      <c r="N1570" s="327">
        <v>-9999</v>
      </c>
      <c r="O1570" s="70">
        <v>1.5873015873015872</v>
      </c>
      <c r="P1570" s="370">
        <f t="shared" si="184"/>
        <v>65.747936507936501</v>
      </c>
      <c r="Q1570" s="327">
        <v>-9999</v>
      </c>
      <c r="R1570" s="368">
        <f t="shared" si="189"/>
        <v>41.421199999999999</v>
      </c>
      <c r="S1570" s="368"/>
      <c r="T1570" s="287">
        <f t="shared" si="185"/>
        <v>10.928777777777777</v>
      </c>
      <c r="U1570" s="413">
        <v>-9999</v>
      </c>
      <c r="V1570" s="368">
        <v>6.8851300000000002</v>
      </c>
      <c r="W1570" s="287">
        <f t="shared" si="186"/>
        <v>24.72122222222222</v>
      </c>
      <c r="X1570" s="327">
        <v>-9999</v>
      </c>
      <c r="Y1570" s="368">
        <v>15.57437</v>
      </c>
      <c r="Z1570" s="327" t="s">
        <v>1707</v>
      </c>
      <c r="AA1570" s="327">
        <v>1660</v>
      </c>
      <c r="AB1570" s="327">
        <v>-9999</v>
      </c>
      <c r="AC1570" s="327">
        <f t="shared" si="183"/>
        <v>0.6</v>
      </c>
      <c r="AD1570" s="327">
        <v>0.15</v>
      </c>
      <c r="AE1570" s="328" t="s">
        <v>1970</v>
      </c>
      <c r="AF1570" s="327">
        <v>4</v>
      </c>
      <c r="AG1570" s="327" t="s">
        <v>843</v>
      </c>
      <c r="AH1570" s="327" t="s">
        <v>876</v>
      </c>
      <c r="AI1570" s="327" t="s">
        <v>985</v>
      </c>
      <c r="AJ1570" s="327" t="s">
        <v>892</v>
      </c>
      <c r="AK1570" s="327" t="s">
        <v>966</v>
      </c>
      <c r="AL1570" s="327" t="s">
        <v>828</v>
      </c>
      <c r="AM1570" s="327" t="s">
        <v>871</v>
      </c>
      <c r="AN1570" s="327" t="s">
        <v>631</v>
      </c>
      <c r="AO1570" s="327">
        <v>-9999</v>
      </c>
      <c r="AP1570" s="327">
        <v>-9999</v>
      </c>
      <c r="AQ1570" s="327" t="s">
        <v>626</v>
      </c>
      <c r="AR1570" s="363">
        <f t="shared" si="187"/>
        <v>375.20000000000005</v>
      </c>
      <c r="AS1570" s="327" t="s">
        <v>138</v>
      </c>
      <c r="AT1570" s="327" t="s">
        <v>311</v>
      </c>
      <c r="AU1570" s="363">
        <f t="shared" si="188"/>
        <v>112.31360000000001</v>
      </c>
      <c r="AV1570" s="327">
        <v>-9999</v>
      </c>
      <c r="AW1570" s="327">
        <v>-9999</v>
      </c>
      <c r="AX1570" s="363">
        <f t="shared" si="190"/>
        <v>134.4</v>
      </c>
      <c r="AY1570" s="327">
        <v>-9999</v>
      </c>
      <c r="AZ1570" s="327">
        <v>-9999</v>
      </c>
      <c r="BA1570" s="327">
        <v>-9999</v>
      </c>
      <c r="BB1570" s="327" t="s">
        <v>626</v>
      </c>
      <c r="BC1570" s="327" t="s">
        <v>987</v>
      </c>
      <c r="BD1570" s="327" t="s">
        <v>988</v>
      </c>
      <c r="BE1570" s="327" t="s">
        <v>989</v>
      </c>
      <c r="BF1570" s="327" t="s">
        <v>881</v>
      </c>
      <c r="BG1570" s="327" t="s">
        <v>990</v>
      </c>
      <c r="BH1570" s="327" t="s">
        <v>991</v>
      </c>
      <c r="BI1570" s="327">
        <v>-9999</v>
      </c>
      <c r="BJ1570" s="328">
        <v>23.8871</v>
      </c>
      <c r="BK1570" s="327">
        <v>-9999</v>
      </c>
      <c r="BL1570" s="368">
        <v>10.639699999999999</v>
      </c>
      <c r="BM1570" s="327">
        <v>-9999</v>
      </c>
      <c r="BN1570" s="327">
        <v>-9999</v>
      </c>
      <c r="BO1570" s="327">
        <v>-9999</v>
      </c>
      <c r="BP1570" s="327">
        <v>-9999</v>
      </c>
      <c r="BQ1570" s="327">
        <v>-9999</v>
      </c>
      <c r="BR1570" s="327">
        <v>-9999</v>
      </c>
      <c r="BS1570" s="474">
        <v>-9999</v>
      </c>
      <c r="BT1570" s="327">
        <v>-9999</v>
      </c>
      <c r="BU1570" s="327">
        <v>-9999</v>
      </c>
      <c r="BV1570" s="327">
        <v>-9999</v>
      </c>
      <c r="BW1570" s="327"/>
      <c r="BX1570" s="327">
        <v>-9999</v>
      </c>
      <c r="BY1570" s="327">
        <v>-9999</v>
      </c>
      <c r="BZ1570" s="327">
        <v>-9999</v>
      </c>
      <c r="CA1570" s="369">
        <v>-9999</v>
      </c>
      <c r="CB1570" s="475"/>
      <c r="CC1570" s="327">
        <v>1</v>
      </c>
      <c r="CD1570" s="328">
        <v>6</v>
      </c>
      <c r="CE1570" s="342">
        <v>10.928777777777777</v>
      </c>
      <c r="CF1570" s="342">
        <v>24.72122222222222</v>
      </c>
      <c r="CG1570" s="359">
        <v>6</v>
      </c>
    </row>
    <row r="1571" spans="1:86" s="301" customFormat="1" ht="12.75" customHeight="1" x14ac:dyDescent="0.3">
      <c r="A1571" s="327" t="s">
        <v>981</v>
      </c>
      <c r="B1571" s="327" t="s">
        <v>982</v>
      </c>
      <c r="C1571" s="327" t="s">
        <v>994</v>
      </c>
      <c r="D1571" s="327" t="s">
        <v>553</v>
      </c>
      <c r="E1571" s="327" t="s">
        <v>901</v>
      </c>
      <c r="F1571" s="327">
        <v>1</v>
      </c>
      <c r="G1571" s="328">
        <v>7</v>
      </c>
      <c r="H1571" s="328">
        <v>7</v>
      </c>
      <c r="I1571" s="327" t="s">
        <v>783</v>
      </c>
      <c r="J1571" s="327">
        <v>1987</v>
      </c>
      <c r="K1571" s="327" t="s">
        <v>783</v>
      </c>
      <c r="L1571" s="327">
        <v>1994</v>
      </c>
      <c r="M1571" s="368">
        <v>-9999</v>
      </c>
      <c r="N1571" s="327">
        <v>-9999</v>
      </c>
      <c r="O1571" s="70">
        <v>1.5625</v>
      </c>
      <c r="P1571" s="370">
        <f t="shared" si="184"/>
        <v>88.940531249999992</v>
      </c>
      <c r="Q1571" s="327">
        <v>-9999</v>
      </c>
      <c r="R1571" s="368">
        <f t="shared" si="189"/>
        <v>56.921939999999999</v>
      </c>
      <c r="S1571" s="368"/>
      <c r="T1571" s="287">
        <f t="shared" si="185"/>
        <v>12.656484374999998</v>
      </c>
      <c r="U1571" s="413">
        <v>-9999</v>
      </c>
      <c r="V1571" s="368">
        <v>8.1001499999999993</v>
      </c>
      <c r="W1571" s="287">
        <f t="shared" si="186"/>
        <v>24.219906250000001</v>
      </c>
      <c r="X1571" s="327">
        <v>-9999</v>
      </c>
      <c r="Y1571" s="368">
        <v>15.50074</v>
      </c>
      <c r="Z1571" s="327" t="s">
        <v>1707</v>
      </c>
      <c r="AA1571" s="327">
        <v>1660</v>
      </c>
      <c r="AB1571" s="327">
        <v>-9999</v>
      </c>
      <c r="AC1571" s="327">
        <f t="shared" si="183"/>
        <v>0.6</v>
      </c>
      <c r="AD1571" s="327">
        <v>0.15</v>
      </c>
      <c r="AE1571" s="328" t="s">
        <v>1970</v>
      </c>
      <c r="AF1571" s="327">
        <v>4</v>
      </c>
      <c r="AG1571" s="327" t="s">
        <v>843</v>
      </c>
      <c r="AH1571" s="327" t="s">
        <v>876</v>
      </c>
      <c r="AI1571" s="327" t="s">
        <v>985</v>
      </c>
      <c r="AJ1571" s="327" t="s">
        <v>892</v>
      </c>
      <c r="AK1571" s="327" t="s">
        <v>966</v>
      </c>
      <c r="AL1571" s="327" t="s">
        <v>828</v>
      </c>
      <c r="AM1571" s="327" t="s">
        <v>871</v>
      </c>
      <c r="AN1571" s="327" t="s">
        <v>631</v>
      </c>
      <c r="AO1571" s="327">
        <v>-9999</v>
      </c>
      <c r="AP1571" s="327">
        <v>-9999</v>
      </c>
      <c r="AQ1571" s="327" t="s">
        <v>626</v>
      </c>
      <c r="AR1571" s="363">
        <f t="shared" si="187"/>
        <v>434.00000000000006</v>
      </c>
      <c r="AS1571" s="327" t="s">
        <v>138</v>
      </c>
      <c r="AT1571" s="327" t="s">
        <v>311</v>
      </c>
      <c r="AU1571" s="363">
        <f t="shared" si="188"/>
        <v>112.31360000000001</v>
      </c>
      <c r="AV1571" s="327">
        <v>-9999</v>
      </c>
      <c r="AW1571" s="327">
        <v>-9999</v>
      </c>
      <c r="AX1571" s="363">
        <f t="shared" si="190"/>
        <v>134.4</v>
      </c>
      <c r="AY1571" s="327">
        <v>-9999</v>
      </c>
      <c r="AZ1571" s="327">
        <v>-9999</v>
      </c>
      <c r="BA1571" s="327">
        <v>-9999</v>
      </c>
      <c r="BB1571" s="327" t="s">
        <v>626</v>
      </c>
      <c r="BC1571" s="327" t="s">
        <v>987</v>
      </c>
      <c r="BD1571" s="327" t="s">
        <v>988</v>
      </c>
      <c r="BE1571" s="327" t="s">
        <v>989</v>
      </c>
      <c r="BF1571" s="327" t="s">
        <v>881</v>
      </c>
      <c r="BG1571" s="327" t="s">
        <v>990</v>
      </c>
      <c r="BH1571" s="327" t="s">
        <v>991</v>
      </c>
      <c r="BI1571" s="327">
        <v>-9999</v>
      </c>
      <c r="BJ1571" s="328">
        <v>28.7072</v>
      </c>
      <c r="BK1571" s="327">
        <v>-9999</v>
      </c>
      <c r="BL1571" s="368">
        <v>12.067500000000001</v>
      </c>
      <c r="BM1571" s="327">
        <v>-9999</v>
      </c>
      <c r="BN1571" s="327">
        <v>-9999</v>
      </c>
      <c r="BO1571" s="327">
        <v>-9999</v>
      </c>
      <c r="BP1571" s="327">
        <v>-9999</v>
      </c>
      <c r="BQ1571" s="327">
        <v>-9999</v>
      </c>
      <c r="BR1571" s="327">
        <v>-9999</v>
      </c>
      <c r="BS1571" s="474">
        <v>-9999</v>
      </c>
      <c r="BT1571" s="327">
        <v>-9999</v>
      </c>
      <c r="BU1571" s="327">
        <v>-9999</v>
      </c>
      <c r="BV1571" s="327">
        <v>-9999</v>
      </c>
      <c r="BW1571" s="327"/>
      <c r="BX1571" s="327">
        <v>-9999</v>
      </c>
      <c r="BY1571" s="327">
        <v>-9999</v>
      </c>
      <c r="BZ1571" s="327">
        <v>-9999</v>
      </c>
      <c r="CA1571" s="369">
        <v>-9999</v>
      </c>
      <c r="CB1571" s="475"/>
      <c r="CC1571" s="327">
        <v>1</v>
      </c>
      <c r="CD1571" s="328">
        <v>7</v>
      </c>
      <c r="CE1571" s="342">
        <v>12.656484374999998</v>
      </c>
      <c r="CF1571" s="342">
        <v>24.219906250000001</v>
      </c>
      <c r="CG1571" s="359">
        <v>7</v>
      </c>
    </row>
    <row r="1572" spans="1:86" s="301" customFormat="1" ht="12.75" customHeight="1" x14ac:dyDescent="0.3">
      <c r="A1572" s="327" t="s">
        <v>981</v>
      </c>
      <c r="B1572" s="327" t="s">
        <v>982</v>
      </c>
      <c r="C1572" s="327" t="s">
        <v>994</v>
      </c>
      <c r="D1572" s="327" t="s">
        <v>553</v>
      </c>
      <c r="E1572" s="327" t="s">
        <v>901</v>
      </c>
      <c r="F1572" s="327">
        <v>1</v>
      </c>
      <c r="G1572" s="328">
        <v>8</v>
      </c>
      <c r="H1572" s="328">
        <v>8</v>
      </c>
      <c r="I1572" s="327" t="s">
        <v>783</v>
      </c>
      <c r="J1572" s="327">
        <v>1987</v>
      </c>
      <c r="K1572" s="327" t="s">
        <v>783</v>
      </c>
      <c r="L1572" s="327">
        <v>1995</v>
      </c>
      <c r="M1572" s="368">
        <v>-9999</v>
      </c>
      <c r="N1572" s="327">
        <v>-9999</v>
      </c>
      <c r="O1572" s="70">
        <v>1.5151515151515151</v>
      </c>
      <c r="P1572" s="370">
        <f t="shared" si="184"/>
        <v>110.9586212121212</v>
      </c>
      <c r="Q1572" s="327">
        <v>-9999</v>
      </c>
      <c r="R1572" s="368">
        <f t="shared" si="189"/>
        <v>73.232689999999991</v>
      </c>
      <c r="S1572" s="368"/>
      <c r="T1572" s="287">
        <f t="shared" si="185"/>
        <v>13.834954545454544</v>
      </c>
      <c r="U1572" s="413">
        <v>-9999</v>
      </c>
      <c r="V1572" s="368">
        <v>9.1310699999999994</v>
      </c>
      <c r="W1572" s="287">
        <f t="shared" si="186"/>
        <v>24.713257575757574</v>
      </c>
      <c r="X1572" s="327">
        <v>-9999</v>
      </c>
      <c r="Y1572" s="368">
        <v>16.310749999999999</v>
      </c>
      <c r="Z1572" s="327" t="s">
        <v>1707</v>
      </c>
      <c r="AA1572" s="327">
        <v>1660</v>
      </c>
      <c r="AB1572" s="327">
        <v>-9999</v>
      </c>
      <c r="AC1572" s="327">
        <f t="shared" si="183"/>
        <v>0.6</v>
      </c>
      <c r="AD1572" s="327">
        <v>0.15</v>
      </c>
      <c r="AE1572" s="328" t="s">
        <v>1970</v>
      </c>
      <c r="AF1572" s="327">
        <v>4</v>
      </c>
      <c r="AG1572" s="327" t="s">
        <v>843</v>
      </c>
      <c r="AH1572" s="327" t="s">
        <v>876</v>
      </c>
      <c r="AI1572" s="327" t="s">
        <v>985</v>
      </c>
      <c r="AJ1572" s="327" t="s">
        <v>892</v>
      </c>
      <c r="AK1572" s="327" t="s">
        <v>966</v>
      </c>
      <c r="AL1572" s="327" t="s">
        <v>828</v>
      </c>
      <c r="AM1572" s="327" t="s">
        <v>871</v>
      </c>
      <c r="AN1572" s="327" t="s">
        <v>631</v>
      </c>
      <c r="AO1572" s="327">
        <v>-9999</v>
      </c>
      <c r="AP1572" s="327">
        <v>-9999</v>
      </c>
      <c r="AQ1572" s="327" t="s">
        <v>626</v>
      </c>
      <c r="AR1572" s="363">
        <f t="shared" si="187"/>
        <v>492.80000000000007</v>
      </c>
      <c r="AS1572" s="327" t="s">
        <v>138</v>
      </c>
      <c r="AT1572" s="327" t="s">
        <v>311</v>
      </c>
      <c r="AU1572" s="363">
        <f t="shared" si="188"/>
        <v>112.31360000000001</v>
      </c>
      <c r="AV1572" s="327">
        <v>-9999</v>
      </c>
      <c r="AW1572" s="327">
        <v>-9999</v>
      </c>
      <c r="AX1572" s="363">
        <f t="shared" si="190"/>
        <v>134.4</v>
      </c>
      <c r="AY1572" s="327">
        <v>-9999</v>
      </c>
      <c r="AZ1572" s="327">
        <v>-9999</v>
      </c>
      <c r="BA1572" s="327">
        <v>-9999</v>
      </c>
      <c r="BB1572" s="327" t="s">
        <v>626</v>
      </c>
      <c r="BC1572" s="327" t="s">
        <v>987</v>
      </c>
      <c r="BD1572" s="327" t="s">
        <v>988</v>
      </c>
      <c r="BE1572" s="327" t="s">
        <v>989</v>
      </c>
      <c r="BF1572" s="327" t="s">
        <v>881</v>
      </c>
      <c r="BG1572" s="327" t="s">
        <v>990</v>
      </c>
      <c r="BH1572" s="327" t="s">
        <v>991</v>
      </c>
      <c r="BI1572" s="327">
        <v>-9999</v>
      </c>
      <c r="BJ1572" s="328">
        <v>32.236499999999999</v>
      </c>
      <c r="BK1572" s="327">
        <v>-9999</v>
      </c>
      <c r="BL1572" s="368">
        <v>13.973000000000001</v>
      </c>
      <c r="BM1572" s="327">
        <v>-9999</v>
      </c>
      <c r="BN1572" s="327">
        <v>-9999</v>
      </c>
      <c r="BO1572" s="327">
        <v>-9999</v>
      </c>
      <c r="BP1572" s="327">
        <v>-9999</v>
      </c>
      <c r="BQ1572" s="327">
        <v>-9999</v>
      </c>
      <c r="BR1572" s="327">
        <v>-9999</v>
      </c>
      <c r="BS1572" s="474">
        <v>-9999</v>
      </c>
      <c r="BT1572" s="327">
        <v>-9999</v>
      </c>
      <c r="BU1572" s="327">
        <v>-9999</v>
      </c>
      <c r="BV1572" s="327">
        <v>-9999</v>
      </c>
      <c r="BW1572" s="327"/>
      <c r="BX1572" s="327">
        <v>-9999</v>
      </c>
      <c r="BY1572" s="327">
        <v>-9999</v>
      </c>
      <c r="BZ1572" s="327">
        <v>-9999</v>
      </c>
      <c r="CA1572" s="369">
        <v>-9999</v>
      </c>
      <c r="CB1572" s="475"/>
      <c r="CC1572" s="327">
        <v>1</v>
      </c>
      <c r="CD1572" s="328">
        <v>8</v>
      </c>
      <c r="CE1572" s="342">
        <v>13.834954545454544</v>
      </c>
      <c r="CF1572" s="342">
        <v>24.713257575757574</v>
      </c>
      <c r="CG1572" s="359">
        <v>8</v>
      </c>
    </row>
    <row r="1573" spans="1:86" s="301" customFormat="1" ht="12.75" customHeight="1" x14ac:dyDescent="0.3">
      <c r="A1573" s="327" t="s">
        <v>981</v>
      </c>
      <c r="B1573" s="327" t="s">
        <v>982</v>
      </c>
      <c r="C1573" s="327" t="s">
        <v>994</v>
      </c>
      <c r="D1573" s="327" t="s">
        <v>553</v>
      </c>
      <c r="E1573" s="327" t="s">
        <v>901</v>
      </c>
      <c r="F1573" s="327">
        <v>1</v>
      </c>
      <c r="G1573" s="328">
        <v>9</v>
      </c>
      <c r="H1573" s="328">
        <v>9</v>
      </c>
      <c r="I1573" s="327" t="s">
        <v>783</v>
      </c>
      <c r="J1573" s="327">
        <v>1987</v>
      </c>
      <c r="K1573" s="327" t="s">
        <v>783</v>
      </c>
      <c r="L1573" s="327">
        <v>1996</v>
      </c>
      <c r="M1573" s="368">
        <v>-9999</v>
      </c>
      <c r="N1573" s="327">
        <v>-9999</v>
      </c>
      <c r="O1573" s="70">
        <v>1.4705882352941178</v>
      </c>
      <c r="P1573" s="370">
        <f t="shared" si="184"/>
        <v>134.49708823529411</v>
      </c>
      <c r="Q1573" s="327">
        <v>-9999</v>
      </c>
      <c r="R1573" s="368">
        <f t="shared" si="189"/>
        <v>91.458019999999991</v>
      </c>
      <c r="S1573" s="368"/>
      <c r="T1573" s="287">
        <f t="shared" si="185"/>
        <v>14.889970588235295</v>
      </c>
      <c r="U1573" s="413">
        <v>-9999</v>
      </c>
      <c r="V1573" s="368">
        <v>10.12518</v>
      </c>
      <c r="W1573" s="287">
        <f t="shared" si="186"/>
        <v>26.801955882352942</v>
      </c>
      <c r="X1573" s="327">
        <v>-9999</v>
      </c>
      <c r="Y1573" s="368">
        <v>18.22533</v>
      </c>
      <c r="Z1573" s="327" t="s">
        <v>1707</v>
      </c>
      <c r="AA1573" s="327">
        <v>1660</v>
      </c>
      <c r="AB1573" s="327">
        <v>-9999</v>
      </c>
      <c r="AC1573" s="327">
        <f t="shared" si="183"/>
        <v>0.6</v>
      </c>
      <c r="AD1573" s="327">
        <v>0.15</v>
      </c>
      <c r="AE1573" s="328" t="s">
        <v>1970</v>
      </c>
      <c r="AF1573" s="327">
        <v>4</v>
      </c>
      <c r="AG1573" s="327" t="s">
        <v>843</v>
      </c>
      <c r="AH1573" s="327" t="s">
        <v>876</v>
      </c>
      <c r="AI1573" s="327" t="s">
        <v>985</v>
      </c>
      <c r="AJ1573" s="327" t="s">
        <v>892</v>
      </c>
      <c r="AK1573" s="327" t="s">
        <v>966</v>
      </c>
      <c r="AL1573" s="327" t="s">
        <v>828</v>
      </c>
      <c r="AM1573" s="327" t="s">
        <v>871</v>
      </c>
      <c r="AN1573" s="327" t="s">
        <v>631</v>
      </c>
      <c r="AO1573" s="327">
        <v>-9999</v>
      </c>
      <c r="AP1573" s="327">
        <v>-9999</v>
      </c>
      <c r="AQ1573" s="327" t="s">
        <v>626</v>
      </c>
      <c r="AR1573" s="363">
        <f t="shared" si="187"/>
        <v>551.6</v>
      </c>
      <c r="AS1573" s="327" t="s">
        <v>138</v>
      </c>
      <c r="AT1573" s="327" t="s">
        <v>311</v>
      </c>
      <c r="AU1573" s="363">
        <f t="shared" si="188"/>
        <v>112.31360000000001</v>
      </c>
      <c r="AV1573" s="327">
        <v>-9999</v>
      </c>
      <c r="AW1573" s="327">
        <v>-9999</v>
      </c>
      <c r="AX1573" s="363">
        <f t="shared" si="190"/>
        <v>134.4</v>
      </c>
      <c r="AY1573" s="327">
        <v>-9999</v>
      </c>
      <c r="AZ1573" s="327">
        <v>-9999</v>
      </c>
      <c r="BA1573" s="327">
        <v>-9999</v>
      </c>
      <c r="BB1573" s="327" t="s">
        <v>626</v>
      </c>
      <c r="BC1573" s="327" t="s">
        <v>987</v>
      </c>
      <c r="BD1573" s="327" t="s">
        <v>988</v>
      </c>
      <c r="BE1573" s="327" t="s">
        <v>989</v>
      </c>
      <c r="BF1573" s="327" t="s">
        <v>881</v>
      </c>
      <c r="BG1573" s="327" t="s">
        <v>990</v>
      </c>
      <c r="BH1573" s="327" t="s">
        <v>991</v>
      </c>
      <c r="BI1573" s="327">
        <v>-9999</v>
      </c>
      <c r="BJ1573" s="328">
        <v>36.354599999999998</v>
      </c>
      <c r="BK1573" s="327">
        <v>-9999</v>
      </c>
      <c r="BL1573" s="368">
        <v>15.4008</v>
      </c>
      <c r="BM1573" s="327">
        <v>-9999</v>
      </c>
      <c r="BN1573" s="327">
        <v>-9999</v>
      </c>
      <c r="BO1573" s="327">
        <v>-9999</v>
      </c>
      <c r="BP1573" s="327">
        <v>-9999</v>
      </c>
      <c r="BQ1573" s="327">
        <v>-9999</v>
      </c>
      <c r="BR1573" s="327">
        <v>-9999</v>
      </c>
      <c r="BS1573" s="474">
        <v>-9999</v>
      </c>
      <c r="BT1573" s="327">
        <v>-9999</v>
      </c>
      <c r="BU1573" s="327">
        <v>-9999</v>
      </c>
      <c r="BV1573" s="327">
        <v>-9999</v>
      </c>
      <c r="BW1573" s="327"/>
      <c r="BX1573" s="327">
        <v>-9999</v>
      </c>
      <c r="BY1573" s="327">
        <v>-9999</v>
      </c>
      <c r="BZ1573" s="327">
        <v>-9999</v>
      </c>
      <c r="CA1573" s="369">
        <v>-9999</v>
      </c>
      <c r="CB1573" s="475"/>
      <c r="CC1573" s="327">
        <v>1</v>
      </c>
      <c r="CD1573" s="328">
        <v>9</v>
      </c>
      <c r="CE1573" s="342">
        <v>14.889970588235295</v>
      </c>
      <c r="CF1573" s="342">
        <v>26.801955882352942</v>
      </c>
      <c r="CG1573" s="359">
        <v>9</v>
      </c>
    </row>
    <row r="1574" spans="1:86" s="301" customFormat="1" ht="12.75" customHeight="1" x14ac:dyDescent="0.3">
      <c r="A1574" s="327" t="s">
        <v>981</v>
      </c>
      <c r="B1574" s="327" t="s">
        <v>982</v>
      </c>
      <c r="C1574" s="327" t="s">
        <v>994</v>
      </c>
      <c r="D1574" s="327" t="s">
        <v>553</v>
      </c>
      <c r="E1574" s="327" t="s">
        <v>901</v>
      </c>
      <c r="F1574" s="327">
        <v>1</v>
      </c>
      <c r="G1574" s="328">
        <v>10</v>
      </c>
      <c r="H1574" s="328">
        <v>10</v>
      </c>
      <c r="I1574" s="327" t="s">
        <v>783</v>
      </c>
      <c r="J1574" s="327">
        <v>1987</v>
      </c>
      <c r="K1574" s="327" t="s">
        <v>783</v>
      </c>
      <c r="L1574" s="327">
        <v>1997</v>
      </c>
      <c r="M1574" s="368">
        <v>-9999</v>
      </c>
      <c r="N1574" s="327">
        <v>-9999</v>
      </c>
      <c r="O1574" s="70">
        <v>1.408450704225352</v>
      </c>
      <c r="P1574" s="370">
        <f t="shared" si="184"/>
        <v>150.69799999999998</v>
      </c>
      <c r="Q1574" s="327">
        <v>-9999</v>
      </c>
      <c r="R1574" s="368">
        <f t="shared" si="189"/>
        <v>106.99557999999999</v>
      </c>
      <c r="S1574" s="368"/>
      <c r="T1574" s="287">
        <f t="shared" si="185"/>
        <v>15.090549295774647</v>
      </c>
      <c r="U1574" s="413">
        <v>-9999</v>
      </c>
      <c r="V1574" s="368">
        <f>10.71429</f>
        <v>10.71429</v>
      </c>
      <c r="W1574" s="287">
        <f t="shared" si="186"/>
        <v>21.883887323943661</v>
      </c>
      <c r="X1574" s="327">
        <v>-9999</v>
      </c>
      <c r="Y1574" s="368">
        <f>15.53756</f>
        <v>15.537559999999999</v>
      </c>
      <c r="Z1574" s="327" t="s">
        <v>1707</v>
      </c>
      <c r="AA1574" s="327">
        <v>1660</v>
      </c>
      <c r="AB1574" s="327">
        <v>-9999</v>
      </c>
      <c r="AC1574" s="327">
        <f t="shared" si="183"/>
        <v>0.6</v>
      </c>
      <c r="AD1574" s="327">
        <v>0.15</v>
      </c>
      <c r="AE1574" s="328" t="s">
        <v>1970</v>
      </c>
      <c r="AF1574" s="327">
        <v>4</v>
      </c>
      <c r="AG1574" s="327" t="s">
        <v>843</v>
      </c>
      <c r="AH1574" s="327" t="s">
        <v>876</v>
      </c>
      <c r="AI1574" s="327" t="s">
        <v>985</v>
      </c>
      <c r="AJ1574" s="327" t="s">
        <v>892</v>
      </c>
      <c r="AK1574" s="327" t="s">
        <v>966</v>
      </c>
      <c r="AL1574" s="327" t="s">
        <v>828</v>
      </c>
      <c r="AM1574" s="327" t="s">
        <v>871</v>
      </c>
      <c r="AN1574" s="327" t="s">
        <v>631</v>
      </c>
      <c r="AO1574" s="327">
        <v>-9999</v>
      </c>
      <c r="AP1574" s="327">
        <v>-9999</v>
      </c>
      <c r="AQ1574" s="327" t="s">
        <v>626</v>
      </c>
      <c r="AR1574" s="363">
        <f>(336*0.35)+AR1573</f>
        <v>669.2</v>
      </c>
      <c r="AS1574" s="327" t="s">
        <v>137</v>
      </c>
      <c r="AT1574" s="327" t="s">
        <v>275</v>
      </c>
      <c r="AU1574" s="363">
        <f>(140*0.45)+AU1573</f>
        <v>175.31360000000001</v>
      </c>
      <c r="AV1574" s="327" t="s">
        <v>312</v>
      </c>
      <c r="AW1574" s="327" t="s">
        <v>275</v>
      </c>
      <c r="AX1574" s="363">
        <f t="shared" si="190"/>
        <v>134.4</v>
      </c>
      <c r="AY1574" s="327">
        <v>-9999</v>
      </c>
      <c r="AZ1574" s="327">
        <v>-9999</v>
      </c>
      <c r="BA1574" s="327">
        <v>-9999</v>
      </c>
      <c r="BB1574" s="327" t="s">
        <v>626</v>
      </c>
      <c r="BC1574" s="327" t="s">
        <v>987</v>
      </c>
      <c r="BD1574" s="327" t="s">
        <v>988</v>
      </c>
      <c r="BE1574" s="327" t="s">
        <v>989</v>
      </c>
      <c r="BF1574" s="327" t="s">
        <v>881</v>
      </c>
      <c r="BG1574" s="327" t="s">
        <v>990</v>
      </c>
      <c r="BH1574" s="327" t="s">
        <v>991</v>
      </c>
      <c r="BI1574" s="327">
        <v>-9999</v>
      </c>
      <c r="BJ1574" s="328">
        <v>38.814599999999999</v>
      </c>
      <c r="BK1574" s="327">
        <v>-9999</v>
      </c>
      <c r="BL1574" s="368">
        <v>16.589600000000001</v>
      </c>
      <c r="BM1574" s="327">
        <v>-9999</v>
      </c>
      <c r="BN1574" s="327">
        <v>-9999</v>
      </c>
      <c r="BO1574" s="327">
        <v>-9999</v>
      </c>
      <c r="BP1574" s="327">
        <v>-9999</v>
      </c>
      <c r="BQ1574" s="327">
        <v>-9999</v>
      </c>
      <c r="BR1574" s="327">
        <v>-9999</v>
      </c>
      <c r="BS1574" s="474">
        <v>-9999</v>
      </c>
      <c r="BT1574" s="327">
        <v>-9999</v>
      </c>
      <c r="BU1574" s="327">
        <v>-9999</v>
      </c>
      <c r="BV1574" s="327">
        <v>-9999</v>
      </c>
      <c r="BW1574" s="327"/>
      <c r="BX1574" s="327">
        <v>-9999</v>
      </c>
      <c r="BY1574" s="327">
        <v>-9999</v>
      </c>
      <c r="BZ1574" s="327">
        <v>-9999</v>
      </c>
      <c r="CA1574" s="369">
        <v>-9999</v>
      </c>
      <c r="CB1574" s="475"/>
      <c r="CC1574" s="327">
        <v>1</v>
      </c>
      <c r="CD1574" s="328">
        <v>10</v>
      </c>
      <c r="CE1574" s="342">
        <v>15.090549295774647</v>
      </c>
      <c r="CF1574" s="342">
        <v>21.883887323943661</v>
      </c>
      <c r="CG1574" s="359">
        <v>10</v>
      </c>
    </row>
    <row r="1575" spans="1:86" s="301" customFormat="1" ht="12.75" customHeight="1" x14ac:dyDescent="0.2">
      <c r="A1575" s="327" t="s">
        <v>981</v>
      </c>
      <c r="B1575" s="327" t="s">
        <v>982</v>
      </c>
      <c r="C1575" s="327" t="s">
        <v>994</v>
      </c>
      <c r="D1575" s="327" t="s">
        <v>553</v>
      </c>
      <c r="E1575" s="327" t="s">
        <v>901</v>
      </c>
      <c r="F1575" s="327">
        <v>1</v>
      </c>
      <c r="G1575" s="328">
        <v>11</v>
      </c>
      <c r="H1575" s="328">
        <v>11</v>
      </c>
      <c r="I1575" s="327" t="s">
        <v>783</v>
      </c>
      <c r="J1575" s="327">
        <v>1987</v>
      </c>
      <c r="K1575" s="327" t="s">
        <v>783</v>
      </c>
      <c r="L1575" s="327">
        <v>1998</v>
      </c>
      <c r="M1575" s="368">
        <v>-9999</v>
      </c>
      <c r="N1575" s="327">
        <v>-9999</v>
      </c>
      <c r="O1575" s="70">
        <v>1.3698630136986301</v>
      </c>
      <c r="P1575" s="370">
        <f t="shared" si="184"/>
        <v>171.68680821917806</v>
      </c>
      <c r="Q1575" s="327">
        <v>-9999</v>
      </c>
      <c r="R1575" s="368">
        <f t="shared" si="189"/>
        <v>125.33136999999999</v>
      </c>
      <c r="S1575" s="368"/>
      <c r="T1575" s="287">
        <f t="shared" si="185"/>
        <v>15.534534246575342</v>
      </c>
      <c r="U1575" s="413">
        <v>-9999</v>
      </c>
      <c r="V1575" s="368">
        <v>11.340210000000001</v>
      </c>
      <c r="W1575" s="287">
        <f t="shared" si="186"/>
        <v>25.117520547945205</v>
      </c>
      <c r="X1575" s="327">
        <v>-9999</v>
      </c>
      <c r="Y1575" s="368">
        <v>18.335789999999999</v>
      </c>
      <c r="Z1575" s="327" t="s">
        <v>1707</v>
      </c>
      <c r="AA1575" s="327">
        <v>1660</v>
      </c>
      <c r="AB1575" s="327">
        <v>-9999</v>
      </c>
      <c r="AC1575" s="327">
        <f t="shared" si="183"/>
        <v>0.6</v>
      </c>
      <c r="AD1575" s="327">
        <v>0.15</v>
      </c>
      <c r="AE1575" s="328" t="s">
        <v>1970</v>
      </c>
      <c r="AF1575" s="327">
        <v>4</v>
      </c>
      <c r="AG1575" s="327" t="s">
        <v>843</v>
      </c>
      <c r="AH1575" s="327" t="s">
        <v>876</v>
      </c>
      <c r="AI1575" s="327" t="s">
        <v>985</v>
      </c>
      <c r="AJ1575" s="327" t="s">
        <v>892</v>
      </c>
      <c r="AK1575" s="327" t="s">
        <v>966</v>
      </c>
      <c r="AL1575" s="327" t="s">
        <v>828</v>
      </c>
      <c r="AM1575" s="327" t="s">
        <v>871</v>
      </c>
      <c r="AN1575" s="327" t="s">
        <v>631</v>
      </c>
      <c r="AO1575" s="327">
        <v>-9999</v>
      </c>
      <c r="AP1575" s="327">
        <v>-9999</v>
      </c>
      <c r="AQ1575" s="327" t="s">
        <v>626</v>
      </c>
      <c r="AR1575" s="363">
        <f>(56+(168*0.35))+AR1574</f>
        <v>784</v>
      </c>
      <c r="AS1575" s="327" t="s">
        <v>140</v>
      </c>
      <c r="AT1575" s="327" t="s">
        <v>310</v>
      </c>
      <c r="AU1575" s="363">
        <f>+((560*0.1)*0.436)+AU1574</f>
        <v>199.7296</v>
      </c>
      <c r="AV1575" s="327" t="s">
        <v>313</v>
      </c>
      <c r="AW1575" s="327"/>
      <c r="AX1575" s="363">
        <f>+((560*0.1)*0.83)+AX1574</f>
        <v>180.88</v>
      </c>
      <c r="AY1575" s="327" t="s">
        <v>313</v>
      </c>
      <c r="AZ1575" s="327" t="s">
        <v>275</v>
      </c>
      <c r="BA1575" s="327" t="s">
        <v>979</v>
      </c>
      <c r="BB1575" s="327" t="s">
        <v>626</v>
      </c>
      <c r="BC1575" s="327" t="s">
        <v>987</v>
      </c>
      <c r="BD1575" s="327" t="s">
        <v>988</v>
      </c>
      <c r="BE1575" s="327" t="s">
        <v>989</v>
      </c>
      <c r="BF1575" s="327" t="s">
        <v>881</v>
      </c>
      <c r="BG1575" s="327" t="s">
        <v>990</v>
      </c>
      <c r="BH1575" s="327" t="s">
        <v>991</v>
      </c>
      <c r="BI1575" s="327">
        <v>-9999</v>
      </c>
      <c r="BJ1575" s="328">
        <v>41.988300000000002</v>
      </c>
      <c r="BK1575" s="327">
        <v>-9999</v>
      </c>
      <c r="BL1575" s="368">
        <v>17.778500000000001</v>
      </c>
      <c r="BM1575" s="327">
        <v>-9999</v>
      </c>
      <c r="BN1575" s="327">
        <v>-9999</v>
      </c>
      <c r="BO1575" s="327">
        <v>-9999</v>
      </c>
      <c r="BP1575" s="327">
        <v>-9999</v>
      </c>
      <c r="BQ1575" s="327">
        <v>-9999</v>
      </c>
      <c r="BR1575" s="327">
        <v>-9999</v>
      </c>
      <c r="BS1575" s="474">
        <v>-9999</v>
      </c>
      <c r="BT1575" s="327">
        <v>-9999</v>
      </c>
      <c r="BU1575" s="327">
        <v>-9999</v>
      </c>
      <c r="BV1575" s="327">
        <v>-9999</v>
      </c>
      <c r="BW1575" s="327"/>
      <c r="BX1575" s="327">
        <v>-9999</v>
      </c>
      <c r="BY1575" s="327">
        <v>-9999</v>
      </c>
      <c r="BZ1575" s="327">
        <v>-9999</v>
      </c>
      <c r="CA1575" s="369">
        <v>-9999</v>
      </c>
      <c r="CB1575" s="475"/>
      <c r="CC1575" s="327">
        <v>1</v>
      </c>
      <c r="CD1575" s="328">
        <v>11</v>
      </c>
      <c r="CE1575" s="342">
        <v>15.534534246575342</v>
      </c>
      <c r="CF1575" s="342">
        <v>25.117520547945205</v>
      </c>
      <c r="CG1575" s="359">
        <v>11</v>
      </c>
    </row>
    <row r="1576" spans="1:86" s="301" customFormat="1" ht="12.75" customHeight="1" x14ac:dyDescent="0.2">
      <c r="A1576" s="327" t="s">
        <v>981</v>
      </c>
      <c r="B1576" s="327" t="s">
        <v>982</v>
      </c>
      <c r="C1576" s="327" t="s">
        <v>994</v>
      </c>
      <c r="D1576" s="327" t="s">
        <v>553</v>
      </c>
      <c r="E1576" s="327" t="s">
        <v>901</v>
      </c>
      <c r="F1576" s="327">
        <v>1</v>
      </c>
      <c r="G1576" s="328">
        <v>12</v>
      </c>
      <c r="H1576" s="328">
        <v>12</v>
      </c>
      <c r="I1576" s="327" t="s">
        <v>783</v>
      </c>
      <c r="J1576" s="327">
        <v>1987</v>
      </c>
      <c r="K1576" s="327" t="s">
        <v>783</v>
      </c>
      <c r="L1576" s="327">
        <v>1999</v>
      </c>
      <c r="M1576" s="368">
        <v>-9999</v>
      </c>
      <c r="N1576" s="327">
        <v>-9999</v>
      </c>
      <c r="O1576" s="70">
        <v>1.3333333333333333</v>
      </c>
      <c r="P1576" s="370">
        <f t="shared" si="184"/>
        <v>190.18163999999996</v>
      </c>
      <c r="Q1576" s="327">
        <v>-9999</v>
      </c>
      <c r="R1576" s="368">
        <f t="shared" si="189"/>
        <v>142.63622999999998</v>
      </c>
      <c r="S1576" s="368"/>
      <c r="T1576" s="287">
        <f t="shared" si="185"/>
        <v>15.807559999999999</v>
      </c>
      <c r="U1576" s="413">
        <v>-9999</v>
      </c>
      <c r="V1576" s="368">
        <v>11.85567</v>
      </c>
      <c r="W1576" s="287">
        <f t="shared" si="186"/>
        <v>23.073146666666666</v>
      </c>
      <c r="X1576" s="327">
        <v>-9999</v>
      </c>
      <c r="Y1576" s="368">
        <v>17.304860000000001</v>
      </c>
      <c r="Z1576" s="327" t="s">
        <v>1707</v>
      </c>
      <c r="AA1576" s="327">
        <v>1660</v>
      </c>
      <c r="AB1576" s="327">
        <v>-9999</v>
      </c>
      <c r="AC1576" s="327">
        <f t="shared" si="183"/>
        <v>0.6</v>
      </c>
      <c r="AD1576" s="327">
        <v>0.15</v>
      </c>
      <c r="AE1576" s="328" t="s">
        <v>1970</v>
      </c>
      <c r="AF1576" s="327">
        <v>4</v>
      </c>
      <c r="AG1576" s="327" t="s">
        <v>843</v>
      </c>
      <c r="AH1576" s="327" t="s">
        <v>876</v>
      </c>
      <c r="AI1576" s="327" t="s">
        <v>985</v>
      </c>
      <c r="AJ1576" s="327" t="s">
        <v>892</v>
      </c>
      <c r="AK1576" s="327" t="s">
        <v>966</v>
      </c>
      <c r="AL1576" s="327" t="s">
        <v>828</v>
      </c>
      <c r="AM1576" s="327" t="s">
        <v>871</v>
      </c>
      <c r="AN1576" s="327" t="s">
        <v>631</v>
      </c>
      <c r="AO1576" s="327">
        <v>-9999</v>
      </c>
      <c r="AP1576" s="327">
        <v>-9999</v>
      </c>
      <c r="AQ1576" s="327" t="s">
        <v>626</v>
      </c>
      <c r="AR1576" s="363">
        <f>(336*0.35)+AR1575</f>
        <v>901.6</v>
      </c>
      <c r="AS1576" s="327" t="s">
        <v>141</v>
      </c>
      <c r="AT1576" s="327" t="s">
        <v>310</v>
      </c>
      <c r="AU1576" s="363">
        <f>0+AU1575</f>
        <v>199.7296</v>
      </c>
      <c r="AV1576" s="327">
        <v>-9999</v>
      </c>
      <c r="AW1576" s="327">
        <v>-9999</v>
      </c>
      <c r="AX1576" s="363">
        <f>0+AX1575</f>
        <v>180.88</v>
      </c>
      <c r="AY1576" s="327">
        <v>-9999</v>
      </c>
      <c r="AZ1576" s="327">
        <v>-9999</v>
      </c>
      <c r="BA1576" s="327">
        <v>-9999</v>
      </c>
      <c r="BB1576" s="327" t="s">
        <v>626</v>
      </c>
      <c r="BC1576" s="327" t="s">
        <v>987</v>
      </c>
      <c r="BD1576" s="327" t="s">
        <v>988</v>
      </c>
      <c r="BE1576" s="327" t="s">
        <v>989</v>
      </c>
      <c r="BF1576" s="327" t="s">
        <v>881</v>
      </c>
      <c r="BG1576" s="327" t="s">
        <v>990</v>
      </c>
      <c r="BH1576" s="327" t="s">
        <v>991</v>
      </c>
      <c r="BI1576" s="327">
        <v>-9999</v>
      </c>
      <c r="BJ1576" s="328">
        <v>43.974899999999998</v>
      </c>
      <c r="BK1576" s="327">
        <v>-9999</v>
      </c>
      <c r="BL1576" s="368">
        <v>19.0472</v>
      </c>
      <c r="BM1576" s="327">
        <v>-9999</v>
      </c>
      <c r="BN1576" s="327">
        <v>-9999</v>
      </c>
      <c r="BO1576" s="327">
        <v>-9999</v>
      </c>
      <c r="BP1576" s="327">
        <v>-9999</v>
      </c>
      <c r="BQ1576" s="327">
        <v>-9999</v>
      </c>
      <c r="BR1576" s="327">
        <v>-9999</v>
      </c>
      <c r="BS1576" s="474">
        <v>-9999</v>
      </c>
      <c r="BT1576" s="327">
        <v>-9999</v>
      </c>
      <c r="BU1576" s="327">
        <v>-9999</v>
      </c>
      <c r="BV1576" s="327">
        <v>-9999</v>
      </c>
      <c r="BW1576" s="327"/>
      <c r="BX1576" s="327">
        <v>-9999</v>
      </c>
      <c r="BY1576" s="327">
        <v>-9999</v>
      </c>
      <c r="BZ1576" s="327">
        <v>-9999</v>
      </c>
      <c r="CA1576" s="369">
        <v>-9999</v>
      </c>
      <c r="CB1576" s="475"/>
      <c r="CC1576" s="327">
        <v>1</v>
      </c>
      <c r="CD1576" s="328">
        <v>12</v>
      </c>
      <c r="CE1576" s="342">
        <v>15.807559999999999</v>
      </c>
      <c r="CF1576" s="342">
        <v>23.073146666666666</v>
      </c>
      <c r="CG1576" s="359">
        <v>12</v>
      </c>
    </row>
    <row r="1577" spans="1:86" s="301" customFormat="1" ht="12.75" customHeight="1" x14ac:dyDescent="0.2">
      <c r="A1577" s="327" t="s">
        <v>981</v>
      </c>
      <c r="B1577" s="327" t="s">
        <v>982</v>
      </c>
      <c r="C1577" s="327" t="s">
        <v>994</v>
      </c>
      <c r="D1577" s="327" t="s">
        <v>553</v>
      </c>
      <c r="E1577" s="327" t="s">
        <v>901</v>
      </c>
      <c r="F1577" s="327">
        <v>1</v>
      </c>
      <c r="G1577" s="328">
        <v>13</v>
      </c>
      <c r="H1577" s="328">
        <v>13</v>
      </c>
      <c r="I1577" s="327" t="s">
        <v>783</v>
      </c>
      <c r="J1577" s="327">
        <v>1987</v>
      </c>
      <c r="K1577" s="327" t="s">
        <v>783</v>
      </c>
      <c r="L1577" s="327">
        <v>2000</v>
      </c>
      <c r="M1577" s="368">
        <v>-9999</v>
      </c>
      <c r="N1577" s="327">
        <v>-9999</v>
      </c>
      <c r="O1577" s="70">
        <v>1.3333333333333333</v>
      </c>
      <c r="P1577" s="370">
        <f t="shared" si="184"/>
        <v>211.19293333333329</v>
      </c>
      <c r="Q1577" s="327">
        <v>-9999</v>
      </c>
      <c r="R1577" s="368">
        <f t="shared" si="189"/>
        <v>158.39469999999997</v>
      </c>
      <c r="S1577" s="368"/>
      <c r="T1577" s="287">
        <f t="shared" si="185"/>
        <v>16.249386666666666</v>
      </c>
      <c r="U1577" s="413">
        <v>-9999</v>
      </c>
      <c r="V1577" s="368">
        <v>12.18704</v>
      </c>
      <c r="W1577" s="287">
        <f t="shared" si="186"/>
        <v>21.011293333333334</v>
      </c>
      <c r="X1577" s="327">
        <v>-9999</v>
      </c>
      <c r="Y1577" s="368">
        <v>15.758470000000001</v>
      </c>
      <c r="Z1577" s="327" t="s">
        <v>1707</v>
      </c>
      <c r="AA1577" s="327">
        <v>1660</v>
      </c>
      <c r="AB1577" s="327">
        <v>-9999</v>
      </c>
      <c r="AC1577" s="327">
        <f t="shared" si="183"/>
        <v>0.6</v>
      </c>
      <c r="AD1577" s="327">
        <v>0.15</v>
      </c>
      <c r="AE1577" s="328" t="s">
        <v>1970</v>
      </c>
      <c r="AF1577" s="327">
        <v>4</v>
      </c>
      <c r="AG1577" s="327" t="s">
        <v>843</v>
      </c>
      <c r="AH1577" s="327" t="s">
        <v>876</v>
      </c>
      <c r="AI1577" s="327" t="s">
        <v>985</v>
      </c>
      <c r="AJ1577" s="327" t="s">
        <v>892</v>
      </c>
      <c r="AK1577" s="327" t="s">
        <v>966</v>
      </c>
      <c r="AL1577" s="327" t="s">
        <v>828</v>
      </c>
      <c r="AM1577" s="327" t="s">
        <v>871</v>
      </c>
      <c r="AN1577" s="327" t="s">
        <v>631</v>
      </c>
      <c r="AO1577" s="327">
        <v>-9999</v>
      </c>
      <c r="AP1577" s="327">
        <v>-9999</v>
      </c>
      <c r="AQ1577" s="327" t="s">
        <v>626</v>
      </c>
      <c r="AR1577" s="363">
        <f>(336*0.35)+AR1576</f>
        <v>1019.2</v>
      </c>
      <c r="AS1577" s="327" t="s">
        <v>141</v>
      </c>
      <c r="AT1577" s="327" t="s">
        <v>310</v>
      </c>
      <c r="AU1577" s="363">
        <f>0+AU1576</f>
        <v>199.7296</v>
      </c>
      <c r="AV1577" s="327">
        <v>-9999</v>
      </c>
      <c r="AW1577" s="327">
        <v>-9999</v>
      </c>
      <c r="AX1577" s="363">
        <f>0+AX1576</f>
        <v>180.88</v>
      </c>
      <c r="AY1577" s="327">
        <v>-9999</v>
      </c>
      <c r="AZ1577" s="327">
        <v>-9999</v>
      </c>
      <c r="BA1577" s="327">
        <v>-9999</v>
      </c>
      <c r="BB1577" s="327" t="s">
        <v>626</v>
      </c>
      <c r="BC1577" s="327" t="s">
        <v>987</v>
      </c>
      <c r="BD1577" s="327" t="s">
        <v>988</v>
      </c>
      <c r="BE1577" s="327" t="s">
        <v>989</v>
      </c>
      <c r="BF1577" s="327" t="s">
        <v>881</v>
      </c>
      <c r="BG1577" s="327" t="s">
        <v>990</v>
      </c>
      <c r="BH1577" s="327" t="s">
        <v>991</v>
      </c>
      <c r="BI1577" s="327">
        <v>-9999</v>
      </c>
      <c r="BJ1577" s="328">
        <v>45.7224</v>
      </c>
      <c r="BK1577" s="327">
        <v>-9999</v>
      </c>
      <c r="BL1577" s="368">
        <v>20.076799999999999</v>
      </c>
      <c r="BM1577" s="327">
        <v>-9999</v>
      </c>
      <c r="BN1577" s="327">
        <v>-9999</v>
      </c>
      <c r="BO1577" s="327">
        <v>-9999</v>
      </c>
      <c r="BP1577" s="327">
        <v>-9999</v>
      </c>
      <c r="BQ1577" s="327">
        <v>-9999</v>
      </c>
      <c r="BR1577" s="327">
        <v>-9999</v>
      </c>
      <c r="BS1577" s="474">
        <v>-9999</v>
      </c>
      <c r="BT1577" s="327">
        <v>-9999</v>
      </c>
      <c r="BU1577" s="327">
        <v>-9999</v>
      </c>
      <c r="BV1577" s="327">
        <v>-9999</v>
      </c>
      <c r="BW1577" s="327"/>
      <c r="BX1577" s="327">
        <v>-9999</v>
      </c>
      <c r="BY1577" s="327">
        <v>-9999</v>
      </c>
      <c r="BZ1577" s="327">
        <v>-9999</v>
      </c>
      <c r="CA1577" s="369">
        <v>-9999</v>
      </c>
      <c r="CB1577" s="475"/>
      <c r="CC1577" s="327">
        <v>1</v>
      </c>
      <c r="CD1577" s="328">
        <v>13</v>
      </c>
      <c r="CE1577" s="342">
        <v>16.249386666666666</v>
      </c>
      <c r="CF1577" s="342">
        <v>21.011293333333334</v>
      </c>
      <c r="CG1577" s="359">
        <v>13</v>
      </c>
    </row>
    <row r="1578" spans="1:86" s="301" customFormat="1" ht="12.75" customHeight="1" x14ac:dyDescent="0.2">
      <c r="A1578" s="327" t="s">
        <v>981</v>
      </c>
      <c r="B1578" s="327" t="s">
        <v>982</v>
      </c>
      <c r="C1578" s="327" t="s">
        <v>994</v>
      </c>
      <c r="D1578" s="327" t="s">
        <v>553</v>
      </c>
      <c r="E1578" s="327" t="s">
        <v>901</v>
      </c>
      <c r="F1578" s="327">
        <v>1</v>
      </c>
      <c r="G1578" s="328">
        <v>14</v>
      </c>
      <c r="H1578" s="328">
        <v>14</v>
      </c>
      <c r="I1578" s="327" t="s">
        <v>783</v>
      </c>
      <c r="J1578" s="327">
        <v>1987</v>
      </c>
      <c r="K1578" s="327" t="s">
        <v>783</v>
      </c>
      <c r="L1578" s="327">
        <v>2001</v>
      </c>
      <c r="M1578" s="368">
        <v>-9999</v>
      </c>
      <c r="N1578" s="327">
        <v>-9999</v>
      </c>
      <c r="O1578" s="70">
        <v>1.3333333333333333</v>
      </c>
      <c r="P1578" s="370">
        <f t="shared" si="184"/>
        <v>230.92783999999995</v>
      </c>
      <c r="Q1578" s="327">
        <v>-9999</v>
      </c>
      <c r="R1578" s="368">
        <f t="shared" si="189"/>
        <v>173.19587999999996</v>
      </c>
      <c r="S1578" s="368"/>
      <c r="T1578" s="287">
        <f t="shared" si="185"/>
        <v>16.44576</v>
      </c>
      <c r="U1578" s="413">
        <v>-9999</v>
      </c>
      <c r="V1578" s="368">
        <v>12.33432</v>
      </c>
      <c r="W1578" s="287">
        <f t="shared" si="186"/>
        <v>19.734906666666667</v>
      </c>
      <c r="X1578" s="327">
        <v>-9999</v>
      </c>
      <c r="Y1578" s="368">
        <v>14.80118</v>
      </c>
      <c r="Z1578" s="327" t="s">
        <v>1707</v>
      </c>
      <c r="AA1578" s="327">
        <v>1660</v>
      </c>
      <c r="AB1578" s="327">
        <v>-9999</v>
      </c>
      <c r="AC1578" s="327">
        <f t="shared" si="183"/>
        <v>0.6</v>
      </c>
      <c r="AD1578" s="327">
        <v>0.15</v>
      </c>
      <c r="AE1578" s="328" t="s">
        <v>1970</v>
      </c>
      <c r="AF1578" s="327">
        <v>4</v>
      </c>
      <c r="AG1578" s="327" t="s">
        <v>843</v>
      </c>
      <c r="AH1578" s="327" t="s">
        <v>876</v>
      </c>
      <c r="AI1578" s="327" t="s">
        <v>985</v>
      </c>
      <c r="AJ1578" s="327" t="s">
        <v>892</v>
      </c>
      <c r="AK1578" s="327" t="s">
        <v>966</v>
      </c>
      <c r="AL1578" s="327" t="s">
        <v>828</v>
      </c>
      <c r="AM1578" s="327" t="s">
        <v>871</v>
      </c>
      <c r="AN1578" s="327" t="s">
        <v>631</v>
      </c>
      <c r="AO1578" s="327">
        <v>-9999</v>
      </c>
      <c r="AP1578" s="327">
        <v>-9999</v>
      </c>
      <c r="AQ1578" s="327" t="s">
        <v>626</v>
      </c>
      <c r="AR1578" s="363">
        <f>(336*0.35)+AR1577</f>
        <v>1136.8</v>
      </c>
      <c r="AS1578" s="327" t="s">
        <v>141</v>
      </c>
      <c r="AT1578" s="327" t="s">
        <v>310</v>
      </c>
      <c r="AU1578" s="363">
        <f>0+AU1577</f>
        <v>199.7296</v>
      </c>
      <c r="AV1578" s="327">
        <v>-9999</v>
      </c>
      <c r="AW1578" s="327">
        <v>-9999</v>
      </c>
      <c r="AX1578" s="363">
        <f>0+AX1577</f>
        <v>180.88</v>
      </c>
      <c r="AY1578" s="327">
        <v>-9999</v>
      </c>
      <c r="AZ1578" s="327">
        <v>-9999</v>
      </c>
      <c r="BA1578" s="327">
        <v>-9999</v>
      </c>
      <c r="BB1578" s="327" t="s">
        <v>626</v>
      </c>
      <c r="BC1578" s="327" t="s">
        <v>987</v>
      </c>
      <c r="BD1578" s="327" t="s">
        <v>988</v>
      </c>
      <c r="BE1578" s="327" t="s">
        <v>989</v>
      </c>
      <c r="BF1578" s="327" t="s">
        <v>881</v>
      </c>
      <c r="BG1578" s="327" t="s">
        <v>990</v>
      </c>
      <c r="BH1578" s="327" t="s">
        <v>991</v>
      </c>
      <c r="BI1578" s="327">
        <v>-9999</v>
      </c>
      <c r="BJ1578" s="328">
        <v>45.46</v>
      </c>
      <c r="BK1578" s="327">
        <v>-9999</v>
      </c>
      <c r="BL1578" s="368">
        <v>20.947299999999998</v>
      </c>
      <c r="BM1578" s="327">
        <v>-9999</v>
      </c>
      <c r="BN1578" s="327">
        <v>-9999</v>
      </c>
      <c r="BO1578" s="327">
        <v>-9999</v>
      </c>
      <c r="BP1578" s="327">
        <v>-9999</v>
      </c>
      <c r="BQ1578" s="327">
        <v>-9999</v>
      </c>
      <c r="BR1578" s="327">
        <v>-9999</v>
      </c>
      <c r="BS1578" s="474">
        <v>-9999</v>
      </c>
      <c r="BT1578" s="327">
        <v>-9999</v>
      </c>
      <c r="BU1578" s="327">
        <v>-9999</v>
      </c>
      <c r="BV1578" s="327">
        <v>-9999</v>
      </c>
      <c r="BW1578" s="327"/>
      <c r="BX1578" s="327">
        <v>-9999</v>
      </c>
      <c r="BY1578" s="327">
        <v>-9999</v>
      </c>
      <c r="BZ1578" s="327">
        <v>-9999</v>
      </c>
      <c r="CA1578" s="369">
        <v>-9999</v>
      </c>
      <c r="CB1578" s="475"/>
      <c r="CC1578" s="327">
        <v>1</v>
      </c>
      <c r="CD1578" s="328">
        <v>14</v>
      </c>
      <c r="CE1578" s="342">
        <v>16.44576</v>
      </c>
      <c r="CF1578" s="342">
        <v>19.734906666666667</v>
      </c>
      <c r="CG1578" s="359">
        <v>14</v>
      </c>
    </row>
    <row r="1579" spans="1:86" s="13" customFormat="1" ht="12.75" customHeight="1" x14ac:dyDescent="0.2">
      <c r="A1579" s="259" t="s">
        <v>981</v>
      </c>
      <c r="B1579" s="259" t="s">
        <v>982</v>
      </c>
      <c r="C1579" s="259" t="s">
        <v>994</v>
      </c>
      <c r="D1579" s="259" t="s">
        <v>553</v>
      </c>
      <c r="E1579" s="259" t="s">
        <v>901</v>
      </c>
      <c r="F1579" s="259">
        <v>1</v>
      </c>
      <c r="G1579" s="260">
        <v>15</v>
      </c>
      <c r="H1579" s="260">
        <v>15</v>
      </c>
      <c r="I1579" s="259" t="s">
        <v>783</v>
      </c>
      <c r="J1579" s="259">
        <v>1987</v>
      </c>
      <c r="K1579" s="259" t="s">
        <v>783</v>
      </c>
      <c r="L1579" s="259">
        <v>2002</v>
      </c>
      <c r="M1579" s="288">
        <v>-9999</v>
      </c>
      <c r="N1579" s="259">
        <v>-9999</v>
      </c>
      <c r="O1579" s="22">
        <v>1.3333333333333333</v>
      </c>
      <c r="P1579" s="590">
        <f t="shared" si="184"/>
        <v>254.49190666666658</v>
      </c>
      <c r="Q1579" s="259">
        <v>-9999</v>
      </c>
      <c r="R1579" s="288">
        <f t="shared" si="189"/>
        <v>190.86892999999995</v>
      </c>
      <c r="S1579" s="288"/>
      <c r="T1579" s="376">
        <f t="shared" si="185"/>
        <v>16.985759999999999</v>
      </c>
      <c r="U1579" s="630">
        <v>-9999</v>
      </c>
      <c r="V1579" s="288">
        <f>12.73932</f>
        <v>12.739319999999999</v>
      </c>
      <c r="W1579" s="376">
        <f t="shared" si="186"/>
        <v>23.564066666666665</v>
      </c>
      <c r="X1579" s="259">
        <v>-9999</v>
      </c>
      <c r="Y1579" s="288">
        <f>17.67305</f>
        <v>17.67305</v>
      </c>
      <c r="Z1579" s="259" t="s">
        <v>1707</v>
      </c>
      <c r="AA1579" s="260">
        <v>1660</v>
      </c>
      <c r="AB1579" s="590">
        <v>0.77</v>
      </c>
      <c r="AC1579" s="327">
        <f t="shared" si="183"/>
        <v>0.6</v>
      </c>
      <c r="AD1579" s="259">
        <v>0.15</v>
      </c>
      <c r="AE1579" s="260" t="s">
        <v>1970</v>
      </c>
      <c r="AF1579" s="259">
        <v>4</v>
      </c>
      <c r="AG1579" s="259" t="s">
        <v>843</v>
      </c>
      <c r="AH1579" s="259" t="s">
        <v>876</v>
      </c>
      <c r="AI1579" s="259" t="s">
        <v>985</v>
      </c>
      <c r="AJ1579" s="259" t="s">
        <v>892</v>
      </c>
      <c r="AK1579" s="259" t="s">
        <v>966</v>
      </c>
      <c r="AL1579" s="259" t="s">
        <v>828</v>
      </c>
      <c r="AM1579" s="259" t="s">
        <v>871</v>
      </c>
      <c r="AN1579" s="259" t="s">
        <v>631</v>
      </c>
      <c r="AO1579" s="259">
        <v>-9999</v>
      </c>
      <c r="AP1579" s="259">
        <v>-9999</v>
      </c>
      <c r="AQ1579" s="259" t="s">
        <v>626</v>
      </c>
      <c r="AR1579" s="289">
        <f>(336*0.35)+AR1578</f>
        <v>1254.3999999999999</v>
      </c>
      <c r="AS1579" s="259" t="s">
        <v>141</v>
      </c>
      <c r="AT1579" s="259" t="s">
        <v>310</v>
      </c>
      <c r="AU1579" s="289">
        <f>0+AU1578</f>
        <v>199.7296</v>
      </c>
      <c r="AV1579" s="259">
        <v>-9999</v>
      </c>
      <c r="AW1579" s="259">
        <v>-9999</v>
      </c>
      <c r="AX1579" s="289">
        <f>0+AX1578</f>
        <v>180.88</v>
      </c>
      <c r="AY1579" s="259">
        <v>-9999</v>
      </c>
      <c r="AZ1579" s="259">
        <v>-9999</v>
      </c>
      <c r="BA1579" s="259">
        <v>-9999</v>
      </c>
      <c r="BB1579" s="259" t="s">
        <v>626</v>
      </c>
      <c r="BC1579" s="259" t="s">
        <v>987</v>
      </c>
      <c r="BD1579" s="259" t="s">
        <v>988</v>
      </c>
      <c r="BE1579" s="259" t="s">
        <v>989</v>
      </c>
      <c r="BF1579" s="259" t="s">
        <v>881</v>
      </c>
      <c r="BG1579" s="259" t="s">
        <v>990</v>
      </c>
      <c r="BH1579" s="259" t="s">
        <v>991</v>
      </c>
      <c r="BI1579" s="259">
        <v>-9999</v>
      </c>
      <c r="BJ1579" s="260">
        <v>45.7836</v>
      </c>
      <c r="BK1579" s="259">
        <v>-9999</v>
      </c>
      <c r="BL1579" s="288">
        <v>21.9771</v>
      </c>
      <c r="BM1579" s="259">
        <v>-9999</v>
      </c>
      <c r="BN1579" s="259">
        <v>20.8</v>
      </c>
      <c r="BO1579" s="259">
        <v>-9999</v>
      </c>
      <c r="BP1579" s="259">
        <v>-9999</v>
      </c>
      <c r="BQ1579" s="259">
        <v>-9999</v>
      </c>
      <c r="BR1579" s="259">
        <v>-9999</v>
      </c>
      <c r="BS1579" s="634">
        <v>-9999</v>
      </c>
      <c r="BT1579" s="259">
        <v>-9999</v>
      </c>
      <c r="BU1579" s="259">
        <v>-9999</v>
      </c>
      <c r="BV1579" s="259">
        <v>-9999</v>
      </c>
      <c r="BW1579" s="259"/>
      <c r="BX1579" s="259">
        <v>-9999</v>
      </c>
      <c r="BY1579" s="259">
        <v>-9999</v>
      </c>
      <c r="BZ1579" s="259">
        <v>-9999</v>
      </c>
      <c r="CA1579" s="337">
        <v>-9999</v>
      </c>
      <c r="CB1579" s="592"/>
      <c r="CC1579" s="259">
        <v>1</v>
      </c>
      <c r="CD1579" s="260">
        <v>15</v>
      </c>
      <c r="CE1579" s="393">
        <v>16.985759999999999</v>
      </c>
      <c r="CF1579" s="99">
        <v>23.564066666666665</v>
      </c>
      <c r="CG1579" s="212">
        <v>15</v>
      </c>
      <c r="CH1579" s="436" t="s">
        <v>1757</v>
      </c>
    </row>
    <row r="1580" spans="1:86" s="13" customFormat="1" ht="12.75" customHeight="1" x14ac:dyDescent="0.2">
      <c r="A1580" s="259"/>
      <c r="B1580" s="259"/>
      <c r="C1580" s="259"/>
      <c r="D1580" s="327"/>
      <c r="E1580" s="259"/>
      <c r="F1580" s="259"/>
      <c r="G1580" s="260"/>
      <c r="H1580" s="260"/>
      <c r="I1580" s="259"/>
      <c r="J1580" s="259"/>
      <c r="K1580" s="259"/>
      <c r="L1580" s="259"/>
      <c r="M1580" s="288"/>
      <c r="N1580" s="259"/>
      <c r="O1580" s="22"/>
      <c r="P1580" s="590"/>
      <c r="Q1580" s="259"/>
      <c r="R1580" s="288"/>
      <c r="S1580" s="259"/>
      <c r="T1580" s="738"/>
      <c r="U1580" s="288"/>
      <c r="V1580" s="368"/>
      <c r="W1580" s="650"/>
      <c r="X1580" s="288"/>
      <c r="Y1580" s="368"/>
      <c r="Z1580" s="259"/>
      <c r="AA1580" s="260"/>
      <c r="AB1580" s="288"/>
      <c r="AC1580" s="259"/>
      <c r="AD1580" s="259"/>
      <c r="AE1580" s="259"/>
      <c r="AF1580" s="259"/>
      <c r="AG1580" s="259"/>
      <c r="AH1580" s="259"/>
      <c r="AI1580" s="259"/>
      <c r="AJ1580" s="259"/>
      <c r="AK1580" s="327"/>
      <c r="AL1580" s="327"/>
      <c r="AM1580" s="327"/>
      <c r="AN1580" s="259"/>
      <c r="AO1580" s="259"/>
      <c r="AP1580" s="259"/>
      <c r="AQ1580" s="327"/>
      <c r="AR1580" s="327"/>
      <c r="AS1580" s="327"/>
      <c r="AT1580" s="327"/>
      <c r="AU1580" s="327"/>
      <c r="AV1580" s="327"/>
      <c r="AW1580" s="327"/>
      <c r="AX1580" s="327"/>
      <c r="AY1580" s="327"/>
      <c r="AZ1580" s="327"/>
      <c r="BA1580" s="259"/>
      <c r="BB1580" s="259"/>
      <c r="BC1580" s="259"/>
      <c r="BD1580" s="259"/>
      <c r="BE1580" s="259"/>
      <c r="BF1580" s="259"/>
      <c r="BG1580" s="259"/>
      <c r="BH1580" s="259"/>
      <c r="BI1580" s="259"/>
      <c r="BJ1580" s="260"/>
      <c r="BK1580" s="259"/>
      <c r="BL1580" s="288"/>
      <c r="BM1580" s="259"/>
      <c r="BN1580" s="259"/>
      <c r="BO1580" s="259"/>
      <c r="BP1580" s="259"/>
      <c r="BQ1580" s="259"/>
      <c r="BR1580" s="259"/>
      <c r="BS1580" s="474"/>
      <c r="BT1580" s="259"/>
      <c r="BU1580" s="259"/>
      <c r="BV1580" s="259"/>
      <c r="BW1580" s="259"/>
      <c r="BX1580" s="259"/>
      <c r="BY1580" s="259"/>
      <c r="BZ1580" s="259"/>
      <c r="CA1580" s="337"/>
      <c r="CB1580" s="592"/>
      <c r="CC1580" s="259"/>
      <c r="CD1580" s="260"/>
      <c r="CG1580" s="101"/>
    </row>
    <row r="1581" spans="1:86" s="301" customFormat="1" ht="12.75" customHeight="1" x14ac:dyDescent="0.2">
      <c r="A1581" s="327" t="s">
        <v>981</v>
      </c>
      <c r="B1581" s="327" t="s">
        <v>982</v>
      </c>
      <c r="C1581" s="327" t="s">
        <v>995</v>
      </c>
      <c r="D1581" s="327" t="s">
        <v>553</v>
      </c>
      <c r="E1581" s="327" t="s">
        <v>901</v>
      </c>
      <c r="F1581" s="327">
        <v>1</v>
      </c>
      <c r="G1581" s="328">
        <v>1</v>
      </c>
      <c r="H1581" s="328">
        <v>1</v>
      </c>
      <c r="I1581" s="327" t="s">
        <v>783</v>
      </c>
      <c r="J1581" s="327">
        <v>1987</v>
      </c>
      <c r="K1581" s="327" t="s">
        <v>783</v>
      </c>
      <c r="L1581" s="327">
        <v>1988</v>
      </c>
      <c r="M1581" s="368">
        <v>-9999</v>
      </c>
      <c r="N1581" s="327">
        <v>-9999</v>
      </c>
      <c r="O1581" s="323">
        <v>-9999</v>
      </c>
      <c r="P1581" s="368">
        <v>-9999</v>
      </c>
      <c r="Q1581" s="327">
        <v>-9999</v>
      </c>
      <c r="R1581" s="368">
        <v>-9999</v>
      </c>
      <c r="S1581" s="327"/>
      <c r="T1581" s="368">
        <v>-9999</v>
      </c>
      <c r="U1581" s="367">
        <v>-9999</v>
      </c>
      <c r="V1581" s="327">
        <v>-9999</v>
      </c>
      <c r="W1581" s="368">
        <v>-9999</v>
      </c>
      <c r="X1581" s="367">
        <v>-9999</v>
      </c>
      <c r="Y1581" s="327">
        <v>-9999</v>
      </c>
      <c r="Z1581" s="327" t="s">
        <v>1707</v>
      </c>
      <c r="AA1581" s="327">
        <v>1660</v>
      </c>
      <c r="AB1581" s="368">
        <v>1</v>
      </c>
      <c r="AC1581" s="327">
        <f t="shared" ref="AC1581:AC1595" si="191">0.15*4</f>
        <v>0.6</v>
      </c>
      <c r="AD1581" s="327">
        <v>0.15</v>
      </c>
      <c r="AE1581" s="328" t="s">
        <v>1970</v>
      </c>
      <c r="AF1581" s="327">
        <v>4</v>
      </c>
      <c r="AG1581" s="327" t="s">
        <v>843</v>
      </c>
      <c r="AH1581" s="327" t="s">
        <v>876</v>
      </c>
      <c r="AI1581" s="327" t="s">
        <v>985</v>
      </c>
      <c r="AJ1581" s="327" t="s">
        <v>892</v>
      </c>
      <c r="AK1581" s="327" t="s">
        <v>966</v>
      </c>
      <c r="AL1581" s="327" t="s">
        <v>828</v>
      </c>
      <c r="AM1581" s="327" t="s">
        <v>871</v>
      </c>
      <c r="AN1581" s="327" t="s">
        <v>631</v>
      </c>
      <c r="AO1581" s="327">
        <v>-9999</v>
      </c>
      <c r="AP1581" s="327">
        <v>-9999</v>
      </c>
      <c r="AQ1581" s="327" t="s">
        <v>631</v>
      </c>
      <c r="AR1581" s="327">
        <v>0</v>
      </c>
      <c r="AS1581" s="327">
        <v>-9999</v>
      </c>
      <c r="AT1581" s="327"/>
      <c r="AU1581" s="327">
        <v>0</v>
      </c>
      <c r="AV1581" s="327">
        <v>-9999</v>
      </c>
      <c r="AW1581" s="327"/>
      <c r="AX1581" s="327">
        <v>0</v>
      </c>
      <c r="AY1581" s="327">
        <v>-9999</v>
      </c>
      <c r="AZ1581" s="327">
        <v>-9999</v>
      </c>
      <c r="BA1581" s="327">
        <v>-9999</v>
      </c>
      <c r="BB1581" s="327" t="s">
        <v>631</v>
      </c>
      <c r="BC1581" s="327">
        <v>-9999</v>
      </c>
      <c r="BD1581" s="327">
        <v>-9999</v>
      </c>
      <c r="BE1581" s="327">
        <v>-9999</v>
      </c>
      <c r="BF1581" s="327">
        <v>-9999</v>
      </c>
      <c r="BG1581" s="327">
        <v>-9999</v>
      </c>
      <c r="BH1581" s="327">
        <v>-9999</v>
      </c>
      <c r="BI1581" s="327">
        <v>-9999</v>
      </c>
      <c r="BJ1581" s="327">
        <v>-9999</v>
      </c>
      <c r="BK1581" s="327">
        <v>-9999</v>
      </c>
      <c r="BL1581" s="368">
        <v>0.48387000000000002</v>
      </c>
      <c r="BM1581" s="327">
        <v>-9999</v>
      </c>
      <c r="BN1581" s="327">
        <v>-9999</v>
      </c>
      <c r="BO1581" s="327">
        <v>-9999</v>
      </c>
      <c r="BP1581" s="327">
        <v>-9999</v>
      </c>
      <c r="BQ1581" s="327">
        <v>-9999</v>
      </c>
      <c r="BR1581" s="327">
        <v>-9999</v>
      </c>
      <c r="BS1581" s="474">
        <v>-9999</v>
      </c>
      <c r="BT1581" s="327">
        <v>-9999</v>
      </c>
      <c r="BU1581" s="327">
        <v>-9999</v>
      </c>
      <c r="BV1581" s="327">
        <v>-9999</v>
      </c>
      <c r="BW1581" s="327"/>
      <c r="BX1581" s="327">
        <v>-9999</v>
      </c>
      <c r="BY1581" s="327">
        <v>-9999</v>
      </c>
      <c r="BZ1581" s="327">
        <v>-9999</v>
      </c>
      <c r="CA1581" s="369">
        <v>-9999</v>
      </c>
      <c r="CB1581" s="475"/>
      <c r="CC1581" s="327">
        <v>1</v>
      </c>
      <c r="CD1581" s="328"/>
      <c r="CE1581" s="342"/>
      <c r="CF1581" s="342"/>
      <c r="CG1581" s="359">
        <v>1</v>
      </c>
    </row>
    <row r="1582" spans="1:86" s="301" customFormat="1" ht="12.75" customHeight="1" x14ac:dyDescent="0.2">
      <c r="A1582" s="327" t="s">
        <v>981</v>
      </c>
      <c r="B1582" s="327" t="s">
        <v>982</v>
      </c>
      <c r="C1582" s="327" t="s">
        <v>995</v>
      </c>
      <c r="D1582" s="327" t="s">
        <v>553</v>
      </c>
      <c r="E1582" s="327" t="s">
        <v>901</v>
      </c>
      <c r="F1582" s="327">
        <v>1</v>
      </c>
      <c r="G1582" s="328">
        <v>2</v>
      </c>
      <c r="H1582" s="328">
        <v>2</v>
      </c>
      <c r="I1582" s="327" t="s">
        <v>783</v>
      </c>
      <c r="J1582" s="327">
        <v>1987</v>
      </c>
      <c r="K1582" s="327" t="s">
        <v>783</v>
      </c>
      <c r="L1582" s="327">
        <v>1989</v>
      </c>
      <c r="M1582" s="368">
        <v>-9999</v>
      </c>
      <c r="N1582" s="327">
        <v>-9999</v>
      </c>
      <c r="O1582" s="323">
        <v>-9999</v>
      </c>
      <c r="P1582" s="368">
        <v>-9999</v>
      </c>
      <c r="Q1582" s="327">
        <v>-9999</v>
      </c>
      <c r="R1582" s="368">
        <v>-9999</v>
      </c>
      <c r="S1582" s="327"/>
      <c r="T1582" s="368">
        <v>-9999</v>
      </c>
      <c r="U1582" s="327">
        <v>-9999</v>
      </c>
      <c r="V1582" s="327">
        <v>-9999</v>
      </c>
      <c r="W1582" s="368">
        <v>-9999</v>
      </c>
      <c r="X1582" s="327">
        <v>-9999</v>
      </c>
      <c r="Y1582" s="327">
        <v>-9999</v>
      </c>
      <c r="Z1582" s="327" t="s">
        <v>1707</v>
      </c>
      <c r="AA1582" s="327">
        <v>1660</v>
      </c>
      <c r="AB1582" s="327">
        <v>-9999</v>
      </c>
      <c r="AC1582" s="327">
        <f t="shared" si="191"/>
        <v>0.6</v>
      </c>
      <c r="AD1582" s="327">
        <v>0.15</v>
      </c>
      <c r="AE1582" s="328" t="s">
        <v>1970</v>
      </c>
      <c r="AF1582" s="327">
        <v>4</v>
      </c>
      <c r="AG1582" s="327" t="s">
        <v>843</v>
      </c>
      <c r="AH1582" s="327" t="s">
        <v>876</v>
      </c>
      <c r="AI1582" s="327" t="s">
        <v>985</v>
      </c>
      <c r="AJ1582" s="327" t="s">
        <v>892</v>
      </c>
      <c r="AK1582" s="327" t="s">
        <v>966</v>
      </c>
      <c r="AL1582" s="327" t="s">
        <v>828</v>
      </c>
      <c r="AM1582" s="327" t="s">
        <v>871</v>
      </c>
      <c r="AN1582" s="327" t="s">
        <v>631</v>
      </c>
      <c r="AO1582" s="327">
        <v>-9999</v>
      </c>
      <c r="AP1582" s="327">
        <v>-9999</v>
      </c>
      <c r="AQ1582" s="327" t="s">
        <v>631</v>
      </c>
      <c r="AR1582" s="327">
        <v>0</v>
      </c>
      <c r="AS1582" s="327">
        <v>-9999</v>
      </c>
      <c r="AT1582" s="327"/>
      <c r="AU1582" s="327">
        <v>0</v>
      </c>
      <c r="AV1582" s="327">
        <v>-9999</v>
      </c>
      <c r="AW1582" s="327"/>
      <c r="AX1582" s="327">
        <v>0</v>
      </c>
      <c r="AY1582" s="327">
        <v>-9999</v>
      </c>
      <c r="AZ1582" s="327">
        <v>-9999</v>
      </c>
      <c r="BA1582" s="327">
        <v>-9999</v>
      </c>
      <c r="BB1582" s="327" t="s">
        <v>631</v>
      </c>
      <c r="BC1582" s="327">
        <v>-9999</v>
      </c>
      <c r="BD1582" s="327">
        <v>-9999</v>
      </c>
      <c r="BE1582" s="327">
        <v>-9999</v>
      </c>
      <c r="BF1582" s="327">
        <v>-9999</v>
      </c>
      <c r="BG1582" s="327">
        <v>-9999</v>
      </c>
      <c r="BH1582" s="327">
        <v>-9999</v>
      </c>
      <c r="BI1582" s="327">
        <v>-9999</v>
      </c>
      <c r="BJ1582" s="327">
        <v>-9999</v>
      </c>
      <c r="BK1582" s="327">
        <v>-9999</v>
      </c>
      <c r="BL1582" s="368">
        <v>0.72580999999999996</v>
      </c>
      <c r="BM1582" s="327">
        <v>-9999</v>
      </c>
      <c r="BN1582" s="327">
        <v>-9999</v>
      </c>
      <c r="BO1582" s="327">
        <v>-9999</v>
      </c>
      <c r="BP1582" s="327">
        <v>-9999</v>
      </c>
      <c r="BQ1582" s="327">
        <v>-9999</v>
      </c>
      <c r="BR1582" s="327">
        <v>-9999</v>
      </c>
      <c r="BS1582" s="474">
        <v>-9999</v>
      </c>
      <c r="BT1582" s="327">
        <v>-9999</v>
      </c>
      <c r="BU1582" s="327">
        <v>-9999</v>
      </c>
      <c r="BV1582" s="327">
        <v>-9999</v>
      </c>
      <c r="BW1582" s="327"/>
      <c r="BX1582" s="327">
        <v>-9999</v>
      </c>
      <c r="BY1582" s="327">
        <v>-9999</v>
      </c>
      <c r="BZ1582" s="327">
        <v>-9999</v>
      </c>
      <c r="CA1582" s="369">
        <v>-9999</v>
      </c>
      <c r="CB1582" s="475"/>
      <c r="CC1582" s="327">
        <v>1</v>
      </c>
      <c r="CD1582" s="328"/>
      <c r="CE1582" s="342" t="s">
        <v>1576</v>
      </c>
      <c r="CF1582" s="342" t="s">
        <v>1575</v>
      </c>
      <c r="CG1582" s="359">
        <v>2</v>
      </c>
    </row>
    <row r="1583" spans="1:86" s="301" customFormat="1" ht="12.75" customHeight="1" x14ac:dyDescent="0.2">
      <c r="A1583" s="327" t="s">
        <v>981</v>
      </c>
      <c r="B1583" s="327" t="s">
        <v>982</v>
      </c>
      <c r="C1583" s="327" t="s">
        <v>995</v>
      </c>
      <c r="D1583" s="327" t="s">
        <v>553</v>
      </c>
      <c r="E1583" s="327" t="s">
        <v>901</v>
      </c>
      <c r="F1583" s="327">
        <v>1</v>
      </c>
      <c r="G1583" s="328">
        <v>3</v>
      </c>
      <c r="H1583" s="328">
        <v>3</v>
      </c>
      <c r="I1583" s="327" t="s">
        <v>783</v>
      </c>
      <c r="J1583" s="327">
        <v>1987</v>
      </c>
      <c r="K1583" s="327" t="s">
        <v>783</v>
      </c>
      <c r="L1583" s="327">
        <v>1990</v>
      </c>
      <c r="M1583" s="368">
        <v>-9999</v>
      </c>
      <c r="N1583" s="327">
        <v>-9999</v>
      </c>
      <c r="O1583" s="71">
        <v>2.78</v>
      </c>
      <c r="P1583" s="370">
        <f t="shared" ref="P1583:P1595" si="192">+R1583*O1583</f>
        <v>0.38224999999999998</v>
      </c>
      <c r="Q1583" s="327">
        <v>-9999</v>
      </c>
      <c r="R1583" s="368">
        <f>+Y1583</f>
        <v>0.13750000000000001</v>
      </c>
      <c r="S1583" s="368"/>
      <c r="T1583" s="287">
        <f t="shared" ref="T1583:T1595" si="193">+V1583*O1583</f>
        <v>0.51135319999999995</v>
      </c>
      <c r="U1583" s="413">
        <v>-9999</v>
      </c>
      <c r="V1583" s="368">
        <v>0.18393999999999999</v>
      </c>
      <c r="W1583" s="287">
        <f t="shared" ref="W1583:W1595" si="194">Y1583*O1583</f>
        <v>0.38224999999999998</v>
      </c>
      <c r="X1583" s="327">
        <v>-9999</v>
      </c>
      <c r="Y1583" s="368">
        <v>0.13750000000000001</v>
      </c>
      <c r="Z1583" s="327" t="s">
        <v>1707</v>
      </c>
      <c r="AA1583" s="327">
        <v>1660</v>
      </c>
      <c r="AB1583" s="327">
        <v>-9999</v>
      </c>
      <c r="AC1583" s="327">
        <f t="shared" si="191"/>
        <v>0.6</v>
      </c>
      <c r="AD1583" s="327">
        <v>0.15</v>
      </c>
      <c r="AE1583" s="328" t="s">
        <v>1970</v>
      </c>
      <c r="AF1583" s="327">
        <v>4</v>
      </c>
      <c r="AG1583" s="327" t="s">
        <v>843</v>
      </c>
      <c r="AH1583" s="327" t="s">
        <v>876</v>
      </c>
      <c r="AI1583" s="327" t="s">
        <v>985</v>
      </c>
      <c r="AJ1583" s="327" t="s">
        <v>892</v>
      </c>
      <c r="AK1583" s="327" t="s">
        <v>966</v>
      </c>
      <c r="AL1583" s="327" t="s">
        <v>828</v>
      </c>
      <c r="AM1583" s="327" t="s">
        <v>871</v>
      </c>
      <c r="AN1583" s="327" t="s">
        <v>631</v>
      </c>
      <c r="AO1583" s="327">
        <v>-9999</v>
      </c>
      <c r="AP1583" s="327">
        <v>-9999</v>
      </c>
      <c r="AQ1583" s="327" t="s">
        <v>631</v>
      </c>
      <c r="AR1583" s="327">
        <v>0</v>
      </c>
      <c r="AS1583" s="327">
        <v>-9999</v>
      </c>
      <c r="AT1583" s="327"/>
      <c r="AU1583" s="327">
        <v>0</v>
      </c>
      <c r="AV1583" s="327">
        <v>-9999</v>
      </c>
      <c r="AW1583" s="327"/>
      <c r="AX1583" s="327">
        <v>0</v>
      </c>
      <c r="AY1583" s="327">
        <v>-9999</v>
      </c>
      <c r="AZ1583" s="327">
        <v>-9999</v>
      </c>
      <c r="BA1583" s="327">
        <v>-9999</v>
      </c>
      <c r="BB1583" s="327" t="s">
        <v>631</v>
      </c>
      <c r="BC1583" s="327">
        <v>-9999</v>
      </c>
      <c r="BD1583" s="327">
        <v>-9999</v>
      </c>
      <c r="BE1583" s="327">
        <v>-9999</v>
      </c>
      <c r="BF1583" s="327">
        <v>-9999</v>
      </c>
      <c r="BG1583" s="327">
        <v>-9999</v>
      </c>
      <c r="BH1583" s="327">
        <v>-9999</v>
      </c>
      <c r="BI1583" s="327">
        <v>-9999</v>
      </c>
      <c r="BJ1583" s="327">
        <v>-9999</v>
      </c>
      <c r="BK1583" s="327">
        <v>-9999</v>
      </c>
      <c r="BL1583" s="368">
        <v>1.6935500000000001</v>
      </c>
      <c r="BM1583" s="327">
        <v>-9999</v>
      </c>
      <c r="BN1583" s="327">
        <v>-9999</v>
      </c>
      <c r="BO1583" s="327">
        <v>-9999</v>
      </c>
      <c r="BP1583" s="327">
        <v>-9999</v>
      </c>
      <c r="BQ1583" s="327">
        <v>-9999</v>
      </c>
      <c r="BR1583" s="327">
        <v>-9999</v>
      </c>
      <c r="BS1583" s="474">
        <v>-9999</v>
      </c>
      <c r="BT1583" s="327">
        <v>-9999</v>
      </c>
      <c r="BU1583" s="327">
        <v>-9999</v>
      </c>
      <c r="BV1583" s="327">
        <v>-9999</v>
      </c>
      <c r="BW1583" s="327"/>
      <c r="BX1583" s="327">
        <v>-9999</v>
      </c>
      <c r="BY1583" s="327">
        <v>-9999</v>
      </c>
      <c r="BZ1583" s="327">
        <v>-9999</v>
      </c>
      <c r="CA1583" s="369">
        <v>-9999</v>
      </c>
      <c r="CB1583" s="475"/>
      <c r="CC1583" s="327">
        <v>1</v>
      </c>
      <c r="CD1583" s="328">
        <v>3</v>
      </c>
      <c r="CE1583" s="342">
        <v>0.51135319999999995</v>
      </c>
      <c r="CF1583" s="342">
        <v>0.38224999999999998</v>
      </c>
      <c r="CG1583" s="359">
        <v>3</v>
      </c>
    </row>
    <row r="1584" spans="1:86" s="301" customFormat="1" ht="12.75" customHeight="1" x14ac:dyDescent="0.2">
      <c r="A1584" s="327" t="s">
        <v>981</v>
      </c>
      <c r="B1584" s="327" t="s">
        <v>982</v>
      </c>
      <c r="C1584" s="327" t="s">
        <v>995</v>
      </c>
      <c r="D1584" s="327" t="s">
        <v>553</v>
      </c>
      <c r="E1584" s="327" t="s">
        <v>901</v>
      </c>
      <c r="F1584" s="327">
        <v>1</v>
      </c>
      <c r="G1584" s="328">
        <v>4</v>
      </c>
      <c r="H1584" s="328">
        <v>4</v>
      </c>
      <c r="I1584" s="327" t="s">
        <v>783</v>
      </c>
      <c r="J1584" s="327">
        <v>1987</v>
      </c>
      <c r="K1584" s="327" t="s">
        <v>783</v>
      </c>
      <c r="L1584" s="327">
        <v>1991</v>
      </c>
      <c r="M1584" s="368">
        <v>-9999</v>
      </c>
      <c r="N1584" s="327">
        <v>-9999</v>
      </c>
      <c r="O1584" s="71">
        <v>2.2200000000000002</v>
      </c>
      <c r="P1584" s="370">
        <f t="shared" si="192"/>
        <v>2.6644884000000002</v>
      </c>
      <c r="Q1584" s="327">
        <v>-9999</v>
      </c>
      <c r="R1584" s="368">
        <f t="shared" ref="R1584:R1595" si="195">+R1583+Y1584</f>
        <v>1.2002200000000001</v>
      </c>
      <c r="S1584" s="368"/>
      <c r="T1584" s="287">
        <f t="shared" si="193"/>
        <v>0.91588320000000001</v>
      </c>
      <c r="U1584" s="413">
        <v>-9999</v>
      </c>
      <c r="V1584" s="368">
        <v>0.41255999999999998</v>
      </c>
      <c r="W1584" s="287">
        <f t="shared" si="194"/>
        <v>2.3592384000000006</v>
      </c>
      <c r="X1584" s="327">
        <v>-9999</v>
      </c>
      <c r="Y1584" s="368">
        <v>1.0627200000000001</v>
      </c>
      <c r="Z1584" s="327" t="s">
        <v>1707</v>
      </c>
      <c r="AA1584" s="327">
        <v>1660</v>
      </c>
      <c r="AB1584" s="327">
        <v>-9999</v>
      </c>
      <c r="AC1584" s="327">
        <f t="shared" si="191"/>
        <v>0.6</v>
      </c>
      <c r="AD1584" s="327">
        <v>0.15</v>
      </c>
      <c r="AE1584" s="328" t="s">
        <v>1970</v>
      </c>
      <c r="AF1584" s="327">
        <v>4</v>
      </c>
      <c r="AG1584" s="327" t="s">
        <v>843</v>
      </c>
      <c r="AH1584" s="327" t="s">
        <v>876</v>
      </c>
      <c r="AI1584" s="327" t="s">
        <v>985</v>
      </c>
      <c r="AJ1584" s="327" t="s">
        <v>892</v>
      </c>
      <c r="AK1584" s="327" t="s">
        <v>966</v>
      </c>
      <c r="AL1584" s="327" t="s">
        <v>828</v>
      </c>
      <c r="AM1584" s="327" t="s">
        <v>871</v>
      </c>
      <c r="AN1584" s="327" t="s">
        <v>631</v>
      </c>
      <c r="AO1584" s="327">
        <v>-9999</v>
      </c>
      <c r="AP1584" s="327">
        <v>-9999</v>
      </c>
      <c r="AQ1584" s="327" t="s">
        <v>631</v>
      </c>
      <c r="AR1584" s="327">
        <v>0</v>
      </c>
      <c r="AS1584" s="327">
        <v>-9999</v>
      </c>
      <c r="AT1584" s="327"/>
      <c r="AU1584" s="327">
        <v>0</v>
      </c>
      <c r="AV1584" s="327">
        <v>-9999</v>
      </c>
      <c r="AW1584" s="327"/>
      <c r="AX1584" s="327">
        <v>0</v>
      </c>
      <c r="AY1584" s="327">
        <v>-9999</v>
      </c>
      <c r="AZ1584" s="327">
        <v>-9999</v>
      </c>
      <c r="BA1584" s="327">
        <v>-9999</v>
      </c>
      <c r="BB1584" s="327" t="s">
        <v>631</v>
      </c>
      <c r="BC1584" s="327">
        <v>-9999</v>
      </c>
      <c r="BD1584" s="327">
        <v>-9999</v>
      </c>
      <c r="BE1584" s="327">
        <v>-9999</v>
      </c>
      <c r="BF1584" s="327">
        <v>-9999</v>
      </c>
      <c r="BG1584" s="327">
        <v>-9999</v>
      </c>
      <c r="BH1584" s="327">
        <v>-9999</v>
      </c>
      <c r="BI1584" s="327">
        <v>-9999</v>
      </c>
      <c r="BJ1584" s="327">
        <v>-9999</v>
      </c>
      <c r="BK1584" s="327">
        <v>-9999</v>
      </c>
      <c r="BL1584" s="368">
        <v>2.8225799999999999</v>
      </c>
      <c r="BM1584" s="327">
        <v>-9999</v>
      </c>
      <c r="BN1584" s="327">
        <v>-9999</v>
      </c>
      <c r="BO1584" s="327">
        <v>-9999</v>
      </c>
      <c r="BP1584" s="327">
        <v>-9999</v>
      </c>
      <c r="BQ1584" s="327">
        <v>-9999</v>
      </c>
      <c r="BR1584" s="327">
        <v>-9999</v>
      </c>
      <c r="BS1584" s="474">
        <v>-9999</v>
      </c>
      <c r="BT1584" s="327">
        <v>-9999</v>
      </c>
      <c r="BU1584" s="327">
        <v>-9999</v>
      </c>
      <c r="BV1584" s="327">
        <v>-9999</v>
      </c>
      <c r="BW1584" s="327"/>
      <c r="BX1584" s="327">
        <v>-9999</v>
      </c>
      <c r="BY1584" s="327">
        <v>-9999</v>
      </c>
      <c r="BZ1584" s="327">
        <v>-9999</v>
      </c>
      <c r="CA1584" s="369">
        <v>-9999</v>
      </c>
      <c r="CB1584" s="475"/>
      <c r="CC1584" s="327">
        <v>1</v>
      </c>
      <c r="CD1584" s="328">
        <v>4</v>
      </c>
      <c r="CE1584" s="342">
        <v>0.91588320000000001</v>
      </c>
      <c r="CF1584" s="342">
        <v>2.3592384000000006</v>
      </c>
      <c r="CG1584" s="359">
        <v>4</v>
      </c>
    </row>
    <row r="1585" spans="1:86" s="301" customFormat="1" ht="12.75" customHeight="1" x14ac:dyDescent="0.2">
      <c r="A1585" s="327" t="s">
        <v>981</v>
      </c>
      <c r="B1585" s="327" t="s">
        <v>982</v>
      </c>
      <c r="C1585" s="327" t="s">
        <v>995</v>
      </c>
      <c r="D1585" s="327" t="s">
        <v>553</v>
      </c>
      <c r="E1585" s="327" t="s">
        <v>901</v>
      </c>
      <c r="F1585" s="327">
        <v>1</v>
      </c>
      <c r="G1585" s="328">
        <v>5</v>
      </c>
      <c r="H1585" s="328">
        <v>5</v>
      </c>
      <c r="I1585" s="327" t="s">
        <v>783</v>
      </c>
      <c r="J1585" s="327">
        <v>1987</v>
      </c>
      <c r="K1585" s="327" t="s">
        <v>783</v>
      </c>
      <c r="L1585" s="327">
        <v>1992</v>
      </c>
      <c r="M1585" s="368">
        <v>-9999</v>
      </c>
      <c r="N1585" s="327">
        <v>-9999</v>
      </c>
      <c r="O1585" s="71">
        <v>1.82</v>
      </c>
      <c r="P1585" s="370">
        <f t="shared" si="192"/>
        <v>9.0144600000000015</v>
      </c>
      <c r="Q1585" s="327">
        <v>-9999</v>
      </c>
      <c r="R1585" s="368">
        <f t="shared" si="195"/>
        <v>4.9530000000000003</v>
      </c>
      <c r="S1585" s="368"/>
      <c r="T1585" s="287">
        <f t="shared" si="193"/>
        <v>1.8432413999999999</v>
      </c>
      <c r="U1585" s="413">
        <v>-9999</v>
      </c>
      <c r="V1585" s="368">
        <v>1.0127699999999999</v>
      </c>
      <c r="W1585" s="287">
        <f t="shared" si="194"/>
        <v>6.8300596000000002</v>
      </c>
      <c r="X1585" s="327">
        <v>-9999</v>
      </c>
      <c r="Y1585" s="368">
        <v>3.75278</v>
      </c>
      <c r="Z1585" s="327" t="s">
        <v>1707</v>
      </c>
      <c r="AA1585" s="327">
        <v>1660</v>
      </c>
      <c r="AB1585" s="327">
        <v>-9999</v>
      </c>
      <c r="AC1585" s="327">
        <f t="shared" si="191"/>
        <v>0.6</v>
      </c>
      <c r="AD1585" s="327">
        <v>0.15</v>
      </c>
      <c r="AE1585" s="328" t="s">
        <v>1970</v>
      </c>
      <c r="AF1585" s="327">
        <v>4</v>
      </c>
      <c r="AG1585" s="327" t="s">
        <v>843</v>
      </c>
      <c r="AH1585" s="327" t="s">
        <v>876</v>
      </c>
      <c r="AI1585" s="327" t="s">
        <v>985</v>
      </c>
      <c r="AJ1585" s="327" t="s">
        <v>892</v>
      </c>
      <c r="AK1585" s="327" t="s">
        <v>966</v>
      </c>
      <c r="AL1585" s="327" t="s">
        <v>828</v>
      </c>
      <c r="AM1585" s="327" t="s">
        <v>871</v>
      </c>
      <c r="AN1585" s="327" t="s">
        <v>631</v>
      </c>
      <c r="AO1585" s="327">
        <v>-9999</v>
      </c>
      <c r="AP1585" s="327">
        <v>-9999</v>
      </c>
      <c r="AQ1585" s="327" t="s">
        <v>631</v>
      </c>
      <c r="AR1585" s="327">
        <v>0</v>
      </c>
      <c r="AS1585" s="327">
        <v>-9999</v>
      </c>
      <c r="AT1585" s="327"/>
      <c r="AU1585" s="327">
        <v>0</v>
      </c>
      <c r="AV1585" s="327">
        <v>-9999</v>
      </c>
      <c r="AW1585" s="327"/>
      <c r="AX1585" s="327">
        <v>0</v>
      </c>
      <c r="AY1585" s="327">
        <v>-9999</v>
      </c>
      <c r="AZ1585" s="327">
        <v>-9999</v>
      </c>
      <c r="BA1585" s="327">
        <v>-9999</v>
      </c>
      <c r="BB1585" s="327" t="s">
        <v>631</v>
      </c>
      <c r="BC1585" s="327">
        <v>-9999</v>
      </c>
      <c r="BD1585" s="327">
        <v>-9999</v>
      </c>
      <c r="BE1585" s="327">
        <v>-9999</v>
      </c>
      <c r="BF1585" s="327">
        <v>-9999</v>
      </c>
      <c r="BG1585" s="327">
        <v>-9999</v>
      </c>
      <c r="BH1585" s="327">
        <v>-9999</v>
      </c>
      <c r="BI1585" s="327">
        <v>-9999</v>
      </c>
      <c r="BJ1585" s="328">
        <v>1.28</v>
      </c>
      <c r="BK1585" s="327">
        <v>-9999</v>
      </c>
      <c r="BL1585" s="368">
        <v>4.6774199999999997</v>
      </c>
      <c r="BM1585" s="327">
        <v>-9999</v>
      </c>
      <c r="BN1585" s="327">
        <v>-9999</v>
      </c>
      <c r="BO1585" s="327">
        <v>-9999</v>
      </c>
      <c r="BP1585" s="327">
        <v>-9999</v>
      </c>
      <c r="BQ1585" s="327">
        <v>-9999</v>
      </c>
      <c r="BR1585" s="327">
        <v>-9999</v>
      </c>
      <c r="BS1585" s="474">
        <v>-9999</v>
      </c>
      <c r="BT1585" s="327">
        <v>-9999</v>
      </c>
      <c r="BU1585" s="327">
        <v>-9999</v>
      </c>
      <c r="BV1585" s="327">
        <v>-9999</v>
      </c>
      <c r="BW1585" s="327"/>
      <c r="BX1585" s="327">
        <v>-9999</v>
      </c>
      <c r="BY1585" s="327">
        <v>-9999</v>
      </c>
      <c r="BZ1585" s="327">
        <v>-9999</v>
      </c>
      <c r="CA1585" s="369">
        <v>-9999</v>
      </c>
      <c r="CB1585" s="475"/>
      <c r="CC1585" s="327">
        <v>1</v>
      </c>
      <c r="CD1585" s="328">
        <v>5</v>
      </c>
      <c r="CE1585" s="342">
        <v>1.8432413999999999</v>
      </c>
      <c r="CF1585" s="342">
        <v>6.8300596000000002</v>
      </c>
      <c r="CG1585" s="359">
        <v>5</v>
      </c>
    </row>
    <row r="1586" spans="1:86" s="301" customFormat="1" ht="12.75" customHeight="1" x14ac:dyDescent="0.2">
      <c r="A1586" s="327" t="s">
        <v>981</v>
      </c>
      <c r="B1586" s="327" t="s">
        <v>982</v>
      </c>
      <c r="C1586" s="327" t="s">
        <v>995</v>
      </c>
      <c r="D1586" s="327" t="s">
        <v>553</v>
      </c>
      <c r="E1586" s="327" t="s">
        <v>901</v>
      </c>
      <c r="F1586" s="327">
        <v>1</v>
      </c>
      <c r="G1586" s="328">
        <v>6</v>
      </c>
      <c r="H1586" s="328">
        <v>6</v>
      </c>
      <c r="I1586" s="327" t="s">
        <v>783</v>
      </c>
      <c r="J1586" s="327">
        <v>1987</v>
      </c>
      <c r="K1586" s="327" t="s">
        <v>783</v>
      </c>
      <c r="L1586" s="327">
        <v>1993</v>
      </c>
      <c r="M1586" s="368">
        <v>-9999</v>
      </c>
      <c r="N1586" s="327">
        <v>-9999</v>
      </c>
      <c r="O1586" s="71">
        <v>1.69</v>
      </c>
      <c r="P1586" s="370">
        <f t="shared" si="192"/>
        <v>17.453390500000001</v>
      </c>
      <c r="Q1586" s="327">
        <v>-9999</v>
      </c>
      <c r="R1586" s="368">
        <f t="shared" si="195"/>
        <v>10.327450000000001</v>
      </c>
      <c r="S1586" s="368"/>
      <c r="T1586" s="287">
        <f t="shared" si="193"/>
        <v>2.9611503999999997</v>
      </c>
      <c r="U1586" s="413">
        <v>-9999</v>
      </c>
      <c r="V1586" s="368">
        <v>1.7521599999999999</v>
      </c>
      <c r="W1586" s="287">
        <f t="shared" si="194"/>
        <v>9.0828205000000004</v>
      </c>
      <c r="X1586" s="327">
        <v>-9999</v>
      </c>
      <c r="Y1586" s="368">
        <v>5.3744500000000004</v>
      </c>
      <c r="Z1586" s="327" t="s">
        <v>1707</v>
      </c>
      <c r="AA1586" s="327">
        <v>1660</v>
      </c>
      <c r="AB1586" s="327">
        <v>-9999</v>
      </c>
      <c r="AC1586" s="327">
        <f t="shared" si="191"/>
        <v>0.6</v>
      </c>
      <c r="AD1586" s="327">
        <v>0.15</v>
      </c>
      <c r="AE1586" s="328" t="s">
        <v>1970</v>
      </c>
      <c r="AF1586" s="327">
        <v>4</v>
      </c>
      <c r="AG1586" s="327" t="s">
        <v>843</v>
      </c>
      <c r="AH1586" s="327" t="s">
        <v>876</v>
      </c>
      <c r="AI1586" s="327" t="s">
        <v>985</v>
      </c>
      <c r="AJ1586" s="327" t="s">
        <v>892</v>
      </c>
      <c r="AK1586" s="327" t="s">
        <v>966</v>
      </c>
      <c r="AL1586" s="327" t="s">
        <v>828</v>
      </c>
      <c r="AM1586" s="327" t="s">
        <v>871</v>
      </c>
      <c r="AN1586" s="327" t="s">
        <v>631</v>
      </c>
      <c r="AO1586" s="327">
        <v>-9999</v>
      </c>
      <c r="AP1586" s="327">
        <v>-9999</v>
      </c>
      <c r="AQ1586" s="327" t="s">
        <v>631</v>
      </c>
      <c r="AR1586" s="327">
        <v>0</v>
      </c>
      <c r="AS1586" s="327">
        <v>-9999</v>
      </c>
      <c r="AT1586" s="327"/>
      <c r="AU1586" s="327">
        <v>0</v>
      </c>
      <c r="AV1586" s="327">
        <v>-9999</v>
      </c>
      <c r="AW1586" s="327"/>
      <c r="AX1586" s="327">
        <v>0</v>
      </c>
      <c r="AY1586" s="327">
        <v>-9999</v>
      </c>
      <c r="AZ1586" s="327">
        <v>-9999</v>
      </c>
      <c r="BA1586" s="327">
        <v>-9999</v>
      </c>
      <c r="BB1586" s="327" t="s">
        <v>631</v>
      </c>
      <c r="BC1586" s="327">
        <v>-9999</v>
      </c>
      <c r="BD1586" s="327">
        <v>-9999</v>
      </c>
      <c r="BE1586" s="327">
        <v>-9999</v>
      </c>
      <c r="BF1586" s="327">
        <v>-9999</v>
      </c>
      <c r="BG1586" s="327">
        <v>-9999</v>
      </c>
      <c r="BH1586" s="327">
        <v>-9999</v>
      </c>
      <c r="BI1586" s="327">
        <v>-9999</v>
      </c>
      <c r="BJ1586" s="328">
        <v>4.54</v>
      </c>
      <c r="BK1586" s="327">
        <v>-9999</v>
      </c>
      <c r="BL1586" s="368">
        <v>6.1290300000000002</v>
      </c>
      <c r="BM1586" s="327">
        <v>-9999</v>
      </c>
      <c r="BN1586" s="327">
        <v>-9999</v>
      </c>
      <c r="BO1586" s="327">
        <v>-9999</v>
      </c>
      <c r="BP1586" s="327">
        <v>-9999</v>
      </c>
      <c r="BQ1586" s="327">
        <v>-9999</v>
      </c>
      <c r="BR1586" s="327">
        <v>-9999</v>
      </c>
      <c r="BS1586" s="474">
        <v>-9999</v>
      </c>
      <c r="BT1586" s="327">
        <v>-9999</v>
      </c>
      <c r="BU1586" s="327">
        <v>-9999</v>
      </c>
      <c r="BV1586" s="327">
        <v>-9999</v>
      </c>
      <c r="BW1586" s="327"/>
      <c r="BX1586" s="327">
        <v>-9999</v>
      </c>
      <c r="BY1586" s="327">
        <v>-9999</v>
      </c>
      <c r="BZ1586" s="327">
        <v>-9999</v>
      </c>
      <c r="CA1586" s="369">
        <v>-9999</v>
      </c>
      <c r="CB1586" s="475"/>
      <c r="CC1586" s="327">
        <v>1</v>
      </c>
      <c r="CD1586" s="328">
        <v>6</v>
      </c>
      <c r="CE1586" s="342">
        <v>2.9611503999999997</v>
      </c>
      <c r="CF1586" s="342">
        <v>9.0828205000000004</v>
      </c>
      <c r="CG1586" s="359">
        <v>6</v>
      </c>
    </row>
    <row r="1587" spans="1:86" s="301" customFormat="1" ht="12.75" customHeight="1" x14ac:dyDescent="0.2">
      <c r="A1587" s="327" t="s">
        <v>981</v>
      </c>
      <c r="B1587" s="327" t="s">
        <v>982</v>
      </c>
      <c r="C1587" s="327" t="s">
        <v>995</v>
      </c>
      <c r="D1587" s="327" t="s">
        <v>553</v>
      </c>
      <c r="E1587" s="327" t="s">
        <v>901</v>
      </c>
      <c r="F1587" s="327">
        <v>1</v>
      </c>
      <c r="G1587" s="328">
        <v>7</v>
      </c>
      <c r="H1587" s="328">
        <v>7</v>
      </c>
      <c r="I1587" s="327" t="s">
        <v>783</v>
      </c>
      <c r="J1587" s="327">
        <v>1987</v>
      </c>
      <c r="K1587" s="327" t="s">
        <v>783</v>
      </c>
      <c r="L1587" s="327">
        <v>1994</v>
      </c>
      <c r="M1587" s="368">
        <v>-9999</v>
      </c>
      <c r="N1587" s="327">
        <v>-9999</v>
      </c>
      <c r="O1587" s="71">
        <v>1.64</v>
      </c>
      <c r="P1587" s="370">
        <f t="shared" si="192"/>
        <v>26.811736799999998</v>
      </c>
      <c r="Q1587" s="327">
        <v>-9999</v>
      </c>
      <c r="R1587" s="368">
        <f t="shared" si="195"/>
        <v>16.34862</v>
      </c>
      <c r="S1587" s="368"/>
      <c r="T1587" s="287">
        <f t="shared" si="193"/>
        <v>3.9340484</v>
      </c>
      <c r="U1587" s="413">
        <v>-9999</v>
      </c>
      <c r="V1587" s="368">
        <v>2.3988100000000001</v>
      </c>
      <c r="W1587" s="287">
        <f t="shared" si="194"/>
        <v>9.8747187999999984</v>
      </c>
      <c r="X1587" s="327">
        <v>-9999</v>
      </c>
      <c r="Y1587" s="368">
        <v>6.0211699999999997</v>
      </c>
      <c r="Z1587" s="327" t="s">
        <v>1707</v>
      </c>
      <c r="AA1587" s="327">
        <v>1660</v>
      </c>
      <c r="AB1587" s="327">
        <v>-9999</v>
      </c>
      <c r="AC1587" s="327">
        <f t="shared" si="191"/>
        <v>0.6</v>
      </c>
      <c r="AD1587" s="327">
        <v>0.15</v>
      </c>
      <c r="AE1587" s="328" t="s">
        <v>1970</v>
      </c>
      <c r="AF1587" s="327">
        <v>4</v>
      </c>
      <c r="AG1587" s="327" t="s">
        <v>843</v>
      </c>
      <c r="AH1587" s="327" t="s">
        <v>876</v>
      </c>
      <c r="AI1587" s="327" t="s">
        <v>985</v>
      </c>
      <c r="AJ1587" s="327" t="s">
        <v>892</v>
      </c>
      <c r="AK1587" s="327" t="s">
        <v>966</v>
      </c>
      <c r="AL1587" s="327" t="s">
        <v>828</v>
      </c>
      <c r="AM1587" s="327" t="s">
        <v>871</v>
      </c>
      <c r="AN1587" s="327" t="s">
        <v>631</v>
      </c>
      <c r="AO1587" s="327">
        <v>-9999</v>
      </c>
      <c r="AP1587" s="327">
        <v>-9999</v>
      </c>
      <c r="AQ1587" s="327" t="s">
        <v>631</v>
      </c>
      <c r="AR1587" s="327">
        <v>0</v>
      </c>
      <c r="AS1587" s="327">
        <v>-9999</v>
      </c>
      <c r="AT1587" s="327"/>
      <c r="AU1587" s="327">
        <v>0</v>
      </c>
      <c r="AV1587" s="327">
        <v>-9999</v>
      </c>
      <c r="AW1587" s="327"/>
      <c r="AX1587" s="327">
        <v>0</v>
      </c>
      <c r="AY1587" s="327">
        <v>-9999</v>
      </c>
      <c r="AZ1587" s="327">
        <v>-9999</v>
      </c>
      <c r="BA1587" s="327">
        <v>-9999</v>
      </c>
      <c r="BB1587" s="327" t="s">
        <v>631</v>
      </c>
      <c r="BC1587" s="327">
        <v>-9999</v>
      </c>
      <c r="BD1587" s="327">
        <v>-9999</v>
      </c>
      <c r="BE1587" s="327">
        <v>-9999</v>
      </c>
      <c r="BF1587" s="327">
        <v>-9999</v>
      </c>
      <c r="BG1587" s="327">
        <v>-9999</v>
      </c>
      <c r="BH1587" s="327">
        <v>-9999</v>
      </c>
      <c r="BI1587" s="327">
        <v>-9999</v>
      </c>
      <c r="BJ1587" s="328">
        <v>7.92</v>
      </c>
      <c r="BK1587" s="327">
        <v>-9999</v>
      </c>
      <c r="BL1587" s="368">
        <v>7.4193499999999997</v>
      </c>
      <c r="BM1587" s="327">
        <v>-9999</v>
      </c>
      <c r="BN1587" s="327">
        <v>-9999</v>
      </c>
      <c r="BO1587" s="327">
        <v>-9999</v>
      </c>
      <c r="BP1587" s="327">
        <v>-9999</v>
      </c>
      <c r="BQ1587" s="327">
        <v>-9999</v>
      </c>
      <c r="BR1587" s="327">
        <v>-9999</v>
      </c>
      <c r="BS1587" s="474">
        <v>-9999</v>
      </c>
      <c r="BT1587" s="327">
        <v>-9999</v>
      </c>
      <c r="BU1587" s="327">
        <v>-9999</v>
      </c>
      <c r="BV1587" s="327">
        <v>-9999</v>
      </c>
      <c r="BW1587" s="327"/>
      <c r="BX1587" s="327">
        <v>-9999</v>
      </c>
      <c r="BY1587" s="327">
        <v>-9999</v>
      </c>
      <c r="BZ1587" s="327">
        <v>-9999</v>
      </c>
      <c r="CA1587" s="369">
        <v>-9999</v>
      </c>
      <c r="CB1587" s="475"/>
      <c r="CC1587" s="327">
        <v>1</v>
      </c>
      <c r="CD1587" s="328">
        <v>7</v>
      </c>
      <c r="CE1587" s="342">
        <v>3.9340484</v>
      </c>
      <c r="CF1587" s="342">
        <v>9.8747187999999984</v>
      </c>
      <c r="CG1587" s="359">
        <v>7</v>
      </c>
    </row>
    <row r="1588" spans="1:86" s="301" customFormat="1" ht="12.75" customHeight="1" x14ac:dyDescent="0.2">
      <c r="A1588" s="327" t="s">
        <v>981</v>
      </c>
      <c r="B1588" s="327" t="s">
        <v>982</v>
      </c>
      <c r="C1588" s="327" t="s">
        <v>995</v>
      </c>
      <c r="D1588" s="327" t="s">
        <v>553</v>
      </c>
      <c r="E1588" s="327" t="s">
        <v>901</v>
      </c>
      <c r="F1588" s="327">
        <v>1</v>
      </c>
      <c r="G1588" s="328">
        <v>8</v>
      </c>
      <c r="H1588" s="328">
        <v>8</v>
      </c>
      <c r="I1588" s="327" t="s">
        <v>783</v>
      </c>
      <c r="J1588" s="327">
        <v>1987</v>
      </c>
      <c r="K1588" s="327" t="s">
        <v>783</v>
      </c>
      <c r="L1588" s="327">
        <v>1995</v>
      </c>
      <c r="M1588" s="368">
        <v>-9999</v>
      </c>
      <c r="N1588" s="327">
        <v>-9999</v>
      </c>
      <c r="O1588" s="71">
        <v>1.56</v>
      </c>
      <c r="P1588" s="370">
        <f t="shared" si="192"/>
        <v>38.006342400000001</v>
      </c>
      <c r="Q1588" s="327">
        <v>-9999</v>
      </c>
      <c r="R1588" s="368">
        <f t="shared" si="195"/>
        <v>24.363039999999998</v>
      </c>
      <c r="S1588" s="368"/>
      <c r="T1588" s="287">
        <f t="shared" si="193"/>
        <v>4.8231612000000004</v>
      </c>
      <c r="U1588" s="413">
        <v>-9999</v>
      </c>
      <c r="V1588" s="368">
        <v>3.0917699999999999</v>
      </c>
      <c r="W1588" s="287">
        <f t="shared" si="194"/>
        <v>12.5024952</v>
      </c>
      <c r="X1588" s="327">
        <v>-9999</v>
      </c>
      <c r="Y1588" s="368">
        <v>8.0144199999999994</v>
      </c>
      <c r="Z1588" s="327" t="s">
        <v>1707</v>
      </c>
      <c r="AA1588" s="327">
        <v>1660</v>
      </c>
      <c r="AB1588" s="327">
        <v>-9999</v>
      </c>
      <c r="AC1588" s="327">
        <f t="shared" si="191"/>
        <v>0.6</v>
      </c>
      <c r="AD1588" s="327">
        <v>0.15</v>
      </c>
      <c r="AE1588" s="328" t="s">
        <v>1970</v>
      </c>
      <c r="AF1588" s="327">
        <v>4</v>
      </c>
      <c r="AG1588" s="327" t="s">
        <v>843</v>
      </c>
      <c r="AH1588" s="327" t="s">
        <v>876</v>
      </c>
      <c r="AI1588" s="327" t="s">
        <v>985</v>
      </c>
      <c r="AJ1588" s="327" t="s">
        <v>892</v>
      </c>
      <c r="AK1588" s="327" t="s">
        <v>966</v>
      </c>
      <c r="AL1588" s="327" t="s">
        <v>828</v>
      </c>
      <c r="AM1588" s="327" t="s">
        <v>871</v>
      </c>
      <c r="AN1588" s="327" t="s">
        <v>631</v>
      </c>
      <c r="AO1588" s="327">
        <v>-9999</v>
      </c>
      <c r="AP1588" s="327">
        <v>-9999</v>
      </c>
      <c r="AQ1588" s="327" t="s">
        <v>631</v>
      </c>
      <c r="AR1588" s="327">
        <v>0</v>
      </c>
      <c r="AS1588" s="327">
        <v>-9999</v>
      </c>
      <c r="AT1588" s="327"/>
      <c r="AU1588" s="327">
        <v>0</v>
      </c>
      <c r="AV1588" s="327">
        <v>-9999</v>
      </c>
      <c r="AW1588" s="327"/>
      <c r="AX1588" s="327">
        <v>0</v>
      </c>
      <c r="AY1588" s="327">
        <v>-9999</v>
      </c>
      <c r="AZ1588" s="327">
        <v>-9999</v>
      </c>
      <c r="BA1588" s="327">
        <v>-9999</v>
      </c>
      <c r="BB1588" s="327" t="s">
        <v>631</v>
      </c>
      <c r="BC1588" s="327">
        <v>-9999</v>
      </c>
      <c r="BD1588" s="327">
        <v>-9999</v>
      </c>
      <c r="BE1588" s="327">
        <v>-9999</v>
      </c>
      <c r="BF1588" s="327">
        <v>-9999</v>
      </c>
      <c r="BG1588" s="327">
        <v>-9999</v>
      </c>
      <c r="BH1588" s="327">
        <v>-9999</v>
      </c>
      <c r="BI1588" s="327">
        <v>-9999</v>
      </c>
      <c r="BJ1588" s="328">
        <v>10.97</v>
      </c>
      <c r="BK1588" s="327">
        <v>-9999</v>
      </c>
      <c r="BL1588" s="368">
        <v>8.8709699999999998</v>
      </c>
      <c r="BM1588" s="327">
        <v>-9999</v>
      </c>
      <c r="BN1588" s="327">
        <v>-9999</v>
      </c>
      <c r="BO1588" s="327">
        <v>-9999</v>
      </c>
      <c r="BP1588" s="327">
        <v>-9999</v>
      </c>
      <c r="BQ1588" s="327">
        <v>-9999</v>
      </c>
      <c r="BR1588" s="327">
        <v>-9999</v>
      </c>
      <c r="BS1588" s="474">
        <v>-9999</v>
      </c>
      <c r="BT1588" s="327">
        <v>-9999</v>
      </c>
      <c r="BU1588" s="327">
        <v>-9999</v>
      </c>
      <c r="BV1588" s="327">
        <v>-9999</v>
      </c>
      <c r="BW1588" s="327"/>
      <c r="BX1588" s="327">
        <v>-9999</v>
      </c>
      <c r="BY1588" s="327">
        <v>-9999</v>
      </c>
      <c r="BZ1588" s="327">
        <v>-9999</v>
      </c>
      <c r="CA1588" s="369">
        <v>-9999</v>
      </c>
      <c r="CB1588" s="475"/>
      <c r="CC1588" s="327">
        <v>1</v>
      </c>
      <c r="CD1588" s="328">
        <v>8</v>
      </c>
      <c r="CE1588" s="342">
        <v>4.8231612000000004</v>
      </c>
      <c r="CF1588" s="342">
        <v>12.5024952</v>
      </c>
      <c r="CG1588" s="359">
        <v>8</v>
      </c>
    </row>
    <row r="1589" spans="1:86" s="301" customFormat="1" ht="12.75" customHeight="1" x14ac:dyDescent="0.2">
      <c r="A1589" s="327" t="s">
        <v>981</v>
      </c>
      <c r="B1589" s="327" t="s">
        <v>982</v>
      </c>
      <c r="C1589" s="327" t="s">
        <v>995</v>
      </c>
      <c r="D1589" s="327" t="s">
        <v>553</v>
      </c>
      <c r="E1589" s="327" t="s">
        <v>901</v>
      </c>
      <c r="F1589" s="327">
        <v>1</v>
      </c>
      <c r="G1589" s="328">
        <v>9</v>
      </c>
      <c r="H1589" s="328">
        <v>9</v>
      </c>
      <c r="I1589" s="327" t="s">
        <v>783</v>
      </c>
      <c r="J1589" s="327">
        <v>1987</v>
      </c>
      <c r="K1589" s="327" t="s">
        <v>783</v>
      </c>
      <c r="L1589" s="327">
        <v>1996</v>
      </c>
      <c r="M1589" s="368">
        <v>-9999</v>
      </c>
      <c r="N1589" s="327">
        <v>-9999</v>
      </c>
      <c r="O1589" s="71">
        <v>1.52</v>
      </c>
      <c r="P1589" s="370">
        <f t="shared" si="192"/>
        <v>49.208100000000002</v>
      </c>
      <c r="Q1589" s="327">
        <v>-9999</v>
      </c>
      <c r="R1589" s="368">
        <f t="shared" si="195"/>
        <v>32.373750000000001</v>
      </c>
      <c r="S1589" s="368"/>
      <c r="T1589" s="287">
        <f t="shared" si="193"/>
        <v>5.5412208000000005</v>
      </c>
      <c r="U1589" s="413">
        <v>-9999</v>
      </c>
      <c r="V1589" s="368">
        <v>3.64554</v>
      </c>
      <c r="W1589" s="287">
        <f t="shared" si="194"/>
        <v>12.1762792</v>
      </c>
      <c r="X1589" s="327">
        <v>-9999</v>
      </c>
      <c r="Y1589" s="368">
        <v>8.0107099999999996</v>
      </c>
      <c r="Z1589" s="327" t="s">
        <v>1707</v>
      </c>
      <c r="AA1589" s="327">
        <v>1660</v>
      </c>
      <c r="AB1589" s="327">
        <v>-9999</v>
      </c>
      <c r="AC1589" s="327">
        <f t="shared" si="191"/>
        <v>0.6</v>
      </c>
      <c r="AD1589" s="327">
        <v>0.15</v>
      </c>
      <c r="AE1589" s="328" t="s">
        <v>1970</v>
      </c>
      <c r="AF1589" s="327">
        <v>4</v>
      </c>
      <c r="AG1589" s="327" t="s">
        <v>843</v>
      </c>
      <c r="AH1589" s="327" t="s">
        <v>876</v>
      </c>
      <c r="AI1589" s="327" t="s">
        <v>985</v>
      </c>
      <c r="AJ1589" s="327" t="s">
        <v>892</v>
      </c>
      <c r="AK1589" s="327" t="s">
        <v>966</v>
      </c>
      <c r="AL1589" s="327" t="s">
        <v>828</v>
      </c>
      <c r="AM1589" s="327" t="s">
        <v>871</v>
      </c>
      <c r="AN1589" s="327" t="s">
        <v>631</v>
      </c>
      <c r="AO1589" s="327">
        <v>-9999</v>
      </c>
      <c r="AP1589" s="327">
        <v>-9999</v>
      </c>
      <c r="AQ1589" s="327" t="s">
        <v>631</v>
      </c>
      <c r="AR1589" s="327">
        <v>0</v>
      </c>
      <c r="AS1589" s="327">
        <v>-9999</v>
      </c>
      <c r="AT1589" s="327"/>
      <c r="AU1589" s="327">
        <v>0</v>
      </c>
      <c r="AV1589" s="327">
        <v>-9999</v>
      </c>
      <c r="AW1589" s="327"/>
      <c r="AX1589" s="327">
        <v>0</v>
      </c>
      <c r="AY1589" s="327">
        <v>-9999</v>
      </c>
      <c r="AZ1589" s="327">
        <v>-9999</v>
      </c>
      <c r="BA1589" s="327">
        <v>-9999</v>
      </c>
      <c r="BB1589" s="327" t="s">
        <v>631</v>
      </c>
      <c r="BC1589" s="327">
        <v>-9999</v>
      </c>
      <c r="BD1589" s="327">
        <v>-9999</v>
      </c>
      <c r="BE1589" s="327">
        <v>-9999</v>
      </c>
      <c r="BF1589" s="327">
        <v>-9999</v>
      </c>
      <c r="BG1589" s="327">
        <v>-9999</v>
      </c>
      <c r="BH1589" s="327">
        <v>-9999</v>
      </c>
      <c r="BI1589" s="327">
        <v>-9999</v>
      </c>
      <c r="BJ1589" s="328">
        <v>13.91</v>
      </c>
      <c r="BK1589" s="327">
        <v>-9999</v>
      </c>
      <c r="BL1589" s="368">
        <v>10.24194</v>
      </c>
      <c r="BM1589" s="327">
        <v>-9999</v>
      </c>
      <c r="BN1589" s="327">
        <v>-9999</v>
      </c>
      <c r="BO1589" s="327">
        <v>-9999</v>
      </c>
      <c r="BP1589" s="327">
        <v>-9999</v>
      </c>
      <c r="BQ1589" s="327">
        <v>-9999</v>
      </c>
      <c r="BR1589" s="327">
        <v>-9999</v>
      </c>
      <c r="BS1589" s="474">
        <v>-9999</v>
      </c>
      <c r="BT1589" s="327">
        <v>-9999</v>
      </c>
      <c r="BU1589" s="327">
        <v>-9999</v>
      </c>
      <c r="BV1589" s="327">
        <v>-9999</v>
      </c>
      <c r="BW1589" s="327"/>
      <c r="BX1589" s="327">
        <v>-9999</v>
      </c>
      <c r="BY1589" s="327">
        <v>-9999</v>
      </c>
      <c r="BZ1589" s="327">
        <v>-9999</v>
      </c>
      <c r="CA1589" s="369">
        <v>-9999</v>
      </c>
      <c r="CB1589" s="475"/>
      <c r="CC1589" s="327">
        <v>1</v>
      </c>
      <c r="CD1589" s="328">
        <v>9</v>
      </c>
      <c r="CE1589" s="342">
        <v>5.5412208000000005</v>
      </c>
      <c r="CF1589" s="342">
        <v>12.1762792</v>
      </c>
      <c r="CG1589" s="359">
        <v>9</v>
      </c>
    </row>
    <row r="1590" spans="1:86" s="301" customFormat="1" ht="12.75" customHeight="1" x14ac:dyDescent="0.2">
      <c r="A1590" s="327" t="s">
        <v>981</v>
      </c>
      <c r="B1590" s="327" t="s">
        <v>982</v>
      </c>
      <c r="C1590" s="327" t="s">
        <v>995</v>
      </c>
      <c r="D1590" s="327" t="s">
        <v>553</v>
      </c>
      <c r="E1590" s="327" t="s">
        <v>901</v>
      </c>
      <c r="F1590" s="327">
        <v>1</v>
      </c>
      <c r="G1590" s="328">
        <v>10</v>
      </c>
      <c r="H1590" s="328">
        <v>10</v>
      </c>
      <c r="I1590" s="327" t="s">
        <v>783</v>
      </c>
      <c r="J1590" s="327">
        <v>1987</v>
      </c>
      <c r="K1590" s="327" t="s">
        <v>783</v>
      </c>
      <c r="L1590" s="327">
        <v>1997</v>
      </c>
      <c r="M1590" s="368">
        <v>-9999</v>
      </c>
      <c r="N1590" s="327">
        <v>-9999</v>
      </c>
      <c r="O1590" s="71">
        <v>1.47</v>
      </c>
      <c r="P1590" s="370">
        <f t="shared" si="192"/>
        <v>59.155519499999997</v>
      </c>
      <c r="Q1590" s="327">
        <v>-9999</v>
      </c>
      <c r="R1590" s="368">
        <f t="shared" si="195"/>
        <v>40.241849999999999</v>
      </c>
      <c r="S1590" s="368"/>
      <c r="T1590" s="287">
        <f t="shared" si="193"/>
        <v>5.9681853</v>
      </c>
      <c r="U1590" s="413">
        <v>-9999</v>
      </c>
      <c r="V1590" s="368">
        <v>4.05999</v>
      </c>
      <c r="W1590" s="287">
        <f t="shared" si="194"/>
        <v>11.566107000000001</v>
      </c>
      <c r="X1590" s="327">
        <v>-9999</v>
      </c>
      <c r="Y1590" s="368">
        <v>7.8681000000000001</v>
      </c>
      <c r="Z1590" s="327" t="s">
        <v>1707</v>
      </c>
      <c r="AA1590" s="327">
        <v>1660</v>
      </c>
      <c r="AB1590" s="327">
        <v>-9999</v>
      </c>
      <c r="AC1590" s="327">
        <f t="shared" si="191"/>
        <v>0.6</v>
      </c>
      <c r="AD1590" s="327">
        <v>0.15</v>
      </c>
      <c r="AE1590" s="328" t="s">
        <v>1970</v>
      </c>
      <c r="AF1590" s="327">
        <v>4</v>
      </c>
      <c r="AG1590" s="327" t="s">
        <v>843</v>
      </c>
      <c r="AH1590" s="327" t="s">
        <v>876</v>
      </c>
      <c r="AI1590" s="327" t="s">
        <v>985</v>
      </c>
      <c r="AJ1590" s="327" t="s">
        <v>892</v>
      </c>
      <c r="AK1590" s="327" t="s">
        <v>966</v>
      </c>
      <c r="AL1590" s="327" t="s">
        <v>828</v>
      </c>
      <c r="AM1590" s="327" t="s">
        <v>871</v>
      </c>
      <c r="AN1590" s="327" t="s">
        <v>631</v>
      </c>
      <c r="AO1590" s="327">
        <v>-9999</v>
      </c>
      <c r="AP1590" s="327">
        <v>-9999</v>
      </c>
      <c r="AQ1590" s="327" t="s">
        <v>631</v>
      </c>
      <c r="AR1590" s="327">
        <v>0</v>
      </c>
      <c r="AS1590" s="327">
        <v>-9999</v>
      </c>
      <c r="AT1590" s="327"/>
      <c r="AU1590" s="327">
        <v>0</v>
      </c>
      <c r="AV1590" s="327">
        <v>-9999</v>
      </c>
      <c r="AW1590" s="327"/>
      <c r="AX1590" s="327">
        <v>0</v>
      </c>
      <c r="AY1590" s="327">
        <v>-9999</v>
      </c>
      <c r="AZ1590" s="327">
        <v>-9999</v>
      </c>
      <c r="BA1590" s="327">
        <v>-9999</v>
      </c>
      <c r="BB1590" s="327" t="s">
        <v>631</v>
      </c>
      <c r="BC1590" s="327">
        <v>-9999</v>
      </c>
      <c r="BD1590" s="327">
        <v>-9999</v>
      </c>
      <c r="BE1590" s="327">
        <v>-9999</v>
      </c>
      <c r="BF1590" s="327">
        <v>-9999</v>
      </c>
      <c r="BG1590" s="327">
        <v>-9999</v>
      </c>
      <c r="BH1590" s="327">
        <v>-9999</v>
      </c>
      <c r="BI1590" s="327">
        <v>-9999</v>
      </c>
      <c r="BJ1590" s="328">
        <v>16.41</v>
      </c>
      <c r="BK1590" s="327">
        <v>-9999</v>
      </c>
      <c r="BL1590" s="368">
        <v>11.290319999999999</v>
      </c>
      <c r="BM1590" s="327">
        <v>-9999</v>
      </c>
      <c r="BN1590" s="327">
        <v>-9999</v>
      </c>
      <c r="BO1590" s="327">
        <v>-9999</v>
      </c>
      <c r="BP1590" s="327">
        <v>-9999</v>
      </c>
      <c r="BQ1590" s="327">
        <v>-9999</v>
      </c>
      <c r="BR1590" s="327">
        <v>-9999</v>
      </c>
      <c r="BS1590" s="474">
        <v>-9999</v>
      </c>
      <c r="BT1590" s="327">
        <v>-9999</v>
      </c>
      <c r="BU1590" s="327">
        <v>-9999</v>
      </c>
      <c r="BV1590" s="327">
        <v>-9999</v>
      </c>
      <c r="BW1590" s="327"/>
      <c r="BX1590" s="327">
        <v>-9999</v>
      </c>
      <c r="BY1590" s="327">
        <v>-9999</v>
      </c>
      <c r="BZ1590" s="327">
        <v>-9999</v>
      </c>
      <c r="CA1590" s="369">
        <v>-9999</v>
      </c>
      <c r="CB1590" s="475"/>
      <c r="CC1590" s="327">
        <v>1</v>
      </c>
      <c r="CD1590" s="328">
        <v>10</v>
      </c>
      <c r="CE1590" s="342">
        <v>5.9681853</v>
      </c>
      <c r="CF1590" s="342">
        <v>11.566107000000001</v>
      </c>
      <c r="CG1590" s="359">
        <v>10</v>
      </c>
    </row>
    <row r="1591" spans="1:86" s="301" customFormat="1" ht="12.75" customHeight="1" x14ac:dyDescent="0.2">
      <c r="A1591" s="327" t="s">
        <v>981</v>
      </c>
      <c r="B1591" s="327" t="s">
        <v>982</v>
      </c>
      <c r="C1591" s="327" t="s">
        <v>995</v>
      </c>
      <c r="D1591" s="327" t="s">
        <v>553</v>
      </c>
      <c r="E1591" s="327" t="s">
        <v>901</v>
      </c>
      <c r="F1591" s="327">
        <v>1</v>
      </c>
      <c r="G1591" s="328">
        <v>11</v>
      </c>
      <c r="H1591" s="328">
        <v>11</v>
      </c>
      <c r="I1591" s="327" t="s">
        <v>783</v>
      </c>
      <c r="J1591" s="327">
        <v>1987</v>
      </c>
      <c r="K1591" s="327" t="s">
        <v>783</v>
      </c>
      <c r="L1591" s="327">
        <v>1998</v>
      </c>
      <c r="M1591" s="368">
        <v>-9999</v>
      </c>
      <c r="N1591" s="327">
        <v>-9999</v>
      </c>
      <c r="O1591" s="71">
        <v>1.47</v>
      </c>
      <c r="P1591" s="370">
        <f t="shared" si="192"/>
        <v>71.808323999999999</v>
      </c>
      <c r="Q1591" s="327">
        <v>-9999</v>
      </c>
      <c r="R1591" s="368">
        <f t="shared" si="195"/>
        <v>48.849199999999996</v>
      </c>
      <c r="S1591" s="368"/>
      <c r="T1591" s="287">
        <f t="shared" si="193"/>
        <v>6.5088512999999999</v>
      </c>
      <c r="U1591" s="413">
        <v>-9999</v>
      </c>
      <c r="V1591" s="368">
        <v>4.4277899999999999</v>
      </c>
      <c r="W1591" s="287">
        <f t="shared" si="194"/>
        <v>12.6528045</v>
      </c>
      <c r="X1591" s="327">
        <v>-9999</v>
      </c>
      <c r="Y1591" s="368">
        <v>8.6073500000000003</v>
      </c>
      <c r="Z1591" s="327" t="s">
        <v>1707</v>
      </c>
      <c r="AA1591" s="327">
        <v>1660</v>
      </c>
      <c r="AB1591" s="327">
        <v>-9999</v>
      </c>
      <c r="AC1591" s="327">
        <f t="shared" si="191"/>
        <v>0.6</v>
      </c>
      <c r="AD1591" s="327">
        <v>0.15</v>
      </c>
      <c r="AE1591" s="328" t="s">
        <v>1970</v>
      </c>
      <c r="AF1591" s="327">
        <v>4</v>
      </c>
      <c r="AG1591" s="327" t="s">
        <v>843</v>
      </c>
      <c r="AH1591" s="327" t="s">
        <v>876</v>
      </c>
      <c r="AI1591" s="327" t="s">
        <v>985</v>
      </c>
      <c r="AJ1591" s="327" t="s">
        <v>892</v>
      </c>
      <c r="AK1591" s="327" t="s">
        <v>966</v>
      </c>
      <c r="AL1591" s="327" t="s">
        <v>828</v>
      </c>
      <c r="AM1591" s="327" t="s">
        <v>871</v>
      </c>
      <c r="AN1591" s="327" t="s">
        <v>631</v>
      </c>
      <c r="AO1591" s="327">
        <v>-9999</v>
      </c>
      <c r="AP1591" s="327">
        <v>-9999</v>
      </c>
      <c r="AQ1591" s="327" t="s">
        <v>631</v>
      </c>
      <c r="AR1591" s="327">
        <v>0</v>
      </c>
      <c r="AS1591" s="327">
        <v>-9999</v>
      </c>
      <c r="AT1591" s="327"/>
      <c r="AU1591" s="327">
        <v>0</v>
      </c>
      <c r="AV1591" s="327">
        <v>-9999</v>
      </c>
      <c r="AW1591" s="327"/>
      <c r="AX1591" s="327">
        <v>0</v>
      </c>
      <c r="AY1591" s="327">
        <v>-9999</v>
      </c>
      <c r="AZ1591" s="327">
        <v>-9999</v>
      </c>
      <c r="BA1591" s="327">
        <v>-9999</v>
      </c>
      <c r="BB1591" s="327" t="s">
        <v>631</v>
      </c>
      <c r="BC1591" s="327">
        <v>-9999</v>
      </c>
      <c r="BD1591" s="327">
        <v>-9999</v>
      </c>
      <c r="BE1591" s="327">
        <v>-9999</v>
      </c>
      <c r="BF1591" s="327">
        <v>-9999</v>
      </c>
      <c r="BG1591" s="327">
        <v>-9999</v>
      </c>
      <c r="BH1591" s="327">
        <v>-9999</v>
      </c>
      <c r="BI1591" s="327">
        <v>-9999</v>
      </c>
      <c r="BJ1591" s="328">
        <v>18.59</v>
      </c>
      <c r="BK1591" s="327">
        <v>-9999</v>
      </c>
      <c r="BL1591" s="368">
        <v>12.41935</v>
      </c>
      <c r="BM1591" s="327">
        <v>-9999</v>
      </c>
      <c r="BN1591" s="327">
        <v>-9999</v>
      </c>
      <c r="BO1591" s="327">
        <v>-9999</v>
      </c>
      <c r="BP1591" s="327">
        <v>-9999</v>
      </c>
      <c r="BQ1591" s="327">
        <v>-9999</v>
      </c>
      <c r="BR1591" s="327">
        <v>-9999</v>
      </c>
      <c r="BS1591" s="474">
        <v>-9999</v>
      </c>
      <c r="BT1591" s="327">
        <v>-9999</v>
      </c>
      <c r="BU1591" s="327">
        <v>-9999</v>
      </c>
      <c r="BV1591" s="327">
        <v>-9999</v>
      </c>
      <c r="BW1591" s="327"/>
      <c r="BX1591" s="327">
        <v>-9999</v>
      </c>
      <c r="BY1591" s="327">
        <v>-9999</v>
      </c>
      <c r="BZ1591" s="327">
        <v>-9999</v>
      </c>
      <c r="CA1591" s="369">
        <v>-9999</v>
      </c>
      <c r="CB1591" s="475"/>
      <c r="CC1591" s="327">
        <v>1</v>
      </c>
      <c r="CD1591" s="328">
        <v>11</v>
      </c>
      <c r="CE1591" s="342">
        <v>6.5088512999999999</v>
      </c>
      <c r="CF1591" s="342">
        <v>12.6528045</v>
      </c>
      <c r="CG1591" s="359">
        <v>11</v>
      </c>
    </row>
    <row r="1592" spans="1:86" s="301" customFormat="1" ht="12.75" customHeight="1" x14ac:dyDescent="0.2">
      <c r="A1592" s="327" t="s">
        <v>981</v>
      </c>
      <c r="B1592" s="327" t="s">
        <v>982</v>
      </c>
      <c r="C1592" s="327" t="s">
        <v>995</v>
      </c>
      <c r="D1592" s="327" t="s">
        <v>553</v>
      </c>
      <c r="E1592" s="327" t="s">
        <v>901</v>
      </c>
      <c r="F1592" s="327">
        <v>1</v>
      </c>
      <c r="G1592" s="328">
        <v>12</v>
      </c>
      <c r="H1592" s="328">
        <v>12</v>
      </c>
      <c r="I1592" s="327" t="s">
        <v>783</v>
      </c>
      <c r="J1592" s="327">
        <v>1987</v>
      </c>
      <c r="K1592" s="327" t="s">
        <v>783</v>
      </c>
      <c r="L1592" s="327">
        <v>1999</v>
      </c>
      <c r="M1592" s="368">
        <v>-9999</v>
      </c>
      <c r="N1592" s="327">
        <v>-9999</v>
      </c>
      <c r="O1592" s="71">
        <v>1.47</v>
      </c>
      <c r="P1592" s="370">
        <f t="shared" si="192"/>
        <v>85.548340499999995</v>
      </c>
      <c r="Q1592" s="327">
        <v>-9999</v>
      </c>
      <c r="R1592" s="368">
        <f t="shared" si="195"/>
        <v>58.196149999999996</v>
      </c>
      <c r="S1592" s="368"/>
      <c r="T1592" s="287">
        <f t="shared" si="193"/>
        <v>7.1864772000000006</v>
      </c>
      <c r="U1592" s="413">
        <v>-9999</v>
      </c>
      <c r="V1592" s="368">
        <v>4.8887600000000004</v>
      </c>
      <c r="W1592" s="287">
        <f t="shared" si="194"/>
        <v>13.740016499999999</v>
      </c>
      <c r="X1592" s="327">
        <v>-9999</v>
      </c>
      <c r="Y1592" s="368">
        <v>9.3469499999999996</v>
      </c>
      <c r="Z1592" s="327" t="s">
        <v>1707</v>
      </c>
      <c r="AA1592" s="327">
        <v>1660</v>
      </c>
      <c r="AB1592" s="327">
        <v>-9999</v>
      </c>
      <c r="AC1592" s="327">
        <f t="shared" si="191"/>
        <v>0.6</v>
      </c>
      <c r="AD1592" s="327">
        <v>0.15</v>
      </c>
      <c r="AE1592" s="328" t="s">
        <v>1970</v>
      </c>
      <c r="AF1592" s="327">
        <v>4</v>
      </c>
      <c r="AG1592" s="327" t="s">
        <v>843</v>
      </c>
      <c r="AH1592" s="327" t="s">
        <v>876</v>
      </c>
      <c r="AI1592" s="327" t="s">
        <v>985</v>
      </c>
      <c r="AJ1592" s="327" t="s">
        <v>892</v>
      </c>
      <c r="AK1592" s="327" t="s">
        <v>966</v>
      </c>
      <c r="AL1592" s="327" t="s">
        <v>828</v>
      </c>
      <c r="AM1592" s="327" t="s">
        <v>871</v>
      </c>
      <c r="AN1592" s="327" t="s">
        <v>631</v>
      </c>
      <c r="AO1592" s="327">
        <v>-9999</v>
      </c>
      <c r="AP1592" s="327">
        <v>-9999</v>
      </c>
      <c r="AQ1592" s="327" t="s">
        <v>631</v>
      </c>
      <c r="AR1592" s="327">
        <v>0</v>
      </c>
      <c r="AS1592" s="327">
        <v>-9999</v>
      </c>
      <c r="AT1592" s="327"/>
      <c r="AU1592" s="327">
        <v>0</v>
      </c>
      <c r="AV1592" s="327">
        <v>-9999</v>
      </c>
      <c r="AW1592" s="327"/>
      <c r="AX1592" s="327">
        <v>0</v>
      </c>
      <c r="AY1592" s="327">
        <v>-9999</v>
      </c>
      <c r="AZ1592" s="327">
        <v>-9999</v>
      </c>
      <c r="BA1592" s="327">
        <v>-9999</v>
      </c>
      <c r="BB1592" s="327" t="s">
        <v>631</v>
      </c>
      <c r="BC1592" s="327">
        <v>-9999</v>
      </c>
      <c r="BD1592" s="327">
        <v>-9999</v>
      </c>
      <c r="BE1592" s="327">
        <v>-9999</v>
      </c>
      <c r="BF1592" s="327">
        <v>-9999</v>
      </c>
      <c r="BG1592" s="327">
        <v>-9999</v>
      </c>
      <c r="BH1592" s="327">
        <v>-9999</v>
      </c>
      <c r="BI1592" s="327">
        <v>-9999</v>
      </c>
      <c r="BJ1592" s="328">
        <v>20.55</v>
      </c>
      <c r="BK1592" s="327">
        <v>-9999</v>
      </c>
      <c r="BL1592" s="368">
        <v>13.709680000000001</v>
      </c>
      <c r="BM1592" s="327">
        <v>-9999</v>
      </c>
      <c r="BN1592" s="327">
        <v>-9999</v>
      </c>
      <c r="BO1592" s="327">
        <v>-9999</v>
      </c>
      <c r="BP1592" s="327">
        <v>-9999</v>
      </c>
      <c r="BQ1592" s="327">
        <v>-9999</v>
      </c>
      <c r="BR1592" s="327">
        <v>-9999</v>
      </c>
      <c r="BS1592" s="474">
        <v>-9999</v>
      </c>
      <c r="BT1592" s="327">
        <v>-9999</v>
      </c>
      <c r="BU1592" s="327">
        <v>-9999</v>
      </c>
      <c r="BV1592" s="327">
        <v>-9999</v>
      </c>
      <c r="BW1592" s="327"/>
      <c r="BX1592" s="327">
        <v>-9999</v>
      </c>
      <c r="BY1592" s="327">
        <v>-9999</v>
      </c>
      <c r="BZ1592" s="327">
        <v>-9999</v>
      </c>
      <c r="CA1592" s="369">
        <v>-9999</v>
      </c>
      <c r="CB1592" s="475"/>
      <c r="CC1592" s="327">
        <v>1</v>
      </c>
      <c r="CD1592" s="328">
        <v>12</v>
      </c>
      <c r="CE1592" s="342">
        <v>7.1864772000000006</v>
      </c>
      <c r="CF1592" s="342">
        <v>13.740016499999999</v>
      </c>
      <c r="CG1592" s="359">
        <v>12</v>
      </c>
    </row>
    <row r="1593" spans="1:86" s="301" customFormat="1" ht="12.75" customHeight="1" x14ac:dyDescent="0.2">
      <c r="A1593" s="327" t="s">
        <v>981</v>
      </c>
      <c r="B1593" s="327" t="s">
        <v>982</v>
      </c>
      <c r="C1593" s="327" t="s">
        <v>995</v>
      </c>
      <c r="D1593" s="327" t="s">
        <v>553</v>
      </c>
      <c r="E1593" s="327" t="s">
        <v>901</v>
      </c>
      <c r="F1593" s="327">
        <v>1</v>
      </c>
      <c r="G1593" s="328">
        <v>13</v>
      </c>
      <c r="H1593" s="328">
        <v>13</v>
      </c>
      <c r="I1593" s="327" t="s">
        <v>783</v>
      </c>
      <c r="J1593" s="327">
        <v>1987</v>
      </c>
      <c r="K1593" s="327" t="s">
        <v>783</v>
      </c>
      <c r="L1593" s="327">
        <v>2000</v>
      </c>
      <c r="M1593" s="368">
        <v>-9999</v>
      </c>
      <c r="N1593" s="327">
        <v>-9999</v>
      </c>
      <c r="O1593" s="71">
        <v>1.43</v>
      </c>
      <c r="P1593" s="370">
        <f t="shared" si="192"/>
        <v>95.518894899999992</v>
      </c>
      <c r="Q1593" s="327">
        <v>-9999</v>
      </c>
      <c r="R1593" s="368">
        <f t="shared" si="195"/>
        <v>66.796430000000001</v>
      </c>
      <c r="S1593" s="368"/>
      <c r="T1593" s="287">
        <f t="shared" si="193"/>
        <v>7.3177532999999997</v>
      </c>
      <c r="U1593" s="413">
        <v>-9999</v>
      </c>
      <c r="V1593" s="368">
        <v>5.1173099999999998</v>
      </c>
      <c r="W1593" s="287">
        <f t="shared" si="194"/>
        <v>12.298400399999998</v>
      </c>
      <c r="X1593" s="327">
        <v>-9999</v>
      </c>
      <c r="Y1593" s="368">
        <v>8.6002799999999997</v>
      </c>
      <c r="Z1593" s="327" t="s">
        <v>1707</v>
      </c>
      <c r="AA1593" s="327">
        <v>1660</v>
      </c>
      <c r="AB1593" s="327">
        <v>-9999</v>
      </c>
      <c r="AC1593" s="327">
        <f t="shared" si="191"/>
        <v>0.6</v>
      </c>
      <c r="AD1593" s="327">
        <v>0.15</v>
      </c>
      <c r="AE1593" s="328" t="s">
        <v>1970</v>
      </c>
      <c r="AF1593" s="327">
        <v>4</v>
      </c>
      <c r="AG1593" s="327" t="s">
        <v>843</v>
      </c>
      <c r="AH1593" s="327" t="s">
        <v>876</v>
      </c>
      <c r="AI1593" s="327" t="s">
        <v>985</v>
      </c>
      <c r="AJ1593" s="327" t="s">
        <v>892</v>
      </c>
      <c r="AK1593" s="327" t="s">
        <v>966</v>
      </c>
      <c r="AL1593" s="327" t="s">
        <v>828</v>
      </c>
      <c r="AM1593" s="327" t="s">
        <v>871</v>
      </c>
      <c r="AN1593" s="327" t="s">
        <v>631</v>
      </c>
      <c r="AO1593" s="327">
        <v>-9999</v>
      </c>
      <c r="AP1593" s="327">
        <v>-9999</v>
      </c>
      <c r="AQ1593" s="327" t="s">
        <v>631</v>
      </c>
      <c r="AR1593" s="327">
        <v>0</v>
      </c>
      <c r="AS1593" s="327">
        <v>-9999</v>
      </c>
      <c r="AT1593" s="327"/>
      <c r="AU1593" s="327">
        <v>0</v>
      </c>
      <c r="AV1593" s="327">
        <v>-9999</v>
      </c>
      <c r="AW1593" s="327"/>
      <c r="AX1593" s="327">
        <v>0</v>
      </c>
      <c r="AY1593" s="327">
        <v>-9999</v>
      </c>
      <c r="AZ1593" s="327">
        <v>-9999</v>
      </c>
      <c r="BA1593" s="327">
        <v>-9999</v>
      </c>
      <c r="BB1593" s="327" t="s">
        <v>631</v>
      </c>
      <c r="BC1593" s="327">
        <v>-9999</v>
      </c>
      <c r="BD1593" s="327">
        <v>-9999</v>
      </c>
      <c r="BE1593" s="327">
        <v>-9999</v>
      </c>
      <c r="BF1593" s="327">
        <v>-9999</v>
      </c>
      <c r="BG1593" s="327">
        <v>-9999</v>
      </c>
      <c r="BH1593" s="327">
        <v>-9999</v>
      </c>
      <c r="BI1593" s="327">
        <v>-9999</v>
      </c>
      <c r="BJ1593" s="328">
        <v>22.29</v>
      </c>
      <c r="BK1593" s="327">
        <v>-9999</v>
      </c>
      <c r="BL1593" s="368">
        <v>14.19355</v>
      </c>
      <c r="BM1593" s="327">
        <v>-9999</v>
      </c>
      <c r="BN1593" s="327">
        <v>-9999</v>
      </c>
      <c r="BO1593" s="327">
        <v>-9999</v>
      </c>
      <c r="BP1593" s="327">
        <v>-9999</v>
      </c>
      <c r="BQ1593" s="327">
        <v>-9999</v>
      </c>
      <c r="BR1593" s="327">
        <v>-9999</v>
      </c>
      <c r="BS1593" s="474">
        <v>-9999</v>
      </c>
      <c r="BT1593" s="327">
        <v>-9999</v>
      </c>
      <c r="BU1593" s="327">
        <v>-9999</v>
      </c>
      <c r="BV1593" s="327">
        <v>-9999</v>
      </c>
      <c r="BW1593" s="327"/>
      <c r="BX1593" s="327">
        <v>-9999</v>
      </c>
      <c r="BY1593" s="327">
        <v>-9999</v>
      </c>
      <c r="BZ1593" s="327">
        <v>-9999</v>
      </c>
      <c r="CA1593" s="369">
        <v>-9999</v>
      </c>
      <c r="CB1593" s="475"/>
      <c r="CC1593" s="327">
        <v>1</v>
      </c>
      <c r="CD1593" s="328">
        <v>13</v>
      </c>
      <c r="CE1593" s="342">
        <v>7.3177532999999997</v>
      </c>
      <c r="CF1593" s="342">
        <v>12.298400399999998</v>
      </c>
      <c r="CG1593" s="359">
        <v>13</v>
      </c>
    </row>
    <row r="1594" spans="1:86" s="301" customFormat="1" ht="12.75" customHeight="1" x14ac:dyDescent="0.2">
      <c r="A1594" s="327" t="s">
        <v>981</v>
      </c>
      <c r="B1594" s="327" t="s">
        <v>982</v>
      </c>
      <c r="C1594" s="327" t="s">
        <v>995</v>
      </c>
      <c r="D1594" s="327" t="s">
        <v>553</v>
      </c>
      <c r="E1594" s="327" t="s">
        <v>901</v>
      </c>
      <c r="F1594" s="327">
        <v>1</v>
      </c>
      <c r="G1594" s="328">
        <v>14</v>
      </c>
      <c r="H1594" s="328">
        <v>14</v>
      </c>
      <c r="I1594" s="327" t="s">
        <v>783</v>
      </c>
      <c r="J1594" s="327">
        <v>1987</v>
      </c>
      <c r="K1594" s="327" t="s">
        <v>783</v>
      </c>
      <c r="L1594" s="327">
        <v>2001</v>
      </c>
      <c r="M1594" s="368">
        <v>-9999</v>
      </c>
      <c r="N1594" s="327">
        <v>-9999</v>
      </c>
      <c r="O1594" s="71">
        <v>1.43</v>
      </c>
      <c r="P1594" s="370">
        <f t="shared" si="192"/>
        <v>107.54665349999999</v>
      </c>
      <c r="Q1594" s="327">
        <v>-9999</v>
      </c>
      <c r="R1594" s="368">
        <f t="shared" si="195"/>
        <v>75.207449999999994</v>
      </c>
      <c r="S1594" s="368"/>
      <c r="T1594" s="287">
        <f t="shared" si="193"/>
        <v>7.7111033999999998</v>
      </c>
      <c r="U1594" s="413">
        <v>-9999</v>
      </c>
      <c r="V1594" s="368">
        <v>5.3923800000000002</v>
      </c>
      <c r="W1594" s="287">
        <f t="shared" si="194"/>
        <v>12.0277586</v>
      </c>
      <c r="X1594" s="327">
        <v>-9999</v>
      </c>
      <c r="Y1594" s="368">
        <v>8.4110200000000006</v>
      </c>
      <c r="Z1594" s="327" t="s">
        <v>1707</v>
      </c>
      <c r="AA1594" s="327">
        <v>1660</v>
      </c>
      <c r="AB1594" s="327">
        <v>-9999</v>
      </c>
      <c r="AC1594" s="327">
        <f t="shared" si="191"/>
        <v>0.6</v>
      </c>
      <c r="AD1594" s="327">
        <v>0.15</v>
      </c>
      <c r="AE1594" s="328" t="s">
        <v>1970</v>
      </c>
      <c r="AF1594" s="327">
        <v>4</v>
      </c>
      <c r="AG1594" s="327" t="s">
        <v>843</v>
      </c>
      <c r="AH1594" s="327" t="s">
        <v>876</v>
      </c>
      <c r="AI1594" s="327" t="s">
        <v>985</v>
      </c>
      <c r="AJ1594" s="327" t="s">
        <v>892</v>
      </c>
      <c r="AK1594" s="327" t="s">
        <v>966</v>
      </c>
      <c r="AL1594" s="327" t="s">
        <v>828</v>
      </c>
      <c r="AM1594" s="327" t="s">
        <v>871</v>
      </c>
      <c r="AN1594" s="327" t="s">
        <v>631</v>
      </c>
      <c r="AO1594" s="327">
        <v>-9999</v>
      </c>
      <c r="AP1594" s="327">
        <v>-9999</v>
      </c>
      <c r="AQ1594" s="327" t="s">
        <v>631</v>
      </c>
      <c r="AR1594" s="327">
        <v>0</v>
      </c>
      <c r="AS1594" s="327">
        <v>-9999</v>
      </c>
      <c r="AT1594" s="327"/>
      <c r="AU1594" s="327">
        <v>0</v>
      </c>
      <c r="AV1594" s="327">
        <v>-9999</v>
      </c>
      <c r="AW1594" s="327"/>
      <c r="AX1594" s="327">
        <v>0</v>
      </c>
      <c r="AY1594" s="327">
        <v>-9999</v>
      </c>
      <c r="AZ1594" s="327">
        <v>-9999</v>
      </c>
      <c r="BA1594" s="327">
        <v>-9999</v>
      </c>
      <c r="BB1594" s="327" t="s">
        <v>631</v>
      </c>
      <c r="BC1594" s="327">
        <v>-9999</v>
      </c>
      <c r="BD1594" s="327">
        <v>-9999</v>
      </c>
      <c r="BE1594" s="327">
        <v>-9999</v>
      </c>
      <c r="BF1594" s="327">
        <v>-9999</v>
      </c>
      <c r="BG1594" s="327">
        <v>-9999</v>
      </c>
      <c r="BH1594" s="327">
        <v>-9999</v>
      </c>
      <c r="BI1594" s="327">
        <v>-9999</v>
      </c>
      <c r="BJ1594" s="328">
        <v>24.14</v>
      </c>
      <c r="BK1594" s="327">
        <v>-9999</v>
      </c>
      <c r="BL1594" s="368">
        <v>14.838710000000001</v>
      </c>
      <c r="BM1594" s="327">
        <v>-9999</v>
      </c>
      <c r="BN1594" s="327">
        <v>-9999</v>
      </c>
      <c r="BO1594" s="327">
        <v>-9999</v>
      </c>
      <c r="BP1594" s="327">
        <v>-9999</v>
      </c>
      <c r="BQ1594" s="327">
        <v>-9999</v>
      </c>
      <c r="BR1594" s="327">
        <v>-9999</v>
      </c>
      <c r="BS1594" s="474">
        <v>-9999</v>
      </c>
      <c r="BT1594" s="327">
        <v>-9999</v>
      </c>
      <c r="BU1594" s="327">
        <v>-9999</v>
      </c>
      <c r="BV1594" s="327">
        <v>-9999</v>
      </c>
      <c r="BW1594" s="327"/>
      <c r="BX1594" s="327">
        <v>-9999</v>
      </c>
      <c r="BY1594" s="327">
        <v>-9999</v>
      </c>
      <c r="BZ1594" s="327">
        <v>-9999</v>
      </c>
      <c r="CA1594" s="369">
        <v>-9999</v>
      </c>
      <c r="CB1594" s="475"/>
      <c r="CC1594" s="327">
        <v>1</v>
      </c>
      <c r="CD1594" s="328">
        <v>14</v>
      </c>
      <c r="CE1594" s="342">
        <v>7.7111033999999998</v>
      </c>
      <c r="CF1594" s="342">
        <v>12.0277586</v>
      </c>
      <c r="CG1594" s="359">
        <v>14</v>
      </c>
    </row>
    <row r="1595" spans="1:86" s="301" customFormat="1" ht="12.75" customHeight="1" x14ac:dyDescent="0.2">
      <c r="A1595" s="327" t="s">
        <v>981</v>
      </c>
      <c r="B1595" s="327" t="s">
        <v>982</v>
      </c>
      <c r="C1595" s="327" t="s">
        <v>995</v>
      </c>
      <c r="D1595" s="327" t="s">
        <v>553</v>
      </c>
      <c r="E1595" s="327" t="s">
        <v>901</v>
      </c>
      <c r="F1595" s="327">
        <v>1</v>
      </c>
      <c r="G1595" s="328">
        <v>15</v>
      </c>
      <c r="H1595" s="328">
        <v>15</v>
      </c>
      <c r="I1595" s="327" t="s">
        <v>783</v>
      </c>
      <c r="J1595" s="327">
        <v>1987</v>
      </c>
      <c r="K1595" s="327" t="s">
        <v>783</v>
      </c>
      <c r="L1595" s="327">
        <v>2002</v>
      </c>
      <c r="M1595" s="368">
        <v>-9999</v>
      </c>
      <c r="N1595" s="327">
        <v>-9999</v>
      </c>
      <c r="O1595" s="71">
        <v>1.43</v>
      </c>
      <c r="P1595" s="370">
        <f t="shared" si="192"/>
        <v>126.67490549999999</v>
      </c>
      <c r="Q1595" s="327">
        <v>-9999</v>
      </c>
      <c r="R1595" s="368">
        <f t="shared" si="195"/>
        <v>88.583849999999998</v>
      </c>
      <c r="S1595" s="368"/>
      <c r="T1595" s="287">
        <f t="shared" si="193"/>
        <v>8.4364851999999999</v>
      </c>
      <c r="U1595" s="630">
        <v>-9999</v>
      </c>
      <c r="V1595" s="368">
        <f>5.89964</f>
        <v>5.8996399999999998</v>
      </c>
      <c r="W1595" s="287">
        <f t="shared" si="194"/>
        <v>19.128252</v>
      </c>
      <c r="X1595" s="327">
        <v>-9999</v>
      </c>
      <c r="Y1595" s="368">
        <f>13.3764</f>
        <v>13.3764</v>
      </c>
      <c r="Z1595" s="327" t="s">
        <v>1707</v>
      </c>
      <c r="AA1595" s="328">
        <v>1660</v>
      </c>
      <c r="AB1595" s="287">
        <v>0.84</v>
      </c>
      <c r="AC1595" s="327">
        <f t="shared" si="191"/>
        <v>0.6</v>
      </c>
      <c r="AD1595" s="327">
        <v>0.15</v>
      </c>
      <c r="AE1595" s="328" t="s">
        <v>1970</v>
      </c>
      <c r="AF1595" s="327">
        <v>4</v>
      </c>
      <c r="AG1595" s="327" t="s">
        <v>843</v>
      </c>
      <c r="AH1595" s="327" t="s">
        <v>876</v>
      </c>
      <c r="AI1595" s="327" t="s">
        <v>985</v>
      </c>
      <c r="AJ1595" s="327" t="s">
        <v>892</v>
      </c>
      <c r="AK1595" s="327" t="s">
        <v>966</v>
      </c>
      <c r="AL1595" s="327" t="s">
        <v>828</v>
      </c>
      <c r="AM1595" s="327" t="s">
        <v>871</v>
      </c>
      <c r="AN1595" s="327" t="s">
        <v>631</v>
      </c>
      <c r="AO1595" s="327">
        <v>-9999</v>
      </c>
      <c r="AP1595" s="327">
        <v>-9999</v>
      </c>
      <c r="AQ1595" s="327" t="s">
        <v>631</v>
      </c>
      <c r="AR1595" s="327">
        <v>0</v>
      </c>
      <c r="AS1595" s="327">
        <v>-9999</v>
      </c>
      <c r="AT1595" s="327"/>
      <c r="AU1595" s="327">
        <v>0</v>
      </c>
      <c r="AV1595" s="327">
        <v>-9999</v>
      </c>
      <c r="AW1595" s="327"/>
      <c r="AX1595" s="327">
        <v>0</v>
      </c>
      <c r="AY1595" s="327">
        <v>-9999</v>
      </c>
      <c r="AZ1595" s="327">
        <v>-9999</v>
      </c>
      <c r="BA1595" s="327">
        <v>-9999</v>
      </c>
      <c r="BB1595" s="327" t="s">
        <v>631</v>
      </c>
      <c r="BC1595" s="327">
        <v>-9999</v>
      </c>
      <c r="BD1595" s="327">
        <v>-9999</v>
      </c>
      <c r="BE1595" s="327">
        <v>-9999</v>
      </c>
      <c r="BF1595" s="327">
        <v>-9999</v>
      </c>
      <c r="BG1595" s="327">
        <v>-9999</v>
      </c>
      <c r="BH1595" s="327">
        <v>-9999</v>
      </c>
      <c r="BI1595" s="327">
        <v>-9999</v>
      </c>
      <c r="BJ1595" s="328">
        <v>25.77</v>
      </c>
      <c r="BK1595" s="327">
        <v>-9999</v>
      </c>
      <c r="BL1595" s="368">
        <v>16.048390000000001</v>
      </c>
      <c r="BM1595" s="327">
        <v>-9999</v>
      </c>
      <c r="BN1595" s="327">
        <v>14.9</v>
      </c>
      <c r="BO1595" s="327">
        <v>-9999</v>
      </c>
      <c r="BP1595" s="327">
        <v>-9999</v>
      </c>
      <c r="BQ1595" s="327">
        <v>-9999</v>
      </c>
      <c r="BR1595" s="327">
        <v>-9999</v>
      </c>
      <c r="BS1595" s="474">
        <v>-9999</v>
      </c>
      <c r="BT1595" s="327">
        <v>-9999</v>
      </c>
      <c r="BU1595" s="327">
        <v>-9999</v>
      </c>
      <c r="BV1595" s="327">
        <v>-9999</v>
      </c>
      <c r="BW1595" s="327"/>
      <c r="BX1595" s="327">
        <v>-9999</v>
      </c>
      <c r="BY1595" s="327">
        <v>-9999</v>
      </c>
      <c r="BZ1595" s="327">
        <v>-9999</v>
      </c>
      <c r="CA1595" s="369">
        <v>-9999</v>
      </c>
      <c r="CB1595" s="475"/>
      <c r="CC1595" s="327">
        <v>1</v>
      </c>
      <c r="CD1595" s="328">
        <v>15</v>
      </c>
      <c r="CE1595" s="409">
        <v>8.4364851999999999</v>
      </c>
      <c r="CF1595" s="342">
        <v>19.128252</v>
      </c>
      <c r="CG1595" s="355">
        <v>15</v>
      </c>
      <c r="CH1595" s="435" t="s">
        <v>1757</v>
      </c>
    </row>
    <row r="1596" spans="1:86" s="13" customFormat="1" ht="12.75" customHeight="1" x14ac:dyDescent="0.2">
      <c r="A1596" s="259"/>
      <c r="B1596" s="259"/>
      <c r="C1596" s="259"/>
      <c r="D1596" s="327"/>
      <c r="E1596" s="259"/>
      <c r="F1596" s="259"/>
      <c r="G1596" s="260"/>
      <c r="H1596" s="260"/>
      <c r="I1596" s="259"/>
      <c r="J1596" s="259"/>
      <c r="K1596" s="259"/>
      <c r="L1596" s="259"/>
      <c r="M1596" s="288"/>
      <c r="N1596" s="259"/>
      <c r="O1596" s="94"/>
      <c r="P1596" s="590"/>
      <c r="Q1596" s="259"/>
      <c r="R1596" s="288"/>
      <c r="S1596" s="259"/>
      <c r="T1596" s="738"/>
      <c r="U1596" s="288"/>
      <c r="V1596" s="368"/>
      <c r="W1596" s="650"/>
      <c r="X1596" s="288"/>
      <c r="Y1596" s="368"/>
      <c r="Z1596" s="259"/>
      <c r="AA1596" s="260"/>
      <c r="AB1596" s="288"/>
      <c r="AC1596" s="259"/>
      <c r="AD1596" s="259"/>
      <c r="AE1596" s="259"/>
      <c r="AF1596" s="259"/>
      <c r="AG1596" s="259"/>
      <c r="AH1596" s="259"/>
      <c r="AI1596" s="259"/>
      <c r="AJ1596" s="259"/>
      <c r="AK1596" s="327"/>
      <c r="AL1596" s="327"/>
      <c r="AM1596" s="327"/>
      <c r="AN1596" s="259"/>
      <c r="AO1596" s="259"/>
      <c r="AP1596" s="259"/>
      <c r="AQ1596" s="327"/>
      <c r="AR1596" s="259"/>
      <c r="AS1596" s="259"/>
      <c r="AT1596" s="259"/>
      <c r="AU1596" s="259"/>
      <c r="AV1596" s="259"/>
      <c r="AW1596" s="259"/>
      <c r="AX1596" s="259"/>
      <c r="AY1596" s="259"/>
      <c r="AZ1596" s="259"/>
      <c r="BA1596" s="327"/>
      <c r="BB1596" s="259"/>
      <c r="BC1596" s="259"/>
      <c r="BD1596" s="259"/>
      <c r="BE1596" s="259"/>
      <c r="BF1596" s="259"/>
      <c r="BG1596" s="259"/>
      <c r="BH1596" s="259"/>
      <c r="BI1596" s="259"/>
      <c r="BJ1596" s="260"/>
      <c r="BK1596" s="259"/>
      <c r="BL1596" s="288"/>
      <c r="BM1596" s="259"/>
      <c r="BN1596" s="259"/>
      <c r="BO1596" s="259"/>
      <c r="BP1596" s="259"/>
      <c r="BQ1596" s="259"/>
      <c r="BR1596" s="259"/>
      <c r="BS1596" s="474"/>
      <c r="BT1596" s="259"/>
      <c r="BU1596" s="259"/>
      <c r="BV1596" s="259"/>
      <c r="BW1596" s="259"/>
      <c r="BX1596" s="259"/>
      <c r="BY1596" s="259"/>
      <c r="BZ1596" s="259"/>
      <c r="CA1596" s="337"/>
      <c r="CB1596" s="592"/>
      <c r="CC1596" s="259"/>
      <c r="CD1596" s="260"/>
      <c r="CG1596" s="101"/>
    </row>
    <row r="1597" spans="1:86" s="301" customFormat="1" ht="12.75" customHeight="1" x14ac:dyDescent="0.2">
      <c r="A1597" s="327" t="s">
        <v>981</v>
      </c>
      <c r="B1597" s="327" t="s">
        <v>982</v>
      </c>
      <c r="C1597" s="327" t="s">
        <v>996</v>
      </c>
      <c r="D1597" s="327" t="s">
        <v>553</v>
      </c>
      <c r="E1597" s="327" t="s">
        <v>901</v>
      </c>
      <c r="F1597" s="327">
        <v>1</v>
      </c>
      <c r="G1597" s="328">
        <v>1</v>
      </c>
      <c r="H1597" s="328">
        <v>1</v>
      </c>
      <c r="I1597" s="327" t="s">
        <v>783</v>
      </c>
      <c r="J1597" s="327">
        <v>1987</v>
      </c>
      <c r="K1597" s="327" t="s">
        <v>783</v>
      </c>
      <c r="L1597" s="327">
        <v>1988</v>
      </c>
      <c r="M1597" s="368">
        <v>-9999</v>
      </c>
      <c r="N1597" s="327">
        <v>-9999</v>
      </c>
      <c r="O1597" s="323">
        <v>-9999</v>
      </c>
      <c r="P1597" s="368">
        <v>-9999</v>
      </c>
      <c r="Q1597" s="327">
        <v>-9999</v>
      </c>
      <c r="R1597" s="368">
        <v>-9999</v>
      </c>
      <c r="S1597" s="327"/>
      <c r="T1597" s="368">
        <v>-9999</v>
      </c>
      <c r="U1597" s="367">
        <v>-9999</v>
      </c>
      <c r="V1597" s="327">
        <v>-9999</v>
      </c>
      <c r="W1597" s="368">
        <v>-9999</v>
      </c>
      <c r="X1597" s="367">
        <v>-9999</v>
      </c>
      <c r="Y1597" s="327">
        <v>-9999</v>
      </c>
      <c r="Z1597" s="327" t="s">
        <v>1707</v>
      </c>
      <c r="AA1597" s="327">
        <v>1660</v>
      </c>
      <c r="AB1597" s="368">
        <v>1</v>
      </c>
      <c r="AC1597" s="327">
        <f t="shared" ref="AC1597:AC1611" si="196">0.15*4</f>
        <v>0.6</v>
      </c>
      <c r="AD1597" s="327">
        <v>0.15</v>
      </c>
      <c r="AE1597" s="328" t="s">
        <v>1970</v>
      </c>
      <c r="AF1597" s="327">
        <v>4</v>
      </c>
      <c r="AG1597" s="327" t="s">
        <v>843</v>
      </c>
      <c r="AH1597" s="327" t="s">
        <v>876</v>
      </c>
      <c r="AI1597" s="327" t="s">
        <v>985</v>
      </c>
      <c r="AJ1597" s="327" t="s">
        <v>892</v>
      </c>
      <c r="AK1597" s="327" t="s">
        <v>966</v>
      </c>
      <c r="AL1597" s="327" t="s">
        <v>828</v>
      </c>
      <c r="AM1597" s="327" t="s">
        <v>871</v>
      </c>
      <c r="AN1597" s="327" t="s">
        <v>631</v>
      </c>
      <c r="AO1597" s="327">
        <v>-9999</v>
      </c>
      <c r="AP1597" s="327">
        <v>-9999</v>
      </c>
      <c r="AQ1597" s="327" t="s">
        <v>631</v>
      </c>
      <c r="AR1597" s="327">
        <v>0</v>
      </c>
      <c r="AS1597" s="327">
        <v>-9999</v>
      </c>
      <c r="AT1597" s="327"/>
      <c r="AU1597" s="327">
        <v>0</v>
      </c>
      <c r="AV1597" s="327">
        <v>-9999</v>
      </c>
      <c r="AW1597" s="327"/>
      <c r="AX1597" s="327">
        <v>0</v>
      </c>
      <c r="AY1597" s="327">
        <v>-9999</v>
      </c>
      <c r="AZ1597" s="327">
        <v>-9999</v>
      </c>
      <c r="BA1597" s="327">
        <v>-9999</v>
      </c>
      <c r="BB1597" s="327" t="s">
        <v>626</v>
      </c>
      <c r="BC1597" s="327" t="s">
        <v>987</v>
      </c>
      <c r="BD1597" s="327" t="s">
        <v>988</v>
      </c>
      <c r="BE1597" s="327" t="s">
        <v>989</v>
      </c>
      <c r="BF1597" s="327" t="s">
        <v>881</v>
      </c>
      <c r="BG1597" s="327" t="s">
        <v>990</v>
      </c>
      <c r="BH1597" s="327" t="s">
        <v>991</v>
      </c>
      <c r="BI1597" s="327">
        <v>-9999</v>
      </c>
      <c r="BJ1597" s="327">
        <v>-9999</v>
      </c>
      <c r="BK1597" s="327">
        <v>-9999</v>
      </c>
      <c r="BL1597" s="368">
        <v>0.56452000000000002</v>
      </c>
      <c r="BM1597" s="327">
        <v>-9999</v>
      </c>
      <c r="BN1597" s="327">
        <v>-9999</v>
      </c>
      <c r="BO1597" s="327">
        <v>-9999</v>
      </c>
      <c r="BP1597" s="327">
        <v>-9999</v>
      </c>
      <c r="BQ1597" s="327">
        <v>-9999</v>
      </c>
      <c r="BR1597" s="327">
        <v>-9999</v>
      </c>
      <c r="BS1597" s="474">
        <v>-9999</v>
      </c>
      <c r="BT1597" s="327">
        <v>-9999</v>
      </c>
      <c r="BU1597" s="327">
        <v>-9999</v>
      </c>
      <c r="BV1597" s="327">
        <v>-9999</v>
      </c>
      <c r="BW1597" s="327"/>
      <c r="BX1597" s="327">
        <v>-9999</v>
      </c>
      <c r="BY1597" s="327">
        <v>-9999</v>
      </c>
      <c r="BZ1597" s="327">
        <v>-9999</v>
      </c>
      <c r="CA1597" s="369">
        <v>-9999</v>
      </c>
      <c r="CB1597" s="475"/>
      <c r="CC1597" s="327">
        <v>1</v>
      </c>
      <c r="CD1597" s="328"/>
      <c r="CG1597" s="359">
        <v>1</v>
      </c>
    </row>
    <row r="1598" spans="1:86" s="301" customFormat="1" ht="12.75" customHeight="1" x14ac:dyDescent="0.2">
      <c r="A1598" s="327" t="s">
        <v>981</v>
      </c>
      <c r="B1598" s="327" t="s">
        <v>982</v>
      </c>
      <c r="C1598" s="327" t="s">
        <v>996</v>
      </c>
      <c r="D1598" s="327" t="s">
        <v>553</v>
      </c>
      <c r="E1598" s="327" t="s">
        <v>901</v>
      </c>
      <c r="F1598" s="327">
        <v>1</v>
      </c>
      <c r="G1598" s="328">
        <v>2</v>
      </c>
      <c r="H1598" s="328">
        <v>2</v>
      </c>
      <c r="I1598" s="327" t="s">
        <v>783</v>
      </c>
      <c r="J1598" s="327">
        <v>1987</v>
      </c>
      <c r="K1598" s="327" t="s">
        <v>783</v>
      </c>
      <c r="L1598" s="327">
        <v>1989</v>
      </c>
      <c r="M1598" s="368">
        <v>-9999</v>
      </c>
      <c r="N1598" s="327">
        <v>-9999</v>
      </c>
      <c r="O1598" s="323">
        <v>-9999</v>
      </c>
      <c r="P1598" s="368">
        <v>-9999</v>
      </c>
      <c r="Q1598" s="327">
        <v>-9999</v>
      </c>
      <c r="R1598" s="368">
        <v>-9999</v>
      </c>
      <c r="S1598" s="327"/>
      <c r="T1598" s="368">
        <v>-9999</v>
      </c>
      <c r="U1598" s="327">
        <v>-9999</v>
      </c>
      <c r="V1598" s="327">
        <v>-9999</v>
      </c>
      <c r="W1598" s="368">
        <v>-9999</v>
      </c>
      <c r="X1598" s="327">
        <v>-9999</v>
      </c>
      <c r="Y1598" s="327">
        <v>-9999</v>
      </c>
      <c r="Z1598" s="327" t="s">
        <v>1707</v>
      </c>
      <c r="AA1598" s="327">
        <v>1660</v>
      </c>
      <c r="AB1598" s="327">
        <v>-9999</v>
      </c>
      <c r="AC1598" s="327">
        <f t="shared" si="196"/>
        <v>0.6</v>
      </c>
      <c r="AD1598" s="327">
        <v>0.15</v>
      </c>
      <c r="AE1598" s="328" t="s">
        <v>1970</v>
      </c>
      <c r="AF1598" s="327">
        <v>4</v>
      </c>
      <c r="AG1598" s="327" t="s">
        <v>843</v>
      </c>
      <c r="AH1598" s="327" t="s">
        <v>876</v>
      </c>
      <c r="AI1598" s="327" t="s">
        <v>985</v>
      </c>
      <c r="AJ1598" s="327" t="s">
        <v>892</v>
      </c>
      <c r="AK1598" s="327" t="s">
        <v>966</v>
      </c>
      <c r="AL1598" s="327" t="s">
        <v>828</v>
      </c>
      <c r="AM1598" s="327" t="s">
        <v>871</v>
      </c>
      <c r="AN1598" s="327" t="s">
        <v>631</v>
      </c>
      <c r="AO1598" s="327">
        <v>-9999</v>
      </c>
      <c r="AP1598" s="327">
        <v>-9999</v>
      </c>
      <c r="AQ1598" s="327" t="s">
        <v>631</v>
      </c>
      <c r="AR1598" s="327">
        <v>0</v>
      </c>
      <c r="AS1598" s="327">
        <v>-9999</v>
      </c>
      <c r="AT1598" s="327"/>
      <c r="AU1598" s="327">
        <v>0</v>
      </c>
      <c r="AV1598" s="327">
        <v>-9999</v>
      </c>
      <c r="AW1598" s="327"/>
      <c r="AX1598" s="327">
        <v>0</v>
      </c>
      <c r="AY1598" s="327">
        <v>-9999</v>
      </c>
      <c r="AZ1598" s="327">
        <v>-9999</v>
      </c>
      <c r="BA1598" s="327">
        <v>-9999</v>
      </c>
      <c r="BB1598" s="327" t="s">
        <v>626</v>
      </c>
      <c r="BC1598" s="327" t="s">
        <v>987</v>
      </c>
      <c r="BD1598" s="327" t="s">
        <v>988</v>
      </c>
      <c r="BE1598" s="327" t="s">
        <v>989</v>
      </c>
      <c r="BF1598" s="327" t="s">
        <v>881</v>
      </c>
      <c r="BG1598" s="327" t="s">
        <v>990</v>
      </c>
      <c r="BH1598" s="327" t="s">
        <v>991</v>
      </c>
      <c r="BI1598" s="327">
        <v>-9999</v>
      </c>
      <c r="BJ1598" s="327">
        <v>-9999</v>
      </c>
      <c r="BK1598" s="327">
        <v>-9999</v>
      </c>
      <c r="BL1598" s="368">
        <v>1.37097</v>
      </c>
      <c r="BM1598" s="327">
        <v>-9999</v>
      </c>
      <c r="BN1598" s="327">
        <v>-9999</v>
      </c>
      <c r="BO1598" s="327">
        <v>-9999</v>
      </c>
      <c r="BP1598" s="327">
        <v>-9999</v>
      </c>
      <c r="BQ1598" s="327">
        <v>-9999</v>
      </c>
      <c r="BR1598" s="327">
        <v>-9999</v>
      </c>
      <c r="BS1598" s="474">
        <v>-9999</v>
      </c>
      <c r="BT1598" s="327">
        <v>-9999</v>
      </c>
      <c r="BU1598" s="327">
        <v>-9999</v>
      </c>
      <c r="BV1598" s="327">
        <v>-9999</v>
      </c>
      <c r="BW1598" s="327"/>
      <c r="BX1598" s="327">
        <v>-9999</v>
      </c>
      <c r="BY1598" s="327">
        <v>-9999</v>
      </c>
      <c r="BZ1598" s="327">
        <v>-9999</v>
      </c>
      <c r="CA1598" s="369">
        <v>-9999</v>
      </c>
      <c r="CB1598" s="475"/>
      <c r="CC1598" s="327">
        <v>1</v>
      </c>
      <c r="CD1598" s="328"/>
      <c r="CE1598" s="342" t="s">
        <v>1576</v>
      </c>
      <c r="CF1598" s="342" t="s">
        <v>1575</v>
      </c>
      <c r="CG1598" s="359">
        <v>2</v>
      </c>
    </row>
    <row r="1599" spans="1:86" s="301" customFormat="1" ht="12.75" customHeight="1" x14ac:dyDescent="0.2">
      <c r="A1599" s="327" t="s">
        <v>981</v>
      </c>
      <c r="B1599" s="327" t="s">
        <v>982</v>
      </c>
      <c r="C1599" s="327" t="s">
        <v>996</v>
      </c>
      <c r="D1599" s="327" t="s">
        <v>553</v>
      </c>
      <c r="E1599" s="327" t="s">
        <v>901</v>
      </c>
      <c r="F1599" s="327">
        <v>1</v>
      </c>
      <c r="G1599" s="328">
        <v>3</v>
      </c>
      <c r="H1599" s="328">
        <v>3</v>
      </c>
      <c r="I1599" s="327" t="s">
        <v>783</v>
      </c>
      <c r="J1599" s="327">
        <v>1987</v>
      </c>
      <c r="K1599" s="327" t="s">
        <v>783</v>
      </c>
      <c r="L1599" s="327">
        <v>1990</v>
      </c>
      <c r="M1599" s="368">
        <v>-9999</v>
      </c>
      <c r="N1599" s="327">
        <v>-9999</v>
      </c>
      <c r="O1599" s="70">
        <v>2.5</v>
      </c>
      <c r="P1599" s="370">
        <f t="shared" ref="P1599:P1611" si="197">+R1599*O1599</f>
        <v>4.3</v>
      </c>
      <c r="Q1599" s="327">
        <v>-9999</v>
      </c>
      <c r="R1599" s="368">
        <f>+Y1599</f>
        <v>1.72</v>
      </c>
      <c r="S1599" s="368"/>
      <c r="T1599" s="287">
        <f t="shared" ref="T1599:T1611" si="198">+V1599*O1599</f>
        <v>1.2725249999999999</v>
      </c>
      <c r="U1599" s="413">
        <v>-9999</v>
      </c>
      <c r="V1599" s="368">
        <v>0.50900999999999996</v>
      </c>
      <c r="W1599" s="287">
        <f t="shared" ref="W1599:W1611" si="199">Y1599*O1599</f>
        <v>4.3</v>
      </c>
      <c r="X1599" s="327">
        <v>-9999</v>
      </c>
      <c r="Y1599" s="373">
        <v>1.72</v>
      </c>
      <c r="Z1599" s="327" t="s">
        <v>1707</v>
      </c>
      <c r="AA1599" s="327">
        <v>1660</v>
      </c>
      <c r="AB1599" s="327">
        <v>-9999</v>
      </c>
      <c r="AC1599" s="327">
        <f t="shared" si="196"/>
        <v>0.6</v>
      </c>
      <c r="AD1599" s="327">
        <v>0.15</v>
      </c>
      <c r="AE1599" s="328" t="s">
        <v>1970</v>
      </c>
      <c r="AF1599" s="327">
        <v>4</v>
      </c>
      <c r="AG1599" s="327" t="s">
        <v>843</v>
      </c>
      <c r="AH1599" s="327" t="s">
        <v>876</v>
      </c>
      <c r="AI1599" s="327" t="s">
        <v>985</v>
      </c>
      <c r="AJ1599" s="327" t="s">
        <v>892</v>
      </c>
      <c r="AK1599" s="327" t="s">
        <v>966</v>
      </c>
      <c r="AL1599" s="327" t="s">
        <v>828</v>
      </c>
      <c r="AM1599" s="327" t="s">
        <v>871</v>
      </c>
      <c r="AN1599" s="327" t="s">
        <v>631</v>
      </c>
      <c r="AO1599" s="327">
        <v>-9999</v>
      </c>
      <c r="AP1599" s="327">
        <v>-9999</v>
      </c>
      <c r="AQ1599" s="327" t="s">
        <v>631</v>
      </c>
      <c r="AR1599" s="327">
        <v>0</v>
      </c>
      <c r="AS1599" s="327">
        <v>-9999</v>
      </c>
      <c r="AT1599" s="327"/>
      <c r="AU1599" s="327">
        <v>0</v>
      </c>
      <c r="AV1599" s="327">
        <v>-9999</v>
      </c>
      <c r="AW1599" s="327"/>
      <c r="AX1599" s="327">
        <v>0</v>
      </c>
      <c r="AY1599" s="327">
        <v>-9999</v>
      </c>
      <c r="AZ1599" s="327">
        <v>-9999</v>
      </c>
      <c r="BA1599" s="327">
        <v>-9999</v>
      </c>
      <c r="BB1599" s="327" t="s">
        <v>626</v>
      </c>
      <c r="BC1599" s="327" t="s">
        <v>987</v>
      </c>
      <c r="BD1599" s="327" t="s">
        <v>988</v>
      </c>
      <c r="BE1599" s="327" t="s">
        <v>989</v>
      </c>
      <c r="BF1599" s="327" t="s">
        <v>881</v>
      </c>
      <c r="BG1599" s="327" t="s">
        <v>990</v>
      </c>
      <c r="BH1599" s="327" t="s">
        <v>991</v>
      </c>
      <c r="BI1599" s="327">
        <v>-9999</v>
      </c>
      <c r="BJ1599" s="327">
        <v>-9999</v>
      </c>
      <c r="BK1599" s="327">
        <v>-9999</v>
      </c>
      <c r="BL1599" s="368">
        <v>3.3871000000000002</v>
      </c>
      <c r="BM1599" s="327">
        <v>-9999</v>
      </c>
      <c r="BN1599" s="327">
        <v>-9999</v>
      </c>
      <c r="BO1599" s="327">
        <v>-9999</v>
      </c>
      <c r="BP1599" s="327">
        <v>-9999</v>
      </c>
      <c r="BQ1599" s="327">
        <v>-9999</v>
      </c>
      <c r="BR1599" s="327">
        <v>-9999</v>
      </c>
      <c r="BS1599" s="474">
        <v>-9999</v>
      </c>
      <c r="BT1599" s="327">
        <v>-9999</v>
      </c>
      <c r="BU1599" s="327">
        <v>-9999</v>
      </c>
      <c r="BV1599" s="327">
        <v>-9999</v>
      </c>
      <c r="BW1599" s="327"/>
      <c r="BX1599" s="327">
        <v>-9999</v>
      </c>
      <c r="BY1599" s="327">
        <v>-9999</v>
      </c>
      <c r="BZ1599" s="327">
        <v>-9999</v>
      </c>
      <c r="CA1599" s="369">
        <v>-9999</v>
      </c>
      <c r="CB1599" s="475"/>
      <c r="CC1599" s="327">
        <v>1</v>
      </c>
      <c r="CD1599" s="328">
        <v>3</v>
      </c>
      <c r="CE1599" s="342">
        <v>1.2725249999999999</v>
      </c>
      <c r="CF1599" s="342">
        <v>4.3</v>
      </c>
      <c r="CG1599" s="359">
        <v>3</v>
      </c>
    </row>
    <row r="1600" spans="1:86" s="301" customFormat="1" ht="12.75" customHeight="1" x14ac:dyDescent="0.2">
      <c r="A1600" s="327" t="s">
        <v>981</v>
      </c>
      <c r="B1600" s="327" t="s">
        <v>982</v>
      </c>
      <c r="C1600" s="327" t="s">
        <v>996</v>
      </c>
      <c r="D1600" s="327" t="s">
        <v>553</v>
      </c>
      <c r="E1600" s="327" t="s">
        <v>901</v>
      </c>
      <c r="F1600" s="327">
        <v>1</v>
      </c>
      <c r="G1600" s="328">
        <v>4</v>
      </c>
      <c r="H1600" s="328">
        <v>4</v>
      </c>
      <c r="I1600" s="327" t="s">
        <v>783</v>
      </c>
      <c r="J1600" s="327">
        <v>1987</v>
      </c>
      <c r="K1600" s="327" t="s">
        <v>783</v>
      </c>
      <c r="L1600" s="327">
        <v>1991</v>
      </c>
      <c r="M1600" s="368">
        <v>-9999</v>
      </c>
      <c r="N1600" s="327">
        <v>-9999</v>
      </c>
      <c r="O1600" s="70">
        <v>2.0833333333333335</v>
      </c>
      <c r="P1600" s="370">
        <f t="shared" si="197"/>
        <v>12.1875</v>
      </c>
      <c r="Q1600" s="327">
        <v>-9999</v>
      </c>
      <c r="R1600" s="368">
        <f t="shared" ref="R1600:R1611" si="200">+R1599+Y1600</f>
        <v>5.85</v>
      </c>
      <c r="S1600" s="368"/>
      <c r="T1600" s="287">
        <f t="shared" si="198"/>
        <v>2.9879791666666669</v>
      </c>
      <c r="U1600" s="413">
        <v>-9999</v>
      </c>
      <c r="V1600" s="368">
        <v>1.4342299999999999</v>
      </c>
      <c r="W1600" s="287">
        <f t="shared" si="199"/>
        <v>8.6041666666666679</v>
      </c>
      <c r="X1600" s="327">
        <v>-9999</v>
      </c>
      <c r="Y1600" s="373">
        <v>4.13</v>
      </c>
      <c r="Z1600" s="327" t="s">
        <v>1707</v>
      </c>
      <c r="AA1600" s="327">
        <v>1660</v>
      </c>
      <c r="AB1600" s="327">
        <v>-9999</v>
      </c>
      <c r="AC1600" s="327">
        <f t="shared" si="196"/>
        <v>0.6</v>
      </c>
      <c r="AD1600" s="327">
        <v>0.15</v>
      </c>
      <c r="AE1600" s="328" t="s">
        <v>1970</v>
      </c>
      <c r="AF1600" s="327">
        <v>4</v>
      </c>
      <c r="AG1600" s="327" t="s">
        <v>843</v>
      </c>
      <c r="AH1600" s="327" t="s">
        <v>876</v>
      </c>
      <c r="AI1600" s="327" t="s">
        <v>985</v>
      </c>
      <c r="AJ1600" s="327" t="s">
        <v>892</v>
      </c>
      <c r="AK1600" s="327" t="s">
        <v>966</v>
      </c>
      <c r="AL1600" s="327" t="s">
        <v>828</v>
      </c>
      <c r="AM1600" s="327" t="s">
        <v>871</v>
      </c>
      <c r="AN1600" s="327" t="s">
        <v>631</v>
      </c>
      <c r="AO1600" s="327">
        <v>-9999</v>
      </c>
      <c r="AP1600" s="327">
        <v>-9999</v>
      </c>
      <c r="AQ1600" s="327" t="s">
        <v>631</v>
      </c>
      <c r="AR1600" s="327">
        <v>0</v>
      </c>
      <c r="AS1600" s="327">
        <v>-9999</v>
      </c>
      <c r="AT1600" s="327"/>
      <c r="AU1600" s="327">
        <v>0</v>
      </c>
      <c r="AV1600" s="327">
        <v>-9999</v>
      </c>
      <c r="AW1600" s="327"/>
      <c r="AX1600" s="327">
        <v>0</v>
      </c>
      <c r="AY1600" s="327">
        <v>-9999</v>
      </c>
      <c r="AZ1600" s="327">
        <v>-9999</v>
      </c>
      <c r="BA1600" s="327">
        <v>-9999</v>
      </c>
      <c r="BB1600" s="327" t="s">
        <v>626</v>
      </c>
      <c r="BC1600" s="327" t="s">
        <v>987</v>
      </c>
      <c r="BD1600" s="327" t="s">
        <v>988</v>
      </c>
      <c r="BE1600" s="327" t="s">
        <v>989</v>
      </c>
      <c r="BF1600" s="327" t="s">
        <v>881</v>
      </c>
      <c r="BG1600" s="327" t="s">
        <v>990</v>
      </c>
      <c r="BH1600" s="327" t="s">
        <v>991</v>
      </c>
      <c r="BI1600" s="327">
        <v>-9999</v>
      </c>
      <c r="BJ1600" s="327">
        <v>6</v>
      </c>
      <c r="BK1600" s="327">
        <v>-9999</v>
      </c>
      <c r="BL1600" s="368">
        <v>4.9193499999999997</v>
      </c>
      <c r="BM1600" s="327">
        <v>-9999</v>
      </c>
      <c r="BN1600" s="327">
        <v>-9999</v>
      </c>
      <c r="BO1600" s="327">
        <v>-9999</v>
      </c>
      <c r="BP1600" s="327">
        <v>-9999</v>
      </c>
      <c r="BQ1600" s="327">
        <v>-9999</v>
      </c>
      <c r="BR1600" s="327">
        <v>-9999</v>
      </c>
      <c r="BS1600" s="474">
        <v>-9999</v>
      </c>
      <c r="BT1600" s="327">
        <v>-9999</v>
      </c>
      <c r="BU1600" s="327">
        <v>-9999</v>
      </c>
      <c r="BV1600" s="327">
        <v>-9999</v>
      </c>
      <c r="BW1600" s="327"/>
      <c r="BX1600" s="327">
        <v>-9999</v>
      </c>
      <c r="BY1600" s="327">
        <v>-9999</v>
      </c>
      <c r="BZ1600" s="327">
        <v>-9999</v>
      </c>
      <c r="CA1600" s="369">
        <v>-9999</v>
      </c>
      <c r="CB1600" s="475"/>
      <c r="CC1600" s="327">
        <v>1</v>
      </c>
      <c r="CD1600" s="328">
        <v>4</v>
      </c>
      <c r="CE1600" s="342">
        <v>2.9879791666666669</v>
      </c>
      <c r="CF1600" s="342">
        <v>8.6041666666666679</v>
      </c>
      <c r="CG1600" s="359">
        <v>4</v>
      </c>
    </row>
    <row r="1601" spans="1:96" s="301" customFormat="1" ht="12.75" customHeight="1" x14ac:dyDescent="0.2">
      <c r="A1601" s="327" t="s">
        <v>981</v>
      </c>
      <c r="B1601" s="327" t="s">
        <v>982</v>
      </c>
      <c r="C1601" s="327" t="s">
        <v>996</v>
      </c>
      <c r="D1601" s="327" t="s">
        <v>553</v>
      </c>
      <c r="E1601" s="327" t="s">
        <v>901</v>
      </c>
      <c r="F1601" s="327">
        <v>1</v>
      </c>
      <c r="G1601" s="328">
        <v>5</v>
      </c>
      <c r="H1601" s="328">
        <v>5</v>
      </c>
      <c r="I1601" s="327" t="s">
        <v>783</v>
      </c>
      <c r="J1601" s="327">
        <v>1987</v>
      </c>
      <c r="K1601" s="327" t="s">
        <v>783</v>
      </c>
      <c r="L1601" s="327">
        <v>1992</v>
      </c>
      <c r="M1601" s="368">
        <v>-9999</v>
      </c>
      <c r="N1601" s="327">
        <v>-9999</v>
      </c>
      <c r="O1601" s="70">
        <v>1.7241379310344827</v>
      </c>
      <c r="P1601" s="370">
        <f t="shared" si="197"/>
        <v>24.637931034482754</v>
      </c>
      <c r="Q1601" s="327">
        <v>-9999</v>
      </c>
      <c r="R1601" s="368">
        <f t="shared" si="200"/>
        <v>14.29</v>
      </c>
      <c r="S1601" s="368"/>
      <c r="T1601" s="287">
        <f t="shared" si="198"/>
        <v>5.0289482758620689</v>
      </c>
      <c r="U1601" s="413">
        <v>-9999</v>
      </c>
      <c r="V1601" s="368">
        <v>2.9167900000000002</v>
      </c>
      <c r="W1601" s="287">
        <f t="shared" si="199"/>
        <v>14.551724137931032</v>
      </c>
      <c r="X1601" s="327">
        <v>-9999</v>
      </c>
      <c r="Y1601" s="373">
        <v>8.44</v>
      </c>
      <c r="Z1601" s="327" t="s">
        <v>1707</v>
      </c>
      <c r="AA1601" s="327">
        <v>1660</v>
      </c>
      <c r="AB1601" s="327">
        <v>-9999</v>
      </c>
      <c r="AC1601" s="327">
        <f t="shared" si="196"/>
        <v>0.6</v>
      </c>
      <c r="AD1601" s="327">
        <v>0.15</v>
      </c>
      <c r="AE1601" s="328" t="s">
        <v>1970</v>
      </c>
      <c r="AF1601" s="327">
        <v>4</v>
      </c>
      <c r="AG1601" s="327" t="s">
        <v>843</v>
      </c>
      <c r="AH1601" s="327" t="s">
        <v>876</v>
      </c>
      <c r="AI1601" s="327" t="s">
        <v>985</v>
      </c>
      <c r="AJ1601" s="327" t="s">
        <v>892</v>
      </c>
      <c r="AK1601" s="327" t="s">
        <v>966</v>
      </c>
      <c r="AL1601" s="327" t="s">
        <v>828</v>
      </c>
      <c r="AM1601" s="327" t="s">
        <v>871</v>
      </c>
      <c r="AN1601" s="327" t="s">
        <v>631</v>
      </c>
      <c r="AO1601" s="327">
        <v>-9999</v>
      </c>
      <c r="AP1601" s="327">
        <v>-9999</v>
      </c>
      <c r="AQ1601" s="327" t="s">
        <v>631</v>
      </c>
      <c r="AR1601" s="327">
        <v>0</v>
      </c>
      <c r="AS1601" s="327">
        <v>-9999</v>
      </c>
      <c r="AT1601" s="327"/>
      <c r="AU1601" s="327">
        <v>0</v>
      </c>
      <c r="AV1601" s="327">
        <v>-9999</v>
      </c>
      <c r="AW1601" s="327"/>
      <c r="AX1601" s="327">
        <v>0</v>
      </c>
      <c r="AY1601" s="327">
        <v>-9999</v>
      </c>
      <c r="AZ1601" s="327">
        <v>-9999</v>
      </c>
      <c r="BA1601" s="327">
        <v>-9999</v>
      </c>
      <c r="BB1601" s="327" t="s">
        <v>626</v>
      </c>
      <c r="BC1601" s="327" t="s">
        <v>987</v>
      </c>
      <c r="BD1601" s="327" t="s">
        <v>988</v>
      </c>
      <c r="BE1601" s="327" t="s">
        <v>989</v>
      </c>
      <c r="BF1601" s="327" t="s">
        <v>881</v>
      </c>
      <c r="BG1601" s="327" t="s">
        <v>990</v>
      </c>
      <c r="BH1601" s="327" t="s">
        <v>991</v>
      </c>
      <c r="BI1601" s="327">
        <v>-9999</v>
      </c>
      <c r="BJ1601" s="327">
        <v>11</v>
      </c>
      <c r="BK1601" s="327">
        <v>-9999</v>
      </c>
      <c r="BL1601" s="368">
        <v>7.0161300000000004</v>
      </c>
      <c r="BM1601" s="327">
        <v>-9999</v>
      </c>
      <c r="BN1601" s="327">
        <v>-9999</v>
      </c>
      <c r="BO1601" s="327">
        <v>-9999</v>
      </c>
      <c r="BP1601" s="327">
        <v>-9999</v>
      </c>
      <c r="BQ1601" s="327">
        <v>-9999</v>
      </c>
      <c r="BR1601" s="327">
        <v>-9999</v>
      </c>
      <c r="BS1601" s="474">
        <v>-9999</v>
      </c>
      <c r="BT1601" s="327">
        <v>-9999</v>
      </c>
      <c r="BU1601" s="327">
        <v>-9999</v>
      </c>
      <c r="BV1601" s="327">
        <v>-9999</v>
      </c>
      <c r="BW1601" s="327"/>
      <c r="BX1601" s="327">
        <v>-9999</v>
      </c>
      <c r="BY1601" s="327">
        <v>-9999</v>
      </c>
      <c r="BZ1601" s="327">
        <v>-9999</v>
      </c>
      <c r="CA1601" s="369">
        <v>-9999</v>
      </c>
      <c r="CB1601" s="475"/>
      <c r="CC1601" s="327">
        <v>1</v>
      </c>
      <c r="CD1601" s="328">
        <v>5</v>
      </c>
      <c r="CE1601" s="342">
        <v>5.0289482758620689</v>
      </c>
      <c r="CF1601" s="342">
        <v>14.551724137931032</v>
      </c>
      <c r="CG1601" s="359">
        <v>5</v>
      </c>
    </row>
    <row r="1602" spans="1:96" s="301" customFormat="1" ht="12.75" customHeight="1" x14ac:dyDescent="0.2">
      <c r="A1602" s="327" t="s">
        <v>981</v>
      </c>
      <c r="B1602" s="327" t="s">
        <v>982</v>
      </c>
      <c r="C1602" s="327" t="s">
        <v>996</v>
      </c>
      <c r="D1602" s="327" t="s">
        <v>553</v>
      </c>
      <c r="E1602" s="327" t="s">
        <v>901</v>
      </c>
      <c r="F1602" s="327">
        <v>1</v>
      </c>
      <c r="G1602" s="328">
        <v>6</v>
      </c>
      <c r="H1602" s="328">
        <v>6</v>
      </c>
      <c r="I1602" s="327" t="s">
        <v>783</v>
      </c>
      <c r="J1602" s="327">
        <v>1987</v>
      </c>
      <c r="K1602" s="327" t="s">
        <v>783</v>
      </c>
      <c r="L1602" s="327">
        <v>1993</v>
      </c>
      <c r="M1602" s="368">
        <v>-9999</v>
      </c>
      <c r="N1602" s="327">
        <v>-9999</v>
      </c>
      <c r="O1602" s="70">
        <v>1.639344262295082</v>
      </c>
      <c r="P1602" s="370">
        <f t="shared" si="197"/>
        <v>36.803278688524593</v>
      </c>
      <c r="Q1602" s="327">
        <v>-9999</v>
      </c>
      <c r="R1602" s="368">
        <f t="shared" si="200"/>
        <v>22.45</v>
      </c>
      <c r="S1602" s="368"/>
      <c r="T1602" s="287">
        <f t="shared" si="198"/>
        <v>6.0697540983606562</v>
      </c>
      <c r="U1602" s="413">
        <v>-9999</v>
      </c>
      <c r="V1602" s="368">
        <v>3.70255</v>
      </c>
      <c r="W1602" s="287">
        <f t="shared" si="199"/>
        <v>13.377049180327869</v>
      </c>
      <c r="X1602" s="327">
        <v>-9999</v>
      </c>
      <c r="Y1602" s="373">
        <v>8.16</v>
      </c>
      <c r="Z1602" s="327" t="s">
        <v>1707</v>
      </c>
      <c r="AA1602" s="327">
        <v>1660</v>
      </c>
      <c r="AB1602" s="327">
        <v>-9999</v>
      </c>
      <c r="AC1602" s="327">
        <f t="shared" si="196"/>
        <v>0.6</v>
      </c>
      <c r="AD1602" s="327">
        <v>0.15</v>
      </c>
      <c r="AE1602" s="328" t="s">
        <v>1970</v>
      </c>
      <c r="AF1602" s="327">
        <v>4</v>
      </c>
      <c r="AG1602" s="327" t="s">
        <v>843</v>
      </c>
      <c r="AH1602" s="327" t="s">
        <v>876</v>
      </c>
      <c r="AI1602" s="327" t="s">
        <v>985</v>
      </c>
      <c r="AJ1602" s="327" t="s">
        <v>892</v>
      </c>
      <c r="AK1602" s="327" t="s">
        <v>966</v>
      </c>
      <c r="AL1602" s="327" t="s">
        <v>828</v>
      </c>
      <c r="AM1602" s="327" t="s">
        <v>871</v>
      </c>
      <c r="AN1602" s="327" t="s">
        <v>631</v>
      </c>
      <c r="AO1602" s="327">
        <v>-9999</v>
      </c>
      <c r="AP1602" s="327">
        <v>-9999</v>
      </c>
      <c r="AQ1602" s="327" t="s">
        <v>631</v>
      </c>
      <c r="AR1602" s="327">
        <v>0</v>
      </c>
      <c r="AS1602" s="327">
        <v>-9999</v>
      </c>
      <c r="AT1602" s="327"/>
      <c r="AU1602" s="327">
        <v>0</v>
      </c>
      <c r="AV1602" s="327">
        <v>-9999</v>
      </c>
      <c r="AW1602" s="327"/>
      <c r="AX1602" s="327">
        <v>0</v>
      </c>
      <c r="AY1602" s="327">
        <v>-9999</v>
      </c>
      <c r="AZ1602" s="327">
        <v>-9999</v>
      </c>
      <c r="BA1602" s="327">
        <v>-9999</v>
      </c>
      <c r="BB1602" s="327" t="s">
        <v>626</v>
      </c>
      <c r="BC1602" s="327" t="s">
        <v>987</v>
      </c>
      <c r="BD1602" s="327" t="s">
        <v>988</v>
      </c>
      <c r="BE1602" s="327" t="s">
        <v>989</v>
      </c>
      <c r="BF1602" s="327" t="s">
        <v>881</v>
      </c>
      <c r="BG1602" s="327" t="s">
        <v>990</v>
      </c>
      <c r="BH1602" s="327" t="s">
        <v>991</v>
      </c>
      <c r="BI1602" s="327">
        <v>-9999</v>
      </c>
      <c r="BJ1602" s="327">
        <v>15</v>
      </c>
      <c r="BK1602" s="327">
        <v>-9999</v>
      </c>
      <c r="BL1602" s="368">
        <v>8.3064499999999999</v>
      </c>
      <c r="BM1602" s="327">
        <v>-9999</v>
      </c>
      <c r="BN1602" s="327">
        <v>-9999</v>
      </c>
      <c r="BO1602" s="327">
        <v>-9999</v>
      </c>
      <c r="BP1602" s="327">
        <v>-9999</v>
      </c>
      <c r="BQ1602" s="327">
        <v>-9999</v>
      </c>
      <c r="BR1602" s="327">
        <v>-9999</v>
      </c>
      <c r="BS1602" s="474">
        <v>-9999</v>
      </c>
      <c r="BT1602" s="327">
        <v>-9999</v>
      </c>
      <c r="BU1602" s="327">
        <v>-9999</v>
      </c>
      <c r="BV1602" s="327">
        <v>-9999</v>
      </c>
      <c r="BW1602" s="327"/>
      <c r="BX1602" s="327">
        <v>-9999</v>
      </c>
      <c r="BY1602" s="327">
        <v>-9999</v>
      </c>
      <c r="BZ1602" s="327">
        <v>-9999</v>
      </c>
      <c r="CA1602" s="369">
        <v>-9999</v>
      </c>
      <c r="CB1602" s="475"/>
      <c r="CC1602" s="327">
        <v>1</v>
      </c>
      <c r="CD1602" s="328">
        <v>6</v>
      </c>
      <c r="CE1602" s="342">
        <v>6.0697540983606562</v>
      </c>
      <c r="CF1602" s="342">
        <v>13.377049180327869</v>
      </c>
      <c r="CG1602" s="359">
        <v>6</v>
      </c>
    </row>
    <row r="1603" spans="1:96" s="301" customFormat="1" ht="12.75" customHeight="1" x14ac:dyDescent="0.2">
      <c r="A1603" s="327" t="s">
        <v>981</v>
      </c>
      <c r="B1603" s="327" t="s">
        <v>982</v>
      </c>
      <c r="C1603" s="327" t="s">
        <v>996</v>
      </c>
      <c r="D1603" s="327" t="s">
        <v>553</v>
      </c>
      <c r="E1603" s="327" t="s">
        <v>901</v>
      </c>
      <c r="F1603" s="327">
        <v>1</v>
      </c>
      <c r="G1603" s="328">
        <v>7</v>
      </c>
      <c r="H1603" s="328">
        <v>7</v>
      </c>
      <c r="I1603" s="327" t="s">
        <v>783</v>
      </c>
      <c r="J1603" s="327">
        <v>1987</v>
      </c>
      <c r="K1603" s="327" t="s">
        <v>783</v>
      </c>
      <c r="L1603" s="327">
        <v>1994</v>
      </c>
      <c r="M1603" s="368">
        <v>-9999</v>
      </c>
      <c r="N1603" s="327">
        <v>-9999</v>
      </c>
      <c r="O1603" s="70">
        <v>1.6129032258064515</v>
      </c>
      <c r="P1603" s="370">
        <f t="shared" si="197"/>
        <v>49.37096774193548</v>
      </c>
      <c r="Q1603" s="327">
        <v>-9999</v>
      </c>
      <c r="R1603" s="368">
        <f t="shared" si="200"/>
        <v>30.61</v>
      </c>
      <c r="S1603" s="368"/>
      <c r="T1603" s="287">
        <f t="shared" si="198"/>
        <v>6.9400483870967742</v>
      </c>
      <c r="U1603" s="413">
        <v>-9999</v>
      </c>
      <c r="V1603" s="368">
        <v>4.3028300000000002</v>
      </c>
      <c r="W1603" s="287">
        <f t="shared" si="199"/>
        <v>13.161290322580644</v>
      </c>
      <c r="X1603" s="327">
        <v>-9999</v>
      </c>
      <c r="Y1603" s="373">
        <v>8.16</v>
      </c>
      <c r="Z1603" s="327" t="s">
        <v>1707</v>
      </c>
      <c r="AA1603" s="327">
        <v>1660</v>
      </c>
      <c r="AB1603" s="327">
        <v>-9999</v>
      </c>
      <c r="AC1603" s="327">
        <f t="shared" si="196"/>
        <v>0.6</v>
      </c>
      <c r="AD1603" s="327">
        <v>0.15</v>
      </c>
      <c r="AE1603" s="328" t="s">
        <v>1970</v>
      </c>
      <c r="AF1603" s="327">
        <v>4</v>
      </c>
      <c r="AG1603" s="327" t="s">
        <v>843</v>
      </c>
      <c r="AH1603" s="327" t="s">
        <v>876</v>
      </c>
      <c r="AI1603" s="327" t="s">
        <v>985</v>
      </c>
      <c r="AJ1603" s="327" t="s">
        <v>892</v>
      </c>
      <c r="AK1603" s="327" t="s">
        <v>966</v>
      </c>
      <c r="AL1603" s="327" t="s">
        <v>828</v>
      </c>
      <c r="AM1603" s="327" t="s">
        <v>871</v>
      </c>
      <c r="AN1603" s="327" t="s">
        <v>631</v>
      </c>
      <c r="AO1603" s="327">
        <v>-9999</v>
      </c>
      <c r="AP1603" s="327">
        <v>-9999</v>
      </c>
      <c r="AQ1603" s="327" t="s">
        <v>631</v>
      </c>
      <c r="AR1603" s="327">
        <v>0</v>
      </c>
      <c r="AS1603" s="327">
        <v>-9999</v>
      </c>
      <c r="AT1603" s="327"/>
      <c r="AU1603" s="327">
        <v>0</v>
      </c>
      <c r="AV1603" s="327">
        <v>-9999</v>
      </c>
      <c r="AW1603" s="327"/>
      <c r="AX1603" s="327">
        <v>0</v>
      </c>
      <c r="AY1603" s="327">
        <v>-9999</v>
      </c>
      <c r="AZ1603" s="327">
        <v>-9999</v>
      </c>
      <c r="BA1603" s="327">
        <v>-9999</v>
      </c>
      <c r="BB1603" s="327" t="s">
        <v>626</v>
      </c>
      <c r="BC1603" s="327" t="s">
        <v>987</v>
      </c>
      <c r="BD1603" s="327" t="s">
        <v>988</v>
      </c>
      <c r="BE1603" s="327" t="s">
        <v>989</v>
      </c>
      <c r="BF1603" s="327" t="s">
        <v>881</v>
      </c>
      <c r="BG1603" s="327" t="s">
        <v>990</v>
      </c>
      <c r="BH1603" s="327" t="s">
        <v>991</v>
      </c>
      <c r="BI1603" s="327">
        <v>-9999</v>
      </c>
      <c r="BJ1603" s="327">
        <v>19</v>
      </c>
      <c r="BK1603" s="327">
        <v>-9999</v>
      </c>
      <c r="BL1603" s="368">
        <v>9.5967699999999994</v>
      </c>
      <c r="BM1603" s="327">
        <v>-9999</v>
      </c>
      <c r="BN1603" s="327">
        <v>-9999</v>
      </c>
      <c r="BO1603" s="327">
        <v>-9999</v>
      </c>
      <c r="BP1603" s="327">
        <v>-9999</v>
      </c>
      <c r="BQ1603" s="327">
        <v>-9999</v>
      </c>
      <c r="BR1603" s="327">
        <v>-9999</v>
      </c>
      <c r="BS1603" s="474">
        <v>-9999</v>
      </c>
      <c r="BT1603" s="327">
        <v>-9999</v>
      </c>
      <c r="BU1603" s="327">
        <v>-9999</v>
      </c>
      <c r="BV1603" s="327">
        <v>-9999</v>
      </c>
      <c r="BW1603" s="327"/>
      <c r="BX1603" s="327">
        <v>-9999</v>
      </c>
      <c r="BY1603" s="327">
        <v>-9999</v>
      </c>
      <c r="BZ1603" s="327">
        <v>-9999</v>
      </c>
      <c r="CA1603" s="369">
        <v>-9999</v>
      </c>
      <c r="CB1603" s="475"/>
      <c r="CC1603" s="327">
        <v>1</v>
      </c>
      <c r="CD1603" s="328">
        <v>7</v>
      </c>
      <c r="CE1603" s="342">
        <v>6.9400483870967742</v>
      </c>
      <c r="CF1603" s="342">
        <v>13.161290322580644</v>
      </c>
      <c r="CG1603" s="359">
        <v>7</v>
      </c>
    </row>
    <row r="1604" spans="1:96" s="301" customFormat="1" ht="12.75" customHeight="1" x14ac:dyDescent="0.2">
      <c r="A1604" s="327" t="s">
        <v>981</v>
      </c>
      <c r="B1604" s="327" t="s">
        <v>982</v>
      </c>
      <c r="C1604" s="327" t="s">
        <v>996</v>
      </c>
      <c r="D1604" s="327" t="s">
        <v>553</v>
      </c>
      <c r="E1604" s="327" t="s">
        <v>901</v>
      </c>
      <c r="F1604" s="327">
        <v>1</v>
      </c>
      <c r="G1604" s="328">
        <v>8</v>
      </c>
      <c r="H1604" s="328">
        <v>8</v>
      </c>
      <c r="I1604" s="327" t="s">
        <v>783</v>
      </c>
      <c r="J1604" s="327">
        <v>1987</v>
      </c>
      <c r="K1604" s="327" t="s">
        <v>783</v>
      </c>
      <c r="L1604" s="327">
        <v>1995</v>
      </c>
      <c r="M1604" s="368">
        <v>-9999</v>
      </c>
      <c r="N1604" s="327">
        <v>-9999</v>
      </c>
      <c r="O1604" s="70">
        <v>1.5625</v>
      </c>
      <c r="P1604" s="370">
        <f t="shared" si="197"/>
        <v>61.875</v>
      </c>
      <c r="Q1604" s="327">
        <v>-9999</v>
      </c>
      <c r="R1604" s="368">
        <f t="shared" si="200"/>
        <v>39.6</v>
      </c>
      <c r="S1604" s="368"/>
      <c r="T1604" s="287">
        <f t="shared" si="198"/>
        <v>7.5882343749999999</v>
      </c>
      <c r="U1604" s="413">
        <v>-9999</v>
      </c>
      <c r="V1604" s="368">
        <v>4.8564699999999998</v>
      </c>
      <c r="W1604" s="287">
        <f t="shared" si="199"/>
        <v>14.046875</v>
      </c>
      <c r="X1604" s="327">
        <v>-9999</v>
      </c>
      <c r="Y1604" s="373">
        <v>8.99</v>
      </c>
      <c r="Z1604" s="327" t="s">
        <v>1707</v>
      </c>
      <c r="AA1604" s="327">
        <v>1660</v>
      </c>
      <c r="AB1604" s="327">
        <v>-9999</v>
      </c>
      <c r="AC1604" s="327">
        <f t="shared" si="196"/>
        <v>0.6</v>
      </c>
      <c r="AD1604" s="327">
        <v>0.15</v>
      </c>
      <c r="AE1604" s="328" t="s">
        <v>1970</v>
      </c>
      <c r="AF1604" s="327">
        <v>4</v>
      </c>
      <c r="AG1604" s="327" t="s">
        <v>843</v>
      </c>
      <c r="AH1604" s="327" t="s">
        <v>876</v>
      </c>
      <c r="AI1604" s="327" t="s">
        <v>985</v>
      </c>
      <c r="AJ1604" s="327" t="s">
        <v>892</v>
      </c>
      <c r="AK1604" s="327" t="s">
        <v>966</v>
      </c>
      <c r="AL1604" s="327" t="s">
        <v>828</v>
      </c>
      <c r="AM1604" s="327" t="s">
        <v>871</v>
      </c>
      <c r="AN1604" s="327" t="s">
        <v>631</v>
      </c>
      <c r="AO1604" s="327">
        <v>-9999</v>
      </c>
      <c r="AP1604" s="327">
        <v>-9999</v>
      </c>
      <c r="AQ1604" s="327" t="s">
        <v>631</v>
      </c>
      <c r="AR1604" s="327">
        <v>0</v>
      </c>
      <c r="AS1604" s="327">
        <v>-9999</v>
      </c>
      <c r="AT1604" s="327"/>
      <c r="AU1604" s="327">
        <v>0</v>
      </c>
      <c r="AV1604" s="327">
        <v>-9999</v>
      </c>
      <c r="AW1604" s="327"/>
      <c r="AX1604" s="327">
        <v>0</v>
      </c>
      <c r="AY1604" s="327">
        <v>-9999</v>
      </c>
      <c r="AZ1604" s="327">
        <v>-9999</v>
      </c>
      <c r="BA1604" s="327">
        <v>-9999</v>
      </c>
      <c r="BB1604" s="327" t="s">
        <v>626</v>
      </c>
      <c r="BC1604" s="327" t="s">
        <v>987</v>
      </c>
      <c r="BD1604" s="327" t="s">
        <v>988</v>
      </c>
      <c r="BE1604" s="327" t="s">
        <v>989</v>
      </c>
      <c r="BF1604" s="327" t="s">
        <v>881</v>
      </c>
      <c r="BG1604" s="327" t="s">
        <v>990</v>
      </c>
      <c r="BH1604" s="327" t="s">
        <v>991</v>
      </c>
      <c r="BI1604" s="327">
        <v>-9999</v>
      </c>
      <c r="BJ1604" s="327">
        <v>21</v>
      </c>
      <c r="BK1604" s="327">
        <v>-9999</v>
      </c>
      <c r="BL1604" s="368">
        <v>10.725809999999999</v>
      </c>
      <c r="BM1604" s="327">
        <v>-9999</v>
      </c>
      <c r="BN1604" s="327">
        <v>-9999</v>
      </c>
      <c r="BO1604" s="327">
        <v>-9999</v>
      </c>
      <c r="BP1604" s="327">
        <v>-9999</v>
      </c>
      <c r="BQ1604" s="327">
        <v>-9999</v>
      </c>
      <c r="BR1604" s="327">
        <v>-9999</v>
      </c>
      <c r="BS1604" s="474">
        <v>-9999</v>
      </c>
      <c r="BT1604" s="327">
        <v>-9999</v>
      </c>
      <c r="BU1604" s="327">
        <v>-9999</v>
      </c>
      <c r="BV1604" s="327">
        <v>-9999</v>
      </c>
      <c r="BW1604" s="327"/>
      <c r="BX1604" s="327">
        <v>-9999</v>
      </c>
      <c r="BY1604" s="327">
        <v>-9999</v>
      </c>
      <c r="BZ1604" s="327">
        <v>-9999</v>
      </c>
      <c r="CA1604" s="369">
        <v>-9999</v>
      </c>
      <c r="CB1604" s="475"/>
      <c r="CC1604" s="327">
        <v>1</v>
      </c>
      <c r="CD1604" s="328">
        <v>8</v>
      </c>
      <c r="CE1604" s="342">
        <v>7.5882343749999999</v>
      </c>
      <c r="CF1604" s="342">
        <v>14.046875</v>
      </c>
      <c r="CG1604" s="359">
        <v>8</v>
      </c>
    </row>
    <row r="1605" spans="1:96" s="301" customFormat="1" ht="12.75" customHeight="1" x14ac:dyDescent="0.2">
      <c r="A1605" s="327" t="s">
        <v>981</v>
      </c>
      <c r="B1605" s="327" t="s">
        <v>982</v>
      </c>
      <c r="C1605" s="327" t="s">
        <v>996</v>
      </c>
      <c r="D1605" s="327" t="s">
        <v>553</v>
      </c>
      <c r="E1605" s="327" t="s">
        <v>901</v>
      </c>
      <c r="F1605" s="327">
        <v>1</v>
      </c>
      <c r="G1605" s="328">
        <v>9</v>
      </c>
      <c r="H1605" s="328">
        <v>9</v>
      </c>
      <c r="I1605" s="327" t="s">
        <v>783</v>
      </c>
      <c r="J1605" s="327">
        <v>1987</v>
      </c>
      <c r="K1605" s="327" t="s">
        <v>783</v>
      </c>
      <c r="L1605" s="327">
        <v>1996</v>
      </c>
      <c r="M1605" s="368">
        <v>-9999</v>
      </c>
      <c r="N1605" s="327">
        <v>-9999</v>
      </c>
      <c r="O1605" s="70">
        <v>1.5384615384615385</v>
      </c>
      <c r="P1605" s="370">
        <f t="shared" si="197"/>
        <v>76.753846153846155</v>
      </c>
      <c r="Q1605" s="327">
        <v>-9999</v>
      </c>
      <c r="R1605" s="368">
        <f t="shared" si="200"/>
        <v>49.89</v>
      </c>
      <c r="S1605" s="368"/>
      <c r="T1605" s="287">
        <f t="shared" si="198"/>
        <v>8.3948923076923094</v>
      </c>
      <c r="U1605" s="413">
        <v>-9999</v>
      </c>
      <c r="V1605" s="368">
        <v>5.4566800000000004</v>
      </c>
      <c r="W1605" s="287">
        <f t="shared" si="199"/>
        <v>15.83076923076923</v>
      </c>
      <c r="X1605" s="327">
        <v>-9999</v>
      </c>
      <c r="Y1605" s="373">
        <v>10.29</v>
      </c>
      <c r="Z1605" s="327" t="s">
        <v>1707</v>
      </c>
      <c r="AA1605" s="327">
        <v>1660</v>
      </c>
      <c r="AB1605" s="327">
        <v>-9999</v>
      </c>
      <c r="AC1605" s="327">
        <f t="shared" si="196"/>
        <v>0.6</v>
      </c>
      <c r="AD1605" s="327">
        <v>0.15</v>
      </c>
      <c r="AE1605" s="328" t="s">
        <v>1970</v>
      </c>
      <c r="AF1605" s="327">
        <v>4</v>
      </c>
      <c r="AG1605" s="327" t="s">
        <v>843</v>
      </c>
      <c r="AH1605" s="327" t="s">
        <v>876</v>
      </c>
      <c r="AI1605" s="327" t="s">
        <v>985</v>
      </c>
      <c r="AJ1605" s="327" t="s">
        <v>892</v>
      </c>
      <c r="AK1605" s="327" t="s">
        <v>966</v>
      </c>
      <c r="AL1605" s="327" t="s">
        <v>828</v>
      </c>
      <c r="AM1605" s="327" t="s">
        <v>871</v>
      </c>
      <c r="AN1605" s="327" t="s">
        <v>631</v>
      </c>
      <c r="AO1605" s="327">
        <v>-9999</v>
      </c>
      <c r="AP1605" s="327">
        <v>-9999</v>
      </c>
      <c r="AQ1605" s="327" t="s">
        <v>631</v>
      </c>
      <c r="AR1605" s="327">
        <v>0</v>
      </c>
      <c r="AS1605" s="327">
        <v>-9999</v>
      </c>
      <c r="AT1605" s="327"/>
      <c r="AU1605" s="327">
        <v>0</v>
      </c>
      <c r="AV1605" s="327">
        <v>-9999</v>
      </c>
      <c r="AW1605" s="327"/>
      <c r="AX1605" s="327">
        <v>0</v>
      </c>
      <c r="AY1605" s="327">
        <v>-9999</v>
      </c>
      <c r="AZ1605" s="327">
        <v>-9999</v>
      </c>
      <c r="BA1605" s="327">
        <v>-9999</v>
      </c>
      <c r="BB1605" s="327" t="s">
        <v>626</v>
      </c>
      <c r="BC1605" s="327" t="s">
        <v>987</v>
      </c>
      <c r="BD1605" s="327" t="s">
        <v>988</v>
      </c>
      <c r="BE1605" s="327" t="s">
        <v>989</v>
      </c>
      <c r="BF1605" s="327" t="s">
        <v>881</v>
      </c>
      <c r="BG1605" s="327" t="s">
        <v>990</v>
      </c>
      <c r="BH1605" s="327" t="s">
        <v>991</v>
      </c>
      <c r="BI1605" s="327">
        <v>-9999</v>
      </c>
      <c r="BJ1605" s="327">
        <v>24</v>
      </c>
      <c r="BK1605" s="327">
        <v>-9999</v>
      </c>
      <c r="BL1605" s="368">
        <v>11.854839999999999</v>
      </c>
      <c r="BM1605" s="327">
        <v>-9999</v>
      </c>
      <c r="BN1605" s="327">
        <v>-9999</v>
      </c>
      <c r="BO1605" s="327">
        <v>-9999</v>
      </c>
      <c r="BP1605" s="327">
        <v>-9999</v>
      </c>
      <c r="BQ1605" s="327">
        <v>-9999</v>
      </c>
      <c r="BR1605" s="327">
        <v>-9999</v>
      </c>
      <c r="BS1605" s="474">
        <v>-9999</v>
      </c>
      <c r="BT1605" s="327">
        <v>-9999</v>
      </c>
      <c r="BU1605" s="327">
        <v>-9999</v>
      </c>
      <c r="BV1605" s="327">
        <v>-9999</v>
      </c>
      <c r="BW1605" s="327"/>
      <c r="BX1605" s="327">
        <v>-9999</v>
      </c>
      <c r="BY1605" s="327">
        <v>-9999</v>
      </c>
      <c r="BZ1605" s="327">
        <v>-9999</v>
      </c>
      <c r="CA1605" s="369">
        <v>-9999</v>
      </c>
      <c r="CB1605" s="475"/>
      <c r="CC1605" s="327">
        <v>1</v>
      </c>
      <c r="CD1605" s="328">
        <v>9</v>
      </c>
      <c r="CE1605" s="342">
        <v>8.3948923076923094</v>
      </c>
      <c r="CF1605" s="342">
        <v>15.83076923076923</v>
      </c>
      <c r="CG1605" s="359">
        <v>9</v>
      </c>
    </row>
    <row r="1606" spans="1:96" s="301" customFormat="1" ht="12.75" customHeight="1" x14ac:dyDescent="0.2">
      <c r="A1606" s="327" t="s">
        <v>981</v>
      </c>
      <c r="B1606" s="327" t="s">
        <v>982</v>
      </c>
      <c r="C1606" s="327" t="s">
        <v>996</v>
      </c>
      <c r="D1606" s="327" t="s">
        <v>553</v>
      </c>
      <c r="E1606" s="327" t="s">
        <v>901</v>
      </c>
      <c r="F1606" s="327">
        <v>1</v>
      </c>
      <c r="G1606" s="328">
        <v>10</v>
      </c>
      <c r="H1606" s="328">
        <v>10</v>
      </c>
      <c r="I1606" s="327" t="s">
        <v>783</v>
      </c>
      <c r="J1606" s="327">
        <v>1987</v>
      </c>
      <c r="K1606" s="327" t="s">
        <v>783</v>
      </c>
      <c r="L1606" s="327">
        <v>1997</v>
      </c>
      <c r="M1606" s="368">
        <v>-9999</v>
      </c>
      <c r="N1606" s="327">
        <v>-9999</v>
      </c>
      <c r="O1606" s="70">
        <v>1.5151515151515151</v>
      </c>
      <c r="P1606" s="370">
        <f t="shared" si="197"/>
        <v>89.621212121212125</v>
      </c>
      <c r="Q1606" s="327">
        <v>-9999</v>
      </c>
      <c r="R1606" s="368">
        <f t="shared" si="200"/>
        <v>59.15</v>
      </c>
      <c r="S1606" s="368"/>
      <c r="T1606" s="287">
        <f t="shared" si="198"/>
        <v>8.895545454545454</v>
      </c>
      <c r="U1606" s="413">
        <v>-9999</v>
      </c>
      <c r="V1606" s="368">
        <v>5.8710599999999999</v>
      </c>
      <c r="W1606" s="287">
        <f t="shared" si="199"/>
        <v>14.030303030303029</v>
      </c>
      <c r="X1606" s="327">
        <v>-9999</v>
      </c>
      <c r="Y1606" s="373">
        <v>9.26</v>
      </c>
      <c r="Z1606" s="327" t="s">
        <v>1707</v>
      </c>
      <c r="AA1606" s="327">
        <v>1660</v>
      </c>
      <c r="AB1606" s="327">
        <v>-9999</v>
      </c>
      <c r="AC1606" s="327">
        <f t="shared" si="196"/>
        <v>0.6</v>
      </c>
      <c r="AD1606" s="327">
        <v>0.15</v>
      </c>
      <c r="AE1606" s="328" t="s">
        <v>1970</v>
      </c>
      <c r="AF1606" s="327">
        <v>4</v>
      </c>
      <c r="AG1606" s="327" t="s">
        <v>843</v>
      </c>
      <c r="AH1606" s="327" t="s">
        <v>876</v>
      </c>
      <c r="AI1606" s="327" t="s">
        <v>985</v>
      </c>
      <c r="AJ1606" s="327" t="s">
        <v>892</v>
      </c>
      <c r="AK1606" s="327" t="s">
        <v>966</v>
      </c>
      <c r="AL1606" s="327" t="s">
        <v>828</v>
      </c>
      <c r="AM1606" s="327" t="s">
        <v>871</v>
      </c>
      <c r="AN1606" s="327" t="s">
        <v>631</v>
      </c>
      <c r="AO1606" s="327">
        <v>-9999</v>
      </c>
      <c r="AP1606" s="327">
        <v>-9999</v>
      </c>
      <c r="AQ1606" s="327" t="s">
        <v>631</v>
      </c>
      <c r="AR1606" s="327">
        <v>0</v>
      </c>
      <c r="AS1606" s="327">
        <v>-9999</v>
      </c>
      <c r="AT1606" s="327"/>
      <c r="AU1606" s="327">
        <v>0</v>
      </c>
      <c r="AV1606" s="327">
        <v>-9999</v>
      </c>
      <c r="AW1606" s="327"/>
      <c r="AX1606" s="327">
        <v>0</v>
      </c>
      <c r="AY1606" s="327">
        <v>-9999</v>
      </c>
      <c r="AZ1606" s="327">
        <v>-9999</v>
      </c>
      <c r="BA1606" s="327">
        <v>-9999</v>
      </c>
      <c r="BB1606" s="327" t="s">
        <v>626</v>
      </c>
      <c r="BC1606" s="327" t="s">
        <v>987</v>
      </c>
      <c r="BD1606" s="327" t="s">
        <v>988</v>
      </c>
      <c r="BE1606" s="327" t="s">
        <v>989</v>
      </c>
      <c r="BF1606" s="327" t="s">
        <v>881</v>
      </c>
      <c r="BG1606" s="327" t="s">
        <v>990</v>
      </c>
      <c r="BH1606" s="327" t="s">
        <v>991</v>
      </c>
      <c r="BI1606" s="327">
        <v>-9999</v>
      </c>
      <c r="BJ1606" s="327">
        <v>26</v>
      </c>
      <c r="BK1606" s="327">
        <v>-9999</v>
      </c>
      <c r="BL1606" s="368">
        <v>12.903230000000001</v>
      </c>
      <c r="BM1606" s="327">
        <v>-9999</v>
      </c>
      <c r="BN1606" s="327">
        <v>-9999</v>
      </c>
      <c r="BO1606" s="327">
        <v>-9999</v>
      </c>
      <c r="BP1606" s="327">
        <v>-9999</v>
      </c>
      <c r="BQ1606" s="327">
        <v>-9999</v>
      </c>
      <c r="BR1606" s="327">
        <v>-9999</v>
      </c>
      <c r="BS1606" s="474">
        <v>-9999</v>
      </c>
      <c r="BT1606" s="327">
        <v>-9999</v>
      </c>
      <c r="BU1606" s="327">
        <v>-9999</v>
      </c>
      <c r="BV1606" s="327">
        <v>-9999</v>
      </c>
      <c r="BW1606" s="327"/>
      <c r="BX1606" s="327">
        <v>-9999</v>
      </c>
      <c r="BY1606" s="327">
        <v>-9999</v>
      </c>
      <c r="BZ1606" s="327">
        <v>-9999</v>
      </c>
      <c r="CA1606" s="369">
        <v>-9999</v>
      </c>
      <c r="CB1606" s="475"/>
      <c r="CC1606" s="327">
        <v>1</v>
      </c>
      <c r="CD1606" s="328">
        <v>10</v>
      </c>
      <c r="CE1606" s="342">
        <v>8.895545454545454</v>
      </c>
      <c r="CF1606" s="342">
        <v>14.030303030303029</v>
      </c>
      <c r="CG1606" s="359">
        <v>10</v>
      </c>
    </row>
    <row r="1607" spans="1:96" s="301" customFormat="1" ht="12.75" customHeight="1" x14ac:dyDescent="0.2">
      <c r="A1607" s="327" t="s">
        <v>981</v>
      </c>
      <c r="B1607" s="327" t="s">
        <v>982</v>
      </c>
      <c r="C1607" s="327" t="s">
        <v>996</v>
      </c>
      <c r="D1607" s="327" t="s">
        <v>553</v>
      </c>
      <c r="E1607" s="327" t="s">
        <v>901</v>
      </c>
      <c r="F1607" s="327">
        <v>1</v>
      </c>
      <c r="G1607" s="328">
        <v>11</v>
      </c>
      <c r="H1607" s="328">
        <v>11</v>
      </c>
      <c r="I1607" s="327" t="s">
        <v>783</v>
      </c>
      <c r="J1607" s="327">
        <v>1987</v>
      </c>
      <c r="K1607" s="327" t="s">
        <v>783</v>
      </c>
      <c r="L1607" s="327">
        <v>1998</v>
      </c>
      <c r="M1607" s="368">
        <v>-9999</v>
      </c>
      <c r="N1607" s="327">
        <v>-9999</v>
      </c>
      <c r="O1607" s="70">
        <v>1.4705882352941178</v>
      </c>
      <c r="P1607" s="370">
        <f t="shared" si="197"/>
        <v>105.38235294117648</v>
      </c>
      <c r="Q1607" s="327">
        <v>-9999</v>
      </c>
      <c r="R1607" s="368">
        <f t="shared" si="200"/>
        <v>71.66</v>
      </c>
      <c r="S1607" s="368"/>
      <c r="T1607" s="287">
        <f t="shared" si="198"/>
        <v>9.5163676470588232</v>
      </c>
      <c r="U1607" s="413">
        <v>-9999</v>
      </c>
      <c r="V1607" s="368">
        <v>6.4711299999999996</v>
      </c>
      <c r="W1607" s="287">
        <f t="shared" si="199"/>
        <v>18.397058823529413</v>
      </c>
      <c r="X1607" s="327">
        <v>-9999</v>
      </c>
      <c r="Y1607" s="373">
        <v>12.51</v>
      </c>
      <c r="Z1607" s="327" t="s">
        <v>1707</v>
      </c>
      <c r="AA1607" s="327">
        <v>1660</v>
      </c>
      <c r="AB1607" s="327">
        <v>-9999</v>
      </c>
      <c r="AC1607" s="327">
        <f t="shared" si="196"/>
        <v>0.6</v>
      </c>
      <c r="AD1607" s="327">
        <v>0.15</v>
      </c>
      <c r="AE1607" s="328" t="s">
        <v>1970</v>
      </c>
      <c r="AF1607" s="327">
        <v>4</v>
      </c>
      <c r="AG1607" s="327" t="s">
        <v>843</v>
      </c>
      <c r="AH1607" s="327" t="s">
        <v>876</v>
      </c>
      <c r="AI1607" s="327" t="s">
        <v>985</v>
      </c>
      <c r="AJ1607" s="327" t="s">
        <v>892</v>
      </c>
      <c r="AK1607" s="327" t="s">
        <v>966</v>
      </c>
      <c r="AL1607" s="327" t="s">
        <v>828</v>
      </c>
      <c r="AM1607" s="327" t="s">
        <v>871</v>
      </c>
      <c r="AN1607" s="327" t="s">
        <v>631</v>
      </c>
      <c r="AO1607" s="327">
        <v>-9999</v>
      </c>
      <c r="AP1607" s="327">
        <v>-9999</v>
      </c>
      <c r="AQ1607" s="327" t="s">
        <v>631</v>
      </c>
      <c r="AR1607" s="327">
        <v>0</v>
      </c>
      <c r="AS1607" s="327">
        <v>-9999</v>
      </c>
      <c r="AT1607" s="327"/>
      <c r="AU1607" s="327">
        <v>0</v>
      </c>
      <c r="AV1607" s="327">
        <v>-9999</v>
      </c>
      <c r="AW1607" s="327"/>
      <c r="AX1607" s="327">
        <v>0</v>
      </c>
      <c r="AY1607" s="327">
        <v>-9999</v>
      </c>
      <c r="AZ1607" s="327">
        <v>-9999</v>
      </c>
      <c r="BA1607" s="327">
        <v>-9999</v>
      </c>
      <c r="BB1607" s="327" t="s">
        <v>626</v>
      </c>
      <c r="BC1607" s="327" t="s">
        <v>987</v>
      </c>
      <c r="BD1607" s="327" t="s">
        <v>988</v>
      </c>
      <c r="BE1607" s="327" t="s">
        <v>989</v>
      </c>
      <c r="BF1607" s="327" t="s">
        <v>881</v>
      </c>
      <c r="BG1607" s="327" t="s">
        <v>990</v>
      </c>
      <c r="BH1607" s="327" t="s">
        <v>991</v>
      </c>
      <c r="BI1607" s="327">
        <v>-9999</v>
      </c>
      <c r="BJ1607" s="327">
        <v>29</v>
      </c>
      <c r="BK1607" s="327">
        <v>-9999</v>
      </c>
      <c r="BL1607" s="368">
        <v>14.19355</v>
      </c>
      <c r="BM1607" s="327">
        <v>-9999</v>
      </c>
      <c r="BN1607" s="327">
        <v>-9999</v>
      </c>
      <c r="BO1607" s="327">
        <v>-9999</v>
      </c>
      <c r="BP1607" s="327">
        <v>-9999</v>
      </c>
      <c r="BQ1607" s="327">
        <v>-9999</v>
      </c>
      <c r="BR1607" s="327">
        <v>-9999</v>
      </c>
      <c r="BS1607" s="474">
        <v>-9999</v>
      </c>
      <c r="BT1607" s="327">
        <v>-9999</v>
      </c>
      <c r="BU1607" s="327">
        <v>-9999</v>
      </c>
      <c r="BV1607" s="327">
        <v>-9999</v>
      </c>
      <c r="BW1607" s="327"/>
      <c r="BX1607" s="327">
        <v>-9999</v>
      </c>
      <c r="BY1607" s="327">
        <v>-9999</v>
      </c>
      <c r="BZ1607" s="327">
        <v>-9999</v>
      </c>
      <c r="CA1607" s="369">
        <v>-9999</v>
      </c>
      <c r="CB1607" s="475"/>
      <c r="CC1607" s="327">
        <v>1</v>
      </c>
      <c r="CD1607" s="328">
        <v>11</v>
      </c>
      <c r="CE1607" s="342">
        <v>9.5163676470588232</v>
      </c>
      <c r="CF1607" s="342">
        <v>18.397058823529413</v>
      </c>
      <c r="CG1607" s="359">
        <v>11</v>
      </c>
    </row>
    <row r="1608" spans="1:96" s="301" customFormat="1" ht="12.75" customHeight="1" x14ac:dyDescent="0.2">
      <c r="A1608" s="327" t="s">
        <v>981</v>
      </c>
      <c r="B1608" s="327" t="s">
        <v>982</v>
      </c>
      <c r="C1608" s="327" t="s">
        <v>996</v>
      </c>
      <c r="D1608" s="327" t="s">
        <v>553</v>
      </c>
      <c r="E1608" s="327" t="s">
        <v>901</v>
      </c>
      <c r="F1608" s="327">
        <v>1</v>
      </c>
      <c r="G1608" s="328">
        <v>12</v>
      </c>
      <c r="H1608" s="328">
        <v>12</v>
      </c>
      <c r="I1608" s="327" t="s">
        <v>783</v>
      </c>
      <c r="J1608" s="327">
        <v>1987</v>
      </c>
      <c r="K1608" s="327" t="s">
        <v>783</v>
      </c>
      <c r="L1608" s="327">
        <v>1999</v>
      </c>
      <c r="M1608" s="368">
        <v>-9999</v>
      </c>
      <c r="N1608" s="327">
        <v>-9999</v>
      </c>
      <c r="O1608" s="70">
        <v>1.4285714285714286</v>
      </c>
      <c r="P1608" s="370">
        <f t="shared" si="197"/>
        <v>120.82857142857142</v>
      </c>
      <c r="Q1608" s="327">
        <v>-9999</v>
      </c>
      <c r="R1608" s="368">
        <f t="shared" si="200"/>
        <v>84.58</v>
      </c>
      <c r="S1608" s="368"/>
      <c r="T1608" s="287">
        <f t="shared" si="198"/>
        <v>9.8365571428571421</v>
      </c>
      <c r="U1608" s="413">
        <v>-9999</v>
      </c>
      <c r="V1608" s="368">
        <v>6.8855899999999997</v>
      </c>
      <c r="W1608" s="287">
        <f t="shared" si="199"/>
        <v>18.457142857142859</v>
      </c>
      <c r="X1608" s="327">
        <v>-9999</v>
      </c>
      <c r="Y1608" s="373">
        <v>12.92</v>
      </c>
      <c r="Z1608" s="327" t="s">
        <v>1707</v>
      </c>
      <c r="AA1608" s="327">
        <v>1660</v>
      </c>
      <c r="AB1608" s="327">
        <v>-9999</v>
      </c>
      <c r="AC1608" s="327">
        <f t="shared" si="196"/>
        <v>0.6</v>
      </c>
      <c r="AD1608" s="327">
        <v>0.15</v>
      </c>
      <c r="AE1608" s="328" t="s">
        <v>1970</v>
      </c>
      <c r="AF1608" s="327">
        <v>4</v>
      </c>
      <c r="AG1608" s="327" t="s">
        <v>843</v>
      </c>
      <c r="AH1608" s="327" t="s">
        <v>876</v>
      </c>
      <c r="AI1608" s="327" t="s">
        <v>985</v>
      </c>
      <c r="AJ1608" s="327" t="s">
        <v>892</v>
      </c>
      <c r="AK1608" s="327" t="s">
        <v>966</v>
      </c>
      <c r="AL1608" s="327" t="s">
        <v>828</v>
      </c>
      <c r="AM1608" s="327" t="s">
        <v>871</v>
      </c>
      <c r="AN1608" s="327" t="s">
        <v>631</v>
      </c>
      <c r="AO1608" s="327">
        <v>-9999</v>
      </c>
      <c r="AP1608" s="327">
        <v>-9999</v>
      </c>
      <c r="AQ1608" s="327" t="s">
        <v>631</v>
      </c>
      <c r="AR1608" s="327">
        <v>0</v>
      </c>
      <c r="AS1608" s="327">
        <v>-9999</v>
      </c>
      <c r="AT1608" s="327"/>
      <c r="AU1608" s="327">
        <v>0</v>
      </c>
      <c r="AV1608" s="327">
        <v>-9999</v>
      </c>
      <c r="AW1608" s="327"/>
      <c r="AX1608" s="327">
        <v>0</v>
      </c>
      <c r="AY1608" s="327">
        <v>-9999</v>
      </c>
      <c r="AZ1608" s="327">
        <v>-9999</v>
      </c>
      <c r="BA1608" s="327">
        <v>-9999</v>
      </c>
      <c r="BB1608" s="327" t="s">
        <v>626</v>
      </c>
      <c r="BC1608" s="327" t="s">
        <v>987</v>
      </c>
      <c r="BD1608" s="327" t="s">
        <v>988</v>
      </c>
      <c r="BE1608" s="327" t="s">
        <v>989</v>
      </c>
      <c r="BF1608" s="327" t="s">
        <v>881</v>
      </c>
      <c r="BG1608" s="327" t="s">
        <v>990</v>
      </c>
      <c r="BH1608" s="327" t="s">
        <v>991</v>
      </c>
      <c r="BI1608" s="327">
        <v>-9999</v>
      </c>
      <c r="BJ1608" s="327">
        <v>31</v>
      </c>
      <c r="BK1608" s="327">
        <v>-9999</v>
      </c>
      <c r="BL1608" s="368">
        <v>15.645160000000001</v>
      </c>
      <c r="BM1608" s="327">
        <v>-9999</v>
      </c>
      <c r="BN1608" s="327">
        <v>-9999</v>
      </c>
      <c r="BO1608" s="327">
        <v>-9999</v>
      </c>
      <c r="BP1608" s="327">
        <v>-9999</v>
      </c>
      <c r="BQ1608" s="327">
        <v>-9999</v>
      </c>
      <c r="BR1608" s="327">
        <v>-9999</v>
      </c>
      <c r="BS1608" s="474">
        <v>-9999</v>
      </c>
      <c r="BT1608" s="327">
        <v>-9999</v>
      </c>
      <c r="BU1608" s="327">
        <v>-9999</v>
      </c>
      <c r="BV1608" s="327">
        <v>-9999</v>
      </c>
      <c r="BW1608" s="327"/>
      <c r="BX1608" s="327">
        <v>-9999</v>
      </c>
      <c r="BY1608" s="327">
        <v>-9999</v>
      </c>
      <c r="BZ1608" s="327">
        <v>-9999</v>
      </c>
      <c r="CA1608" s="369">
        <v>-9999</v>
      </c>
      <c r="CB1608" s="475"/>
      <c r="CC1608" s="327">
        <v>1</v>
      </c>
      <c r="CD1608" s="328">
        <v>12</v>
      </c>
      <c r="CE1608" s="342">
        <v>9.8365571428571421</v>
      </c>
      <c r="CF1608" s="342">
        <v>18.457142857142859</v>
      </c>
      <c r="CG1608" s="359">
        <v>12</v>
      </c>
    </row>
    <row r="1609" spans="1:96" s="301" customFormat="1" ht="12.75" customHeight="1" x14ac:dyDescent="0.2">
      <c r="A1609" s="327" t="s">
        <v>981</v>
      </c>
      <c r="B1609" s="327" t="s">
        <v>982</v>
      </c>
      <c r="C1609" s="327" t="s">
        <v>996</v>
      </c>
      <c r="D1609" s="327" t="s">
        <v>553</v>
      </c>
      <c r="E1609" s="327" t="s">
        <v>901</v>
      </c>
      <c r="F1609" s="327">
        <v>1</v>
      </c>
      <c r="G1609" s="328">
        <v>13</v>
      </c>
      <c r="H1609" s="328">
        <v>13</v>
      </c>
      <c r="I1609" s="327" t="s">
        <v>783</v>
      </c>
      <c r="J1609" s="327">
        <v>1987</v>
      </c>
      <c r="K1609" s="327" t="s">
        <v>783</v>
      </c>
      <c r="L1609" s="327">
        <v>2000</v>
      </c>
      <c r="M1609" s="368">
        <v>-9999</v>
      </c>
      <c r="N1609" s="327">
        <v>-9999</v>
      </c>
      <c r="O1609" s="70">
        <v>1.3888888888888888</v>
      </c>
      <c r="P1609" s="370">
        <f t="shared" si="197"/>
        <v>133.80555555555554</v>
      </c>
      <c r="Q1609" s="327">
        <v>-9999</v>
      </c>
      <c r="R1609" s="368">
        <f t="shared" si="200"/>
        <v>96.34</v>
      </c>
      <c r="S1609" s="368"/>
      <c r="T1609" s="287">
        <f t="shared" si="198"/>
        <v>10.138652777777777</v>
      </c>
      <c r="U1609" s="413">
        <v>-9999</v>
      </c>
      <c r="V1609" s="368">
        <v>7.29983</v>
      </c>
      <c r="W1609" s="287">
        <f t="shared" si="199"/>
        <v>16.333333333333332</v>
      </c>
      <c r="X1609" s="327">
        <v>-9999</v>
      </c>
      <c r="Y1609" s="373">
        <v>11.76</v>
      </c>
      <c r="Z1609" s="327" t="s">
        <v>1707</v>
      </c>
      <c r="AA1609" s="327">
        <v>1660</v>
      </c>
      <c r="AB1609" s="327">
        <v>-9999</v>
      </c>
      <c r="AC1609" s="327">
        <f t="shared" si="196"/>
        <v>0.6</v>
      </c>
      <c r="AD1609" s="327">
        <v>0.15</v>
      </c>
      <c r="AE1609" s="328" t="s">
        <v>1970</v>
      </c>
      <c r="AF1609" s="327">
        <v>4</v>
      </c>
      <c r="AG1609" s="327" t="s">
        <v>843</v>
      </c>
      <c r="AH1609" s="327" t="s">
        <v>876</v>
      </c>
      <c r="AI1609" s="327" t="s">
        <v>985</v>
      </c>
      <c r="AJ1609" s="327" t="s">
        <v>892</v>
      </c>
      <c r="AK1609" s="327" t="s">
        <v>966</v>
      </c>
      <c r="AL1609" s="327" t="s">
        <v>828</v>
      </c>
      <c r="AM1609" s="327" t="s">
        <v>871</v>
      </c>
      <c r="AN1609" s="327" t="s">
        <v>631</v>
      </c>
      <c r="AO1609" s="327">
        <v>-9999</v>
      </c>
      <c r="AP1609" s="327">
        <v>-9999</v>
      </c>
      <c r="AQ1609" s="327" t="s">
        <v>631</v>
      </c>
      <c r="AR1609" s="327">
        <v>0</v>
      </c>
      <c r="AS1609" s="327">
        <v>-9999</v>
      </c>
      <c r="AT1609" s="327"/>
      <c r="AU1609" s="327">
        <v>0</v>
      </c>
      <c r="AV1609" s="327">
        <v>-9999</v>
      </c>
      <c r="AW1609" s="327"/>
      <c r="AX1609" s="327">
        <v>0</v>
      </c>
      <c r="AY1609" s="327">
        <v>-9999</v>
      </c>
      <c r="AZ1609" s="327">
        <v>-9999</v>
      </c>
      <c r="BA1609" s="327">
        <v>-9999</v>
      </c>
      <c r="BB1609" s="327" t="s">
        <v>626</v>
      </c>
      <c r="BC1609" s="327" t="s">
        <v>987</v>
      </c>
      <c r="BD1609" s="327" t="s">
        <v>988</v>
      </c>
      <c r="BE1609" s="327" t="s">
        <v>989</v>
      </c>
      <c r="BF1609" s="327" t="s">
        <v>881</v>
      </c>
      <c r="BG1609" s="327" t="s">
        <v>990</v>
      </c>
      <c r="BH1609" s="327" t="s">
        <v>991</v>
      </c>
      <c r="BI1609" s="327">
        <v>-9999</v>
      </c>
      <c r="BJ1609" s="327">
        <v>34</v>
      </c>
      <c r="BK1609" s="327">
        <v>-9999</v>
      </c>
      <c r="BL1609" s="368">
        <v>16.290320000000001</v>
      </c>
      <c r="BM1609" s="327">
        <v>-9999</v>
      </c>
      <c r="BN1609" s="327">
        <v>-9999</v>
      </c>
      <c r="BO1609" s="327">
        <v>-9999</v>
      </c>
      <c r="BP1609" s="327">
        <v>-9999</v>
      </c>
      <c r="BQ1609" s="327">
        <v>-9999</v>
      </c>
      <c r="BR1609" s="327">
        <v>-9999</v>
      </c>
      <c r="BS1609" s="474">
        <v>-9999</v>
      </c>
      <c r="BT1609" s="327">
        <v>-9999</v>
      </c>
      <c r="BU1609" s="327">
        <v>-9999</v>
      </c>
      <c r="BV1609" s="327">
        <v>-9999</v>
      </c>
      <c r="BW1609" s="327"/>
      <c r="BX1609" s="327">
        <v>-9999</v>
      </c>
      <c r="BY1609" s="327">
        <v>-9999</v>
      </c>
      <c r="BZ1609" s="327">
        <v>-9999</v>
      </c>
      <c r="CA1609" s="369">
        <v>-9999</v>
      </c>
      <c r="CB1609" s="475"/>
      <c r="CC1609" s="327">
        <v>1</v>
      </c>
      <c r="CD1609" s="328">
        <v>13</v>
      </c>
      <c r="CE1609" s="342">
        <v>10.138652777777777</v>
      </c>
      <c r="CF1609" s="342">
        <v>16.333333333333332</v>
      </c>
      <c r="CG1609" s="359">
        <v>13</v>
      </c>
    </row>
    <row r="1610" spans="1:96" s="301" customFormat="1" ht="12.75" customHeight="1" x14ac:dyDescent="0.2">
      <c r="A1610" s="327" t="s">
        <v>981</v>
      </c>
      <c r="B1610" s="327" t="s">
        <v>982</v>
      </c>
      <c r="C1610" s="327" t="s">
        <v>996</v>
      </c>
      <c r="D1610" s="327" t="s">
        <v>553</v>
      </c>
      <c r="E1610" s="327" t="s">
        <v>901</v>
      </c>
      <c r="F1610" s="327">
        <v>1</v>
      </c>
      <c r="G1610" s="328">
        <v>14</v>
      </c>
      <c r="H1610" s="328">
        <v>14</v>
      </c>
      <c r="I1610" s="327" t="s">
        <v>783</v>
      </c>
      <c r="J1610" s="327">
        <v>1987</v>
      </c>
      <c r="K1610" s="327" t="s">
        <v>783</v>
      </c>
      <c r="L1610" s="327">
        <v>2001</v>
      </c>
      <c r="M1610" s="368">
        <v>-9999</v>
      </c>
      <c r="N1610" s="327">
        <v>-9999</v>
      </c>
      <c r="O1610" s="70">
        <v>1.3513513513513513</v>
      </c>
      <c r="P1610" s="370">
        <f t="shared" si="197"/>
        <v>146.70270270270271</v>
      </c>
      <c r="Q1610" s="327">
        <v>-9999</v>
      </c>
      <c r="R1610" s="368">
        <f t="shared" si="200"/>
        <v>108.56</v>
      </c>
      <c r="S1610" s="368"/>
      <c r="T1610" s="287">
        <f t="shared" si="198"/>
        <v>10.424797297297296</v>
      </c>
      <c r="U1610" s="413">
        <v>-9999</v>
      </c>
      <c r="V1610" s="368">
        <v>7.7143499999999996</v>
      </c>
      <c r="W1610" s="287">
        <f t="shared" si="199"/>
        <v>16.513513513513512</v>
      </c>
      <c r="X1610" s="327">
        <v>-9999</v>
      </c>
      <c r="Y1610" s="373">
        <v>12.22</v>
      </c>
      <c r="Z1610" s="327" t="s">
        <v>1707</v>
      </c>
      <c r="AA1610" s="327">
        <v>1660</v>
      </c>
      <c r="AB1610" s="327">
        <v>-9999</v>
      </c>
      <c r="AC1610" s="327">
        <f t="shared" si="196"/>
        <v>0.6</v>
      </c>
      <c r="AD1610" s="327">
        <v>0.15</v>
      </c>
      <c r="AE1610" s="328" t="s">
        <v>1970</v>
      </c>
      <c r="AF1610" s="327">
        <v>4</v>
      </c>
      <c r="AG1610" s="327" t="s">
        <v>843</v>
      </c>
      <c r="AH1610" s="327" t="s">
        <v>876</v>
      </c>
      <c r="AI1610" s="327" t="s">
        <v>985</v>
      </c>
      <c r="AJ1610" s="327" t="s">
        <v>892</v>
      </c>
      <c r="AK1610" s="327" t="s">
        <v>966</v>
      </c>
      <c r="AL1610" s="327" t="s">
        <v>828</v>
      </c>
      <c r="AM1610" s="327" t="s">
        <v>871</v>
      </c>
      <c r="AN1610" s="327" t="s">
        <v>631</v>
      </c>
      <c r="AO1610" s="327">
        <v>-9999</v>
      </c>
      <c r="AP1610" s="327">
        <v>-9999</v>
      </c>
      <c r="AQ1610" s="327" t="s">
        <v>631</v>
      </c>
      <c r="AR1610" s="327">
        <v>0</v>
      </c>
      <c r="AS1610" s="327">
        <v>-9999</v>
      </c>
      <c r="AT1610" s="327"/>
      <c r="AU1610" s="327">
        <v>0</v>
      </c>
      <c r="AV1610" s="327">
        <v>-9999</v>
      </c>
      <c r="AW1610" s="327"/>
      <c r="AX1610" s="327">
        <v>0</v>
      </c>
      <c r="AY1610" s="327">
        <v>-9999</v>
      </c>
      <c r="AZ1610" s="327">
        <v>-9999</v>
      </c>
      <c r="BA1610" s="327">
        <v>-9999</v>
      </c>
      <c r="BB1610" s="327" t="s">
        <v>626</v>
      </c>
      <c r="BC1610" s="327" t="s">
        <v>987</v>
      </c>
      <c r="BD1610" s="327" t="s">
        <v>988</v>
      </c>
      <c r="BE1610" s="327" t="s">
        <v>989</v>
      </c>
      <c r="BF1610" s="327" t="s">
        <v>881</v>
      </c>
      <c r="BG1610" s="327" t="s">
        <v>990</v>
      </c>
      <c r="BH1610" s="327" t="s">
        <v>991</v>
      </c>
      <c r="BI1610" s="327">
        <v>-9999</v>
      </c>
      <c r="BJ1610" s="327">
        <v>36</v>
      </c>
      <c r="BK1610" s="327">
        <v>-9999</v>
      </c>
      <c r="BL1610" s="368">
        <v>17.01613</v>
      </c>
      <c r="BM1610" s="327">
        <v>-9999</v>
      </c>
      <c r="BN1610" s="327">
        <v>-9999</v>
      </c>
      <c r="BO1610" s="327">
        <v>-9999</v>
      </c>
      <c r="BP1610" s="327">
        <v>-9999</v>
      </c>
      <c r="BQ1610" s="327">
        <v>-9999</v>
      </c>
      <c r="BR1610" s="327">
        <v>-9999</v>
      </c>
      <c r="BS1610" s="474">
        <v>-9999</v>
      </c>
      <c r="BT1610" s="327">
        <v>-9999</v>
      </c>
      <c r="BU1610" s="327">
        <v>-9999</v>
      </c>
      <c r="BV1610" s="327">
        <v>-9999</v>
      </c>
      <c r="BW1610" s="327"/>
      <c r="BX1610" s="327">
        <v>-9999</v>
      </c>
      <c r="BY1610" s="327">
        <v>-9999</v>
      </c>
      <c r="BZ1610" s="327">
        <v>-9999</v>
      </c>
      <c r="CA1610" s="369">
        <v>-9999</v>
      </c>
      <c r="CB1610" s="475"/>
      <c r="CC1610" s="327">
        <v>1</v>
      </c>
      <c r="CD1610" s="328">
        <v>14</v>
      </c>
      <c r="CE1610" s="342">
        <v>10.424797297297296</v>
      </c>
      <c r="CF1610" s="342">
        <v>16.513513513513512</v>
      </c>
      <c r="CG1610" s="359">
        <v>14</v>
      </c>
    </row>
    <row r="1611" spans="1:96" s="13" customFormat="1" ht="12.75" customHeight="1" x14ac:dyDescent="0.2">
      <c r="A1611" s="259" t="s">
        <v>981</v>
      </c>
      <c r="B1611" s="259" t="s">
        <v>982</v>
      </c>
      <c r="C1611" s="259" t="s">
        <v>996</v>
      </c>
      <c r="D1611" s="259" t="s">
        <v>553</v>
      </c>
      <c r="E1611" s="259" t="s">
        <v>901</v>
      </c>
      <c r="F1611" s="259">
        <v>1</v>
      </c>
      <c r="G1611" s="260">
        <v>15</v>
      </c>
      <c r="H1611" s="260">
        <v>15</v>
      </c>
      <c r="I1611" s="259" t="s">
        <v>783</v>
      </c>
      <c r="J1611" s="259">
        <v>1987</v>
      </c>
      <c r="K1611" s="259" t="s">
        <v>783</v>
      </c>
      <c r="L1611" s="259">
        <v>2002</v>
      </c>
      <c r="M1611" s="288">
        <v>-9999</v>
      </c>
      <c r="N1611" s="259">
        <v>-9999</v>
      </c>
      <c r="O1611" s="22">
        <v>1.3333333333333333</v>
      </c>
      <c r="P1611" s="590">
        <f t="shared" si="197"/>
        <v>168.51999999999998</v>
      </c>
      <c r="Q1611" s="259">
        <v>-9999</v>
      </c>
      <c r="R1611" s="288">
        <f t="shared" si="200"/>
        <v>126.39</v>
      </c>
      <c r="S1611" s="288"/>
      <c r="T1611" s="376">
        <f t="shared" si="198"/>
        <v>11.147813333333334</v>
      </c>
      <c r="U1611" s="630">
        <v>-9999</v>
      </c>
      <c r="V1611" s="288">
        <f>8.36086</f>
        <v>8.3608600000000006</v>
      </c>
      <c r="W1611" s="376">
        <f t="shared" si="199"/>
        <v>23.77333333333333</v>
      </c>
      <c r="X1611" s="259">
        <v>-9999</v>
      </c>
      <c r="Y1611" s="374">
        <v>17.829999999999998</v>
      </c>
      <c r="Z1611" s="259" t="s">
        <v>1707</v>
      </c>
      <c r="AA1611" s="260">
        <v>1660</v>
      </c>
      <c r="AB1611" s="590">
        <v>0.91</v>
      </c>
      <c r="AC1611" s="327">
        <f t="shared" si="196"/>
        <v>0.6</v>
      </c>
      <c r="AD1611" s="259">
        <v>0.15</v>
      </c>
      <c r="AE1611" s="260" t="s">
        <v>1970</v>
      </c>
      <c r="AF1611" s="259">
        <v>4</v>
      </c>
      <c r="AG1611" s="259" t="s">
        <v>843</v>
      </c>
      <c r="AH1611" s="259" t="s">
        <v>876</v>
      </c>
      <c r="AI1611" s="259" t="s">
        <v>985</v>
      </c>
      <c r="AJ1611" s="259" t="s">
        <v>892</v>
      </c>
      <c r="AK1611" s="259" t="s">
        <v>966</v>
      </c>
      <c r="AL1611" s="259" t="s">
        <v>828</v>
      </c>
      <c r="AM1611" s="259" t="s">
        <v>871</v>
      </c>
      <c r="AN1611" s="259" t="s">
        <v>631</v>
      </c>
      <c r="AO1611" s="259">
        <v>-9999</v>
      </c>
      <c r="AP1611" s="259">
        <v>-9999</v>
      </c>
      <c r="AQ1611" s="259" t="s">
        <v>631</v>
      </c>
      <c r="AR1611" s="259">
        <v>0</v>
      </c>
      <c r="AS1611" s="259">
        <v>-9999</v>
      </c>
      <c r="AT1611" s="259"/>
      <c r="AU1611" s="259">
        <v>0</v>
      </c>
      <c r="AV1611" s="259">
        <v>-9999</v>
      </c>
      <c r="AW1611" s="259"/>
      <c r="AX1611" s="259">
        <v>0</v>
      </c>
      <c r="AY1611" s="259">
        <v>-9999</v>
      </c>
      <c r="AZ1611" s="259">
        <v>-9999</v>
      </c>
      <c r="BA1611" s="259">
        <v>-9999</v>
      </c>
      <c r="BB1611" s="259" t="s">
        <v>626</v>
      </c>
      <c r="BC1611" s="259" t="s">
        <v>987</v>
      </c>
      <c r="BD1611" s="259" t="s">
        <v>988</v>
      </c>
      <c r="BE1611" s="259" t="s">
        <v>989</v>
      </c>
      <c r="BF1611" s="259" t="s">
        <v>881</v>
      </c>
      <c r="BG1611" s="259" t="s">
        <v>990</v>
      </c>
      <c r="BH1611" s="259" t="s">
        <v>991</v>
      </c>
      <c r="BI1611" s="259">
        <v>-9999</v>
      </c>
      <c r="BJ1611" s="259">
        <v>38</v>
      </c>
      <c r="BK1611" s="259">
        <v>-9999</v>
      </c>
      <c r="BL1611" s="288">
        <v>18.3871</v>
      </c>
      <c r="BM1611" s="259">
        <v>-9999</v>
      </c>
      <c r="BN1611" s="259">
        <v>17.399999999999999</v>
      </c>
      <c r="BO1611" s="259">
        <v>-9999</v>
      </c>
      <c r="BP1611" s="259">
        <v>-9999</v>
      </c>
      <c r="BQ1611" s="259">
        <v>-9999</v>
      </c>
      <c r="BR1611" s="259">
        <v>-9999</v>
      </c>
      <c r="BS1611" s="634">
        <v>-9999</v>
      </c>
      <c r="BT1611" s="259">
        <v>-9999</v>
      </c>
      <c r="BU1611" s="259">
        <v>-9999</v>
      </c>
      <c r="BV1611" s="259">
        <v>-9999</v>
      </c>
      <c r="BW1611" s="259"/>
      <c r="BX1611" s="259">
        <v>-9999</v>
      </c>
      <c r="BY1611" s="259">
        <v>-9999</v>
      </c>
      <c r="BZ1611" s="259">
        <v>-9999</v>
      </c>
      <c r="CA1611" s="337">
        <v>-9999</v>
      </c>
      <c r="CB1611" s="592"/>
      <c r="CC1611" s="259">
        <v>1</v>
      </c>
      <c r="CD1611" s="260">
        <v>15</v>
      </c>
      <c r="CE1611" s="393">
        <v>11.147813333333334</v>
      </c>
      <c r="CF1611" s="99">
        <v>23.77333333333333</v>
      </c>
      <c r="CG1611" s="212">
        <v>15</v>
      </c>
      <c r="CH1611" s="436" t="s">
        <v>1757</v>
      </c>
    </row>
    <row r="1612" spans="1:96" s="13" customFormat="1" ht="12.75" customHeight="1" x14ac:dyDescent="0.2">
      <c r="A1612" s="259"/>
      <c r="B1612" s="259"/>
      <c r="C1612" s="259"/>
      <c r="D1612" s="327"/>
      <c r="E1612" s="259"/>
      <c r="F1612" s="259"/>
      <c r="G1612" s="260"/>
      <c r="H1612" s="260"/>
      <c r="I1612" s="259"/>
      <c r="J1612" s="259"/>
      <c r="K1612" s="259"/>
      <c r="L1612" s="259"/>
      <c r="M1612" s="288"/>
      <c r="N1612" s="259"/>
      <c r="O1612" s="22"/>
      <c r="P1612" s="590"/>
      <c r="Q1612" s="259"/>
      <c r="R1612" s="288"/>
      <c r="S1612" s="259"/>
      <c r="T1612" s="738"/>
      <c r="U1612" s="288"/>
      <c r="V1612" s="368"/>
      <c r="W1612" s="650"/>
      <c r="X1612" s="288"/>
      <c r="Y1612" s="368"/>
      <c r="Z1612" s="259"/>
      <c r="AA1612" s="260"/>
      <c r="AB1612" s="288"/>
      <c r="AC1612" s="259"/>
      <c r="AD1612" s="259"/>
      <c r="AE1612" s="259"/>
      <c r="AF1612" s="259"/>
      <c r="AG1612" s="259"/>
      <c r="AH1612" s="259"/>
      <c r="AI1612" s="259"/>
      <c r="AJ1612" s="259"/>
      <c r="AK1612" s="327"/>
      <c r="AL1612" s="327"/>
      <c r="AM1612" s="327"/>
      <c r="AN1612" s="259"/>
      <c r="AO1612" s="259"/>
      <c r="AP1612" s="259"/>
      <c r="AQ1612" s="327"/>
      <c r="AR1612" s="259"/>
      <c r="AS1612" s="259"/>
      <c r="AT1612" s="259"/>
      <c r="AU1612" s="259"/>
      <c r="AV1612" s="259"/>
      <c r="AW1612" s="259"/>
      <c r="AX1612" s="259"/>
      <c r="AY1612" s="259"/>
      <c r="AZ1612" s="259"/>
      <c r="BA1612" s="259"/>
      <c r="BB1612" s="259"/>
      <c r="BC1612" s="259"/>
      <c r="BD1612" s="259"/>
      <c r="BE1612" s="259"/>
      <c r="BF1612" s="259"/>
      <c r="BG1612" s="259"/>
      <c r="BH1612" s="259"/>
      <c r="BI1612" s="259"/>
      <c r="BJ1612" s="259"/>
      <c r="BK1612" s="259"/>
      <c r="BL1612" s="288"/>
      <c r="BM1612" s="259"/>
      <c r="BN1612" s="259"/>
      <c r="BO1612" s="259"/>
      <c r="BP1612" s="259"/>
      <c r="BQ1612" s="259"/>
      <c r="BR1612" s="259"/>
      <c r="BS1612" s="474"/>
      <c r="BT1612" s="259"/>
      <c r="BU1612" s="259"/>
      <c r="BV1612" s="259"/>
      <c r="BW1612" s="259"/>
      <c r="BX1612" s="259"/>
      <c r="BY1612" s="259"/>
      <c r="BZ1612" s="259"/>
      <c r="CA1612" s="337"/>
      <c r="CB1612" s="592"/>
      <c r="CC1612" s="259"/>
      <c r="CD1612" s="260"/>
      <c r="CE1612" s="342"/>
      <c r="CF1612" s="342"/>
      <c r="CG1612" s="101"/>
    </row>
    <row r="1613" spans="1:96" s="301" customFormat="1" ht="12.75" customHeight="1" x14ac:dyDescent="0.3">
      <c r="A1613" s="327" t="s">
        <v>981</v>
      </c>
      <c r="B1613" s="327" t="s">
        <v>982</v>
      </c>
      <c r="C1613" s="327" t="s">
        <v>997</v>
      </c>
      <c r="D1613" s="327" t="s">
        <v>553</v>
      </c>
      <c r="E1613" s="327" t="s">
        <v>901</v>
      </c>
      <c r="F1613" s="327">
        <v>1</v>
      </c>
      <c r="G1613" s="328">
        <v>1</v>
      </c>
      <c r="H1613" s="328">
        <v>1</v>
      </c>
      <c r="I1613" s="327" t="s">
        <v>783</v>
      </c>
      <c r="J1613" s="327">
        <v>1987</v>
      </c>
      <c r="K1613" s="327" t="s">
        <v>783</v>
      </c>
      <c r="L1613" s="327">
        <v>1988</v>
      </c>
      <c r="M1613" s="368">
        <v>-9999</v>
      </c>
      <c r="N1613" s="327">
        <v>-9999</v>
      </c>
      <c r="O1613" s="323">
        <v>-9999</v>
      </c>
      <c r="P1613" s="368">
        <v>-9999</v>
      </c>
      <c r="Q1613" s="327">
        <v>-9999</v>
      </c>
      <c r="R1613" s="368">
        <v>-9999</v>
      </c>
      <c r="S1613" s="327"/>
      <c r="T1613" s="368">
        <v>-9999</v>
      </c>
      <c r="U1613" s="367">
        <v>-9999</v>
      </c>
      <c r="V1613" s="327">
        <v>-9999</v>
      </c>
      <c r="W1613" s="368">
        <v>-9999</v>
      </c>
      <c r="X1613" s="367">
        <v>-9999</v>
      </c>
      <c r="Y1613" s="327">
        <v>-9999</v>
      </c>
      <c r="Z1613" s="327" t="s">
        <v>1707</v>
      </c>
      <c r="AA1613" s="327">
        <v>1660</v>
      </c>
      <c r="AB1613" s="368">
        <v>1</v>
      </c>
      <c r="AC1613" s="327">
        <f t="shared" ref="AC1613:AC1627" si="201">0.15*4</f>
        <v>0.6</v>
      </c>
      <c r="AD1613" s="327">
        <v>0.15</v>
      </c>
      <c r="AE1613" s="328" t="s">
        <v>1970</v>
      </c>
      <c r="AF1613" s="327">
        <v>4</v>
      </c>
      <c r="AG1613" s="327" t="s">
        <v>843</v>
      </c>
      <c r="AH1613" s="327" t="s">
        <v>876</v>
      </c>
      <c r="AI1613" s="327" t="s">
        <v>985</v>
      </c>
      <c r="AJ1613" s="327" t="s">
        <v>892</v>
      </c>
      <c r="AK1613" s="327" t="s">
        <v>966</v>
      </c>
      <c r="AL1613" s="327" t="s">
        <v>828</v>
      </c>
      <c r="AM1613" s="327" t="s">
        <v>871</v>
      </c>
      <c r="AN1613" s="327" t="s">
        <v>631</v>
      </c>
      <c r="AO1613" s="327">
        <v>-9999</v>
      </c>
      <c r="AP1613" s="327">
        <v>-9999</v>
      </c>
      <c r="AQ1613" s="327" t="s">
        <v>626</v>
      </c>
      <c r="AR1613" s="363">
        <f>50.4+(56*0.35)</f>
        <v>70</v>
      </c>
      <c r="AS1613" s="327" t="s">
        <v>139</v>
      </c>
      <c r="AT1613" s="327" t="s">
        <v>136</v>
      </c>
      <c r="AU1613" s="363">
        <f>+(280*0.46)*0.436</f>
        <v>56.156800000000004</v>
      </c>
      <c r="AV1613" s="327" t="s">
        <v>142</v>
      </c>
      <c r="AW1613" s="327" t="s">
        <v>275</v>
      </c>
      <c r="AX1613" s="363">
        <f>112*0.6</f>
        <v>67.2</v>
      </c>
      <c r="AY1613" s="327" t="s">
        <v>768</v>
      </c>
      <c r="AZ1613" s="327" t="s">
        <v>275</v>
      </c>
      <c r="BA1613" s="327">
        <v>-9999</v>
      </c>
      <c r="BB1613" s="327" t="s">
        <v>631</v>
      </c>
      <c r="BC1613" s="327">
        <v>-9999</v>
      </c>
      <c r="BD1613" s="327">
        <v>-9999</v>
      </c>
      <c r="BE1613" s="327">
        <v>-9999</v>
      </c>
      <c r="BF1613" s="327">
        <v>-9999</v>
      </c>
      <c r="BG1613" s="327">
        <v>-9999</v>
      </c>
      <c r="BH1613" s="327">
        <v>-9999</v>
      </c>
      <c r="BI1613" s="327" t="s">
        <v>993</v>
      </c>
      <c r="BJ1613" s="327">
        <v>-9999</v>
      </c>
      <c r="BK1613" s="327">
        <v>-9999</v>
      </c>
      <c r="BL1613" s="368">
        <v>0.56452000000000002</v>
      </c>
      <c r="BM1613" s="327">
        <v>-9999</v>
      </c>
      <c r="BN1613" s="327">
        <v>-9999</v>
      </c>
      <c r="BO1613" s="327">
        <v>-9999</v>
      </c>
      <c r="BP1613" s="327">
        <v>-9999</v>
      </c>
      <c r="BQ1613" s="327">
        <v>-9999</v>
      </c>
      <c r="BR1613" s="327">
        <v>-9999</v>
      </c>
      <c r="BS1613" s="474">
        <v>-9999</v>
      </c>
      <c r="BT1613" s="327">
        <v>-9999</v>
      </c>
      <c r="BU1613" s="327">
        <v>-9999</v>
      </c>
      <c r="BV1613" s="327">
        <v>-9999</v>
      </c>
      <c r="BW1613" s="327"/>
      <c r="BX1613" s="327">
        <v>-9999</v>
      </c>
      <c r="BY1613" s="327">
        <v>-9999</v>
      </c>
      <c r="BZ1613" s="327">
        <v>-9999</v>
      </c>
      <c r="CA1613" s="369">
        <v>-9999</v>
      </c>
      <c r="CB1613" s="475"/>
      <c r="CC1613" s="327">
        <v>1</v>
      </c>
      <c r="CD1613" s="328"/>
      <c r="CE1613" s="342"/>
      <c r="CF1613" s="342"/>
      <c r="CG1613" s="359">
        <v>1</v>
      </c>
      <c r="CR1613" s="301" t="s">
        <v>1712</v>
      </c>
    </row>
    <row r="1614" spans="1:96" s="301" customFormat="1" ht="12.75" customHeight="1" x14ac:dyDescent="0.3">
      <c r="A1614" s="327" t="s">
        <v>981</v>
      </c>
      <c r="B1614" s="327" t="s">
        <v>982</v>
      </c>
      <c r="C1614" s="327" t="s">
        <v>997</v>
      </c>
      <c r="D1614" s="327" t="s">
        <v>553</v>
      </c>
      <c r="E1614" s="327" t="s">
        <v>901</v>
      </c>
      <c r="F1614" s="327">
        <v>1</v>
      </c>
      <c r="G1614" s="328">
        <v>2</v>
      </c>
      <c r="H1614" s="328">
        <v>2</v>
      </c>
      <c r="I1614" s="327" t="s">
        <v>783</v>
      </c>
      <c r="J1614" s="327">
        <v>1987</v>
      </c>
      <c r="K1614" s="327" t="s">
        <v>783</v>
      </c>
      <c r="L1614" s="327">
        <v>1989</v>
      </c>
      <c r="M1614" s="368">
        <v>-9999</v>
      </c>
      <c r="N1614" s="327">
        <v>-9999</v>
      </c>
      <c r="O1614" s="323">
        <v>-9999</v>
      </c>
      <c r="P1614" s="368">
        <v>-9999</v>
      </c>
      <c r="Q1614" s="327">
        <v>-9999</v>
      </c>
      <c r="R1614" s="368">
        <v>-9999</v>
      </c>
      <c r="S1614" s="327"/>
      <c r="T1614" s="368">
        <v>-9999</v>
      </c>
      <c r="U1614" s="327">
        <v>-9999</v>
      </c>
      <c r="V1614" s="327">
        <v>-9999</v>
      </c>
      <c r="W1614" s="368">
        <v>-9999</v>
      </c>
      <c r="X1614" s="327">
        <v>-9999</v>
      </c>
      <c r="Y1614" s="327">
        <v>-9999</v>
      </c>
      <c r="Z1614" s="327" t="s">
        <v>1707</v>
      </c>
      <c r="AA1614" s="327">
        <v>1660</v>
      </c>
      <c r="AB1614" s="327">
        <v>-9999</v>
      </c>
      <c r="AC1614" s="327">
        <f t="shared" si="201"/>
        <v>0.6</v>
      </c>
      <c r="AD1614" s="327">
        <v>0.15</v>
      </c>
      <c r="AE1614" s="328" t="s">
        <v>1970</v>
      </c>
      <c r="AF1614" s="327">
        <v>4</v>
      </c>
      <c r="AG1614" s="327" t="s">
        <v>843</v>
      </c>
      <c r="AH1614" s="327" t="s">
        <v>876</v>
      </c>
      <c r="AI1614" s="327" t="s">
        <v>985</v>
      </c>
      <c r="AJ1614" s="327" t="s">
        <v>892</v>
      </c>
      <c r="AK1614" s="327" t="s">
        <v>966</v>
      </c>
      <c r="AL1614" s="327" t="s">
        <v>828</v>
      </c>
      <c r="AM1614" s="327" t="s">
        <v>871</v>
      </c>
      <c r="AN1614" s="327" t="s">
        <v>631</v>
      </c>
      <c r="AO1614" s="327">
        <v>-9999</v>
      </c>
      <c r="AP1614" s="327">
        <v>-9999</v>
      </c>
      <c r="AQ1614" s="327" t="s">
        <v>626</v>
      </c>
      <c r="AR1614" s="363">
        <f>50.4+(56*0.35)+AR1613</f>
        <v>140</v>
      </c>
      <c r="AS1614" s="327" t="s">
        <v>139</v>
      </c>
      <c r="AT1614" s="327" t="s">
        <v>136</v>
      </c>
      <c r="AU1614" s="363">
        <f>+((280*0.46)*0.436)+AU1613</f>
        <v>112.31360000000001</v>
      </c>
      <c r="AV1614" s="327" t="s">
        <v>142</v>
      </c>
      <c r="AW1614" s="327" t="s">
        <v>275</v>
      </c>
      <c r="AX1614" s="363">
        <f>+(112*0.6)+AX1613</f>
        <v>134.4</v>
      </c>
      <c r="AY1614" s="327" t="s">
        <v>768</v>
      </c>
      <c r="AZ1614" s="327" t="s">
        <v>275</v>
      </c>
      <c r="BA1614" s="327">
        <v>-9999</v>
      </c>
      <c r="BB1614" s="327" t="s">
        <v>631</v>
      </c>
      <c r="BC1614" s="327">
        <v>-9999</v>
      </c>
      <c r="BD1614" s="327">
        <v>-9999</v>
      </c>
      <c r="BE1614" s="327">
        <v>-9999</v>
      </c>
      <c r="BF1614" s="327">
        <v>-9999</v>
      </c>
      <c r="BG1614" s="327">
        <v>-9999</v>
      </c>
      <c r="BH1614" s="327">
        <v>-9999</v>
      </c>
      <c r="BI1614" s="327" t="s">
        <v>993</v>
      </c>
      <c r="BJ1614" s="327">
        <v>-9999</v>
      </c>
      <c r="BK1614" s="327">
        <v>-9999</v>
      </c>
      <c r="BL1614" s="368">
        <v>1.12903</v>
      </c>
      <c r="BM1614" s="327">
        <v>-9999</v>
      </c>
      <c r="BN1614" s="327">
        <v>-9999</v>
      </c>
      <c r="BO1614" s="327">
        <v>-9999</v>
      </c>
      <c r="BP1614" s="327">
        <v>-9999</v>
      </c>
      <c r="BQ1614" s="327">
        <v>-9999</v>
      </c>
      <c r="BR1614" s="327">
        <v>-9999</v>
      </c>
      <c r="BS1614" s="474">
        <v>-9999</v>
      </c>
      <c r="BT1614" s="327">
        <v>-9999</v>
      </c>
      <c r="BU1614" s="327">
        <v>-9999</v>
      </c>
      <c r="BV1614" s="327">
        <v>-9999</v>
      </c>
      <c r="BW1614" s="327"/>
      <c r="BX1614" s="327">
        <v>-9999</v>
      </c>
      <c r="BY1614" s="327">
        <v>-9999</v>
      </c>
      <c r="BZ1614" s="327">
        <v>-9999</v>
      </c>
      <c r="CA1614" s="369">
        <v>-9999</v>
      </c>
      <c r="CB1614" s="475"/>
      <c r="CC1614" s="327">
        <v>1</v>
      </c>
      <c r="CD1614" s="328"/>
      <c r="CE1614" s="342" t="s">
        <v>1576</v>
      </c>
      <c r="CF1614" s="342" t="s">
        <v>1575</v>
      </c>
      <c r="CG1614" s="359">
        <v>2</v>
      </c>
      <c r="CR1614" s="301" t="s">
        <v>1713</v>
      </c>
    </row>
    <row r="1615" spans="1:96" s="301" customFormat="1" ht="12.75" customHeight="1" x14ac:dyDescent="0.3">
      <c r="A1615" s="327" t="s">
        <v>981</v>
      </c>
      <c r="B1615" s="327" t="s">
        <v>982</v>
      </c>
      <c r="C1615" s="327" t="s">
        <v>997</v>
      </c>
      <c r="D1615" s="327" t="s">
        <v>553</v>
      </c>
      <c r="E1615" s="327" t="s">
        <v>901</v>
      </c>
      <c r="F1615" s="327">
        <v>1</v>
      </c>
      <c r="G1615" s="328">
        <v>3</v>
      </c>
      <c r="H1615" s="328">
        <v>3</v>
      </c>
      <c r="I1615" s="327" t="s">
        <v>783</v>
      </c>
      <c r="J1615" s="327">
        <v>1987</v>
      </c>
      <c r="K1615" s="327" t="s">
        <v>783</v>
      </c>
      <c r="L1615" s="327">
        <v>1990</v>
      </c>
      <c r="M1615" s="368">
        <v>-9999</v>
      </c>
      <c r="N1615" s="327">
        <v>-9999</v>
      </c>
      <c r="O1615" s="70">
        <v>2.5</v>
      </c>
      <c r="P1615" s="370">
        <f t="shared" ref="P1615:P1627" si="202">+R1615*O1615</f>
        <v>0.69169999999999998</v>
      </c>
      <c r="Q1615" s="327">
        <v>-9999</v>
      </c>
      <c r="R1615" s="368">
        <f>+Y1615</f>
        <v>0.27667999999999998</v>
      </c>
      <c r="S1615" s="368"/>
      <c r="T1615" s="287">
        <f t="shared" ref="T1615:T1627" si="203">+V1615*O1615</f>
        <v>0.34375</v>
      </c>
      <c r="U1615" s="413">
        <v>-9999</v>
      </c>
      <c r="V1615" s="368">
        <v>0.13750000000000001</v>
      </c>
      <c r="W1615" s="287">
        <f t="shared" ref="W1615:W1627" si="204">Y1615*O1615</f>
        <v>0.69169999999999998</v>
      </c>
      <c r="X1615" s="327">
        <v>-9999</v>
      </c>
      <c r="Y1615" s="368">
        <v>0.27667999999999998</v>
      </c>
      <c r="Z1615" s="327" t="s">
        <v>1707</v>
      </c>
      <c r="AA1615" s="327">
        <v>1660</v>
      </c>
      <c r="AB1615" s="327">
        <v>-9999</v>
      </c>
      <c r="AC1615" s="327">
        <f t="shared" si="201"/>
        <v>0.6</v>
      </c>
      <c r="AD1615" s="327">
        <v>0.15</v>
      </c>
      <c r="AE1615" s="328" t="s">
        <v>1970</v>
      </c>
      <c r="AF1615" s="327">
        <v>4</v>
      </c>
      <c r="AG1615" s="327" t="s">
        <v>843</v>
      </c>
      <c r="AH1615" s="327" t="s">
        <v>876</v>
      </c>
      <c r="AI1615" s="327" t="s">
        <v>985</v>
      </c>
      <c r="AJ1615" s="327" t="s">
        <v>892</v>
      </c>
      <c r="AK1615" s="327" t="s">
        <v>966</v>
      </c>
      <c r="AL1615" s="327" t="s">
        <v>828</v>
      </c>
      <c r="AM1615" s="327" t="s">
        <v>871</v>
      </c>
      <c r="AN1615" s="327" t="s">
        <v>631</v>
      </c>
      <c r="AO1615" s="327">
        <v>-9999</v>
      </c>
      <c r="AP1615" s="327">
        <v>-9999</v>
      </c>
      <c r="AQ1615" s="327" t="s">
        <v>626</v>
      </c>
      <c r="AR1615" s="363">
        <f t="shared" ref="AR1615:AR1621" si="205">+((150*0.35)*1.12)+AR1614</f>
        <v>198.8</v>
      </c>
      <c r="AS1615" s="327" t="s">
        <v>138</v>
      </c>
      <c r="AT1615" s="327" t="s">
        <v>311</v>
      </c>
      <c r="AU1615" s="363">
        <f t="shared" ref="AU1615:AU1621" si="206">0+AU1614</f>
        <v>112.31360000000001</v>
      </c>
      <c r="AV1615" s="327">
        <v>-9999</v>
      </c>
      <c r="AW1615" s="327">
        <v>-9999</v>
      </c>
      <c r="AX1615" s="363">
        <f>0+AX1614</f>
        <v>134.4</v>
      </c>
      <c r="AY1615" s="327">
        <v>-9999</v>
      </c>
      <c r="AZ1615" s="327">
        <v>-9999</v>
      </c>
      <c r="BA1615" s="327">
        <v>-9999</v>
      </c>
      <c r="BB1615" s="327" t="s">
        <v>631</v>
      </c>
      <c r="BC1615" s="327">
        <v>-9999</v>
      </c>
      <c r="BD1615" s="327">
        <v>-9999</v>
      </c>
      <c r="BE1615" s="327">
        <v>-9999</v>
      </c>
      <c r="BF1615" s="327">
        <v>-9999</v>
      </c>
      <c r="BG1615" s="327">
        <v>-9999</v>
      </c>
      <c r="BH1615" s="327">
        <v>-9999</v>
      </c>
      <c r="BI1615" s="327" t="s">
        <v>993</v>
      </c>
      <c r="BJ1615" s="327">
        <v>-9999</v>
      </c>
      <c r="BK1615" s="327">
        <v>-9999</v>
      </c>
      <c r="BL1615" s="368">
        <v>2.74194</v>
      </c>
      <c r="BM1615" s="327">
        <v>-9999</v>
      </c>
      <c r="BN1615" s="327">
        <v>-9999</v>
      </c>
      <c r="BO1615" s="327">
        <v>-9999</v>
      </c>
      <c r="BP1615" s="327">
        <v>-9999</v>
      </c>
      <c r="BQ1615" s="327">
        <v>-9999</v>
      </c>
      <c r="BR1615" s="327">
        <v>-9999</v>
      </c>
      <c r="BS1615" s="474">
        <v>-9999</v>
      </c>
      <c r="BT1615" s="327">
        <v>-9999</v>
      </c>
      <c r="BU1615" s="327">
        <v>-9999</v>
      </c>
      <c r="BV1615" s="327">
        <v>-9999</v>
      </c>
      <c r="BW1615" s="327"/>
      <c r="BX1615" s="327">
        <v>-9999</v>
      </c>
      <c r="BY1615" s="327">
        <v>-9999</v>
      </c>
      <c r="BZ1615" s="327">
        <v>-9999</v>
      </c>
      <c r="CA1615" s="369">
        <v>-9999</v>
      </c>
      <c r="CB1615" s="475"/>
      <c r="CC1615" s="327">
        <v>1</v>
      </c>
      <c r="CD1615" s="328">
        <v>3</v>
      </c>
      <c r="CE1615" s="342">
        <v>0.34375</v>
      </c>
      <c r="CF1615" s="342">
        <v>0.69169999999999998</v>
      </c>
      <c r="CG1615" s="359">
        <v>3</v>
      </c>
      <c r="CR1615" s="301" t="s">
        <v>1714</v>
      </c>
    </row>
    <row r="1616" spans="1:96" s="301" customFormat="1" ht="12.75" customHeight="1" x14ac:dyDescent="0.3">
      <c r="A1616" s="327" t="s">
        <v>981</v>
      </c>
      <c r="B1616" s="327" t="s">
        <v>982</v>
      </c>
      <c r="C1616" s="327" t="s">
        <v>997</v>
      </c>
      <c r="D1616" s="327" t="s">
        <v>553</v>
      </c>
      <c r="E1616" s="327" t="s">
        <v>901</v>
      </c>
      <c r="F1616" s="327">
        <v>1</v>
      </c>
      <c r="G1616" s="328">
        <v>4</v>
      </c>
      <c r="H1616" s="328">
        <v>4</v>
      </c>
      <c r="I1616" s="327" t="s">
        <v>783</v>
      </c>
      <c r="J1616" s="327">
        <v>1987</v>
      </c>
      <c r="K1616" s="327" t="s">
        <v>783</v>
      </c>
      <c r="L1616" s="327">
        <v>1991</v>
      </c>
      <c r="M1616" s="368">
        <v>-9999</v>
      </c>
      <c r="N1616" s="327">
        <v>-9999</v>
      </c>
      <c r="O1616" s="70">
        <v>2.0833333333333335</v>
      </c>
      <c r="P1616" s="370">
        <f t="shared" si="202"/>
        <v>8.3049583333333334</v>
      </c>
      <c r="Q1616" s="327">
        <v>-9999</v>
      </c>
      <c r="R1616" s="368">
        <f t="shared" ref="R1616:R1627" si="207">+R1615+Y1616</f>
        <v>3.98638</v>
      </c>
      <c r="S1616" s="368"/>
      <c r="T1616" s="287">
        <f t="shared" si="203"/>
        <v>2.0203541666666669</v>
      </c>
      <c r="U1616" s="413">
        <v>-9999</v>
      </c>
      <c r="V1616" s="368">
        <v>0.96977000000000002</v>
      </c>
      <c r="W1616" s="287">
        <f t="shared" si="204"/>
        <v>7.7285416666666675</v>
      </c>
      <c r="X1616" s="327">
        <v>-9999</v>
      </c>
      <c r="Y1616" s="368">
        <v>3.7097000000000002</v>
      </c>
      <c r="Z1616" s="327" t="s">
        <v>1707</v>
      </c>
      <c r="AA1616" s="327">
        <v>1660</v>
      </c>
      <c r="AB1616" s="327">
        <v>-9999</v>
      </c>
      <c r="AC1616" s="327">
        <f t="shared" si="201"/>
        <v>0.6</v>
      </c>
      <c r="AD1616" s="327">
        <v>0.15</v>
      </c>
      <c r="AE1616" s="328" t="s">
        <v>1970</v>
      </c>
      <c r="AF1616" s="327">
        <v>4</v>
      </c>
      <c r="AG1616" s="327" t="s">
        <v>843</v>
      </c>
      <c r="AH1616" s="327" t="s">
        <v>876</v>
      </c>
      <c r="AI1616" s="327" t="s">
        <v>985</v>
      </c>
      <c r="AJ1616" s="327" t="s">
        <v>892</v>
      </c>
      <c r="AK1616" s="327" t="s">
        <v>966</v>
      </c>
      <c r="AL1616" s="327" t="s">
        <v>828</v>
      </c>
      <c r="AM1616" s="327" t="s">
        <v>871</v>
      </c>
      <c r="AN1616" s="327" t="s">
        <v>631</v>
      </c>
      <c r="AO1616" s="327">
        <v>-9999</v>
      </c>
      <c r="AP1616" s="327">
        <v>-9999</v>
      </c>
      <c r="AQ1616" s="327" t="s">
        <v>626</v>
      </c>
      <c r="AR1616" s="363">
        <f t="shared" si="205"/>
        <v>257.60000000000002</v>
      </c>
      <c r="AS1616" s="327" t="s">
        <v>138</v>
      </c>
      <c r="AT1616" s="327" t="s">
        <v>311</v>
      </c>
      <c r="AU1616" s="363">
        <f t="shared" si="206"/>
        <v>112.31360000000001</v>
      </c>
      <c r="AV1616" s="327">
        <v>-9999</v>
      </c>
      <c r="AW1616" s="327">
        <v>-9999</v>
      </c>
      <c r="AX1616" s="363">
        <f t="shared" ref="AX1616:AX1622" si="208">0+AX1615</f>
        <v>134.4</v>
      </c>
      <c r="AY1616" s="327">
        <v>-9999</v>
      </c>
      <c r="AZ1616" s="327">
        <v>-9999</v>
      </c>
      <c r="BA1616" s="327">
        <v>-9999</v>
      </c>
      <c r="BB1616" s="327" t="s">
        <v>631</v>
      </c>
      <c r="BC1616" s="327">
        <v>-9999</v>
      </c>
      <c r="BD1616" s="327">
        <v>-9999</v>
      </c>
      <c r="BE1616" s="327">
        <v>-9999</v>
      </c>
      <c r="BF1616" s="327">
        <v>-9999</v>
      </c>
      <c r="BG1616" s="327">
        <v>-9999</v>
      </c>
      <c r="BH1616" s="327">
        <v>-9999</v>
      </c>
      <c r="BI1616" s="327" t="s">
        <v>993</v>
      </c>
      <c r="BJ1616" s="328">
        <v>3.9373900000000002</v>
      </c>
      <c r="BK1616" s="327">
        <v>-9999</v>
      </c>
      <c r="BL1616" s="368">
        <v>4.1935500000000001</v>
      </c>
      <c r="BM1616" s="327">
        <v>-9999</v>
      </c>
      <c r="BN1616" s="327">
        <v>-9999</v>
      </c>
      <c r="BO1616" s="327">
        <v>-9999</v>
      </c>
      <c r="BP1616" s="327">
        <v>-9999</v>
      </c>
      <c r="BQ1616" s="327">
        <v>-9999</v>
      </c>
      <c r="BR1616" s="327">
        <v>-9999</v>
      </c>
      <c r="BS1616" s="474">
        <v>-9999</v>
      </c>
      <c r="BT1616" s="327">
        <v>-9999</v>
      </c>
      <c r="BU1616" s="327">
        <v>-9999</v>
      </c>
      <c r="BV1616" s="327">
        <v>-9999</v>
      </c>
      <c r="BW1616" s="327"/>
      <c r="BX1616" s="327">
        <v>-9999</v>
      </c>
      <c r="BY1616" s="327">
        <v>-9999</v>
      </c>
      <c r="BZ1616" s="327">
        <v>-9999</v>
      </c>
      <c r="CA1616" s="369">
        <v>-9999</v>
      </c>
      <c r="CB1616" s="475"/>
      <c r="CC1616" s="327">
        <v>1</v>
      </c>
      <c r="CD1616" s="328">
        <v>4</v>
      </c>
      <c r="CE1616" s="342">
        <v>2.0203541666666669</v>
      </c>
      <c r="CF1616" s="342">
        <v>7.7285416666666675</v>
      </c>
      <c r="CG1616" s="359">
        <v>4</v>
      </c>
      <c r="CR1616" s="301" t="s">
        <v>1715</v>
      </c>
    </row>
    <row r="1617" spans="1:96" s="301" customFormat="1" ht="12.75" customHeight="1" x14ac:dyDescent="0.3">
      <c r="A1617" s="327" t="s">
        <v>981</v>
      </c>
      <c r="B1617" s="327" t="s">
        <v>982</v>
      </c>
      <c r="C1617" s="327" t="s">
        <v>997</v>
      </c>
      <c r="D1617" s="327" t="s">
        <v>553</v>
      </c>
      <c r="E1617" s="327" t="s">
        <v>901</v>
      </c>
      <c r="F1617" s="327">
        <v>1</v>
      </c>
      <c r="G1617" s="328">
        <v>5</v>
      </c>
      <c r="H1617" s="328">
        <v>5</v>
      </c>
      <c r="I1617" s="327" t="s">
        <v>783</v>
      </c>
      <c r="J1617" s="327">
        <v>1987</v>
      </c>
      <c r="K1617" s="327" t="s">
        <v>783</v>
      </c>
      <c r="L1617" s="327">
        <v>1992</v>
      </c>
      <c r="M1617" s="368">
        <v>-9999</v>
      </c>
      <c r="N1617" s="327">
        <v>-9999</v>
      </c>
      <c r="O1617" s="70">
        <v>1.7241379310344827</v>
      </c>
      <c r="P1617" s="370">
        <f t="shared" si="202"/>
        <v>21.510086206896553</v>
      </c>
      <c r="Q1617" s="327">
        <v>-9999</v>
      </c>
      <c r="R1617" s="368">
        <f t="shared" si="207"/>
        <v>12.475850000000001</v>
      </c>
      <c r="S1617" s="368"/>
      <c r="T1617" s="287">
        <f t="shared" si="203"/>
        <v>4.3081034482758618</v>
      </c>
      <c r="U1617" s="413">
        <v>-9999</v>
      </c>
      <c r="V1617" s="368">
        <v>2.4986999999999999</v>
      </c>
      <c r="W1617" s="287">
        <f t="shared" si="204"/>
        <v>14.637017241379311</v>
      </c>
      <c r="X1617" s="327">
        <v>-9999</v>
      </c>
      <c r="Y1617" s="368">
        <v>8.4894700000000007</v>
      </c>
      <c r="Z1617" s="327" t="s">
        <v>1707</v>
      </c>
      <c r="AA1617" s="327">
        <v>1660</v>
      </c>
      <c r="AB1617" s="327">
        <v>-9999</v>
      </c>
      <c r="AC1617" s="327">
        <f t="shared" si="201"/>
        <v>0.6</v>
      </c>
      <c r="AD1617" s="327">
        <v>0.15</v>
      </c>
      <c r="AE1617" s="328" t="s">
        <v>1970</v>
      </c>
      <c r="AF1617" s="327">
        <v>4</v>
      </c>
      <c r="AG1617" s="327" t="s">
        <v>843</v>
      </c>
      <c r="AH1617" s="327" t="s">
        <v>876</v>
      </c>
      <c r="AI1617" s="327" t="s">
        <v>985</v>
      </c>
      <c r="AJ1617" s="327" t="s">
        <v>892</v>
      </c>
      <c r="AK1617" s="327" t="s">
        <v>966</v>
      </c>
      <c r="AL1617" s="327" t="s">
        <v>828</v>
      </c>
      <c r="AM1617" s="327" t="s">
        <v>871</v>
      </c>
      <c r="AN1617" s="327" t="s">
        <v>631</v>
      </c>
      <c r="AO1617" s="327">
        <v>-9999</v>
      </c>
      <c r="AP1617" s="327">
        <v>-9999</v>
      </c>
      <c r="AQ1617" s="327" t="s">
        <v>626</v>
      </c>
      <c r="AR1617" s="363">
        <f t="shared" si="205"/>
        <v>316.40000000000003</v>
      </c>
      <c r="AS1617" s="327" t="s">
        <v>138</v>
      </c>
      <c r="AT1617" s="327" t="s">
        <v>311</v>
      </c>
      <c r="AU1617" s="363">
        <f t="shared" si="206"/>
        <v>112.31360000000001</v>
      </c>
      <c r="AV1617" s="327">
        <v>-9999</v>
      </c>
      <c r="AW1617" s="327">
        <v>-9999</v>
      </c>
      <c r="AX1617" s="363">
        <f t="shared" si="208"/>
        <v>134.4</v>
      </c>
      <c r="AY1617" s="327">
        <v>-9999</v>
      </c>
      <c r="AZ1617" s="327">
        <v>-9999</v>
      </c>
      <c r="BA1617" s="327">
        <v>-9999</v>
      </c>
      <c r="BB1617" s="327" t="s">
        <v>631</v>
      </c>
      <c r="BC1617" s="327">
        <v>-9999</v>
      </c>
      <c r="BD1617" s="327">
        <v>-9999</v>
      </c>
      <c r="BE1617" s="327">
        <v>-9999</v>
      </c>
      <c r="BF1617" s="327">
        <v>-9999</v>
      </c>
      <c r="BG1617" s="327">
        <v>-9999</v>
      </c>
      <c r="BH1617" s="327">
        <v>-9999</v>
      </c>
      <c r="BI1617" s="327" t="s">
        <v>993</v>
      </c>
      <c r="BJ1617" s="328">
        <v>10.129799999999999</v>
      </c>
      <c r="BK1617" s="327">
        <v>-9999</v>
      </c>
      <c r="BL1617" s="368">
        <v>6.4516099999999996</v>
      </c>
      <c r="BM1617" s="327">
        <v>-9999</v>
      </c>
      <c r="BN1617" s="327">
        <v>-9999</v>
      </c>
      <c r="BO1617" s="327">
        <v>-9999</v>
      </c>
      <c r="BP1617" s="327">
        <v>-9999</v>
      </c>
      <c r="BQ1617" s="327">
        <v>-9999</v>
      </c>
      <c r="BR1617" s="327">
        <v>-9999</v>
      </c>
      <c r="BS1617" s="474">
        <v>-9999</v>
      </c>
      <c r="BT1617" s="327">
        <v>-9999</v>
      </c>
      <c r="BU1617" s="327">
        <v>-9999</v>
      </c>
      <c r="BV1617" s="327">
        <v>-9999</v>
      </c>
      <c r="BW1617" s="327"/>
      <c r="BX1617" s="327">
        <v>-9999</v>
      </c>
      <c r="BY1617" s="327">
        <v>-9999</v>
      </c>
      <c r="BZ1617" s="327">
        <v>-9999</v>
      </c>
      <c r="CA1617" s="369">
        <v>-9999</v>
      </c>
      <c r="CB1617" s="475"/>
      <c r="CC1617" s="327">
        <v>1</v>
      </c>
      <c r="CD1617" s="328">
        <v>5</v>
      </c>
      <c r="CE1617" s="342">
        <v>4.3081034482758618</v>
      </c>
      <c r="CF1617" s="342">
        <v>14.637017241379311</v>
      </c>
      <c r="CG1617" s="359">
        <v>5</v>
      </c>
      <c r="CR1617" s="301" t="s">
        <v>1716</v>
      </c>
    </row>
    <row r="1618" spans="1:96" s="301" customFormat="1" ht="12.75" customHeight="1" x14ac:dyDescent="0.3">
      <c r="A1618" s="327" t="s">
        <v>981</v>
      </c>
      <c r="B1618" s="327" t="s">
        <v>982</v>
      </c>
      <c r="C1618" s="327" t="s">
        <v>997</v>
      </c>
      <c r="D1618" s="327" t="s">
        <v>553</v>
      </c>
      <c r="E1618" s="327" t="s">
        <v>901</v>
      </c>
      <c r="F1618" s="327">
        <v>1</v>
      </c>
      <c r="G1618" s="328">
        <v>6</v>
      </c>
      <c r="H1618" s="328">
        <v>6</v>
      </c>
      <c r="I1618" s="327" t="s">
        <v>783</v>
      </c>
      <c r="J1618" s="327">
        <v>1987</v>
      </c>
      <c r="K1618" s="327" t="s">
        <v>783</v>
      </c>
      <c r="L1618" s="327">
        <v>1993</v>
      </c>
      <c r="M1618" s="368">
        <v>-9999</v>
      </c>
      <c r="N1618" s="327">
        <v>-9999</v>
      </c>
      <c r="O1618" s="70">
        <v>1.6129032258064515</v>
      </c>
      <c r="P1618" s="370">
        <f t="shared" si="202"/>
        <v>40.250983870967737</v>
      </c>
      <c r="Q1618" s="327">
        <v>-9999</v>
      </c>
      <c r="R1618" s="368">
        <f t="shared" si="207"/>
        <v>24.95561</v>
      </c>
      <c r="S1618" s="368"/>
      <c r="T1618" s="287">
        <f t="shared" si="203"/>
        <v>6.7959032258064518</v>
      </c>
      <c r="U1618" s="413">
        <v>-9999</v>
      </c>
      <c r="V1618" s="368">
        <v>4.2134600000000004</v>
      </c>
      <c r="W1618" s="287">
        <f t="shared" si="204"/>
        <v>20.128645161290322</v>
      </c>
      <c r="X1618" s="327">
        <v>-9999</v>
      </c>
      <c r="Y1618" s="368">
        <v>12.479760000000001</v>
      </c>
      <c r="Z1618" s="327" t="s">
        <v>1707</v>
      </c>
      <c r="AA1618" s="327">
        <v>1660</v>
      </c>
      <c r="AB1618" s="327">
        <v>-9999</v>
      </c>
      <c r="AC1618" s="327">
        <f t="shared" si="201"/>
        <v>0.6</v>
      </c>
      <c r="AD1618" s="327">
        <v>0.15</v>
      </c>
      <c r="AE1618" s="328" t="s">
        <v>1970</v>
      </c>
      <c r="AF1618" s="327">
        <v>4</v>
      </c>
      <c r="AG1618" s="327" t="s">
        <v>843</v>
      </c>
      <c r="AH1618" s="327" t="s">
        <v>876</v>
      </c>
      <c r="AI1618" s="327" t="s">
        <v>985</v>
      </c>
      <c r="AJ1618" s="327" t="s">
        <v>892</v>
      </c>
      <c r="AK1618" s="327" t="s">
        <v>966</v>
      </c>
      <c r="AL1618" s="327" t="s">
        <v>828</v>
      </c>
      <c r="AM1618" s="327" t="s">
        <v>871</v>
      </c>
      <c r="AN1618" s="327" t="s">
        <v>631</v>
      </c>
      <c r="AO1618" s="327">
        <v>-9999</v>
      </c>
      <c r="AP1618" s="327">
        <v>-9999</v>
      </c>
      <c r="AQ1618" s="327" t="s">
        <v>626</v>
      </c>
      <c r="AR1618" s="363">
        <f t="shared" si="205"/>
        <v>375.20000000000005</v>
      </c>
      <c r="AS1618" s="327" t="s">
        <v>138</v>
      </c>
      <c r="AT1618" s="327" t="s">
        <v>311</v>
      </c>
      <c r="AU1618" s="363">
        <f t="shared" si="206"/>
        <v>112.31360000000001</v>
      </c>
      <c r="AV1618" s="327">
        <v>-9999</v>
      </c>
      <c r="AW1618" s="327">
        <v>-9999</v>
      </c>
      <c r="AX1618" s="363">
        <f t="shared" si="208"/>
        <v>134.4</v>
      </c>
      <c r="AY1618" s="327">
        <v>-9999</v>
      </c>
      <c r="AZ1618" s="327">
        <v>-9999</v>
      </c>
      <c r="BA1618" s="327">
        <v>-9999</v>
      </c>
      <c r="BB1618" s="327" t="s">
        <v>631</v>
      </c>
      <c r="BC1618" s="327">
        <v>-9999</v>
      </c>
      <c r="BD1618" s="327">
        <v>-9999</v>
      </c>
      <c r="BE1618" s="327">
        <v>-9999</v>
      </c>
      <c r="BF1618" s="327">
        <v>-9999</v>
      </c>
      <c r="BG1618" s="327">
        <v>-9999</v>
      </c>
      <c r="BH1618" s="327">
        <v>-9999</v>
      </c>
      <c r="BI1618" s="327" t="s">
        <v>993</v>
      </c>
      <c r="BJ1618" s="328">
        <v>16.554300000000001</v>
      </c>
      <c r="BK1618" s="327">
        <v>-9999</v>
      </c>
      <c r="BL1618" s="368">
        <v>8.4677399999999992</v>
      </c>
      <c r="BM1618" s="327">
        <v>-9999</v>
      </c>
      <c r="BN1618" s="327">
        <v>-9999</v>
      </c>
      <c r="BO1618" s="327">
        <v>-9999</v>
      </c>
      <c r="BP1618" s="327">
        <v>-9999</v>
      </c>
      <c r="BQ1618" s="327">
        <v>-9999</v>
      </c>
      <c r="BR1618" s="327">
        <v>-9999</v>
      </c>
      <c r="BS1618" s="474">
        <v>-9999</v>
      </c>
      <c r="BT1618" s="327">
        <v>-9999</v>
      </c>
      <c r="BU1618" s="327">
        <v>-9999</v>
      </c>
      <c r="BV1618" s="327">
        <v>-9999</v>
      </c>
      <c r="BW1618" s="327"/>
      <c r="BX1618" s="327">
        <v>-9999</v>
      </c>
      <c r="BY1618" s="327">
        <v>-9999</v>
      </c>
      <c r="BZ1618" s="327">
        <v>-9999</v>
      </c>
      <c r="CA1618" s="369">
        <v>-9999</v>
      </c>
      <c r="CB1618" s="475"/>
      <c r="CC1618" s="327">
        <v>1</v>
      </c>
      <c r="CD1618" s="328">
        <v>6</v>
      </c>
      <c r="CE1618" s="342">
        <v>6.7959032258064518</v>
      </c>
      <c r="CF1618" s="342">
        <v>20.128645161290322</v>
      </c>
      <c r="CG1618" s="359">
        <v>6</v>
      </c>
    </row>
    <row r="1619" spans="1:96" s="301" customFormat="1" ht="12.75" customHeight="1" x14ac:dyDescent="0.3">
      <c r="A1619" s="327" t="s">
        <v>981</v>
      </c>
      <c r="B1619" s="327" t="s">
        <v>982</v>
      </c>
      <c r="C1619" s="327" t="s">
        <v>997</v>
      </c>
      <c r="D1619" s="327" t="s">
        <v>553</v>
      </c>
      <c r="E1619" s="327" t="s">
        <v>901</v>
      </c>
      <c r="F1619" s="327">
        <v>1</v>
      </c>
      <c r="G1619" s="328">
        <v>7</v>
      </c>
      <c r="H1619" s="328">
        <v>7</v>
      </c>
      <c r="I1619" s="327" t="s">
        <v>783</v>
      </c>
      <c r="J1619" s="327">
        <v>1987</v>
      </c>
      <c r="K1619" s="327" t="s">
        <v>783</v>
      </c>
      <c r="L1619" s="327">
        <v>1994</v>
      </c>
      <c r="M1619" s="368">
        <v>-9999</v>
      </c>
      <c r="N1619" s="327">
        <v>-9999</v>
      </c>
      <c r="O1619" s="70">
        <v>1.5873015873015872</v>
      </c>
      <c r="P1619" s="370">
        <f t="shared" si="202"/>
        <v>62.069238095238092</v>
      </c>
      <c r="Q1619" s="327">
        <v>-9999</v>
      </c>
      <c r="R1619" s="368">
        <f t="shared" si="207"/>
        <v>39.103619999999999</v>
      </c>
      <c r="S1619" s="368"/>
      <c r="T1619" s="287">
        <f t="shared" si="203"/>
        <v>8.8938730158730159</v>
      </c>
      <c r="U1619" s="413">
        <v>-9999</v>
      </c>
      <c r="V1619" s="368">
        <v>5.6031399999999998</v>
      </c>
      <c r="W1619" s="287">
        <f t="shared" si="204"/>
        <v>22.457158730158728</v>
      </c>
      <c r="X1619" s="327">
        <v>-9999</v>
      </c>
      <c r="Y1619" s="368">
        <v>14.148009999999999</v>
      </c>
      <c r="Z1619" s="327" t="s">
        <v>1707</v>
      </c>
      <c r="AA1619" s="327">
        <v>1660</v>
      </c>
      <c r="AB1619" s="327">
        <v>-9999</v>
      </c>
      <c r="AC1619" s="327">
        <f t="shared" si="201"/>
        <v>0.6</v>
      </c>
      <c r="AD1619" s="327">
        <v>0.15</v>
      </c>
      <c r="AE1619" s="328" t="s">
        <v>1970</v>
      </c>
      <c r="AF1619" s="327">
        <v>4</v>
      </c>
      <c r="AG1619" s="327" t="s">
        <v>843</v>
      </c>
      <c r="AH1619" s="327" t="s">
        <v>876</v>
      </c>
      <c r="AI1619" s="327" t="s">
        <v>985</v>
      </c>
      <c r="AJ1619" s="327" t="s">
        <v>892</v>
      </c>
      <c r="AK1619" s="327" t="s">
        <v>966</v>
      </c>
      <c r="AL1619" s="327" t="s">
        <v>828</v>
      </c>
      <c r="AM1619" s="327" t="s">
        <v>871</v>
      </c>
      <c r="AN1619" s="327" t="s">
        <v>631</v>
      </c>
      <c r="AO1619" s="327">
        <v>-9999</v>
      </c>
      <c r="AP1619" s="327">
        <v>-9999</v>
      </c>
      <c r="AQ1619" s="327" t="s">
        <v>626</v>
      </c>
      <c r="AR1619" s="363">
        <f t="shared" si="205"/>
        <v>434.00000000000006</v>
      </c>
      <c r="AS1619" s="327" t="s">
        <v>138</v>
      </c>
      <c r="AT1619" s="327" t="s">
        <v>311</v>
      </c>
      <c r="AU1619" s="363">
        <f t="shared" si="206"/>
        <v>112.31360000000001</v>
      </c>
      <c r="AV1619" s="327">
        <v>-9999</v>
      </c>
      <c r="AW1619" s="327">
        <v>-9999</v>
      </c>
      <c r="AX1619" s="363">
        <f t="shared" si="208"/>
        <v>134.4</v>
      </c>
      <c r="AY1619" s="327">
        <v>-9999</v>
      </c>
      <c r="AZ1619" s="327">
        <v>-9999</v>
      </c>
      <c r="BA1619" s="327">
        <v>-9999</v>
      </c>
      <c r="BB1619" s="327" t="s">
        <v>631</v>
      </c>
      <c r="BC1619" s="327">
        <v>-9999</v>
      </c>
      <c r="BD1619" s="327">
        <v>-9999</v>
      </c>
      <c r="BE1619" s="327">
        <v>-9999</v>
      </c>
      <c r="BF1619" s="327">
        <v>-9999</v>
      </c>
      <c r="BG1619" s="327">
        <v>-9999</v>
      </c>
      <c r="BH1619" s="327">
        <v>-9999</v>
      </c>
      <c r="BI1619" s="327" t="s">
        <v>993</v>
      </c>
      <c r="BJ1619" s="328">
        <v>21.869599999999998</v>
      </c>
      <c r="BK1619" s="327">
        <v>-9999</v>
      </c>
      <c r="BL1619" s="368">
        <v>10.24194</v>
      </c>
      <c r="BM1619" s="327">
        <v>-9999</v>
      </c>
      <c r="BN1619" s="327">
        <v>-9999</v>
      </c>
      <c r="BO1619" s="327">
        <v>-9999</v>
      </c>
      <c r="BP1619" s="327">
        <v>-9999</v>
      </c>
      <c r="BQ1619" s="327">
        <v>-9999</v>
      </c>
      <c r="BR1619" s="327">
        <v>-9999</v>
      </c>
      <c r="BS1619" s="474">
        <v>-9999</v>
      </c>
      <c r="BT1619" s="327">
        <v>-9999</v>
      </c>
      <c r="BU1619" s="327">
        <v>-9999</v>
      </c>
      <c r="BV1619" s="327">
        <v>-9999</v>
      </c>
      <c r="BW1619" s="327"/>
      <c r="BX1619" s="327">
        <v>-9999</v>
      </c>
      <c r="BY1619" s="327">
        <v>-9999</v>
      </c>
      <c r="BZ1619" s="327">
        <v>-9999</v>
      </c>
      <c r="CA1619" s="369">
        <v>-9999</v>
      </c>
      <c r="CB1619" s="475"/>
      <c r="CC1619" s="327">
        <v>1</v>
      </c>
      <c r="CD1619" s="328">
        <v>7</v>
      </c>
      <c r="CE1619" s="342">
        <v>8.8938730158730159</v>
      </c>
      <c r="CF1619" s="342">
        <v>22.457158730158728</v>
      </c>
      <c r="CG1619" s="359">
        <v>7</v>
      </c>
      <c r="CR1619" s="301" t="s">
        <v>1717</v>
      </c>
    </row>
    <row r="1620" spans="1:96" s="301" customFormat="1" ht="12.75" customHeight="1" x14ac:dyDescent="0.3">
      <c r="A1620" s="327" t="s">
        <v>981</v>
      </c>
      <c r="B1620" s="327" t="s">
        <v>982</v>
      </c>
      <c r="C1620" s="327" t="s">
        <v>997</v>
      </c>
      <c r="D1620" s="327" t="s">
        <v>553</v>
      </c>
      <c r="E1620" s="327" t="s">
        <v>901</v>
      </c>
      <c r="F1620" s="327">
        <v>1</v>
      </c>
      <c r="G1620" s="328">
        <v>8</v>
      </c>
      <c r="H1620" s="328">
        <v>8</v>
      </c>
      <c r="I1620" s="327" t="s">
        <v>783</v>
      </c>
      <c r="J1620" s="327">
        <v>1987</v>
      </c>
      <c r="K1620" s="327" t="s">
        <v>783</v>
      </c>
      <c r="L1620" s="327">
        <v>1995</v>
      </c>
      <c r="M1620" s="368">
        <v>-9999</v>
      </c>
      <c r="N1620" s="327">
        <v>-9999</v>
      </c>
      <c r="O1620" s="70">
        <v>1.5384615384615385</v>
      </c>
      <c r="P1620" s="370">
        <f t="shared" si="202"/>
        <v>84.563569230769232</v>
      </c>
      <c r="Q1620" s="327">
        <v>-9999</v>
      </c>
      <c r="R1620" s="368">
        <f t="shared" si="207"/>
        <v>54.966319999999996</v>
      </c>
      <c r="S1620" s="368"/>
      <c r="T1620" s="287">
        <f t="shared" si="203"/>
        <v>10.614984615384616</v>
      </c>
      <c r="U1620" s="413">
        <v>-9999</v>
      </c>
      <c r="V1620" s="368">
        <v>6.8997400000000004</v>
      </c>
      <c r="W1620" s="287">
        <f t="shared" si="204"/>
        <v>24.404153846153847</v>
      </c>
      <c r="X1620" s="327">
        <v>-9999</v>
      </c>
      <c r="Y1620" s="368">
        <v>15.8627</v>
      </c>
      <c r="Z1620" s="327" t="s">
        <v>1707</v>
      </c>
      <c r="AA1620" s="327">
        <v>1660</v>
      </c>
      <c r="AB1620" s="327">
        <v>-9999</v>
      </c>
      <c r="AC1620" s="327">
        <f t="shared" si="201"/>
        <v>0.6</v>
      </c>
      <c r="AD1620" s="327">
        <v>0.15</v>
      </c>
      <c r="AE1620" s="328" t="s">
        <v>1970</v>
      </c>
      <c r="AF1620" s="327">
        <v>4</v>
      </c>
      <c r="AG1620" s="327" t="s">
        <v>843</v>
      </c>
      <c r="AH1620" s="327" t="s">
        <v>876</v>
      </c>
      <c r="AI1620" s="327" t="s">
        <v>985</v>
      </c>
      <c r="AJ1620" s="327" t="s">
        <v>892</v>
      </c>
      <c r="AK1620" s="327" t="s">
        <v>966</v>
      </c>
      <c r="AL1620" s="327" t="s">
        <v>828</v>
      </c>
      <c r="AM1620" s="327" t="s">
        <v>871</v>
      </c>
      <c r="AN1620" s="327" t="s">
        <v>631</v>
      </c>
      <c r="AO1620" s="327">
        <v>-9999</v>
      </c>
      <c r="AP1620" s="327">
        <v>-9999</v>
      </c>
      <c r="AQ1620" s="327" t="s">
        <v>626</v>
      </c>
      <c r="AR1620" s="363">
        <f t="shared" si="205"/>
        <v>492.80000000000007</v>
      </c>
      <c r="AS1620" s="327" t="s">
        <v>138</v>
      </c>
      <c r="AT1620" s="327" t="s">
        <v>311</v>
      </c>
      <c r="AU1620" s="363">
        <f t="shared" si="206"/>
        <v>112.31360000000001</v>
      </c>
      <c r="AV1620" s="327">
        <v>-9999</v>
      </c>
      <c r="AW1620" s="327">
        <v>-9999</v>
      </c>
      <c r="AX1620" s="363">
        <f t="shared" si="208"/>
        <v>134.4</v>
      </c>
      <c r="AY1620" s="327">
        <v>-9999</v>
      </c>
      <c r="AZ1620" s="327">
        <v>-9999</v>
      </c>
      <c r="BA1620" s="327">
        <v>-9999</v>
      </c>
      <c r="BB1620" s="327" t="s">
        <v>631</v>
      </c>
      <c r="BC1620" s="327">
        <v>-9999</v>
      </c>
      <c r="BD1620" s="327">
        <v>-9999</v>
      </c>
      <c r="BE1620" s="327">
        <v>-9999</v>
      </c>
      <c r="BF1620" s="327">
        <v>-9999</v>
      </c>
      <c r="BG1620" s="327">
        <v>-9999</v>
      </c>
      <c r="BH1620" s="327">
        <v>-9999</v>
      </c>
      <c r="BI1620" s="327" t="s">
        <v>993</v>
      </c>
      <c r="BJ1620" s="328">
        <v>27.088799999999999</v>
      </c>
      <c r="BK1620" s="327">
        <v>-9999</v>
      </c>
      <c r="BL1620" s="368">
        <v>11.854839999999999</v>
      </c>
      <c r="BM1620" s="327">
        <v>-9999</v>
      </c>
      <c r="BN1620" s="327">
        <v>-9999</v>
      </c>
      <c r="BO1620" s="327">
        <v>-9999</v>
      </c>
      <c r="BP1620" s="327">
        <v>-9999</v>
      </c>
      <c r="BQ1620" s="327">
        <v>-9999</v>
      </c>
      <c r="BR1620" s="327">
        <v>-9999</v>
      </c>
      <c r="BS1620" s="474">
        <v>-9999</v>
      </c>
      <c r="BT1620" s="327">
        <v>-9999</v>
      </c>
      <c r="BU1620" s="327">
        <v>-9999</v>
      </c>
      <c r="BV1620" s="327">
        <v>-9999</v>
      </c>
      <c r="BW1620" s="327"/>
      <c r="BX1620" s="327">
        <v>-9999</v>
      </c>
      <c r="BY1620" s="327">
        <v>-9999</v>
      </c>
      <c r="BZ1620" s="327">
        <v>-9999</v>
      </c>
      <c r="CA1620" s="369">
        <v>-9999</v>
      </c>
      <c r="CB1620" s="475"/>
      <c r="CC1620" s="327">
        <v>1</v>
      </c>
      <c r="CD1620" s="328">
        <v>8</v>
      </c>
      <c r="CE1620" s="342">
        <v>10.614984615384616</v>
      </c>
      <c r="CF1620" s="342">
        <v>24.404153846153847</v>
      </c>
      <c r="CG1620" s="359">
        <v>8</v>
      </c>
    </row>
    <row r="1621" spans="1:96" s="301" customFormat="1" ht="12.75" customHeight="1" x14ac:dyDescent="0.3">
      <c r="A1621" s="327" t="s">
        <v>981</v>
      </c>
      <c r="B1621" s="327" t="s">
        <v>982</v>
      </c>
      <c r="C1621" s="327" t="s">
        <v>997</v>
      </c>
      <c r="D1621" s="327" t="s">
        <v>553</v>
      </c>
      <c r="E1621" s="327" t="s">
        <v>901</v>
      </c>
      <c r="F1621" s="327">
        <v>1</v>
      </c>
      <c r="G1621" s="328">
        <v>9</v>
      </c>
      <c r="H1621" s="328">
        <v>9</v>
      </c>
      <c r="I1621" s="327" t="s">
        <v>783</v>
      </c>
      <c r="J1621" s="327">
        <v>1987</v>
      </c>
      <c r="K1621" s="327" t="s">
        <v>783</v>
      </c>
      <c r="L1621" s="327">
        <v>1996</v>
      </c>
      <c r="M1621" s="368">
        <v>-9999</v>
      </c>
      <c r="N1621" s="327">
        <v>-9999</v>
      </c>
      <c r="O1621" s="70">
        <v>1.4705882352941178</v>
      </c>
      <c r="P1621" s="370">
        <f t="shared" si="202"/>
        <v>106.40876470588235</v>
      </c>
      <c r="Q1621" s="327">
        <v>-9999</v>
      </c>
      <c r="R1621" s="368">
        <f t="shared" si="207"/>
        <v>72.357959999999991</v>
      </c>
      <c r="S1621" s="368"/>
      <c r="T1621" s="287">
        <f t="shared" si="203"/>
        <v>11.780661764705883</v>
      </c>
      <c r="U1621" s="413">
        <v>-9999</v>
      </c>
      <c r="V1621" s="368">
        <v>8.0108499999999996</v>
      </c>
      <c r="W1621" s="287">
        <f t="shared" si="204"/>
        <v>25.57594117647059</v>
      </c>
      <c r="X1621" s="327">
        <v>-9999</v>
      </c>
      <c r="Y1621" s="368">
        <v>17.391639999999999</v>
      </c>
      <c r="Z1621" s="327" t="s">
        <v>1707</v>
      </c>
      <c r="AA1621" s="327">
        <v>1660</v>
      </c>
      <c r="AB1621" s="327">
        <v>-9999</v>
      </c>
      <c r="AC1621" s="327">
        <f t="shared" si="201"/>
        <v>0.6</v>
      </c>
      <c r="AD1621" s="327">
        <v>0.15</v>
      </c>
      <c r="AE1621" s="328" t="s">
        <v>1970</v>
      </c>
      <c r="AF1621" s="327">
        <v>4</v>
      </c>
      <c r="AG1621" s="327" t="s">
        <v>843</v>
      </c>
      <c r="AH1621" s="327" t="s">
        <v>876</v>
      </c>
      <c r="AI1621" s="327" t="s">
        <v>985</v>
      </c>
      <c r="AJ1621" s="327" t="s">
        <v>892</v>
      </c>
      <c r="AK1621" s="327" t="s">
        <v>966</v>
      </c>
      <c r="AL1621" s="327" t="s">
        <v>828</v>
      </c>
      <c r="AM1621" s="327" t="s">
        <v>871</v>
      </c>
      <c r="AN1621" s="327" t="s">
        <v>631</v>
      </c>
      <c r="AO1621" s="327">
        <v>-9999</v>
      </c>
      <c r="AP1621" s="327">
        <v>-9999</v>
      </c>
      <c r="AQ1621" s="327" t="s">
        <v>626</v>
      </c>
      <c r="AR1621" s="363">
        <f t="shared" si="205"/>
        <v>551.6</v>
      </c>
      <c r="AS1621" s="327" t="s">
        <v>138</v>
      </c>
      <c r="AT1621" s="327" t="s">
        <v>311</v>
      </c>
      <c r="AU1621" s="363">
        <f t="shared" si="206"/>
        <v>112.31360000000001</v>
      </c>
      <c r="AV1621" s="327">
        <v>-9999</v>
      </c>
      <c r="AW1621" s="327">
        <v>-9999</v>
      </c>
      <c r="AX1621" s="363">
        <f t="shared" si="208"/>
        <v>134.4</v>
      </c>
      <c r="AY1621" s="327">
        <v>-9999</v>
      </c>
      <c r="AZ1621" s="327">
        <v>-9999</v>
      </c>
      <c r="BA1621" s="327">
        <v>-9999</v>
      </c>
      <c r="BB1621" s="327" t="s">
        <v>631</v>
      </c>
      <c r="BC1621" s="327">
        <v>-9999</v>
      </c>
      <c r="BD1621" s="327">
        <v>-9999</v>
      </c>
      <c r="BE1621" s="327">
        <v>-9999</v>
      </c>
      <c r="BF1621" s="327">
        <v>-9999</v>
      </c>
      <c r="BG1621" s="327">
        <v>-9999</v>
      </c>
      <c r="BH1621" s="327">
        <v>-9999</v>
      </c>
      <c r="BI1621" s="327" t="s">
        <v>993</v>
      </c>
      <c r="BJ1621" s="328">
        <v>31.443100000000001</v>
      </c>
      <c r="BK1621" s="327">
        <v>-9999</v>
      </c>
      <c r="BL1621" s="368">
        <v>13.790319999999999</v>
      </c>
      <c r="BM1621" s="327">
        <v>-9999</v>
      </c>
      <c r="BN1621" s="327">
        <v>-9999</v>
      </c>
      <c r="BO1621" s="327">
        <v>-9999</v>
      </c>
      <c r="BP1621" s="327">
        <v>-9999</v>
      </c>
      <c r="BQ1621" s="327">
        <v>-9999</v>
      </c>
      <c r="BR1621" s="327">
        <v>-9999</v>
      </c>
      <c r="BS1621" s="474">
        <v>-9999</v>
      </c>
      <c r="BT1621" s="327">
        <v>-9999</v>
      </c>
      <c r="BU1621" s="327">
        <v>-9999</v>
      </c>
      <c r="BV1621" s="327">
        <v>-9999</v>
      </c>
      <c r="BW1621" s="327"/>
      <c r="BX1621" s="327">
        <v>-9999</v>
      </c>
      <c r="BY1621" s="327">
        <v>-9999</v>
      </c>
      <c r="BZ1621" s="327">
        <v>-9999</v>
      </c>
      <c r="CA1621" s="369">
        <v>-9999</v>
      </c>
      <c r="CB1621" s="475"/>
      <c r="CC1621" s="327">
        <v>1</v>
      </c>
      <c r="CD1621" s="328">
        <v>9</v>
      </c>
      <c r="CE1621" s="342">
        <v>11.780661764705883</v>
      </c>
      <c r="CF1621" s="342">
        <v>25.57594117647059</v>
      </c>
      <c r="CG1621" s="359">
        <v>9</v>
      </c>
    </row>
    <row r="1622" spans="1:96" s="301" customFormat="1" ht="12.75" customHeight="1" x14ac:dyDescent="0.3">
      <c r="A1622" s="327" t="s">
        <v>981</v>
      </c>
      <c r="B1622" s="327" t="s">
        <v>982</v>
      </c>
      <c r="C1622" s="327" t="s">
        <v>997</v>
      </c>
      <c r="D1622" s="327" t="s">
        <v>553</v>
      </c>
      <c r="E1622" s="327" t="s">
        <v>901</v>
      </c>
      <c r="F1622" s="327">
        <v>1</v>
      </c>
      <c r="G1622" s="328">
        <v>10</v>
      </c>
      <c r="H1622" s="328">
        <v>10</v>
      </c>
      <c r="I1622" s="327" t="s">
        <v>783</v>
      </c>
      <c r="J1622" s="327">
        <v>1987</v>
      </c>
      <c r="K1622" s="327" t="s">
        <v>783</v>
      </c>
      <c r="L1622" s="327">
        <v>1997</v>
      </c>
      <c r="M1622" s="368">
        <v>-9999</v>
      </c>
      <c r="N1622" s="327">
        <v>-9999</v>
      </c>
      <c r="O1622" s="70">
        <v>1.4285714285714286</v>
      </c>
      <c r="P1622" s="370">
        <f t="shared" si="202"/>
        <v>124.75891428571428</v>
      </c>
      <c r="Q1622" s="327">
        <v>-9999</v>
      </c>
      <c r="R1622" s="368">
        <f t="shared" si="207"/>
        <v>87.331239999999994</v>
      </c>
      <c r="S1622" s="368"/>
      <c r="T1622" s="287">
        <f t="shared" si="203"/>
        <v>12.566785714285714</v>
      </c>
      <c r="U1622" s="413">
        <v>-9999</v>
      </c>
      <c r="V1622" s="368">
        <v>8.7967499999999994</v>
      </c>
      <c r="W1622" s="287">
        <f t="shared" si="204"/>
        <v>21.390400000000003</v>
      </c>
      <c r="X1622" s="327">
        <v>-9999</v>
      </c>
      <c r="Y1622" s="368">
        <v>14.973280000000001</v>
      </c>
      <c r="Z1622" s="327" t="s">
        <v>1707</v>
      </c>
      <c r="AA1622" s="327">
        <v>1660</v>
      </c>
      <c r="AB1622" s="327">
        <v>-9999</v>
      </c>
      <c r="AC1622" s="327">
        <f t="shared" si="201"/>
        <v>0.6</v>
      </c>
      <c r="AD1622" s="327">
        <v>0.15</v>
      </c>
      <c r="AE1622" s="328" t="s">
        <v>1970</v>
      </c>
      <c r="AF1622" s="327">
        <v>4</v>
      </c>
      <c r="AG1622" s="327" t="s">
        <v>843</v>
      </c>
      <c r="AH1622" s="327" t="s">
        <v>876</v>
      </c>
      <c r="AI1622" s="327" t="s">
        <v>985</v>
      </c>
      <c r="AJ1622" s="327" t="s">
        <v>892</v>
      </c>
      <c r="AK1622" s="327" t="s">
        <v>966</v>
      </c>
      <c r="AL1622" s="327" t="s">
        <v>828</v>
      </c>
      <c r="AM1622" s="327" t="s">
        <v>871</v>
      </c>
      <c r="AN1622" s="327" t="s">
        <v>631</v>
      </c>
      <c r="AO1622" s="327">
        <v>-9999</v>
      </c>
      <c r="AP1622" s="327">
        <v>-9999</v>
      </c>
      <c r="AQ1622" s="327" t="s">
        <v>626</v>
      </c>
      <c r="AR1622" s="363">
        <f>(336*0.35)+AR1621</f>
        <v>669.2</v>
      </c>
      <c r="AS1622" s="327" t="s">
        <v>137</v>
      </c>
      <c r="AT1622" s="327" t="s">
        <v>275</v>
      </c>
      <c r="AU1622" s="363">
        <f>(140*0.45)+AU1621</f>
        <v>175.31360000000001</v>
      </c>
      <c r="AV1622" s="327" t="s">
        <v>312</v>
      </c>
      <c r="AW1622" s="327" t="s">
        <v>275</v>
      </c>
      <c r="AX1622" s="363">
        <f t="shared" si="208"/>
        <v>134.4</v>
      </c>
      <c r="AY1622" s="327">
        <v>-9999</v>
      </c>
      <c r="AZ1622" s="327">
        <v>-9999</v>
      </c>
      <c r="BA1622" s="327">
        <v>-9999</v>
      </c>
      <c r="BB1622" s="327" t="s">
        <v>631</v>
      </c>
      <c r="BC1622" s="327">
        <v>-9999</v>
      </c>
      <c r="BD1622" s="327">
        <v>-9999</v>
      </c>
      <c r="BE1622" s="327">
        <v>-9999</v>
      </c>
      <c r="BF1622" s="327">
        <v>-9999</v>
      </c>
      <c r="BG1622" s="327">
        <v>-9999</v>
      </c>
      <c r="BH1622" s="327">
        <v>-9999</v>
      </c>
      <c r="BI1622" s="327" t="s">
        <v>993</v>
      </c>
      <c r="BJ1622" s="328">
        <v>34.048000000000002</v>
      </c>
      <c r="BK1622" s="327">
        <v>-9999</v>
      </c>
      <c r="BL1622" s="368">
        <v>15</v>
      </c>
      <c r="BM1622" s="327">
        <v>-9999</v>
      </c>
      <c r="BN1622" s="327">
        <v>-9999</v>
      </c>
      <c r="BO1622" s="327">
        <v>-9999</v>
      </c>
      <c r="BP1622" s="327">
        <v>-9999</v>
      </c>
      <c r="BQ1622" s="327">
        <v>-9999</v>
      </c>
      <c r="BR1622" s="327">
        <v>-9999</v>
      </c>
      <c r="BS1622" s="474">
        <v>-9999</v>
      </c>
      <c r="BT1622" s="327">
        <v>-9999</v>
      </c>
      <c r="BU1622" s="327">
        <v>-9999</v>
      </c>
      <c r="BV1622" s="327">
        <v>-9999</v>
      </c>
      <c r="BW1622" s="327"/>
      <c r="BX1622" s="327">
        <v>-9999</v>
      </c>
      <c r="BY1622" s="327">
        <v>-9999</v>
      </c>
      <c r="BZ1622" s="327">
        <v>-9999</v>
      </c>
      <c r="CA1622" s="369">
        <v>-9999</v>
      </c>
      <c r="CB1622" s="475"/>
      <c r="CC1622" s="327">
        <v>1</v>
      </c>
      <c r="CD1622" s="328">
        <v>10</v>
      </c>
      <c r="CE1622" s="342">
        <v>12.566785714285714</v>
      </c>
      <c r="CF1622" s="342">
        <v>21.390400000000003</v>
      </c>
      <c r="CG1622" s="359">
        <v>10</v>
      </c>
    </row>
    <row r="1623" spans="1:96" s="301" customFormat="1" ht="12.75" customHeight="1" x14ac:dyDescent="0.2">
      <c r="A1623" s="327" t="s">
        <v>981</v>
      </c>
      <c r="B1623" s="327" t="s">
        <v>982</v>
      </c>
      <c r="C1623" s="327" t="s">
        <v>997</v>
      </c>
      <c r="D1623" s="327" t="s">
        <v>553</v>
      </c>
      <c r="E1623" s="327" t="s">
        <v>901</v>
      </c>
      <c r="F1623" s="327">
        <v>1</v>
      </c>
      <c r="G1623" s="328">
        <v>11</v>
      </c>
      <c r="H1623" s="328">
        <v>11</v>
      </c>
      <c r="I1623" s="327" t="s">
        <v>783</v>
      </c>
      <c r="J1623" s="327">
        <v>1987</v>
      </c>
      <c r="K1623" s="327" t="s">
        <v>783</v>
      </c>
      <c r="L1623" s="327">
        <v>1998</v>
      </c>
      <c r="M1623" s="368">
        <v>-9999</v>
      </c>
      <c r="N1623" s="327">
        <v>-9999</v>
      </c>
      <c r="O1623" s="70">
        <v>1.3888888888888888</v>
      </c>
      <c r="P1623" s="370">
        <f t="shared" si="202"/>
        <v>147.76048611111111</v>
      </c>
      <c r="Q1623" s="327">
        <v>-9999</v>
      </c>
      <c r="R1623" s="368">
        <f t="shared" si="207"/>
        <v>106.38754999999999</v>
      </c>
      <c r="S1623" s="368"/>
      <c r="T1623" s="287">
        <f t="shared" si="203"/>
        <v>13.502541666666668</v>
      </c>
      <c r="U1623" s="413">
        <v>-9999</v>
      </c>
      <c r="V1623" s="368">
        <v>9.7218300000000006</v>
      </c>
      <c r="W1623" s="287">
        <f t="shared" si="204"/>
        <v>26.467097222222222</v>
      </c>
      <c r="X1623" s="327">
        <v>-9999</v>
      </c>
      <c r="Y1623" s="368">
        <v>19.05631</v>
      </c>
      <c r="Z1623" s="327" t="s">
        <v>1707</v>
      </c>
      <c r="AA1623" s="327">
        <v>1660</v>
      </c>
      <c r="AB1623" s="327">
        <v>-9999</v>
      </c>
      <c r="AC1623" s="327">
        <f t="shared" si="201"/>
        <v>0.6</v>
      </c>
      <c r="AD1623" s="327">
        <v>0.15</v>
      </c>
      <c r="AE1623" s="328" t="s">
        <v>1970</v>
      </c>
      <c r="AF1623" s="327">
        <v>4</v>
      </c>
      <c r="AG1623" s="327" t="s">
        <v>843</v>
      </c>
      <c r="AH1623" s="327" t="s">
        <v>876</v>
      </c>
      <c r="AI1623" s="327" t="s">
        <v>985</v>
      </c>
      <c r="AJ1623" s="327" t="s">
        <v>892</v>
      </c>
      <c r="AK1623" s="327" t="s">
        <v>966</v>
      </c>
      <c r="AL1623" s="327" t="s">
        <v>828</v>
      </c>
      <c r="AM1623" s="327" t="s">
        <v>871</v>
      </c>
      <c r="AN1623" s="327" t="s">
        <v>631</v>
      </c>
      <c r="AO1623" s="327">
        <v>-9999</v>
      </c>
      <c r="AP1623" s="327">
        <v>-9999</v>
      </c>
      <c r="AQ1623" s="327" t="s">
        <v>626</v>
      </c>
      <c r="AR1623" s="363">
        <f>(56+(168*0.35))+AR1622</f>
        <v>784</v>
      </c>
      <c r="AS1623" s="327" t="s">
        <v>140</v>
      </c>
      <c r="AT1623" s="327" t="s">
        <v>310</v>
      </c>
      <c r="AU1623" s="363">
        <f>+((560*0.1)*0.436)+AU1622</f>
        <v>199.7296</v>
      </c>
      <c r="AV1623" s="327" t="s">
        <v>313</v>
      </c>
      <c r="AW1623" s="327"/>
      <c r="AX1623" s="363">
        <f>+((560*0.1)*0.83)+AX1622</f>
        <v>180.88</v>
      </c>
      <c r="AY1623" s="327" t="s">
        <v>313</v>
      </c>
      <c r="AZ1623" s="327" t="s">
        <v>275</v>
      </c>
      <c r="BA1623" s="327" t="s">
        <v>979</v>
      </c>
      <c r="BB1623" s="327" t="s">
        <v>631</v>
      </c>
      <c r="BC1623" s="327">
        <v>-9999</v>
      </c>
      <c r="BD1623" s="327">
        <v>-9999</v>
      </c>
      <c r="BE1623" s="327">
        <v>-9999</v>
      </c>
      <c r="BF1623" s="327">
        <v>-9999</v>
      </c>
      <c r="BG1623" s="327">
        <v>-9999</v>
      </c>
      <c r="BH1623" s="327">
        <v>-9999</v>
      </c>
      <c r="BI1623" s="327" t="s">
        <v>993</v>
      </c>
      <c r="BJ1623" s="328">
        <v>37.424799999999998</v>
      </c>
      <c r="BK1623" s="327">
        <v>-9999</v>
      </c>
      <c r="BL1623" s="368">
        <v>16.532260000000001</v>
      </c>
      <c r="BM1623" s="327">
        <v>-9999</v>
      </c>
      <c r="BN1623" s="327">
        <v>-9999</v>
      </c>
      <c r="BO1623" s="327">
        <v>-9999</v>
      </c>
      <c r="BP1623" s="327">
        <v>-9999</v>
      </c>
      <c r="BQ1623" s="327">
        <v>-9999</v>
      </c>
      <c r="BR1623" s="327">
        <v>-9999</v>
      </c>
      <c r="BS1623" s="474">
        <v>-9999</v>
      </c>
      <c r="BT1623" s="327">
        <v>-9999</v>
      </c>
      <c r="BU1623" s="327">
        <v>-9999</v>
      </c>
      <c r="BV1623" s="327">
        <v>-9999</v>
      </c>
      <c r="BW1623" s="327"/>
      <c r="BX1623" s="327">
        <v>-9999</v>
      </c>
      <c r="BY1623" s="327">
        <v>-9999</v>
      </c>
      <c r="BZ1623" s="327">
        <v>-9999</v>
      </c>
      <c r="CA1623" s="369">
        <v>-9999</v>
      </c>
      <c r="CB1623" s="475"/>
      <c r="CC1623" s="327">
        <v>1</v>
      </c>
      <c r="CD1623" s="328">
        <v>11</v>
      </c>
      <c r="CE1623" s="342">
        <v>13.502541666666668</v>
      </c>
      <c r="CF1623" s="342">
        <v>26.467097222222222</v>
      </c>
      <c r="CG1623" s="359">
        <v>11</v>
      </c>
    </row>
    <row r="1624" spans="1:96" s="301" customFormat="1" ht="12.75" customHeight="1" x14ac:dyDescent="0.2">
      <c r="A1624" s="327" t="s">
        <v>981</v>
      </c>
      <c r="B1624" s="327" t="s">
        <v>982</v>
      </c>
      <c r="C1624" s="327" t="s">
        <v>997</v>
      </c>
      <c r="D1624" s="327" t="s">
        <v>553</v>
      </c>
      <c r="E1624" s="327" t="s">
        <v>901</v>
      </c>
      <c r="F1624" s="327">
        <v>1</v>
      </c>
      <c r="G1624" s="328">
        <v>12</v>
      </c>
      <c r="H1624" s="328">
        <v>12</v>
      </c>
      <c r="I1624" s="327" t="s">
        <v>783</v>
      </c>
      <c r="J1624" s="327">
        <v>1987</v>
      </c>
      <c r="K1624" s="327" t="s">
        <v>783</v>
      </c>
      <c r="L1624" s="327">
        <v>1999</v>
      </c>
      <c r="M1624" s="368">
        <v>-9999</v>
      </c>
      <c r="N1624" s="327">
        <v>-9999</v>
      </c>
      <c r="O1624" s="70">
        <v>1.3513513513513513</v>
      </c>
      <c r="P1624" s="370">
        <f t="shared" si="202"/>
        <v>166.56436486486484</v>
      </c>
      <c r="Q1624" s="327">
        <v>-9999</v>
      </c>
      <c r="R1624" s="368">
        <f t="shared" si="207"/>
        <v>123.25762999999999</v>
      </c>
      <c r="S1624" s="368"/>
      <c r="T1624" s="287">
        <f t="shared" si="203"/>
        <v>13.823283783783783</v>
      </c>
      <c r="U1624" s="413">
        <v>-9999</v>
      </c>
      <c r="V1624" s="368">
        <f>10.22923</f>
        <v>10.229229999999999</v>
      </c>
      <c r="W1624" s="287">
        <f t="shared" si="204"/>
        <v>22.797405405405406</v>
      </c>
      <c r="X1624" s="327">
        <v>-9999</v>
      </c>
      <c r="Y1624" s="368">
        <f>16.87008</f>
        <v>16.870080000000002</v>
      </c>
      <c r="Z1624" s="327" t="s">
        <v>1707</v>
      </c>
      <c r="AA1624" s="327">
        <v>1660</v>
      </c>
      <c r="AB1624" s="327">
        <v>-9999</v>
      </c>
      <c r="AC1624" s="327">
        <f t="shared" si="201"/>
        <v>0.6</v>
      </c>
      <c r="AD1624" s="327">
        <v>0.15</v>
      </c>
      <c r="AE1624" s="328" t="s">
        <v>1970</v>
      </c>
      <c r="AF1624" s="327">
        <v>4</v>
      </c>
      <c r="AG1624" s="327" t="s">
        <v>843</v>
      </c>
      <c r="AH1624" s="327" t="s">
        <v>876</v>
      </c>
      <c r="AI1624" s="327" t="s">
        <v>985</v>
      </c>
      <c r="AJ1624" s="327" t="s">
        <v>892</v>
      </c>
      <c r="AK1624" s="327" t="s">
        <v>966</v>
      </c>
      <c r="AL1624" s="327" t="s">
        <v>828</v>
      </c>
      <c r="AM1624" s="327" t="s">
        <v>871</v>
      </c>
      <c r="AN1624" s="327" t="s">
        <v>631</v>
      </c>
      <c r="AO1624" s="327">
        <v>-9999</v>
      </c>
      <c r="AP1624" s="327">
        <v>-9999</v>
      </c>
      <c r="AQ1624" s="327" t="s">
        <v>626</v>
      </c>
      <c r="AR1624" s="363">
        <f>(336*0.35)+AR1623</f>
        <v>901.6</v>
      </c>
      <c r="AS1624" s="327" t="s">
        <v>141</v>
      </c>
      <c r="AT1624" s="327" t="s">
        <v>310</v>
      </c>
      <c r="AU1624" s="363">
        <f>0+AU1623</f>
        <v>199.7296</v>
      </c>
      <c r="AV1624" s="327">
        <v>-9999</v>
      </c>
      <c r="AW1624" s="327">
        <v>-9999</v>
      </c>
      <c r="AX1624" s="363">
        <f>0+AX1623</f>
        <v>180.88</v>
      </c>
      <c r="AY1624" s="327">
        <v>-9999</v>
      </c>
      <c r="AZ1624" s="327">
        <v>-9999</v>
      </c>
      <c r="BA1624" s="327">
        <v>-9999</v>
      </c>
      <c r="BB1624" s="327" t="s">
        <v>631</v>
      </c>
      <c r="BC1624" s="327">
        <v>-9999</v>
      </c>
      <c r="BD1624" s="327">
        <v>-9999</v>
      </c>
      <c r="BE1624" s="327">
        <v>-9999</v>
      </c>
      <c r="BF1624" s="327">
        <v>-9999</v>
      </c>
      <c r="BG1624" s="327">
        <v>-9999</v>
      </c>
      <c r="BH1624" s="327">
        <v>-9999</v>
      </c>
      <c r="BI1624" s="327" t="s">
        <v>993</v>
      </c>
      <c r="BJ1624" s="328">
        <v>39.5944</v>
      </c>
      <c r="BK1624" s="327">
        <v>-9999</v>
      </c>
      <c r="BL1624" s="368">
        <v>17.98387</v>
      </c>
      <c r="BM1624" s="327">
        <v>-9999</v>
      </c>
      <c r="BN1624" s="327">
        <v>-9999</v>
      </c>
      <c r="BO1624" s="327">
        <v>-9999</v>
      </c>
      <c r="BP1624" s="327">
        <v>-9999</v>
      </c>
      <c r="BQ1624" s="327">
        <v>-9999</v>
      </c>
      <c r="BR1624" s="327">
        <v>-9999</v>
      </c>
      <c r="BS1624" s="474">
        <v>-9999</v>
      </c>
      <c r="BT1624" s="327">
        <v>-9999</v>
      </c>
      <c r="BU1624" s="327">
        <v>-9999</v>
      </c>
      <c r="BV1624" s="327">
        <v>-9999</v>
      </c>
      <c r="BW1624" s="327"/>
      <c r="BX1624" s="327">
        <v>-9999</v>
      </c>
      <c r="BY1624" s="327">
        <v>-9999</v>
      </c>
      <c r="BZ1624" s="327">
        <v>-9999</v>
      </c>
      <c r="CA1624" s="369">
        <v>-9999</v>
      </c>
      <c r="CB1624" s="475"/>
      <c r="CC1624" s="327">
        <v>1</v>
      </c>
      <c r="CD1624" s="328">
        <v>12</v>
      </c>
      <c r="CE1624" s="342">
        <v>13.823283783783783</v>
      </c>
      <c r="CF1624" s="342">
        <v>22.797405405405406</v>
      </c>
      <c r="CG1624" s="359">
        <v>12</v>
      </c>
    </row>
    <row r="1625" spans="1:96" s="301" customFormat="1" ht="12.75" customHeight="1" x14ac:dyDescent="0.2">
      <c r="A1625" s="327" t="s">
        <v>981</v>
      </c>
      <c r="B1625" s="327" t="s">
        <v>982</v>
      </c>
      <c r="C1625" s="327" t="s">
        <v>997</v>
      </c>
      <c r="D1625" s="327" t="s">
        <v>553</v>
      </c>
      <c r="E1625" s="327" t="s">
        <v>901</v>
      </c>
      <c r="F1625" s="327">
        <v>1</v>
      </c>
      <c r="G1625" s="328">
        <v>13</v>
      </c>
      <c r="H1625" s="328">
        <v>13</v>
      </c>
      <c r="I1625" s="327" t="s">
        <v>783</v>
      </c>
      <c r="J1625" s="327">
        <v>1987</v>
      </c>
      <c r="K1625" s="327" t="s">
        <v>783</v>
      </c>
      <c r="L1625" s="327">
        <v>2000</v>
      </c>
      <c r="M1625" s="368">
        <v>-9999</v>
      </c>
      <c r="N1625" s="327">
        <v>-9999</v>
      </c>
      <c r="O1625" s="70">
        <v>1.3333333333333333</v>
      </c>
      <c r="P1625" s="370">
        <f t="shared" si="202"/>
        <v>180.57814666666664</v>
      </c>
      <c r="Q1625" s="327">
        <v>-9999</v>
      </c>
      <c r="R1625" s="368">
        <f t="shared" si="207"/>
        <v>135.43360999999999</v>
      </c>
      <c r="S1625" s="368"/>
      <c r="T1625" s="287">
        <f t="shared" si="203"/>
        <v>13.881706666666666</v>
      </c>
      <c r="U1625" s="413">
        <v>-9999</v>
      </c>
      <c r="V1625" s="368">
        <v>10.41128</v>
      </c>
      <c r="W1625" s="287">
        <f t="shared" si="204"/>
        <v>16.234639999999999</v>
      </c>
      <c r="X1625" s="327">
        <v>-9999</v>
      </c>
      <c r="Y1625" s="368">
        <v>12.175979999999999</v>
      </c>
      <c r="Z1625" s="327" t="s">
        <v>1707</v>
      </c>
      <c r="AA1625" s="327">
        <v>1660</v>
      </c>
      <c r="AB1625" s="327">
        <v>-9999</v>
      </c>
      <c r="AC1625" s="327">
        <f t="shared" si="201"/>
        <v>0.6</v>
      </c>
      <c r="AD1625" s="327">
        <v>0.15</v>
      </c>
      <c r="AE1625" s="328" t="s">
        <v>1970</v>
      </c>
      <c r="AF1625" s="327">
        <v>4</v>
      </c>
      <c r="AG1625" s="327" t="s">
        <v>843</v>
      </c>
      <c r="AH1625" s="327" t="s">
        <v>876</v>
      </c>
      <c r="AI1625" s="327" t="s">
        <v>985</v>
      </c>
      <c r="AJ1625" s="327" t="s">
        <v>892</v>
      </c>
      <c r="AK1625" s="327" t="s">
        <v>966</v>
      </c>
      <c r="AL1625" s="327" t="s">
        <v>828</v>
      </c>
      <c r="AM1625" s="327" t="s">
        <v>871</v>
      </c>
      <c r="AN1625" s="327" t="s">
        <v>631</v>
      </c>
      <c r="AO1625" s="327">
        <v>-9999</v>
      </c>
      <c r="AP1625" s="327">
        <v>-9999</v>
      </c>
      <c r="AQ1625" s="327" t="s">
        <v>626</v>
      </c>
      <c r="AR1625" s="363">
        <f>(336*0.35)+AR1624</f>
        <v>1019.2</v>
      </c>
      <c r="AS1625" s="327" t="s">
        <v>141</v>
      </c>
      <c r="AT1625" s="327" t="s">
        <v>310</v>
      </c>
      <c r="AU1625" s="363">
        <f>0+AU1624</f>
        <v>199.7296</v>
      </c>
      <c r="AV1625" s="327">
        <v>-9999</v>
      </c>
      <c r="AW1625" s="327">
        <v>-9999</v>
      </c>
      <c r="AX1625" s="363">
        <f>0+AX1624</f>
        <v>180.88</v>
      </c>
      <c r="AY1625" s="327">
        <v>-9999</v>
      </c>
      <c r="AZ1625" s="327">
        <v>-9999</v>
      </c>
      <c r="BA1625" s="327">
        <v>-9999</v>
      </c>
      <c r="BB1625" s="327" t="s">
        <v>631</v>
      </c>
      <c r="BC1625" s="327">
        <v>-9999</v>
      </c>
      <c r="BD1625" s="327">
        <v>-9999</v>
      </c>
      <c r="BE1625" s="327">
        <v>-9999</v>
      </c>
      <c r="BF1625" s="327">
        <v>-9999</v>
      </c>
      <c r="BG1625" s="327">
        <v>-9999</v>
      </c>
      <c r="BH1625" s="327">
        <v>-9999</v>
      </c>
      <c r="BI1625" s="327" t="s">
        <v>993</v>
      </c>
      <c r="BJ1625" s="328">
        <v>40.0017</v>
      </c>
      <c r="BK1625" s="327">
        <v>-9999</v>
      </c>
      <c r="BL1625" s="368">
        <v>18.62903</v>
      </c>
      <c r="BM1625" s="327">
        <v>-9999</v>
      </c>
      <c r="BN1625" s="327">
        <v>-9999</v>
      </c>
      <c r="BO1625" s="327">
        <v>-9999</v>
      </c>
      <c r="BP1625" s="327">
        <v>-9999</v>
      </c>
      <c r="BQ1625" s="327">
        <v>-9999</v>
      </c>
      <c r="BR1625" s="327">
        <v>-9999</v>
      </c>
      <c r="BS1625" s="474">
        <v>-9999</v>
      </c>
      <c r="BT1625" s="327">
        <v>-9999</v>
      </c>
      <c r="BU1625" s="327">
        <v>-9999</v>
      </c>
      <c r="BV1625" s="327">
        <v>-9999</v>
      </c>
      <c r="BW1625" s="327"/>
      <c r="BX1625" s="327">
        <v>-9999</v>
      </c>
      <c r="BY1625" s="327">
        <v>-9999</v>
      </c>
      <c r="BZ1625" s="327">
        <v>-9999</v>
      </c>
      <c r="CA1625" s="369">
        <v>-9999</v>
      </c>
      <c r="CB1625" s="475"/>
      <c r="CC1625" s="327">
        <v>1</v>
      </c>
      <c r="CD1625" s="328">
        <v>13</v>
      </c>
      <c r="CE1625" s="342">
        <v>13.881706666666666</v>
      </c>
      <c r="CF1625" s="342">
        <v>16.234639999999999</v>
      </c>
      <c r="CG1625" s="359">
        <v>13</v>
      </c>
    </row>
    <row r="1626" spans="1:96" s="301" customFormat="1" ht="12.75" customHeight="1" x14ac:dyDescent="0.2">
      <c r="A1626" s="327" t="s">
        <v>981</v>
      </c>
      <c r="B1626" s="327" t="s">
        <v>982</v>
      </c>
      <c r="C1626" s="327" t="s">
        <v>997</v>
      </c>
      <c r="D1626" s="327" t="s">
        <v>553</v>
      </c>
      <c r="E1626" s="327" t="s">
        <v>901</v>
      </c>
      <c r="F1626" s="327">
        <v>1</v>
      </c>
      <c r="G1626" s="328">
        <v>14</v>
      </c>
      <c r="H1626" s="328">
        <v>14</v>
      </c>
      <c r="I1626" s="327" t="s">
        <v>783</v>
      </c>
      <c r="J1626" s="327">
        <v>1987</v>
      </c>
      <c r="K1626" s="327" t="s">
        <v>783</v>
      </c>
      <c r="L1626" s="327">
        <v>2001</v>
      </c>
      <c r="M1626" s="368">
        <v>-9999</v>
      </c>
      <c r="N1626" s="327">
        <v>-9999</v>
      </c>
      <c r="O1626" s="70">
        <v>1.3333333333333333</v>
      </c>
      <c r="P1626" s="370">
        <f t="shared" si="202"/>
        <v>200.27569333333329</v>
      </c>
      <c r="Q1626" s="327">
        <v>-9999</v>
      </c>
      <c r="R1626" s="368">
        <f t="shared" si="207"/>
        <v>150.20676999999998</v>
      </c>
      <c r="S1626" s="368"/>
      <c r="T1626" s="287">
        <f t="shared" si="203"/>
        <v>14.248546666666666</v>
      </c>
      <c r="U1626" s="413">
        <v>-9999</v>
      </c>
      <c r="V1626" s="368">
        <v>10.68641</v>
      </c>
      <c r="W1626" s="287">
        <f t="shared" si="204"/>
        <v>19.697546666666668</v>
      </c>
      <c r="X1626" s="327">
        <v>-9999</v>
      </c>
      <c r="Y1626" s="368">
        <v>14.773160000000001</v>
      </c>
      <c r="Z1626" s="327" t="s">
        <v>1707</v>
      </c>
      <c r="AA1626" s="327">
        <v>1660</v>
      </c>
      <c r="AB1626" s="327">
        <v>-9999</v>
      </c>
      <c r="AC1626" s="327">
        <f t="shared" si="201"/>
        <v>0.6</v>
      </c>
      <c r="AD1626" s="327">
        <v>0.15</v>
      </c>
      <c r="AE1626" s="328" t="s">
        <v>1970</v>
      </c>
      <c r="AF1626" s="327">
        <v>4</v>
      </c>
      <c r="AG1626" s="327" t="s">
        <v>843</v>
      </c>
      <c r="AH1626" s="327" t="s">
        <v>876</v>
      </c>
      <c r="AI1626" s="327" t="s">
        <v>985</v>
      </c>
      <c r="AJ1626" s="327" t="s">
        <v>892</v>
      </c>
      <c r="AK1626" s="327" t="s">
        <v>966</v>
      </c>
      <c r="AL1626" s="327" t="s">
        <v>828</v>
      </c>
      <c r="AM1626" s="327" t="s">
        <v>871</v>
      </c>
      <c r="AN1626" s="327" t="s">
        <v>631</v>
      </c>
      <c r="AO1626" s="327">
        <v>-9999</v>
      </c>
      <c r="AP1626" s="327">
        <v>-9999</v>
      </c>
      <c r="AQ1626" s="327" t="s">
        <v>626</v>
      </c>
      <c r="AR1626" s="363">
        <f>(336*0.35)+AR1625</f>
        <v>1136.8</v>
      </c>
      <c r="AS1626" s="327" t="s">
        <v>141</v>
      </c>
      <c r="AT1626" s="327" t="s">
        <v>310</v>
      </c>
      <c r="AU1626" s="363">
        <f>0+AU1625</f>
        <v>199.7296</v>
      </c>
      <c r="AV1626" s="327">
        <v>-9999</v>
      </c>
      <c r="AW1626" s="327">
        <v>-9999</v>
      </c>
      <c r="AX1626" s="363">
        <f>0+AX1625</f>
        <v>180.88</v>
      </c>
      <c r="AY1626" s="327">
        <v>-9999</v>
      </c>
      <c r="AZ1626" s="327">
        <v>-9999</v>
      </c>
      <c r="BA1626" s="327">
        <v>-9999</v>
      </c>
      <c r="BB1626" s="327" t="s">
        <v>631</v>
      </c>
      <c r="BC1626" s="327">
        <v>-9999</v>
      </c>
      <c r="BD1626" s="327">
        <v>-9999</v>
      </c>
      <c r="BE1626" s="327">
        <v>-9999</v>
      </c>
      <c r="BF1626" s="327">
        <v>-9999</v>
      </c>
      <c r="BG1626" s="327">
        <v>-9999</v>
      </c>
      <c r="BH1626" s="327">
        <v>-9999</v>
      </c>
      <c r="BI1626" s="327" t="s">
        <v>993</v>
      </c>
      <c r="BJ1626" s="328">
        <v>40.969700000000003</v>
      </c>
      <c r="BK1626" s="327">
        <v>-9999</v>
      </c>
      <c r="BL1626" s="368">
        <v>19.354839999999999</v>
      </c>
      <c r="BM1626" s="327">
        <v>-9999</v>
      </c>
      <c r="BN1626" s="327">
        <v>-9999</v>
      </c>
      <c r="BO1626" s="327">
        <v>-9999</v>
      </c>
      <c r="BP1626" s="327">
        <v>-9999</v>
      </c>
      <c r="BQ1626" s="327">
        <v>-9999</v>
      </c>
      <c r="BR1626" s="327">
        <v>-9999</v>
      </c>
      <c r="BS1626" s="474">
        <v>-9999</v>
      </c>
      <c r="BT1626" s="327">
        <v>-9999</v>
      </c>
      <c r="BU1626" s="327">
        <v>-9999</v>
      </c>
      <c r="BV1626" s="327">
        <v>-9999</v>
      </c>
      <c r="BW1626" s="327"/>
      <c r="BX1626" s="327">
        <v>-9999</v>
      </c>
      <c r="BY1626" s="327">
        <v>-9999</v>
      </c>
      <c r="BZ1626" s="327">
        <v>-9999</v>
      </c>
      <c r="CA1626" s="369">
        <v>-9999</v>
      </c>
      <c r="CB1626" s="475"/>
      <c r="CC1626" s="327">
        <v>1</v>
      </c>
      <c r="CD1626" s="328">
        <v>14</v>
      </c>
      <c r="CE1626" s="342">
        <v>14.248546666666666</v>
      </c>
      <c r="CF1626" s="342">
        <v>19.697546666666668</v>
      </c>
      <c r="CG1626" s="359">
        <v>14</v>
      </c>
    </row>
    <row r="1627" spans="1:96" s="13" customFormat="1" ht="12.75" customHeight="1" x14ac:dyDescent="0.2">
      <c r="A1627" s="259" t="s">
        <v>981</v>
      </c>
      <c r="B1627" s="259" t="s">
        <v>982</v>
      </c>
      <c r="C1627" s="259" t="s">
        <v>997</v>
      </c>
      <c r="D1627" s="259" t="s">
        <v>553</v>
      </c>
      <c r="E1627" s="259" t="s">
        <v>901</v>
      </c>
      <c r="F1627" s="259">
        <v>1</v>
      </c>
      <c r="G1627" s="260">
        <v>15</v>
      </c>
      <c r="H1627" s="260">
        <v>15</v>
      </c>
      <c r="I1627" s="259" t="s">
        <v>783</v>
      </c>
      <c r="J1627" s="259">
        <v>1987</v>
      </c>
      <c r="K1627" s="259" t="s">
        <v>783</v>
      </c>
      <c r="L1627" s="259">
        <v>2002</v>
      </c>
      <c r="M1627" s="288">
        <v>-9999</v>
      </c>
      <c r="N1627" s="259">
        <v>-9999</v>
      </c>
      <c r="O1627" s="22">
        <v>1.3333333333333333</v>
      </c>
      <c r="P1627" s="590">
        <f t="shared" si="202"/>
        <v>228.57517333333331</v>
      </c>
      <c r="Q1627" s="259">
        <v>-9999</v>
      </c>
      <c r="R1627" s="288">
        <f t="shared" si="207"/>
        <v>171.43137999999999</v>
      </c>
      <c r="S1627" s="288"/>
      <c r="T1627" s="376">
        <f t="shared" si="203"/>
        <v>15.172666666666666</v>
      </c>
      <c r="U1627" s="630">
        <v>-9999</v>
      </c>
      <c r="V1627" s="288">
        <f>11.3795</f>
        <v>11.3795</v>
      </c>
      <c r="W1627" s="376">
        <f t="shared" si="204"/>
        <v>28.299479999999996</v>
      </c>
      <c r="X1627" s="259">
        <v>-9999</v>
      </c>
      <c r="Y1627" s="288">
        <f>21.22461</f>
        <v>21.224609999999998</v>
      </c>
      <c r="Z1627" s="259" t="s">
        <v>1707</v>
      </c>
      <c r="AA1627" s="260">
        <v>1660</v>
      </c>
      <c r="AB1627" s="590">
        <v>0.74</v>
      </c>
      <c r="AC1627" s="327">
        <f t="shared" si="201"/>
        <v>0.6</v>
      </c>
      <c r="AD1627" s="259">
        <v>0.15</v>
      </c>
      <c r="AE1627" s="260" t="s">
        <v>1970</v>
      </c>
      <c r="AF1627" s="259">
        <v>4</v>
      </c>
      <c r="AG1627" s="259" t="s">
        <v>843</v>
      </c>
      <c r="AH1627" s="259" t="s">
        <v>876</v>
      </c>
      <c r="AI1627" s="259" t="s">
        <v>985</v>
      </c>
      <c r="AJ1627" s="259" t="s">
        <v>892</v>
      </c>
      <c r="AK1627" s="259" t="s">
        <v>966</v>
      </c>
      <c r="AL1627" s="259" t="s">
        <v>828</v>
      </c>
      <c r="AM1627" s="259" t="s">
        <v>871</v>
      </c>
      <c r="AN1627" s="259" t="s">
        <v>631</v>
      </c>
      <c r="AO1627" s="259">
        <v>-9999</v>
      </c>
      <c r="AP1627" s="259">
        <v>-9999</v>
      </c>
      <c r="AQ1627" s="259" t="s">
        <v>626</v>
      </c>
      <c r="AR1627" s="289">
        <f>(336*0.35)+AR1626</f>
        <v>1254.3999999999999</v>
      </c>
      <c r="AS1627" s="259" t="s">
        <v>141</v>
      </c>
      <c r="AT1627" s="259" t="s">
        <v>310</v>
      </c>
      <c r="AU1627" s="289">
        <f>0+AU1626</f>
        <v>199.7296</v>
      </c>
      <c r="AV1627" s="259">
        <v>-9999</v>
      </c>
      <c r="AW1627" s="259">
        <v>-9999</v>
      </c>
      <c r="AX1627" s="289">
        <f>0+AX1626</f>
        <v>180.88</v>
      </c>
      <c r="AY1627" s="259">
        <v>-9999</v>
      </c>
      <c r="AZ1627" s="259">
        <v>-9999</v>
      </c>
      <c r="BA1627" s="259">
        <v>-9999</v>
      </c>
      <c r="BB1627" s="259" t="s">
        <v>631</v>
      </c>
      <c r="BC1627" s="259">
        <v>-9999</v>
      </c>
      <c r="BD1627" s="259">
        <v>-9999</v>
      </c>
      <c r="BE1627" s="259">
        <v>-9999</v>
      </c>
      <c r="BF1627" s="259">
        <v>-9999</v>
      </c>
      <c r="BG1627" s="259">
        <v>-9999</v>
      </c>
      <c r="BH1627" s="259">
        <v>-9999</v>
      </c>
      <c r="BI1627" s="259" t="s">
        <v>993</v>
      </c>
      <c r="BJ1627" s="260">
        <v>42.921399999999998</v>
      </c>
      <c r="BK1627" s="259">
        <v>-9999</v>
      </c>
      <c r="BL1627" s="288">
        <v>20.725809999999999</v>
      </c>
      <c r="BM1627" s="259">
        <v>-9999</v>
      </c>
      <c r="BN1627" s="259">
        <v>20.399999999999999</v>
      </c>
      <c r="BO1627" s="259">
        <v>-9999</v>
      </c>
      <c r="BP1627" s="259">
        <v>-9999</v>
      </c>
      <c r="BQ1627" s="259">
        <v>-9999</v>
      </c>
      <c r="BR1627" s="259">
        <v>-9999</v>
      </c>
      <c r="BS1627" s="634">
        <v>-9999</v>
      </c>
      <c r="BT1627" s="259">
        <v>-9999</v>
      </c>
      <c r="BU1627" s="259">
        <v>-9999</v>
      </c>
      <c r="BV1627" s="259">
        <v>-9999</v>
      </c>
      <c r="BW1627" s="259"/>
      <c r="BX1627" s="259">
        <v>-9999</v>
      </c>
      <c r="BY1627" s="259">
        <v>-9999</v>
      </c>
      <c r="BZ1627" s="259">
        <v>-9999</v>
      </c>
      <c r="CA1627" s="337">
        <v>-9999</v>
      </c>
      <c r="CB1627" s="592"/>
      <c r="CC1627" s="259">
        <v>1</v>
      </c>
      <c r="CD1627" s="260">
        <v>15</v>
      </c>
      <c r="CE1627" s="393">
        <v>15.172666666666666</v>
      </c>
      <c r="CF1627" s="99">
        <v>28.299479999999996</v>
      </c>
      <c r="CG1627" s="212">
        <v>15</v>
      </c>
      <c r="CH1627" s="436" t="s">
        <v>1757</v>
      </c>
    </row>
    <row r="1628" spans="1:96" s="13" customFormat="1" ht="12.75" customHeight="1" x14ac:dyDescent="0.2">
      <c r="A1628" s="259"/>
      <c r="B1628" s="259"/>
      <c r="C1628" s="259"/>
      <c r="D1628" s="327"/>
      <c r="E1628" s="259"/>
      <c r="F1628" s="259"/>
      <c r="G1628" s="260"/>
      <c r="H1628" s="260"/>
      <c r="I1628" s="259"/>
      <c r="J1628" s="259"/>
      <c r="K1628" s="259"/>
      <c r="L1628" s="259"/>
      <c r="M1628" s="288"/>
      <c r="N1628" s="259"/>
      <c r="O1628" s="22"/>
      <c r="P1628" s="590"/>
      <c r="Q1628" s="259"/>
      <c r="R1628" s="288"/>
      <c r="S1628" s="259"/>
      <c r="T1628" s="738"/>
      <c r="U1628" s="288"/>
      <c r="V1628" s="368"/>
      <c r="W1628" s="650"/>
      <c r="X1628" s="288"/>
      <c r="Y1628" s="368"/>
      <c r="Z1628" s="259"/>
      <c r="AA1628" s="260"/>
      <c r="AB1628" s="288"/>
      <c r="AC1628" s="259"/>
      <c r="AD1628" s="259"/>
      <c r="AE1628" s="259"/>
      <c r="AF1628" s="259"/>
      <c r="AG1628" s="259"/>
      <c r="AH1628" s="259"/>
      <c r="AI1628" s="259"/>
      <c r="AJ1628" s="259"/>
      <c r="AK1628" s="327"/>
      <c r="AL1628" s="327"/>
      <c r="AM1628" s="327"/>
      <c r="AN1628" s="259"/>
      <c r="AO1628" s="259"/>
      <c r="AP1628" s="259"/>
      <c r="AQ1628" s="327"/>
      <c r="AR1628" s="327"/>
      <c r="AS1628" s="327"/>
      <c r="AT1628" s="327"/>
      <c r="AU1628" s="327"/>
      <c r="AV1628" s="327"/>
      <c r="AW1628" s="327"/>
      <c r="AX1628" s="327"/>
      <c r="AY1628" s="327"/>
      <c r="AZ1628" s="327"/>
      <c r="BA1628" s="259"/>
      <c r="BB1628" s="259"/>
      <c r="BC1628" s="259"/>
      <c r="BD1628" s="259"/>
      <c r="BE1628" s="259"/>
      <c r="BF1628" s="259"/>
      <c r="BG1628" s="259"/>
      <c r="BH1628" s="259"/>
      <c r="BI1628" s="259"/>
      <c r="BJ1628" s="260"/>
      <c r="BK1628" s="259"/>
      <c r="BL1628" s="288"/>
      <c r="BM1628" s="259"/>
      <c r="BN1628" s="259"/>
      <c r="BO1628" s="259"/>
      <c r="BP1628" s="259"/>
      <c r="BQ1628" s="259"/>
      <c r="BR1628" s="259"/>
      <c r="BS1628" s="474"/>
      <c r="BT1628" s="259"/>
      <c r="BU1628" s="259"/>
      <c r="BV1628" s="259"/>
      <c r="BW1628" s="259"/>
      <c r="BX1628" s="259"/>
      <c r="BY1628" s="259"/>
      <c r="BZ1628" s="259"/>
      <c r="CA1628" s="337"/>
      <c r="CB1628" s="592"/>
      <c r="CC1628" s="259"/>
      <c r="CD1628" s="260"/>
      <c r="CE1628" s="342"/>
      <c r="CF1628" s="342"/>
      <c r="CG1628" s="101"/>
    </row>
    <row r="1629" spans="1:96" s="301" customFormat="1" ht="12.75" customHeight="1" x14ac:dyDescent="0.3">
      <c r="A1629" s="327" t="s">
        <v>981</v>
      </c>
      <c r="B1629" s="327" t="s">
        <v>982</v>
      </c>
      <c r="C1629" s="327" t="s">
        <v>998</v>
      </c>
      <c r="D1629" s="327" t="s">
        <v>553</v>
      </c>
      <c r="E1629" s="327" t="s">
        <v>901</v>
      </c>
      <c r="F1629" s="327">
        <v>1</v>
      </c>
      <c r="G1629" s="328">
        <v>1</v>
      </c>
      <c r="H1629" s="328">
        <v>1</v>
      </c>
      <c r="I1629" s="327" t="s">
        <v>783</v>
      </c>
      <c r="J1629" s="327">
        <v>1987</v>
      </c>
      <c r="K1629" s="327" t="s">
        <v>783</v>
      </c>
      <c r="L1629" s="327">
        <v>1988</v>
      </c>
      <c r="M1629" s="368">
        <v>-9999</v>
      </c>
      <c r="N1629" s="327">
        <v>-9999</v>
      </c>
      <c r="O1629" s="323">
        <v>-9999</v>
      </c>
      <c r="P1629" s="368">
        <v>-9999</v>
      </c>
      <c r="Q1629" s="327">
        <v>-9999</v>
      </c>
      <c r="R1629" s="368">
        <v>-9999</v>
      </c>
      <c r="S1629" s="327"/>
      <c r="T1629" s="368">
        <v>-9999</v>
      </c>
      <c r="U1629" s="327">
        <v>-9999</v>
      </c>
      <c r="V1629" s="327">
        <v>-9999</v>
      </c>
      <c r="W1629" s="368">
        <v>-9999</v>
      </c>
      <c r="X1629" s="327">
        <v>-9999</v>
      </c>
      <c r="Y1629" s="327">
        <v>-9999</v>
      </c>
      <c r="Z1629" s="327" t="s">
        <v>1707</v>
      </c>
      <c r="AA1629" s="327">
        <v>1660</v>
      </c>
      <c r="AB1629" s="368">
        <v>1</v>
      </c>
      <c r="AC1629" s="327">
        <f t="shared" ref="AC1629:AC1643" si="209">0.15*4</f>
        <v>0.6</v>
      </c>
      <c r="AD1629" s="327">
        <v>0.15</v>
      </c>
      <c r="AE1629" s="328" t="s">
        <v>1970</v>
      </c>
      <c r="AF1629" s="327">
        <v>4</v>
      </c>
      <c r="AG1629" s="327" t="s">
        <v>843</v>
      </c>
      <c r="AH1629" s="327" t="s">
        <v>876</v>
      </c>
      <c r="AI1629" s="327" t="s">
        <v>985</v>
      </c>
      <c r="AJ1629" s="327" t="s">
        <v>892</v>
      </c>
      <c r="AK1629" s="327" t="s">
        <v>966</v>
      </c>
      <c r="AL1629" s="327" t="s">
        <v>828</v>
      </c>
      <c r="AM1629" s="327" t="s">
        <v>871</v>
      </c>
      <c r="AN1629" s="327" t="s">
        <v>631</v>
      </c>
      <c r="AO1629" s="327">
        <v>-9999</v>
      </c>
      <c r="AP1629" s="327">
        <v>-9999</v>
      </c>
      <c r="AQ1629" s="327" t="s">
        <v>626</v>
      </c>
      <c r="AR1629" s="363">
        <f>50.4+(56*0.35)</f>
        <v>70</v>
      </c>
      <c r="AS1629" s="327" t="s">
        <v>139</v>
      </c>
      <c r="AT1629" s="327" t="s">
        <v>136</v>
      </c>
      <c r="AU1629" s="363">
        <f>+(280*0.46)*0.436</f>
        <v>56.156800000000004</v>
      </c>
      <c r="AV1629" s="327" t="s">
        <v>142</v>
      </c>
      <c r="AW1629" s="327" t="s">
        <v>275</v>
      </c>
      <c r="AX1629" s="363">
        <f>112*0.6</f>
        <v>67.2</v>
      </c>
      <c r="AY1629" s="327" t="s">
        <v>768</v>
      </c>
      <c r="AZ1629" s="327" t="s">
        <v>275</v>
      </c>
      <c r="BA1629" s="327">
        <v>-9999</v>
      </c>
      <c r="BB1629" s="327" t="s">
        <v>626</v>
      </c>
      <c r="BC1629" s="327" t="s">
        <v>987</v>
      </c>
      <c r="BD1629" s="327" t="s">
        <v>988</v>
      </c>
      <c r="BE1629" s="327" t="s">
        <v>989</v>
      </c>
      <c r="BF1629" s="327" t="s">
        <v>881</v>
      </c>
      <c r="BG1629" s="327" t="s">
        <v>990</v>
      </c>
      <c r="BH1629" s="327" t="s">
        <v>991</v>
      </c>
      <c r="BI1629" s="327" t="s">
        <v>993</v>
      </c>
      <c r="BJ1629" s="327">
        <v>-9999</v>
      </c>
      <c r="BK1629" s="327">
        <v>-9999</v>
      </c>
      <c r="BL1629" s="297">
        <v>0.48387000000000002</v>
      </c>
      <c r="BM1629" s="327">
        <v>-9999</v>
      </c>
      <c r="BN1629" s="327">
        <v>-9999</v>
      </c>
      <c r="BO1629" s="327">
        <v>-9999</v>
      </c>
      <c r="BP1629" s="327">
        <v>-9999</v>
      </c>
      <c r="BQ1629" s="327">
        <v>-9999</v>
      </c>
      <c r="BR1629" s="327">
        <v>-9999</v>
      </c>
      <c r="BS1629" s="474">
        <v>-9999</v>
      </c>
      <c r="BT1629" s="327">
        <v>-9999</v>
      </c>
      <c r="BU1629" s="327">
        <v>-9999</v>
      </c>
      <c r="BV1629" s="327">
        <v>-9999</v>
      </c>
      <c r="BW1629" s="327"/>
      <c r="BX1629" s="327">
        <v>-9999</v>
      </c>
      <c r="BY1629" s="327">
        <v>-9999</v>
      </c>
      <c r="BZ1629" s="327">
        <v>-9999</v>
      </c>
      <c r="CA1629" s="369">
        <v>-9999</v>
      </c>
      <c r="CB1629" s="475"/>
      <c r="CC1629" s="327">
        <v>1</v>
      </c>
      <c r="CD1629" s="328"/>
      <c r="CE1629" s="342"/>
      <c r="CF1629" s="342"/>
      <c r="CG1629" s="359">
        <v>1</v>
      </c>
    </row>
    <row r="1630" spans="1:96" s="301" customFormat="1" ht="12.75" customHeight="1" x14ac:dyDescent="0.3">
      <c r="A1630" s="327" t="s">
        <v>981</v>
      </c>
      <c r="B1630" s="327" t="s">
        <v>982</v>
      </c>
      <c r="C1630" s="327" t="s">
        <v>998</v>
      </c>
      <c r="D1630" s="327" t="s">
        <v>553</v>
      </c>
      <c r="E1630" s="327" t="s">
        <v>901</v>
      </c>
      <c r="F1630" s="327">
        <v>1</v>
      </c>
      <c r="G1630" s="328">
        <v>2</v>
      </c>
      <c r="H1630" s="328">
        <v>2</v>
      </c>
      <c r="I1630" s="327" t="s">
        <v>783</v>
      </c>
      <c r="J1630" s="327">
        <v>1987</v>
      </c>
      <c r="K1630" s="327" t="s">
        <v>783</v>
      </c>
      <c r="L1630" s="327">
        <v>1989</v>
      </c>
      <c r="M1630" s="368">
        <v>-9999</v>
      </c>
      <c r="N1630" s="327">
        <v>-9999</v>
      </c>
      <c r="O1630" s="323">
        <v>-9999</v>
      </c>
      <c r="P1630" s="368">
        <v>-9999</v>
      </c>
      <c r="Q1630" s="327">
        <v>-9999</v>
      </c>
      <c r="R1630" s="368">
        <v>-9999</v>
      </c>
      <c r="S1630" s="327"/>
      <c r="T1630" s="368">
        <v>-9999</v>
      </c>
      <c r="U1630" s="327">
        <v>-9999</v>
      </c>
      <c r="V1630" s="327">
        <v>-9999</v>
      </c>
      <c r="W1630" s="368">
        <v>-9999</v>
      </c>
      <c r="X1630" s="327">
        <v>-9999</v>
      </c>
      <c r="Y1630" s="327">
        <v>-9999</v>
      </c>
      <c r="Z1630" s="327" t="s">
        <v>1707</v>
      </c>
      <c r="AA1630" s="327">
        <v>1660</v>
      </c>
      <c r="AB1630" s="327">
        <v>-9999</v>
      </c>
      <c r="AC1630" s="327">
        <f t="shared" si="209"/>
        <v>0.6</v>
      </c>
      <c r="AD1630" s="327">
        <v>0.15</v>
      </c>
      <c r="AE1630" s="328" t="s">
        <v>1970</v>
      </c>
      <c r="AF1630" s="327">
        <v>4</v>
      </c>
      <c r="AG1630" s="327" t="s">
        <v>843</v>
      </c>
      <c r="AH1630" s="327" t="s">
        <v>876</v>
      </c>
      <c r="AI1630" s="327" t="s">
        <v>985</v>
      </c>
      <c r="AJ1630" s="327" t="s">
        <v>892</v>
      </c>
      <c r="AK1630" s="327" t="s">
        <v>966</v>
      </c>
      <c r="AL1630" s="327" t="s">
        <v>828</v>
      </c>
      <c r="AM1630" s="327" t="s">
        <v>871</v>
      </c>
      <c r="AN1630" s="327" t="s">
        <v>631</v>
      </c>
      <c r="AO1630" s="327">
        <v>-9999</v>
      </c>
      <c r="AP1630" s="327">
        <v>-9999</v>
      </c>
      <c r="AQ1630" s="327" t="s">
        <v>626</v>
      </c>
      <c r="AR1630" s="363">
        <f>50.4+(56*0.35)+AR1629</f>
        <v>140</v>
      </c>
      <c r="AS1630" s="327" t="s">
        <v>139</v>
      </c>
      <c r="AT1630" s="327" t="s">
        <v>136</v>
      </c>
      <c r="AU1630" s="363">
        <f>+((280*0.46)*0.436)+AU1629</f>
        <v>112.31360000000001</v>
      </c>
      <c r="AV1630" s="327" t="s">
        <v>142</v>
      </c>
      <c r="AW1630" s="327" t="s">
        <v>275</v>
      </c>
      <c r="AX1630" s="363">
        <f>+(112*0.6)+AX1629</f>
        <v>134.4</v>
      </c>
      <c r="AY1630" s="327" t="s">
        <v>768</v>
      </c>
      <c r="AZ1630" s="327" t="s">
        <v>275</v>
      </c>
      <c r="BA1630" s="327">
        <v>-9999</v>
      </c>
      <c r="BB1630" s="327" t="s">
        <v>626</v>
      </c>
      <c r="BC1630" s="327" t="s">
        <v>987</v>
      </c>
      <c r="BD1630" s="327" t="s">
        <v>988</v>
      </c>
      <c r="BE1630" s="327" t="s">
        <v>989</v>
      </c>
      <c r="BF1630" s="327" t="s">
        <v>881</v>
      </c>
      <c r="BG1630" s="327" t="s">
        <v>990</v>
      </c>
      <c r="BH1630" s="327" t="s">
        <v>991</v>
      </c>
      <c r="BI1630" s="327" t="s">
        <v>993</v>
      </c>
      <c r="BJ1630" s="327">
        <v>-9999</v>
      </c>
      <c r="BK1630" s="327">
        <v>-9999</v>
      </c>
      <c r="BL1630" s="297">
        <v>0.72580999999999996</v>
      </c>
      <c r="BM1630" s="327">
        <v>-9999</v>
      </c>
      <c r="BN1630" s="327">
        <v>-9999</v>
      </c>
      <c r="BO1630" s="327">
        <v>-9999</v>
      </c>
      <c r="BP1630" s="327">
        <v>-9999</v>
      </c>
      <c r="BQ1630" s="327">
        <v>-9999</v>
      </c>
      <c r="BR1630" s="327">
        <v>-9999</v>
      </c>
      <c r="BS1630" s="474">
        <v>-9999</v>
      </c>
      <c r="BT1630" s="327">
        <v>-9999</v>
      </c>
      <c r="BU1630" s="327">
        <v>-9999</v>
      </c>
      <c r="BV1630" s="327">
        <v>-9999</v>
      </c>
      <c r="BW1630" s="327"/>
      <c r="BX1630" s="327">
        <v>-9999</v>
      </c>
      <c r="BY1630" s="327">
        <v>-9999</v>
      </c>
      <c r="BZ1630" s="327">
        <v>-9999</v>
      </c>
      <c r="CA1630" s="369">
        <v>-9999</v>
      </c>
      <c r="CB1630" s="475"/>
      <c r="CC1630" s="327">
        <v>1</v>
      </c>
      <c r="CD1630" s="328"/>
      <c r="CE1630" s="342" t="s">
        <v>1576</v>
      </c>
      <c r="CF1630" s="342" t="s">
        <v>1575</v>
      </c>
      <c r="CG1630" s="359">
        <v>2</v>
      </c>
    </row>
    <row r="1631" spans="1:96" s="301" customFormat="1" ht="12.75" customHeight="1" x14ac:dyDescent="0.3">
      <c r="A1631" s="327" t="s">
        <v>981</v>
      </c>
      <c r="B1631" s="327" t="s">
        <v>982</v>
      </c>
      <c r="C1631" s="327" t="s">
        <v>998</v>
      </c>
      <c r="D1631" s="327" t="s">
        <v>553</v>
      </c>
      <c r="E1631" s="327" t="s">
        <v>901</v>
      </c>
      <c r="F1631" s="327">
        <v>1</v>
      </c>
      <c r="G1631" s="328">
        <v>3</v>
      </c>
      <c r="H1631" s="328">
        <v>3</v>
      </c>
      <c r="I1631" s="327" t="s">
        <v>783</v>
      </c>
      <c r="J1631" s="327">
        <v>1987</v>
      </c>
      <c r="K1631" s="327" t="s">
        <v>783</v>
      </c>
      <c r="L1631" s="327">
        <v>1990</v>
      </c>
      <c r="M1631" s="368">
        <v>-9999</v>
      </c>
      <c r="N1631" s="327">
        <v>-9999</v>
      </c>
      <c r="O1631" s="70">
        <v>2.3809523809523809</v>
      </c>
      <c r="P1631" s="370">
        <f t="shared" ref="P1631:P1643" si="210">+R1631*O1631</f>
        <v>9.3943095238095236</v>
      </c>
      <c r="Q1631" s="327">
        <v>-9999</v>
      </c>
      <c r="R1631" s="368">
        <f>+Y1631</f>
        <v>3.9456099999999998</v>
      </c>
      <c r="S1631" s="368"/>
      <c r="T1631" s="287">
        <f t="shared" ref="T1631:T1643" si="211">+V1631*O1631</f>
        <v>2.981238095238095</v>
      </c>
      <c r="U1631" s="413">
        <v>-9999</v>
      </c>
      <c r="V1631" s="368">
        <v>1.2521199999999999</v>
      </c>
      <c r="W1631" s="287">
        <f t="shared" ref="W1631:W1643" si="212">Y1631*O1631</f>
        <v>9.3943095238095236</v>
      </c>
      <c r="X1631" s="327">
        <v>-9999</v>
      </c>
      <c r="Y1631" s="368">
        <v>3.9456099999999998</v>
      </c>
      <c r="Z1631" s="327" t="s">
        <v>1707</v>
      </c>
      <c r="AA1631" s="327">
        <v>1660</v>
      </c>
      <c r="AB1631" s="327">
        <v>-9999</v>
      </c>
      <c r="AC1631" s="327">
        <f t="shared" si="209"/>
        <v>0.6</v>
      </c>
      <c r="AD1631" s="327">
        <v>0.15</v>
      </c>
      <c r="AE1631" s="328" t="s">
        <v>1970</v>
      </c>
      <c r="AF1631" s="327">
        <v>4</v>
      </c>
      <c r="AG1631" s="327" t="s">
        <v>843</v>
      </c>
      <c r="AH1631" s="327" t="s">
        <v>876</v>
      </c>
      <c r="AI1631" s="327" t="s">
        <v>985</v>
      </c>
      <c r="AJ1631" s="327" t="s">
        <v>892</v>
      </c>
      <c r="AK1631" s="327" t="s">
        <v>966</v>
      </c>
      <c r="AL1631" s="327" t="s">
        <v>828</v>
      </c>
      <c r="AM1631" s="327" t="s">
        <v>871</v>
      </c>
      <c r="AN1631" s="327" t="s">
        <v>631</v>
      </c>
      <c r="AO1631" s="327">
        <v>-9999</v>
      </c>
      <c r="AP1631" s="327">
        <v>-9999</v>
      </c>
      <c r="AQ1631" s="327" t="s">
        <v>626</v>
      </c>
      <c r="AR1631" s="363">
        <f t="shared" ref="AR1631:AR1637" si="213">+((150*0.35)*1.12)+AR1630</f>
        <v>198.8</v>
      </c>
      <c r="AS1631" s="327" t="s">
        <v>138</v>
      </c>
      <c r="AT1631" s="327" t="s">
        <v>311</v>
      </c>
      <c r="AU1631" s="363">
        <f t="shared" ref="AU1631:AU1637" si="214">0+AU1630</f>
        <v>112.31360000000001</v>
      </c>
      <c r="AV1631" s="327">
        <v>-9999</v>
      </c>
      <c r="AW1631" s="327">
        <v>-9999</v>
      </c>
      <c r="AX1631" s="363">
        <f>0+AX1630</f>
        <v>134.4</v>
      </c>
      <c r="AY1631" s="327">
        <v>-9999</v>
      </c>
      <c r="AZ1631" s="327">
        <v>-9999</v>
      </c>
      <c r="BA1631" s="327">
        <v>-9999</v>
      </c>
      <c r="BB1631" s="327" t="s">
        <v>626</v>
      </c>
      <c r="BC1631" s="327" t="s">
        <v>987</v>
      </c>
      <c r="BD1631" s="327" t="s">
        <v>988</v>
      </c>
      <c r="BE1631" s="327" t="s">
        <v>989</v>
      </c>
      <c r="BF1631" s="327" t="s">
        <v>881</v>
      </c>
      <c r="BG1631" s="327" t="s">
        <v>990</v>
      </c>
      <c r="BH1631" s="327" t="s">
        <v>991</v>
      </c>
      <c r="BI1631" s="327" t="s">
        <v>993</v>
      </c>
      <c r="BJ1631" s="327">
        <v>-9999</v>
      </c>
      <c r="BK1631" s="327">
        <v>-9999</v>
      </c>
      <c r="BL1631" s="297">
        <v>1.6935500000000001</v>
      </c>
      <c r="BM1631" s="327">
        <v>-9999</v>
      </c>
      <c r="BN1631" s="327">
        <v>-9999</v>
      </c>
      <c r="BO1631" s="327">
        <v>-9999</v>
      </c>
      <c r="BP1631" s="327">
        <v>-9999</v>
      </c>
      <c r="BQ1631" s="327">
        <v>-9999</v>
      </c>
      <c r="BR1631" s="327">
        <v>-9999</v>
      </c>
      <c r="BS1631" s="474">
        <v>-9999</v>
      </c>
      <c r="BT1631" s="327">
        <v>-9999</v>
      </c>
      <c r="BU1631" s="327">
        <v>-9999</v>
      </c>
      <c r="BV1631" s="327">
        <v>-9999</v>
      </c>
      <c r="BW1631" s="327"/>
      <c r="BX1631" s="327">
        <v>-9999</v>
      </c>
      <c r="BY1631" s="327">
        <v>-9999</v>
      </c>
      <c r="BZ1631" s="327">
        <v>-9999</v>
      </c>
      <c r="CA1631" s="369">
        <v>-9999</v>
      </c>
      <c r="CB1631" s="475"/>
      <c r="CC1631" s="327">
        <v>1</v>
      </c>
      <c r="CD1631" s="328">
        <v>3</v>
      </c>
      <c r="CE1631" s="342">
        <v>2.981238095238095</v>
      </c>
      <c r="CF1631" s="342">
        <v>9.3943095238095236</v>
      </c>
      <c r="CG1631" s="359">
        <v>3</v>
      </c>
    </row>
    <row r="1632" spans="1:96" s="301" customFormat="1" ht="12.75" customHeight="1" x14ac:dyDescent="0.3">
      <c r="A1632" s="327" t="s">
        <v>981</v>
      </c>
      <c r="B1632" s="327" t="s">
        <v>982</v>
      </c>
      <c r="C1632" s="327" t="s">
        <v>998</v>
      </c>
      <c r="D1632" s="327" t="s">
        <v>553</v>
      </c>
      <c r="E1632" s="327" t="s">
        <v>901</v>
      </c>
      <c r="F1632" s="327">
        <v>1</v>
      </c>
      <c r="G1632" s="328">
        <v>4</v>
      </c>
      <c r="H1632" s="328">
        <v>4</v>
      </c>
      <c r="I1632" s="327" t="s">
        <v>783</v>
      </c>
      <c r="J1632" s="327">
        <v>1987</v>
      </c>
      <c r="K1632" s="327" t="s">
        <v>783</v>
      </c>
      <c r="L1632" s="327">
        <v>1991</v>
      </c>
      <c r="M1632" s="368">
        <v>-9999</v>
      </c>
      <c r="N1632" s="327">
        <v>-9999</v>
      </c>
      <c r="O1632" s="70">
        <v>1.8518518518518519</v>
      </c>
      <c r="P1632" s="370">
        <f t="shared" si="210"/>
        <v>21.658685185185185</v>
      </c>
      <c r="Q1632" s="327">
        <v>-9999</v>
      </c>
      <c r="R1632" s="368">
        <f t="shared" ref="R1632:R1643" si="215">+R1631+Y1632</f>
        <v>11.695689999999999</v>
      </c>
      <c r="S1632" s="368"/>
      <c r="T1632" s="287">
        <f t="shared" si="211"/>
        <v>5.494092592592593</v>
      </c>
      <c r="U1632" s="413">
        <v>-9999</v>
      </c>
      <c r="V1632" s="368">
        <v>2.9668100000000002</v>
      </c>
      <c r="W1632" s="287">
        <f t="shared" si="212"/>
        <v>14.351999999999999</v>
      </c>
      <c r="X1632" s="327">
        <v>-9999</v>
      </c>
      <c r="Y1632" s="368">
        <v>7.7500799999999996</v>
      </c>
      <c r="Z1632" s="327" t="s">
        <v>1707</v>
      </c>
      <c r="AA1632" s="327">
        <v>1660</v>
      </c>
      <c r="AB1632" s="327">
        <v>-9999</v>
      </c>
      <c r="AC1632" s="327">
        <f t="shared" si="209"/>
        <v>0.6</v>
      </c>
      <c r="AD1632" s="327">
        <v>0.15</v>
      </c>
      <c r="AE1632" s="328" t="s">
        <v>1970</v>
      </c>
      <c r="AF1632" s="327">
        <v>4</v>
      </c>
      <c r="AG1632" s="327" t="s">
        <v>843</v>
      </c>
      <c r="AH1632" s="327" t="s">
        <v>876</v>
      </c>
      <c r="AI1632" s="327" t="s">
        <v>985</v>
      </c>
      <c r="AJ1632" s="327" t="s">
        <v>892</v>
      </c>
      <c r="AK1632" s="327" t="s">
        <v>966</v>
      </c>
      <c r="AL1632" s="327" t="s">
        <v>828</v>
      </c>
      <c r="AM1632" s="327" t="s">
        <v>871</v>
      </c>
      <c r="AN1632" s="327" t="s">
        <v>631</v>
      </c>
      <c r="AO1632" s="327">
        <v>-9999</v>
      </c>
      <c r="AP1632" s="327">
        <v>-9999</v>
      </c>
      <c r="AQ1632" s="327" t="s">
        <v>626</v>
      </c>
      <c r="AR1632" s="363">
        <f t="shared" si="213"/>
        <v>257.60000000000002</v>
      </c>
      <c r="AS1632" s="327" t="s">
        <v>138</v>
      </c>
      <c r="AT1632" s="327" t="s">
        <v>311</v>
      </c>
      <c r="AU1632" s="363">
        <f t="shared" si="214"/>
        <v>112.31360000000001</v>
      </c>
      <c r="AV1632" s="327">
        <v>-9999</v>
      </c>
      <c r="AW1632" s="327">
        <v>-9999</v>
      </c>
      <c r="AX1632" s="363">
        <f t="shared" ref="AX1632:AX1638" si="216">0+AX1631</f>
        <v>134.4</v>
      </c>
      <c r="AY1632" s="327">
        <v>-9999</v>
      </c>
      <c r="AZ1632" s="327">
        <v>-9999</v>
      </c>
      <c r="BA1632" s="327">
        <v>-9999</v>
      </c>
      <c r="BB1632" s="327" t="s">
        <v>626</v>
      </c>
      <c r="BC1632" s="327" t="s">
        <v>987</v>
      </c>
      <c r="BD1632" s="327" t="s">
        <v>988</v>
      </c>
      <c r="BE1632" s="327" t="s">
        <v>989</v>
      </c>
      <c r="BF1632" s="327" t="s">
        <v>881</v>
      </c>
      <c r="BG1632" s="327" t="s">
        <v>990</v>
      </c>
      <c r="BH1632" s="327" t="s">
        <v>991</v>
      </c>
      <c r="BI1632" s="327" t="s">
        <v>993</v>
      </c>
      <c r="BJ1632" s="255">
        <v>10</v>
      </c>
      <c r="BK1632" s="327">
        <v>-9999</v>
      </c>
      <c r="BL1632" s="297">
        <v>2.8225799999999999</v>
      </c>
      <c r="BM1632" s="327">
        <v>-9999</v>
      </c>
      <c r="BN1632" s="327">
        <v>-9999</v>
      </c>
      <c r="BO1632" s="327">
        <v>-9999</v>
      </c>
      <c r="BP1632" s="327">
        <v>-9999</v>
      </c>
      <c r="BQ1632" s="327">
        <v>-9999</v>
      </c>
      <c r="BR1632" s="327">
        <v>-9999</v>
      </c>
      <c r="BS1632" s="474">
        <v>-9999</v>
      </c>
      <c r="BT1632" s="327">
        <v>-9999</v>
      </c>
      <c r="BU1632" s="327">
        <v>-9999</v>
      </c>
      <c r="BV1632" s="327">
        <v>-9999</v>
      </c>
      <c r="BW1632" s="327"/>
      <c r="BX1632" s="327">
        <v>-9999</v>
      </c>
      <c r="BY1632" s="327">
        <v>-9999</v>
      </c>
      <c r="BZ1632" s="327">
        <v>-9999</v>
      </c>
      <c r="CA1632" s="369">
        <v>-9999</v>
      </c>
      <c r="CB1632" s="475"/>
      <c r="CC1632" s="327">
        <v>1</v>
      </c>
      <c r="CD1632" s="328">
        <v>4</v>
      </c>
      <c r="CE1632" s="342">
        <v>5.494092592592593</v>
      </c>
      <c r="CF1632" s="342">
        <v>14.351999999999999</v>
      </c>
      <c r="CG1632" s="359">
        <v>4</v>
      </c>
    </row>
    <row r="1633" spans="1:86" s="301" customFormat="1" ht="12.75" customHeight="1" x14ac:dyDescent="0.3">
      <c r="A1633" s="327" t="s">
        <v>981</v>
      </c>
      <c r="B1633" s="327" t="s">
        <v>982</v>
      </c>
      <c r="C1633" s="327" t="s">
        <v>998</v>
      </c>
      <c r="D1633" s="327" t="s">
        <v>553</v>
      </c>
      <c r="E1633" s="327" t="s">
        <v>901</v>
      </c>
      <c r="F1633" s="327">
        <v>1</v>
      </c>
      <c r="G1633" s="328">
        <v>5</v>
      </c>
      <c r="H1633" s="328">
        <v>5</v>
      </c>
      <c r="I1633" s="327" t="s">
        <v>783</v>
      </c>
      <c r="J1633" s="327">
        <v>1987</v>
      </c>
      <c r="K1633" s="327" t="s">
        <v>783</v>
      </c>
      <c r="L1633" s="327">
        <v>1992</v>
      </c>
      <c r="M1633" s="368">
        <v>-9999</v>
      </c>
      <c r="N1633" s="327">
        <v>-9999</v>
      </c>
      <c r="O1633" s="70">
        <v>1.6666666666666667</v>
      </c>
      <c r="P1633" s="370">
        <f t="shared" si="210"/>
        <v>41.769083333333334</v>
      </c>
      <c r="Q1633" s="327">
        <v>-9999</v>
      </c>
      <c r="R1633" s="368">
        <f t="shared" si="215"/>
        <v>25.061450000000001</v>
      </c>
      <c r="S1633" s="368"/>
      <c r="T1633" s="287">
        <f t="shared" si="211"/>
        <v>8.3442833333333333</v>
      </c>
      <c r="U1633" s="413">
        <v>-9999</v>
      </c>
      <c r="V1633" s="368">
        <v>5.00657</v>
      </c>
      <c r="W1633" s="287">
        <f t="shared" si="212"/>
        <v>22.276266666666668</v>
      </c>
      <c r="X1633" s="327">
        <v>-9999</v>
      </c>
      <c r="Y1633" s="368">
        <v>13.36576</v>
      </c>
      <c r="Z1633" s="327" t="s">
        <v>1707</v>
      </c>
      <c r="AA1633" s="327">
        <v>1660</v>
      </c>
      <c r="AB1633" s="327">
        <v>-9999</v>
      </c>
      <c r="AC1633" s="327">
        <f t="shared" si="209"/>
        <v>0.6</v>
      </c>
      <c r="AD1633" s="327">
        <v>0.15</v>
      </c>
      <c r="AE1633" s="328" t="s">
        <v>1970</v>
      </c>
      <c r="AF1633" s="327">
        <v>4</v>
      </c>
      <c r="AG1633" s="327" t="s">
        <v>843</v>
      </c>
      <c r="AH1633" s="327" t="s">
        <v>876</v>
      </c>
      <c r="AI1633" s="327" t="s">
        <v>985</v>
      </c>
      <c r="AJ1633" s="327" t="s">
        <v>892</v>
      </c>
      <c r="AK1633" s="327" t="s">
        <v>966</v>
      </c>
      <c r="AL1633" s="327" t="s">
        <v>828</v>
      </c>
      <c r="AM1633" s="327" t="s">
        <v>871</v>
      </c>
      <c r="AN1633" s="327" t="s">
        <v>631</v>
      </c>
      <c r="AO1633" s="327">
        <v>-9999</v>
      </c>
      <c r="AP1633" s="327">
        <v>-9999</v>
      </c>
      <c r="AQ1633" s="327" t="s">
        <v>626</v>
      </c>
      <c r="AR1633" s="363">
        <f t="shared" si="213"/>
        <v>316.40000000000003</v>
      </c>
      <c r="AS1633" s="327" t="s">
        <v>138</v>
      </c>
      <c r="AT1633" s="327" t="s">
        <v>311</v>
      </c>
      <c r="AU1633" s="363">
        <f t="shared" si="214"/>
        <v>112.31360000000001</v>
      </c>
      <c r="AV1633" s="327">
        <v>-9999</v>
      </c>
      <c r="AW1633" s="327">
        <v>-9999</v>
      </c>
      <c r="AX1633" s="363">
        <f t="shared" si="216"/>
        <v>134.4</v>
      </c>
      <c r="AY1633" s="327">
        <v>-9999</v>
      </c>
      <c r="AZ1633" s="327">
        <v>-9999</v>
      </c>
      <c r="BA1633" s="327">
        <v>-9999</v>
      </c>
      <c r="BB1633" s="327" t="s">
        <v>626</v>
      </c>
      <c r="BC1633" s="327" t="s">
        <v>987</v>
      </c>
      <c r="BD1633" s="327" t="s">
        <v>988</v>
      </c>
      <c r="BE1633" s="327" t="s">
        <v>989</v>
      </c>
      <c r="BF1633" s="327" t="s">
        <v>881</v>
      </c>
      <c r="BG1633" s="327" t="s">
        <v>990</v>
      </c>
      <c r="BH1633" s="327" t="s">
        <v>991</v>
      </c>
      <c r="BI1633" s="327" t="s">
        <v>993</v>
      </c>
      <c r="BJ1633" s="255">
        <v>18</v>
      </c>
      <c r="BK1633" s="327">
        <v>-9999</v>
      </c>
      <c r="BL1633" s="297">
        <v>4.6774199999999997</v>
      </c>
      <c r="BM1633" s="327">
        <v>-9999</v>
      </c>
      <c r="BN1633" s="327">
        <v>-9999</v>
      </c>
      <c r="BO1633" s="327">
        <v>-9999</v>
      </c>
      <c r="BP1633" s="327">
        <v>-9999</v>
      </c>
      <c r="BQ1633" s="327">
        <v>-9999</v>
      </c>
      <c r="BR1633" s="327">
        <v>-9999</v>
      </c>
      <c r="BS1633" s="474">
        <v>-9999</v>
      </c>
      <c r="BT1633" s="327">
        <v>-9999</v>
      </c>
      <c r="BU1633" s="327">
        <v>-9999</v>
      </c>
      <c r="BV1633" s="327">
        <v>-9999</v>
      </c>
      <c r="BW1633" s="327"/>
      <c r="BX1633" s="327">
        <v>-9999</v>
      </c>
      <c r="BY1633" s="327">
        <v>-9999</v>
      </c>
      <c r="BZ1633" s="327">
        <v>-9999</v>
      </c>
      <c r="CA1633" s="369">
        <v>-9999</v>
      </c>
      <c r="CB1633" s="475"/>
      <c r="CC1633" s="327">
        <v>1</v>
      </c>
      <c r="CD1633" s="328">
        <v>5</v>
      </c>
      <c r="CE1633" s="342">
        <v>8.3442833333333333</v>
      </c>
      <c r="CF1633" s="342">
        <v>22.276266666666668</v>
      </c>
      <c r="CG1633" s="359">
        <v>5</v>
      </c>
    </row>
    <row r="1634" spans="1:86" s="301" customFormat="1" ht="12.75" customHeight="1" x14ac:dyDescent="0.3">
      <c r="A1634" s="327" t="s">
        <v>981</v>
      </c>
      <c r="B1634" s="327" t="s">
        <v>982</v>
      </c>
      <c r="C1634" s="327" t="s">
        <v>998</v>
      </c>
      <c r="D1634" s="327" t="s">
        <v>553</v>
      </c>
      <c r="E1634" s="327" t="s">
        <v>901</v>
      </c>
      <c r="F1634" s="327">
        <v>1</v>
      </c>
      <c r="G1634" s="328">
        <v>6</v>
      </c>
      <c r="H1634" s="328">
        <v>6</v>
      </c>
      <c r="I1634" s="327" t="s">
        <v>783</v>
      </c>
      <c r="J1634" s="327">
        <v>1987</v>
      </c>
      <c r="K1634" s="327" t="s">
        <v>783</v>
      </c>
      <c r="L1634" s="327">
        <v>1993</v>
      </c>
      <c r="M1634" s="368">
        <v>-9999</v>
      </c>
      <c r="N1634" s="327">
        <v>-9999</v>
      </c>
      <c r="O1634" s="70">
        <v>1.5873015873015872</v>
      </c>
      <c r="P1634" s="370">
        <f t="shared" si="210"/>
        <v>59.51561904761904</v>
      </c>
      <c r="Q1634" s="327">
        <v>-9999</v>
      </c>
      <c r="R1634" s="368">
        <f t="shared" si="215"/>
        <v>37.494839999999996</v>
      </c>
      <c r="S1634" s="368"/>
      <c r="T1634" s="287">
        <f t="shared" si="211"/>
        <v>9.9314285714285706</v>
      </c>
      <c r="U1634" s="413">
        <v>-9999</v>
      </c>
      <c r="V1634" s="368">
        <v>6.2568000000000001</v>
      </c>
      <c r="W1634" s="287">
        <f t="shared" si="212"/>
        <v>19.735539682539681</v>
      </c>
      <c r="X1634" s="327">
        <v>-9999</v>
      </c>
      <c r="Y1634" s="368">
        <v>12.433389999999999</v>
      </c>
      <c r="Z1634" s="327" t="s">
        <v>1707</v>
      </c>
      <c r="AA1634" s="327">
        <v>1660</v>
      </c>
      <c r="AB1634" s="327">
        <v>-9999</v>
      </c>
      <c r="AC1634" s="327">
        <f t="shared" si="209"/>
        <v>0.6</v>
      </c>
      <c r="AD1634" s="327">
        <v>0.15</v>
      </c>
      <c r="AE1634" s="328" t="s">
        <v>1970</v>
      </c>
      <c r="AF1634" s="327">
        <v>4</v>
      </c>
      <c r="AG1634" s="327" t="s">
        <v>843</v>
      </c>
      <c r="AH1634" s="327" t="s">
        <v>876</v>
      </c>
      <c r="AI1634" s="327" t="s">
        <v>985</v>
      </c>
      <c r="AJ1634" s="327" t="s">
        <v>892</v>
      </c>
      <c r="AK1634" s="327" t="s">
        <v>966</v>
      </c>
      <c r="AL1634" s="327" t="s">
        <v>828</v>
      </c>
      <c r="AM1634" s="327" t="s">
        <v>871</v>
      </c>
      <c r="AN1634" s="327" t="s">
        <v>631</v>
      </c>
      <c r="AO1634" s="327">
        <v>-9999</v>
      </c>
      <c r="AP1634" s="327">
        <v>-9999</v>
      </c>
      <c r="AQ1634" s="327" t="s">
        <v>626</v>
      </c>
      <c r="AR1634" s="363">
        <f t="shared" si="213"/>
        <v>375.20000000000005</v>
      </c>
      <c r="AS1634" s="327" t="s">
        <v>138</v>
      </c>
      <c r="AT1634" s="327" t="s">
        <v>311</v>
      </c>
      <c r="AU1634" s="363">
        <f t="shared" si="214"/>
        <v>112.31360000000001</v>
      </c>
      <c r="AV1634" s="327">
        <v>-9999</v>
      </c>
      <c r="AW1634" s="327">
        <v>-9999</v>
      </c>
      <c r="AX1634" s="363">
        <f t="shared" si="216"/>
        <v>134.4</v>
      </c>
      <c r="AY1634" s="327">
        <v>-9999</v>
      </c>
      <c r="AZ1634" s="327">
        <v>-9999</v>
      </c>
      <c r="BA1634" s="327">
        <v>-9999</v>
      </c>
      <c r="BB1634" s="327" t="s">
        <v>626</v>
      </c>
      <c r="BC1634" s="327" t="s">
        <v>987</v>
      </c>
      <c r="BD1634" s="327" t="s">
        <v>988</v>
      </c>
      <c r="BE1634" s="327" t="s">
        <v>989</v>
      </c>
      <c r="BF1634" s="327" t="s">
        <v>881</v>
      </c>
      <c r="BG1634" s="327" t="s">
        <v>990</v>
      </c>
      <c r="BH1634" s="327" t="s">
        <v>991</v>
      </c>
      <c r="BI1634" s="327" t="s">
        <v>993</v>
      </c>
      <c r="BJ1634" s="255">
        <v>23</v>
      </c>
      <c r="BK1634" s="327">
        <v>-9999</v>
      </c>
      <c r="BL1634" s="297">
        <v>6.1290300000000002</v>
      </c>
      <c r="BM1634" s="327">
        <v>-9999</v>
      </c>
      <c r="BN1634" s="327">
        <v>-9999</v>
      </c>
      <c r="BO1634" s="327">
        <v>-9999</v>
      </c>
      <c r="BP1634" s="327">
        <v>-9999</v>
      </c>
      <c r="BQ1634" s="327">
        <v>-9999</v>
      </c>
      <c r="BR1634" s="327">
        <v>-9999</v>
      </c>
      <c r="BS1634" s="474">
        <v>-9999</v>
      </c>
      <c r="BT1634" s="327">
        <v>-9999</v>
      </c>
      <c r="BU1634" s="327">
        <v>-9999</v>
      </c>
      <c r="BV1634" s="327">
        <v>-9999</v>
      </c>
      <c r="BW1634" s="327"/>
      <c r="BX1634" s="327">
        <v>-9999</v>
      </c>
      <c r="BY1634" s="327">
        <v>-9999</v>
      </c>
      <c r="BZ1634" s="327">
        <v>-9999</v>
      </c>
      <c r="CA1634" s="369">
        <v>-9999</v>
      </c>
      <c r="CB1634" s="475"/>
      <c r="CC1634" s="327">
        <v>1</v>
      </c>
      <c r="CD1634" s="328">
        <v>6</v>
      </c>
      <c r="CE1634" s="342">
        <v>9.9314285714285706</v>
      </c>
      <c r="CF1634" s="342">
        <v>19.735539682539681</v>
      </c>
      <c r="CG1634" s="359">
        <v>6</v>
      </c>
    </row>
    <row r="1635" spans="1:86" s="301" customFormat="1" ht="12.75" customHeight="1" x14ac:dyDescent="0.3">
      <c r="A1635" s="327" t="s">
        <v>981</v>
      </c>
      <c r="B1635" s="327" t="s">
        <v>982</v>
      </c>
      <c r="C1635" s="327" t="s">
        <v>998</v>
      </c>
      <c r="D1635" s="327" t="s">
        <v>553</v>
      </c>
      <c r="E1635" s="327" t="s">
        <v>901</v>
      </c>
      <c r="F1635" s="327">
        <v>1</v>
      </c>
      <c r="G1635" s="328">
        <v>7</v>
      </c>
      <c r="H1635" s="328">
        <v>7</v>
      </c>
      <c r="I1635" s="327" t="s">
        <v>783</v>
      </c>
      <c r="J1635" s="327">
        <v>1987</v>
      </c>
      <c r="K1635" s="327" t="s">
        <v>783</v>
      </c>
      <c r="L1635" s="327">
        <v>1994</v>
      </c>
      <c r="M1635" s="368">
        <v>-9999</v>
      </c>
      <c r="N1635" s="327">
        <v>-9999</v>
      </c>
      <c r="O1635" s="70">
        <v>1.5625</v>
      </c>
      <c r="P1635" s="370">
        <f t="shared" si="210"/>
        <v>78.442656249999999</v>
      </c>
      <c r="Q1635" s="327">
        <v>-9999</v>
      </c>
      <c r="R1635" s="368">
        <f t="shared" si="215"/>
        <v>50.203299999999999</v>
      </c>
      <c r="S1635" s="368"/>
      <c r="T1635" s="287">
        <f t="shared" si="211"/>
        <v>11.222015624999999</v>
      </c>
      <c r="U1635" s="413">
        <v>-9999</v>
      </c>
      <c r="V1635" s="368">
        <v>7.1820899999999996</v>
      </c>
      <c r="W1635" s="287">
        <f t="shared" si="212"/>
        <v>19.85696875</v>
      </c>
      <c r="X1635" s="327">
        <v>-9999</v>
      </c>
      <c r="Y1635" s="368">
        <v>12.708460000000001</v>
      </c>
      <c r="Z1635" s="327" t="s">
        <v>1707</v>
      </c>
      <c r="AA1635" s="327">
        <v>1660</v>
      </c>
      <c r="AB1635" s="327">
        <v>-9999</v>
      </c>
      <c r="AC1635" s="327">
        <f t="shared" si="209"/>
        <v>0.6</v>
      </c>
      <c r="AD1635" s="327">
        <v>0.15</v>
      </c>
      <c r="AE1635" s="328" t="s">
        <v>1970</v>
      </c>
      <c r="AF1635" s="327">
        <v>4</v>
      </c>
      <c r="AG1635" s="327" t="s">
        <v>843</v>
      </c>
      <c r="AH1635" s="327" t="s">
        <v>876</v>
      </c>
      <c r="AI1635" s="327" t="s">
        <v>985</v>
      </c>
      <c r="AJ1635" s="327" t="s">
        <v>892</v>
      </c>
      <c r="AK1635" s="327" t="s">
        <v>966</v>
      </c>
      <c r="AL1635" s="327" t="s">
        <v>828</v>
      </c>
      <c r="AM1635" s="327" t="s">
        <v>871</v>
      </c>
      <c r="AN1635" s="327" t="s">
        <v>631</v>
      </c>
      <c r="AO1635" s="327">
        <v>-9999</v>
      </c>
      <c r="AP1635" s="327">
        <v>-9999</v>
      </c>
      <c r="AQ1635" s="327" t="s">
        <v>626</v>
      </c>
      <c r="AR1635" s="363">
        <f t="shared" si="213"/>
        <v>434.00000000000006</v>
      </c>
      <c r="AS1635" s="327" t="s">
        <v>138</v>
      </c>
      <c r="AT1635" s="327" t="s">
        <v>311</v>
      </c>
      <c r="AU1635" s="363">
        <f t="shared" si="214"/>
        <v>112.31360000000001</v>
      </c>
      <c r="AV1635" s="327">
        <v>-9999</v>
      </c>
      <c r="AW1635" s="327">
        <v>-9999</v>
      </c>
      <c r="AX1635" s="363">
        <f t="shared" si="216"/>
        <v>134.4</v>
      </c>
      <c r="AY1635" s="327">
        <v>-9999</v>
      </c>
      <c r="AZ1635" s="327">
        <v>-9999</v>
      </c>
      <c r="BA1635" s="327">
        <v>-9999</v>
      </c>
      <c r="BB1635" s="327" t="s">
        <v>626</v>
      </c>
      <c r="BC1635" s="327" t="s">
        <v>987</v>
      </c>
      <c r="BD1635" s="327" t="s">
        <v>988</v>
      </c>
      <c r="BE1635" s="327" t="s">
        <v>989</v>
      </c>
      <c r="BF1635" s="327" t="s">
        <v>881</v>
      </c>
      <c r="BG1635" s="327" t="s">
        <v>990</v>
      </c>
      <c r="BH1635" s="327" t="s">
        <v>991</v>
      </c>
      <c r="BI1635" s="327" t="s">
        <v>993</v>
      </c>
      <c r="BJ1635" s="255">
        <v>27</v>
      </c>
      <c r="BK1635" s="327">
        <v>-9999</v>
      </c>
      <c r="BL1635" s="297">
        <v>7.4193499999999997</v>
      </c>
      <c r="BM1635" s="327">
        <v>-9999</v>
      </c>
      <c r="BN1635" s="327">
        <v>-9999</v>
      </c>
      <c r="BO1635" s="327">
        <v>-9999</v>
      </c>
      <c r="BP1635" s="327">
        <v>-9999</v>
      </c>
      <c r="BQ1635" s="327">
        <v>-9999</v>
      </c>
      <c r="BR1635" s="327">
        <v>-9999</v>
      </c>
      <c r="BS1635" s="474">
        <v>-9999</v>
      </c>
      <c r="BT1635" s="327">
        <v>-9999</v>
      </c>
      <c r="BU1635" s="327">
        <v>-9999</v>
      </c>
      <c r="BV1635" s="327">
        <v>-9999</v>
      </c>
      <c r="BW1635" s="327"/>
      <c r="BX1635" s="327">
        <v>-9999</v>
      </c>
      <c r="BY1635" s="327">
        <v>-9999</v>
      </c>
      <c r="BZ1635" s="327">
        <v>-9999</v>
      </c>
      <c r="CA1635" s="369">
        <v>-9999</v>
      </c>
      <c r="CB1635" s="475"/>
      <c r="CC1635" s="327">
        <v>1</v>
      </c>
      <c r="CD1635" s="328">
        <v>7</v>
      </c>
      <c r="CE1635" s="342">
        <v>11.222015624999999</v>
      </c>
      <c r="CF1635" s="342">
        <v>19.85696875</v>
      </c>
      <c r="CG1635" s="359">
        <v>7</v>
      </c>
    </row>
    <row r="1636" spans="1:86" s="301" customFormat="1" ht="12.75" customHeight="1" x14ac:dyDescent="0.3">
      <c r="A1636" s="327" t="s">
        <v>981</v>
      </c>
      <c r="B1636" s="327" t="s">
        <v>982</v>
      </c>
      <c r="C1636" s="327" t="s">
        <v>998</v>
      </c>
      <c r="D1636" s="327" t="s">
        <v>553</v>
      </c>
      <c r="E1636" s="327" t="s">
        <v>901</v>
      </c>
      <c r="F1636" s="327">
        <v>1</v>
      </c>
      <c r="G1636" s="328">
        <v>8</v>
      </c>
      <c r="H1636" s="328">
        <v>8</v>
      </c>
      <c r="I1636" s="327" t="s">
        <v>783</v>
      </c>
      <c r="J1636" s="327">
        <v>1987</v>
      </c>
      <c r="K1636" s="327" t="s">
        <v>783</v>
      </c>
      <c r="L1636" s="327">
        <v>1995</v>
      </c>
      <c r="M1636" s="368">
        <v>-9999</v>
      </c>
      <c r="N1636" s="327">
        <v>-9999</v>
      </c>
      <c r="O1636" s="70">
        <v>1.5151515151515151</v>
      </c>
      <c r="P1636" s="370">
        <f t="shared" si="210"/>
        <v>97.778030303030306</v>
      </c>
      <c r="Q1636" s="327">
        <v>-9999</v>
      </c>
      <c r="R1636" s="368">
        <f t="shared" si="215"/>
        <v>64.533500000000004</v>
      </c>
      <c r="S1636" s="368"/>
      <c r="T1636" s="287">
        <f t="shared" si="211"/>
        <v>12.213424242424242</v>
      </c>
      <c r="U1636" s="413">
        <v>-9999</v>
      </c>
      <c r="V1636" s="368">
        <v>8.0608599999999999</v>
      </c>
      <c r="W1636" s="287">
        <f t="shared" si="212"/>
        <v>21.712424242424241</v>
      </c>
      <c r="X1636" s="327">
        <v>-9999</v>
      </c>
      <c r="Y1636" s="368">
        <v>14.3302</v>
      </c>
      <c r="Z1636" s="327" t="s">
        <v>1707</v>
      </c>
      <c r="AA1636" s="327">
        <v>1660</v>
      </c>
      <c r="AB1636" s="327">
        <v>-9999</v>
      </c>
      <c r="AC1636" s="327">
        <f t="shared" si="209"/>
        <v>0.6</v>
      </c>
      <c r="AD1636" s="327">
        <v>0.15</v>
      </c>
      <c r="AE1636" s="328" t="s">
        <v>1970</v>
      </c>
      <c r="AF1636" s="327">
        <v>4</v>
      </c>
      <c r="AG1636" s="327" t="s">
        <v>843</v>
      </c>
      <c r="AH1636" s="327" t="s">
        <v>876</v>
      </c>
      <c r="AI1636" s="327" t="s">
        <v>985</v>
      </c>
      <c r="AJ1636" s="327" t="s">
        <v>892</v>
      </c>
      <c r="AK1636" s="327" t="s">
        <v>966</v>
      </c>
      <c r="AL1636" s="327" t="s">
        <v>828</v>
      </c>
      <c r="AM1636" s="327" t="s">
        <v>871</v>
      </c>
      <c r="AN1636" s="327" t="s">
        <v>631</v>
      </c>
      <c r="AO1636" s="327">
        <v>-9999</v>
      </c>
      <c r="AP1636" s="327">
        <v>-9999</v>
      </c>
      <c r="AQ1636" s="327" t="s">
        <v>626</v>
      </c>
      <c r="AR1636" s="363">
        <f t="shared" si="213"/>
        <v>492.80000000000007</v>
      </c>
      <c r="AS1636" s="327" t="s">
        <v>138</v>
      </c>
      <c r="AT1636" s="327" t="s">
        <v>311</v>
      </c>
      <c r="AU1636" s="363">
        <f t="shared" si="214"/>
        <v>112.31360000000001</v>
      </c>
      <c r="AV1636" s="327">
        <v>-9999</v>
      </c>
      <c r="AW1636" s="327">
        <v>-9999</v>
      </c>
      <c r="AX1636" s="363">
        <f t="shared" si="216"/>
        <v>134.4</v>
      </c>
      <c r="AY1636" s="327">
        <v>-9999</v>
      </c>
      <c r="AZ1636" s="327">
        <v>-9999</v>
      </c>
      <c r="BA1636" s="327">
        <v>-9999</v>
      </c>
      <c r="BB1636" s="327" t="s">
        <v>626</v>
      </c>
      <c r="BC1636" s="327" t="s">
        <v>987</v>
      </c>
      <c r="BD1636" s="327" t="s">
        <v>988</v>
      </c>
      <c r="BE1636" s="327" t="s">
        <v>989</v>
      </c>
      <c r="BF1636" s="327" t="s">
        <v>881</v>
      </c>
      <c r="BG1636" s="327" t="s">
        <v>990</v>
      </c>
      <c r="BH1636" s="327" t="s">
        <v>991</v>
      </c>
      <c r="BI1636" s="327" t="s">
        <v>993</v>
      </c>
      <c r="BJ1636" s="255">
        <v>31</v>
      </c>
      <c r="BK1636" s="327">
        <v>-9999</v>
      </c>
      <c r="BL1636" s="297">
        <v>8.8709699999999998</v>
      </c>
      <c r="BM1636" s="327">
        <v>-9999</v>
      </c>
      <c r="BN1636" s="327">
        <v>-9999</v>
      </c>
      <c r="BO1636" s="327">
        <v>-9999</v>
      </c>
      <c r="BP1636" s="327">
        <v>-9999</v>
      </c>
      <c r="BQ1636" s="327">
        <v>-9999</v>
      </c>
      <c r="BR1636" s="327">
        <v>-9999</v>
      </c>
      <c r="BS1636" s="474">
        <v>-9999</v>
      </c>
      <c r="BT1636" s="327">
        <v>-9999</v>
      </c>
      <c r="BU1636" s="327">
        <v>-9999</v>
      </c>
      <c r="BV1636" s="327">
        <v>-9999</v>
      </c>
      <c r="BW1636" s="327"/>
      <c r="BX1636" s="327">
        <v>-9999</v>
      </c>
      <c r="BY1636" s="327">
        <v>-9999</v>
      </c>
      <c r="BZ1636" s="327">
        <v>-9999</v>
      </c>
      <c r="CA1636" s="369">
        <v>-9999</v>
      </c>
      <c r="CB1636" s="475"/>
      <c r="CC1636" s="327">
        <v>1</v>
      </c>
      <c r="CD1636" s="328">
        <v>8</v>
      </c>
      <c r="CE1636" s="342">
        <v>12.213424242424242</v>
      </c>
      <c r="CF1636" s="342">
        <v>21.712424242424241</v>
      </c>
      <c r="CG1636" s="359">
        <v>8</v>
      </c>
    </row>
    <row r="1637" spans="1:86" s="301" customFormat="1" ht="12.75" customHeight="1" x14ac:dyDescent="0.3">
      <c r="A1637" s="327" t="s">
        <v>981</v>
      </c>
      <c r="B1637" s="327" t="s">
        <v>982</v>
      </c>
      <c r="C1637" s="327" t="s">
        <v>998</v>
      </c>
      <c r="D1637" s="327" t="s">
        <v>553</v>
      </c>
      <c r="E1637" s="327" t="s">
        <v>901</v>
      </c>
      <c r="F1637" s="327">
        <v>1</v>
      </c>
      <c r="G1637" s="328">
        <v>9</v>
      </c>
      <c r="H1637" s="328">
        <v>9</v>
      </c>
      <c r="I1637" s="327" t="s">
        <v>783</v>
      </c>
      <c r="J1637" s="327">
        <v>1987</v>
      </c>
      <c r="K1637" s="327" t="s">
        <v>783</v>
      </c>
      <c r="L1637" s="327">
        <v>1996</v>
      </c>
      <c r="M1637" s="368">
        <v>-9999</v>
      </c>
      <c r="N1637" s="327">
        <v>-9999</v>
      </c>
      <c r="O1637" s="70">
        <v>1.4705882352941178</v>
      </c>
      <c r="P1637" s="370">
        <f t="shared" si="210"/>
        <v>117.81479411764708</v>
      </c>
      <c r="Q1637" s="327">
        <v>-9999</v>
      </c>
      <c r="R1637" s="368">
        <f t="shared" si="215"/>
        <v>80.114060000000009</v>
      </c>
      <c r="S1637" s="368"/>
      <c r="T1637" s="287">
        <f t="shared" si="211"/>
        <v>13.010044117647061</v>
      </c>
      <c r="U1637" s="413">
        <v>-9999</v>
      </c>
      <c r="V1637" s="368">
        <v>8.8468300000000006</v>
      </c>
      <c r="W1637" s="287">
        <f t="shared" si="212"/>
        <v>22.91258823529412</v>
      </c>
      <c r="X1637" s="327">
        <v>-9999</v>
      </c>
      <c r="Y1637" s="368">
        <v>15.58056</v>
      </c>
      <c r="Z1637" s="327" t="s">
        <v>1707</v>
      </c>
      <c r="AA1637" s="327">
        <v>1660</v>
      </c>
      <c r="AB1637" s="327">
        <v>-9999</v>
      </c>
      <c r="AC1637" s="327">
        <f t="shared" si="209"/>
        <v>0.6</v>
      </c>
      <c r="AD1637" s="327">
        <v>0.15</v>
      </c>
      <c r="AE1637" s="328" t="s">
        <v>1970</v>
      </c>
      <c r="AF1637" s="327">
        <v>4</v>
      </c>
      <c r="AG1637" s="327" t="s">
        <v>843</v>
      </c>
      <c r="AH1637" s="327" t="s">
        <v>876</v>
      </c>
      <c r="AI1637" s="327" t="s">
        <v>985</v>
      </c>
      <c r="AJ1637" s="327" t="s">
        <v>892</v>
      </c>
      <c r="AK1637" s="327" t="s">
        <v>966</v>
      </c>
      <c r="AL1637" s="327" t="s">
        <v>828</v>
      </c>
      <c r="AM1637" s="327" t="s">
        <v>871</v>
      </c>
      <c r="AN1637" s="327" t="s">
        <v>631</v>
      </c>
      <c r="AO1637" s="327">
        <v>-9999</v>
      </c>
      <c r="AP1637" s="327">
        <v>-9999</v>
      </c>
      <c r="AQ1637" s="327" t="s">
        <v>626</v>
      </c>
      <c r="AR1637" s="363">
        <f t="shared" si="213"/>
        <v>551.6</v>
      </c>
      <c r="AS1637" s="327" t="s">
        <v>138</v>
      </c>
      <c r="AT1637" s="327" t="s">
        <v>311</v>
      </c>
      <c r="AU1637" s="363">
        <f t="shared" si="214"/>
        <v>112.31360000000001</v>
      </c>
      <c r="AV1637" s="327">
        <v>-9999</v>
      </c>
      <c r="AW1637" s="327">
        <v>-9999</v>
      </c>
      <c r="AX1637" s="363">
        <f t="shared" si="216"/>
        <v>134.4</v>
      </c>
      <c r="AY1637" s="327">
        <v>-9999</v>
      </c>
      <c r="AZ1637" s="327">
        <v>-9999</v>
      </c>
      <c r="BA1637" s="327">
        <v>-9999</v>
      </c>
      <c r="BB1637" s="327" t="s">
        <v>626</v>
      </c>
      <c r="BC1637" s="327" t="s">
        <v>987</v>
      </c>
      <c r="BD1637" s="327" t="s">
        <v>988</v>
      </c>
      <c r="BE1637" s="327" t="s">
        <v>989</v>
      </c>
      <c r="BF1637" s="327" t="s">
        <v>881</v>
      </c>
      <c r="BG1637" s="327" t="s">
        <v>990</v>
      </c>
      <c r="BH1637" s="327" t="s">
        <v>991</v>
      </c>
      <c r="BI1637" s="327" t="s">
        <v>993</v>
      </c>
      <c r="BJ1637" s="255">
        <v>34</v>
      </c>
      <c r="BK1637" s="327">
        <v>-9999</v>
      </c>
      <c r="BL1637" s="297">
        <v>10.24194</v>
      </c>
      <c r="BM1637" s="327">
        <v>-9999</v>
      </c>
      <c r="BN1637" s="327">
        <v>-9999</v>
      </c>
      <c r="BO1637" s="327">
        <v>-9999</v>
      </c>
      <c r="BP1637" s="327">
        <v>-9999</v>
      </c>
      <c r="BQ1637" s="327">
        <v>-9999</v>
      </c>
      <c r="BR1637" s="327">
        <v>-9999</v>
      </c>
      <c r="BS1637" s="474">
        <v>-9999</v>
      </c>
      <c r="BT1637" s="327">
        <v>-9999</v>
      </c>
      <c r="BU1637" s="327">
        <v>-9999</v>
      </c>
      <c r="BV1637" s="327">
        <v>-9999</v>
      </c>
      <c r="BW1637" s="327"/>
      <c r="BX1637" s="327">
        <v>-9999</v>
      </c>
      <c r="BY1637" s="327">
        <v>-9999</v>
      </c>
      <c r="BZ1637" s="327">
        <v>-9999</v>
      </c>
      <c r="CA1637" s="369">
        <v>-9999</v>
      </c>
      <c r="CB1637" s="475"/>
      <c r="CC1637" s="327">
        <v>1</v>
      </c>
      <c r="CD1637" s="328">
        <v>9</v>
      </c>
      <c r="CE1637" s="342">
        <v>13.010044117647061</v>
      </c>
      <c r="CF1637" s="342">
        <v>22.91258823529412</v>
      </c>
      <c r="CG1637" s="359">
        <v>9</v>
      </c>
    </row>
    <row r="1638" spans="1:86" s="301" customFormat="1" ht="12.75" customHeight="1" x14ac:dyDescent="0.3">
      <c r="A1638" s="327" t="s">
        <v>981</v>
      </c>
      <c r="B1638" s="327" t="s">
        <v>982</v>
      </c>
      <c r="C1638" s="327" t="s">
        <v>998</v>
      </c>
      <c r="D1638" s="327" t="s">
        <v>553</v>
      </c>
      <c r="E1638" s="327" t="s">
        <v>901</v>
      </c>
      <c r="F1638" s="327">
        <v>1</v>
      </c>
      <c r="G1638" s="328">
        <v>10</v>
      </c>
      <c r="H1638" s="328">
        <v>10</v>
      </c>
      <c r="I1638" s="327" t="s">
        <v>783</v>
      </c>
      <c r="J1638" s="327">
        <v>1987</v>
      </c>
      <c r="K1638" s="327" t="s">
        <v>783</v>
      </c>
      <c r="L1638" s="327">
        <v>1997</v>
      </c>
      <c r="M1638" s="368">
        <v>-9999</v>
      </c>
      <c r="N1638" s="327">
        <v>-9999</v>
      </c>
      <c r="O1638" s="70">
        <v>1.408450704225352</v>
      </c>
      <c r="P1638" s="370">
        <f t="shared" si="210"/>
        <v>133.9258309859155</v>
      </c>
      <c r="Q1638" s="327">
        <v>-9999</v>
      </c>
      <c r="R1638" s="368">
        <f t="shared" si="215"/>
        <v>95.087340000000012</v>
      </c>
      <c r="S1638" s="368"/>
      <c r="T1638" s="287">
        <f t="shared" si="211"/>
        <v>13.371098591549295</v>
      </c>
      <c r="U1638" s="413">
        <v>-9999</v>
      </c>
      <c r="V1638" s="368">
        <v>9.4934799999999999</v>
      </c>
      <c r="W1638" s="287">
        <f t="shared" si="212"/>
        <v>21.089126760563381</v>
      </c>
      <c r="X1638" s="327">
        <v>-9999</v>
      </c>
      <c r="Y1638" s="368">
        <v>14.973280000000001</v>
      </c>
      <c r="Z1638" s="327" t="s">
        <v>1707</v>
      </c>
      <c r="AA1638" s="327">
        <v>1660</v>
      </c>
      <c r="AB1638" s="327">
        <v>-9999</v>
      </c>
      <c r="AC1638" s="327">
        <f t="shared" si="209"/>
        <v>0.6</v>
      </c>
      <c r="AD1638" s="327">
        <v>0.15</v>
      </c>
      <c r="AE1638" s="328" t="s">
        <v>1970</v>
      </c>
      <c r="AF1638" s="327">
        <v>4</v>
      </c>
      <c r="AG1638" s="327" t="s">
        <v>843</v>
      </c>
      <c r="AH1638" s="327" t="s">
        <v>876</v>
      </c>
      <c r="AI1638" s="327" t="s">
        <v>985</v>
      </c>
      <c r="AJ1638" s="327" t="s">
        <v>892</v>
      </c>
      <c r="AK1638" s="327" t="s">
        <v>966</v>
      </c>
      <c r="AL1638" s="327" t="s">
        <v>828</v>
      </c>
      <c r="AM1638" s="327" t="s">
        <v>871</v>
      </c>
      <c r="AN1638" s="327" t="s">
        <v>631</v>
      </c>
      <c r="AO1638" s="327">
        <v>-9999</v>
      </c>
      <c r="AP1638" s="327">
        <v>-9999</v>
      </c>
      <c r="AQ1638" s="327" t="s">
        <v>626</v>
      </c>
      <c r="AR1638" s="363">
        <f>(336*0.35)+AR1637</f>
        <v>669.2</v>
      </c>
      <c r="AS1638" s="327" t="s">
        <v>137</v>
      </c>
      <c r="AT1638" s="327" t="s">
        <v>275</v>
      </c>
      <c r="AU1638" s="363">
        <f>(140*0.45)+AU1637</f>
        <v>175.31360000000001</v>
      </c>
      <c r="AV1638" s="327" t="s">
        <v>312</v>
      </c>
      <c r="AW1638" s="327" t="s">
        <v>275</v>
      </c>
      <c r="AX1638" s="363">
        <f t="shared" si="216"/>
        <v>134.4</v>
      </c>
      <c r="AY1638" s="327">
        <v>-9999</v>
      </c>
      <c r="AZ1638" s="327">
        <v>-9999</v>
      </c>
      <c r="BA1638" s="327">
        <v>-9999</v>
      </c>
      <c r="BB1638" s="327" t="s">
        <v>626</v>
      </c>
      <c r="BC1638" s="327" t="s">
        <v>987</v>
      </c>
      <c r="BD1638" s="327" t="s">
        <v>988</v>
      </c>
      <c r="BE1638" s="327" t="s">
        <v>989</v>
      </c>
      <c r="BF1638" s="327" t="s">
        <v>881</v>
      </c>
      <c r="BG1638" s="327" t="s">
        <v>990</v>
      </c>
      <c r="BH1638" s="327" t="s">
        <v>991</v>
      </c>
      <c r="BI1638" s="327" t="s">
        <v>993</v>
      </c>
      <c r="BJ1638" s="255">
        <v>37</v>
      </c>
      <c r="BK1638" s="327">
        <v>-9999</v>
      </c>
      <c r="BL1638" s="297">
        <v>11.290319999999999</v>
      </c>
      <c r="BM1638" s="327">
        <v>-9999</v>
      </c>
      <c r="BN1638" s="327">
        <v>-9999</v>
      </c>
      <c r="BO1638" s="327">
        <v>-9999</v>
      </c>
      <c r="BP1638" s="327">
        <v>-9999</v>
      </c>
      <c r="BQ1638" s="327">
        <v>-9999</v>
      </c>
      <c r="BR1638" s="327">
        <v>-9999</v>
      </c>
      <c r="BS1638" s="474">
        <v>-9999</v>
      </c>
      <c r="BT1638" s="327">
        <v>-9999</v>
      </c>
      <c r="BU1638" s="327">
        <v>-9999</v>
      </c>
      <c r="BV1638" s="327">
        <v>-9999</v>
      </c>
      <c r="BW1638" s="327"/>
      <c r="BX1638" s="327">
        <v>-9999</v>
      </c>
      <c r="BY1638" s="327">
        <v>-9999</v>
      </c>
      <c r="BZ1638" s="327">
        <v>-9999</v>
      </c>
      <c r="CA1638" s="369">
        <v>-9999</v>
      </c>
      <c r="CB1638" s="475"/>
      <c r="CC1638" s="327">
        <v>1</v>
      </c>
      <c r="CD1638" s="328">
        <v>10</v>
      </c>
      <c r="CE1638" s="342">
        <v>13.371098591549295</v>
      </c>
      <c r="CF1638" s="342">
        <v>21.089126760563381</v>
      </c>
      <c r="CG1638" s="359">
        <v>10</v>
      </c>
    </row>
    <row r="1639" spans="1:86" s="301" customFormat="1" ht="12.75" customHeight="1" x14ac:dyDescent="0.2">
      <c r="A1639" s="327" t="s">
        <v>981</v>
      </c>
      <c r="B1639" s="327" t="s">
        <v>982</v>
      </c>
      <c r="C1639" s="327" t="s">
        <v>998</v>
      </c>
      <c r="D1639" s="327" t="s">
        <v>553</v>
      </c>
      <c r="E1639" s="327" t="s">
        <v>901</v>
      </c>
      <c r="F1639" s="327">
        <v>1</v>
      </c>
      <c r="G1639" s="328">
        <v>11</v>
      </c>
      <c r="H1639" s="328">
        <v>11</v>
      </c>
      <c r="I1639" s="327" t="s">
        <v>783</v>
      </c>
      <c r="J1639" s="327">
        <v>1987</v>
      </c>
      <c r="K1639" s="327" t="s">
        <v>783</v>
      </c>
      <c r="L1639" s="327">
        <v>1998</v>
      </c>
      <c r="M1639" s="368">
        <v>-9999</v>
      </c>
      <c r="N1639" s="327">
        <v>-9999</v>
      </c>
      <c r="O1639" s="70">
        <v>1.3698630136986301</v>
      </c>
      <c r="P1639" s="370">
        <f t="shared" si="210"/>
        <v>154.83438356164385</v>
      </c>
      <c r="Q1639" s="327">
        <v>-9999</v>
      </c>
      <c r="R1639" s="368">
        <f t="shared" si="215"/>
        <v>113.02910000000001</v>
      </c>
      <c r="S1639" s="368"/>
      <c r="T1639" s="287">
        <f t="shared" si="211"/>
        <v>14.144767123287671</v>
      </c>
      <c r="U1639" s="413">
        <v>-9999</v>
      </c>
      <c r="V1639" s="368">
        <v>10.32568</v>
      </c>
      <c r="W1639" s="287">
        <f t="shared" si="212"/>
        <v>24.57775342465753</v>
      </c>
      <c r="X1639" s="327">
        <v>-9999</v>
      </c>
      <c r="Y1639" s="368">
        <v>17.941759999999999</v>
      </c>
      <c r="Z1639" s="327" t="s">
        <v>1707</v>
      </c>
      <c r="AA1639" s="327">
        <v>1660</v>
      </c>
      <c r="AB1639" s="327">
        <v>-9999</v>
      </c>
      <c r="AC1639" s="327">
        <f t="shared" si="209"/>
        <v>0.6</v>
      </c>
      <c r="AD1639" s="327">
        <v>0.15</v>
      </c>
      <c r="AE1639" s="328" t="s">
        <v>1970</v>
      </c>
      <c r="AF1639" s="327">
        <v>4</v>
      </c>
      <c r="AG1639" s="327" t="s">
        <v>843</v>
      </c>
      <c r="AH1639" s="327" t="s">
        <v>876</v>
      </c>
      <c r="AI1639" s="327" t="s">
        <v>985</v>
      </c>
      <c r="AJ1639" s="327" t="s">
        <v>892</v>
      </c>
      <c r="AK1639" s="327" t="s">
        <v>966</v>
      </c>
      <c r="AL1639" s="327" t="s">
        <v>828</v>
      </c>
      <c r="AM1639" s="327" t="s">
        <v>871</v>
      </c>
      <c r="AN1639" s="327" t="s">
        <v>631</v>
      </c>
      <c r="AO1639" s="327">
        <v>-9999</v>
      </c>
      <c r="AP1639" s="327">
        <v>-9999</v>
      </c>
      <c r="AQ1639" s="327" t="s">
        <v>626</v>
      </c>
      <c r="AR1639" s="363">
        <f>(56+(168*0.35))+AR1638</f>
        <v>784</v>
      </c>
      <c r="AS1639" s="327" t="s">
        <v>140</v>
      </c>
      <c r="AT1639" s="327" t="s">
        <v>310</v>
      </c>
      <c r="AU1639" s="363">
        <f>+((560*0.1)*0.436)+AU1638</f>
        <v>199.7296</v>
      </c>
      <c r="AV1639" s="327" t="s">
        <v>313</v>
      </c>
      <c r="AW1639" s="327"/>
      <c r="AX1639" s="363">
        <f>+((560*0.1)*0.83)+AX1638</f>
        <v>180.88</v>
      </c>
      <c r="AY1639" s="327" t="s">
        <v>313</v>
      </c>
      <c r="AZ1639" s="327" t="s">
        <v>275</v>
      </c>
      <c r="BA1639" s="327" t="s">
        <v>979</v>
      </c>
      <c r="BB1639" s="327" t="s">
        <v>626</v>
      </c>
      <c r="BC1639" s="327" t="s">
        <v>987</v>
      </c>
      <c r="BD1639" s="327" t="s">
        <v>988</v>
      </c>
      <c r="BE1639" s="327" t="s">
        <v>989</v>
      </c>
      <c r="BF1639" s="327" t="s">
        <v>881</v>
      </c>
      <c r="BG1639" s="327" t="s">
        <v>990</v>
      </c>
      <c r="BH1639" s="327" t="s">
        <v>991</v>
      </c>
      <c r="BI1639" s="327" t="s">
        <v>993</v>
      </c>
      <c r="BJ1639" s="255">
        <v>40</v>
      </c>
      <c r="BK1639" s="327">
        <v>-9999</v>
      </c>
      <c r="BL1639" s="297">
        <v>12.41935</v>
      </c>
      <c r="BM1639" s="327">
        <v>-9999</v>
      </c>
      <c r="BN1639" s="327">
        <v>-9999</v>
      </c>
      <c r="BO1639" s="327">
        <v>-9999</v>
      </c>
      <c r="BP1639" s="327">
        <v>-9999</v>
      </c>
      <c r="BQ1639" s="327">
        <v>-9999</v>
      </c>
      <c r="BR1639" s="327">
        <v>-9999</v>
      </c>
      <c r="BS1639" s="474">
        <v>-9999</v>
      </c>
      <c r="BT1639" s="327">
        <v>-9999</v>
      </c>
      <c r="BU1639" s="327">
        <v>-9999</v>
      </c>
      <c r="BV1639" s="327">
        <v>-9999</v>
      </c>
      <c r="BW1639" s="327"/>
      <c r="BX1639" s="327">
        <v>-9999</v>
      </c>
      <c r="BY1639" s="327">
        <v>-9999</v>
      </c>
      <c r="BZ1639" s="327">
        <v>-9999</v>
      </c>
      <c r="CA1639" s="369">
        <v>-9999</v>
      </c>
      <c r="CB1639" s="475"/>
      <c r="CC1639" s="327">
        <v>1</v>
      </c>
      <c r="CD1639" s="328">
        <v>11</v>
      </c>
      <c r="CE1639" s="342">
        <v>14.144767123287671</v>
      </c>
      <c r="CF1639" s="342">
        <v>24.57775342465753</v>
      </c>
      <c r="CG1639" s="359">
        <v>11</v>
      </c>
    </row>
    <row r="1640" spans="1:86" s="301" customFormat="1" ht="12.75" customHeight="1" x14ac:dyDescent="0.2">
      <c r="A1640" s="327" t="s">
        <v>981</v>
      </c>
      <c r="B1640" s="327" t="s">
        <v>982</v>
      </c>
      <c r="C1640" s="327" t="s">
        <v>998</v>
      </c>
      <c r="D1640" s="327" t="s">
        <v>553</v>
      </c>
      <c r="E1640" s="327" t="s">
        <v>901</v>
      </c>
      <c r="F1640" s="327">
        <v>1</v>
      </c>
      <c r="G1640" s="328">
        <v>12</v>
      </c>
      <c r="H1640" s="328">
        <v>12</v>
      </c>
      <c r="I1640" s="327" t="s">
        <v>783</v>
      </c>
      <c r="J1640" s="327">
        <v>1987</v>
      </c>
      <c r="K1640" s="327" t="s">
        <v>783</v>
      </c>
      <c r="L1640" s="327">
        <v>1999</v>
      </c>
      <c r="M1640" s="368">
        <v>-9999</v>
      </c>
      <c r="N1640" s="327">
        <v>-9999</v>
      </c>
      <c r="O1640" s="70">
        <v>1.3333333333333333</v>
      </c>
      <c r="P1640" s="370">
        <f t="shared" si="210"/>
        <v>175.49002666666667</v>
      </c>
      <c r="Q1640" s="327">
        <v>-9999</v>
      </c>
      <c r="R1640" s="368">
        <f t="shared" si="215"/>
        <v>131.61752000000001</v>
      </c>
      <c r="S1640" s="368"/>
      <c r="T1640" s="287">
        <f t="shared" si="211"/>
        <v>14.62968</v>
      </c>
      <c r="U1640" s="413">
        <v>-9999</v>
      </c>
      <c r="V1640" s="368">
        <f>10.97226</f>
        <v>10.97226</v>
      </c>
      <c r="W1640" s="287">
        <f t="shared" si="212"/>
        <v>24.784559999999999</v>
      </c>
      <c r="X1640" s="327">
        <v>-9999</v>
      </c>
      <c r="Y1640" s="368">
        <f>18.58842</f>
        <v>18.588419999999999</v>
      </c>
      <c r="Z1640" s="327" t="s">
        <v>1707</v>
      </c>
      <c r="AA1640" s="327">
        <v>1660</v>
      </c>
      <c r="AB1640" s="327">
        <v>-9999</v>
      </c>
      <c r="AC1640" s="327">
        <f t="shared" si="209"/>
        <v>0.6</v>
      </c>
      <c r="AD1640" s="327">
        <v>0.15</v>
      </c>
      <c r="AE1640" s="328" t="s">
        <v>1970</v>
      </c>
      <c r="AF1640" s="327">
        <v>4</v>
      </c>
      <c r="AG1640" s="327" t="s">
        <v>843</v>
      </c>
      <c r="AH1640" s="327" t="s">
        <v>876</v>
      </c>
      <c r="AI1640" s="327" t="s">
        <v>985</v>
      </c>
      <c r="AJ1640" s="327" t="s">
        <v>892</v>
      </c>
      <c r="AK1640" s="327" t="s">
        <v>966</v>
      </c>
      <c r="AL1640" s="327" t="s">
        <v>828</v>
      </c>
      <c r="AM1640" s="327" t="s">
        <v>871</v>
      </c>
      <c r="AN1640" s="327" t="s">
        <v>631</v>
      </c>
      <c r="AO1640" s="327">
        <v>-9999</v>
      </c>
      <c r="AP1640" s="327">
        <v>-9999</v>
      </c>
      <c r="AQ1640" s="327" t="s">
        <v>626</v>
      </c>
      <c r="AR1640" s="363">
        <f>(336*0.35)+AR1639</f>
        <v>901.6</v>
      </c>
      <c r="AS1640" s="327" t="s">
        <v>141</v>
      </c>
      <c r="AT1640" s="327" t="s">
        <v>310</v>
      </c>
      <c r="AU1640" s="363">
        <f>0+AU1639</f>
        <v>199.7296</v>
      </c>
      <c r="AV1640" s="327">
        <v>-9999</v>
      </c>
      <c r="AW1640" s="327">
        <v>-9999</v>
      </c>
      <c r="AX1640" s="363">
        <f>0+AX1639</f>
        <v>180.88</v>
      </c>
      <c r="AY1640" s="327">
        <v>-9999</v>
      </c>
      <c r="AZ1640" s="327">
        <v>-9999</v>
      </c>
      <c r="BA1640" s="327">
        <v>-9999</v>
      </c>
      <c r="BB1640" s="327" t="s">
        <v>626</v>
      </c>
      <c r="BC1640" s="327" t="s">
        <v>987</v>
      </c>
      <c r="BD1640" s="327" t="s">
        <v>988</v>
      </c>
      <c r="BE1640" s="327" t="s">
        <v>989</v>
      </c>
      <c r="BF1640" s="327" t="s">
        <v>881</v>
      </c>
      <c r="BG1640" s="327" t="s">
        <v>990</v>
      </c>
      <c r="BH1640" s="327" t="s">
        <v>991</v>
      </c>
      <c r="BI1640" s="327" t="s">
        <v>993</v>
      </c>
      <c r="BJ1640" s="255">
        <v>42</v>
      </c>
      <c r="BK1640" s="327">
        <v>-9999</v>
      </c>
      <c r="BL1640" s="368">
        <v>13.709680000000001</v>
      </c>
      <c r="BM1640" s="327">
        <v>-9999</v>
      </c>
      <c r="BN1640" s="327">
        <v>-9999</v>
      </c>
      <c r="BO1640" s="327">
        <v>-9999</v>
      </c>
      <c r="BP1640" s="327">
        <v>-9999</v>
      </c>
      <c r="BQ1640" s="327">
        <v>-9999</v>
      </c>
      <c r="BR1640" s="327">
        <v>-9999</v>
      </c>
      <c r="BS1640" s="474">
        <v>-9999</v>
      </c>
      <c r="BT1640" s="327">
        <v>-9999</v>
      </c>
      <c r="BU1640" s="327">
        <v>-9999</v>
      </c>
      <c r="BV1640" s="327">
        <v>-9999</v>
      </c>
      <c r="BW1640" s="327"/>
      <c r="BX1640" s="327">
        <v>-9999</v>
      </c>
      <c r="BY1640" s="327">
        <v>-9999</v>
      </c>
      <c r="BZ1640" s="327">
        <v>-9999</v>
      </c>
      <c r="CA1640" s="369">
        <v>-9999</v>
      </c>
      <c r="CB1640" s="475"/>
      <c r="CC1640" s="327">
        <v>1</v>
      </c>
      <c r="CD1640" s="328">
        <v>12</v>
      </c>
      <c r="CE1640" s="342">
        <v>14.62968</v>
      </c>
      <c r="CF1640" s="342">
        <v>24.784559999999999</v>
      </c>
      <c r="CG1640" s="359">
        <v>12</v>
      </c>
    </row>
    <row r="1641" spans="1:86" s="301" customFormat="1" ht="12.75" customHeight="1" x14ac:dyDescent="0.2">
      <c r="A1641" s="327" t="s">
        <v>981</v>
      </c>
      <c r="B1641" s="327" t="s">
        <v>982</v>
      </c>
      <c r="C1641" s="327" t="s">
        <v>998</v>
      </c>
      <c r="D1641" s="327" t="s">
        <v>553</v>
      </c>
      <c r="E1641" s="327" t="s">
        <v>901</v>
      </c>
      <c r="F1641" s="327">
        <v>1</v>
      </c>
      <c r="G1641" s="328">
        <v>13</v>
      </c>
      <c r="H1641" s="328">
        <v>13</v>
      </c>
      <c r="I1641" s="327" t="s">
        <v>783</v>
      </c>
      <c r="J1641" s="327">
        <v>1987</v>
      </c>
      <c r="K1641" s="327" t="s">
        <v>783</v>
      </c>
      <c r="L1641" s="327">
        <v>2000</v>
      </c>
      <c r="M1641" s="368">
        <v>-9999</v>
      </c>
      <c r="N1641" s="327">
        <v>-9999</v>
      </c>
      <c r="O1641" s="70">
        <v>1.3333333333333333</v>
      </c>
      <c r="P1641" s="370">
        <f t="shared" si="210"/>
        <v>195.99729333333335</v>
      </c>
      <c r="Q1641" s="327">
        <v>-9999</v>
      </c>
      <c r="R1641" s="368">
        <f t="shared" si="215"/>
        <v>146.99797000000001</v>
      </c>
      <c r="S1641" s="368"/>
      <c r="T1641" s="287">
        <f t="shared" si="211"/>
        <v>15.05836</v>
      </c>
      <c r="U1641" s="413">
        <v>-9999</v>
      </c>
      <c r="V1641" s="368">
        <v>11.29377</v>
      </c>
      <c r="W1641" s="287">
        <f t="shared" si="212"/>
        <v>20.507266666666666</v>
      </c>
      <c r="X1641" s="327">
        <v>-9999</v>
      </c>
      <c r="Y1641" s="368">
        <v>15.38045</v>
      </c>
      <c r="Z1641" s="327" t="s">
        <v>1707</v>
      </c>
      <c r="AA1641" s="327">
        <v>1660</v>
      </c>
      <c r="AB1641" s="327">
        <v>-9999</v>
      </c>
      <c r="AC1641" s="327">
        <f t="shared" si="209"/>
        <v>0.6</v>
      </c>
      <c r="AD1641" s="327">
        <v>0.15</v>
      </c>
      <c r="AE1641" s="328" t="s">
        <v>1970</v>
      </c>
      <c r="AF1641" s="327">
        <v>4</v>
      </c>
      <c r="AG1641" s="327" t="s">
        <v>843</v>
      </c>
      <c r="AH1641" s="327" t="s">
        <v>876</v>
      </c>
      <c r="AI1641" s="327" t="s">
        <v>985</v>
      </c>
      <c r="AJ1641" s="327" t="s">
        <v>892</v>
      </c>
      <c r="AK1641" s="327" t="s">
        <v>966</v>
      </c>
      <c r="AL1641" s="327" t="s">
        <v>828</v>
      </c>
      <c r="AM1641" s="327" t="s">
        <v>871</v>
      </c>
      <c r="AN1641" s="327" t="s">
        <v>631</v>
      </c>
      <c r="AO1641" s="327">
        <v>-9999</v>
      </c>
      <c r="AP1641" s="327">
        <v>-9999</v>
      </c>
      <c r="AQ1641" s="327" t="s">
        <v>626</v>
      </c>
      <c r="AR1641" s="363">
        <f>(336*0.35)+AR1640</f>
        <v>1019.2</v>
      </c>
      <c r="AS1641" s="327" t="s">
        <v>141</v>
      </c>
      <c r="AT1641" s="327" t="s">
        <v>310</v>
      </c>
      <c r="AU1641" s="363">
        <f>0+AU1640</f>
        <v>199.7296</v>
      </c>
      <c r="AV1641" s="327">
        <v>-9999</v>
      </c>
      <c r="AW1641" s="327">
        <v>-9999</v>
      </c>
      <c r="AX1641" s="363">
        <f>0+AX1640</f>
        <v>180.88</v>
      </c>
      <c r="AY1641" s="327">
        <v>-9999</v>
      </c>
      <c r="AZ1641" s="327">
        <v>-9999</v>
      </c>
      <c r="BA1641" s="327">
        <v>-9999</v>
      </c>
      <c r="BB1641" s="327" t="s">
        <v>626</v>
      </c>
      <c r="BC1641" s="327" t="s">
        <v>987</v>
      </c>
      <c r="BD1641" s="327" t="s">
        <v>988</v>
      </c>
      <c r="BE1641" s="327" t="s">
        <v>989</v>
      </c>
      <c r="BF1641" s="327" t="s">
        <v>881</v>
      </c>
      <c r="BG1641" s="327" t="s">
        <v>990</v>
      </c>
      <c r="BH1641" s="327" t="s">
        <v>991</v>
      </c>
      <c r="BI1641" s="327" t="s">
        <v>993</v>
      </c>
      <c r="BJ1641" s="255">
        <v>44</v>
      </c>
      <c r="BK1641" s="327">
        <v>-9999</v>
      </c>
      <c r="BL1641" s="297">
        <v>14.19355</v>
      </c>
      <c r="BM1641" s="327">
        <v>-9999</v>
      </c>
      <c r="BN1641" s="327">
        <v>-9999</v>
      </c>
      <c r="BO1641" s="327">
        <v>-9999</v>
      </c>
      <c r="BP1641" s="327">
        <v>-9999</v>
      </c>
      <c r="BQ1641" s="327">
        <v>-9999</v>
      </c>
      <c r="BR1641" s="327">
        <v>-9999</v>
      </c>
      <c r="BS1641" s="474">
        <v>-9999</v>
      </c>
      <c r="BT1641" s="327">
        <v>-9999</v>
      </c>
      <c r="BU1641" s="327">
        <v>-9999</v>
      </c>
      <c r="BV1641" s="327">
        <v>-9999</v>
      </c>
      <c r="BW1641" s="327"/>
      <c r="BX1641" s="327">
        <v>-9999</v>
      </c>
      <c r="BY1641" s="327">
        <v>-9999</v>
      </c>
      <c r="BZ1641" s="327">
        <v>-9999</v>
      </c>
      <c r="CA1641" s="369">
        <v>-9999</v>
      </c>
      <c r="CB1641" s="475"/>
      <c r="CC1641" s="327">
        <v>1</v>
      </c>
      <c r="CD1641" s="328">
        <v>13</v>
      </c>
      <c r="CE1641" s="342">
        <v>15.05836</v>
      </c>
      <c r="CF1641" s="342">
        <v>20.507266666666666</v>
      </c>
      <c r="CG1641" s="359">
        <v>13</v>
      </c>
    </row>
    <row r="1642" spans="1:86" s="301" customFormat="1" ht="12.75" customHeight="1" x14ac:dyDescent="0.2">
      <c r="A1642" s="327" t="s">
        <v>981</v>
      </c>
      <c r="B1642" s="327" t="s">
        <v>982</v>
      </c>
      <c r="C1642" s="327" t="s">
        <v>998</v>
      </c>
      <c r="D1642" s="327" t="s">
        <v>553</v>
      </c>
      <c r="E1642" s="327" t="s">
        <v>901</v>
      </c>
      <c r="F1642" s="327">
        <v>1</v>
      </c>
      <c r="G1642" s="328">
        <v>14</v>
      </c>
      <c r="H1642" s="328">
        <v>14</v>
      </c>
      <c r="I1642" s="327" t="s">
        <v>783</v>
      </c>
      <c r="J1642" s="327">
        <v>1987</v>
      </c>
      <c r="K1642" s="327" t="s">
        <v>783</v>
      </c>
      <c r="L1642" s="327">
        <v>2001</v>
      </c>
      <c r="M1642" s="368">
        <v>-9999</v>
      </c>
      <c r="N1642" s="327">
        <v>-9999</v>
      </c>
      <c r="O1642" s="70">
        <v>1.3333333333333333</v>
      </c>
      <c r="P1642" s="370">
        <f t="shared" si="210"/>
        <v>214.3327066666667</v>
      </c>
      <c r="Q1642" s="327">
        <v>-9999</v>
      </c>
      <c r="R1642" s="368">
        <f t="shared" si="215"/>
        <v>160.74953000000002</v>
      </c>
      <c r="S1642" s="368"/>
      <c r="T1642" s="287">
        <f t="shared" si="211"/>
        <v>15.425106666666666</v>
      </c>
      <c r="U1642" s="413">
        <v>-9999</v>
      </c>
      <c r="V1642" s="368">
        <v>11.56883</v>
      </c>
      <c r="W1642" s="287">
        <f t="shared" si="212"/>
        <v>18.335413333333332</v>
      </c>
      <c r="X1642" s="327">
        <v>-9999</v>
      </c>
      <c r="Y1642" s="368">
        <v>13.75156</v>
      </c>
      <c r="Z1642" s="327" t="s">
        <v>1707</v>
      </c>
      <c r="AA1642" s="327">
        <v>1660</v>
      </c>
      <c r="AB1642" s="327">
        <v>-9999</v>
      </c>
      <c r="AC1642" s="327">
        <f t="shared" si="209"/>
        <v>0.6</v>
      </c>
      <c r="AD1642" s="327">
        <v>0.15</v>
      </c>
      <c r="AE1642" s="328" t="s">
        <v>1970</v>
      </c>
      <c r="AF1642" s="327">
        <v>4</v>
      </c>
      <c r="AG1642" s="327" t="s">
        <v>843</v>
      </c>
      <c r="AH1642" s="327" t="s">
        <v>876</v>
      </c>
      <c r="AI1642" s="327" t="s">
        <v>985</v>
      </c>
      <c r="AJ1642" s="327" t="s">
        <v>892</v>
      </c>
      <c r="AK1642" s="327" t="s">
        <v>966</v>
      </c>
      <c r="AL1642" s="327" t="s">
        <v>828</v>
      </c>
      <c r="AM1642" s="327" t="s">
        <v>871</v>
      </c>
      <c r="AN1642" s="327" t="s">
        <v>631</v>
      </c>
      <c r="AO1642" s="327">
        <v>-9999</v>
      </c>
      <c r="AP1642" s="327">
        <v>-9999</v>
      </c>
      <c r="AQ1642" s="327" t="s">
        <v>626</v>
      </c>
      <c r="AR1642" s="363">
        <f>(336*0.35)+AR1641</f>
        <v>1136.8</v>
      </c>
      <c r="AS1642" s="327" t="s">
        <v>141</v>
      </c>
      <c r="AT1642" s="327" t="s">
        <v>310</v>
      </c>
      <c r="AU1642" s="363">
        <f>0+AU1641</f>
        <v>199.7296</v>
      </c>
      <c r="AV1642" s="327">
        <v>-9999</v>
      </c>
      <c r="AW1642" s="327">
        <v>-9999</v>
      </c>
      <c r="AX1642" s="363">
        <f>0+AX1641</f>
        <v>180.88</v>
      </c>
      <c r="AY1642" s="327">
        <v>-9999</v>
      </c>
      <c r="AZ1642" s="327">
        <v>-9999</v>
      </c>
      <c r="BA1642" s="327">
        <v>-9999</v>
      </c>
      <c r="BB1642" s="327" t="s">
        <v>626</v>
      </c>
      <c r="BC1642" s="327" t="s">
        <v>987</v>
      </c>
      <c r="BD1642" s="327" t="s">
        <v>988</v>
      </c>
      <c r="BE1642" s="327" t="s">
        <v>989</v>
      </c>
      <c r="BF1642" s="327" t="s">
        <v>881</v>
      </c>
      <c r="BG1642" s="327" t="s">
        <v>990</v>
      </c>
      <c r="BH1642" s="327" t="s">
        <v>991</v>
      </c>
      <c r="BI1642" s="327" t="s">
        <v>993</v>
      </c>
      <c r="BJ1642" s="255">
        <v>46</v>
      </c>
      <c r="BK1642" s="327">
        <v>-9999</v>
      </c>
      <c r="BL1642" s="297">
        <v>14.838710000000001</v>
      </c>
      <c r="BM1642" s="327">
        <v>-9999</v>
      </c>
      <c r="BN1642" s="327">
        <v>-9999</v>
      </c>
      <c r="BO1642" s="327">
        <v>-9999</v>
      </c>
      <c r="BP1642" s="327">
        <v>-9999</v>
      </c>
      <c r="BQ1642" s="327">
        <v>-9999</v>
      </c>
      <c r="BR1642" s="327">
        <v>-9999</v>
      </c>
      <c r="BS1642" s="474">
        <v>-9999</v>
      </c>
      <c r="BT1642" s="327">
        <v>-9999</v>
      </c>
      <c r="BU1642" s="327">
        <v>-9999</v>
      </c>
      <c r="BV1642" s="327">
        <v>-9999</v>
      </c>
      <c r="BW1642" s="327"/>
      <c r="BX1642" s="327">
        <v>-9999</v>
      </c>
      <c r="BY1642" s="327">
        <v>-9999</v>
      </c>
      <c r="BZ1642" s="327">
        <v>-9999</v>
      </c>
      <c r="CA1642" s="369">
        <v>-9999</v>
      </c>
      <c r="CB1642" s="475"/>
      <c r="CC1642" s="327">
        <v>1</v>
      </c>
      <c r="CD1642" s="328">
        <v>14</v>
      </c>
      <c r="CE1642" s="342">
        <v>15.425106666666666</v>
      </c>
      <c r="CF1642" s="342">
        <v>18.335413333333332</v>
      </c>
      <c r="CG1642" s="359">
        <v>14</v>
      </c>
    </row>
    <row r="1643" spans="1:86" s="13" customFormat="1" ht="12.75" customHeight="1" x14ac:dyDescent="0.2">
      <c r="A1643" s="259" t="s">
        <v>981</v>
      </c>
      <c r="B1643" s="259" t="s">
        <v>982</v>
      </c>
      <c r="C1643" s="259" t="s">
        <v>998</v>
      </c>
      <c r="D1643" s="259" t="s">
        <v>553</v>
      </c>
      <c r="E1643" s="259" t="s">
        <v>901</v>
      </c>
      <c r="F1643" s="259">
        <v>1</v>
      </c>
      <c r="G1643" s="260">
        <v>15</v>
      </c>
      <c r="H1643" s="260">
        <v>15</v>
      </c>
      <c r="I1643" s="259" t="s">
        <v>783</v>
      </c>
      <c r="J1643" s="259">
        <v>1987</v>
      </c>
      <c r="K1643" s="259" t="s">
        <v>783</v>
      </c>
      <c r="L1643" s="259">
        <v>2002</v>
      </c>
      <c r="M1643" s="288">
        <v>-9999</v>
      </c>
      <c r="N1643" s="259">
        <v>-9999</v>
      </c>
      <c r="O1643" s="22">
        <v>1.3333333333333333</v>
      </c>
      <c r="P1643" s="590">
        <f t="shared" si="210"/>
        <v>248.14310666666668</v>
      </c>
      <c r="Q1643" s="259">
        <v>-9999</v>
      </c>
      <c r="R1643" s="288">
        <f t="shared" si="215"/>
        <v>186.10733000000002</v>
      </c>
      <c r="S1643" s="288"/>
      <c r="T1643" s="376">
        <f t="shared" si="211"/>
        <v>16.410959999999999</v>
      </c>
      <c r="U1643" s="630">
        <v>-9999</v>
      </c>
      <c r="V1643" s="288">
        <f>12.30822</f>
        <v>12.30822</v>
      </c>
      <c r="W1643" s="376">
        <f t="shared" si="212"/>
        <v>33.810400000000001</v>
      </c>
      <c r="X1643" s="259">
        <v>-9999</v>
      </c>
      <c r="Y1643" s="288">
        <f>25.3578</f>
        <v>25.357800000000001</v>
      </c>
      <c r="Z1643" s="259" t="s">
        <v>1707</v>
      </c>
      <c r="AA1643" s="260">
        <v>1660</v>
      </c>
      <c r="AB1643" s="590">
        <v>0.85</v>
      </c>
      <c r="AC1643" s="327">
        <f t="shared" si="209"/>
        <v>0.6</v>
      </c>
      <c r="AD1643" s="259">
        <v>0.15</v>
      </c>
      <c r="AE1643" s="260" t="s">
        <v>1970</v>
      </c>
      <c r="AF1643" s="259">
        <v>4</v>
      </c>
      <c r="AG1643" s="259" t="s">
        <v>843</v>
      </c>
      <c r="AH1643" s="259" t="s">
        <v>876</v>
      </c>
      <c r="AI1643" s="259" t="s">
        <v>985</v>
      </c>
      <c r="AJ1643" s="259" t="s">
        <v>892</v>
      </c>
      <c r="AK1643" s="259" t="s">
        <v>966</v>
      </c>
      <c r="AL1643" s="259" t="s">
        <v>828</v>
      </c>
      <c r="AM1643" s="259" t="s">
        <v>871</v>
      </c>
      <c r="AN1643" s="259" t="s">
        <v>631</v>
      </c>
      <c r="AO1643" s="259">
        <v>-9999</v>
      </c>
      <c r="AP1643" s="259">
        <v>-9999</v>
      </c>
      <c r="AQ1643" s="259" t="s">
        <v>626</v>
      </c>
      <c r="AR1643" s="289">
        <f>(336*0.35)+AR1642</f>
        <v>1254.3999999999999</v>
      </c>
      <c r="AS1643" s="259" t="s">
        <v>141</v>
      </c>
      <c r="AT1643" s="259" t="s">
        <v>310</v>
      </c>
      <c r="AU1643" s="289">
        <f>0+AU1642</f>
        <v>199.7296</v>
      </c>
      <c r="AV1643" s="259">
        <v>-9999</v>
      </c>
      <c r="AW1643" s="259">
        <v>-9999</v>
      </c>
      <c r="AX1643" s="289">
        <f>0+AX1642</f>
        <v>180.88</v>
      </c>
      <c r="AY1643" s="259">
        <v>-9999</v>
      </c>
      <c r="AZ1643" s="259">
        <v>-9999</v>
      </c>
      <c r="BA1643" s="259"/>
      <c r="BB1643" s="259" t="s">
        <v>626</v>
      </c>
      <c r="BC1643" s="259" t="s">
        <v>987</v>
      </c>
      <c r="BD1643" s="259" t="s">
        <v>988</v>
      </c>
      <c r="BE1643" s="259" t="s">
        <v>989</v>
      </c>
      <c r="BF1643" s="259" t="s">
        <v>881</v>
      </c>
      <c r="BG1643" s="259" t="s">
        <v>990</v>
      </c>
      <c r="BH1643" s="259" t="s">
        <v>991</v>
      </c>
      <c r="BI1643" s="259" t="s">
        <v>993</v>
      </c>
      <c r="BJ1643" s="259">
        <v>48</v>
      </c>
      <c r="BK1643" s="259">
        <v>-9999</v>
      </c>
      <c r="BL1643" s="288">
        <v>16.048390000000001</v>
      </c>
      <c r="BM1643" s="259">
        <v>-9999</v>
      </c>
      <c r="BN1643" s="259">
        <v>20.399999999999999</v>
      </c>
      <c r="BO1643" s="259">
        <v>-9999</v>
      </c>
      <c r="BP1643" s="259">
        <v>-9999</v>
      </c>
      <c r="BQ1643" s="259">
        <v>-9999</v>
      </c>
      <c r="BR1643" s="259">
        <v>-9999</v>
      </c>
      <c r="BS1643" s="634">
        <v>-9999</v>
      </c>
      <c r="BT1643" s="259">
        <v>-9999</v>
      </c>
      <c r="BU1643" s="259">
        <v>-9999</v>
      </c>
      <c r="BV1643" s="259">
        <v>-9999</v>
      </c>
      <c r="BW1643" s="259"/>
      <c r="BX1643" s="259">
        <v>-9999</v>
      </c>
      <c r="BY1643" s="259">
        <v>-9999</v>
      </c>
      <c r="BZ1643" s="259">
        <v>-9999</v>
      </c>
      <c r="CA1643" s="337">
        <v>-9999</v>
      </c>
      <c r="CB1643" s="592"/>
      <c r="CC1643" s="259">
        <v>1</v>
      </c>
      <c r="CD1643" s="260">
        <v>15</v>
      </c>
      <c r="CE1643" s="393">
        <v>16.410959999999999</v>
      </c>
      <c r="CF1643" s="99">
        <v>33.810400000000001</v>
      </c>
      <c r="CG1643" s="212">
        <v>15</v>
      </c>
      <c r="CH1643" s="436" t="s">
        <v>1757</v>
      </c>
    </row>
    <row r="1644" spans="1:86" s="301" customFormat="1" x14ac:dyDescent="0.2">
      <c r="A1644" s="362"/>
      <c r="B1644" s="362"/>
      <c r="C1644" s="362"/>
      <c r="D1644" s="362"/>
      <c r="E1644" s="362"/>
      <c r="F1644" s="362"/>
      <c r="G1644" s="362"/>
      <c r="H1644" s="362"/>
      <c r="I1644" s="362"/>
      <c r="J1644" s="362"/>
      <c r="K1644" s="362"/>
      <c r="L1644" s="362"/>
      <c r="M1644" s="338"/>
      <c r="N1644" s="362"/>
      <c r="O1644" s="362"/>
      <c r="P1644" s="338"/>
      <c r="Q1644" s="375"/>
      <c r="R1644" s="338"/>
      <c r="S1644" s="375"/>
      <c r="T1644" s="321"/>
      <c r="U1644" s="375"/>
      <c r="V1644" s="375"/>
      <c r="W1644" s="321"/>
      <c r="X1644" s="338"/>
      <c r="Y1644" s="338"/>
      <c r="Z1644" s="362"/>
      <c r="AA1644" s="362"/>
      <c r="AB1644" s="338"/>
      <c r="AC1644" s="102"/>
      <c r="AD1644" s="103"/>
      <c r="AE1644" s="103"/>
      <c r="AF1644" s="362"/>
      <c r="AG1644" s="362"/>
      <c r="AH1644" s="362"/>
      <c r="AI1644" s="362"/>
      <c r="AJ1644" s="362"/>
      <c r="AK1644" s="362"/>
      <c r="AL1644" s="362"/>
      <c r="AM1644" s="362"/>
      <c r="AN1644" s="362"/>
      <c r="AO1644" s="362"/>
      <c r="AP1644" s="362"/>
      <c r="AQ1644" s="362"/>
      <c r="AR1644" s="362"/>
      <c r="AS1644" s="362"/>
      <c r="AT1644" s="362"/>
      <c r="AU1644" s="362"/>
      <c r="AV1644" s="362"/>
      <c r="AW1644" s="362"/>
      <c r="AX1644" s="362"/>
      <c r="AY1644" s="362"/>
      <c r="AZ1644" s="362"/>
      <c r="BA1644" s="362"/>
      <c r="BB1644" s="362"/>
      <c r="BC1644" s="362"/>
      <c r="BD1644" s="362"/>
      <c r="BE1644" s="362"/>
      <c r="BF1644" s="362"/>
      <c r="BG1644" s="362"/>
      <c r="BH1644" s="362"/>
      <c r="BI1644" s="362"/>
      <c r="BJ1644" s="362"/>
      <c r="BK1644" s="362"/>
      <c r="BL1644" s="362"/>
      <c r="BM1644" s="362"/>
      <c r="BN1644" s="362"/>
      <c r="BO1644" s="362"/>
      <c r="BP1644" s="362"/>
      <c r="BQ1644" s="362"/>
      <c r="BR1644" s="362"/>
      <c r="BS1644" s="364"/>
      <c r="BT1644" s="362"/>
      <c r="BU1644" s="362"/>
      <c r="BV1644" s="362"/>
      <c r="BW1644" s="362"/>
      <c r="BX1644" s="362"/>
      <c r="BY1644" s="362"/>
      <c r="BZ1644" s="362"/>
      <c r="CA1644" s="365"/>
      <c r="CC1644" s="362"/>
      <c r="CD1644" s="362"/>
      <c r="CE1644" s="342" t="s">
        <v>1576</v>
      </c>
      <c r="CF1644" s="342" t="s">
        <v>1575</v>
      </c>
      <c r="CG1644" s="362"/>
    </row>
    <row r="1645" spans="1:86" s="301" customFormat="1" x14ac:dyDescent="0.2">
      <c r="A1645" s="327" t="s">
        <v>1012</v>
      </c>
      <c r="B1645" s="327" t="s">
        <v>1013</v>
      </c>
      <c r="C1645" s="327" t="s">
        <v>1014</v>
      </c>
      <c r="D1645" s="327" t="s">
        <v>553</v>
      </c>
      <c r="E1645" s="327" t="s">
        <v>901</v>
      </c>
      <c r="F1645" s="327">
        <v>1</v>
      </c>
      <c r="G1645" s="327">
        <v>4</v>
      </c>
      <c r="H1645" s="328">
        <v>4</v>
      </c>
      <c r="I1645" s="327" t="s">
        <v>856</v>
      </c>
      <c r="J1645" s="327">
        <v>1983</v>
      </c>
      <c r="K1645" s="265" t="s">
        <v>1211</v>
      </c>
      <c r="L1645" s="265">
        <v>1986</v>
      </c>
      <c r="M1645" s="368">
        <v>-9999</v>
      </c>
      <c r="N1645" s="327">
        <v>-9999</v>
      </c>
      <c r="O1645" s="323"/>
      <c r="P1645" s="368">
        <v>33.554000000000002</v>
      </c>
      <c r="Q1645" s="327">
        <v>-9999</v>
      </c>
      <c r="R1645" s="368">
        <v>-9999</v>
      </c>
      <c r="S1645" s="327">
        <v>-9999</v>
      </c>
      <c r="T1645" s="370">
        <f t="shared" ref="T1645:T1650" si="217">+P1645/G1645</f>
        <v>8.3885000000000005</v>
      </c>
      <c r="U1645" s="327">
        <v>-9999</v>
      </c>
      <c r="V1645" s="327">
        <v>-9999</v>
      </c>
      <c r="W1645" s="368">
        <v>-9999</v>
      </c>
      <c r="X1645" s="327">
        <v>-9999</v>
      </c>
      <c r="Y1645" s="327">
        <v>-9999</v>
      </c>
      <c r="Z1645" s="327" t="s">
        <v>1015</v>
      </c>
      <c r="AA1645" s="327">
        <v>1495</v>
      </c>
      <c r="AB1645" s="368">
        <v>-9999</v>
      </c>
      <c r="AC1645" s="327">
        <v>-9999</v>
      </c>
      <c r="AD1645" s="327">
        <v>820</v>
      </c>
      <c r="AE1645" s="327" t="s">
        <v>281</v>
      </c>
      <c r="AF1645" s="327">
        <v>3</v>
      </c>
      <c r="AG1645" s="327" t="s">
        <v>843</v>
      </c>
      <c r="AH1645" s="327" t="s">
        <v>876</v>
      </c>
      <c r="AI1645" s="327" t="s">
        <v>886</v>
      </c>
      <c r="AJ1645" s="327" t="s">
        <v>892</v>
      </c>
      <c r="AK1645" s="327" t="s">
        <v>965</v>
      </c>
      <c r="AL1645" s="327" t="s">
        <v>828</v>
      </c>
      <c r="AM1645" s="327" t="s">
        <v>871</v>
      </c>
      <c r="AN1645" s="327" t="s">
        <v>631</v>
      </c>
      <c r="AO1645" s="327">
        <v>-9999</v>
      </c>
      <c r="AP1645" s="327">
        <v>-9999</v>
      </c>
      <c r="AQ1645" s="327" t="s">
        <v>626</v>
      </c>
      <c r="AR1645" s="363">
        <f>36*4</f>
        <v>144</v>
      </c>
      <c r="AS1645" s="327" t="s">
        <v>144</v>
      </c>
      <c r="AT1645" s="327" t="s">
        <v>149</v>
      </c>
      <c r="AU1645" s="363">
        <f>14.3*4</f>
        <v>57.2</v>
      </c>
      <c r="AV1645" s="327" t="s">
        <v>143</v>
      </c>
      <c r="AW1645" s="327" t="s">
        <v>149</v>
      </c>
      <c r="AX1645" s="363">
        <f>31.7*4</f>
        <v>126.8</v>
      </c>
      <c r="AY1645" s="327" t="s">
        <v>145</v>
      </c>
      <c r="AZ1645" s="327" t="s">
        <v>149</v>
      </c>
      <c r="BA1645" s="327" t="s">
        <v>314</v>
      </c>
      <c r="BB1645" s="327" t="s">
        <v>626</v>
      </c>
      <c r="BC1645" s="327" t="s">
        <v>315</v>
      </c>
      <c r="BD1645" s="327"/>
      <c r="BE1645" s="327"/>
      <c r="BF1645" s="327"/>
      <c r="BG1645" s="327"/>
      <c r="BH1645" s="327"/>
      <c r="BI1645" s="327" t="s">
        <v>316</v>
      </c>
      <c r="BJ1645" s="327">
        <v>10.4</v>
      </c>
      <c r="BK1645" s="327">
        <v>-9999</v>
      </c>
      <c r="BL1645" s="327">
        <v>-9999</v>
      </c>
      <c r="BM1645" s="327">
        <v>-9999</v>
      </c>
      <c r="BN1645" s="327">
        <v>-9999</v>
      </c>
      <c r="BO1645" s="327">
        <v>-9999</v>
      </c>
      <c r="BP1645" s="327">
        <v>-9999</v>
      </c>
      <c r="BQ1645" s="327">
        <v>-9999</v>
      </c>
      <c r="BR1645" s="327">
        <v>-9999</v>
      </c>
      <c r="BS1645" s="474">
        <v>-9999</v>
      </c>
      <c r="BT1645" s="327">
        <v>-9999</v>
      </c>
      <c r="BU1645" s="327">
        <v>-9999</v>
      </c>
      <c r="BV1645" s="327">
        <v>-9999</v>
      </c>
      <c r="BW1645" s="327"/>
      <c r="BX1645" s="327">
        <v>-9999</v>
      </c>
      <c r="BY1645" s="327">
        <v>-9999</v>
      </c>
      <c r="BZ1645" s="327">
        <v>-9999</v>
      </c>
      <c r="CA1645" s="369">
        <v>-9999</v>
      </c>
      <c r="CB1645" s="475"/>
      <c r="CC1645" s="327">
        <v>1</v>
      </c>
      <c r="CD1645" s="327">
        <v>4</v>
      </c>
      <c r="CE1645" s="342">
        <v>8.3885000000000005</v>
      </c>
      <c r="CF1645" s="342">
        <v>8.3885000000000005</v>
      </c>
      <c r="CG1645" s="347">
        <v>4</v>
      </c>
    </row>
    <row r="1646" spans="1:86" s="301" customFormat="1" x14ac:dyDescent="0.2">
      <c r="A1646" s="327" t="s">
        <v>1012</v>
      </c>
      <c r="B1646" s="327" t="s">
        <v>1013</v>
      </c>
      <c r="C1646" s="327" t="s">
        <v>1014</v>
      </c>
      <c r="D1646" s="327" t="s">
        <v>553</v>
      </c>
      <c r="E1646" s="327" t="s">
        <v>901</v>
      </c>
      <c r="F1646" s="327">
        <v>1</v>
      </c>
      <c r="G1646" s="327">
        <v>6</v>
      </c>
      <c r="H1646" s="328">
        <v>6</v>
      </c>
      <c r="I1646" s="327" t="s">
        <v>856</v>
      </c>
      <c r="J1646" s="327">
        <v>1983</v>
      </c>
      <c r="K1646" s="265" t="s">
        <v>1211</v>
      </c>
      <c r="L1646" s="265">
        <v>1988</v>
      </c>
      <c r="M1646" s="368">
        <v>-9999</v>
      </c>
      <c r="N1646" s="327">
        <v>-9999</v>
      </c>
      <c r="O1646" s="323"/>
      <c r="P1646" s="368">
        <v>53.8613</v>
      </c>
      <c r="Q1646" s="327">
        <v>-9999</v>
      </c>
      <c r="R1646" s="368">
        <v>-9999</v>
      </c>
      <c r="S1646" s="327">
        <v>-9999</v>
      </c>
      <c r="T1646" s="370">
        <f t="shared" si="217"/>
        <v>8.9768833333333333</v>
      </c>
      <c r="U1646" s="327">
        <v>-9999</v>
      </c>
      <c r="V1646" s="327">
        <v>-9999</v>
      </c>
      <c r="W1646" s="368">
        <f>+(P1646-P1645)/2</f>
        <v>10.153649999999999</v>
      </c>
      <c r="X1646" s="327">
        <v>-9999</v>
      </c>
      <c r="Y1646" s="327">
        <v>-9999</v>
      </c>
      <c r="Z1646" s="327" t="s">
        <v>1015</v>
      </c>
      <c r="AA1646" s="327">
        <v>1495</v>
      </c>
      <c r="AB1646" s="368">
        <v>-9999</v>
      </c>
      <c r="AC1646" s="327">
        <v>-9999</v>
      </c>
      <c r="AD1646" s="327">
        <v>820</v>
      </c>
      <c r="AE1646" s="327" t="s">
        <v>281</v>
      </c>
      <c r="AF1646" s="327">
        <v>3</v>
      </c>
      <c r="AG1646" s="327" t="s">
        <v>843</v>
      </c>
      <c r="AH1646" s="327" t="s">
        <v>876</v>
      </c>
      <c r="AI1646" s="327" t="s">
        <v>886</v>
      </c>
      <c r="AJ1646" s="327" t="s">
        <v>892</v>
      </c>
      <c r="AK1646" s="327" t="s">
        <v>965</v>
      </c>
      <c r="AL1646" s="327" t="s">
        <v>828</v>
      </c>
      <c r="AM1646" s="327" t="s">
        <v>871</v>
      </c>
      <c r="AN1646" s="327" t="s">
        <v>631</v>
      </c>
      <c r="AO1646" s="327">
        <v>-9999</v>
      </c>
      <c r="AP1646" s="327">
        <v>-9999</v>
      </c>
      <c r="AQ1646" s="327" t="s">
        <v>626</v>
      </c>
      <c r="AR1646" s="363">
        <f>36*6</f>
        <v>216</v>
      </c>
      <c r="AS1646" s="327" t="s">
        <v>146</v>
      </c>
      <c r="AT1646" s="327" t="s">
        <v>149</v>
      </c>
      <c r="AU1646" s="363">
        <f>14.3*6</f>
        <v>85.800000000000011</v>
      </c>
      <c r="AV1646" s="327" t="s">
        <v>143</v>
      </c>
      <c r="AW1646" s="327" t="s">
        <v>149</v>
      </c>
      <c r="AX1646" s="363">
        <f>31.7*6</f>
        <v>190.2</v>
      </c>
      <c r="AY1646" s="327" t="s">
        <v>145</v>
      </c>
      <c r="AZ1646" s="327" t="s">
        <v>149</v>
      </c>
      <c r="BA1646" s="327" t="s">
        <v>314</v>
      </c>
      <c r="BB1646" s="327" t="s">
        <v>626</v>
      </c>
      <c r="BC1646" s="327" t="s">
        <v>315</v>
      </c>
      <c r="BD1646" s="327"/>
      <c r="BE1646" s="327"/>
      <c r="BF1646" s="327"/>
      <c r="BG1646" s="327"/>
      <c r="BH1646" s="327"/>
      <c r="BI1646" s="327" t="s">
        <v>316</v>
      </c>
      <c r="BJ1646" s="327">
        <v>19.399999999999999</v>
      </c>
      <c r="BK1646" s="327">
        <v>-9999</v>
      </c>
      <c r="BL1646" s="327">
        <v>-9999</v>
      </c>
      <c r="BM1646" s="327">
        <v>-9999</v>
      </c>
      <c r="BN1646" s="327">
        <v>-9999</v>
      </c>
      <c r="BO1646" s="327">
        <v>-9999</v>
      </c>
      <c r="BP1646" s="327">
        <v>-9999</v>
      </c>
      <c r="BQ1646" s="327">
        <v>-9999</v>
      </c>
      <c r="BR1646" s="327">
        <v>-9999</v>
      </c>
      <c r="BS1646" s="474">
        <v>-9999</v>
      </c>
      <c r="BT1646" s="327">
        <v>-9999</v>
      </c>
      <c r="BU1646" s="327">
        <v>-9999</v>
      </c>
      <c r="BV1646" s="327">
        <v>-9999</v>
      </c>
      <c r="BW1646" s="327"/>
      <c r="BX1646" s="327">
        <v>-9999</v>
      </c>
      <c r="BY1646" s="327">
        <v>-9999</v>
      </c>
      <c r="BZ1646" s="327">
        <v>-9999</v>
      </c>
      <c r="CA1646" s="369">
        <v>-9999</v>
      </c>
      <c r="CB1646" s="475"/>
      <c r="CC1646" s="327">
        <v>1</v>
      </c>
      <c r="CD1646" s="327">
        <v>6</v>
      </c>
      <c r="CE1646" s="342">
        <v>8.9768833333333333</v>
      </c>
      <c r="CF1646" s="342">
        <v>10.153649999999999</v>
      </c>
      <c r="CG1646" s="347">
        <v>6</v>
      </c>
    </row>
    <row r="1647" spans="1:86" s="301" customFormat="1" x14ac:dyDescent="0.2">
      <c r="A1647" s="327" t="s">
        <v>1012</v>
      </c>
      <c r="B1647" s="327" t="s">
        <v>1013</v>
      </c>
      <c r="C1647" s="327" t="s">
        <v>1014</v>
      </c>
      <c r="D1647" s="327" t="s">
        <v>553</v>
      </c>
      <c r="E1647" s="327" t="s">
        <v>901</v>
      </c>
      <c r="F1647" s="327">
        <v>1</v>
      </c>
      <c r="G1647" s="327">
        <v>9</v>
      </c>
      <c r="H1647" s="328">
        <v>9</v>
      </c>
      <c r="I1647" s="327" t="s">
        <v>856</v>
      </c>
      <c r="J1647" s="327">
        <v>1983</v>
      </c>
      <c r="K1647" s="265" t="s">
        <v>1211</v>
      </c>
      <c r="L1647" s="265">
        <v>1991</v>
      </c>
      <c r="M1647" s="368">
        <v>-9999</v>
      </c>
      <c r="N1647" s="327">
        <v>-9999</v>
      </c>
      <c r="O1647" s="323"/>
      <c r="P1647" s="368">
        <v>102.98399999999999</v>
      </c>
      <c r="Q1647" s="327">
        <v>-9999</v>
      </c>
      <c r="R1647" s="368">
        <v>-9999</v>
      </c>
      <c r="S1647" s="327">
        <v>-9999</v>
      </c>
      <c r="T1647" s="370">
        <f t="shared" si="217"/>
        <v>11.442666666666666</v>
      </c>
      <c r="U1647" s="327">
        <v>-9999</v>
      </c>
      <c r="V1647" s="327">
        <v>-9999</v>
      </c>
      <c r="W1647" s="368">
        <f>+(P1647-P1646)/3</f>
        <v>16.374233333333333</v>
      </c>
      <c r="X1647" s="327">
        <v>-9999</v>
      </c>
      <c r="Y1647" s="327">
        <v>-9999</v>
      </c>
      <c r="Z1647" s="327" t="s">
        <v>1015</v>
      </c>
      <c r="AA1647" s="327">
        <v>1495</v>
      </c>
      <c r="AB1647" s="368">
        <v>-9999</v>
      </c>
      <c r="AC1647" s="327">
        <v>-9999</v>
      </c>
      <c r="AD1647" s="327">
        <v>820</v>
      </c>
      <c r="AE1647" s="327" t="s">
        <v>281</v>
      </c>
      <c r="AF1647" s="327">
        <v>3</v>
      </c>
      <c r="AG1647" s="327" t="s">
        <v>843</v>
      </c>
      <c r="AH1647" s="327" t="s">
        <v>876</v>
      </c>
      <c r="AI1647" s="327" t="s">
        <v>886</v>
      </c>
      <c r="AJ1647" s="327" t="s">
        <v>892</v>
      </c>
      <c r="AK1647" s="327" t="s">
        <v>965</v>
      </c>
      <c r="AL1647" s="327" t="s">
        <v>828</v>
      </c>
      <c r="AM1647" s="327" t="s">
        <v>871</v>
      </c>
      <c r="AN1647" s="327" t="s">
        <v>631</v>
      </c>
      <c r="AO1647" s="327">
        <v>-9999</v>
      </c>
      <c r="AP1647" s="327">
        <v>-9999</v>
      </c>
      <c r="AQ1647" s="327" t="s">
        <v>626</v>
      </c>
      <c r="AR1647" s="363">
        <f>36*9</f>
        <v>324</v>
      </c>
      <c r="AS1647" s="327" t="s">
        <v>144</v>
      </c>
      <c r="AT1647" s="327" t="s">
        <v>149</v>
      </c>
      <c r="AU1647" s="363">
        <f>14.3*9</f>
        <v>128.70000000000002</v>
      </c>
      <c r="AV1647" s="327" t="s">
        <v>143</v>
      </c>
      <c r="AW1647" s="327" t="s">
        <v>149</v>
      </c>
      <c r="AX1647" s="363">
        <f>31.7*9</f>
        <v>285.3</v>
      </c>
      <c r="AY1647" s="327" t="s">
        <v>145</v>
      </c>
      <c r="AZ1647" s="327" t="s">
        <v>149</v>
      </c>
      <c r="BA1647" s="327" t="s">
        <v>314</v>
      </c>
      <c r="BB1647" s="327" t="s">
        <v>626</v>
      </c>
      <c r="BC1647" s="327" t="s">
        <v>315</v>
      </c>
      <c r="BD1647" s="327"/>
      <c r="BE1647" s="327"/>
      <c r="BF1647" s="327"/>
      <c r="BG1647" s="327"/>
      <c r="BH1647" s="327"/>
      <c r="BI1647" s="327" t="s">
        <v>316</v>
      </c>
      <c r="BJ1647" s="327">
        <v>29.9</v>
      </c>
      <c r="BK1647" s="327">
        <v>-9999</v>
      </c>
      <c r="BL1647" s="327">
        <v>-9999</v>
      </c>
      <c r="BM1647" s="327">
        <v>-9999</v>
      </c>
      <c r="BN1647" s="327">
        <v>-9999</v>
      </c>
      <c r="BO1647" s="327">
        <v>-9999</v>
      </c>
      <c r="BP1647" s="327">
        <v>-9999</v>
      </c>
      <c r="BQ1647" s="327">
        <v>-9999</v>
      </c>
      <c r="BR1647" s="327">
        <v>-9999</v>
      </c>
      <c r="BS1647" s="474">
        <v>-9999</v>
      </c>
      <c r="BT1647" s="327">
        <v>-9999</v>
      </c>
      <c r="BU1647" s="327">
        <v>-9999</v>
      </c>
      <c r="BV1647" s="327">
        <v>-9999</v>
      </c>
      <c r="BW1647" s="327"/>
      <c r="BX1647" s="327">
        <v>-9999</v>
      </c>
      <c r="BY1647" s="327">
        <v>-9999</v>
      </c>
      <c r="BZ1647" s="327">
        <v>-9999</v>
      </c>
      <c r="CA1647" s="369">
        <v>-9999</v>
      </c>
      <c r="CB1647" s="475"/>
      <c r="CC1647" s="327">
        <v>1</v>
      </c>
      <c r="CD1647" s="327">
        <v>9</v>
      </c>
      <c r="CE1647" s="342">
        <v>11.442666666666666</v>
      </c>
      <c r="CF1647" s="342">
        <v>16.374233333333333</v>
      </c>
      <c r="CG1647" s="347">
        <v>9</v>
      </c>
    </row>
    <row r="1648" spans="1:86" s="13" customFormat="1" x14ac:dyDescent="0.2">
      <c r="A1648" s="259" t="s">
        <v>1012</v>
      </c>
      <c r="B1648" s="259" t="s">
        <v>1013</v>
      </c>
      <c r="C1648" s="259" t="s">
        <v>1014</v>
      </c>
      <c r="D1648" s="259" t="s">
        <v>553</v>
      </c>
      <c r="E1648" s="259" t="s">
        <v>901</v>
      </c>
      <c r="F1648" s="259">
        <v>1</v>
      </c>
      <c r="G1648" s="259">
        <v>11</v>
      </c>
      <c r="H1648" s="260">
        <v>11</v>
      </c>
      <c r="I1648" s="259" t="s">
        <v>856</v>
      </c>
      <c r="J1648" s="259">
        <v>1983</v>
      </c>
      <c r="K1648" s="266" t="s">
        <v>1211</v>
      </c>
      <c r="L1648" s="266">
        <v>1993</v>
      </c>
      <c r="M1648" s="288">
        <v>-9999</v>
      </c>
      <c r="N1648" s="259">
        <v>-9999</v>
      </c>
      <c r="O1648" s="18"/>
      <c r="P1648" s="288">
        <v>134.12700000000001</v>
      </c>
      <c r="Q1648" s="259">
        <v>-9999</v>
      </c>
      <c r="R1648" s="288">
        <v>-9999</v>
      </c>
      <c r="S1648" s="259">
        <v>-9999</v>
      </c>
      <c r="T1648" s="590">
        <f t="shared" si="217"/>
        <v>12.193363636363637</v>
      </c>
      <c r="U1648" s="259">
        <v>-9999</v>
      </c>
      <c r="V1648" s="259">
        <v>-9999</v>
      </c>
      <c r="W1648" s="288">
        <f>+(P1648-P1647)/2</f>
        <v>15.571500000000007</v>
      </c>
      <c r="X1648" s="259">
        <v>-9999</v>
      </c>
      <c r="Y1648" s="259">
        <v>-9999</v>
      </c>
      <c r="Z1648" s="259" t="s">
        <v>1015</v>
      </c>
      <c r="AA1648" s="259">
        <v>1495</v>
      </c>
      <c r="AB1648" s="288">
        <v>-9999</v>
      </c>
      <c r="AC1648" s="259">
        <v>-9999</v>
      </c>
      <c r="AD1648" s="259">
        <v>820</v>
      </c>
      <c r="AE1648" s="259" t="s">
        <v>281</v>
      </c>
      <c r="AF1648" s="259">
        <v>3</v>
      </c>
      <c r="AG1648" s="259" t="s">
        <v>843</v>
      </c>
      <c r="AH1648" s="259" t="s">
        <v>876</v>
      </c>
      <c r="AI1648" s="259" t="s">
        <v>886</v>
      </c>
      <c r="AJ1648" s="259" t="s">
        <v>892</v>
      </c>
      <c r="AK1648" s="259" t="s">
        <v>965</v>
      </c>
      <c r="AL1648" s="259" t="s">
        <v>828</v>
      </c>
      <c r="AM1648" s="259" t="s">
        <v>871</v>
      </c>
      <c r="AN1648" s="259" t="s">
        <v>631</v>
      </c>
      <c r="AO1648" s="259">
        <v>-9999</v>
      </c>
      <c r="AP1648" s="259">
        <v>-9999</v>
      </c>
      <c r="AQ1648" s="259" t="s">
        <v>626</v>
      </c>
      <c r="AR1648" s="289">
        <f>36*10</f>
        <v>360</v>
      </c>
      <c r="AS1648" s="259" t="s">
        <v>144</v>
      </c>
      <c r="AT1648" s="259" t="s">
        <v>149</v>
      </c>
      <c r="AU1648" s="289">
        <f>14.3*10</f>
        <v>143</v>
      </c>
      <c r="AV1648" s="259" t="s">
        <v>143</v>
      </c>
      <c r="AW1648" s="259" t="s">
        <v>149</v>
      </c>
      <c r="AX1648" s="289">
        <f>31.7*10</f>
        <v>317</v>
      </c>
      <c r="AY1648" s="259" t="s">
        <v>145</v>
      </c>
      <c r="AZ1648" s="259" t="s">
        <v>149</v>
      </c>
      <c r="BA1648" s="259" t="s">
        <v>314</v>
      </c>
      <c r="BB1648" s="259" t="s">
        <v>626</v>
      </c>
      <c r="BC1648" s="259" t="s">
        <v>315</v>
      </c>
      <c r="BD1648" s="259"/>
      <c r="BE1648" s="259"/>
      <c r="BF1648" s="259"/>
      <c r="BG1648" s="259"/>
      <c r="BH1648" s="259"/>
      <c r="BI1648" s="259" t="s">
        <v>316</v>
      </c>
      <c r="BJ1648" s="259">
        <v>36.6</v>
      </c>
      <c r="BK1648" s="259">
        <v>-9999</v>
      </c>
      <c r="BL1648" s="259">
        <v>-9999</v>
      </c>
      <c r="BM1648" s="259">
        <v>-9999</v>
      </c>
      <c r="BN1648" s="259">
        <v>-9999</v>
      </c>
      <c r="BO1648" s="259">
        <v>-9999</v>
      </c>
      <c r="BP1648" s="259">
        <v>-9999</v>
      </c>
      <c r="BQ1648" s="259">
        <v>-9999</v>
      </c>
      <c r="BR1648" s="259">
        <v>-9999</v>
      </c>
      <c r="BS1648" s="634">
        <v>-9999</v>
      </c>
      <c r="BT1648" s="259">
        <v>-9999</v>
      </c>
      <c r="BU1648" s="259">
        <v>-9999</v>
      </c>
      <c r="BV1648" s="259">
        <v>-9999</v>
      </c>
      <c r="BW1648" s="259"/>
      <c r="BX1648" s="259">
        <v>-9999</v>
      </c>
      <c r="BY1648" s="259">
        <v>-9999</v>
      </c>
      <c r="BZ1648" s="259">
        <v>-9999</v>
      </c>
      <c r="CA1648" s="337">
        <v>-9999</v>
      </c>
      <c r="CB1648" s="592"/>
      <c r="CC1648" s="259">
        <v>1</v>
      </c>
      <c r="CD1648" s="259">
        <v>11</v>
      </c>
      <c r="CE1648" s="395">
        <v>12.193363636363637</v>
      </c>
      <c r="CF1648" s="99">
        <v>15.571500000000007</v>
      </c>
      <c r="CG1648" s="212">
        <v>11</v>
      </c>
      <c r="CH1648" s="437" t="s">
        <v>1757</v>
      </c>
    </row>
    <row r="1649" spans="1:86" s="301" customFormat="1" x14ac:dyDescent="0.2">
      <c r="A1649" s="327" t="s">
        <v>1012</v>
      </c>
      <c r="B1649" s="327" t="s">
        <v>1013</v>
      </c>
      <c r="C1649" s="327" t="s">
        <v>1014</v>
      </c>
      <c r="D1649" s="327" t="s">
        <v>553</v>
      </c>
      <c r="E1649" s="327" t="s">
        <v>901</v>
      </c>
      <c r="F1649" s="327">
        <v>1</v>
      </c>
      <c r="G1649" s="327">
        <v>13</v>
      </c>
      <c r="H1649" s="328">
        <v>13</v>
      </c>
      <c r="I1649" s="327" t="s">
        <v>856</v>
      </c>
      <c r="J1649" s="327">
        <v>1983</v>
      </c>
      <c r="K1649" s="265" t="s">
        <v>1211</v>
      </c>
      <c r="L1649" s="265">
        <v>1995</v>
      </c>
      <c r="M1649" s="368">
        <v>-9999</v>
      </c>
      <c r="N1649" s="327">
        <v>-9999</v>
      </c>
      <c r="O1649" s="323"/>
      <c r="P1649" s="368">
        <v>155.19999999999999</v>
      </c>
      <c r="Q1649" s="327">
        <v>19.8</v>
      </c>
      <c r="R1649" s="368">
        <v>103</v>
      </c>
      <c r="S1649" s="327">
        <v>14.1</v>
      </c>
      <c r="T1649" s="370">
        <f t="shared" si="217"/>
        <v>11.938461538461537</v>
      </c>
      <c r="U1649" s="327">
        <v>-9999</v>
      </c>
      <c r="V1649" s="287">
        <f>+R1649/G1649</f>
        <v>7.9230769230769234</v>
      </c>
      <c r="W1649" s="368">
        <f>+(P1649-P1648)/2</f>
        <v>10.53649999999999</v>
      </c>
      <c r="X1649" s="327">
        <v>-9999</v>
      </c>
      <c r="Y1649" s="327">
        <v>-9999</v>
      </c>
      <c r="Z1649" s="327" t="s">
        <v>1015</v>
      </c>
      <c r="AA1649" s="327">
        <v>1495</v>
      </c>
      <c r="AB1649" s="368">
        <v>-9999</v>
      </c>
      <c r="AC1649" s="327">
        <v>-9999</v>
      </c>
      <c r="AD1649" s="327">
        <v>820</v>
      </c>
      <c r="AE1649" s="327" t="s">
        <v>281</v>
      </c>
      <c r="AF1649" s="327">
        <v>3</v>
      </c>
      <c r="AG1649" s="327" t="s">
        <v>843</v>
      </c>
      <c r="AH1649" s="327" t="s">
        <v>876</v>
      </c>
      <c r="AI1649" s="327" t="s">
        <v>886</v>
      </c>
      <c r="AJ1649" s="327" t="s">
        <v>892</v>
      </c>
      <c r="AK1649" s="327" t="s">
        <v>965</v>
      </c>
      <c r="AL1649" s="327" t="s">
        <v>828</v>
      </c>
      <c r="AM1649" s="327" t="s">
        <v>871</v>
      </c>
      <c r="AN1649" s="327" t="s">
        <v>631</v>
      </c>
      <c r="AO1649" s="327">
        <v>-9999</v>
      </c>
      <c r="AP1649" s="327">
        <v>-9999</v>
      </c>
      <c r="AQ1649" s="327" t="s">
        <v>626</v>
      </c>
      <c r="AR1649" s="363">
        <f>36*10</f>
        <v>360</v>
      </c>
      <c r="AS1649" s="327" t="s">
        <v>144</v>
      </c>
      <c r="AT1649" s="327" t="s">
        <v>149</v>
      </c>
      <c r="AU1649" s="363">
        <f>14.3*10</f>
        <v>143</v>
      </c>
      <c r="AV1649" s="327" t="s">
        <v>143</v>
      </c>
      <c r="AW1649" s="327" t="s">
        <v>149</v>
      </c>
      <c r="AX1649" s="363">
        <f>31.7*10</f>
        <v>317</v>
      </c>
      <c r="AY1649" s="327" t="s">
        <v>145</v>
      </c>
      <c r="AZ1649" s="327" t="s">
        <v>149</v>
      </c>
      <c r="BA1649" s="327" t="s">
        <v>314</v>
      </c>
      <c r="BB1649" s="327" t="s">
        <v>626</v>
      </c>
      <c r="BC1649" s="327" t="s">
        <v>315</v>
      </c>
      <c r="BD1649" s="327"/>
      <c r="BE1649" s="327"/>
      <c r="BF1649" s="327"/>
      <c r="BG1649" s="327"/>
      <c r="BH1649" s="327"/>
      <c r="BI1649" s="327" t="s">
        <v>316</v>
      </c>
      <c r="BJ1649" s="327">
        <v>40.9</v>
      </c>
      <c r="BK1649" s="327">
        <v>-9999</v>
      </c>
      <c r="BL1649" s="327">
        <v>-9999</v>
      </c>
      <c r="BM1649" s="327">
        <v>-9999</v>
      </c>
      <c r="BN1649" s="327">
        <v>-9999</v>
      </c>
      <c r="BO1649" s="327">
        <v>-9999</v>
      </c>
      <c r="BP1649" s="327">
        <v>-9999</v>
      </c>
      <c r="BQ1649" s="327">
        <v>-9999</v>
      </c>
      <c r="BR1649" s="327">
        <v>-9999</v>
      </c>
      <c r="BS1649" s="474">
        <v>-9999</v>
      </c>
      <c r="BT1649" s="327">
        <v>-9999</v>
      </c>
      <c r="BU1649" s="327">
        <v>-9999</v>
      </c>
      <c r="BV1649" s="327">
        <v>-9999</v>
      </c>
      <c r="BW1649" s="327"/>
      <c r="BX1649" s="327">
        <v>-9999</v>
      </c>
      <c r="BY1649" s="327">
        <v>-9999</v>
      </c>
      <c r="BZ1649" s="327">
        <v>-9999</v>
      </c>
      <c r="CA1649" s="369">
        <v>-9999</v>
      </c>
      <c r="CB1649" s="475"/>
      <c r="CC1649" s="327">
        <v>1</v>
      </c>
      <c r="CD1649" s="327">
        <v>13</v>
      </c>
      <c r="CE1649" s="342">
        <v>11.938461538461537</v>
      </c>
      <c r="CF1649" s="342">
        <v>10.53649999999999</v>
      </c>
      <c r="CG1649" s="328">
        <v>13</v>
      </c>
    </row>
    <row r="1650" spans="1:86" s="13" customFormat="1" x14ac:dyDescent="0.2">
      <c r="A1650" s="327" t="s">
        <v>1012</v>
      </c>
      <c r="B1650" s="327" t="s">
        <v>1013</v>
      </c>
      <c r="C1650" s="327" t="s">
        <v>1014</v>
      </c>
      <c r="D1650" s="327" t="s">
        <v>553</v>
      </c>
      <c r="E1650" s="327" t="s">
        <v>901</v>
      </c>
      <c r="F1650" s="327">
        <v>1</v>
      </c>
      <c r="G1650" s="327">
        <v>16</v>
      </c>
      <c r="H1650" s="328">
        <v>16</v>
      </c>
      <c r="I1650" s="327" t="s">
        <v>856</v>
      </c>
      <c r="J1650" s="327">
        <v>1983</v>
      </c>
      <c r="K1650" s="265" t="s">
        <v>1211</v>
      </c>
      <c r="L1650" s="265">
        <v>1998</v>
      </c>
      <c r="M1650" s="368">
        <v>-9999</v>
      </c>
      <c r="N1650" s="327">
        <v>-9999</v>
      </c>
      <c r="O1650" s="323"/>
      <c r="P1650" s="297">
        <v>170</v>
      </c>
      <c r="Q1650" s="327">
        <v>-9999</v>
      </c>
      <c r="R1650" s="368"/>
      <c r="S1650" s="327"/>
      <c r="T1650" s="370">
        <f t="shared" si="217"/>
        <v>10.625</v>
      </c>
      <c r="U1650" s="327">
        <v>-9999</v>
      </c>
      <c r="V1650" s="327">
        <v>-9999</v>
      </c>
      <c r="W1650" s="368">
        <f>+(P1650-P1649)/3</f>
        <v>4.9333333333333371</v>
      </c>
      <c r="X1650" s="327">
        <v>-9999</v>
      </c>
      <c r="Y1650" s="327">
        <v>-9999</v>
      </c>
      <c r="Z1650" s="327" t="s">
        <v>1015</v>
      </c>
      <c r="AA1650" s="327">
        <v>1495</v>
      </c>
      <c r="AB1650" s="368">
        <v>-9999</v>
      </c>
      <c r="AC1650" s="327">
        <v>-9999</v>
      </c>
      <c r="AD1650" s="327">
        <v>820</v>
      </c>
      <c r="AE1650" s="327" t="s">
        <v>281</v>
      </c>
      <c r="AF1650" s="327">
        <v>3</v>
      </c>
      <c r="AG1650" s="327" t="s">
        <v>843</v>
      </c>
      <c r="AH1650" s="327" t="s">
        <v>876</v>
      </c>
      <c r="AI1650" s="327" t="s">
        <v>886</v>
      </c>
      <c r="AJ1650" s="327" t="s">
        <v>892</v>
      </c>
      <c r="AK1650" s="327" t="s">
        <v>965</v>
      </c>
      <c r="AL1650" s="327" t="s">
        <v>828</v>
      </c>
      <c r="AM1650" s="327" t="s">
        <v>871</v>
      </c>
      <c r="AN1650" s="327" t="s">
        <v>631</v>
      </c>
      <c r="AO1650" s="327">
        <v>-9999</v>
      </c>
      <c r="AP1650" s="327">
        <v>-9999</v>
      </c>
      <c r="AQ1650" s="327" t="s">
        <v>626</v>
      </c>
      <c r="AR1650" s="363">
        <f>246+AR1649</f>
        <v>606</v>
      </c>
      <c r="AS1650" s="327" t="s">
        <v>144</v>
      </c>
      <c r="AT1650" s="327" t="s">
        <v>149</v>
      </c>
      <c r="AU1650" s="363">
        <f>28.6+AU1649</f>
        <v>171.6</v>
      </c>
      <c r="AV1650" s="327" t="s">
        <v>147</v>
      </c>
      <c r="AW1650" s="327" t="s">
        <v>149</v>
      </c>
      <c r="AX1650" s="363">
        <f>37.3+AX1649</f>
        <v>354.3</v>
      </c>
      <c r="AY1650" s="327" t="s">
        <v>148</v>
      </c>
      <c r="AZ1650" s="327" t="s">
        <v>149</v>
      </c>
      <c r="BA1650" s="327" t="s">
        <v>314</v>
      </c>
      <c r="BB1650" s="327" t="s">
        <v>626</v>
      </c>
      <c r="BC1650" s="327" t="s">
        <v>315</v>
      </c>
      <c r="BD1650" s="327"/>
      <c r="BE1650" s="327"/>
      <c r="BF1650" s="327"/>
      <c r="BG1650" s="327"/>
      <c r="BH1650" s="327"/>
      <c r="BI1650" s="327" t="s">
        <v>316</v>
      </c>
      <c r="BJ1650" s="327">
        <v>44.1</v>
      </c>
      <c r="BK1650" s="327">
        <v>-9999</v>
      </c>
      <c r="BL1650" s="327">
        <v>-9999</v>
      </c>
      <c r="BM1650" s="327">
        <v>-9999</v>
      </c>
      <c r="BN1650" s="327">
        <v>-9999</v>
      </c>
      <c r="BO1650" s="327">
        <v>-9999</v>
      </c>
      <c r="BP1650" s="327">
        <v>-9999</v>
      </c>
      <c r="BQ1650" s="327">
        <v>-9999</v>
      </c>
      <c r="BR1650" s="327">
        <v>-9999</v>
      </c>
      <c r="BS1650" s="474">
        <v>-9999</v>
      </c>
      <c r="BT1650" s="327">
        <v>-9999</v>
      </c>
      <c r="BU1650" s="327">
        <v>-9999</v>
      </c>
      <c r="BV1650" s="327">
        <v>-9999</v>
      </c>
      <c r="BW1650" s="327"/>
      <c r="BX1650" s="327">
        <v>-9999</v>
      </c>
      <c r="BY1650" s="327">
        <v>-9999</v>
      </c>
      <c r="BZ1650" s="327">
        <v>-9999</v>
      </c>
      <c r="CA1650" s="369">
        <v>-9999</v>
      </c>
      <c r="CB1650" s="592"/>
      <c r="CC1650" s="327">
        <v>1</v>
      </c>
      <c r="CD1650" s="327">
        <v>16</v>
      </c>
      <c r="CE1650" s="342">
        <v>10.625</v>
      </c>
      <c r="CF1650" s="342">
        <v>4.9333333333333371</v>
      </c>
      <c r="CG1650" s="347">
        <v>16</v>
      </c>
    </row>
    <row r="1651" spans="1:86" s="13" customFormat="1" x14ac:dyDescent="0.2">
      <c r="A1651" s="327"/>
      <c r="B1651" s="327"/>
      <c r="C1651" s="327"/>
      <c r="D1651" s="327"/>
      <c r="E1651" s="327"/>
      <c r="F1651" s="259"/>
      <c r="G1651" s="259"/>
      <c r="H1651" s="260"/>
      <c r="I1651" s="259"/>
      <c r="J1651" s="259"/>
      <c r="K1651" s="266"/>
      <c r="L1651" s="266"/>
      <c r="M1651" s="368"/>
      <c r="N1651" s="327"/>
      <c r="O1651" s="323"/>
      <c r="P1651" s="297"/>
      <c r="Q1651" s="327"/>
      <c r="R1651" s="368"/>
      <c r="S1651" s="327"/>
      <c r="T1651" s="590"/>
      <c r="U1651" s="327"/>
      <c r="V1651" s="327"/>
      <c r="W1651" s="288"/>
      <c r="X1651" s="327"/>
      <c r="Y1651" s="327"/>
      <c r="Z1651" s="327"/>
      <c r="AA1651" s="327"/>
      <c r="AB1651" s="368"/>
      <c r="AC1651" s="327"/>
      <c r="AD1651" s="327"/>
      <c r="AE1651" s="327"/>
      <c r="AF1651" s="327"/>
      <c r="AG1651" s="327"/>
      <c r="AH1651" s="327"/>
      <c r="AI1651" s="327"/>
      <c r="AJ1651" s="327"/>
      <c r="AK1651" s="327"/>
      <c r="AL1651" s="327"/>
      <c r="AM1651" s="327"/>
      <c r="AN1651" s="327"/>
      <c r="AO1651" s="327"/>
      <c r="AP1651" s="327"/>
      <c r="AQ1651" s="327"/>
      <c r="AR1651" s="327"/>
      <c r="AS1651" s="327"/>
      <c r="AT1651" s="327"/>
      <c r="AU1651" s="327"/>
      <c r="AV1651" s="327"/>
      <c r="AW1651" s="327"/>
      <c r="AX1651" s="327"/>
      <c r="AY1651" s="327"/>
      <c r="AZ1651" s="327"/>
      <c r="BA1651" s="327"/>
      <c r="BB1651" s="327"/>
      <c r="BC1651" s="327"/>
      <c r="BD1651" s="327"/>
      <c r="BE1651" s="327"/>
      <c r="BF1651" s="327"/>
      <c r="BG1651" s="327"/>
      <c r="BH1651" s="327"/>
      <c r="BI1651" s="327"/>
      <c r="BJ1651" s="327"/>
      <c r="BK1651" s="327"/>
      <c r="BL1651" s="327"/>
      <c r="BM1651" s="327"/>
      <c r="BN1651" s="327"/>
      <c r="BO1651" s="327"/>
      <c r="BP1651" s="327"/>
      <c r="BQ1651" s="327"/>
      <c r="BR1651" s="327"/>
      <c r="BS1651" s="474"/>
      <c r="BT1651" s="327"/>
      <c r="BU1651" s="327"/>
      <c r="BV1651" s="327"/>
      <c r="BW1651" s="327"/>
      <c r="BX1651" s="327"/>
      <c r="BY1651" s="327"/>
      <c r="BZ1651" s="327"/>
      <c r="CA1651" s="369"/>
      <c r="CB1651" s="592"/>
      <c r="CC1651" s="259"/>
      <c r="CD1651" s="259"/>
      <c r="CE1651" s="342" t="s">
        <v>1576</v>
      </c>
      <c r="CF1651" s="342" t="s">
        <v>1575</v>
      </c>
      <c r="CG1651" s="41"/>
    </row>
    <row r="1652" spans="1:86" s="13" customFormat="1" x14ac:dyDescent="0.2">
      <c r="A1652" s="327" t="s">
        <v>1012</v>
      </c>
      <c r="B1652" s="327" t="s">
        <v>1013</v>
      </c>
      <c r="C1652" s="327" t="s">
        <v>1016</v>
      </c>
      <c r="D1652" s="327" t="s">
        <v>553</v>
      </c>
      <c r="E1652" s="327" t="s">
        <v>901</v>
      </c>
      <c r="F1652" s="327">
        <v>1</v>
      </c>
      <c r="G1652" s="327">
        <v>4</v>
      </c>
      <c r="H1652" s="328">
        <v>4</v>
      </c>
      <c r="I1652" s="327" t="s">
        <v>856</v>
      </c>
      <c r="J1652" s="327">
        <v>1983</v>
      </c>
      <c r="K1652" s="265" t="s">
        <v>1211</v>
      </c>
      <c r="L1652" s="265">
        <v>1986</v>
      </c>
      <c r="M1652" s="368">
        <v>-9999</v>
      </c>
      <c r="N1652" s="327">
        <v>-9999</v>
      </c>
      <c r="O1652" s="323"/>
      <c r="P1652" s="297">
        <v>16.097799999999999</v>
      </c>
      <c r="Q1652" s="327">
        <v>-9999</v>
      </c>
      <c r="R1652" s="368">
        <v>-9999</v>
      </c>
      <c r="S1652" s="327">
        <v>-9999</v>
      </c>
      <c r="T1652" s="370">
        <f t="shared" ref="T1652:T1657" si="218">+P1652/G1652</f>
        <v>4.0244499999999999</v>
      </c>
      <c r="U1652" s="327">
        <v>-9999</v>
      </c>
      <c r="V1652" s="327">
        <v>-9999</v>
      </c>
      <c r="W1652" s="368">
        <v>-9999</v>
      </c>
      <c r="X1652" s="327">
        <v>-9999</v>
      </c>
      <c r="Y1652" s="327">
        <v>-9999</v>
      </c>
      <c r="Z1652" s="327" t="s">
        <v>1015</v>
      </c>
      <c r="AA1652" s="327">
        <v>1495</v>
      </c>
      <c r="AB1652" s="368">
        <v>-9999</v>
      </c>
      <c r="AC1652" s="327">
        <v>-9999</v>
      </c>
      <c r="AD1652" s="327">
        <v>820</v>
      </c>
      <c r="AE1652" s="327" t="s">
        <v>281</v>
      </c>
      <c r="AF1652" s="327">
        <v>3</v>
      </c>
      <c r="AG1652" s="327" t="s">
        <v>843</v>
      </c>
      <c r="AH1652" s="327" t="s">
        <v>876</v>
      </c>
      <c r="AI1652" s="327" t="s">
        <v>886</v>
      </c>
      <c r="AJ1652" s="327" t="s">
        <v>892</v>
      </c>
      <c r="AK1652" s="327" t="s">
        <v>965</v>
      </c>
      <c r="AL1652" s="327" t="s">
        <v>828</v>
      </c>
      <c r="AM1652" s="327" t="s">
        <v>871</v>
      </c>
      <c r="AN1652" s="327" t="s">
        <v>631</v>
      </c>
      <c r="AO1652" s="327">
        <v>-9999</v>
      </c>
      <c r="AP1652" s="327">
        <v>-9999</v>
      </c>
      <c r="AQ1652" s="327" t="s">
        <v>626</v>
      </c>
      <c r="AR1652" s="363">
        <f>36*4</f>
        <v>144</v>
      </c>
      <c r="AS1652" s="327" t="s">
        <v>144</v>
      </c>
      <c r="AT1652" s="327" t="s">
        <v>149</v>
      </c>
      <c r="AU1652" s="363">
        <f>14.3*4</f>
        <v>57.2</v>
      </c>
      <c r="AV1652" s="327" t="s">
        <v>143</v>
      </c>
      <c r="AW1652" s="327" t="s">
        <v>149</v>
      </c>
      <c r="AX1652" s="363">
        <f>31.7*4</f>
        <v>126.8</v>
      </c>
      <c r="AY1652" s="327" t="s">
        <v>145</v>
      </c>
      <c r="AZ1652" s="327" t="s">
        <v>149</v>
      </c>
      <c r="BA1652" s="327" t="s">
        <v>314</v>
      </c>
      <c r="BB1652" s="327" t="s">
        <v>631</v>
      </c>
      <c r="BC1652" s="327" t="s">
        <v>869</v>
      </c>
      <c r="BD1652" s="327">
        <v>-9999</v>
      </c>
      <c r="BE1652" s="327">
        <v>-9999</v>
      </c>
      <c r="BF1652" s="327" t="s">
        <v>967</v>
      </c>
      <c r="BG1652" s="327">
        <v>-9999</v>
      </c>
      <c r="BH1652" s="327">
        <v>-9999</v>
      </c>
      <c r="BI1652" s="327" t="s">
        <v>162</v>
      </c>
      <c r="BJ1652" s="327">
        <v>5.3</v>
      </c>
      <c r="BK1652" s="327">
        <v>-9999</v>
      </c>
      <c r="BL1652" s="327">
        <v>-9999</v>
      </c>
      <c r="BM1652" s="327">
        <v>-9999</v>
      </c>
      <c r="BN1652" s="327">
        <v>-9999</v>
      </c>
      <c r="BO1652" s="327">
        <v>-9999</v>
      </c>
      <c r="BP1652" s="327">
        <v>-9999</v>
      </c>
      <c r="BQ1652" s="327">
        <v>-9999</v>
      </c>
      <c r="BR1652" s="327">
        <v>-9999</v>
      </c>
      <c r="BS1652" s="474">
        <v>-9999</v>
      </c>
      <c r="BT1652" s="327">
        <v>-9999</v>
      </c>
      <c r="BU1652" s="327">
        <v>-9999</v>
      </c>
      <c r="BV1652" s="327">
        <v>-9999</v>
      </c>
      <c r="BW1652" s="327"/>
      <c r="BX1652" s="327">
        <v>-9999</v>
      </c>
      <c r="BY1652" s="327">
        <v>-9999</v>
      </c>
      <c r="BZ1652" s="327">
        <v>-9999</v>
      </c>
      <c r="CA1652" s="369">
        <v>-9999</v>
      </c>
      <c r="CB1652" s="592"/>
      <c r="CC1652" s="327">
        <v>1</v>
      </c>
      <c r="CD1652" s="327">
        <v>4</v>
      </c>
      <c r="CE1652" s="342">
        <v>4.0244499999999999</v>
      </c>
      <c r="CF1652" s="342">
        <v>4.0244499999999999</v>
      </c>
      <c r="CG1652" s="347">
        <v>4</v>
      </c>
    </row>
    <row r="1653" spans="1:86" s="13" customFormat="1" x14ac:dyDescent="0.2">
      <c r="A1653" s="327" t="s">
        <v>1012</v>
      </c>
      <c r="B1653" s="327" t="s">
        <v>1013</v>
      </c>
      <c r="C1653" s="327" t="s">
        <v>1016</v>
      </c>
      <c r="D1653" s="327" t="s">
        <v>553</v>
      </c>
      <c r="E1653" s="327" t="s">
        <v>901</v>
      </c>
      <c r="F1653" s="327">
        <v>1</v>
      </c>
      <c r="G1653" s="327">
        <v>6</v>
      </c>
      <c r="H1653" s="328">
        <v>6</v>
      </c>
      <c r="I1653" s="327" t="s">
        <v>856</v>
      </c>
      <c r="J1653" s="327">
        <v>1983</v>
      </c>
      <c r="K1653" s="265" t="s">
        <v>1211</v>
      </c>
      <c r="L1653" s="265">
        <v>1988</v>
      </c>
      <c r="M1653" s="368">
        <v>-9999</v>
      </c>
      <c r="N1653" s="327">
        <v>-9999</v>
      </c>
      <c r="O1653" s="323"/>
      <c r="P1653" s="297">
        <v>37.604900000000001</v>
      </c>
      <c r="Q1653" s="327">
        <v>-9999</v>
      </c>
      <c r="R1653" s="368">
        <v>-9999</v>
      </c>
      <c r="S1653" s="327">
        <v>-9999</v>
      </c>
      <c r="T1653" s="370">
        <f t="shared" si="218"/>
        <v>6.2674833333333337</v>
      </c>
      <c r="U1653" s="327">
        <v>-9999</v>
      </c>
      <c r="V1653" s="327">
        <v>-9999</v>
      </c>
      <c r="W1653" s="368">
        <f>+(P1653-P1652)/2</f>
        <v>10.753550000000001</v>
      </c>
      <c r="X1653" s="327">
        <v>-9999</v>
      </c>
      <c r="Y1653" s="327">
        <v>-9999</v>
      </c>
      <c r="Z1653" s="327" t="s">
        <v>1015</v>
      </c>
      <c r="AA1653" s="327">
        <v>1495</v>
      </c>
      <c r="AB1653" s="368">
        <v>-9999</v>
      </c>
      <c r="AC1653" s="327">
        <v>-9999</v>
      </c>
      <c r="AD1653" s="327">
        <v>820</v>
      </c>
      <c r="AE1653" s="327" t="s">
        <v>281</v>
      </c>
      <c r="AF1653" s="327">
        <v>3</v>
      </c>
      <c r="AG1653" s="327" t="s">
        <v>843</v>
      </c>
      <c r="AH1653" s="327" t="s">
        <v>876</v>
      </c>
      <c r="AI1653" s="327" t="s">
        <v>886</v>
      </c>
      <c r="AJ1653" s="327" t="s">
        <v>892</v>
      </c>
      <c r="AK1653" s="327" t="s">
        <v>965</v>
      </c>
      <c r="AL1653" s="327" t="s">
        <v>828</v>
      </c>
      <c r="AM1653" s="327" t="s">
        <v>871</v>
      </c>
      <c r="AN1653" s="327" t="s">
        <v>631</v>
      </c>
      <c r="AO1653" s="327">
        <v>-9999</v>
      </c>
      <c r="AP1653" s="327">
        <v>-9999</v>
      </c>
      <c r="AQ1653" s="327" t="s">
        <v>626</v>
      </c>
      <c r="AR1653" s="363">
        <f>36*6</f>
        <v>216</v>
      </c>
      <c r="AS1653" s="327" t="s">
        <v>146</v>
      </c>
      <c r="AT1653" s="327" t="s">
        <v>149</v>
      </c>
      <c r="AU1653" s="363">
        <f>14.3*6</f>
        <v>85.800000000000011</v>
      </c>
      <c r="AV1653" s="327" t="s">
        <v>143</v>
      </c>
      <c r="AW1653" s="327" t="s">
        <v>149</v>
      </c>
      <c r="AX1653" s="363">
        <f>31.7*6</f>
        <v>190.2</v>
      </c>
      <c r="AY1653" s="327" t="s">
        <v>145</v>
      </c>
      <c r="AZ1653" s="327" t="s">
        <v>149</v>
      </c>
      <c r="BA1653" s="327" t="s">
        <v>314</v>
      </c>
      <c r="BB1653" s="327" t="s">
        <v>631</v>
      </c>
      <c r="BC1653" s="327" t="s">
        <v>869</v>
      </c>
      <c r="BD1653" s="327">
        <v>-9999</v>
      </c>
      <c r="BE1653" s="327">
        <v>-9999</v>
      </c>
      <c r="BF1653" s="327" t="s">
        <v>967</v>
      </c>
      <c r="BG1653" s="327">
        <v>-9999</v>
      </c>
      <c r="BH1653" s="327">
        <v>-9999</v>
      </c>
      <c r="BI1653" s="327" t="s">
        <v>162</v>
      </c>
      <c r="BJ1653" s="327">
        <v>13.4</v>
      </c>
      <c r="BK1653" s="327">
        <v>-9999</v>
      </c>
      <c r="BL1653" s="327">
        <v>-9999</v>
      </c>
      <c r="BM1653" s="327">
        <v>-9999</v>
      </c>
      <c r="BN1653" s="327">
        <v>-9999</v>
      </c>
      <c r="BO1653" s="327">
        <v>-9999</v>
      </c>
      <c r="BP1653" s="327">
        <v>-9999</v>
      </c>
      <c r="BQ1653" s="327">
        <v>-9999</v>
      </c>
      <c r="BR1653" s="327">
        <v>-9999</v>
      </c>
      <c r="BS1653" s="474">
        <v>-9999</v>
      </c>
      <c r="BT1653" s="327">
        <v>-9999</v>
      </c>
      <c r="BU1653" s="327">
        <v>-9999</v>
      </c>
      <c r="BV1653" s="327">
        <v>-9999</v>
      </c>
      <c r="BW1653" s="327"/>
      <c r="BX1653" s="327">
        <v>-9999</v>
      </c>
      <c r="BY1653" s="327">
        <v>-9999</v>
      </c>
      <c r="BZ1653" s="327">
        <v>-9999</v>
      </c>
      <c r="CA1653" s="369">
        <v>-9999</v>
      </c>
      <c r="CB1653" s="592"/>
      <c r="CC1653" s="327">
        <v>1</v>
      </c>
      <c r="CD1653" s="327">
        <v>6</v>
      </c>
      <c r="CE1653" s="342">
        <v>6.2674833333333337</v>
      </c>
      <c r="CF1653" s="342">
        <v>10.753550000000001</v>
      </c>
      <c r="CG1653" s="347">
        <v>6</v>
      </c>
    </row>
    <row r="1654" spans="1:86" s="13" customFormat="1" x14ac:dyDescent="0.2">
      <c r="A1654" s="327" t="s">
        <v>1012</v>
      </c>
      <c r="B1654" s="327" t="s">
        <v>1013</v>
      </c>
      <c r="C1654" s="327" t="s">
        <v>1016</v>
      </c>
      <c r="D1654" s="327" t="s">
        <v>553</v>
      </c>
      <c r="E1654" s="327" t="s">
        <v>901</v>
      </c>
      <c r="F1654" s="327">
        <v>1</v>
      </c>
      <c r="G1654" s="327">
        <v>9</v>
      </c>
      <c r="H1654" s="328">
        <v>9</v>
      </c>
      <c r="I1654" s="327" t="s">
        <v>856</v>
      </c>
      <c r="J1654" s="327">
        <v>1983</v>
      </c>
      <c r="K1654" s="265" t="s">
        <v>1211</v>
      </c>
      <c r="L1654" s="265">
        <v>1991</v>
      </c>
      <c r="M1654" s="368">
        <v>-9999</v>
      </c>
      <c r="N1654" s="327">
        <v>-9999</v>
      </c>
      <c r="O1654" s="323"/>
      <c r="P1654" s="297">
        <v>83.722399999999993</v>
      </c>
      <c r="Q1654" s="327">
        <v>-9999</v>
      </c>
      <c r="R1654" s="368">
        <v>-9999</v>
      </c>
      <c r="S1654" s="327">
        <v>-9999</v>
      </c>
      <c r="T1654" s="370">
        <f t="shared" si="218"/>
        <v>9.3024888888888881</v>
      </c>
      <c r="U1654" s="327">
        <v>-9999</v>
      </c>
      <c r="V1654" s="327">
        <v>-9999</v>
      </c>
      <c r="W1654" s="368">
        <f>+(P1654-P1653)/3</f>
        <v>15.372499999999997</v>
      </c>
      <c r="X1654" s="327">
        <v>-9999</v>
      </c>
      <c r="Y1654" s="327">
        <v>-9999</v>
      </c>
      <c r="Z1654" s="327" t="s">
        <v>1015</v>
      </c>
      <c r="AA1654" s="327">
        <v>1495</v>
      </c>
      <c r="AB1654" s="368">
        <v>-9999</v>
      </c>
      <c r="AC1654" s="327">
        <v>-9999</v>
      </c>
      <c r="AD1654" s="327">
        <v>820</v>
      </c>
      <c r="AE1654" s="327" t="s">
        <v>281</v>
      </c>
      <c r="AF1654" s="327">
        <v>3</v>
      </c>
      <c r="AG1654" s="327" t="s">
        <v>843</v>
      </c>
      <c r="AH1654" s="327" t="s">
        <v>876</v>
      </c>
      <c r="AI1654" s="327" t="s">
        <v>886</v>
      </c>
      <c r="AJ1654" s="327" t="s">
        <v>892</v>
      </c>
      <c r="AK1654" s="327" t="s">
        <v>965</v>
      </c>
      <c r="AL1654" s="327" t="s">
        <v>828</v>
      </c>
      <c r="AM1654" s="327" t="s">
        <v>871</v>
      </c>
      <c r="AN1654" s="327" t="s">
        <v>631</v>
      </c>
      <c r="AO1654" s="327">
        <v>-9999</v>
      </c>
      <c r="AP1654" s="327">
        <v>-9999</v>
      </c>
      <c r="AQ1654" s="327" t="s">
        <v>626</v>
      </c>
      <c r="AR1654" s="363">
        <f>36*9</f>
        <v>324</v>
      </c>
      <c r="AS1654" s="327" t="s">
        <v>144</v>
      </c>
      <c r="AT1654" s="327" t="s">
        <v>149</v>
      </c>
      <c r="AU1654" s="363">
        <f>14.3*9</f>
        <v>128.70000000000002</v>
      </c>
      <c r="AV1654" s="327" t="s">
        <v>143</v>
      </c>
      <c r="AW1654" s="327" t="s">
        <v>149</v>
      </c>
      <c r="AX1654" s="363">
        <f>31.7*9</f>
        <v>285.3</v>
      </c>
      <c r="AY1654" s="327" t="s">
        <v>145</v>
      </c>
      <c r="AZ1654" s="327" t="s">
        <v>149</v>
      </c>
      <c r="BA1654" s="327" t="s">
        <v>314</v>
      </c>
      <c r="BB1654" s="327" t="s">
        <v>631</v>
      </c>
      <c r="BC1654" s="327" t="s">
        <v>869</v>
      </c>
      <c r="BD1654" s="327">
        <v>-9999</v>
      </c>
      <c r="BE1654" s="327">
        <v>-9999</v>
      </c>
      <c r="BF1654" s="327" t="s">
        <v>967</v>
      </c>
      <c r="BG1654" s="327">
        <v>-9999</v>
      </c>
      <c r="BH1654" s="327">
        <v>-9999</v>
      </c>
      <c r="BI1654" s="327" t="s">
        <v>162</v>
      </c>
      <c r="BJ1654" s="327">
        <v>25.2</v>
      </c>
      <c r="BK1654" s="327">
        <v>-9999</v>
      </c>
      <c r="BL1654" s="327">
        <v>-9999</v>
      </c>
      <c r="BM1654" s="327">
        <v>-9999</v>
      </c>
      <c r="BN1654" s="327">
        <v>-9999</v>
      </c>
      <c r="BO1654" s="327">
        <v>-9999</v>
      </c>
      <c r="BP1654" s="327">
        <v>-9999</v>
      </c>
      <c r="BQ1654" s="327">
        <v>-9999</v>
      </c>
      <c r="BR1654" s="327">
        <v>-9999</v>
      </c>
      <c r="BS1654" s="474">
        <v>-9999</v>
      </c>
      <c r="BT1654" s="327">
        <v>-9999</v>
      </c>
      <c r="BU1654" s="327">
        <v>-9999</v>
      </c>
      <c r="BV1654" s="327">
        <v>-9999</v>
      </c>
      <c r="BW1654" s="327"/>
      <c r="BX1654" s="327">
        <v>-9999</v>
      </c>
      <c r="BY1654" s="327">
        <v>-9999</v>
      </c>
      <c r="BZ1654" s="327">
        <v>-9999</v>
      </c>
      <c r="CA1654" s="369">
        <v>-9999</v>
      </c>
      <c r="CB1654" s="592"/>
      <c r="CC1654" s="327">
        <v>1</v>
      </c>
      <c r="CD1654" s="327">
        <v>9</v>
      </c>
      <c r="CE1654" s="342">
        <v>9.3024888888888881</v>
      </c>
      <c r="CF1654" s="342">
        <v>15.372499999999997</v>
      </c>
      <c r="CG1654" s="347">
        <v>9</v>
      </c>
    </row>
    <row r="1655" spans="1:86" s="13" customFormat="1" x14ac:dyDescent="0.2">
      <c r="A1655" s="327" t="s">
        <v>1012</v>
      </c>
      <c r="B1655" s="327" t="s">
        <v>1013</v>
      </c>
      <c r="C1655" s="327" t="s">
        <v>1016</v>
      </c>
      <c r="D1655" s="327" t="s">
        <v>553</v>
      </c>
      <c r="E1655" s="327" t="s">
        <v>901</v>
      </c>
      <c r="F1655" s="327">
        <v>1</v>
      </c>
      <c r="G1655" s="327">
        <v>11</v>
      </c>
      <c r="H1655" s="328">
        <v>11</v>
      </c>
      <c r="I1655" s="327" t="s">
        <v>856</v>
      </c>
      <c r="J1655" s="327">
        <v>1983</v>
      </c>
      <c r="K1655" s="265" t="s">
        <v>1211</v>
      </c>
      <c r="L1655" s="265">
        <v>1993</v>
      </c>
      <c r="M1655" s="368">
        <v>-9999</v>
      </c>
      <c r="N1655" s="327">
        <v>-9999</v>
      </c>
      <c r="O1655" s="323"/>
      <c r="P1655" s="297">
        <v>112.15300000000001</v>
      </c>
      <c r="Q1655" s="327">
        <v>-9999</v>
      </c>
      <c r="R1655" s="368">
        <v>-9999</v>
      </c>
      <c r="S1655" s="327">
        <v>-9999</v>
      </c>
      <c r="T1655" s="370">
        <f t="shared" si="218"/>
        <v>10.195727272727273</v>
      </c>
      <c r="U1655" s="327">
        <v>-9999</v>
      </c>
      <c r="V1655" s="327">
        <v>-9999</v>
      </c>
      <c r="W1655" s="368">
        <f>+(P1655-P1654)/2</f>
        <v>14.215300000000006</v>
      </c>
      <c r="X1655" s="327">
        <v>-9999</v>
      </c>
      <c r="Y1655" s="327">
        <v>-9999</v>
      </c>
      <c r="Z1655" s="327" t="s">
        <v>1015</v>
      </c>
      <c r="AA1655" s="327">
        <v>1495</v>
      </c>
      <c r="AB1655" s="368">
        <v>-9999</v>
      </c>
      <c r="AC1655" s="327">
        <v>-9999</v>
      </c>
      <c r="AD1655" s="327">
        <v>820</v>
      </c>
      <c r="AE1655" s="327" t="s">
        <v>281</v>
      </c>
      <c r="AF1655" s="327">
        <v>3</v>
      </c>
      <c r="AG1655" s="327" t="s">
        <v>843</v>
      </c>
      <c r="AH1655" s="327" t="s">
        <v>876</v>
      </c>
      <c r="AI1655" s="327" t="s">
        <v>886</v>
      </c>
      <c r="AJ1655" s="327" t="s">
        <v>892</v>
      </c>
      <c r="AK1655" s="327" t="s">
        <v>965</v>
      </c>
      <c r="AL1655" s="327" t="s">
        <v>828</v>
      </c>
      <c r="AM1655" s="327" t="s">
        <v>871</v>
      </c>
      <c r="AN1655" s="327" t="s">
        <v>631</v>
      </c>
      <c r="AO1655" s="327">
        <v>-9999</v>
      </c>
      <c r="AP1655" s="327">
        <v>-9999</v>
      </c>
      <c r="AQ1655" s="327" t="s">
        <v>626</v>
      </c>
      <c r="AR1655" s="363">
        <f>36*10</f>
        <v>360</v>
      </c>
      <c r="AS1655" s="327" t="s">
        <v>144</v>
      </c>
      <c r="AT1655" s="327" t="s">
        <v>149</v>
      </c>
      <c r="AU1655" s="363">
        <f>14.3*10</f>
        <v>143</v>
      </c>
      <c r="AV1655" s="327" t="s">
        <v>143</v>
      </c>
      <c r="AW1655" s="327" t="s">
        <v>149</v>
      </c>
      <c r="AX1655" s="363">
        <f>31.7*10</f>
        <v>317</v>
      </c>
      <c r="AY1655" s="327" t="s">
        <v>145</v>
      </c>
      <c r="AZ1655" s="327" t="s">
        <v>149</v>
      </c>
      <c r="BA1655" s="327" t="s">
        <v>314</v>
      </c>
      <c r="BB1655" s="327" t="s">
        <v>631</v>
      </c>
      <c r="BC1655" s="327" t="s">
        <v>869</v>
      </c>
      <c r="BD1655" s="327">
        <v>-9999</v>
      </c>
      <c r="BE1655" s="327">
        <v>-9999</v>
      </c>
      <c r="BF1655" s="327" t="s">
        <v>967</v>
      </c>
      <c r="BG1655" s="327">
        <v>-9999</v>
      </c>
      <c r="BH1655" s="327">
        <v>-9999</v>
      </c>
      <c r="BI1655" s="327" t="s">
        <v>162</v>
      </c>
      <c r="BJ1655" s="327">
        <v>31.2</v>
      </c>
      <c r="BK1655" s="327">
        <v>-9999</v>
      </c>
      <c r="BL1655" s="327">
        <v>-9999</v>
      </c>
      <c r="BM1655" s="327">
        <v>-9999</v>
      </c>
      <c r="BN1655" s="327">
        <v>-9999</v>
      </c>
      <c r="BO1655" s="327">
        <v>-9999</v>
      </c>
      <c r="BP1655" s="327">
        <v>-9999</v>
      </c>
      <c r="BQ1655" s="327">
        <v>-9999</v>
      </c>
      <c r="BR1655" s="327">
        <v>-9999</v>
      </c>
      <c r="BS1655" s="474">
        <v>-9999</v>
      </c>
      <c r="BT1655" s="327">
        <v>-9999</v>
      </c>
      <c r="BU1655" s="327">
        <v>-9999</v>
      </c>
      <c r="BV1655" s="327">
        <v>-9999</v>
      </c>
      <c r="BW1655" s="327"/>
      <c r="BX1655" s="327">
        <v>-9999</v>
      </c>
      <c r="BY1655" s="327">
        <v>-9999</v>
      </c>
      <c r="BZ1655" s="327">
        <v>-9999</v>
      </c>
      <c r="CA1655" s="369">
        <v>-9999</v>
      </c>
      <c r="CB1655" s="592"/>
      <c r="CC1655" s="327">
        <v>1</v>
      </c>
      <c r="CD1655" s="327">
        <v>11</v>
      </c>
      <c r="CE1655" s="342">
        <v>10.195727272727273</v>
      </c>
      <c r="CF1655" s="342">
        <v>14.215300000000006</v>
      </c>
      <c r="CG1655" s="347">
        <v>11</v>
      </c>
    </row>
    <row r="1656" spans="1:86" s="13" customFormat="1" x14ac:dyDescent="0.2">
      <c r="A1656" s="259" t="s">
        <v>1012</v>
      </c>
      <c r="B1656" s="259" t="s">
        <v>1013</v>
      </c>
      <c r="C1656" s="259" t="s">
        <v>1016</v>
      </c>
      <c r="D1656" s="259" t="s">
        <v>553</v>
      </c>
      <c r="E1656" s="259" t="s">
        <v>901</v>
      </c>
      <c r="F1656" s="259">
        <v>1</v>
      </c>
      <c r="G1656" s="259">
        <v>13</v>
      </c>
      <c r="H1656" s="260">
        <v>13</v>
      </c>
      <c r="I1656" s="259" t="s">
        <v>856</v>
      </c>
      <c r="J1656" s="259">
        <v>1983</v>
      </c>
      <c r="K1656" s="266" t="s">
        <v>1211</v>
      </c>
      <c r="L1656" s="266">
        <v>1995</v>
      </c>
      <c r="M1656" s="288">
        <v>-9999</v>
      </c>
      <c r="N1656" s="259">
        <v>-9999</v>
      </c>
      <c r="O1656" s="18"/>
      <c r="P1656" s="288">
        <v>133.80000000000001</v>
      </c>
      <c r="Q1656" s="259">
        <v>-9999</v>
      </c>
      <c r="R1656" s="288">
        <v>88.6</v>
      </c>
      <c r="S1656" s="259">
        <v>12.5</v>
      </c>
      <c r="T1656" s="590">
        <f t="shared" si="218"/>
        <v>10.292307692307693</v>
      </c>
      <c r="U1656" s="259">
        <v>-9999</v>
      </c>
      <c r="V1656" s="376">
        <f>+R1656/G1656</f>
        <v>6.8153846153846152</v>
      </c>
      <c r="W1656" s="288">
        <f>+(P1656-P1655)/2</f>
        <v>10.823500000000003</v>
      </c>
      <c r="X1656" s="259">
        <v>-9999</v>
      </c>
      <c r="Y1656" s="259">
        <v>-9999</v>
      </c>
      <c r="Z1656" s="259" t="s">
        <v>1015</v>
      </c>
      <c r="AA1656" s="259">
        <v>1495</v>
      </c>
      <c r="AB1656" s="288">
        <v>-9999</v>
      </c>
      <c r="AC1656" s="259">
        <v>-9999</v>
      </c>
      <c r="AD1656" s="259">
        <v>820</v>
      </c>
      <c r="AE1656" s="259" t="s">
        <v>281</v>
      </c>
      <c r="AF1656" s="259">
        <v>3</v>
      </c>
      <c r="AG1656" s="259" t="s">
        <v>843</v>
      </c>
      <c r="AH1656" s="259" t="s">
        <v>876</v>
      </c>
      <c r="AI1656" s="259" t="s">
        <v>886</v>
      </c>
      <c r="AJ1656" s="259" t="s">
        <v>892</v>
      </c>
      <c r="AK1656" s="259" t="s">
        <v>965</v>
      </c>
      <c r="AL1656" s="259" t="s">
        <v>828</v>
      </c>
      <c r="AM1656" s="259" t="s">
        <v>871</v>
      </c>
      <c r="AN1656" s="259" t="s">
        <v>631</v>
      </c>
      <c r="AO1656" s="259">
        <v>-9999</v>
      </c>
      <c r="AP1656" s="259">
        <v>-9999</v>
      </c>
      <c r="AQ1656" s="259" t="s">
        <v>626</v>
      </c>
      <c r="AR1656" s="289">
        <f>36*10</f>
        <v>360</v>
      </c>
      <c r="AS1656" s="259" t="s">
        <v>144</v>
      </c>
      <c r="AT1656" s="259" t="s">
        <v>149</v>
      </c>
      <c r="AU1656" s="289">
        <f>14.3*10</f>
        <v>143</v>
      </c>
      <c r="AV1656" s="259" t="s">
        <v>143</v>
      </c>
      <c r="AW1656" s="259" t="s">
        <v>149</v>
      </c>
      <c r="AX1656" s="289">
        <f>31.7*10</f>
        <v>317</v>
      </c>
      <c r="AY1656" s="259" t="s">
        <v>145</v>
      </c>
      <c r="AZ1656" s="259" t="s">
        <v>149</v>
      </c>
      <c r="BA1656" s="259" t="s">
        <v>314</v>
      </c>
      <c r="BB1656" s="259" t="s">
        <v>631</v>
      </c>
      <c r="BC1656" s="259" t="s">
        <v>869</v>
      </c>
      <c r="BD1656" s="259">
        <v>-9999</v>
      </c>
      <c r="BE1656" s="259">
        <v>-9999</v>
      </c>
      <c r="BF1656" s="259" t="s">
        <v>967</v>
      </c>
      <c r="BG1656" s="259">
        <v>-9999</v>
      </c>
      <c r="BH1656" s="259">
        <v>-9999</v>
      </c>
      <c r="BI1656" s="259" t="s">
        <v>162</v>
      </c>
      <c r="BJ1656" s="259">
        <v>35.799999999999997</v>
      </c>
      <c r="BK1656" s="259">
        <v>-9999</v>
      </c>
      <c r="BL1656" s="259">
        <v>-9999</v>
      </c>
      <c r="BM1656" s="259">
        <v>-9999</v>
      </c>
      <c r="BN1656" s="259">
        <v>-9999</v>
      </c>
      <c r="BO1656" s="259">
        <v>-9999</v>
      </c>
      <c r="BP1656" s="259">
        <v>-9999</v>
      </c>
      <c r="BQ1656" s="259">
        <v>-9999</v>
      </c>
      <c r="BR1656" s="259">
        <v>-9999</v>
      </c>
      <c r="BS1656" s="634">
        <v>-9999</v>
      </c>
      <c r="BT1656" s="259">
        <v>-9999</v>
      </c>
      <c r="BU1656" s="259">
        <v>-9999</v>
      </c>
      <c r="BV1656" s="259">
        <v>-9999</v>
      </c>
      <c r="BW1656" s="259"/>
      <c r="BX1656" s="259">
        <v>-9999</v>
      </c>
      <c r="BY1656" s="259">
        <v>-9999</v>
      </c>
      <c r="BZ1656" s="259">
        <v>-9999</v>
      </c>
      <c r="CA1656" s="337">
        <v>-9999</v>
      </c>
      <c r="CB1656" s="592"/>
      <c r="CC1656" s="259">
        <v>1</v>
      </c>
      <c r="CD1656" s="259">
        <v>13</v>
      </c>
      <c r="CE1656" s="395">
        <v>10.292307692307693</v>
      </c>
      <c r="CF1656" s="99">
        <v>10.823500000000003</v>
      </c>
      <c r="CG1656" s="260">
        <v>13</v>
      </c>
      <c r="CH1656" s="437"/>
    </row>
    <row r="1657" spans="1:86" s="13" customFormat="1" x14ac:dyDescent="0.2">
      <c r="A1657" s="327" t="s">
        <v>1012</v>
      </c>
      <c r="B1657" s="327" t="s">
        <v>1013</v>
      </c>
      <c r="C1657" s="327" t="s">
        <v>1016</v>
      </c>
      <c r="D1657" s="327" t="s">
        <v>553</v>
      </c>
      <c r="E1657" s="327" t="s">
        <v>901</v>
      </c>
      <c r="F1657" s="327">
        <v>1</v>
      </c>
      <c r="G1657" s="327">
        <v>16</v>
      </c>
      <c r="H1657" s="328">
        <v>16</v>
      </c>
      <c r="I1657" s="327" t="s">
        <v>856</v>
      </c>
      <c r="J1657" s="327">
        <v>1983</v>
      </c>
      <c r="K1657" s="265" t="s">
        <v>1211</v>
      </c>
      <c r="L1657" s="265">
        <v>1998</v>
      </c>
      <c r="M1657" s="368">
        <v>-9999</v>
      </c>
      <c r="N1657" s="327">
        <v>-9999</v>
      </c>
      <c r="O1657" s="323"/>
      <c r="P1657" s="297">
        <v>153.792</v>
      </c>
      <c r="Q1657" s="327">
        <v>-9999</v>
      </c>
      <c r="R1657" s="368">
        <v>-9999</v>
      </c>
      <c r="S1657" s="327">
        <v>-9999</v>
      </c>
      <c r="T1657" s="370">
        <f t="shared" si="218"/>
        <v>9.6120000000000001</v>
      </c>
      <c r="U1657" s="327">
        <v>-9999</v>
      </c>
      <c r="V1657" s="327">
        <v>-9999</v>
      </c>
      <c r="W1657" s="368">
        <f>+(P1657-P1656)/3</f>
        <v>6.663999999999997</v>
      </c>
      <c r="X1657" s="327">
        <v>-9999</v>
      </c>
      <c r="Y1657" s="327">
        <v>-9999</v>
      </c>
      <c r="Z1657" s="327" t="s">
        <v>1015</v>
      </c>
      <c r="AA1657" s="327">
        <v>1495</v>
      </c>
      <c r="AB1657" s="368">
        <v>-9999</v>
      </c>
      <c r="AC1657" s="327">
        <v>-9999</v>
      </c>
      <c r="AD1657" s="327">
        <v>820</v>
      </c>
      <c r="AE1657" s="327" t="s">
        <v>281</v>
      </c>
      <c r="AF1657" s="327">
        <v>3</v>
      </c>
      <c r="AG1657" s="327" t="s">
        <v>843</v>
      </c>
      <c r="AH1657" s="327" t="s">
        <v>876</v>
      </c>
      <c r="AI1657" s="327" t="s">
        <v>886</v>
      </c>
      <c r="AJ1657" s="327" t="s">
        <v>892</v>
      </c>
      <c r="AK1657" s="327" t="s">
        <v>965</v>
      </c>
      <c r="AL1657" s="327" t="s">
        <v>828</v>
      </c>
      <c r="AM1657" s="327" t="s">
        <v>871</v>
      </c>
      <c r="AN1657" s="327" t="s">
        <v>631</v>
      </c>
      <c r="AO1657" s="327">
        <v>-9999</v>
      </c>
      <c r="AP1657" s="327">
        <v>-9999</v>
      </c>
      <c r="AQ1657" s="327" t="s">
        <v>626</v>
      </c>
      <c r="AR1657" s="363">
        <f>246+AR1656</f>
        <v>606</v>
      </c>
      <c r="AS1657" s="327" t="s">
        <v>144</v>
      </c>
      <c r="AT1657" s="327" t="s">
        <v>149</v>
      </c>
      <c r="AU1657" s="363">
        <f>28.6+AU1656</f>
        <v>171.6</v>
      </c>
      <c r="AV1657" s="327" t="s">
        <v>147</v>
      </c>
      <c r="AW1657" s="327" t="s">
        <v>149</v>
      </c>
      <c r="AX1657" s="363">
        <f>37.3+AX1656</f>
        <v>354.3</v>
      </c>
      <c r="AY1657" s="327" t="s">
        <v>148</v>
      </c>
      <c r="AZ1657" s="327" t="s">
        <v>149</v>
      </c>
      <c r="BA1657" s="327" t="s">
        <v>314</v>
      </c>
      <c r="BB1657" s="327" t="s">
        <v>631</v>
      </c>
      <c r="BC1657" s="327" t="s">
        <v>869</v>
      </c>
      <c r="BD1657" s="327">
        <v>-9999</v>
      </c>
      <c r="BE1657" s="327">
        <v>-9999</v>
      </c>
      <c r="BF1657" s="327">
        <v>-9999</v>
      </c>
      <c r="BG1657" s="327">
        <v>-9999</v>
      </c>
      <c r="BH1657" s="327">
        <v>-9999</v>
      </c>
      <c r="BI1657" s="327" t="s">
        <v>163</v>
      </c>
      <c r="BJ1657" s="327">
        <v>39.700000000000003</v>
      </c>
      <c r="BK1657" s="327">
        <v>-9999</v>
      </c>
      <c r="BL1657" s="327">
        <v>-9999</v>
      </c>
      <c r="BM1657" s="327">
        <v>-9999</v>
      </c>
      <c r="BN1657" s="327">
        <v>-9999</v>
      </c>
      <c r="BO1657" s="327">
        <v>-9999</v>
      </c>
      <c r="BP1657" s="327">
        <v>-9999</v>
      </c>
      <c r="BQ1657" s="327">
        <v>-9999</v>
      </c>
      <c r="BR1657" s="327">
        <v>-9999</v>
      </c>
      <c r="BS1657" s="474">
        <v>-9999</v>
      </c>
      <c r="BT1657" s="327">
        <v>-9999</v>
      </c>
      <c r="BU1657" s="327">
        <v>-9999</v>
      </c>
      <c r="BV1657" s="327">
        <v>-9999</v>
      </c>
      <c r="BW1657" s="327"/>
      <c r="BX1657" s="327">
        <v>-9999</v>
      </c>
      <c r="BY1657" s="327">
        <v>-9999</v>
      </c>
      <c r="BZ1657" s="327">
        <v>-9999</v>
      </c>
      <c r="CA1657" s="369">
        <v>-9999</v>
      </c>
      <c r="CB1657" s="592"/>
      <c r="CC1657" s="327">
        <v>1</v>
      </c>
      <c r="CD1657" s="327">
        <v>16</v>
      </c>
      <c r="CE1657" s="342">
        <v>9.6120000000000001</v>
      </c>
      <c r="CF1657" s="342">
        <v>6.663999999999997</v>
      </c>
      <c r="CG1657" s="347">
        <v>16</v>
      </c>
    </row>
    <row r="1658" spans="1:86" s="13" customFormat="1" x14ac:dyDescent="0.2">
      <c r="A1658" s="259"/>
      <c r="B1658" s="259"/>
      <c r="C1658" s="259"/>
      <c r="D1658" s="259"/>
      <c r="E1658" s="259"/>
      <c r="F1658" s="259"/>
      <c r="G1658" s="259"/>
      <c r="H1658" s="259"/>
      <c r="I1658" s="327"/>
      <c r="J1658" s="327"/>
      <c r="K1658" s="266"/>
      <c r="L1658" s="266"/>
      <c r="M1658" s="368"/>
      <c r="N1658" s="327"/>
      <c r="O1658" s="323"/>
      <c r="P1658" s="297"/>
      <c r="Q1658" s="327"/>
      <c r="R1658" s="368"/>
      <c r="S1658" s="327"/>
      <c r="T1658" s="590"/>
      <c r="U1658" s="327"/>
      <c r="V1658" s="327"/>
      <c r="W1658" s="288"/>
      <c r="X1658" s="327"/>
      <c r="Y1658" s="327"/>
      <c r="Z1658" s="327"/>
      <c r="AA1658" s="327"/>
      <c r="AB1658" s="368"/>
      <c r="AC1658" s="327"/>
      <c r="AD1658" s="327"/>
      <c r="AE1658" s="327"/>
      <c r="AF1658" s="327"/>
      <c r="AG1658" s="327"/>
      <c r="AH1658" s="327"/>
      <c r="AI1658" s="327"/>
      <c r="AJ1658" s="327"/>
      <c r="AK1658" s="327"/>
      <c r="AL1658" s="327"/>
      <c r="AM1658" s="327"/>
      <c r="AN1658" s="327"/>
      <c r="AO1658" s="327"/>
      <c r="AP1658" s="327"/>
      <c r="AQ1658" s="327"/>
      <c r="AR1658" s="327"/>
      <c r="AS1658" s="327"/>
      <c r="AT1658" s="327"/>
      <c r="AU1658" s="327"/>
      <c r="AV1658" s="327"/>
      <c r="AW1658" s="327"/>
      <c r="AX1658" s="327"/>
      <c r="AY1658" s="327"/>
      <c r="AZ1658" s="327"/>
      <c r="BA1658" s="327"/>
      <c r="BB1658" s="327"/>
      <c r="BC1658" s="327"/>
      <c r="BD1658" s="327"/>
      <c r="BE1658" s="327"/>
      <c r="BF1658" s="327"/>
      <c r="BG1658" s="327"/>
      <c r="BH1658" s="327"/>
      <c r="BI1658" s="327"/>
      <c r="BJ1658" s="327"/>
      <c r="BK1658" s="327"/>
      <c r="BL1658" s="327"/>
      <c r="BM1658" s="327"/>
      <c r="BN1658" s="327"/>
      <c r="BO1658" s="327"/>
      <c r="BP1658" s="327"/>
      <c r="BQ1658" s="327"/>
      <c r="BR1658" s="327"/>
      <c r="BS1658" s="474"/>
      <c r="BT1658" s="327"/>
      <c r="BU1658" s="327"/>
      <c r="BV1658" s="327"/>
      <c r="BW1658" s="327"/>
      <c r="BX1658" s="327"/>
      <c r="BY1658" s="327"/>
      <c r="BZ1658" s="327"/>
      <c r="CA1658" s="369"/>
      <c r="CB1658" s="592"/>
      <c r="CC1658" s="259"/>
      <c r="CD1658" s="259"/>
      <c r="CE1658" s="342" t="s">
        <v>1576</v>
      </c>
      <c r="CF1658" s="342" t="s">
        <v>1575</v>
      </c>
      <c r="CG1658" s="38"/>
    </row>
    <row r="1659" spans="1:86" s="13" customFormat="1" x14ac:dyDescent="0.2">
      <c r="A1659" s="327" t="s">
        <v>1012</v>
      </c>
      <c r="B1659" s="327" t="s">
        <v>1013</v>
      </c>
      <c r="C1659" s="327" t="s">
        <v>633</v>
      </c>
      <c r="D1659" s="327" t="s">
        <v>553</v>
      </c>
      <c r="E1659" s="327" t="s">
        <v>901</v>
      </c>
      <c r="F1659" s="327">
        <v>1</v>
      </c>
      <c r="G1659" s="327">
        <v>4</v>
      </c>
      <c r="H1659" s="328">
        <v>4</v>
      </c>
      <c r="I1659" s="327" t="s">
        <v>856</v>
      </c>
      <c r="J1659" s="327">
        <v>1983</v>
      </c>
      <c r="K1659" s="265" t="s">
        <v>1211</v>
      </c>
      <c r="L1659" s="265">
        <v>1986</v>
      </c>
      <c r="M1659" s="368">
        <v>-9999</v>
      </c>
      <c r="N1659" s="327">
        <v>-9999</v>
      </c>
      <c r="O1659" s="323"/>
      <c r="P1659" s="297">
        <v>15.4918</v>
      </c>
      <c r="Q1659" s="327">
        <v>-9999</v>
      </c>
      <c r="R1659" s="368">
        <v>-9999</v>
      </c>
      <c r="S1659" s="327">
        <v>-9999</v>
      </c>
      <c r="T1659" s="370">
        <f t="shared" ref="T1659:T1664" si="219">+P1659/G1659</f>
        <v>3.8729499999999999</v>
      </c>
      <c r="U1659" s="327">
        <v>-9999</v>
      </c>
      <c r="V1659" s="327">
        <v>-9999</v>
      </c>
      <c r="W1659" s="368">
        <v>-9999</v>
      </c>
      <c r="X1659" s="327">
        <v>-9999</v>
      </c>
      <c r="Y1659" s="327">
        <v>-9999</v>
      </c>
      <c r="Z1659" s="327" t="s">
        <v>1015</v>
      </c>
      <c r="AA1659" s="327">
        <v>1495</v>
      </c>
      <c r="AB1659" s="368">
        <v>-9999</v>
      </c>
      <c r="AC1659" s="327">
        <v>-9999</v>
      </c>
      <c r="AD1659" s="327">
        <v>820</v>
      </c>
      <c r="AE1659" s="327" t="s">
        <v>281</v>
      </c>
      <c r="AF1659" s="327">
        <v>3</v>
      </c>
      <c r="AG1659" s="327" t="s">
        <v>843</v>
      </c>
      <c r="AH1659" s="327" t="s">
        <v>876</v>
      </c>
      <c r="AI1659" s="327" t="s">
        <v>886</v>
      </c>
      <c r="AJ1659" s="327" t="s">
        <v>892</v>
      </c>
      <c r="AK1659" s="327" t="s">
        <v>965</v>
      </c>
      <c r="AL1659" s="327" t="s">
        <v>828</v>
      </c>
      <c r="AM1659" s="327" t="s">
        <v>871</v>
      </c>
      <c r="AN1659" s="327" t="s">
        <v>631</v>
      </c>
      <c r="AO1659" s="327">
        <v>-9999</v>
      </c>
      <c r="AP1659" s="327">
        <v>-9999</v>
      </c>
      <c r="AQ1659" s="327" t="s">
        <v>631</v>
      </c>
      <c r="AR1659" s="327">
        <v>0</v>
      </c>
      <c r="AS1659" s="327">
        <v>-9999</v>
      </c>
      <c r="AT1659" s="327">
        <v>-9999</v>
      </c>
      <c r="AU1659" s="327">
        <v>0</v>
      </c>
      <c r="AV1659" s="327">
        <v>-9999</v>
      </c>
      <c r="AW1659" s="327">
        <v>-9999</v>
      </c>
      <c r="AX1659" s="327">
        <v>0</v>
      </c>
      <c r="AY1659" s="327">
        <v>-9999</v>
      </c>
      <c r="AZ1659" s="327">
        <v>-9999</v>
      </c>
      <c r="BA1659" s="327">
        <v>-9999</v>
      </c>
      <c r="BB1659" s="327" t="s">
        <v>626</v>
      </c>
      <c r="BC1659" s="327" t="s">
        <v>315</v>
      </c>
      <c r="BD1659" s="327">
        <v>-9999</v>
      </c>
      <c r="BE1659" s="327">
        <v>-9999</v>
      </c>
      <c r="BF1659" s="327" t="s">
        <v>162</v>
      </c>
      <c r="BG1659" s="327">
        <v>-9999</v>
      </c>
      <c r="BH1659" s="327">
        <v>-9999</v>
      </c>
      <c r="BI1659" s="327" t="s">
        <v>316</v>
      </c>
      <c r="BJ1659" s="327">
        <v>5.3</v>
      </c>
      <c r="BK1659" s="327">
        <v>-9999</v>
      </c>
      <c r="BL1659" s="327">
        <v>-9999</v>
      </c>
      <c r="BM1659" s="327">
        <v>-9999</v>
      </c>
      <c r="BN1659" s="327">
        <v>-9999</v>
      </c>
      <c r="BO1659" s="327">
        <v>-9999</v>
      </c>
      <c r="BP1659" s="327">
        <v>-9999</v>
      </c>
      <c r="BQ1659" s="327">
        <v>-9999</v>
      </c>
      <c r="BR1659" s="327">
        <v>-9999</v>
      </c>
      <c r="BS1659" s="474">
        <v>-9999</v>
      </c>
      <c r="BT1659" s="327">
        <v>-9999</v>
      </c>
      <c r="BU1659" s="327">
        <v>-9999</v>
      </c>
      <c r="BV1659" s="327">
        <v>-9999</v>
      </c>
      <c r="BW1659" s="327"/>
      <c r="BX1659" s="327">
        <v>-9999</v>
      </c>
      <c r="BY1659" s="327">
        <v>-9999</v>
      </c>
      <c r="BZ1659" s="327">
        <v>-9999</v>
      </c>
      <c r="CA1659" s="369">
        <v>-9999</v>
      </c>
      <c r="CB1659" s="592"/>
      <c r="CC1659" s="327">
        <v>1</v>
      </c>
      <c r="CD1659" s="327">
        <v>4</v>
      </c>
      <c r="CE1659" s="342">
        <v>3.8729499999999999</v>
      </c>
      <c r="CF1659" s="342">
        <v>3.8729499999999999</v>
      </c>
      <c r="CG1659" s="347">
        <v>4</v>
      </c>
    </row>
    <row r="1660" spans="1:86" s="13" customFormat="1" x14ac:dyDescent="0.2">
      <c r="A1660" s="327" t="s">
        <v>1012</v>
      </c>
      <c r="B1660" s="327" t="s">
        <v>1013</v>
      </c>
      <c r="C1660" s="327" t="s">
        <v>633</v>
      </c>
      <c r="D1660" s="327" t="s">
        <v>553</v>
      </c>
      <c r="E1660" s="327" t="s">
        <v>901</v>
      </c>
      <c r="F1660" s="327">
        <v>1</v>
      </c>
      <c r="G1660" s="327">
        <v>6</v>
      </c>
      <c r="H1660" s="328">
        <v>6</v>
      </c>
      <c r="I1660" s="327" t="s">
        <v>856</v>
      </c>
      <c r="J1660" s="327">
        <v>1983</v>
      </c>
      <c r="K1660" s="265" t="s">
        <v>1211</v>
      </c>
      <c r="L1660" s="265">
        <v>1988</v>
      </c>
      <c r="M1660" s="368">
        <v>-9999</v>
      </c>
      <c r="N1660" s="327">
        <v>-9999</v>
      </c>
      <c r="O1660" s="323"/>
      <c r="P1660" s="297">
        <v>33.997300000000003</v>
      </c>
      <c r="Q1660" s="327">
        <v>-9999</v>
      </c>
      <c r="R1660" s="368">
        <v>-9999</v>
      </c>
      <c r="S1660" s="327">
        <v>-9999</v>
      </c>
      <c r="T1660" s="370">
        <f t="shared" si="219"/>
        <v>5.6662166666666671</v>
      </c>
      <c r="U1660" s="327">
        <v>-9999</v>
      </c>
      <c r="V1660" s="327">
        <v>-9999</v>
      </c>
      <c r="W1660" s="368">
        <f>+(P1660-P1659)/2</f>
        <v>9.2527500000000025</v>
      </c>
      <c r="X1660" s="327">
        <v>-9999</v>
      </c>
      <c r="Y1660" s="327">
        <v>-9999</v>
      </c>
      <c r="Z1660" s="327" t="s">
        <v>1015</v>
      </c>
      <c r="AA1660" s="327">
        <v>1495</v>
      </c>
      <c r="AB1660" s="368">
        <v>-9999</v>
      </c>
      <c r="AC1660" s="327">
        <v>-9999</v>
      </c>
      <c r="AD1660" s="327">
        <v>820</v>
      </c>
      <c r="AE1660" s="327" t="s">
        <v>281</v>
      </c>
      <c r="AF1660" s="327">
        <v>3</v>
      </c>
      <c r="AG1660" s="327" t="s">
        <v>843</v>
      </c>
      <c r="AH1660" s="327" t="s">
        <v>876</v>
      </c>
      <c r="AI1660" s="327" t="s">
        <v>886</v>
      </c>
      <c r="AJ1660" s="327" t="s">
        <v>892</v>
      </c>
      <c r="AK1660" s="327" t="s">
        <v>965</v>
      </c>
      <c r="AL1660" s="327" t="s">
        <v>828</v>
      </c>
      <c r="AM1660" s="327" t="s">
        <v>871</v>
      </c>
      <c r="AN1660" s="327" t="s">
        <v>631</v>
      </c>
      <c r="AO1660" s="327">
        <v>-9999</v>
      </c>
      <c r="AP1660" s="327">
        <v>-9999</v>
      </c>
      <c r="AQ1660" s="327" t="s">
        <v>631</v>
      </c>
      <c r="AR1660" s="327">
        <v>0</v>
      </c>
      <c r="AS1660" s="327">
        <v>-9999</v>
      </c>
      <c r="AT1660" s="327">
        <v>-9999</v>
      </c>
      <c r="AU1660" s="327">
        <v>0</v>
      </c>
      <c r="AV1660" s="327">
        <v>-9999</v>
      </c>
      <c r="AW1660" s="327">
        <v>-9999</v>
      </c>
      <c r="AX1660" s="327">
        <v>0</v>
      </c>
      <c r="AY1660" s="327">
        <v>-9999</v>
      </c>
      <c r="AZ1660" s="327">
        <v>-9999</v>
      </c>
      <c r="BA1660" s="327">
        <v>-9999</v>
      </c>
      <c r="BB1660" s="327" t="s">
        <v>626</v>
      </c>
      <c r="BC1660" s="327" t="s">
        <v>315</v>
      </c>
      <c r="BD1660" s="327">
        <v>-9999</v>
      </c>
      <c r="BE1660" s="327">
        <v>-9999</v>
      </c>
      <c r="BF1660" s="327" t="s">
        <v>162</v>
      </c>
      <c r="BG1660" s="327">
        <v>-9999</v>
      </c>
      <c r="BH1660" s="327">
        <v>-9999</v>
      </c>
      <c r="BI1660" s="327" t="s">
        <v>316</v>
      </c>
      <c r="BJ1660" s="327">
        <v>12.6</v>
      </c>
      <c r="BK1660" s="327">
        <v>-9999</v>
      </c>
      <c r="BL1660" s="327">
        <v>-9999</v>
      </c>
      <c r="BM1660" s="327">
        <v>-9999</v>
      </c>
      <c r="BN1660" s="327">
        <v>-9999</v>
      </c>
      <c r="BO1660" s="327">
        <v>-9999</v>
      </c>
      <c r="BP1660" s="327">
        <v>-9999</v>
      </c>
      <c r="BQ1660" s="327">
        <v>-9999</v>
      </c>
      <c r="BR1660" s="327">
        <v>-9999</v>
      </c>
      <c r="BS1660" s="474">
        <v>-9999</v>
      </c>
      <c r="BT1660" s="327">
        <v>-9999</v>
      </c>
      <c r="BU1660" s="327">
        <v>-9999</v>
      </c>
      <c r="BV1660" s="327">
        <v>-9999</v>
      </c>
      <c r="BW1660" s="327"/>
      <c r="BX1660" s="327">
        <v>-9999</v>
      </c>
      <c r="BY1660" s="327">
        <v>-9999</v>
      </c>
      <c r="BZ1660" s="327">
        <v>-9999</v>
      </c>
      <c r="CA1660" s="369">
        <v>-9999</v>
      </c>
      <c r="CB1660" s="592"/>
      <c r="CC1660" s="327">
        <v>1</v>
      </c>
      <c r="CD1660" s="327">
        <v>6</v>
      </c>
      <c r="CE1660" s="342">
        <v>5.6662166666666671</v>
      </c>
      <c r="CF1660" s="342">
        <v>9.2527500000000025</v>
      </c>
      <c r="CG1660" s="347">
        <v>6</v>
      </c>
    </row>
    <row r="1661" spans="1:86" s="13" customFormat="1" x14ac:dyDescent="0.2">
      <c r="A1661" s="327" t="s">
        <v>1012</v>
      </c>
      <c r="B1661" s="327" t="s">
        <v>1013</v>
      </c>
      <c r="C1661" s="327" t="s">
        <v>633</v>
      </c>
      <c r="D1661" s="327" t="s">
        <v>553</v>
      </c>
      <c r="E1661" s="327" t="s">
        <v>901</v>
      </c>
      <c r="F1661" s="327">
        <v>1</v>
      </c>
      <c r="G1661" s="327">
        <v>9</v>
      </c>
      <c r="H1661" s="328">
        <v>9</v>
      </c>
      <c r="I1661" s="327" t="s">
        <v>856</v>
      </c>
      <c r="J1661" s="327">
        <v>1983</v>
      </c>
      <c r="K1661" s="265" t="s">
        <v>1211</v>
      </c>
      <c r="L1661" s="265">
        <v>1991</v>
      </c>
      <c r="M1661" s="368">
        <v>-9999</v>
      </c>
      <c r="N1661" s="327">
        <v>-9999</v>
      </c>
      <c r="O1661" s="323"/>
      <c r="P1661" s="297">
        <v>69.271799999999999</v>
      </c>
      <c r="Q1661" s="327">
        <v>-9999</v>
      </c>
      <c r="R1661" s="368">
        <v>-9999</v>
      </c>
      <c r="S1661" s="327">
        <v>-9999</v>
      </c>
      <c r="T1661" s="370">
        <f t="shared" si="219"/>
        <v>7.6968666666666667</v>
      </c>
      <c r="U1661" s="327">
        <v>-9999</v>
      </c>
      <c r="V1661" s="327">
        <v>-9999</v>
      </c>
      <c r="W1661" s="368">
        <f>+(P1661-P1660)/3</f>
        <v>11.758166666666666</v>
      </c>
      <c r="X1661" s="327">
        <v>-9999</v>
      </c>
      <c r="Y1661" s="327">
        <v>-9999</v>
      </c>
      <c r="Z1661" s="327" t="s">
        <v>1015</v>
      </c>
      <c r="AA1661" s="327">
        <v>1495</v>
      </c>
      <c r="AB1661" s="368">
        <v>-9999</v>
      </c>
      <c r="AC1661" s="327">
        <v>-9999</v>
      </c>
      <c r="AD1661" s="327">
        <v>820</v>
      </c>
      <c r="AE1661" s="327" t="s">
        <v>281</v>
      </c>
      <c r="AF1661" s="327">
        <v>3</v>
      </c>
      <c r="AG1661" s="327" t="s">
        <v>843</v>
      </c>
      <c r="AH1661" s="327" t="s">
        <v>876</v>
      </c>
      <c r="AI1661" s="327" t="s">
        <v>886</v>
      </c>
      <c r="AJ1661" s="327" t="s">
        <v>892</v>
      </c>
      <c r="AK1661" s="327" t="s">
        <v>965</v>
      </c>
      <c r="AL1661" s="327" t="s">
        <v>828</v>
      </c>
      <c r="AM1661" s="327" t="s">
        <v>871</v>
      </c>
      <c r="AN1661" s="327" t="s">
        <v>631</v>
      </c>
      <c r="AO1661" s="327">
        <v>-9999</v>
      </c>
      <c r="AP1661" s="327">
        <v>-9999</v>
      </c>
      <c r="AQ1661" s="327" t="s">
        <v>631</v>
      </c>
      <c r="AR1661" s="327">
        <v>0</v>
      </c>
      <c r="AS1661" s="327">
        <v>-9999</v>
      </c>
      <c r="AT1661" s="327">
        <v>-9999</v>
      </c>
      <c r="AU1661" s="327">
        <v>0</v>
      </c>
      <c r="AV1661" s="327">
        <v>-9999</v>
      </c>
      <c r="AW1661" s="327">
        <v>-9999</v>
      </c>
      <c r="AX1661" s="327">
        <v>0</v>
      </c>
      <c r="AY1661" s="327">
        <v>-9999</v>
      </c>
      <c r="AZ1661" s="327">
        <v>-9999</v>
      </c>
      <c r="BA1661" s="327">
        <v>-9999</v>
      </c>
      <c r="BB1661" s="327" t="s">
        <v>626</v>
      </c>
      <c r="BC1661" s="327" t="s">
        <v>315</v>
      </c>
      <c r="BD1661" s="327">
        <v>-9999</v>
      </c>
      <c r="BE1661" s="327">
        <v>-9999</v>
      </c>
      <c r="BF1661" s="327" t="s">
        <v>162</v>
      </c>
      <c r="BG1661" s="327">
        <v>-9999</v>
      </c>
      <c r="BH1661" s="327">
        <v>-9999</v>
      </c>
      <c r="BI1661" s="327" t="s">
        <v>316</v>
      </c>
      <c r="BJ1661" s="327">
        <v>22.1</v>
      </c>
      <c r="BK1661" s="327">
        <v>-9999</v>
      </c>
      <c r="BL1661" s="327">
        <v>-9999</v>
      </c>
      <c r="BM1661" s="327">
        <v>-9999</v>
      </c>
      <c r="BN1661" s="327">
        <v>-9999</v>
      </c>
      <c r="BO1661" s="327">
        <v>-9999</v>
      </c>
      <c r="BP1661" s="327">
        <v>-9999</v>
      </c>
      <c r="BQ1661" s="327">
        <v>-9999</v>
      </c>
      <c r="BR1661" s="327">
        <v>-9999</v>
      </c>
      <c r="BS1661" s="474">
        <v>-9999</v>
      </c>
      <c r="BT1661" s="327">
        <v>-9999</v>
      </c>
      <c r="BU1661" s="327">
        <v>-9999</v>
      </c>
      <c r="BV1661" s="327">
        <v>-9999</v>
      </c>
      <c r="BW1661" s="327"/>
      <c r="BX1661" s="327">
        <v>-9999</v>
      </c>
      <c r="BY1661" s="327">
        <v>-9999</v>
      </c>
      <c r="BZ1661" s="327">
        <v>-9999</v>
      </c>
      <c r="CA1661" s="369">
        <v>-9999</v>
      </c>
      <c r="CB1661" s="592"/>
      <c r="CC1661" s="327">
        <v>1</v>
      </c>
      <c r="CD1661" s="327">
        <v>9</v>
      </c>
      <c r="CE1661" s="342">
        <v>7.6968666666666667</v>
      </c>
      <c r="CF1661" s="342">
        <v>11.758166666666666</v>
      </c>
      <c r="CG1661" s="347">
        <v>9</v>
      </c>
    </row>
    <row r="1662" spans="1:86" s="13" customFormat="1" x14ac:dyDescent="0.2">
      <c r="A1662" s="327" t="s">
        <v>1012</v>
      </c>
      <c r="B1662" s="327" t="s">
        <v>1013</v>
      </c>
      <c r="C1662" s="327" t="s">
        <v>633</v>
      </c>
      <c r="D1662" s="327" t="s">
        <v>553</v>
      </c>
      <c r="E1662" s="327" t="s">
        <v>901</v>
      </c>
      <c r="F1662" s="327">
        <v>1</v>
      </c>
      <c r="G1662" s="327">
        <v>11</v>
      </c>
      <c r="H1662" s="328">
        <v>11</v>
      </c>
      <c r="I1662" s="327" t="s">
        <v>856</v>
      </c>
      <c r="J1662" s="327">
        <v>1983</v>
      </c>
      <c r="K1662" s="265" t="s">
        <v>1211</v>
      </c>
      <c r="L1662" s="265">
        <v>1993</v>
      </c>
      <c r="M1662" s="368">
        <v>-9999</v>
      </c>
      <c r="N1662" s="327">
        <v>-9999</v>
      </c>
      <c r="O1662" s="323"/>
      <c r="P1662" s="297">
        <v>94.394599999999997</v>
      </c>
      <c r="Q1662" s="327">
        <v>-9999</v>
      </c>
      <c r="R1662" s="368">
        <v>-9999</v>
      </c>
      <c r="S1662" s="327">
        <v>-9999</v>
      </c>
      <c r="T1662" s="370">
        <f t="shared" si="219"/>
        <v>8.5813272727272718</v>
      </c>
      <c r="U1662" s="327">
        <v>-9999</v>
      </c>
      <c r="V1662" s="327">
        <v>-9999</v>
      </c>
      <c r="W1662" s="368">
        <f>+(P1662-P1661)/2</f>
        <v>12.561399999999999</v>
      </c>
      <c r="X1662" s="327">
        <v>-9999</v>
      </c>
      <c r="Y1662" s="327">
        <v>-9999</v>
      </c>
      <c r="Z1662" s="327" t="s">
        <v>1015</v>
      </c>
      <c r="AA1662" s="327">
        <v>1495</v>
      </c>
      <c r="AB1662" s="368">
        <v>-9999</v>
      </c>
      <c r="AC1662" s="327">
        <v>-9999</v>
      </c>
      <c r="AD1662" s="327">
        <v>820</v>
      </c>
      <c r="AE1662" s="327" t="s">
        <v>281</v>
      </c>
      <c r="AF1662" s="327">
        <v>3</v>
      </c>
      <c r="AG1662" s="327" t="s">
        <v>843</v>
      </c>
      <c r="AH1662" s="327" t="s">
        <v>876</v>
      </c>
      <c r="AI1662" s="327" t="s">
        <v>886</v>
      </c>
      <c r="AJ1662" s="327" t="s">
        <v>892</v>
      </c>
      <c r="AK1662" s="327" t="s">
        <v>965</v>
      </c>
      <c r="AL1662" s="327" t="s">
        <v>828</v>
      </c>
      <c r="AM1662" s="327" t="s">
        <v>871</v>
      </c>
      <c r="AN1662" s="327" t="s">
        <v>631</v>
      </c>
      <c r="AO1662" s="327">
        <v>-9999</v>
      </c>
      <c r="AP1662" s="327">
        <v>-9999</v>
      </c>
      <c r="AQ1662" s="327" t="s">
        <v>631</v>
      </c>
      <c r="AR1662" s="327">
        <v>0</v>
      </c>
      <c r="AS1662" s="327">
        <v>-9999</v>
      </c>
      <c r="AT1662" s="327">
        <v>-9999</v>
      </c>
      <c r="AU1662" s="327">
        <v>0</v>
      </c>
      <c r="AV1662" s="327">
        <v>-9999</v>
      </c>
      <c r="AW1662" s="327">
        <v>-9999</v>
      </c>
      <c r="AX1662" s="327">
        <v>0</v>
      </c>
      <c r="AY1662" s="327">
        <v>-9999</v>
      </c>
      <c r="AZ1662" s="327">
        <v>-9999</v>
      </c>
      <c r="BA1662" s="327">
        <v>-9999</v>
      </c>
      <c r="BB1662" s="327" t="s">
        <v>626</v>
      </c>
      <c r="BC1662" s="327" t="s">
        <v>315</v>
      </c>
      <c r="BD1662" s="327">
        <v>-9999</v>
      </c>
      <c r="BE1662" s="327">
        <v>-9999</v>
      </c>
      <c r="BF1662" s="327" t="s">
        <v>162</v>
      </c>
      <c r="BG1662" s="327">
        <v>-9999</v>
      </c>
      <c r="BH1662" s="327">
        <v>-9999</v>
      </c>
      <c r="BI1662" s="327" t="s">
        <v>316</v>
      </c>
      <c r="BJ1662" s="327">
        <v>27.9</v>
      </c>
      <c r="BK1662" s="327">
        <v>-9999</v>
      </c>
      <c r="BL1662" s="327">
        <v>-9999</v>
      </c>
      <c r="BM1662" s="327">
        <v>-9999</v>
      </c>
      <c r="BN1662" s="327">
        <v>-9999</v>
      </c>
      <c r="BO1662" s="327">
        <v>-9999</v>
      </c>
      <c r="BP1662" s="327">
        <v>-9999</v>
      </c>
      <c r="BQ1662" s="327">
        <v>-9999</v>
      </c>
      <c r="BR1662" s="327">
        <v>-9999</v>
      </c>
      <c r="BS1662" s="474">
        <v>-9999</v>
      </c>
      <c r="BT1662" s="327">
        <v>-9999</v>
      </c>
      <c r="BU1662" s="327">
        <v>-9999</v>
      </c>
      <c r="BV1662" s="327">
        <v>-9999</v>
      </c>
      <c r="BW1662" s="327"/>
      <c r="BX1662" s="327">
        <v>-9999</v>
      </c>
      <c r="BY1662" s="327">
        <v>-9999</v>
      </c>
      <c r="BZ1662" s="327">
        <v>-9999</v>
      </c>
      <c r="CA1662" s="369">
        <v>-9999</v>
      </c>
      <c r="CB1662" s="592"/>
      <c r="CC1662" s="327">
        <v>1</v>
      </c>
      <c r="CD1662" s="327">
        <v>11</v>
      </c>
      <c r="CE1662" s="342">
        <v>8.5813272727272718</v>
      </c>
      <c r="CF1662" s="342">
        <v>12.561399999999999</v>
      </c>
      <c r="CG1662" s="347">
        <v>11</v>
      </c>
    </row>
    <row r="1663" spans="1:86" s="301" customFormat="1" x14ac:dyDescent="0.2">
      <c r="A1663" s="327" t="s">
        <v>1012</v>
      </c>
      <c r="B1663" s="327" t="s">
        <v>1013</v>
      </c>
      <c r="C1663" s="327" t="s">
        <v>633</v>
      </c>
      <c r="D1663" s="327" t="s">
        <v>553</v>
      </c>
      <c r="E1663" s="327" t="s">
        <v>901</v>
      </c>
      <c r="F1663" s="327">
        <v>1</v>
      </c>
      <c r="G1663" s="327">
        <v>13</v>
      </c>
      <c r="H1663" s="328">
        <v>13</v>
      </c>
      <c r="I1663" s="327" t="s">
        <v>856</v>
      </c>
      <c r="J1663" s="327">
        <v>1983</v>
      </c>
      <c r="K1663" s="265" t="s">
        <v>1211</v>
      </c>
      <c r="L1663" s="265">
        <v>1995</v>
      </c>
      <c r="M1663" s="368">
        <v>-9999</v>
      </c>
      <c r="N1663" s="327">
        <v>-9999</v>
      </c>
      <c r="O1663" s="323"/>
      <c r="P1663" s="368">
        <v>117.1</v>
      </c>
      <c r="Q1663" s="327">
        <v>-9999</v>
      </c>
      <c r="R1663" s="368">
        <v>76.900000000000006</v>
      </c>
      <c r="S1663" s="327">
        <v>9.3000000000000007</v>
      </c>
      <c r="T1663" s="370">
        <f t="shared" si="219"/>
        <v>9.0076923076923077</v>
      </c>
      <c r="U1663" s="327">
        <v>-9999</v>
      </c>
      <c r="V1663" s="287">
        <f>+R1663/G1663</f>
        <v>5.9153846153846157</v>
      </c>
      <c r="W1663" s="368">
        <f>+(P1663-P1662)/2</f>
        <v>11.352699999999999</v>
      </c>
      <c r="X1663" s="327">
        <v>-9999</v>
      </c>
      <c r="Y1663" s="327">
        <v>-9999</v>
      </c>
      <c r="Z1663" s="327" t="s">
        <v>1015</v>
      </c>
      <c r="AA1663" s="327">
        <v>1495</v>
      </c>
      <c r="AB1663" s="368">
        <v>-9999</v>
      </c>
      <c r="AC1663" s="327">
        <v>-9999</v>
      </c>
      <c r="AD1663" s="327">
        <v>820</v>
      </c>
      <c r="AE1663" s="327" t="s">
        <v>281</v>
      </c>
      <c r="AF1663" s="327">
        <v>3</v>
      </c>
      <c r="AG1663" s="327" t="s">
        <v>843</v>
      </c>
      <c r="AH1663" s="327" t="s">
        <v>876</v>
      </c>
      <c r="AI1663" s="327" t="s">
        <v>886</v>
      </c>
      <c r="AJ1663" s="327" t="s">
        <v>892</v>
      </c>
      <c r="AK1663" s="327" t="s">
        <v>965</v>
      </c>
      <c r="AL1663" s="327" t="s">
        <v>828</v>
      </c>
      <c r="AM1663" s="327" t="s">
        <v>871</v>
      </c>
      <c r="AN1663" s="327" t="s">
        <v>631</v>
      </c>
      <c r="AO1663" s="327">
        <v>-9999</v>
      </c>
      <c r="AP1663" s="327">
        <v>-9999</v>
      </c>
      <c r="AQ1663" s="327" t="s">
        <v>631</v>
      </c>
      <c r="AR1663" s="327">
        <v>0</v>
      </c>
      <c r="AS1663" s="327">
        <v>-9999</v>
      </c>
      <c r="AT1663" s="327">
        <v>-9999</v>
      </c>
      <c r="AU1663" s="327">
        <v>0</v>
      </c>
      <c r="AV1663" s="327">
        <v>-9999</v>
      </c>
      <c r="AW1663" s="327">
        <v>-9999</v>
      </c>
      <c r="AX1663" s="327">
        <v>0</v>
      </c>
      <c r="AY1663" s="327">
        <v>-9999</v>
      </c>
      <c r="AZ1663" s="327">
        <v>-9999</v>
      </c>
      <c r="BA1663" s="327">
        <v>-9999</v>
      </c>
      <c r="BB1663" s="327" t="s">
        <v>626</v>
      </c>
      <c r="BC1663" s="327" t="s">
        <v>315</v>
      </c>
      <c r="BD1663" s="327">
        <v>-9999</v>
      </c>
      <c r="BE1663" s="327">
        <v>-9999</v>
      </c>
      <c r="BF1663" s="327" t="s">
        <v>162</v>
      </c>
      <c r="BG1663" s="327">
        <v>-9999</v>
      </c>
      <c r="BH1663" s="327">
        <v>-9999</v>
      </c>
      <c r="BI1663" s="327" t="s">
        <v>316</v>
      </c>
      <c r="BJ1663" s="327">
        <v>32.9</v>
      </c>
      <c r="BK1663" s="327">
        <v>-9999</v>
      </c>
      <c r="BL1663" s="327">
        <v>-9999</v>
      </c>
      <c r="BM1663" s="327">
        <v>-9999</v>
      </c>
      <c r="BN1663" s="327">
        <v>-9999</v>
      </c>
      <c r="BO1663" s="327">
        <v>-9999</v>
      </c>
      <c r="BP1663" s="327">
        <v>-9999</v>
      </c>
      <c r="BQ1663" s="327">
        <v>-9999</v>
      </c>
      <c r="BR1663" s="327">
        <v>-9999</v>
      </c>
      <c r="BS1663" s="474">
        <v>-9999</v>
      </c>
      <c r="BT1663" s="327">
        <v>-9999</v>
      </c>
      <c r="BU1663" s="327">
        <v>-9999</v>
      </c>
      <c r="BV1663" s="327">
        <v>-9999</v>
      </c>
      <c r="BW1663" s="327"/>
      <c r="BX1663" s="327">
        <v>-9999</v>
      </c>
      <c r="BY1663" s="327">
        <v>-9999</v>
      </c>
      <c r="BZ1663" s="327">
        <v>-9999</v>
      </c>
      <c r="CA1663" s="369">
        <v>-9999</v>
      </c>
      <c r="CB1663" s="475"/>
      <c r="CC1663" s="327">
        <v>1</v>
      </c>
      <c r="CD1663" s="327">
        <v>13</v>
      </c>
      <c r="CE1663" s="402">
        <v>9.0076923076923077</v>
      </c>
      <c r="CF1663" s="342">
        <v>11.352699999999999</v>
      </c>
      <c r="CG1663" s="328">
        <v>13</v>
      </c>
      <c r="CH1663" s="438"/>
    </row>
    <row r="1664" spans="1:86" s="301" customFormat="1" x14ac:dyDescent="0.2">
      <c r="A1664" s="327" t="s">
        <v>1012</v>
      </c>
      <c r="B1664" s="327" t="s">
        <v>1013</v>
      </c>
      <c r="C1664" s="327" t="s">
        <v>633</v>
      </c>
      <c r="D1664" s="327" t="s">
        <v>553</v>
      </c>
      <c r="E1664" s="327" t="s">
        <v>901</v>
      </c>
      <c r="F1664" s="327">
        <v>1</v>
      </c>
      <c r="G1664" s="327">
        <v>16</v>
      </c>
      <c r="H1664" s="328">
        <v>16</v>
      </c>
      <c r="I1664" s="327" t="s">
        <v>856</v>
      </c>
      <c r="J1664" s="327">
        <v>1983</v>
      </c>
      <c r="K1664" s="265" t="s">
        <v>1211</v>
      </c>
      <c r="L1664" s="265">
        <v>1998</v>
      </c>
      <c r="M1664" s="368">
        <v>-9999</v>
      </c>
      <c r="N1664" s="327">
        <v>-9999</v>
      </c>
      <c r="O1664" s="323"/>
      <c r="P1664" s="297">
        <v>133.12</v>
      </c>
      <c r="Q1664" s="327">
        <v>-9999</v>
      </c>
      <c r="R1664" s="368">
        <v>-9999</v>
      </c>
      <c r="S1664" s="327">
        <v>-9999</v>
      </c>
      <c r="T1664" s="370">
        <f t="shared" si="219"/>
        <v>8.32</v>
      </c>
      <c r="U1664" s="327">
        <v>-9999</v>
      </c>
      <c r="V1664" s="327">
        <v>-9999</v>
      </c>
      <c r="W1664" s="368">
        <f>+(P1664-P1663)/3</f>
        <v>5.3400000000000034</v>
      </c>
      <c r="X1664" s="327">
        <v>-9999</v>
      </c>
      <c r="Y1664" s="327">
        <v>-9999</v>
      </c>
      <c r="Z1664" s="327" t="s">
        <v>1015</v>
      </c>
      <c r="AA1664" s="327">
        <v>1495</v>
      </c>
      <c r="AB1664" s="368">
        <v>-9999</v>
      </c>
      <c r="AC1664" s="327">
        <v>-9999</v>
      </c>
      <c r="AD1664" s="327">
        <v>820</v>
      </c>
      <c r="AE1664" s="327" t="s">
        <v>281</v>
      </c>
      <c r="AF1664" s="327">
        <v>3</v>
      </c>
      <c r="AG1664" s="327" t="s">
        <v>843</v>
      </c>
      <c r="AH1664" s="327" t="s">
        <v>876</v>
      </c>
      <c r="AI1664" s="327" t="s">
        <v>886</v>
      </c>
      <c r="AJ1664" s="327" t="s">
        <v>892</v>
      </c>
      <c r="AK1664" s="327" t="s">
        <v>965</v>
      </c>
      <c r="AL1664" s="327" t="s">
        <v>828</v>
      </c>
      <c r="AM1664" s="327" t="s">
        <v>871</v>
      </c>
      <c r="AN1664" s="327" t="s">
        <v>631</v>
      </c>
      <c r="AO1664" s="327">
        <v>-9999</v>
      </c>
      <c r="AP1664" s="327">
        <v>-9999</v>
      </c>
      <c r="AQ1664" s="327" t="s">
        <v>631</v>
      </c>
      <c r="AR1664" s="327">
        <v>0</v>
      </c>
      <c r="AS1664" s="327">
        <v>-9999</v>
      </c>
      <c r="AT1664" s="327">
        <v>-9999</v>
      </c>
      <c r="AU1664" s="327">
        <v>0</v>
      </c>
      <c r="AV1664" s="327">
        <v>-9999</v>
      </c>
      <c r="AW1664" s="327">
        <v>-9999</v>
      </c>
      <c r="AX1664" s="327">
        <v>0</v>
      </c>
      <c r="AY1664" s="327">
        <v>-9999</v>
      </c>
      <c r="AZ1664" s="327">
        <v>-9999</v>
      </c>
      <c r="BA1664" s="327">
        <v>-9999</v>
      </c>
      <c r="BB1664" s="327" t="s">
        <v>631</v>
      </c>
      <c r="BC1664" s="327" t="s">
        <v>869</v>
      </c>
      <c r="BD1664" s="327">
        <v>-9999</v>
      </c>
      <c r="BE1664" s="327">
        <v>-9999</v>
      </c>
      <c r="BF1664" s="327">
        <v>-9999</v>
      </c>
      <c r="BG1664" s="327">
        <v>-9999</v>
      </c>
      <c r="BH1664" s="327">
        <v>-9999</v>
      </c>
      <c r="BI1664" s="327" t="s">
        <v>163</v>
      </c>
      <c r="BJ1664" s="327">
        <v>36.799999999999997</v>
      </c>
      <c r="BK1664" s="327">
        <v>-9999</v>
      </c>
      <c r="BL1664" s="327">
        <v>-9999</v>
      </c>
      <c r="BM1664" s="327">
        <v>-9999</v>
      </c>
      <c r="BN1664" s="327">
        <v>-9999</v>
      </c>
      <c r="BO1664" s="327">
        <v>-9999</v>
      </c>
      <c r="BP1664" s="327">
        <v>-9999</v>
      </c>
      <c r="BQ1664" s="327">
        <v>-9999</v>
      </c>
      <c r="BR1664" s="327">
        <v>-9999</v>
      </c>
      <c r="BS1664" s="474">
        <v>-9999</v>
      </c>
      <c r="BT1664" s="327">
        <v>-9999</v>
      </c>
      <c r="BU1664" s="327">
        <v>-9999</v>
      </c>
      <c r="BV1664" s="327">
        <v>-9999</v>
      </c>
      <c r="BW1664" s="327"/>
      <c r="BX1664" s="327">
        <v>-9999</v>
      </c>
      <c r="BY1664" s="327">
        <v>-9999</v>
      </c>
      <c r="BZ1664" s="327">
        <v>-9999</v>
      </c>
      <c r="CA1664" s="369">
        <v>-9999</v>
      </c>
      <c r="CB1664" s="475"/>
      <c r="CC1664" s="327">
        <v>1</v>
      </c>
      <c r="CD1664" s="327">
        <v>16</v>
      </c>
      <c r="CE1664" s="342">
        <v>8.32</v>
      </c>
      <c r="CF1664" s="342">
        <v>5.3400000000000034</v>
      </c>
      <c r="CG1664" s="347">
        <v>16</v>
      </c>
    </row>
    <row r="1665" spans="1:93" s="301" customFormat="1" x14ac:dyDescent="0.2">
      <c r="A1665" s="327"/>
      <c r="B1665" s="327"/>
      <c r="C1665" s="327"/>
      <c r="D1665" s="327"/>
      <c r="E1665" s="327"/>
      <c r="F1665" s="327"/>
      <c r="G1665" s="327"/>
      <c r="H1665" s="327"/>
      <c r="I1665" s="327"/>
      <c r="J1665" s="327"/>
      <c r="K1665" s="265"/>
      <c r="L1665" s="265"/>
      <c r="M1665" s="368"/>
      <c r="N1665" s="327"/>
      <c r="O1665" s="323"/>
      <c r="P1665" s="368"/>
      <c r="Q1665" s="327"/>
      <c r="R1665" s="368"/>
      <c r="S1665" s="327"/>
      <c r="T1665" s="370"/>
      <c r="U1665" s="327"/>
      <c r="V1665" s="327"/>
      <c r="W1665" s="368"/>
      <c r="X1665" s="327"/>
      <c r="Y1665" s="327"/>
      <c r="Z1665" s="327"/>
      <c r="AA1665" s="327"/>
      <c r="AB1665" s="368"/>
      <c r="AC1665" s="327"/>
      <c r="AD1665" s="327"/>
      <c r="AE1665" s="327"/>
      <c r="AF1665" s="327"/>
      <c r="AG1665" s="327"/>
      <c r="AH1665" s="327"/>
      <c r="AI1665" s="327"/>
      <c r="AJ1665" s="327"/>
      <c r="AK1665" s="327"/>
      <c r="AL1665" s="327"/>
      <c r="AM1665" s="327"/>
      <c r="AN1665" s="327"/>
      <c r="AO1665" s="327"/>
      <c r="AP1665" s="327"/>
      <c r="AQ1665" s="327"/>
      <c r="AR1665" s="327"/>
      <c r="AS1665" s="327"/>
      <c r="AT1665" s="327"/>
      <c r="AU1665" s="327"/>
      <c r="AV1665" s="327"/>
      <c r="AW1665" s="327"/>
      <c r="AX1665" s="327"/>
      <c r="AY1665" s="327"/>
      <c r="AZ1665" s="327"/>
      <c r="BA1665" s="327"/>
      <c r="BB1665" s="327"/>
      <c r="BC1665" s="327"/>
      <c r="BD1665" s="327"/>
      <c r="BE1665" s="327"/>
      <c r="BF1665" s="327"/>
      <c r="BG1665" s="327"/>
      <c r="BH1665" s="327"/>
      <c r="BI1665" s="327"/>
      <c r="BJ1665" s="327"/>
      <c r="BK1665" s="327"/>
      <c r="BL1665" s="327"/>
      <c r="BM1665" s="327"/>
      <c r="BN1665" s="327"/>
      <c r="BO1665" s="327"/>
      <c r="BP1665" s="327"/>
      <c r="BQ1665" s="327"/>
      <c r="BR1665" s="327"/>
      <c r="BS1665" s="474"/>
      <c r="BT1665" s="327"/>
      <c r="BU1665" s="327"/>
      <c r="BV1665" s="327"/>
      <c r="BW1665" s="327"/>
      <c r="BX1665" s="327"/>
      <c r="BY1665" s="327"/>
      <c r="BZ1665" s="327"/>
      <c r="CA1665" s="369"/>
      <c r="CB1665" s="475"/>
      <c r="CC1665" s="327"/>
      <c r="CD1665" s="327"/>
      <c r="CE1665" s="342" t="s">
        <v>1576</v>
      </c>
      <c r="CF1665" s="342" t="s">
        <v>1575</v>
      </c>
      <c r="CG1665" s="143"/>
    </row>
    <row r="1666" spans="1:93" s="301" customFormat="1" x14ac:dyDescent="0.2">
      <c r="A1666" s="327" t="s">
        <v>1012</v>
      </c>
      <c r="B1666" s="327" t="s">
        <v>1013</v>
      </c>
      <c r="C1666" s="327" t="s">
        <v>623</v>
      </c>
      <c r="D1666" s="327" t="s">
        <v>553</v>
      </c>
      <c r="E1666" s="327" t="s">
        <v>901</v>
      </c>
      <c r="F1666" s="327">
        <v>1</v>
      </c>
      <c r="G1666" s="327">
        <v>4</v>
      </c>
      <c r="H1666" s="328">
        <v>4</v>
      </c>
      <c r="I1666" s="327" t="s">
        <v>856</v>
      </c>
      <c r="J1666" s="327">
        <v>1983</v>
      </c>
      <c r="K1666" s="265" t="s">
        <v>1211</v>
      </c>
      <c r="L1666" s="265">
        <v>1986</v>
      </c>
      <c r="M1666" s="368">
        <v>-9999</v>
      </c>
      <c r="N1666" s="327">
        <v>-9999</v>
      </c>
      <c r="O1666" s="323"/>
      <c r="P1666" s="297">
        <v>1.0411900000000001</v>
      </c>
      <c r="Q1666" s="327">
        <v>-9999</v>
      </c>
      <c r="R1666" s="368">
        <v>-9999</v>
      </c>
      <c r="S1666" s="327">
        <v>-9999</v>
      </c>
      <c r="T1666" s="370">
        <f t="shared" ref="T1666:T1671" si="220">+P1666/G1666</f>
        <v>0.26029750000000001</v>
      </c>
      <c r="U1666" s="327">
        <v>-9999</v>
      </c>
      <c r="V1666" s="327">
        <v>-9999</v>
      </c>
      <c r="W1666" s="368">
        <v>-9999</v>
      </c>
      <c r="X1666" s="327">
        <v>-9999</v>
      </c>
      <c r="Y1666" s="327">
        <v>-9999</v>
      </c>
      <c r="Z1666" s="327" t="s">
        <v>1015</v>
      </c>
      <c r="AA1666" s="327">
        <v>1495</v>
      </c>
      <c r="AB1666" s="368">
        <v>-9999</v>
      </c>
      <c r="AC1666" s="327">
        <v>-9999</v>
      </c>
      <c r="AD1666" s="327">
        <v>820</v>
      </c>
      <c r="AE1666" s="327" t="s">
        <v>281</v>
      </c>
      <c r="AF1666" s="327">
        <v>3</v>
      </c>
      <c r="AG1666" s="327" t="s">
        <v>843</v>
      </c>
      <c r="AH1666" s="327" t="s">
        <v>876</v>
      </c>
      <c r="AI1666" s="327" t="s">
        <v>886</v>
      </c>
      <c r="AJ1666" s="327" t="s">
        <v>892</v>
      </c>
      <c r="AK1666" s="327" t="s">
        <v>965</v>
      </c>
      <c r="AL1666" s="327" t="s">
        <v>828</v>
      </c>
      <c r="AM1666" s="327" t="s">
        <v>871</v>
      </c>
      <c r="AN1666" s="327" t="s">
        <v>631</v>
      </c>
      <c r="AO1666" s="327">
        <v>-9999</v>
      </c>
      <c r="AP1666" s="327">
        <v>-9999</v>
      </c>
      <c r="AQ1666" s="327" t="s">
        <v>631</v>
      </c>
      <c r="AR1666" s="327">
        <v>0</v>
      </c>
      <c r="AS1666" s="327">
        <v>-9999</v>
      </c>
      <c r="AT1666" s="327">
        <v>-9999</v>
      </c>
      <c r="AU1666" s="327">
        <v>0</v>
      </c>
      <c r="AV1666" s="327">
        <v>-9999</v>
      </c>
      <c r="AW1666" s="327">
        <v>-9999</v>
      </c>
      <c r="AX1666" s="327">
        <v>0</v>
      </c>
      <c r="AY1666" s="327">
        <v>-9999</v>
      </c>
      <c r="AZ1666" s="327">
        <v>-9999</v>
      </c>
      <c r="BA1666" s="327">
        <v>-9999</v>
      </c>
      <c r="BB1666" s="327" t="s">
        <v>631</v>
      </c>
      <c r="BC1666" s="327" t="s">
        <v>869</v>
      </c>
      <c r="BD1666" s="327">
        <v>-9999</v>
      </c>
      <c r="BE1666" s="327">
        <v>-9999</v>
      </c>
      <c r="BF1666" s="327" t="s">
        <v>162</v>
      </c>
      <c r="BG1666" s="327">
        <v>-9999</v>
      </c>
      <c r="BH1666" s="327">
        <v>-9999</v>
      </c>
      <c r="BI1666" s="327" t="s">
        <v>316</v>
      </c>
      <c r="BJ1666" s="327">
        <v>0.3</v>
      </c>
      <c r="BK1666" s="327">
        <v>-9999</v>
      </c>
      <c r="BL1666" s="327">
        <v>-9999</v>
      </c>
      <c r="BM1666" s="327">
        <v>-9999</v>
      </c>
      <c r="BN1666" s="327">
        <v>-9999</v>
      </c>
      <c r="BO1666" s="327">
        <v>-9999</v>
      </c>
      <c r="BP1666" s="327">
        <v>-9999</v>
      </c>
      <c r="BQ1666" s="327">
        <v>-9999</v>
      </c>
      <c r="BR1666" s="327">
        <v>-9999</v>
      </c>
      <c r="BS1666" s="474">
        <v>-9999</v>
      </c>
      <c r="BT1666" s="327">
        <v>-9999</v>
      </c>
      <c r="BU1666" s="327">
        <v>-9999</v>
      </c>
      <c r="BV1666" s="327">
        <v>-9999</v>
      </c>
      <c r="BW1666" s="327"/>
      <c r="BX1666" s="327">
        <v>-9999</v>
      </c>
      <c r="BY1666" s="327">
        <v>-9999</v>
      </c>
      <c r="BZ1666" s="327">
        <v>-9999</v>
      </c>
      <c r="CA1666" s="369">
        <v>-9999</v>
      </c>
      <c r="CB1666" s="475"/>
      <c r="CC1666" s="327">
        <v>1</v>
      </c>
      <c r="CD1666" s="327">
        <v>4</v>
      </c>
      <c r="CE1666" s="342">
        <v>0.26029750000000001</v>
      </c>
      <c r="CF1666" s="342">
        <v>0.26029750000000001</v>
      </c>
      <c r="CG1666" s="347">
        <v>4</v>
      </c>
    </row>
    <row r="1667" spans="1:93" s="301" customFormat="1" x14ac:dyDescent="0.2">
      <c r="A1667" s="327" t="s">
        <v>1012</v>
      </c>
      <c r="B1667" s="327" t="s">
        <v>1013</v>
      </c>
      <c r="C1667" s="327" t="s">
        <v>623</v>
      </c>
      <c r="D1667" s="327" t="s">
        <v>553</v>
      </c>
      <c r="E1667" s="327" t="s">
        <v>901</v>
      </c>
      <c r="F1667" s="327">
        <v>1</v>
      </c>
      <c r="G1667" s="327">
        <v>6</v>
      </c>
      <c r="H1667" s="328">
        <v>6</v>
      </c>
      <c r="I1667" s="327" t="s">
        <v>856</v>
      </c>
      <c r="J1667" s="327">
        <v>1983</v>
      </c>
      <c r="K1667" s="265" t="s">
        <v>1211</v>
      </c>
      <c r="L1667" s="265">
        <v>1988</v>
      </c>
      <c r="M1667" s="368">
        <v>-9999</v>
      </c>
      <c r="N1667" s="327">
        <v>-9999</v>
      </c>
      <c r="O1667" s="323"/>
      <c r="P1667" s="297">
        <v>6.9060300000000003</v>
      </c>
      <c r="Q1667" s="327">
        <v>-9999</v>
      </c>
      <c r="R1667" s="368">
        <v>-9999</v>
      </c>
      <c r="S1667" s="327">
        <v>-9999</v>
      </c>
      <c r="T1667" s="370">
        <f t="shared" si="220"/>
        <v>1.1510050000000001</v>
      </c>
      <c r="U1667" s="327">
        <v>-9999</v>
      </c>
      <c r="V1667" s="327">
        <v>-9999</v>
      </c>
      <c r="W1667" s="368">
        <f>+(P1667-P1666)/2</f>
        <v>2.93242</v>
      </c>
      <c r="X1667" s="327">
        <v>-9999</v>
      </c>
      <c r="Y1667" s="327">
        <v>-9999</v>
      </c>
      <c r="Z1667" s="327" t="s">
        <v>1015</v>
      </c>
      <c r="AA1667" s="327">
        <v>1495</v>
      </c>
      <c r="AB1667" s="368">
        <v>-9999</v>
      </c>
      <c r="AC1667" s="327">
        <v>-9999</v>
      </c>
      <c r="AD1667" s="327">
        <v>820</v>
      </c>
      <c r="AE1667" s="327" t="s">
        <v>281</v>
      </c>
      <c r="AF1667" s="327">
        <v>3</v>
      </c>
      <c r="AG1667" s="327" t="s">
        <v>843</v>
      </c>
      <c r="AH1667" s="327" t="s">
        <v>876</v>
      </c>
      <c r="AI1667" s="327" t="s">
        <v>886</v>
      </c>
      <c r="AJ1667" s="327" t="s">
        <v>892</v>
      </c>
      <c r="AK1667" s="327" t="s">
        <v>965</v>
      </c>
      <c r="AL1667" s="327" t="s">
        <v>828</v>
      </c>
      <c r="AM1667" s="327" t="s">
        <v>871</v>
      </c>
      <c r="AN1667" s="327" t="s">
        <v>631</v>
      </c>
      <c r="AO1667" s="327">
        <v>-9999</v>
      </c>
      <c r="AP1667" s="327">
        <v>-9999</v>
      </c>
      <c r="AQ1667" s="327" t="s">
        <v>631</v>
      </c>
      <c r="AR1667" s="327">
        <v>0</v>
      </c>
      <c r="AS1667" s="327">
        <v>-9999</v>
      </c>
      <c r="AT1667" s="327">
        <v>-9999</v>
      </c>
      <c r="AU1667" s="327">
        <v>0</v>
      </c>
      <c r="AV1667" s="327">
        <v>-9999</v>
      </c>
      <c r="AW1667" s="327">
        <v>-9999</v>
      </c>
      <c r="AX1667" s="327">
        <v>0</v>
      </c>
      <c r="AY1667" s="327">
        <v>-9999</v>
      </c>
      <c r="AZ1667" s="327">
        <v>-9999</v>
      </c>
      <c r="BA1667" s="327">
        <v>-9999</v>
      </c>
      <c r="BB1667" s="327" t="s">
        <v>631</v>
      </c>
      <c r="BC1667" s="327" t="s">
        <v>869</v>
      </c>
      <c r="BD1667" s="327">
        <v>-9999</v>
      </c>
      <c r="BE1667" s="327">
        <v>-9999</v>
      </c>
      <c r="BF1667" s="327" t="s">
        <v>162</v>
      </c>
      <c r="BG1667" s="327">
        <v>-9999</v>
      </c>
      <c r="BH1667" s="327">
        <v>-9999</v>
      </c>
      <c r="BI1667" s="327" t="s">
        <v>316</v>
      </c>
      <c r="BJ1667" s="327">
        <v>2.6</v>
      </c>
      <c r="BK1667" s="327">
        <v>-9999</v>
      </c>
      <c r="BL1667" s="327">
        <v>-9999</v>
      </c>
      <c r="BM1667" s="327">
        <v>-9999</v>
      </c>
      <c r="BN1667" s="327">
        <v>-9999</v>
      </c>
      <c r="BO1667" s="327">
        <v>-9999</v>
      </c>
      <c r="BP1667" s="327">
        <v>-9999</v>
      </c>
      <c r="BQ1667" s="327">
        <v>-9999</v>
      </c>
      <c r="BR1667" s="327">
        <v>-9999</v>
      </c>
      <c r="BS1667" s="474">
        <v>-9999</v>
      </c>
      <c r="BT1667" s="327">
        <v>-9999</v>
      </c>
      <c r="BU1667" s="327">
        <v>-9999</v>
      </c>
      <c r="BV1667" s="327">
        <v>-9999</v>
      </c>
      <c r="BW1667" s="327"/>
      <c r="BX1667" s="327">
        <v>-9999</v>
      </c>
      <c r="BY1667" s="327">
        <v>-9999</v>
      </c>
      <c r="BZ1667" s="327">
        <v>-9999</v>
      </c>
      <c r="CA1667" s="369">
        <v>-9999</v>
      </c>
      <c r="CB1667" s="475"/>
      <c r="CC1667" s="327">
        <v>1</v>
      </c>
      <c r="CD1667" s="327">
        <v>6</v>
      </c>
      <c r="CE1667" s="342">
        <v>1.1510050000000001</v>
      </c>
      <c r="CF1667" s="342">
        <v>2.93242</v>
      </c>
      <c r="CG1667" s="347">
        <v>6</v>
      </c>
    </row>
    <row r="1668" spans="1:93" s="301" customFormat="1" x14ac:dyDescent="0.2">
      <c r="A1668" s="327" t="s">
        <v>1012</v>
      </c>
      <c r="B1668" s="327" t="s">
        <v>1013</v>
      </c>
      <c r="C1668" s="327" t="s">
        <v>623</v>
      </c>
      <c r="D1668" s="327" t="s">
        <v>553</v>
      </c>
      <c r="E1668" s="327" t="s">
        <v>901</v>
      </c>
      <c r="F1668" s="327">
        <v>1</v>
      </c>
      <c r="G1668" s="327">
        <v>9</v>
      </c>
      <c r="H1668" s="328">
        <v>9</v>
      </c>
      <c r="I1668" s="327" t="s">
        <v>856</v>
      </c>
      <c r="J1668" s="327">
        <v>1983</v>
      </c>
      <c r="K1668" s="265" t="s">
        <v>1211</v>
      </c>
      <c r="L1668" s="265">
        <v>1991</v>
      </c>
      <c r="M1668" s="368">
        <v>-9999</v>
      </c>
      <c r="N1668" s="327">
        <v>-9999</v>
      </c>
      <c r="O1668" s="323"/>
      <c r="P1668" s="297">
        <v>19.306799999999999</v>
      </c>
      <c r="Q1668" s="327">
        <v>-9999</v>
      </c>
      <c r="R1668" s="368">
        <v>-9999</v>
      </c>
      <c r="S1668" s="327">
        <v>-9999</v>
      </c>
      <c r="T1668" s="370">
        <f t="shared" si="220"/>
        <v>2.1452</v>
      </c>
      <c r="U1668" s="327">
        <v>-9999</v>
      </c>
      <c r="V1668" s="327">
        <v>-9999</v>
      </c>
      <c r="W1668" s="368">
        <f>+(P1668-P1667)/3</f>
        <v>4.133589999999999</v>
      </c>
      <c r="X1668" s="327">
        <v>-9999</v>
      </c>
      <c r="Y1668" s="327">
        <v>-9999</v>
      </c>
      <c r="Z1668" s="327" t="s">
        <v>1015</v>
      </c>
      <c r="AA1668" s="327">
        <v>1495</v>
      </c>
      <c r="AB1668" s="368">
        <v>-9999</v>
      </c>
      <c r="AC1668" s="327">
        <v>-9999</v>
      </c>
      <c r="AD1668" s="327">
        <v>820</v>
      </c>
      <c r="AE1668" s="327" t="s">
        <v>281</v>
      </c>
      <c r="AF1668" s="327">
        <v>3</v>
      </c>
      <c r="AG1668" s="327" t="s">
        <v>843</v>
      </c>
      <c r="AH1668" s="327" t="s">
        <v>876</v>
      </c>
      <c r="AI1668" s="327" t="s">
        <v>886</v>
      </c>
      <c r="AJ1668" s="327" t="s">
        <v>892</v>
      </c>
      <c r="AK1668" s="327" t="s">
        <v>965</v>
      </c>
      <c r="AL1668" s="327" t="s">
        <v>828</v>
      </c>
      <c r="AM1668" s="327" t="s">
        <v>871</v>
      </c>
      <c r="AN1668" s="327" t="s">
        <v>631</v>
      </c>
      <c r="AO1668" s="327">
        <v>-9999</v>
      </c>
      <c r="AP1668" s="327">
        <v>-9999</v>
      </c>
      <c r="AQ1668" s="327" t="s">
        <v>631</v>
      </c>
      <c r="AR1668" s="327">
        <v>0</v>
      </c>
      <c r="AS1668" s="327">
        <v>-9999</v>
      </c>
      <c r="AT1668" s="327">
        <v>-9999</v>
      </c>
      <c r="AU1668" s="327">
        <v>0</v>
      </c>
      <c r="AV1668" s="327">
        <v>-9999</v>
      </c>
      <c r="AW1668" s="327">
        <v>-9999</v>
      </c>
      <c r="AX1668" s="327">
        <v>0</v>
      </c>
      <c r="AY1668" s="327">
        <v>-9999</v>
      </c>
      <c r="AZ1668" s="327">
        <v>-9999</v>
      </c>
      <c r="BA1668" s="327">
        <v>-9999</v>
      </c>
      <c r="BB1668" s="327" t="s">
        <v>631</v>
      </c>
      <c r="BC1668" s="327" t="s">
        <v>869</v>
      </c>
      <c r="BD1668" s="327">
        <v>-9999</v>
      </c>
      <c r="BE1668" s="327">
        <v>-9999</v>
      </c>
      <c r="BF1668" s="327" t="s">
        <v>162</v>
      </c>
      <c r="BG1668" s="327">
        <v>-9999</v>
      </c>
      <c r="BH1668" s="327">
        <v>-9999</v>
      </c>
      <c r="BI1668" s="327" t="s">
        <v>316</v>
      </c>
      <c r="BJ1668" s="327">
        <v>8.1</v>
      </c>
      <c r="BK1668" s="327">
        <v>-9999</v>
      </c>
      <c r="BL1668" s="327">
        <v>-9999</v>
      </c>
      <c r="BM1668" s="327">
        <v>-9999</v>
      </c>
      <c r="BN1668" s="327">
        <v>-9999</v>
      </c>
      <c r="BO1668" s="327">
        <v>-9999</v>
      </c>
      <c r="BP1668" s="327">
        <v>-9999</v>
      </c>
      <c r="BQ1668" s="327">
        <v>-9999</v>
      </c>
      <c r="BR1668" s="327">
        <v>-9999</v>
      </c>
      <c r="BS1668" s="474">
        <v>-9999</v>
      </c>
      <c r="BT1668" s="327">
        <v>-9999</v>
      </c>
      <c r="BU1668" s="327">
        <v>-9999</v>
      </c>
      <c r="BV1668" s="327">
        <v>-9999</v>
      </c>
      <c r="BW1668" s="327"/>
      <c r="BX1668" s="327">
        <v>-9999</v>
      </c>
      <c r="BY1668" s="327">
        <v>-9999</v>
      </c>
      <c r="BZ1668" s="327">
        <v>-9999</v>
      </c>
      <c r="CA1668" s="369">
        <v>-9999</v>
      </c>
      <c r="CB1668" s="475"/>
      <c r="CC1668" s="327">
        <v>1</v>
      </c>
      <c r="CD1668" s="327">
        <v>9</v>
      </c>
      <c r="CE1668" s="342">
        <v>2.1452</v>
      </c>
      <c r="CF1668" s="342">
        <v>4.133589999999999</v>
      </c>
      <c r="CG1668" s="347">
        <v>9</v>
      </c>
    </row>
    <row r="1669" spans="1:93" s="301" customFormat="1" x14ac:dyDescent="0.2">
      <c r="A1669" s="327" t="s">
        <v>1012</v>
      </c>
      <c r="B1669" s="327" t="s">
        <v>1013</v>
      </c>
      <c r="C1669" s="327" t="s">
        <v>623</v>
      </c>
      <c r="D1669" s="327" t="s">
        <v>553</v>
      </c>
      <c r="E1669" s="327" t="s">
        <v>901</v>
      </c>
      <c r="F1669" s="327">
        <v>1</v>
      </c>
      <c r="G1669" s="327">
        <v>11</v>
      </c>
      <c r="H1669" s="328">
        <v>11</v>
      </c>
      <c r="I1669" s="327" t="s">
        <v>856</v>
      </c>
      <c r="J1669" s="327">
        <v>1983</v>
      </c>
      <c r="K1669" s="265" t="s">
        <v>1211</v>
      </c>
      <c r="L1669" s="265">
        <v>1993</v>
      </c>
      <c r="M1669" s="368">
        <v>-9999</v>
      </c>
      <c r="N1669" s="327">
        <v>-9999</v>
      </c>
      <c r="O1669" s="323"/>
      <c r="P1669" s="297">
        <v>32.992699999999999</v>
      </c>
      <c r="Q1669" s="327">
        <v>-9999</v>
      </c>
      <c r="R1669" s="368">
        <v>-9999</v>
      </c>
      <c r="S1669" s="327">
        <v>-9999</v>
      </c>
      <c r="T1669" s="370">
        <f t="shared" si="220"/>
        <v>2.9993363636363637</v>
      </c>
      <c r="U1669" s="327">
        <v>-9999</v>
      </c>
      <c r="V1669" s="327">
        <v>-9999</v>
      </c>
      <c r="W1669" s="368">
        <f>+(P1669-P1668)/2</f>
        <v>6.8429500000000001</v>
      </c>
      <c r="X1669" s="327">
        <v>-9999</v>
      </c>
      <c r="Y1669" s="327">
        <v>-9999</v>
      </c>
      <c r="Z1669" s="327" t="s">
        <v>1015</v>
      </c>
      <c r="AA1669" s="327">
        <v>1495</v>
      </c>
      <c r="AB1669" s="368">
        <v>-9999</v>
      </c>
      <c r="AC1669" s="327">
        <v>-9999</v>
      </c>
      <c r="AD1669" s="327">
        <v>820</v>
      </c>
      <c r="AE1669" s="327" t="s">
        <v>281</v>
      </c>
      <c r="AF1669" s="327">
        <v>3</v>
      </c>
      <c r="AG1669" s="327" t="s">
        <v>843</v>
      </c>
      <c r="AH1669" s="327" t="s">
        <v>876</v>
      </c>
      <c r="AI1669" s="327" t="s">
        <v>886</v>
      </c>
      <c r="AJ1669" s="327" t="s">
        <v>892</v>
      </c>
      <c r="AK1669" s="327" t="s">
        <v>965</v>
      </c>
      <c r="AL1669" s="327" t="s">
        <v>828</v>
      </c>
      <c r="AM1669" s="327" t="s">
        <v>871</v>
      </c>
      <c r="AN1669" s="327" t="s">
        <v>631</v>
      </c>
      <c r="AO1669" s="327">
        <v>-9999</v>
      </c>
      <c r="AP1669" s="327">
        <v>-9999</v>
      </c>
      <c r="AQ1669" s="327" t="s">
        <v>631</v>
      </c>
      <c r="AR1669" s="327">
        <v>0</v>
      </c>
      <c r="AS1669" s="327">
        <v>-9999</v>
      </c>
      <c r="AT1669" s="327">
        <v>-9999</v>
      </c>
      <c r="AU1669" s="327">
        <v>0</v>
      </c>
      <c r="AV1669" s="327">
        <v>-9999</v>
      </c>
      <c r="AW1669" s="327">
        <v>-9999</v>
      </c>
      <c r="AX1669" s="327">
        <v>0</v>
      </c>
      <c r="AY1669" s="327">
        <v>-9999</v>
      </c>
      <c r="AZ1669" s="327">
        <v>-9999</v>
      </c>
      <c r="BA1669" s="327">
        <v>-9999</v>
      </c>
      <c r="BB1669" s="327" t="s">
        <v>631</v>
      </c>
      <c r="BC1669" s="327" t="s">
        <v>869</v>
      </c>
      <c r="BD1669" s="327">
        <v>-9999</v>
      </c>
      <c r="BE1669" s="327">
        <v>-9999</v>
      </c>
      <c r="BF1669" s="327" t="s">
        <v>162</v>
      </c>
      <c r="BG1669" s="327">
        <v>-9999</v>
      </c>
      <c r="BH1669" s="327">
        <v>-9999</v>
      </c>
      <c r="BI1669" s="327" t="s">
        <v>316</v>
      </c>
      <c r="BJ1669" s="327">
        <v>12.1</v>
      </c>
      <c r="BK1669" s="327">
        <v>-9999</v>
      </c>
      <c r="BL1669" s="327">
        <v>-9999</v>
      </c>
      <c r="BM1669" s="327">
        <v>-9999</v>
      </c>
      <c r="BN1669" s="327">
        <v>-9999</v>
      </c>
      <c r="BO1669" s="327">
        <v>-9999</v>
      </c>
      <c r="BP1669" s="327">
        <v>-9999</v>
      </c>
      <c r="BQ1669" s="327">
        <v>-9999</v>
      </c>
      <c r="BR1669" s="327">
        <v>-9999</v>
      </c>
      <c r="BS1669" s="474">
        <v>-9999</v>
      </c>
      <c r="BT1669" s="327">
        <v>-9999</v>
      </c>
      <c r="BU1669" s="327">
        <v>-9999</v>
      </c>
      <c r="BV1669" s="327">
        <v>-9999</v>
      </c>
      <c r="BW1669" s="327"/>
      <c r="BX1669" s="327">
        <v>-9999</v>
      </c>
      <c r="BY1669" s="327">
        <v>-9999</v>
      </c>
      <c r="BZ1669" s="327">
        <v>-9999</v>
      </c>
      <c r="CA1669" s="369">
        <v>-9999</v>
      </c>
      <c r="CB1669" s="475"/>
      <c r="CC1669" s="327">
        <v>1</v>
      </c>
      <c r="CD1669" s="327">
        <v>11</v>
      </c>
      <c r="CE1669" s="342">
        <v>2.9993363636363637</v>
      </c>
      <c r="CF1669" s="342">
        <v>6.8429500000000001</v>
      </c>
      <c r="CG1669" s="347">
        <v>11</v>
      </c>
    </row>
    <row r="1670" spans="1:93" s="301" customFormat="1" x14ac:dyDescent="0.2">
      <c r="A1670" s="327" t="s">
        <v>1012</v>
      </c>
      <c r="B1670" s="327" t="s">
        <v>1013</v>
      </c>
      <c r="C1670" s="327" t="s">
        <v>623</v>
      </c>
      <c r="D1670" s="327" t="s">
        <v>553</v>
      </c>
      <c r="E1670" s="327" t="s">
        <v>901</v>
      </c>
      <c r="F1670" s="327">
        <v>1</v>
      </c>
      <c r="G1670" s="327">
        <v>13</v>
      </c>
      <c r="H1670" s="328">
        <v>13</v>
      </c>
      <c r="I1670" s="327" t="s">
        <v>856</v>
      </c>
      <c r="J1670" s="327">
        <v>1983</v>
      </c>
      <c r="K1670" s="266" t="s">
        <v>1211</v>
      </c>
      <c r="L1670" s="266">
        <v>1995</v>
      </c>
      <c r="M1670" s="368">
        <v>-9999</v>
      </c>
      <c r="N1670" s="327">
        <v>-9999</v>
      </c>
      <c r="O1670" s="323"/>
      <c r="P1670" s="368">
        <v>45</v>
      </c>
      <c r="Q1670" s="327">
        <v>-9999</v>
      </c>
      <c r="R1670" s="368">
        <v>28.5</v>
      </c>
      <c r="S1670" s="327">
        <v>12.8</v>
      </c>
      <c r="T1670" s="370">
        <f t="shared" si="220"/>
        <v>3.4615384615384617</v>
      </c>
      <c r="U1670" s="327">
        <v>-9999</v>
      </c>
      <c r="V1670" s="287">
        <f>+R1670/G1670</f>
        <v>2.1923076923076925</v>
      </c>
      <c r="W1670" s="368">
        <f>+(P1670-P1669)/2</f>
        <v>6.0036500000000004</v>
      </c>
      <c r="X1670" s="327">
        <v>-9999</v>
      </c>
      <c r="Y1670" s="327">
        <v>-9999</v>
      </c>
      <c r="Z1670" s="327" t="s">
        <v>1015</v>
      </c>
      <c r="AA1670" s="327">
        <v>1495</v>
      </c>
      <c r="AB1670" s="368">
        <v>-9999</v>
      </c>
      <c r="AC1670" s="327">
        <v>-9999</v>
      </c>
      <c r="AD1670" s="327">
        <v>820</v>
      </c>
      <c r="AE1670" s="327" t="s">
        <v>281</v>
      </c>
      <c r="AF1670" s="327">
        <v>3</v>
      </c>
      <c r="AG1670" s="327" t="s">
        <v>843</v>
      </c>
      <c r="AH1670" s="327" t="s">
        <v>876</v>
      </c>
      <c r="AI1670" s="327" t="s">
        <v>886</v>
      </c>
      <c r="AJ1670" s="327" t="s">
        <v>892</v>
      </c>
      <c r="AK1670" s="327" t="s">
        <v>965</v>
      </c>
      <c r="AL1670" s="327" t="s">
        <v>828</v>
      </c>
      <c r="AM1670" s="327" t="s">
        <v>871</v>
      </c>
      <c r="AN1670" s="327" t="s">
        <v>631</v>
      </c>
      <c r="AO1670" s="327">
        <v>-9999</v>
      </c>
      <c r="AP1670" s="327">
        <v>-9999</v>
      </c>
      <c r="AQ1670" s="327" t="s">
        <v>631</v>
      </c>
      <c r="AR1670" s="327">
        <v>0</v>
      </c>
      <c r="AS1670" s="327">
        <v>-9999</v>
      </c>
      <c r="AT1670" s="327">
        <v>-9999</v>
      </c>
      <c r="AU1670" s="327">
        <v>0</v>
      </c>
      <c r="AV1670" s="327">
        <v>-9999</v>
      </c>
      <c r="AW1670" s="327">
        <v>-9999</v>
      </c>
      <c r="AX1670" s="327">
        <v>0</v>
      </c>
      <c r="AY1670" s="327">
        <v>-9999</v>
      </c>
      <c r="AZ1670" s="327">
        <v>-9999</v>
      </c>
      <c r="BA1670" s="327">
        <v>-9999</v>
      </c>
      <c r="BB1670" s="327" t="s">
        <v>631</v>
      </c>
      <c r="BC1670" s="327" t="s">
        <v>869</v>
      </c>
      <c r="BD1670" s="327">
        <v>-9999</v>
      </c>
      <c r="BE1670" s="327">
        <v>-9999</v>
      </c>
      <c r="BF1670" s="327" t="s">
        <v>162</v>
      </c>
      <c r="BG1670" s="327">
        <v>-9999</v>
      </c>
      <c r="BH1670" s="327">
        <v>-9999</v>
      </c>
      <c r="BI1670" s="327" t="s">
        <v>316</v>
      </c>
      <c r="BJ1670" s="327">
        <v>15.3</v>
      </c>
      <c r="BK1670" s="327">
        <v>-9999</v>
      </c>
      <c r="BL1670" s="327">
        <v>-9999</v>
      </c>
      <c r="BM1670" s="327">
        <v>-9999</v>
      </c>
      <c r="BN1670" s="327">
        <v>-9999</v>
      </c>
      <c r="BO1670" s="327">
        <v>-9999</v>
      </c>
      <c r="BP1670" s="327">
        <v>-9999</v>
      </c>
      <c r="BQ1670" s="327">
        <v>-9999</v>
      </c>
      <c r="BR1670" s="327">
        <v>-9999</v>
      </c>
      <c r="BS1670" s="474">
        <v>-9999</v>
      </c>
      <c r="BT1670" s="327">
        <v>-9999</v>
      </c>
      <c r="BU1670" s="327">
        <v>-9999</v>
      </c>
      <c r="BV1670" s="327">
        <v>-9999</v>
      </c>
      <c r="BW1670" s="327"/>
      <c r="BX1670" s="327">
        <v>-9999</v>
      </c>
      <c r="BY1670" s="327">
        <v>-9999</v>
      </c>
      <c r="BZ1670" s="327">
        <v>-9999</v>
      </c>
      <c r="CA1670" s="369">
        <v>-9999</v>
      </c>
      <c r="CB1670" s="475"/>
      <c r="CC1670" s="327">
        <v>1</v>
      </c>
      <c r="CD1670" s="327">
        <v>13</v>
      </c>
      <c r="CE1670" s="342">
        <v>3.4615384615384617</v>
      </c>
      <c r="CF1670" s="342">
        <v>6.0036500000000004</v>
      </c>
      <c r="CG1670" s="355">
        <v>13</v>
      </c>
      <c r="CH1670" s="301" t="s">
        <v>1757</v>
      </c>
    </row>
    <row r="1671" spans="1:93" s="301" customFormat="1" x14ac:dyDescent="0.2">
      <c r="A1671" s="327" t="s">
        <v>1012</v>
      </c>
      <c r="B1671" s="327" t="s">
        <v>1013</v>
      </c>
      <c r="C1671" s="327" t="s">
        <v>623</v>
      </c>
      <c r="D1671" s="327" t="s">
        <v>553</v>
      </c>
      <c r="E1671" s="327" t="s">
        <v>901</v>
      </c>
      <c r="F1671" s="327">
        <v>1</v>
      </c>
      <c r="G1671" s="327">
        <v>16</v>
      </c>
      <c r="H1671" s="328">
        <v>16</v>
      </c>
      <c r="I1671" s="327" t="s">
        <v>856</v>
      </c>
      <c r="J1671" s="327">
        <v>1983</v>
      </c>
      <c r="K1671" s="265" t="s">
        <v>1211</v>
      </c>
      <c r="L1671" s="265">
        <v>1998</v>
      </c>
      <c r="M1671" s="368">
        <v>-9999</v>
      </c>
      <c r="N1671" s="327">
        <v>-9999</v>
      </c>
      <c r="O1671" s="323"/>
      <c r="P1671" s="297">
        <v>60.885300000000001</v>
      </c>
      <c r="Q1671" s="327">
        <v>-9999</v>
      </c>
      <c r="R1671" s="368">
        <v>-9999</v>
      </c>
      <c r="S1671" s="327">
        <v>-9999</v>
      </c>
      <c r="T1671" s="370">
        <f t="shared" si="220"/>
        <v>3.8053312500000001</v>
      </c>
      <c r="U1671" s="327">
        <v>-9999</v>
      </c>
      <c r="V1671" s="327">
        <v>-9999</v>
      </c>
      <c r="W1671" s="368">
        <f>+(P1671-P1670)/3</f>
        <v>5.2951000000000006</v>
      </c>
      <c r="X1671" s="327">
        <v>-9999</v>
      </c>
      <c r="Y1671" s="327">
        <v>-9999</v>
      </c>
      <c r="Z1671" s="327" t="s">
        <v>1015</v>
      </c>
      <c r="AA1671" s="327">
        <v>1495</v>
      </c>
      <c r="AB1671" s="368">
        <v>-9999</v>
      </c>
      <c r="AC1671" s="327">
        <v>-9999</v>
      </c>
      <c r="AD1671" s="327">
        <v>820</v>
      </c>
      <c r="AE1671" s="327" t="s">
        <v>281</v>
      </c>
      <c r="AF1671" s="327">
        <v>3</v>
      </c>
      <c r="AG1671" s="327" t="s">
        <v>843</v>
      </c>
      <c r="AH1671" s="327" t="s">
        <v>876</v>
      </c>
      <c r="AI1671" s="327" t="s">
        <v>886</v>
      </c>
      <c r="AJ1671" s="327" t="s">
        <v>892</v>
      </c>
      <c r="AK1671" s="327" t="s">
        <v>965</v>
      </c>
      <c r="AL1671" s="327" t="s">
        <v>828</v>
      </c>
      <c r="AM1671" s="327" t="s">
        <v>871</v>
      </c>
      <c r="AN1671" s="327" t="s">
        <v>631</v>
      </c>
      <c r="AO1671" s="327">
        <v>-9999</v>
      </c>
      <c r="AP1671" s="327">
        <v>-9999</v>
      </c>
      <c r="AQ1671" s="327" t="s">
        <v>631</v>
      </c>
      <c r="AR1671" s="327">
        <v>0</v>
      </c>
      <c r="AS1671" s="327">
        <v>-9999</v>
      </c>
      <c r="AT1671" s="327">
        <v>-9999</v>
      </c>
      <c r="AU1671" s="327">
        <v>0</v>
      </c>
      <c r="AV1671" s="327">
        <v>-9999</v>
      </c>
      <c r="AW1671" s="327">
        <v>-9999</v>
      </c>
      <c r="AX1671" s="327">
        <v>0</v>
      </c>
      <c r="AY1671" s="327">
        <v>-9999</v>
      </c>
      <c r="AZ1671" s="327">
        <v>-9999</v>
      </c>
      <c r="BA1671" s="327">
        <v>-9999</v>
      </c>
      <c r="BB1671" s="327" t="s">
        <v>631</v>
      </c>
      <c r="BC1671" s="327" t="s">
        <v>869</v>
      </c>
      <c r="BD1671" s="327">
        <v>-9999</v>
      </c>
      <c r="BE1671" s="327">
        <v>-9999</v>
      </c>
      <c r="BF1671" s="327">
        <v>-9999</v>
      </c>
      <c r="BG1671" s="327">
        <v>-9999</v>
      </c>
      <c r="BH1671" s="327">
        <v>-9999</v>
      </c>
      <c r="BI1671" s="327" t="s">
        <v>163</v>
      </c>
      <c r="BJ1671" s="327">
        <v>19</v>
      </c>
      <c r="BK1671" s="327">
        <v>-9999</v>
      </c>
      <c r="BL1671" s="327">
        <v>-9999</v>
      </c>
      <c r="BM1671" s="327">
        <v>-9999</v>
      </c>
      <c r="BN1671" s="327">
        <v>-9999</v>
      </c>
      <c r="BO1671" s="327">
        <v>-9999</v>
      </c>
      <c r="BP1671" s="327">
        <v>-9999</v>
      </c>
      <c r="BQ1671" s="327">
        <v>-9999</v>
      </c>
      <c r="BR1671" s="327">
        <v>-9999</v>
      </c>
      <c r="BS1671" s="474">
        <v>-9999</v>
      </c>
      <c r="BT1671" s="327">
        <v>-9999</v>
      </c>
      <c r="BU1671" s="327">
        <v>-9999</v>
      </c>
      <c r="BV1671" s="327">
        <v>-9999</v>
      </c>
      <c r="BW1671" s="327"/>
      <c r="BX1671" s="327">
        <v>-9999</v>
      </c>
      <c r="BY1671" s="327">
        <v>-9999</v>
      </c>
      <c r="BZ1671" s="327">
        <v>-9999</v>
      </c>
      <c r="CA1671" s="369">
        <v>-9999</v>
      </c>
      <c r="CB1671" s="475"/>
      <c r="CC1671" s="327">
        <v>1</v>
      </c>
      <c r="CD1671" s="327">
        <v>16</v>
      </c>
      <c r="CE1671" s="342">
        <v>3.8053312500000001</v>
      </c>
      <c r="CF1671" s="342">
        <v>5.2951000000000006</v>
      </c>
      <c r="CG1671" s="347">
        <v>16</v>
      </c>
    </row>
    <row r="1672" spans="1:93" s="61" customFormat="1" x14ac:dyDescent="0.2">
      <c r="A1672" s="104"/>
      <c r="B1672" s="322"/>
      <c r="C1672" s="104"/>
      <c r="D1672" s="104"/>
      <c r="E1672" s="104"/>
      <c r="F1672" s="104"/>
      <c r="G1672" s="104"/>
      <c r="H1672" s="104"/>
      <c r="I1672" s="104"/>
      <c r="J1672" s="104"/>
      <c r="K1672" s="104"/>
      <c r="L1672" s="104"/>
      <c r="M1672" s="387"/>
      <c r="N1672" s="104"/>
      <c r="O1672" s="104"/>
      <c r="P1672" s="387"/>
      <c r="Q1672" s="104"/>
      <c r="R1672" s="387"/>
      <c r="S1672" s="104"/>
      <c r="T1672" s="387"/>
      <c r="U1672" s="104"/>
      <c r="V1672" s="104"/>
      <c r="W1672" s="387"/>
      <c r="X1672" s="104"/>
      <c r="Y1672" s="104"/>
      <c r="Z1672" s="104"/>
      <c r="AA1672" s="104"/>
      <c r="AB1672" s="387"/>
      <c r="AC1672" s="104"/>
      <c r="AD1672" s="104"/>
      <c r="AE1672" s="104"/>
      <c r="AF1672" s="104"/>
      <c r="AG1672" s="104"/>
      <c r="AH1672" s="104"/>
      <c r="AI1672" s="104"/>
      <c r="AJ1672" s="104"/>
      <c r="AK1672" s="104"/>
      <c r="AL1672" s="104"/>
      <c r="AM1672" s="104"/>
      <c r="AN1672" s="104"/>
      <c r="AO1672" s="104"/>
      <c r="AP1672" s="104"/>
      <c r="AQ1672" s="104"/>
      <c r="AR1672" s="104"/>
      <c r="AS1672" s="104"/>
      <c r="AT1672" s="104"/>
      <c r="AU1672" s="104"/>
      <c r="AV1672" s="104"/>
      <c r="AW1672" s="104"/>
      <c r="AX1672" s="104"/>
      <c r="AY1672" s="104"/>
      <c r="AZ1672" s="104"/>
      <c r="BA1672" s="104"/>
      <c r="BB1672" s="104"/>
      <c r="BC1672" s="104"/>
      <c r="BD1672" s="104"/>
      <c r="BE1672" s="104"/>
      <c r="BF1672" s="104"/>
      <c r="BG1672" s="104"/>
      <c r="BH1672" s="104"/>
      <c r="BI1672" s="104"/>
      <c r="BJ1672" s="104"/>
      <c r="BK1672" s="104"/>
      <c r="BL1672" s="104"/>
      <c r="BM1672" s="104"/>
      <c r="BN1672" s="104"/>
      <c r="BO1672" s="104"/>
      <c r="BP1672" s="104"/>
      <c r="BQ1672" s="104"/>
      <c r="BR1672" s="104"/>
      <c r="BS1672" s="364"/>
      <c r="BT1672" s="104"/>
      <c r="BU1672" s="104"/>
      <c r="BV1672" s="104"/>
      <c r="BW1672" s="104"/>
      <c r="BX1672" s="104"/>
      <c r="BY1672" s="104"/>
      <c r="BZ1672" s="104"/>
      <c r="CA1672" s="104"/>
      <c r="CC1672" s="104"/>
      <c r="CD1672" s="104"/>
      <c r="CE1672" s="342" t="s">
        <v>1576</v>
      </c>
      <c r="CF1672" s="342" t="s">
        <v>1575</v>
      </c>
      <c r="CG1672" s="104"/>
    </row>
    <row r="1673" spans="1:93" s="301" customFormat="1" x14ac:dyDescent="0.2">
      <c r="A1673" s="327" t="s">
        <v>1425</v>
      </c>
      <c r="B1673" s="327" t="s">
        <v>999</v>
      </c>
      <c r="C1673" s="327" t="s">
        <v>1000</v>
      </c>
      <c r="D1673" s="327" t="s">
        <v>553</v>
      </c>
      <c r="E1673" s="327" t="s">
        <v>901</v>
      </c>
      <c r="F1673" s="327">
        <v>1</v>
      </c>
      <c r="G1673" s="327">
        <v>1</v>
      </c>
      <c r="H1673" s="328">
        <v>1</v>
      </c>
      <c r="I1673" s="327" t="s">
        <v>1001</v>
      </c>
      <c r="J1673" s="327">
        <v>1998</v>
      </c>
      <c r="K1673" s="265" t="s">
        <v>1001</v>
      </c>
      <c r="L1673" s="327">
        <v>1999</v>
      </c>
      <c r="M1673" s="368">
        <v>-9999</v>
      </c>
      <c r="N1673" s="327">
        <v>-9999</v>
      </c>
      <c r="O1673" s="323"/>
      <c r="P1673" s="368">
        <v>1.17</v>
      </c>
      <c r="Q1673" s="327">
        <v>-9999</v>
      </c>
      <c r="R1673" s="368">
        <v>-9999</v>
      </c>
      <c r="S1673" s="327">
        <v>-9999</v>
      </c>
      <c r="T1673" s="370">
        <f>+P1673/H1673</f>
        <v>1.17</v>
      </c>
      <c r="U1673" s="327">
        <v>-9999</v>
      </c>
      <c r="V1673" s="327">
        <v>-9999</v>
      </c>
      <c r="W1673" s="287">
        <f>+P1673</f>
        <v>1.17</v>
      </c>
      <c r="X1673" s="327">
        <v>-9999</v>
      </c>
      <c r="Y1673" s="327">
        <v>-9999</v>
      </c>
      <c r="Z1673" s="327" t="s">
        <v>1002</v>
      </c>
      <c r="AA1673" s="327">
        <v>1495</v>
      </c>
      <c r="AB1673" s="368" t="s">
        <v>1003</v>
      </c>
      <c r="AC1673" s="327">
        <v>-9999</v>
      </c>
      <c r="AD1673" s="327">
        <v>-9999</v>
      </c>
      <c r="AE1673" s="327">
        <v>-9999</v>
      </c>
      <c r="AF1673" s="327">
        <v>-9999</v>
      </c>
      <c r="AG1673" s="327">
        <v>-9999</v>
      </c>
      <c r="AH1673" s="327">
        <v>-9999</v>
      </c>
      <c r="AI1673" s="327">
        <v>-9999</v>
      </c>
      <c r="AJ1673" s="327">
        <v>-9999</v>
      </c>
      <c r="AK1673" s="327" t="s">
        <v>1411</v>
      </c>
      <c r="AL1673" s="327">
        <v>-9999</v>
      </c>
      <c r="AM1673" s="327">
        <v>-9999</v>
      </c>
      <c r="AN1673" s="327">
        <v>-9999</v>
      </c>
      <c r="AO1673" s="327">
        <v>-9999</v>
      </c>
      <c r="AP1673" s="327">
        <v>-9999</v>
      </c>
      <c r="AQ1673" s="327" t="s">
        <v>626</v>
      </c>
      <c r="AR1673" s="327">
        <v>30</v>
      </c>
      <c r="AS1673" s="327">
        <v>-9999</v>
      </c>
      <c r="AT1673" s="327" t="s">
        <v>151</v>
      </c>
      <c r="AU1673" s="327">
        <v>33</v>
      </c>
      <c r="AV1673" s="327">
        <v>-9999</v>
      </c>
      <c r="AW1673" s="327" t="s">
        <v>151</v>
      </c>
      <c r="AX1673" s="327">
        <v>0</v>
      </c>
      <c r="AY1673" s="327">
        <v>-9999</v>
      </c>
      <c r="AZ1673" s="327" t="s">
        <v>151</v>
      </c>
      <c r="BA1673" s="327"/>
      <c r="BB1673" s="327" t="s">
        <v>626</v>
      </c>
      <c r="BC1673" s="327" t="s">
        <v>1005</v>
      </c>
      <c r="BD1673" s="327">
        <v>-9999</v>
      </c>
      <c r="BE1673" s="327">
        <v>-9999</v>
      </c>
      <c r="BF1673" s="327">
        <v>-9999</v>
      </c>
      <c r="BG1673" s="327">
        <v>-9999</v>
      </c>
      <c r="BH1673" s="327">
        <v>-9999</v>
      </c>
      <c r="BI1673" s="327"/>
      <c r="BJ1673" s="327">
        <v>-9999</v>
      </c>
      <c r="BK1673" s="327">
        <v>-9999</v>
      </c>
      <c r="BL1673" s="327">
        <v>-9999</v>
      </c>
      <c r="BM1673" s="327">
        <v>-9999</v>
      </c>
      <c r="BN1673" s="327">
        <v>-9999</v>
      </c>
      <c r="BO1673" s="327">
        <v>-9999</v>
      </c>
      <c r="BP1673" s="327">
        <v>-9999</v>
      </c>
      <c r="BQ1673" s="327">
        <v>-9999</v>
      </c>
      <c r="BR1673" s="327">
        <v>-9999</v>
      </c>
      <c r="BS1673" s="474">
        <v>-9999</v>
      </c>
      <c r="BT1673" s="327">
        <v>-9999</v>
      </c>
      <c r="BU1673" s="327">
        <v>-9999</v>
      </c>
      <c r="BV1673" s="327">
        <v>-9999</v>
      </c>
      <c r="BW1673" s="327"/>
      <c r="BX1673" s="327">
        <v>-9999</v>
      </c>
      <c r="BY1673" s="327">
        <v>-9999</v>
      </c>
      <c r="BZ1673" s="327">
        <v>-9999</v>
      </c>
      <c r="CA1673" s="369">
        <v>-9999</v>
      </c>
      <c r="CB1673" s="475" t="s">
        <v>1433</v>
      </c>
      <c r="CC1673" s="327">
        <v>1</v>
      </c>
      <c r="CD1673" s="327">
        <v>1</v>
      </c>
      <c r="CE1673" s="342">
        <v>1.17</v>
      </c>
      <c r="CF1673" s="342">
        <v>1.17</v>
      </c>
      <c r="CG1673" s="347">
        <v>1</v>
      </c>
      <c r="CO1673" s="301" t="s">
        <v>1688</v>
      </c>
    </row>
    <row r="1674" spans="1:93" s="301" customFormat="1" x14ac:dyDescent="0.2">
      <c r="A1674" s="327" t="s">
        <v>1425</v>
      </c>
      <c r="B1674" s="327" t="s">
        <v>999</v>
      </c>
      <c r="C1674" s="327" t="s">
        <v>1000</v>
      </c>
      <c r="D1674" s="327" t="s">
        <v>553</v>
      </c>
      <c r="E1674" s="327" t="s">
        <v>901</v>
      </c>
      <c r="F1674" s="327">
        <v>1</v>
      </c>
      <c r="G1674" s="327">
        <v>2</v>
      </c>
      <c r="H1674" s="328">
        <v>2</v>
      </c>
      <c r="I1674" s="327" t="s">
        <v>1001</v>
      </c>
      <c r="J1674" s="327">
        <v>1998</v>
      </c>
      <c r="K1674" s="265" t="s">
        <v>1001</v>
      </c>
      <c r="L1674" s="327">
        <v>2000</v>
      </c>
      <c r="M1674" s="368">
        <v>-9999</v>
      </c>
      <c r="N1674" s="327">
        <v>-9999</v>
      </c>
      <c r="O1674" s="323"/>
      <c r="P1674" s="368">
        <v>9.86</v>
      </c>
      <c r="Q1674" s="327">
        <v>-9999</v>
      </c>
      <c r="R1674" s="368">
        <v>-9999</v>
      </c>
      <c r="S1674" s="327">
        <v>-9999</v>
      </c>
      <c r="T1674" s="370">
        <f>+P1674/H1674</f>
        <v>4.93</v>
      </c>
      <c r="U1674" s="327">
        <v>-9999</v>
      </c>
      <c r="V1674" s="327">
        <v>-9999</v>
      </c>
      <c r="W1674" s="287">
        <f>+P1674-P1673</f>
        <v>8.69</v>
      </c>
      <c r="X1674" s="327">
        <v>-9999</v>
      </c>
      <c r="Y1674" s="327">
        <v>-9999</v>
      </c>
      <c r="Z1674" s="327" t="s">
        <v>1002</v>
      </c>
      <c r="AA1674" s="327">
        <v>1495</v>
      </c>
      <c r="AB1674" s="368" t="s">
        <v>1003</v>
      </c>
      <c r="AC1674" s="327">
        <v>-9999</v>
      </c>
      <c r="AD1674" s="327">
        <v>-9999</v>
      </c>
      <c r="AE1674" s="327">
        <v>-9999</v>
      </c>
      <c r="AF1674" s="327">
        <v>-9999</v>
      </c>
      <c r="AG1674" s="327">
        <v>-9999</v>
      </c>
      <c r="AH1674" s="327">
        <v>-9999</v>
      </c>
      <c r="AI1674" s="327">
        <v>-9999</v>
      </c>
      <c r="AJ1674" s="327">
        <v>-9999</v>
      </c>
      <c r="AK1674" s="327" t="s">
        <v>1004</v>
      </c>
      <c r="AL1674" s="327">
        <v>-9999</v>
      </c>
      <c r="AM1674" s="327">
        <v>-9999</v>
      </c>
      <c r="AN1674" s="327">
        <v>-9999</v>
      </c>
      <c r="AO1674" s="327">
        <v>-9999</v>
      </c>
      <c r="AP1674" s="327">
        <v>-9999</v>
      </c>
      <c r="AQ1674" s="327" t="s">
        <v>631</v>
      </c>
      <c r="AR1674" s="327">
        <v>0</v>
      </c>
      <c r="AS1674" s="327">
        <v>-9999</v>
      </c>
      <c r="AT1674" s="327">
        <v>-9999</v>
      </c>
      <c r="AU1674" s="327">
        <v>0</v>
      </c>
      <c r="AV1674" s="327">
        <v>-9999</v>
      </c>
      <c r="AW1674" s="327"/>
      <c r="AX1674" s="327">
        <v>0</v>
      </c>
      <c r="AY1674" s="327">
        <v>-9999</v>
      </c>
      <c r="AZ1674" s="327">
        <v>-9999</v>
      </c>
      <c r="BA1674" s="327">
        <v>-9999</v>
      </c>
      <c r="BB1674" s="327" t="s">
        <v>626</v>
      </c>
      <c r="BC1674" s="327" t="s">
        <v>1005</v>
      </c>
      <c r="BD1674" s="327">
        <v>-9999</v>
      </c>
      <c r="BE1674" s="327">
        <v>-9999</v>
      </c>
      <c r="BF1674" s="327">
        <v>-9999</v>
      </c>
      <c r="BG1674" s="327">
        <v>-9999</v>
      </c>
      <c r="BH1674" s="327">
        <v>-9999</v>
      </c>
      <c r="BI1674" s="327"/>
      <c r="BJ1674" s="327">
        <v>-9999</v>
      </c>
      <c r="BK1674" s="327">
        <v>-9999</v>
      </c>
      <c r="BL1674" s="327">
        <v>-9999</v>
      </c>
      <c r="BM1674" s="327">
        <v>-9999</v>
      </c>
      <c r="BN1674" s="327">
        <v>-9999</v>
      </c>
      <c r="BO1674" s="327">
        <v>-9999</v>
      </c>
      <c r="BP1674" s="327">
        <v>-9999</v>
      </c>
      <c r="BQ1674" s="327">
        <v>-9999</v>
      </c>
      <c r="BR1674" s="327">
        <v>-9999</v>
      </c>
      <c r="BS1674" s="474">
        <v>-9999</v>
      </c>
      <c r="BT1674" s="327">
        <v>-9999</v>
      </c>
      <c r="BU1674" s="327">
        <v>-9999</v>
      </c>
      <c r="BV1674" s="327">
        <v>-9999</v>
      </c>
      <c r="BW1674" s="327"/>
      <c r="BX1674" s="327">
        <v>-9999</v>
      </c>
      <c r="BY1674" s="327">
        <v>-9999</v>
      </c>
      <c r="BZ1674" s="327">
        <v>-9999</v>
      </c>
      <c r="CA1674" s="369">
        <v>-9999</v>
      </c>
      <c r="CB1674" s="475" t="s">
        <v>1433</v>
      </c>
      <c r="CC1674" s="327">
        <v>1</v>
      </c>
      <c r="CD1674" s="327">
        <v>2</v>
      </c>
      <c r="CE1674" s="342">
        <v>4.93</v>
      </c>
      <c r="CF1674" s="342">
        <v>8.69</v>
      </c>
      <c r="CG1674" s="347">
        <v>2</v>
      </c>
      <c r="CO1674" s="301" t="s">
        <v>1689</v>
      </c>
    </row>
    <row r="1675" spans="1:93" s="301" customFormat="1" x14ac:dyDescent="0.2">
      <c r="A1675" s="327" t="s">
        <v>1425</v>
      </c>
      <c r="B1675" s="327" t="s">
        <v>1006</v>
      </c>
      <c r="C1675" s="327" t="s">
        <v>1000</v>
      </c>
      <c r="D1675" s="327" t="s">
        <v>553</v>
      </c>
      <c r="E1675" s="327" t="s">
        <v>901</v>
      </c>
      <c r="F1675" s="327">
        <v>1</v>
      </c>
      <c r="G1675" s="327">
        <v>3</v>
      </c>
      <c r="H1675" s="328">
        <v>3</v>
      </c>
      <c r="I1675" s="327" t="s">
        <v>1001</v>
      </c>
      <c r="J1675" s="327">
        <v>1997</v>
      </c>
      <c r="K1675" s="265" t="s">
        <v>1001</v>
      </c>
      <c r="L1675" s="327">
        <v>2000</v>
      </c>
      <c r="M1675" s="368">
        <v>-9999</v>
      </c>
      <c r="N1675" s="327">
        <v>-9999</v>
      </c>
      <c r="O1675" s="323"/>
      <c r="P1675" s="368">
        <v>17.16</v>
      </c>
      <c r="Q1675" s="327">
        <v>-9999</v>
      </c>
      <c r="R1675" s="368">
        <v>-9999</v>
      </c>
      <c r="S1675" s="327">
        <v>-9999</v>
      </c>
      <c r="T1675" s="370">
        <f>+P1675/H1675</f>
        <v>5.72</v>
      </c>
      <c r="U1675" s="327">
        <v>-9999</v>
      </c>
      <c r="V1675" s="327">
        <v>-9999</v>
      </c>
      <c r="W1675" s="287">
        <f>+P1675-P1674</f>
        <v>7.3000000000000007</v>
      </c>
      <c r="X1675" s="327">
        <v>-9999</v>
      </c>
      <c r="Y1675" s="327">
        <v>-9999</v>
      </c>
      <c r="Z1675" s="327" t="s">
        <v>1002</v>
      </c>
      <c r="AA1675" s="327">
        <v>1495</v>
      </c>
      <c r="AB1675" s="368" t="s">
        <v>1007</v>
      </c>
      <c r="AC1675" s="327">
        <v>-9999</v>
      </c>
      <c r="AD1675" s="327">
        <v>-9999</v>
      </c>
      <c r="AE1675" s="327">
        <v>-9999</v>
      </c>
      <c r="AF1675" s="327">
        <v>-9999</v>
      </c>
      <c r="AG1675" s="327">
        <v>-9999</v>
      </c>
      <c r="AH1675" s="327">
        <v>-9999</v>
      </c>
      <c r="AI1675" s="327">
        <v>-9999</v>
      </c>
      <c r="AJ1675" s="327">
        <v>-9999</v>
      </c>
      <c r="AK1675" s="327" t="s">
        <v>1004</v>
      </c>
      <c r="AL1675" s="327">
        <v>-9999</v>
      </c>
      <c r="AM1675" s="327">
        <v>-9999</v>
      </c>
      <c r="AN1675" s="327">
        <v>-9999</v>
      </c>
      <c r="AO1675" s="327">
        <v>-9999</v>
      </c>
      <c r="AP1675" s="327">
        <v>-9999</v>
      </c>
      <c r="AQ1675" s="327" t="s">
        <v>626</v>
      </c>
      <c r="AR1675" s="327">
        <v>90</v>
      </c>
      <c r="AS1675" s="327">
        <v>-9999</v>
      </c>
      <c r="AT1675" s="327" t="s">
        <v>150</v>
      </c>
      <c r="AU1675" s="327">
        <v>25</v>
      </c>
      <c r="AV1675" s="327">
        <v>-9999</v>
      </c>
      <c r="AW1675" s="327" t="s">
        <v>150</v>
      </c>
      <c r="AX1675" s="327">
        <v>40</v>
      </c>
      <c r="AY1675" s="327">
        <v>-9999</v>
      </c>
      <c r="AZ1675" s="327" t="s">
        <v>150</v>
      </c>
      <c r="BA1675" s="327" t="s">
        <v>1202</v>
      </c>
      <c r="BB1675" s="327" t="s">
        <v>626</v>
      </c>
      <c r="BC1675" s="327" t="s">
        <v>1005</v>
      </c>
      <c r="BD1675" s="327">
        <v>-9999</v>
      </c>
      <c r="BE1675" s="327">
        <v>-9999</v>
      </c>
      <c r="BF1675" s="327">
        <v>-9999</v>
      </c>
      <c r="BG1675" s="327">
        <v>-9999</v>
      </c>
      <c r="BH1675" s="327">
        <v>-9999</v>
      </c>
      <c r="BI1675" s="327"/>
      <c r="BJ1675" s="327">
        <v>-9999</v>
      </c>
      <c r="BK1675" s="327">
        <v>-9999</v>
      </c>
      <c r="BL1675" s="327">
        <v>-9999</v>
      </c>
      <c r="BM1675" s="327">
        <v>-9999</v>
      </c>
      <c r="BN1675" s="327">
        <v>-9999</v>
      </c>
      <c r="BO1675" s="327">
        <v>-9999</v>
      </c>
      <c r="BP1675" s="327">
        <v>-9999</v>
      </c>
      <c r="BQ1675" s="327">
        <v>-9999</v>
      </c>
      <c r="BR1675" s="327">
        <v>-9999</v>
      </c>
      <c r="BS1675" s="474">
        <v>-9999</v>
      </c>
      <c r="BT1675" s="327">
        <v>-9999</v>
      </c>
      <c r="BU1675" s="327">
        <v>-9999</v>
      </c>
      <c r="BV1675" s="327">
        <v>-9999</v>
      </c>
      <c r="BW1675" s="327"/>
      <c r="BX1675" s="327">
        <v>-9999</v>
      </c>
      <c r="BY1675" s="327">
        <v>-9999</v>
      </c>
      <c r="BZ1675" s="327">
        <v>-9999</v>
      </c>
      <c r="CA1675" s="369">
        <v>-9999</v>
      </c>
      <c r="CB1675" s="475" t="s">
        <v>1433</v>
      </c>
      <c r="CC1675" s="327">
        <v>1</v>
      </c>
      <c r="CD1675" s="327">
        <v>3</v>
      </c>
      <c r="CE1675" s="342">
        <v>5.72</v>
      </c>
      <c r="CF1675" s="342">
        <v>7.3000000000000007</v>
      </c>
      <c r="CG1675" s="347">
        <v>3</v>
      </c>
    </row>
    <row r="1676" spans="1:93" s="301" customFormat="1" x14ac:dyDescent="0.2">
      <c r="A1676" s="327" t="s">
        <v>1425</v>
      </c>
      <c r="B1676" s="327" t="s">
        <v>1008</v>
      </c>
      <c r="C1676" s="327" t="s">
        <v>1000</v>
      </c>
      <c r="D1676" s="327" t="s">
        <v>553</v>
      </c>
      <c r="E1676" s="327" t="s">
        <v>901</v>
      </c>
      <c r="F1676" s="327">
        <v>1</v>
      </c>
      <c r="G1676" s="327">
        <v>4</v>
      </c>
      <c r="H1676" s="328">
        <v>4</v>
      </c>
      <c r="I1676" s="327" t="s">
        <v>1009</v>
      </c>
      <c r="J1676" s="327">
        <v>1995</v>
      </c>
      <c r="K1676" s="265" t="s">
        <v>1009</v>
      </c>
      <c r="L1676" s="327">
        <v>1999</v>
      </c>
      <c r="M1676" s="368">
        <v>-9999</v>
      </c>
      <c r="N1676" s="327">
        <v>-9999</v>
      </c>
      <c r="O1676" s="323"/>
      <c r="P1676" s="368">
        <v>36.450000000000003</v>
      </c>
      <c r="Q1676" s="327">
        <v>-9999</v>
      </c>
      <c r="R1676" s="368">
        <v>-9999</v>
      </c>
      <c r="S1676" s="327">
        <v>-9999</v>
      </c>
      <c r="T1676" s="370">
        <f>+P1676/H1676</f>
        <v>9.1125000000000007</v>
      </c>
      <c r="U1676" s="327">
        <v>-9999</v>
      </c>
      <c r="V1676" s="327">
        <v>-9999</v>
      </c>
      <c r="W1676" s="287">
        <f>+P1676-P1675</f>
        <v>19.290000000000003</v>
      </c>
      <c r="X1676" s="327">
        <v>-9999</v>
      </c>
      <c r="Y1676" s="327">
        <v>-9999</v>
      </c>
      <c r="Z1676" s="327" t="s">
        <v>1002</v>
      </c>
      <c r="AA1676" s="327">
        <v>1495</v>
      </c>
      <c r="AB1676" s="368" t="s">
        <v>1010</v>
      </c>
      <c r="AC1676" s="327">
        <v>-9999</v>
      </c>
      <c r="AD1676" s="327">
        <v>-9999</v>
      </c>
      <c r="AE1676" s="327">
        <v>-9999</v>
      </c>
      <c r="AF1676" s="327">
        <v>-9999</v>
      </c>
      <c r="AG1676" s="327">
        <v>-9999</v>
      </c>
      <c r="AH1676" s="327">
        <v>-9999</v>
      </c>
      <c r="AI1676" s="327">
        <v>-9999</v>
      </c>
      <c r="AJ1676" s="327">
        <v>-9999</v>
      </c>
      <c r="AK1676" s="327" t="s">
        <v>1004</v>
      </c>
      <c r="AL1676" s="327">
        <v>-9999</v>
      </c>
      <c r="AM1676" s="327">
        <v>-9999</v>
      </c>
      <c r="AN1676" s="327">
        <v>-9999</v>
      </c>
      <c r="AO1676" s="327">
        <v>-9999</v>
      </c>
      <c r="AP1676" s="327">
        <v>-9999</v>
      </c>
      <c r="AQ1676" s="327" t="s">
        <v>631</v>
      </c>
      <c r="AR1676" s="327">
        <v>0</v>
      </c>
      <c r="AS1676" s="327">
        <v>-9999</v>
      </c>
      <c r="AT1676" s="327">
        <v>-9999</v>
      </c>
      <c r="AU1676" s="327">
        <v>0</v>
      </c>
      <c r="AV1676" s="327">
        <v>-9999</v>
      </c>
      <c r="AW1676" s="327"/>
      <c r="AX1676" s="327">
        <v>0</v>
      </c>
      <c r="AY1676" s="327">
        <v>-9999</v>
      </c>
      <c r="AZ1676" s="327">
        <v>-9999</v>
      </c>
      <c r="BA1676" s="327">
        <v>-9999</v>
      </c>
      <c r="BB1676" s="327" t="s">
        <v>626</v>
      </c>
      <c r="BC1676" s="327" t="s">
        <v>1005</v>
      </c>
      <c r="BD1676" s="327">
        <v>-9999</v>
      </c>
      <c r="BE1676" s="327">
        <v>-9999</v>
      </c>
      <c r="BF1676" s="327">
        <v>-9999</v>
      </c>
      <c r="BG1676" s="327">
        <v>-9999</v>
      </c>
      <c r="BH1676" s="327">
        <v>-9999</v>
      </c>
      <c r="BI1676" s="327"/>
      <c r="BJ1676" s="327">
        <v>-9999</v>
      </c>
      <c r="BK1676" s="327">
        <v>-9999</v>
      </c>
      <c r="BL1676" s="327">
        <v>-9999</v>
      </c>
      <c r="BM1676" s="327">
        <v>-9999</v>
      </c>
      <c r="BN1676" s="327">
        <v>-9999</v>
      </c>
      <c r="BO1676" s="327">
        <v>-9999</v>
      </c>
      <c r="BP1676" s="327">
        <v>-9999</v>
      </c>
      <c r="BQ1676" s="327">
        <v>-9999</v>
      </c>
      <c r="BR1676" s="327">
        <v>-9999</v>
      </c>
      <c r="BS1676" s="474">
        <v>-9999</v>
      </c>
      <c r="BT1676" s="327">
        <v>-9999</v>
      </c>
      <c r="BU1676" s="327">
        <v>-9999</v>
      </c>
      <c r="BV1676" s="327">
        <v>-9999</v>
      </c>
      <c r="BW1676" s="327"/>
      <c r="BX1676" s="327">
        <v>-9999</v>
      </c>
      <c r="BY1676" s="327">
        <v>-9999</v>
      </c>
      <c r="BZ1676" s="327">
        <v>-9999</v>
      </c>
      <c r="CA1676" s="369">
        <v>-9999</v>
      </c>
      <c r="CB1676" s="475" t="s">
        <v>1433</v>
      </c>
      <c r="CC1676" s="327">
        <v>1</v>
      </c>
      <c r="CD1676" s="327">
        <v>4</v>
      </c>
      <c r="CE1676" s="342">
        <v>9.1125000000000007</v>
      </c>
      <c r="CF1676" s="342">
        <v>19.290000000000003</v>
      </c>
      <c r="CG1676" s="347">
        <v>4</v>
      </c>
    </row>
  </sheetData>
  <pageMargins left="0.7" right="0.7" top="0.75" bottom="0.75" header="0.3" footer="0.3"/>
  <pageSetup orientation="portrait" horizontalDpi="1200" verticalDpi="1200" r:id="rId1"/>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87"/>
  <sheetViews>
    <sheetView topLeftCell="A59" workbookViewId="0">
      <selection activeCell="D67" sqref="D67"/>
    </sheetView>
  </sheetViews>
  <sheetFormatPr defaultRowHeight="12.75" x14ac:dyDescent="0.2"/>
  <cols>
    <col min="1" max="1" width="38.28515625" customWidth="1"/>
    <col min="2" max="2" width="9.5703125" customWidth="1"/>
    <col min="3" max="3" width="35.140625" customWidth="1"/>
    <col min="5" max="5" width="37" customWidth="1"/>
    <col min="6" max="6" width="12.140625" customWidth="1"/>
    <col min="7" max="7" width="45" customWidth="1"/>
  </cols>
  <sheetData>
    <row r="1" spans="1:3" x14ac:dyDescent="0.2">
      <c r="A1" s="350"/>
      <c r="B1" s="350"/>
      <c r="C1" s="350"/>
    </row>
    <row r="2" spans="1:3" ht="14.25" x14ac:dyDescent="0.2">
      <c r="A2" s="893" t="s">
        <v>2012</v>
      </c>
      <c r="B2" s="893"/>
      <c r="C2" s="893"/>
    </row>
    <row r="3" spans="1:3" ht="15.75" thickBot="1" x14ac:dyDescent="0.3">
      <c r="A3" s="679" t="s">
        <v>1662</v>
      </c>
      <c r="B3" s="680"/>
      <c r="C3" s="680"/>
    </row>
    <row r="4" spans="1:3" ht="15" thickBot="1" x14ac:dyDescent="0.25">
      <c r="A4" s="681" t="s">
        <v>1663</v>
      </c>
      <c r="B4" s="681" t="s">
        <v>1664</v>
      </c>
      <c r="C4" s="682" t="s">
        <v>1665</v>
      </c>
    </row>
    <row r="5" spans="1:3" ht="15.95" customHeight="1" x14ac:dyDescent="0.25">
      <c r="A5" s="680" t="s">
        <v>1667</v>
      </c>
      <c r="B5" s="683">
        <v>3.5299999999999998E-2</v>
      </c>
      <c r="C5" s="680" t="s">
        <v>1666</v>
      </c>
    </row>
    <row r="6" spans="1:3" ht="15.95" customHeight="1" x14ac:dyDescent="0.25">
      <c r="A6" s="678" t="s">
        <v>1667</v>
      </c>
      <c r="B6" s="684">
        <v>2.2000000000000001E-3</v>
      </c>
      <c r="C6" s="678" t="s">
        <v>1668</v>
      </c>
    </row>
    <row r="7" spans="1:3" ht="15.95" customHeight="1" x14ac:dyDescent="0.25">
      <c r="A7" s="680" t="s">
        <v>1669</v>
      </c>
      <c r="B7" s="683">
        <v>2.2046000000000001</v>
      </c>
      <c r="C7" s="680" t="s">
        <v>1983</v>
      </c>
    </row>
    <row r="8" spans="1:3" ht="15.95" customHeight="1" x14ac:dyDescent="0.25">
      <c r="A8" s="680" t="s">
        <v>1669</v>
      </c>
      <c r="B8" s="685">
        <v>2205</v>
      </c>
      <c r="C8" s="680" t="s">
        <v>1668</v>
      </c>
    </row>
    <row r="9" spans="1:3" ht="15.95" customHeight="1" x14ac:dyDescent="0.25">
      <c r="A9" s="680" t="s">
        <v>1669</v>
      </c>
      <c r="B9" s="683">
        <v>1.1000000000000001E-3</v>
      </c>
      <c r="C9" s="680" t="s">
        <v>1678</v>
      </c>
    </row>
    <row r="10" spans="1:3" ht="15.95" customHeight="1" x14ac:dyDescent="0.25">
      <c r="A10" s="680" t="s">
        <v>1985</v>
      </c>
      <c r="B10" s="683">
        <v>1.1020000000000001</v>
      </c>
      <c r="C10" s="680" t="s">
        <v>1678</v>
      </c>
    </row>
    <row r="11" spans="1:3" ht="15.95" customHeight="1" thickBot="1" x14ac:dyDescent="0.3">
      <c r="A11" s="717" t="s">
        <v>1985</v>
      </c>
      <c r="B11" s="722">
        <v>0.98419999999999996</v>
      </c>
      <c r="C11" s="717" t="s">
        <v>1681</v>
      </c>
    </row>
    <row r="12" spans="1:3" ht="52.5" customHeight="1" x14ac:dyDescent="0.25">
      <c r="A12" s="894" t="s">
        <v>1986</v>
      </c>
      <c r="B12" s="895"/>
      <c r="C12" s="895"/>
    </row>
    <row r="13" spans="1:3" ht="13.5" customHeight="1" x14ac:dyDescent="0.25">
      <c r="A13" s="686"/>
      <c r="B13" s="687"/>
      <c r="C13" s="687"/>
    </row>
    <row r="14" spans="1:3" ht="15" thickBot="1" x14ac:dyDescent="0.25">
      <c r="A14" s="688" t="s">
        <v>1677</v>
      </c>
      <c r="B14" s="688"/>
      <c r="C14" s="689"/>
    </row>
    <row r="15" spans="1:3" ht="15" thickBot="1" x14ac:dyDescent="0.25">
      <c r="A15" s="690" t="s">
        <v>1676</v>
      </c>
      <c r="B15" s="691" t="s">
        <v>1664</v>
      </c>
      <c r="C15" s="692" t="s">
        <v>1665</v>
      </c>
    </row>
    <row r="16" spans="1:3" ht="15.95" customHeight="1" x14ac:dyDescent="0.25">
      <c r="A16" s="693" t="s">
        <v>1674</v>
      </c>
      <c r="B16" s="694">
        <v>2.4710000000000001</v>
      </c>
      <c r="C16" s="695" t="s">
        <v>1984</v>
      </c>
    </row>
    <row r="17" spans="1:3" ht="15.95" customHeight="1" x14ac:dyDescent="0.25">
      <c r="A17" s="696" t="s">
        <v>1675</v>
      </c>
      <c r="B17" s="694">
        <v>3.8999999999999998E-3</v>
      </c>
      <c r="C17" s="696" t="s">
        <v>1987</v>
      </c>
    </row>
    <row r="18" spans="1:3" ht="15.95" customHeight="1" x14ac:dyDescent="0.25">
      <c r="A18" s="693" t="s">
        <v>2006</v>
      </c>
      <c r="B18" s="697">
        <v>247.10400000000001</v>
      </c>
      <c r="C18" s="693" t="s">
        <v>1984</v>
      </c>
    </row>
    <row r="19" spans="1:3" ht="15.95" customHeight="1" x14ac:dyDescent="0.25">
      <c r="A19" s="693" t="s">
        <v>1988</v>
      </c>
      <c r="B19" s="694">
        <v>0.3861</v>
      </c>
      <c r="C19" s="696" t="s">
        <v>1989</v>
      </c>
    </row>
    <row r="20" spans="1:3" ht="15.95" customHeight="1" x14ac:dyDescent="0.25">
      <c r="A20" s="693" t="s">
        <v>1990</v>
      </c>
      <c r="B20" s="694">
        <v>1.196</v>
      </c>
      <c r="C20" s="696" t="s">
        <v>1991</v>
      </c>
    </row>
    <row r="21" spans="1:3" ht="15.95" customHeight="1" x14ac:dyDescent="0.25">
      <c r="A21" s="693" t="s">
        <v>1990</v>
      </c>
      <c r="B21" s="694">
        <v>10.7639</v>
      </c>
      <c r="C21" s="693" t="s">
        <v>1992</v>
      </c>
    </row>
    <row r="22" spans="1:3" ht="15.95" customHeight="1" x14ac:dyDescent="0.25">
      <c r="A22" s="693" t="s">
        <v>1993</v>
      </c>
      <c r="B22" s="694">
        <v>15.5</v>
      </c>
      <c r="C22" s="693" t="s">
        <v>1994</v>
      </c>
    </row>
    <row r="23" spans="1:3" ht="15.95" customHeight="1" x14ac:dyDescent="0.25">
      <c r="A23" s="693" t="s">
        <v>1995</v>
      </c>
      <c r="B23" s="694">
        <v>0.155</v>
      </c>
      <c r="C23" s="693" t="s">
        <v>1994</v>
      </c>
    </row>
    <row r="24" spans="1:3" ht="15.95" customHeight="1" thickBot="1" x14ac:dyDescent="0.3">
      <c r="A24" s="723" t="s">
        <v>1996</v>
      </c>
      <c r="B24" s="724">
        <v>2E-3</v>
      </c>
      <c r="C24" s="715" t="s">
        <v>1994</v>
      </c>
    </row>
    <row r="25" spans="1:3" ht="22.5" customHeight="1" x14ac:dyDescent="0.25">
      <c r="A25" s="698" t="s">
        <v>2007</v>
      </c>
      <c r="B25" s="678"/>
      <c r="C25" s="678"/>
    </row>
    <row r="26" spans="1:3" ht="22.5" customHeight="1" x14ac:dyDescent="0.25">
      <c r="A26" s="698"/>
      <c r="B26" s="678"/>
      <c r="C26" s="678"/>
    </row>
    <row r="27" spans="1:3" ht="15.75" thickBot="1" x14ac:dyDescent="0.3">
      <c r="A27" s="699" t="s">
        <v>2005</v>
      </c>
      <c r="B27" s="700"/>
      <c r="C27" s="700"/>
    </row>
    <row r="28" spans="1:3" ht="15" thickBot="1" x14ac:dyDescent="0.25">
      <c r="A28" s="701" t="s">
        <v>1663</v>
      </c>
      <c r="B28" s="681" t="s">
        <v>1664</v>
      </c>
      <c r="C28" s="702" t="s">
        <v>1665</v>
      </c>
    </row>
    <row r="29" spans="1:3" ht="15.95" customHeight="1" x14ac:dyDescent="0.25">
      <c r="A29" s="703" t="s">
        <v>1997</v>
      </c>
      <c r="B29" s="716">
        <v>0.4461</v>
      </c>
      <c r="C29" s="703" t="s">
        <v>1998</v>
      </c>
    </row>
    <row r="30" spans="1:3" ht="15.95" customHeight="1" x14ac:dyDescent="0.25">
      <c r="A30" s="700" t="s">
        <v>1999</v>
      </c>
      <c r="B30" s="716">
        <v>4.4610000000000003</v>
      </c>
      <c r="C30" s="700" t="s">
        <v>1998</v>
      </c>
    </row>
    <row r="31" spans="1:3" ht="15.95" customHeight="1" x14ac:dyDescent="0.25">
      <c r="A31" s="700" t="s">
        <v>2000</v>
      </c>
      <c r="B31" s="716">
        <v>0.89219999999999999</v>
      </c>
      <c r="C31" s="700" t="s">
        <v>2001</v>
      </c>
    </row>
    <row r="32" spans="1:3" ht="15.95" customHeight="1" x14ac:dyDescent="0.25">
      <c r="A32" s="700" t="s">
        <v>2002</v>
      </c>
      <c r="B32" s="716">
        <v>0.42759999999999998</v>
      </c>
      <c r="C32" s="700" t="s">
        <v>2003</v>
      </c>
    </row>
    <row r="33" spans="1:7" ht="15.95" customHeight="1" thickBot="1" x14ac:dyDescent="0.3">
      <c r="A33" s="717" t="s">
        <v>1999</v>
      </c>
      <c r="B33" s="718">
        <v>0.20480000000000001</v>
      </c>
      <c r="C33" s="717" t="s">
        <v>2004</v>
      </c>
    </row>
    <row r="34" spans="1:7" ht="15" x14ac:dyDescent="0.25">
      <c r="A34" s="700"/>
      <c r="B34" s="719"/>
      <c r="C34" s="700"/>
      <c r="E34" s="700"/>
      <c r="F34" s="716"/>
      <c r="G34" s="700"/>
    </row>
    <row r="35" spans="1:7" ht="15" x14ac:dyDescent="0.25">
      <c r="A35" s="893" t="s">
        <v>2013</v>
      </c>
      <c r="B35" s="893"/>
      <c r="C35" s="893"/>
      <c r="E35" s="700"/>
      <c r="F35" s="716"/>
      <c r="G35" s="700"/>
    </row>
    <row r="36" spans="1:7" ht="15.75" thickBot="1" x14ac:dyDescent="0.3">
      <c r="A36" s="679" t="s">
        <v>1662</v>
      </c>
      <c r="B36" s="680"/>
      <c r="C36" s="680"/>
      <c r="E36" s="700"/>
      <c r="F36" s="716"/>
      <c r="G36" s="700"/>
    </row>
    <row r="37" spans="1:7" ht="15.75" thickBot="1" x14ac:dyDescent="0.3">
      <c r="A37" s="681" t="s">
        <v>1663</v>
      </c>
      <c r="B37" s="681" t="s">
        <v>1664</v>
      </c>
      <c r="C37" s="682" t="s">
        <v>1665</v>
      </c>
      <c r="E37" s="700"/>
      <c r="F37" s="716"/>
      <c r="G37" s="700"/>
    </row>
    <row r="38" spans="1:7" ht="15.95" customHeight="1" x14ac:dyDescent="0.25">
      <c r="A38" s="680" t="s">
        <v>1666</v>
      </c>
      <c r="B38" s="712">
        <v>28.349499999999999</v>
      </c>
      <c r="C38" s="680" t="s">
        <v>1667</v>
      </c>
      <c r="E38" s="700"/>
      <c r="F38" s="716"/>
      <c r="G38" s="700"/>
    </row>
    <row r="39" spans="1:7" ht="15.95" customHeight="1" x14ac:dyDescent="0.25">
      <c r="A39" s="680" t="s">
        <v>1668</v>
      </c>
      <c r="B39" s="712">
        <v>0.4536</v>
      </c>
      <c r="C39" s="680" t="s">
        <v>1669</v>
      </c>
      <c r="E39" s="700"/>
      <c r="F39" s="716"/>
      <c r="G39" s="700"/>
    </row>
    <row r="40" spans="1:7" ht="15.95" customHeight="1" x14ac:dyDescent="0.25">
      <c r="A40" s="680" t="s">
        <v>1668</v>
      </c>
      <c r="B40" s="712">
        <v>453.6</v>
      </c>
      <c r="C40" s="680" t="s">
        <v>1667</v>
      </c>
      <c r="E40" s="700"/>
      <c r="F40" s="716"/>
      <c r="G40" s="700"/>
    </row>
    <row r="41" spans="1:7" ht="15.95" customHeight="1" x14ac:dyDescent="0.25">
      <c r="A41" s="680" t="s">
        <v>1679</v>
      </c>
      <c r="B41" s="712">
        <v>907.2</v>
      </c>
      <c r="C41" s="680" t="s">
        <v>1669</v>
      </c>
      <c r="E41" s="700"/>
      <c r="F41" s="716"/>
      <c r="G41" s="700"/>
    </row>
    <row r="42" spans="1:7" ht="15.95" customHeight="1" x14ac:dyDescent="0.25">
      <c r="A42" s="680" t="s">
        <v>1680</v>
      </c>
      <c r="B42" s="712">
        <v>0.90720000000000001</v>
      </c>
      <c r="C42" s="680" t="s">
        <v>2014</v>
      </c>
      <c r="E42" s="700"/>
      <c r="F42" s="716"/>
      <c r="G42" s="700"/>
    </row>
    <row r="43" spans="1:7" ht="15.95" customHeight="1" x14ac:dyDescent="0.25">
      <c r="A43" s="680" t="s">
        <v>2008</v>
      </c>
      <c r="B43" s="712">
        <v>1016</v>
      </c>
      <c r="C43" s="680" t="s">
        <v>1669</v>
      </c>
      <c r="E43" s="700"/>
      <c r="F43" s="716"/>
      <c r="G43" s="700"/>
    </row>
    <row r="44" spans="1:7" ht="15.95" customHeight="1" thickBot="1" x14ac:dyDescent="0.3">
      <c r="A44" s="717" t="s">
        <v>1681</v>
      </c>
      <c r="B44" s="725">
        <v>1.016</v>
      </c>
      <c r="C44" s="717" t="s">
        <v>2014</v>
      </c>
      <c r="E44" s="700"/>
      <c r="F44" s="716"/>
      <c r="G44" s="700"/>
    </row>
    <row r="45" spans="1:7" ht="15.95" customHeight="1" x14ac:dyDescent="0.25">
      <c r="A45" s="678" t="s">
        <v>2009</v>
      </c>
      <c r="B45" s="678"/>
      <c r="C45" s="678"/>
      <c r="E45" s="700"/>
      <c r="F45" s="716"/>
      <c r="G45" s="700"/>
    </row>
    <row r="46" spans="1:7" ht="15.95" customHeight="1" x14ac:dyDescent="0.25">
      <c r="A46" s="678"/>
      <c r="B46" s="678"/>
      <c r="C46" s="678"/>
      <c r="E46" s="700"/>
      <c r="F46" s="716"/>
      <c r="G46" s="700"/>
    </row>
    <row r="47" spans="1:7" ht="15.75" thickBot="1" x14ac:dyDescent="0.3">
      <c r="A47" s="689" t="s">
        <v>1677</v>
      </c>
      <c r="B47" s="688"/>
      <c r="C47" s="688"/>
      <c r="E47" s="700"/>
      <c r="F47" s="716"/>
      <c r="G47" s="700"/>
    </row>
    <row r="48" spans="1:7" ht="15.75" thickBot="1" x14ac:dyDescent="0.3">
      <c r="A48" s="692" t="s">
        <v>1676</v>
      </c>
      <c r="B48" s="713" t="s">
        <v>1664</v>
      </c>
      <c r="C48" s="692" t="s">
        <v>1665</v>
      </c>
      <c r="E48" s="700"/>
      <c r="F48" s="716"/>
      <c r="G48" s="700"/>
    </row>
    <row r="49" spans="1:7" ht="15.95" customHeight="1" x14ac:dyDescent="0.25">
      <c r="A49" s="695" t="s">
        <v>2010</v>
      </c>
      <c r="B49" s="714">
        <v>0.4047</v>
      </c>
      <c r="C49" s="693" t="s">
        <v>1674</v>
      </c>
      <c r="E49" s="700"/>
      <c r="F49" s="716"/>
      <c r="G49" s="700"/>
    </row>
    <row r="50" spans="1:7" ht="15.95" customHeight="1" x14ac:dyDescent="0.25">
      <c r="A50" s="696" t="s">
        <v>1989</v>
      </c>
      <c r="B50" s="694">
        <v>258.99900000000002</v>
      </c>
      <c r="C50" s="693" t="s">
        <v>1674</v>
      </c>
      <c r="E50" s="700"/>
      <c r="F50" s="716"/>
      <c r="G50" s="700"/>
    </row>
    <row r="51" spans="1:7" ht="15.95" customHeight="1" x14ac:dyDescent="0.25">
      <c r="A51" s="696" t="s">
        <v>1989</v>
      </c>
      <c r="B51" s="694">
        <v>2.59</v>
      </c>
      <c r="C51" s="693" t="s">
        <v>1988</v>
      </c>
      <c r="E51" s="700"/>
      <c r="F51" s="716"/>
      <c r="G51" s="700"/>
    </row>
    <row r="52" spans="1:7" ht="15.95" customHeight="1" x14ac:dyDescent="0.25">
      <c r="A52" s="696" t="s">
        <v>1991</v>
      </c>
      <c r="B52" s="694">
        <v>0.83609999999999995</v>
      </c>
      <c r="C52" s="693" t="s">
        <v>1990</v>
      </c>
      <c r="E52" s="700"/>
      <c r="F52" s="716"/>
      <c r="G52" s="700"/>
    </row>
    <row r="53" spans="1:7" ht="15.95" customHeight="1" x14ac:dyDescent="0.25">
      <c r="A53" s="693" t="s">
        <v>1992</v>
      </c>
      <c r="B53" s="694">
        <v>9.2899999999999996E-2</v>
      </c>
      <c r="C53" s="693" t="s">
        <v>1990</v>
      </c>
      <c r="E53" s="700"/>
      <c r="F53" s="716"/>
      <c r="G53" s="700"/>
    </row>
    <row r="54" spans="1:7" ht="15.95" customHeight="1" x14ac:dyDescent="0.25">
      <c r="A54" s="693" t="s">
        <v>1994</v>
      </c>
      <c r="B54" s="694">
        <v>6.4516</v>
      </c>
      <c r="C54" s="693" t="s">
        <v>1995</v>
      </c>
      <c r="E54" s="700"/>
      <c r="F54" s="716"/>
      <c r="G54" s="700"/>
    </row>
    <row r="55" spans="1:7" ht="15.95" customHeight="1" thickBot="1" x14ac:dyDescent="0.3">
      <c r="A55" s="715" t="s">
        <v>1992</v>
      </c>
      <c r="B55" s="726">
        <v>929.03</v>
      </c>
      <c r="C55" s="715" t="s">
        <v>1995</v>
      </c>
      <c r="E55" s="700"/>
      <c r="F55" s="716"/>
      <c r="G55" s="700"/>
    </row>
    <row r="56" spans="1:7" ht="51.75" customHeight="1" x14ac:dyDescent="0.25">
      <c r="A56" s="896" t="s">
        <v>2011</v>
      </c>
      <c r="B56" s="897"/>
      <c r="C56" s="897"/>
      <c r="E56" s="700"/>
      <c r="F56" s="716"/>
      <c r="G56" s="700"/>
    </row>
    <row r="57" spans="1:7" ht="18" x14ac:dyDescent="0.25">
      <c r="A57" s="720"/>
      <c r="B57" s="721"/>
      <c r="C57" s="721"/>
      <c r="E57" s="700"/>
      <c r="F57" s="716"/>
      <c r="G57" s="700"/>
    </row>
    <row r="58" spans="1:7" ht="15.75" thickBot="1" x14ac:dyDescent="0.3">
      <c r="A58" s="699" t="s">
        <v>2005</v>
      </c>
      <c r="B58" s="700"/>
      <c r="C58" s="700"/>
      <c r="E58" s="700"/>
      <c r="F58" s="716"/>
      <c r="G58" s="700"/>
    </row>
    <row r="59" spans="1:7" ht="15.75" thickBot="1" x14ac:dyDescent="0.3">
      <c r="A59" s="701" t="s">
        <v>1663</v>
      </c>
      <c r="B59" s="701" t="s">
        <v>1664</v>
      </c>
      <c r="C59" s="682" t="s">
        <v>1665</v>
      </c>
      <c r="E59" s="700"/>
      <c r="F59" s="716"/>
      <c r="G59" s="700"/>
    </row>
    <row r="60" spans="1:7" s="109" customFormat="1" ht="15.95" customHeight="1" x14ac:dyDescent="0.25">
      <c r="A60" s="703" t="s">
        <v>1998</v>
      </c>
      <c r="B60" s="704">
        <v>2.2416999999999998</v>
      </c>
      <c r="C60" s="703" t="s">
        <v>1997</v>
      </c>
      <c r="E60" s="700"/>
      <c r="F60" s="719"/>
      <c r="G60" s="700"/>
    </row>
    <row r="61" spans="1:7" s="109" customFormat="1" ht="15.95" customHeight="1" x14ac:dyDescent="0.25">
      <c r="A61" s="700" t="s">
        <v>1998</v>
      </c>
      <c r="B61" s="719">
        <v>0.22409999999999999</v>
      </c>
      <c r="C61" s="700" t="s">
        <v>1999</v>
      </c>
      <c r="E61" s="700"/>
      <c r="F61" s="719"/>
      <c r="G61" s="700"/>
    </row>
    <row r="62" spans="1:7" s="109" customFormat="1" ht="15.95" customHeight="1" x14ac:dyDescent="0.25">
      <c r="A62" s="700" t="s">
        <v>2001</v>
      </c>
      <c r="B62" s="719">
        <v>1.121</v>
      </c>
      <c r="C62" s="700" t="s">
        <v>2000</v>
      </c>
      <c r="E62" s="700"/>
      <c r="F62" s="719"/>
      <c r="G62" s="700"/>
    </row>
    <row r="63" spans="1:7" s="109" customFormat="1" ht="15.95" customHeight="1" x14ac:dyDescent="0.25">
      <c r="A63" s="700" t="s">
        <v>2003</v>
      </c>
      <c r="B63" s="719">
        <v>2.3380000000000001</v>
      </c>
      <c r="C63" s="700" t="s">
        <v>2002</v>
      </c>
      <c r="E63" s="700"/>
      <c r="F63" s="719"/>
      <c r="G63" s="700"/>
    </row>
    <row r="64" spans="1:7" s="351" customFormat="1" ht="15.95" customHeight="1" thickBot="1" x14ac:dyDescent="0.3">
      <c r="A64" s="717" t="s">
        <v>2004</v>
      </c>
      <c r="B64" s="718">
        <v>4.8823999999999996</v>
      </c>
      <c r="C64" s="717" t="s">
        <v>1999</v>
      </c>
      <c r="E64" s="717"/>
      <c r="F64" s="718"/>
      <c r="G64" s="717"/>
    </row>
    <row r="65" spans="1:7" ht="15" x14ac:dyDescent="0.25">
      <c r="A65" s="700"/>
      <c r="B65" s="719"/>
      <c r="C65" s="700"/>
      <c r="E65" s="700"/>
      <c r="F65" s="716"/>
      <c r="G65" s="700"/>
    </row>
    <row r="66" spans="1:7" ht="15" x14ac:dyDescent="0.25">
      <c r="A66" s="705" t="s">
        <v>1670</v>
      </c>
      <c r="B66" s="716"/>
      <c r="C66" s="700"/>
      <c r="E66" s="705"/>
      <c r="F66" s="680"/>
      <c r="G66" s="700"/>
    </row>
    <row r="67" spans="1:7" ht="15" x14ac:dyDescent="0.25">
      <c r="A67" s="352" t="s">
        <v>2015</v>
      </c>
      <c r="B67" s="706" t="s">
        <v>1671</v>
      </c>
      <c r="C67" s="700"/>
      <c r="E67" s="706"/>
      <c r="F67" s="707"/>
      <c r="G67" s="700"/>
    </row>
    <row r="68" spans="1:7" ht="15" x14ac:dyDescent="0.25">
      <c r="A68" s="708" t="s">
        <v>1672</v>
      </c>
      <c r="B68" s="707"/>
      <c r="C68" s="700"/>
      <c r="E68" s="708"/>
      <c r="F68" s="707"/>
      <c r="G68" s="700"/>
    </row>
    <row r="69" spans="1:7" ht="15" x14ac:dyDescent="0.25">
      <c r="A69" s="706" t="s">
        <v>1673</v>
      </c>
      <c r="B69" s="707"/>
      <c r="C69" s="700"/>
      <c r="E69" s="706"/>
      <c r="F69" s="707"/>
      <c r="G69" s="700"/>
    </row>
    <row r="70" spans="1:7" ht="15" x14ac:dyDescent="0.25">
      <c r="A70" s="678" t="s">
        <v>1682</v>
      </c>
      <c r="B70" s="709"/>
      <c r="C70" s="678"/>
      <c r="E70" s="710"/>
      <c r="F70" s="711"/>
      <c r="G70" s="710"/>
    </row>
    <row r="71" spans="1:7" ht="12.75" customHeight="1" x14ac:dyDescent="0.25">
      <c r="A71" s="706" t="s">
        <v>1683</v>
      </c>
      <c r="B71" s="709"/>
      <c r="C71" s="678"/>
      <c r="E71" s="710"/>
      <c r="F71" s="711"/>
      <c r="G71" s="710"/>
    </row>
    <row r="72" spans="1:7" ht="15" x14ac:dyDescent="0.25">
      <c r="A72" s="678"/>
      <c r="B72" s="678"/>
      <c r="C72" s="678"/>
    </row>
    <row r="73" spans="1:7" x14ac:dyDescent="0.2">
      <c r="F73" s="109"/>
    </row>
    <row r="74" spans="1:7" ht="15.75" x14ac:dyDescent="0.2">
      <c r="A74" s="377" t="s">
        <v>1694</v>
      </c>
    </row>
    <row r="76" spans="1:7" ht="18.75" x14ac:dyDescent="0.2">
      <c r="A76" s="377" t="s">
        <v>1693</v>
      </c>
    </row>
    <row r="77" spans="1:7" ht="15.75" x14ac:dyDescent="0.2">
      <c r="A77" s="377" t="s">
        <v>1695</v>
      </c>
    </row>
    <row r="78" spans="1:7" ht="18.75" x14ac:dyDescent="0.2">
      <c r="A78" s="377" t="s">
        <v>1696</v>
      </c>
    </row>
    <row r="79" spans="1:7" ht="15.75" x14ac:dyDescent="0.2">
      <c r="A79" s="378" t="s">
        <v>1697</v>
      </c>
    </row>
    <row r="80" spans="1:7" ht="15.75" x14ac:dyDescent="0.2">
      <c r="A80" s="377" t="s">
        <v>1698</v>
      </c>
    </row>
    <row r="81" spans="1:3" ht="15.75" x14ac:dyDescent="0.2">
      <c r="A81" s="377" t="s">
        <v>1699</v>
      </c>
    </row>
    <row r="82" spans="1:3" ht="15.75" x14ac:dyDescent="0.2">
      <c r="A82" s="377" t="s">
        <v>1700</v>
      </c>
    </row>
    <row r="85" spans="1:3" ht="16.5" thickBot="1" x14ac:dyDescent="0.25">
      <c r="A85" s="377"/>
    </row>
    <row r="86" spans="1:3" x14ac:dyDescent="0.2">
      <c r="A86" s="348"/>
      <c r="B86" s="348"/>
      <c r="C86" s="349"/>
    </row>
    <row r="87" spans="1:3" x14ac:dyDescent="0.2">
      <c r="A87" s="320"/>
    </row>
  </sheetData>
  <mergeCells count="4">
    <mergeCell ref="A35:C35"/>
    <mergeCell ref="A12:C12"/>
    <mergeCell ref="A56:C56"/>
    <mergeCell ref="A2:C2"/>
  </mergeCells>
  <hyperlinks>
    <hyperlink ref="A67" r:id="rId1"/>
    <hyperlink ref="A69" r:id="rId2"/>
    <hyperlink ref="A71" r:id="rId3"/>
    <hyperlink ref="B67" r:id="rId4"/>
  </hyperlinks>
  <pageMargins left="0.7" right="0.7" top="0.75" bottom="0.75" header="0.3" footer="0.3"/>
  <pageSetup orientation="portrait" horizontalDpi="1200" verticalDpi="1200" r:id="rId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74"/>
  <sheetViews>
    <sheetView topLeftCell="A65" workbookViewId="0">
      <selection activeCell="C105" sqref="C105"/>
    </sheetView>
  </sheetViews>
  <sheetFormatPr defaultRowHeight="12.75" x14ac:dyDescent="0.2"/>
  <cols>
    <col min="1" max="1" width="49.5703125" style="663" customWidth="1"/>
    <col min="2" max="2" width="41.85546875" style="663" customWidth="1"/>
  </cols>
  <sheetData>
    <row r="1" spans="1:10" x14ac:dyDescent="0.2">
      <c r="A1" s="660" t="s">
        <v>1763</v>
      </c>
    </row>
    <row r="2" spans="1:10" x14ac:dyDescent="0.2">
      <c r="A2" s="660"/>
    </row>
    <row r="3" spans="1:10" x14ac:dyDescent="0.2">
      <c r="A3" s="671" t="s">
        <v>616</v>
      </c>
    </row>
    <row r="4" spans="1:10" ht="26.25" customHeight="1" x14ac:dyDescent="0.2">
      <c r="A4" s="665" t="s">
        <v>617</v>
      </c>
      <c r="B4" s="748" t="s">
        <v>2037</v>
      </c>
      <c r="C4" s="663"/>
      <c r="D4" s="663"/>
    </row>
    <row r="5" spans="1:10" ht="26.25" customHeight="1" x14ac:dyDescent="0.2">
      <c r="A5" s="665"/>
      <c r="B5" s="660" t="s">
        <v>1795</v>
      </c>
      <c r="C5" s="320" t="s">
        <v>1793</v>
      </c>
    </row>
    <row r="6" spans="1:10" ht="25.5" x14ac:dyDescent="0.2">
      <c r="A6" s="229"/>
      <c r="B6" s="660" t="s">
        <v>1796</v>
      </c>
      <c r="C6" s="320" t="s">
        <v>1792</v>
      </c>
    </row>
    <row r="7" spans="1:10" x14ac:dyDescent="0.2">
      <c r="A7" s="229"/>
      <c r="B7" s="660" t="s">
        <v>1815</v>
      </c>
      <c r="C7" s="320" t="s">
        <v>1799</v>
      </c>
    </row>
    <row r="8" spans="1:10" x14ac:dyDescent="0.2">
      <c r="A8" s="229"/>
      <c r="B8" s="660" t="s">
        <v>1800</v>
      </c>
      <c r="C8" s="320" t="s">
        <v>1801</v>
      </c>
      <c r="J8" s="320" t="s">
        <v>1802</v>
      </c>
    </row>
    <row r="9" spans="1:10" x14ac:dyDescent="0.2">
      <c r="A9" s="229"/>
      <c r="B9" s="660" t="s">
        <v>1803</v>
      </c>
      <c r="C9" s="320" t="s">
        <v>1804</v>
      </c>
    </row>
    <row r="10" spans="1:10" x14ac:dyDescent="0.2">
      <c r="A10" s="230"/>
      <c r="B10" s="660"/>
      <c r="C10" s="320"/>
    </row>
    <row r="11" spans="1:10" x14ac:dyDescent="0.2">
      <c r="A11" s="234" t="s">
        <v>650</v>
      </c>
      <c r="B11" s="660" t="s">
        <v>2030</v>
      </c>
      <c r="C11" s="320" t="s">
        <v>2031</v>
      </c>
    </row>
    <row r="12" spans="1:10" x14ac:dyDescent="0.2">
      <c r="A12" s="487"/>
      <c r="B12" s="660"/>
      <c r="C12" s="320"/>
    </row>
    <row r="14" spans="1:10" x14ac:dyDescent="0.2">
      <c r="A14" s="664" t="s">
        <v>655</v>
      </c>
      <c r="B14" s="660" t="s">
        <v>1814</v>
      </c>
      <c r="C14" s="320" t="s">
        <v>1805</v>
      </c>
      <c r="J14" s="320"/>
    </row>
    <row r="15" spans="1:10" x14ac:dyDescent="0.2">
      <c r="A15" s="531"/>
      <c r="B15" s="660" t="s">
        <v>1824</v>
      </c>
      <c r="C15" s="320" t="s">
        <v>1812</v>
      </c>
      <c r="J15" s="320"/>
    </row>
    <row r="16" spans="1:10" x14ac:dyDescent="0.2">
      <c r="B16" s="660" t="s">
        <v>1808</v>
      </c>
      <c r="C16" s="320" t="s">
        <v>1806</v>
      </c>
    </row>
    <row r="17" spans="1:3" x14ac:dyDescent="0.2">
      <c r="B17" s="660" t="s">
        <v>1809</v>
      </c>
      <c r="C17" t="s">
        <v>1807</v>
      </c>
    </row>
    <row r="18" spans="1:3" x14ac:dyDescent="0.2">
      <c r="C18" s="320" t="s">
        <v>1810</v>
      </c>
    </row>
    <row r="20" spans="1:3" x14ac:dyDescent="0.2">
      <c r="A20" s="664" t="s">
        <v>676</v>
      </c>
      <c r="B20" s="660" t="s">
        <v>1972</v>
      </c>
      <c r="C20" s="320" t="s">
        <v>1979</v>
      </c>
    </row>
    <row r="21" spans="1:3" x14ac:dyDescent="0.2">
      <c r="A21" s="531"/>
      <c r="B21" s="660" t="s">
        <v>1813</v>
      </c>
      <c r="C21" s="320" t="s">
        <v>1817</v>
      </c>
    </row>
    <row r="22" spans="1:3" x14ac:dyDescent="0.2">
      <c r="B22" s="660"/>
      <c r="C22" s="320" t="s">
        <v>1818</v>
      </c>
    </row>
    <row r="23" spans="1:3" x14ac:dyDescent="0.2">
      <c r="B23" s="660" t="s">
        <v>1811</v>
      </c>
      <c r="C23" t="s">
        <v>1816</v>
      </c>
    </row>
    <row r="25" spans="1:3" x14ac:dyDescent="0.2">
      <c r="A25" s="664" t="s">
        <v>679</v>
      </c>
      <c r="B25" s="660" t="s">
        <v>1972</v>
      </c>
      <c r="C25" s="320" t="s">
        <v>1973</v>
      </c>
    </row>
    <row r="26" spans="1:3" x14ac:dyDescent="0.2">
      <c r="B26" s="660" t="s">
        <v>1819</v>
      </c>
      <c r="C26" s="320" t="s">
        <v>1820</v>
      </c>
    </row>
    <row r="27" spans="1:3" x14ac:dyDescent="0.2">
      <c r="B27" s="660" t="s">
        <v>1822</v>
      </c>
      <c r="C27" s="320" t="s">
        <v>1821</v>
      </c>
    </row>
    <row r="28" spans="1:3" x14ac:dyDescent="0.2">
      <c r="B28" s="660" t="s">
        <v>1824</v>
      </c>
      <c r="C28" t="s">
        <v>1823</v>
      </c>
    </row>
    <row r="29" spans="1:3" ht="25.5" x14ac:dyDescent="0.2">
      <c r="A29" s="664" t="s">
        <v>685</v>
      </c>
      <c r="C29" s="320" t="s">
        <v>1825</v>
      </c>
    </row>
    <row r="31" spans="1:3" x14ac:dyDescent="0.2">
      <c r="A31" s="664" t="s">
        <v>771</v>
      </c>
      <c r="B31" s="660" t="s">
        <v>1826</v>
      </c>
      <c r="C31" s="320" t="s">
        <v>1827</v>
      </c>
    </row>
    <row r="33" spans="1:3" ht="26.25" customHeight="1" x14ac:dyDescent="0.2">
      <c r="A33" s="665" t="s">
        <v>1828</v>
      </c>
      <c r="B33" s="660" t="s">
        <v>1829</v>
      </c>
      <c r="C33" s="320" t="s">
        <v>1832</v>
      </c>
    </row>
    <row r="34" spans="1:3" x14ac:dyDescent="0.2">
      <c r="C34" s="320" t="s">
        <v>1833</v>
      </c>
    </row>
    <row r="35" spans="1:3" x14ac:dyDescent="0.2">
      <c r="B35" s="660" t="s">
        <v>1831</v>
      </c>
      <c r="C35" t="s">
        <v>1830</v>
      </c>
    </row>
    <row r="36" spans="1:3" x14ac:dyDescent="0.2">
      <c r="A36" s="18" t="s">
        <v>1481</v>
      </c>
    </row>
    <row r="37" spans="1:3" x14ac:dyDescent="0.2">
      <c r="A37" s="25" t="s">
        <v>780</v>
      </c>
      <c r="C37" s="320" t="s">
        <v>1834</v>
      </c>
    </row>
    <row r="39" spans="1:3" x14ac:dyDescent="0.2">
      <c r="A39" s="329" t="s">
        <v>1840</v>
      </c>
      <c r="B39" s="660" t="s">
        <v>1835</v>
      </c>
      <c r="C39" s="320" t="s">
        <v>1836</v>
      </c>
    </row>
    <row r="40" spans="1:3" x14ac:dyDescent="0.2">
      <c r="C40" s="320" t="s">
        <v>1837</v>
      </c>
    </row>
    <row r="41" spans="1:3" x14ac:dyDescent="0.2">
      <c r="C41" s="320" t="s">
        <v>1841</v>
      </c>
    </row>
    <row r="43" spans="1:3" x14ac:dyDescent="0.2">
      <c r="A43" s="670" t="s">
        <v>785</v>
      </c>
      <c r="C43" t="s">
        <v>1842</v>
      </c>
    </row>
    <row r="44" spans="1:3" x14ac:dyDescent="0.2">
      <c r="C44" s="320" t="s">
        <v>1844</v>
      </c>
    </row>
    <row r="45" spans="1:3" x14ac:dyDescent="0.2">
      <c r="C45" s="320" t="s">
        <v>1843</v>
      </c>
    </row>
    <row r="46" spans="1:3" x14ac:dyDescent="0.2">
      <c r="C46" s="320" t="s">
        <v>1845</v>
      </c>
    </row>
    <row r="48" spans="1:3" x14ac:dyDescent="0.2">
      <c r="A48" s="304" t="s">
        <v>2090</v>
      </c>
      <c r="B48" s="663" t="s">
        <v>1846</v>
      </c>
      <c r="C48" t="s">
        <v>1848</v>
      </c>
    </row>
    <row r="49" spans="1:3" x14ac:dyDescent="0.2">
      <c r="B49" s="663" t="s">
        <v>1847</v>
      </c>
      <c r="C49" s="320" t="s">
        <v>1849</v>
      </c>
    </row>
    <row r="50" spans="1:3" x14ac:dyDescent="0.2">
      <c r="C50" s="320" t="s">
        <v>1850</v>
      </c>
    </row>
    <row r="51" spans="1:3" x14ac:dyDescent="0.2">
      <c r="B51" s="667" t="s">
        <v>927</v>
      </c>
      <c r="C51" s="320" t="s">
        <v>1853</v>
      </c>
    </row>
    <row r="52" spans="1:3" x14ac:dyDescent="0.2">
      <c r="C52" s="320"/>
    </row>
    <row r="53" spans="1:3" x14ac:dyDescent="0.2">
      <c r="A53" s="25" t="s">
        <v>805</v>
      </c>
      <c r="B53" s="663" t="s">
        <v>1726</v>
      </c>
      <c r="C53" s="320" t="s">
        <v>2130</v>
      </c>
    </row>
    <row r="54" spans="1:3" x14ac:dyDescent="0.2">
      <c r="A54" s="283" t="s">
        <v>1389</v>
      </c>
      <c r="B54" s="660" t="s">
        <v>1852</v>
      </c>
      <c r="C54" s="320" t="s">
        <v>1851</v>
      </c>
    </row>
    <row r="55" spans="1:3" x14ac:dyDescent="0.2">
      <c r="A55" s="9"/>
      <c r="B55" s="660"/>
      <c r="C55" s="301" t="s">
        <v>2116</v>
      </c>
    </row>
    <row r="56" spans="1:3" x14ac:dyDescent="0.2">
      <c r="C56" s="320"/>
    </row>
    <row r="57" spans="1:3" x14ac:dyDescent="0.2">
      <c r="A57" s="403" t="s">
        <v>1854</v>
      </c>
      <c r="B57" s="660" t="s">
        <v>1826</v>
      </c>
      <c r="C57" s="320" t="s">
        <v>2128</v>
      </c>
    </row>
    <row r="58" spans="1:3" x14ac:dyDescent="0.2">
      <c r="A58" s="312"/>
      <c r="B58" s="660"/>
      <c r="C58" s="320" t="s">
        <v>2129</v>
      </c>
    </row>
    <row r="59" spans="1:3" x14ac:dyDescent="0.2">
      <c r="C59" s="320"/>
    </row>
    <row r="60" spans="1:3" x14ac:dyDescent="0.2">
      <c r="A60" s="223" t="s">
        <v>367</v>
      </c>
      <c r="B60" s="660" t="s">
        <v>1857</v>
      </c>
      <c r="C60" s="320" t="s">
        <v>1856</v>
      </c>
    </row>
    <row r="61" spans="1:3" x14ac:dyDescent="0.2">
      <c r="B61" s="660" t="s">
        <v>1855</v>
      </c>
      <c r="C61" s="320" t="s">
        <v>1860</v>
      </c>
    </row>
    <row r="62" spans="1:3" x14ac:dyDescent="0.2">
      <c r="B62" s="660"/>
      <c r="C62" s="320"/>
    </row>
    <row r="63" spans="1:3" x14ac:dyDescent="0.2">
      <c r="A63" s="240" t="s">
        <v>813</v>
      </c>
      <c r="B63" s="660" t="s">
        <v>1859</v>
      </c>
      <c r="C63" s="320" t="s">
        <v>1858</v>
      </c>
    </row>
    <row r="64" spans="1:3" x14ac:dyDescent="0.2">
      <c r="B64" s="660" t="s">
        <v>1862</v>
      </c>
      <c r="C64" s="320" t="s">
        <v>1861</v>
      </c>
    </row>
    <row r="65" spans="1:3" x14ac:dyDescent="0.2">
      <c r="C65" s="320"/>
    </row>
    <row r="66" spans="1:3" x14ac:dyDescent="0.2">
      <c r="A66" s="283" t="s">
        <v>1476</v>
      </c>
      <c r="C66" s="320" t="s">
        <v>1863</v>
      </c>
    </row>
    <row r="67" spans="1:3" x14ac:dyDescent="0.2">
      <c r="A67" s="8"/>
      <c r="C67" s="320"/>
    </row>
    <row r="68" spans="1:3" x14ac:dyDescent="0.2">
      <c r="A68" s="18" t="s">
        <v>1432</v>
      </c>
      <c r="C68" s="320"/>
    </row>
    <row r="69" spans="1:3" x14ac:dyDescent="0.2">
      <c r="A69" s="273" t="s">
        <v>754</v>
      </c>
      <c r="B69" s="660" t="s">
        <v>1963</v>
      </c>
      <c r="C69" s="320" t="s">
        <v>1965</v>
      </c>
    </row>
    <row r="70" spans="1:3" x14ac:dyDescent="0.2">
      <c r="C70" s="320"/>
    </row>
    <row r="71" spans="1:3" x14ac:dyDescent="0.2">
      <c r="A71" s="668" t="s">
        <v>832</v>
      </c>
      <c r="B71" s="660" t="s">
        <v>1822</v>
      </c>
      <c r="C71" s="320" t="s">
        <v>1865</v>
      </c>
    </row>
    <row r="72" spans="1:3" x14ac:dyDescent="0.2">
      <c r="C72" s="320" t="s">
        <v>1866</v>
      </c>
    </row>
    <row r="73" spans="1:3" x14ac:dyDescent="0.2">
      <c r="B73" s="660" t="s">
        <v>1868</v>
      </c>
      <c r="C73" s="320" t="s">
        <v>1867</v>
      </c>
    </row>
    <row r="74" spans="1:3" x14ac:dyDescent="0.2">
      <c r="B74" s="660" t="s">
        <v>1852</v>
      </c>
      <c r="C74" s="320" t="s">
        <v>1869</v>
      </c>
    </row>
    <row r="75" spans="1:3" x14ac:dyDescent="0.2">
      <c r="B75" s="660" t="s">
        <v>1963</v>
      </c>
      <c r="C75" s="320" t="s">
        <v>1964</v>
      </c>
    </row>
    <row r="76" spans="1:3" x14ac:dyDescent="0.2">
      <c r="B76" s="660"/>
      <c r="C76" s="320"/>
    </row>
    <row r="77" spans="1:3" x14ac:dyDescent="0.2">
      <c r="A77" s="461" t="s">
        <v>1759</v>
      </c>
      <c r="B77" s="660" t="s">
        <v>1576</v>
      </c>
      <c r="C77" s="320" t="s">
        <v>1870</v>
      </c>
    </row>
    <row r="78" spans="1:3" x14ac:dyDescent="0.2">
      <c r="B78" s="660"/>
      <c r="C78" s="320" t="s">
        <v>1872</v>
      </c>
    </row>
    <row r="79" spans="1:3" x14ac:dyDescent="0.2">
      <c r="B79" s="660"/>
      <c r="C79" s="320" t="s">
        <v>1871</v>
      </c>
    </row>
    <row r="80" spans="1:3" x14ac:dyDescent="0.2">
      <c r="B80" s="660"/>
      <c r="C80" s="320" t="s">
        <v>1873</v>
      </c>
    </row>
    <row r="81" spans="1:3" x14ac:dyDescent="0.2">
      <c r="B81" s="660"/>
      <c r="C81" s="320" t="s">
        <v>1874</v>
      </c>
    </row>
    <row r="82" spans="1:3" x14ac:dyDescent="0.2">
      <c r="B82" s="660"/>
      <c r="C82" s="320"/>
    </row>
    <row r="83" spans="1:3" x14ac:dyDescent="0.2">
      <c r="A83" s="273" t="s">
        <v>756</v>
      </c>
      <c r="B83" s="660"/>
      <c r="C83" s="320" t="s">
        <v>1864</v>
      </c>
    </row>
    <row r="84" spans="1:3" x14ac:dyDescent="0.2">
      <c r="B84" s="660"/>
      <c r="C84" s="320"/>
    </row>
    <row r="85" spans="1:3" x14ac:dyDescent="0.2">
      <c r="A85" s="411" t="s">
        <v>932</v>
      </c>
      <c r="B85" s="660" t="s">
        <v>1876</v>
      </c>
      <c r="C85" s="320" t="s">
        <v>1875</v>
      </c>
    </row>
    <row r="86" spans="1:3" x14ac:dyDescent="0.2">
      <c r="B86" s="660" t="s">
        <v>1809</v>
      </c>
      <c r="C86" s="320" t="s">
        <v>1877</v>
      </c>
    </row>
    <row r="87" spans="1:3" x14ac:dyDescent="0.2">
      <c r="B87" s="660"/>
      <c r="C87" s="320"/>
    </row>
    <row r="88" spans="1:3" x14ac:dyDescent="0.2">
      <c r="A88" s="273" t="s">
        <v>1221</v>
      </c>
      <c r="B88" s="660" t="s">
        <v>1878</v>
      </c>
      <c r="C88" s="320" t="s">
        <v>1879</v>
      </c>
    </row>
    <row r="89" spans="1:3" s="104" customFormat="1" x14ac:dyDescent="0.2">
      <c r="A89" s="29"/>
      <c r="B89" s="669"/>
      <c r="C89" s="322"/>
    </row>
    <row r="90" spans="1:3" x14ac:dyDescent="0.2">
      <c r="A90" s="18" t="s">
        <v>1428</v>
      </c>
      <c r="C90" s="320"/>
    </row>
    <row r="91" spans="1:3" x14ac:dyDescent="0.2">
      <c r="A91" s="257" t="s">
        <v>852</v>
      </c>
      <c r="B91" s="660" t="s">
        <v>1880</v>
      </c>
      <c r="C91" s="320" t="s">
        <v>1881</v>
      </c>
    </row>
    <row r="92" spans="1:3" x14ac:dyDescent="0.2">
      <c r="A92" s="29"/>
      <c r="B92" s="660" t="s">
        <v>1882</v>
      </c>
      <c r="C92" s="320" t="s">
        <v>1883</v>
      </c>
    </row>
    <row r="93" spans="1:3" x14ac:dyDescent="0.2">
      <c r="B93" s="666"/>
      <c r="C93" s="320"/>
    </row>
    <row r="94" spans="1:3" x14ac:dyDescent="0.2">
      <c r="A94" s="366" t="s">
        <v>872</v>
      </c>
      <c r="B94" s="660" t="s">
        <v>1880</v>
      </c>
      <c r="C94" s="320" t="s">
        <v>1881</v>
      </c>
    </row>
    <row r="95" spans="1:3" x14ac:dyDescent="0.2">
      <c r="A95" s="642"/>
      <c r="B95" s="660" t="s">
        <v>1882</v>
      </c>
      <c r="C95" s="320" t="s">
        <v>1884</v>
      </c>
    </row>
    <row r="96" spans="1:3" x14ac:dyDescent="0.2">
      <c r="A96" s="642"/>
      <c r="B96" s="660"/>
      <c r="C96" s="320"/>
    </row>
    <row r="97" spans="1:3" x14ac:dyDescent="0.2">
      <c r="A97" s="257" t="s">
        <v>545</v>
      </c>
      <c r="B97" s="660" t="s">
        <v>1576</v>
      </c>
      <c r="C97" s="320" t="s">
        <v>1885</v>
      </c>
    </row>
    <row r="98" spans="1:3" x14ac:dyDescent="0.2">
      <c r="A98" s="642"/>
      <c r="B98" s="660"/>
      <c r="C98" s="320"/>
    </row>
    <row r="99" spans="1:3" x14ac:dyDescent="0.2">
      <c r="A99" s="263" t="s">
        <v>560</v>
      </c>
      <c r="B99" s="660" t="s">
        <v>1886</v>
      </c>
      <c r="C99" s="320" t="s">
        <v>1887</v>
      </c>
    </row>
    <row r="100" spans="1:3" x14ac:dyDescent="0.2">
      <c r="A100" s="30"/>
      <c r="C100" s="320" t="s">
        <v>1888</v>
      </c>
    </row>
    <row r="101" spans="1:3" x14ac:dyDescent="0.2">
      <c r="A101" s="30"/>
      <c r="B101" s="660" t="s">
        <v>1889</v>
      </c>
      <c r="C101" s="320" t="s">
        <v>1890</v>
      </c>
    </row>
    <row r="102" spans="1:3" x14ac:dyDescent="0.2">
      <c r="A102" s="30"/>
      <c r="C102" s="320" t="s">
        <v>1891</v>
      </c>
    </row>
    <row r="103" spans="1:3" x14ac:dyDescent="0.2">
      <c r="A103" s="30"/>
      <c r="C103" s="104" t="s">
        <v>1892</v>
      </c>
    </row>
    <row r="104" spans="1:3" x14ac:dyDescent="0.2">
      <c r="A104" s="30"/>
      <c r="C104" s="104"/>
    </row>
    <row r="105" spans="1:3" x14ac:dyDescent="0.2">
      <c r="A105" s="257" t="s">
        <v>569</v>
      </c>
      <c r="C105" s="104"/>
    </row>
    <row r="106" spans="1:3" x14ac:dyDescent="0.2">
      <c r="A106" s="29"/>
      <c r="C106" s="104"/>
    </row>
    <row r="107" spans="1:3" x14ac:dyDescent="0.2">
      <c r="A107" s="29"/>
      <c r="C107" s="104"/>
    </row>
    <row r="108" spans="1:3" x14ac:dyDescent="0.2">
      <c r="A108" s="327" t="s">
        <v>1396</v>
      </c>
      <c r="B108" s="660" t="s">
        <v>1886</v>
      </c>
      <c r="C108" s="322" t="s">
        <v>1893</v>
      </c>
    </row>
    <row r="109" spans="1:3" x14ac:dyDescent="0.2">
      <c r="A109" s="323"/>
      <c r="B109" s="660"/>
      <c r="C109" s="322" t="s">
        <v>1894</v>
      </c>
    </row>
    <row r="110" spans="1:3" x14ac:dyDescent="0.2">
      <c r="A110" s="323"/>
      <c r="B110" s="660"/>
    </row>
    <row r="111" spans="1:3" x14ac:dyDescent="0.2">
      <c r="A111" s="257" t="s">
        <v>887</v>
      </c>
      <c r="B111" s="660" t="s">
        <v>1896</v>
      </c>
      <c r="C111" s="322" t="s">
        <v>1895</v>
      </c>
    </row>
    <row r="112" spans="1:3" x14ac:dyDescent="0.2">
      <c r="A112" s="29"/>
      <c r="B112" s="660"/>
    </row>
    <row r="113" spans="1:10" x14ac:dyDescent="0.2">
      <c r="A113" s="257" t="s">
        <v>1333</v>
      </c>
      <c r="B113" s="660" t="s">
        <v>1980</v>
      </c>
      <c r="C113" s="320" t="s">
        <v>1981</v>
      </c>
    </row>
    <row r="114" spans="1:10" x14ac:dyDescent="0.2">
      <c r="A114" s="23"/>
      <c r="B114" s="660" t="s">
        <v>1921</v>
      </c>
      <c r="C114" s="320" t="s">
        <v>1922</v>
      </c>
    </row>
    <row r="115" spans="1:10" x14ac:dyDescent="0.2">
      <c r="A115" s="23"/>
      <c r="B115" s="660" t="s">
        <v>1906</v>
      </c>
      <c r="C115" s="322" t="s">
        <v>1897</v>
      </c>
    </row>
    <row r="116" spans="1:10" x14ac:dyDescent="0.2">
      <c r="A116" s="23"/>
      <c r="B116" s="660" t="s">
        <v>1902</v>
      </c>
      <c r="C116" s="322" t="s">
        <v>1900</v>
      </c>
    </row>
    <row r="117" spans="1:10" x14ac:dyDescent="0.2">
      <c r="A117" s="23"/>
      <c r="B117" s="660" t="s">
        <v>1903</v>
      </c>
      <c r="C117" s="322" t="s">
        <v>1898</v>
      </c>
    </row>
    <row r="118" spans="1:10" x14ac:dyDescent="0.2">
      <c r="A118" s="23"/>
      <c r="B118" s="660" t="s">
        <v>1904</v>
      </c>
      <c r="C118" s="322" t="s">
        <v>1899</v>
      </c>
    </row>
    <row r="119" spans="1:10" x14ac:dyDescent="0.2">
      <c r="A119" s="23"/>
      <c r="B119" s="660" t="s">
        <v>1905</v>
      </c>
      <c r="C119" s="322" t="s">
        <v>1901</v>
      </c>
    </row>
    <row r="120" spans="1:10" x14ac:dyDescent="0.2">
      <c r="A120" s="23"/>
      <c r="B120" s="660" t="s">
        <v>1913</v>
      </c>
      <c r="C120" s="322" t="s">
        <v>1915</v>
      </c>
    </row>
    <row r="121" spans="1:10" x14ac:dyDescent="0.2">
      <c r="A121" s="23"/>
      <c r="B121" s="660" t="s">
        <v>1914</v>
      </c>
      <c r="C121" s="322" t="s">
        <v>1916</v>
      </c>
    </row>
    <row r="122" spans="1:10" ht="25.5" x14ac:dyDescent="0.2">
      <c r="A122" s="23"/>
      <c r="B122" s="660" t="s">
        <v>1907</v>
      </c>
      <c r="C122" s="322" t="s">
        <v>1908</v>
      </c>
    </row>
    <row r="123" spans="1:10" x14ac:dyDescent="0.2">
      <c r="A123" s="23"/>
      <c r="B123" s="660" t="s">
        <v>1911</v>
      </c>
      <c r="C123" s="322" t="s">
        <v>1909</v>
      </c>
    </row>
    <row r="124" spans="1:10" x14ac:dyDescent="0.2">
      <c r="A124" s="23"/>
      <c r="B124" s="660" t="s">
        <v>1912</v>
      </c>
      <c r="C124" s="322" t="s">
        <v>1910</v>
      </c>
      <c r="J124" s="104"/>
    </row>
    <row r="125" spans="1:10" x14ac:dyDescent="0.2">
      <c r="A125" s="23"/>
      <c r="B125" s="660" t="s">
        <v>1917</v>
      </c>
      <c r="C125" s="322" t="s">
        <v>1919</v>
      </c>
      <c r="J125" s="104"/>
    </row>
    <row r="126" spans="1:10" x14ac:dyDescent="0.2">
      <c r="A126" s="23"/>
      <c r="B126" s="660" t="s">
        <v>1918</v>
      </c>
      <c r="C126" s="322" t="s">
        <v>1920</v>
      </c>
      <c r="J126" s="104"/>
    </row>
    <row r="127" spans="1:10" x14ac:dyDescent="0.2">
      <c r="A127" s="23"/>
      <c r="B127" s="660"/>
      <c r="C127" s="322"/>
      <c r="J127" s="104"/>
    </row>
    <row r="128" spans="1:10" x14ac:dyDescent="0.2">
      <c r="A128" s="327" t="s">
        <v>898</v>
      </c>
      <c r="B128" s="660" t="s">
        <v>1923</v>
      </c>
      <c r="C128" s="322" t="s">
        <v>1924</v>
      </c>
      <c r="J128" s="104"/>
    </row>
    <row r="129" spans="1:10" x14ac:dyDescent="0.2">
      <c r="A129" s="23"/>
      <c r="B129" s="660" t="s">
        <v>1926</v>
      </c>
      <c r="C129" s="322" t="s">
        <v>1925</v>
      </c>
      <c r="J129" s="104"/>
    </row>
    <row r="130" spans="1:10" x14ac:dyDescent="0.2">
      <c r="A130" s="23"/>
      <c r="B130" s="660" t="s">
        <v>1809</v>
      </c>
      <c r="C130" t="s">
        <v>2017</v>
      </c>
      <c r="J130" s="104"/>
    </row>
    <row r="131" spans="1:10" x14ac:dyDescent="0.2">
      <c r="A131" s="23"/>
      <c r="B131" s="660" t="s">
        <v>1927</v>
      </c>
      <c r="C131" s="322" t="s">
        <v>1928</v>
      </c>
      <c r="J131" s="104"/>
    </row>
    <row r="132" spans="1:10" x14ac:dyDescent="0.2">
      <c r="A132" s="301"/>
      <c r="B132" s="660"/>
      <c r="C132" s="322" t="s">
        <v>1929</v>
      </c>
      <c r="J132" s="104"/>
    </row>
    <row r="133" spans="1:10" x14ac:dyDescent="0.2">
      <c r="A133" s="23"/>
      <c r="B133" s="660"/>
      <c r="C133" s="322" t="s">
        <v>1930</v>
      </c>
      <c r="J133" s="104"/>
    </row>
    <row r="134" spans="1:10" x14ac:dyDescent="0.2">
      <c r="A134" s="23"/>
      <c r="B134" s="660"/>
      <c r="C134" s="322" t="s">
        <v>1931</v>
      </c>
      <c r="J134" s="104"/>
    </row>
    <row r="135" spans="1:10" x14ac:dyDescent="0.2">
      <c r="A135" s="23"/>
      <c r="B135" s="660"/>
      <c r="C135" s="322"/>
      <c r="J135" s="104"/>
    </row>
    <row r="136" spans="1:10" x14ac:dyDescent="0.2">
      <c r="A136" s="327" t="s">
        <v>972</v>
      </c>
      <c r="B136" s="663" t="s">
        <v>1822</v>
      </c>
      <c r="C136" s="322" t="s">
        <v>1936</v>
      </c>
    </row>
    <row r="137" spans="1:10" x14ac:dyDescent="0.2">
      <c r="A137" s="23"/>
      <c r="C137" s="322" t="s">
        <v>1937</v>
      </c>
    </row>
    <row r="138" spans="1:10" x14ac:dyDescent="0.2">
      <c r="A138" s="23"/>
      <c r="B138" s="660" t="s">
        <v>1932</v>
      </c>
      <c r="C138" s="322" t="s">
        <v>1938</v>
      </c>
    </row>
    <row r="139" spans="1:10" x14ac:dyDescent="0.2">
      <c r="A139" s="23"/>
      <c r="B139" s="660"/>
      <c r="C139" s="322" t="s">
        <v>1939</v>
      </c>
      <c r="J139" s="104"/>
    </row>
    <row r="140" spans="1:10" x14ac:dyDescent="0.2">
      <c r="A140" s="23"/>
      <c r="B140" s="660"/>
      <c r="C140" s="322" t="s">
        <v>1934</v>
      </c>
      <c r="J140" s="104"/>
    </row>
    <row r="141" spans="1:10" x14ac:dyDescent="0.2">
      <c r="A141" s="23"/>
      <c r="B141" s="660"/>
      <c r="C141" s="322" t="s">
        <v>1933</v>
      </c>
      <c r="J141" s="104"/>
    </row>
    <row r="142" spans="1:10" x14ac:dyDescent="0.2">
      <c r="A142" s="23"/>
      <c r="B142" s="660"/>
      <c r="C142" s="322" t="s">
        <v>1935</v>
      </c>
      <c r="J142" s="104"/>
    </row>
    <row r="143" spans="1:10" x14ac:dyDescent="0.2">
      <c r="A143" s="23"/>
      <c r="B143" s="660"/>
      <c r="C143" s="322" t="s">
        <v>1940</v>
      </c>
      <c r="J143" s="104"/>
    </row>
    <row r="144" spans="1:10" x14ac:dyDescent="0.2">
      <c r="A144" s="23"/>
      <c r="B144" s="660"/>
      <c r="C144" s="322"/>
      <c r="J144" s="104"/>
    </row>
    <row r="145" spans="1:10" x14ac:dyDescent="0.2">
      <c r="A145" s="23"/>
      <c r="B145" s="660" t="s">
        <v>1941</v>
      </c>
      <c r="C145" s="322" t="s">
        <v>1942</v>
      </c>
      <c r="J145" s="104"/>
    </row>
    <row r="146" spans="1:10" x14ac:dyDescent="0.2">
      <c r="A146" s="23"/>
      <c r="B146" s="660"/>
      <c r="C146" s="322"/>
      <c r="J146" s="104"/>
    </row>
    <row r="147" spans="1:10" x14ac:dyDescent="0.2">
      <c r="A147" s="327" t="s">
        <v>852</v>
      </c>
      <c r="B147" s="660" t="s">
        <v>1944</v>
      </c>
      <c r="C147" s="322" t="s">
        <v>1945</v>
      </c>
      <c r="J147" s="104"/>
    </row>
    <row r="148" spans="1:10" x14ac:dyDescent="0.2">
      <c r="A148" s="23"/>
      <c r="B148" s="660"/>
      <c r="C148" s="322"/>
      <c r="J148" s="104"/>
    </row>
    <row r="149" spans="1:10" x14ac:dyDescent="0.2">
      <c r="A149" s="23"/>
      <c r="B149" s="660" t="s">
        <v>1941</v>
      </c>
      <c r="C149" s="322" t="s">
        <v>1946</v>
      </c>
      <c r="J149" s="104"/>
    </row>
    <row r="150" spans="1:10" x14ac:dyDescent="0.2">
      <c r="A150" s="23"/>
      <c r="B150" s="660"/>
      <c r="C150" s="322" t="s">
        <v>1947</v>
      </c>
      <c r="J150" s="104"/>
    </row>
    <row r="151" spans="1:10" x14ac:dyDescent="0.2">
      <c r="A151" s="23"/>
      <c r="B151" s="660"/>
      <c r="C151" s="322"/>
      <c r="J151" s="104"/>
    </row>
    <row r="152" spans="1:10" x14ac:dyDescent="0.2">
      <c r="A152" s="366" t="s">
        <v>872</v>
      </c>
      <c r="B152" s="660"/>
      <c r="C152" s="322"/>
      <c r="J152" s="104"/>
    </row>
    <row r="153" spans="1:10" x14ac:dyDescent="0.2">
      <c r="A153" s="23"/>
      <c r="B153" s="660"/>
      <c r="C153" s="322"/>
      <c r="J153" s="104"/>
    </row>
    <row r="154" spans="1:10" x14ac:dyDescent="0.2">
      <c r="A154" s="23"/>
      <c r="B154" s="660"/>
      <c r="C154" s="322"/>
      <c r="J154" s="104"/>
    </row>
    <row r="155" spans="1:10" x14ac:dyDescent="0.2">
      <c r="A155" s="23"/>
      <c r="B155" s="660"/>
      <c r="C155" s="322"/>
      <c r="J155" s="104"/>
    </row>
    <row r="156" spans="1:10" x14ac:dyDescent="0.2">
      <c r="A156" s="23"/>
      <c r="B156" s="660"/>
      <c r="C156" s="322"/>
      <c r="J156" s="104"/>
    </row>
    <row r="157" spans="1:10" x14ac:dyDescent="0.2">
      <c r="A157" s="23"/>
    </row>
    <row r="158" spans="1:10" s="104" customFormat="1" x14ac:dyDescent="0.2">
      <c r="A158" s="673"/>
    </row>
    <row r="159" spans="1:10" x14ac:dyDescent="0.2">
      <c r="A159" s="672" t="s">
        <v>981</v>
      </c>
      <c r="B159" s="660" t="s">
        <v>1767</v>
      </c>
      <c r="C159" s="320" t="s">
        <v>1768</v>
      </c>
    </row>
    <row r="160" spans="1:10" x14ac:dyDescent="0.2">
      <c r="A160" s="662"/>
      <c r="B160" s="660" t="s">
        <v>1769</v>
      </c>
      <c r="C160" s="320" t="s">
        <v>1773</v>
      </c>
    </row>
    <row r="161" spans="1:3" x14ac:dyDescent="0.2">
      <c r="B161" s="660" t="s">
        <v>1765</v>
      </c>
      <c r="C161" s="320" t="s">
        <v>1771</v>
      </c>
    </row>
    <row r="162" spans="1:3" x14ac:dyDescent="0.2">
      <c r="B162" s="660" t="s">
        <v>1772</v>
      </c>
      <c r="C162" s="320" t="s">
        <v>1770</v>
      </c>
    </row>
    <row r="163" spans="1:3" x14ac:dyDescent="0.2">
      <c r="B163" s="660" t="s">
        <v>1766</v>
      </c>
      <c r="C163" s="320" t="s">
        <v>1764</v>
      </c>
    </row>
    <row r="164" spans="1:3" x14ac:dyDescent="0.2">
      <c r="B164" s="346" t="s">
        <v>1776</v>
      </c>
      <c r="C164" s="320" t="s">
        <v>1777</v>
      </c>
    </row>
    <row r="165" spans="1:3" x14ac:dyDescent="0.2">
      <c r="B165" s="346" t="s">
        <v>1774</v>
      </c>
      <c r="C165" s="320" t="s">
        <v>1775</v>
      </c>
    </row>
    <row r="166" spans="1:3" x14ac:dyDescent="0.2">
      <c r="B166" s="346" t="s">
        <v>1778</v>
      </c>
      <c r="C166" s="320" t="s">
        <v>1779</v>
      </c>
    </row>
    <row r="168" spans="1:3" ht="25.5" x14ac:dyDescent="0.2">
      <c r="A168" s="661" t="s">
        <v>1012</v>
      </c>
      <c r="B168" s="660" t="s">
        <v>1781</v>
      </c>
      <c r="C168" t="s">
        <v>1780</v>
      </c>
    </row>
    <row r="169" spans="1:3" x14ac:dyDescent="0.2">
      <c r="B169" s="346" t="s">
        <v>1782</v>
      </c>
      <c r="C169" s="320" t="s">
        <v>1783</v>
      </c>
    </row>
    <row r="170" spans="1:3" x14ac:dyDescent="0.2">
      <c r="B170" s="346" t="s">
        <v>1784</v>
      </c>
      <c r="C170" s="320" t="s">
        <v>1785</v>
      </c>
    </row>
    <row r="171" spans="1:3" x14ac:dyDescent="0.2">
      <c r="B171" s="346" t="s">
        <v>1786</v>
      </c>
      <c r="C171" s="320" t="s">
        <v>1787</v>
      </c>
    </row>
    <row r="172" spans="1:3" x14ac:dyDescent="0.2">
      <c r="B172" s="346" t="s">
        <v>1788</v>
      </c>
      <c r="C172" s="320" t="s">
        <v>1789</v>
      </c>
    </row>
    <row r="174" spans="1:3" x14ac:dyDescent="0.2">
      <c r="A174" s="661" t="s">
        <v>1425</v>
      </c>
      <c r="B174" s="660" t="s">
        <v>1790</v>
      </c>
      <c r="C174" s="320" t="s">
        <v>1791</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03"/>
  <sheetViews>
    <sheetView topLeftCell="A46" workbookViewId="0">
      <selection activeCell="A9" sqref="A9"/>
    </sheetView>
  </sheetViews>
  <sheetFormatPr defaultRowHeight="12.75" x14ac:dyDescent="0.2"/>
  <cols>
    <col min="1" max="1" width="49.28515625" customWidth="1"/>
  </cols>
  <sheetData>
    <row r="1" spans="1:2" x14ac:dyDescent="0.2">
      <c r="A1" s="221" t="s">
        <v>2042</v>
      </c>
    </row>
    <row r="2" spans="1:2" x14ac:dyDescent="0.2">
      <c r="A2" s="221"/>
    </row>
    <row r="3" spans="1:2" x14ac:dyDescent="0.2">
      <c r="A3" s="320" t="s">
        <v>2115</v>
      </c>
      <c r="B3" s="320" t="s">
        <v>2114</v>
      </c>
    </row>
    <row r="5" spans="1:2" ht="15" x14ac:dyDescent="0.2">
      <c r="A5" t="str">
        <f>+'Growth Pattern'!A50</f>
        <v>Adegbidi et al 2001 (Biomass &amp; Bioenergy)&amp; SUNY Final Report to NYSERDA 1997</v>
      </c>
      <c r="B5" s="755" t="s">
        <v>2043</v>
      </c>
    </row>
    <row r="7" spans="1:2" ht="15" x14ac:dyDescent="0.2">
      <c r="A7" t="str">
        <f>+'Growth Pattern'!A56</f>
        <v>Adegbidi et al 2003 (Biomass &amp; Bioenergy)</v>
      </c>
      <c r="B7" s="755" t="s">
        <v>2044</v>
      </c>
    </row>
    <row r="9" spans="1:2" ht="15" x14ac:dyDescent="0.2">
      <c r="A9" t="str">
        <f>+'Growth Pattern'!A1673</f>
        <v>Adegbidi et al 2002 &amp; 2005</v>
      </c>
      <c r="B9" s="755" t="s">
        <v>2045</v>
      </c>
    </row>
    <row r="11" spans="1:2" ht="15" x14ac:dyDescent="0.2">
      <c r="A11" t="str">
        <f>+'Growth Pattern'!A1673</f>
        <v>Adegbidi et al 2002 &amp; 2005</v>
      </c>
      <c r="B11" s="755" t="s">
        <v>2046</v>
      </c>
    </row>
    <row r="13" spans="1:2" ht="15" x14ac:dyDescent="0.2">
      <c r="A13" t="str">
        <f>+'Growth Pattern'!A1517</f>
        <v>Borders et. al. 2004</v>
      </c>
      <c r="B13" s="755" t="s">
        <v>2047</v>
      </c>
    </row>
    <row r="15" spans="1:2" ht="15" x14ac:dyDescent="0.2">
      <c r="A15" t="str">
        <f>+'Growth Pattern'!A302</f>
        <v>Bowersox and Ward 1976 (Forest Science)</v>
      </c>
      <c r="B15" s="755" t="s">
        <v>2048</v>
      </c>
    </row>
    <row r="17" spans="1:2" ht="15" x14ac:dyDescent="0.2">
      <c r="A17" t="str">
        <f>+'Growth Pattern'!A1136</f>
        <v>Cobb et al, 2008</v>
      </c>
      <c r="B17" s="755" t="s">
        <v>2049</v>
      </c>
    </row>
    <row r="19" spans="1:2" ht="15" x14ac:dyDescent="0.2">
      <c r="A19" t="str">
        <f>+'Growth Pattern'!A1645</f>
        <v>Jokela &amp; Martin 2000, Martin &amp; Jokela 2004, Colbert 1990</v>
      </c>
      <c r="B19" s="755" t="s">
        <v>2050</v>
      </c>
    </row>
    <row r="20" spans="1:2" ht="15" x14ac:dyDescent="0.2">
      <c r="B20" s="755"/>
    </row>
    <row r="21" spans="1:2" ht="15" x14ac:dyDescent="0.2">
      <c r="A21" t="str">
        <f>'Growth Pattern'!$A$1118</f>
        <v>Heilman et al 1994 (Can J For Res) &amp; Ceulemans et al. 1992</v>
      </c>
      <c r="B21" s="755" t="s">
        <v>2093</v>
      </c>
    </row>
    <row r="22" spans="1:2" ht="15" x14ac:dyDescent="0.2">
      <c r="B22" s="755"/>
    </row>
    <row r="23" spans="1:2" ht="15" x14ac:dyDescent="0.2">
      <c r="A23" t="str">
        <f>+'Growth Pattern'!A1309</f>
        <v>Coyle &amp; Coleman 2005 (Forest Ecology and Management 208)</v>
      </c>
      <c r="B23" s="756" t="s">
        <v>2051</v>
      </c>
    </row>
    <row r="24" spans="1:2" ht="15" x14ac:dyDescent="0.2">
      <c r="B24" s="756"/>
    </row>
    <row r="25" spans="1:2" ht="15" x14ac:dyDescent="0.2">
      <c r="A25" t="str">
        <f>'Growth Pattern'!$A$916</f>
        <v>Coyle et al 2008, 2002</v>
      </c>
      <c r="B25" s="755" t="s">
        <v>2091</v>
      </c>
    </row>
    <row r="26" spans="1:2" ht="15" x14ac:dyDescent="0.2">
      <c r="B26" s="755"/>
    </row>
    <row r="27" spans="1:2" ht="15" x14ac:dyDescent="0.2">
      <c r="A27" s="320" t="str">
        <f>'Growth Pattern'!$A$916</f>
        <v>Coyle et al 2008, 2002</v>
      </c>
      <c r="B27" s="756" t="s">
        <v>2052</v>
      </c>
    </row>
    <row r="29" spans="1:2" ht="15" x14ac:dyDescent="0.2">
      <c r="A29" t="str">
        <f>+'Growth Pattern'!A1148</f>
        <v>Davis &amp; Trettin, 2006</v>
      </c>
      <c r="B29" s="755" t="s">
        <v>2053</v>
      </c>
    </row>
    <row r="31" spans="1:2" ht="15" x14ac:dyDescent="0.2">
      <c r="A31" t="str">
        <f>+'Growth Pattern'!A925</f>
        <v>DeBell et al 1993 (Biomass &amp; Bioenergy 4(5):305-313)</v>
      </c>
      <c r="B31" s="755" t="s">
        <v>2054</v>
      </c>
    </row>
    <row r="33" spans="1:2" ht="15" x14ac:dyDescent="0.2">
      <c r="A33" t="str">
        <f>+'Growth Pattern'!A949</f>
        <v>DeBell et al 1996 (Biomass &amp; Bioenergy)</v>
      </c>
      <c r="B33" s="755" t="s">
        <v>2055</v>
      </c>
    </row>
    <row r="35" spans="1:2" ht="15" x14ac:dyDescent="0.2">
      <c r="A35" t="str">
        <f>+'Growth Pattern'!A909</f>
        <v>Dowell et al, 2009</v>
      </c>
      <c r="B35" s="756" t="s">
        <v>2056</v>
      </c>
    </row>
    <row r="37" spans="1:2" ht="15" x14ac:dyDescent="0.2">
      <c r="A37" t="str">
        <f>+'Growth Pattern'!A419</f>
        <v>Zavitkovski et al, 1976  with methods from Ek and Dawson, 1976</v>
      </c>
      <c r="B37" s="755" t="s">
        <v>2057</v>
      </c>
    </row>
    <row r="39" spans="1:2" ht="15" x14ac:dyDescent="0.2">
      <c r="A39" t="str">
        <f>+'Growth Pattern'!A794</f>
        <v>Geyer, 1981</v>
      </c>
      <c r="B39" s="755" t="s">
        <v>2058</v>
      </c>
    </row>
    <row r="41" spans="1:2" ht="15" x14ac:dyDescent="0.2">
      <c r="A41" t="str">
        <f>+'Growth Pattern'!A796</f>
        <v>Geyer, 1989</v>
      </c>
      <c r="B41" s="755" t="s">
        <v>2059</v>
      </c>
    </row>
    <row r="43" spans="1:2" ht="15" x14ac:dyDescent="0.2">
      <c r="A43" s="312" t="s">
        <v>1838</v>
      </c>
      <c r="B43" s="755" t="s">
        <v>2060</v>
      </c>
    </row>
    <row r="45" spans="1:2" ht="15" x14ac:dyDescent="0.2">
      <c r="A45" t="str">
        <f>'Growth Pattern'!$A$997</f>
        <v xml:space="preserve">Heilman and Peabody, 1981; Heilman et al., 1972 </v>
      </c>
      <c r="B45" s="755" t="s">
        <v>2061</v>
      </c>
    </row>
    <row r="47" spans="1:2" ht="15" x14ac:dyDescent="0.2">
      <c r="A47" t="str">
        <f>'Growth Pattern'!$A$997</f>
        <v xml:space="preserve">Heilman and Peabody, 1981; Heilman et al., 1972 </v>
      </c>
      <c r="B47" s="755" t="s">
        <v>2062</v>
      </c>
    </row>
    <row r="49" spans="1:2" ht="15" x14ac:dyDescent="0.2">
      <c r="A49" t="str">
        <f>'Growth Pattern'!$A$1029</f>
        <v>Heilman&amp;Stettler 85&amp;90 also Weber, Stettler and Heilman, 1985</v>
      </c>
      <c r="B49" s="755" t="s">
        <v>2063</v>
      </c>
    </row>
    <row r="50" spans="1:2" ht="15" x14ac:dyDescent="0.2">
      <c r="B50" s="755"/>
    </row>
    <row r="51" spans="1:2" ht="15" x14ac:dyDescent="0.2">
      <c r="A51" t="str">
        <f>'Growth Pattern'!$A$1029</f>
        <v>Heilman&amp;Stettler 85&amp;90 also Weber, Stettler and Heilman, 1985</v>
      </c>
      <c r="B51" s="755" t="s">
        <v>2092</v>
      </c>
    </row>
    <row r="53" spans="1:2" ht="15" x14ac:dyDescent="0.2">
      <c r="A53" t="str">
        <f>'Growth Pattern'!$A$1107</f>
        <v>Heilman &amp; Fu-Gaung 1993 (Can J For Res 23)</v>
      </c>
      <c r="B53" s="755" t="s">
        <v>2064</v>
      </c>
    </row>
    <row r="55" spans="1:2" ht="15" x14ac:dyDescent="0.2">
      <c r="A55" t="str">
        <f>'Growth Pattern'!$A$1118</f>
        <v>Heilman et al 1994 (Can J For Res) &amp; Ceulemans et al. 1992</v>
      </c>
      <c r="B55" s="755" t="s">
        <v>2065</v>
      </c>
    </row>
    <row r="57" spans="1:2" ht="15" x14ac:dyDescent="0.2">
      <c r="A57" t="str">
        <f>+'Growth Pattern'!A1645</f>
        <v>Jokela &amp; Martin 2000, Martin &amp; Jokela 2004, Colbert 1990</v>
      </c>
      <c r="B57" s="755" t="s">
        <v>2066</v>
      </c>
    </row>
    <row r="59" spans="1:2" ht="15" x14ac:dyDescent="0.2">
      <c r="A59" t="str">
        <f>'Growth Pattern'!$A$88</f>
        <v>Kopp et al 1996 (Biomass and Bioenergy)</v>
      </c>
      <c r="B59" s="755" t="s">
        <v>2067</v>
      </c>
    </row>
    <row r="61" spans="1:2" ht="15" x14ac:dyDescent="0.2">
      <c r="A61" t="str">
        <f>'Growth Pattern'!$A$125</f>
        <v>Kopp et al 1997 (Biomass &amp; Bioenrgy</v>
      </c>
      <c r="B61" s="755" t="s">
        <v>2068</v>
      </c>
    </row>
    <row r="63" spans="1:2" ht="15" x14ac:dyDescent="0.2">
      <c r="A63" t="str">
        <f>'Growth Pattern'!$A$154</f>
        <v>Kopp et al 2001 (Biomass and Bioenergy)</v>
      </c>
      <c r="B63" s="755" t="s">
        <v>2069</v>
      </c>
    </row>
    <row r="65" spans="1:2" ht="15" x14ac:dyDescent="0.2">
      <c r="A65" t="str">
        <f>'Growth Pattern'!$A$242</f>
        <v>Labrecque, M. and T.I. Teodorescu 2005 (Biomass and Bioenergy)</v>
      </c>
      <c r="B65" s="755" t="s">
        <v>2070</v>
      </c>
    </row>
    <row r="67" spans="1:2" ht="15" x14ac:dyDescent="0.2">
      <c r="A67" t="str">
        <f>'Growth Pattern'!$A$1343</f>
        <v>Langholtz et al, 2007 &amp;Rockwood et al. IFPR rpt 2008</v>
      </c>
      <c r="B67" s="755" t="s">
        <v>2071</v>
      </c>
    </row>
    <row r="69" spans="1:2" ht="15" x14ac:dyDescent="0.2">
      <c r="A69" t="str">
        <f>+'Growth Pattern'!A1645</f>
        <v>Jokela &amp; Martin 2000, Martin &amp; Jokela 2004, Colbert 1990</v>
      </c>
      <c r="B69" s="755" t="s">
        <v>2072</v>
      </c>
    </row>
    <row r="71" spans="1:2" ht="15" x14ac:dyDescent="0.2">
      <c r="A71" t="str">
        <f>+'Growth Pattern'!A609</f>
        <v xml:space="preserve">Netzer et al  2002, GTR-NC-229 </v>
      </c>
      <c r="B71" s="755" t="s">
        <v>2073</v>
      </c>
    </row>
    <row r="73" spans="1:2" ht="15" x14ac:dyDescent="0.2">
      <c r="A73" t="str">
        <f>'Growth Pattern'!$A$723</f>
        <v xml:space="preserve">Riemenschneider et al, 2001 </v>
      </c>
      <c r="B73" s="756" t="s">
        <v>2074</v>
      </c>
    </row>
    <row r="75" spans="1:2" ht="15" x14ac:dyDescent="0.2">
      <c r="A75" t="str">
        <f>'Growth Pattern'!$A$1325</f>
        <v>Rockwood et al 1985 (IFAS Tech. Bull.)</v>
      </c>
      <c r="B75" s="755" t="s">
        <v>2075</v>
      </c>
    </row>
    <row r="77" spans="1:2" ht="15" x14ac:dyDescent="0.2">
      <c r="A77" t="str">
        <f>'Growth Pattern'!$A$1343</f>
        <v>Langholtz et al, 2007 &amp;Rockwood et al. IFPR rpt 2008</v>
      </c>
      <c r="B77" s="755" t="s">
        <v>2076</v>
      </c>
    </row>
    <row r="79" spans="1:2" ht="15" x14ac:dyDescent="0.2">
      <c r="A79" t="str">
        <f>'Growth Pattern'!$A$1405</f>
        <v>Roth et al, 2007</v>
      </c>
      <c r="B79" s="755" t="s">
        <v>2077</v>
      </c>
    </row>
    <row r="81" spans="1:2" ht="15" x14ac:dyDescent="0.2">
      <c r="A81" t="str">
        <f>'Growth Pattern'!$A$1455</f>
        <v>Samuelson et al. 2008, 2004, 1998</v>
      </c>
      <c r="B81" s="756" t="s">
        <v>2078</v>
      </c>
    </row>
    <row r="83" spans="1:2" ht="15" x14ac:dyDescent="0.2">
      <c r="A83" t="str">
        <f>'Growth Pattern'!$A$1455</f>
        <v>Samuelson et al. 2008, 2004, 1998</v>
      </c>
      <c r="B83" s="755" t="s">
        <v>2079</v>
      </c>
    </row>
    <row r="85" spans="1:2" ht="15" x14ac:dyDescent="0.2">
      <c r="A85" t="str">
        <f>$A$83</f>
        <v>Samuelson et al. 2008, 2004, 1998</v>
      </c>
      <c r="B85" s="755" t="s">
        <v>2080</v>
      </c>
    </row>
    <row r="87" spans="1:2" ht="15" x14ac:dyDescent="0.2">
      <c r="A87" t="str">
        <f>'Growth Pattern'!$A$377</f>
        <v>Strauss, Grado, Blankenhorn, Bowersox, 1990a + 2 Bowersox et al, 1991 reports published on http://bioenergy.ornl.gov</v>
      </c>
      <c r="B87" s="755" t="s">
        <v>2081</v>
      </c>
    </row>
    <row r="89" spans="1:2" ht="15" x14ac:dyDescent="0.2">
      <c r="A89" t="str">
        <f>'Growth Pattern'!$A$435</f>
        <v>Strong, 1989 &amp; Hansen et al, 1988 (unpublished annual report)</v>
      </c>
      <c r="B89" s="755" t="s">
        <v>2082</v>
      </c>
    </row>
    <row r="91" spans="1:2" ht="15" x14ac:dyDescent="0.2">
      <c r="A91" t="str">
        <f>'Growth Pattern'!$A$450</f>
        <v>Strong and Hansen 1993 (Biomass and Bioenergy)</v>
      </c>
      <c r="B91" s="755" t="s">
        <v>2083</v>
      </c>
    </row>
    <row r="93" spans="1:2" ht="15" x14ac:dyDescent="0.2">
      <c r="A93" s="757" t="str">
        <f>'Growth Pattern'!$A$1172</f>
        <v>Torreano &amp; Frederick, 1988;NCSU 1988 rpt</v>
      </c>
      <c r="B93" s="755" t="s">
        <v>2084</v>
      </c>
    </row>
    <row r="95" spans="1:2" ht="15" x14ac:dyDescent="0.2">
      <c r="A95" t="str">
        <f>'Growth Pattern'!$A$1289</f>
        <v>Van Miegroet et al. (1994)</v>
      </c>
      <c r="B95" s="755" t="s">
        <v>2085</v>
      </c>
    </row>
    <row r="97" spans="1:2" ht="15" x14ac:dyDescent="0.2">
      <c r="A97" t="str">
        <f>'Growth Pattern'!$A$1029</f>
        <v>Heilman&amp;Stettler 85&amp;90 also Weber, Stettler and Heilman, 1985</v>
      </c>
      <c r="B97" s="755" t="s">
        <v>2086</v>
      </c>
    </row>
    <row r="99" spans="1:2" ht="15" x14ac:dyDescent="0.2">
      <c r="A99" t="str">
        <f>'Growth Pattern'!$A$1133</f>
        <v>Williams &amp; Gresham, 2006</v>
      </c>
      <c r="B99" s="755" t="s">
        <v>2087</v>
      </c>
    </row>
    <row r="101" spans="1:2" ht="15" x14ac:dyDescent="0.2">
      <c r="A101" t="str">
        <f>'Growth Pattern'!$A$735</f>
        <v>Zalesny et. al. 2009</v>
      </c>
      <c r="B101" s="755" t="s">
        <v>2088</v>
      </c>
    </row>
    <row r="103" spans="1:2" ht="15" x14ac:dyDescent="0.2">
      <c r="A103" t="str">
        <f>'Growth Pattern'!$A$419</f>
        <v>Zavitkovski et al, 1976  with methods from Ek and Dawson, 1976</v>
      </c>
      <c r="B103" s="755" t="s">
        <v>2089</v>
      </c>
    </row>
  </sheetData>
  <pageMargins left="0.7" right="0.7" top="0.75" bottom="0.75" header="0.3" footer="0.3"/>
  <pageSetup orientation="portrait" horizontalDpi="0"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59"/>
  <sheetViews>
    <sheetView workbookViewId="0">
      <selection activeCell="AA7" sqref="AA7"/>
    </sheetView>
  </sheetViews>
  <sheetFormatPr defaultRowHeight="12.75" x14ac:dyDescent="0.2"/>
  <cols>
    <col min="1" max="1" width="3.7109375" customWidth="1"/>
    <col min="2" max="2" width="10.28515625" customWidth="1"/>
    <col min="6" max="6" width="3.7109375" customWidth="1"/>
    <col min="9" max="9" width="9.42578125" customWidth="1"/>
    <col min="10" max="10" width="9.85546875" customWidth="1"/>
    <col min="12" max="12" width="7.85546875" customWidth="1"/>
    <col min="17" max="17" width="4.140625" customWidth="1"/>
  </cols>
  <sheetData>
    <row r="1" spans="2:22" ht="15" x14ac:dyDescent="0.25">
      <c r="B1" s="900"/>
      <c r="C1" s="900"/>
      <c r="D1" s="900"/>
      <c r="E1" s="900"/>
      <c r="F1" s="900"/>
      <c r="G1" s="900"/>
      <c r="H1" s="900"/>
      <c r="I1" s="900"/>
      <c r="J1" s="900"/>
      <c r="K1" s="900"/>
      <c r="L1" s="798"/>
      <c r="M1" s="799"/>
      <c r="N1" s="799"/>
      <c r="O1" s="794"/>
      <c r="P1" s="765"/>
      <c r="Q1" s="765"/>
    </row>
    <row r="2" spans="2:22" ht="15" customHeight="1" x14ac:dyDescent="0.25">
      <c r="B2" s="898" t="s">
        <v>2133</v>
      </c>
      <c r="C2" s="898"/>
      <c r="D2" s="898"/>
      <c r="E2" s="898"/>
      <c r="F2" s="898"/>
      <c r="G2" s="898"/>
      <c r="H2" s="898"/>
      <c r="I2" s="898"/>
      <c r="J2" s="898"/>
      <c r="K2" s="898"/>
      <c r="L2" s="758"/>
      <c r="M2" s="899" t="s">
        <v>2134</v>
      </c>
      <c r="N2" s="899"/>
      <c r="O2" s="899"/>
      <c r="P2" s="899"/>
      <c r="Q2" s="899"/>
      <c r="R2" s="899"/>
      <c r="S2" s="899"/>
      <c r="T2" s="899"/>
      <c r="U2" s="899"/>
      <c r="V2" s="899"/>
    </row>
    <row r="3" spans="2:22" ht="17.25" x14ac:dyDescent="0.35">
      <c r="B3" s="759"/>
      <c r="C3" s="759"/>
      <c r="D3" s="760"/>
      <c r="E3" s="761"/>
      <c r="F3" s="762"/>
      <c r="G3" s="763"/>
      <c r="H3" s="764"/>
      <c r="I3" s="764"/>
      <c r="J3" s="764"/>
      <c r="K3" s="765"/>
      <c r="L3" s="758"/>
      <c r="M3" s="759"/>
      <c r="N3" s="759"/>
      <c r="O3" s="760"/>
      <c r="P3" s="761"/>
      <c r="Q3" s="765"/>
      <c r="R3" s="760"/>
      <c r="S3" s="760"/>
    </row>
    <row r="4" spans="2:22" ht="16.5" x14ac:dyDescent="0.3">
      <c r="B4" s="766" t="s">
        <v>2142</v>
      </c>
      <c r="C4" s="766"/>
      <c r="D4" s="767"/>
      <c r="E4" s="768"/>
      <c r="F4" s="769"/>
      <c r="G4" s="770" t="s">
        <v>2139</v>
      </c>
      <c r="H4" s="771"/>
      <c r="I4" s="771"/>
      <c r="J4" s="771"/>
      <c r="K4" s="772"/>
      <c r="L4" s="773"/>
      <c r="M4" s="766" t="s">
        <v>2141</v>
      </c>
      <c r="N4" s="766"/>
      <c r="O4" s="767"/>
      <c r="P4" s="768"/>
      <c r="Q4" s="772"/>
      <c r="R4" s="767" t="s">
        <v>2140</v>
      </c>
      <c r="S4" s="767"/>
      <c r="T4" s="774"/>
      <c r="U4" s="774"/>
      <c r="V4" s="774"/>
    </row>
    <row r="5" spans="2:22" x14ac:dyDescent="0.2">
      <c r="B5" s="800"/>
      <c r="C5" s="800"/>
      <c r="D5" s="801"/>
      <c r="E5" s="802"/>
      <c r="F5" s="803"/>
      <c r="G5" s="804" t="s">
        <v>2094</v>
      </c>
      <c r="H5" s="805">
        <v>0.30480000000000002</v>
      </c>
      <c r="I5" s="806" t="s">
        <v>2095</v>
      </c>
      <c r="J5" s="806"/>
      <c r="K5" s="806" t="s">
        <v>2096</v>
      </c>
      <c r="L5" s="807"/>
      <c r="M5" s="800"/>
      <c r="N5" s="800"/>
      <c r="O5" s="801"/>
      <c r="P5" s="802"/>
      <c r="Q5" s="808"/>
      <c r="R5" s="809" t="s">
        <v>2097</v>
      </c>
      <c r="S5" s="809">
        <v>3.2789999999999999</v>
      </c>
      <c r="T5" s="809" t="s">
        <v>2095</v>
      </c>
      <c r="U5" s="810" t="s">
        <v>2098</v>
      </c>
      <c r="V5" s="811"/>
    </row>
    <row r="6" spans="2:22" ht="13.5" thickBot="1" x14ac:dyDescent="0.25">
      <c r="B6" s="812" t="s">
        <v>2099</v>
      </c>
      <c r="C6" s="813">
        <v>43560</v>
      </c>
      <c r="E6" s="808"/>
      <c r="F6" s="814"/>
      <c r="G6" s="808" t="s">
        <v>2100</v>
      </c>
      <c r="H6" s="811">
        <v>2.4710000000000001</v>
      </c>
      <c r="I6" s="811" t="s">
        <v>2095</v>
      </c>
      <c r="J6" s="811"/>
      <c r="K6" s="808" t="s">
        <v>2101</v>
      </c>
      <c r="L6" s="806"/>
      <c r="M6" s="812" t="s">
        <v>2102</v>
      </c>
      <c r="N6" s="815">
        <v>10000</v>
      </c>
      <c r="O6" s="811"/>
      <c r="P6" s="808"/>
      <c r="Q6" s="808"/>
      <c r="R6" s="811" t="s">
        <v>2101</v>
      </c>
      <c r="S6" s="811">
        <v>0.4047</v>
      </c>
      <c r="T6" s="811" t="s">
        <v>2095</v>
      </c>
      <c r="U6" s="811" t="s">
        <v>2103</v>
      </c>
      <c r="V6" s="811"/>
    </row>
    <row r="7" spans="2:22" ht="62.25" thickBot="1" x14ac:dyDescent="0.35">
      <c r="B7" s="885" t="s">
        <v>2104</v>
      </c>
      <c r="C7" s="866" t="s">
        <v>2105</v>
      </c>
      <c r="D7" s="877" t="s">
        <v>2108</v>
      </c>
      <c r="E7" s="878" t="s">
        <v>2143</v>
      </c>
      <c r="F7" s="781"/>
      <c r="G7" s="782" t="s">
        <v>2106</v>
      </c>
      <c r="H7" s="783" t="s">
        <v>2107</v>
      </c>
      <c r="I7" s="779" t="s">
        <v>2136</v>
      </c>
      <c r="J7" s="784" t="s">
        <v>2135</v>
      </c>
      <c r="K7" s="780" t="s">
        <v>2144</v>
      </c>
      <c r="L7" s="889"/>
      <c r="M7" s="778" t="s">
        <v>2106</v>
      </c>
      <c r="N7" s="779" t="s">
        <v>2107</v>
      </c>
      <c r="O7" s="779" t="s">
        <v>2137</v>
      </c>
      <c r="P7" s="780" t="s">
        <v>2135</v>
      </c>
      <c r="Q7" s="785"/>
      <c r="R7" s="876" t="s">
        <v>2104</v>
      </c>
      <c r="S7" s="877" t="s">
        <v>2105</v>
      </c>
      <c r="T7" s="866" t="s">
        <v>2138</v>
      </c>
      <c r="U7" s="785" t="s">
        <v>2109</v>
      </c>
      <c r="V7" s="878" t="s">
        <v>2110</v>
      </c>
    </row>
    <row r="8" spans="2:22" ht="15" x14ac:dyDescent="0.2">
      <c r="B8" s="816">
        <v>0.5</v>
      </c>
      <c r="C8" s="817">
        <v>0.5</v>
      </c>
      <c r="D8" s="818">
        <f t="shared" ref="D8:D10" si="0">+B8*C8</f>
        <v>0.25</v>
      </c>
      <c r="E8" s="819">
        <f>43560/D8</f>
        <v>174240</v>
      </c>
      <c r="F8" s="820"/>
      <c r="G8" s="821">
        <f t="shared" ref="G8:H12" si="1">+B8*0.3048</f>
        <v>0.15240000000000001</v>
      </c>
      <c r="H8" s="822">
        <f t="shared" si="1"/>
        <v>0.15240000000000001</v>
      </c>
      <c r="I8" s="818">
        <f t="shared" ref="I8:I52" si="2">+G8*H8</f>
        <v>2.3225760000000002E-2</v>
      </c>
      <c r="J8" s="886">
        <f>10000/I8</f>
        <v>430556.41666838888</v>
      </c>
      <c r="K8" s="819">
        <f>+E8*2.471</f>
        <v>430547.04000000004</v>
      </c>
      <c r="L8" s="840"/>
      <c r="M8" s="816">
        <v>0.15</v>
      </c>
      <c r="N8" s="817">
        <v>0.15</v>
      </c>
      <c r="O8" s="817">
        <f t="shared" ref="O8:O21" si="3">+M8*N8</f>
        <v>2.2499999999999999E-2</v>
      </c>
      <c r="P8" s="867">
        <f>10000/O8</f>
        <v>444444.44444444444</v>
      </c>
      <c r="Q8" s="827"/>
      <c r="R8" s="887">
        <f t="shared" ref="R8:R26" si="4">+M8*$S$5</f>
        <v>0.49184999999999995</v>
      </c>
      <c r="S8" s="888">
        <f t="shared" ref="S8:S26" si="5">+N8*$S$5</f>
        <v>0.49184999999999995</v>
      </c>
      <c r="T8" s="828">
        <f>+R8*S8</f>
        <v>0.24191642249999995</v>
      </c>
      <c r="U8" s="829">
        <f>43560/T8</f>
        <v>180062.18655949249</v>
      </c>
      <c r="V8" s="819">
        <f>+P8*0.4047</f>
        <v>179866.66666666666</v>
      </c>
    </row>
    <row r="9" spans="2:22" ht="15" x14ac:dyDescent="0.2">
      <c r="B9" s="824">
        <v>0.6</v>
      </c>
      <c r="C9" s="825">
        <v>0.6</v>
      </c>
      <c r="D9" s="830">
        <f t="shared" si="0"/>
        <v>0.36</v>
      </c>
      <c r="E9" s="831">
        <f t="shared" ref="E9:E52" si="6">43560/D9</f>
        <v>121000</v>
      </c>
      <c r="F9" s="820"/>
      <c r="G9" s="832">
        <f t="shared" si="1"/>
        <v>0.18288000000000001</v>
      </c>
      <c r="H9" s="833">
        <f t="shared" si="1"/>
        <v>0.18288000000000001</v>
      </c>
      <c r="I9" s="830">
        <f t="shared" si="2"/>
        <v>3.3445094400000007E-2</v>
      </c>
      <c r="J9" s="826">
        <f t="shared" ref="J9:J52" si="7">10000/I9</f>
        <v>298997.51157526998</v>
      </c>
      <c r="K9" s="831">
        <f t="shared" ref="K9:K52" si="8">+E9*2.471</f>
        <v>298991</v>
      </c>
      <c r="L9" s="823"/>
      <c r="M9" s="824">
        <v>0.18</v>
      </c>
      <c r="N9" s="825">
        <v>0.18</v>
      </c>
      <c r="O9" s="825">
        <f t="shared" si="3"/>
        <v>3.2399999999999998E-2</v>
      </c>
      <c r="P9" s="853">
        <f t="shared" ref="P9:P26" si="9">+$N$6/O9</f>
        <v>308641.97530864197</v>
      </c>
      <c r="Q9" s="834"/>
      <c r="R9" s="882">
        <f t="shared" si="4"/>
        <v>0.59021999999999997</v>
      </c>
      <c r="S9" s="881">
        <f t="shared" si="5"/>
        <v>0.59021999999999997</v>
      </c>
      <c r="T9" s="836">
        <f>+R9*S9</f>
        <v>0.34835964839999994</v>
      </c>
      <c r="U9" s="837">
        <f t="shared" ref="U9:U52" si="10">43560/T9</f>
        <v>125043.18511075867</v>
      </c>
      <c r="V9" s="831">
        <f t="shared" ref="V9:V52" si="11">+P9*0.4047</f>
        <v>124907.4074074074</v>
      </c>
    </row>
    <row r="10" spans="2:22" ht="15" x14ac:dyDescent="0.2">
      <c r="B10" s="864">
        <v>0.75</v>
      </c>
      <c r="C10" s="865">
        <v>0.75</v>
      </c>
      <c r="D10" s="830">
        <f t="shared" si="0"/>
        <v>0.5625</v>
      </c>
      <c r="E10" s="831">
        <f t="shared" si="6"/>
        <v>77440</v>
      </c>
      <c r="F10" s="840"/>
      <c r="G10" s="832">
        <f t="shared" si="1"/>
        <v>0.22860000000000003</v>
      </c>
      <c r="H10" s="833">
        <f t="shared" si="1"/>
        <v>0.22860000000000003</v>
      </c>
      <c r="I10" s="830">
        <f t="shared" si="2"/>
        <v>5.2257960000000013E-2</v>
      </c>
      <c r="J10" s="826">
        <f t="shared" si="7"/>
        <v>191358.40740817279</v>
      </c>
      <c r="K10" s="831">
        <f t="shared" si="8"/>
        <v>191354.24000000002</v>
      </c>
      <c r="L10" s="823"/>
      <c r="M10" s="824">
        <v>0.23</v>
      </c>
      <c r="N10" s="825">
        <v>0.23</v>
      </c>
      <c r="O10" s="825">
        <f t="shared" si="3"/>
        <v>5.2900000000000003E-2</v>
      </c>
      <c r="P10" s="853">
        <f t="shared" si="9"/>
        <v>189035.91682419658</v>
      </c>
      <c r="Q10" s="841"/>
      <c r="R10" s="882">
        <f t="shared" si="4"/>
        <v>0.75417000000000001</v>
      </c>
      <c r="S10" s="881">
        <f t="shared" si="5"/>
        <v>0.75417000000000001</v>
      </c>
      <c r="T10" s="836">
        <f t="shared" ref="T10:T17" si="12">+R10*S10</f>
        <v>0.56877238890000004</v>
      </c>
      <c r="U10" s="837">
        <f t="shared" si="10"/>
        <v>76585.996173697175</v>
      </c>
      <c r="V10" s="831">
        <f t="shared" si="11"/>
        <v>76502.835538752362</v>
      </c>
    </row>
    <row r="11" spans="2:22" ht="15" x14ac:dyDescent="0.2">
      <c r="B11" s="824">
        <v>1</v>
      </c>
      <c r="C11" s="825">
        <v>1</v>
      </c>
      <c r="D11" s="830">
        <f>+B11*C11</f>
        <v>1</v>
      </c>
      <c r="E11" s="831">
        <f t="shared" si="6"/>
        <v>43560</v>
      </c>
      <c r="F11" s="842"/>
      <c r="G11" s="832">
        <f t="shared" si="1"/>
        <v>0.30480000000000002</v>
      </c>
      <c r="H11" s="833">
        <f t="shared" si="1"/>
        <v>0.30480000000000002</v>
      </c>
      <c r="I11" s="830">
        <f t="shared" si="2"/>
        <v>9.2903040000000006E-2</v>
      </c>
      <c r="J11" s="826">
        <f t="shared" si="7"/>
        <v>107639.10416709722</v>
      </c>
      <c r="K11" s="831">
        <f t="shared" si="8"/>
        <v>107636.76000000001</v>
      </c>
      <c r="L11" s="843"/>
      <c r="M11" s="824">
        <v>0.3</v>
      </c>
      <c r="N11" s="825">
        <v>0.3</v>
      </c>
      <c r="O11" s="825">
        <f t="shared" si="3"/>
        <v>0.09</v>
      </c>
      <c r="P11" s="853">
        <f t="shared" si="9"/>
        <v>111111.11111111111</v>
      </c>
      <c r="Q11" s="844"/>
      <c r="R11" s="882">
        <f t="shared" si="4"/>
        <v>0.98369999999999991</v>
      </c>
      <c r="S11" s="881">
        <f t="shared" si="5"/>
        <v>0.98369999999999991</v>
      </c>
      <c r="T11" s="836">
        <f t="shared" si="12"/>
        <v>0.9676656899999998</v>
      </c>
      <c r="U11" s="837">
        <f t="shared" si="10"/>
        <v>45015.546639873122</v>
      </c>
      <c r="V11" s="831">
        <f t="shared" si="11"/>
        <v>44966.666666666664</v>
      </c>
    </row>
    <row r="12" spans="2:22" ht="15" x14ac:dyDescent="0.2">
      <c r="B12" s="824">
        <v>1</v>
      </c>
      <c r="C12" s="825">
        <v>1</v>
      </c>
      <c r="D12" s="830">
        <f>+B12*C12</f>
        <v>1</v>
      </c>
      <c r="E12" s="831">
        <f t="shared" si="6"/>
        <v>43560</v>
      </c>
      <c r="F12" s="842"/>
      <c r="G12" s="832">
        <f t="shared" si="1"/>
        <v>0.30480000000000002</v>
      </c>
      <c r="H12" s="833">
        <f t="shared" si="1"/>
        <v>0.30480000000000002</v>
      </c>
      <c r="I12" s="830">
        <f t="shared" si="2"/>
        <v>9.2903040000000006E-2</v>
      </c>
      <c r="J12" s="826">
        <f t="shared" si="7"/>
        <v>107639.10416709722</v>
      </c>
      <c r="K12" s="831">
        <f t="shared" si="8"/>
        <v>107636.76000000001</v>
      </c>
      <c r="L12" s="843"/>
      <c r="M12" s="824">
        <v>0.3</v>
      </c>
      <c r="N12" s="825">
        <v>0.3</v>
      </c>
      <c r="O12" s="825">
        <f t="shared" si="3"/>
        <v>0.09</v>
      </c>
      <c r="P12" s="853">
        <f t="shared" si="9"/>
        <v>111111.11111111111</v>
      </c>
      <c r="Q12" s="844"/>
      <c r="R12" s="882">
        <f t="shared" si="4"/>
        <v>0.98369999999999991</v>
      </c>
      <c r="S12" s="881">
        <f t="shared" si="5"/>
        <v>0.98369999999999991</v>
      </c>
      <c r="T12" s="836">
        <f t="shared" si="12"/>
        <v>0.9676656899999998</v>
      </c>
      <c r="U12" s="837">
        <f t="shared" si="10"/>
        <v>45015.546639873122</v>
      </c>
      <c r="V12" s="831">
        <f t="shared" si="11"/>
        <v>44966.666666666664</v>
      </c>
    </row>
    <row r="13" spans="2:22" ht="15" x14ac:dyDescent="0.2">
      <c r="B13" s="864">
        <v>0.4</v>
      </c>
      <c r="C13" s="865">
        <v>2.5</v>
      </c>
      <c r="D13" s="830">
        <f>+B13*C13</f>
        <v>1</v>
      </c>
      <c r="E13" s="831">
        <f t="shared" si="6"/>
        <v>43560</v>
      </c>
      <c r="F13" s="840"/>
      <c r="G13" s="832">
        <f t="shared" ref="G13:H15" si="13">+B13*0.3048</f>
        <v>0.12192000000000001</v>
      </c>
      <c r="H13" s="833">
        <f t="shared" si="13"/>
        <v>0.76200000000000001</v>
      </c>
      <c r="I13" s="830">
        <f t="shared" si="2"/>
        <v>9.2903040000000006E-2</v>
      </c>
      <c r="J13" s="826">
        <f t="shared" si="7"/>
        <v>107639.10416709722</v>
      </c>
      <c r="K13" s="831">
        <f t="shared" si="8"/>
        <v>107636.76000000001</v>
      </c>
      <c r="L13" s="823"/>
      <c r="M13" s="824">
        <v>0.12</v>
      </c>
      <c r="N13" s="825">
        <v>0.76</v>
      </c>
      <c r="O13" s="830">
        <f t="shared" si="3"/>
        <v>9.1200000000000003E-2</v>
      </c>
      <c r="P13" s="853">
        <f t="shared" si="9"/>
        <v>109649.12280701754</v>
      </c>
      <c r="Q13" s="845"/>
      <c r="R13" s="882">
        <f t="shared" si="4"/>
        <v>0.39348</v>
      </c>
      <c r="S13" s="881">
        <f t="shared" si="5"/>
        <v>2.4920399999999998</v>
      </c>
      <c r="T13" s="835">
        <f t="shared" si="12"/>
        <v>0.98056789919999987</v>
      </c>
      <c r="U13" s="837">
        <f t="shared" si="10"/>
        <v>44423.236815664262</v>
      </c>
      <c r="V13" s="831">
        <f t="shared" si="11"/>
        <v>44375</v>
      </c>
    </row>
    <row r="14" spans="2:22" ht="15" x14ac:dyDescent="0.2">
      <c r="B14" s="838">
        <v>0.8</v>
      </c>
      <c r="C14" s="839">
        <v>2.5</v>
      </c>
      <c r="D14" s="830">
        <f>+B14*C14</f>
        <v>2</v>
      </c>
      <c r="E14" s="831">
        <f t="shared" si="6"/>
        <v>21780</v>
      </c>
      <c r="F14" s="840"/>
      <c r="G14" s="832">
        <f t="shared" si="13"/>
        <v>0.24384000000000003</v>
      </c>
      <c r="H14" s="833">
        <f t="shared" si="13"/>
        <v>0.76200000000000001</v>
      </c>
      <c r="I14" s="830">
        <f t="shared" si="2"/>
        <v>0.18580608000000001</v>
      </c>
      <c r="J14" s="826">
        <f t="shared" si="7"/>
        <v>53819.55208354861</v>
      </c>
      <c r="K14" s="831">
        <f t="shared" si="8"/>
        <v>53818.380000000005</v>
      </c>
      <c r="L14" s="823"/>
      <c r="M14" s="824">
        <v>0.24</v>
      </c>
      <c r="N14" s="825">
        <v>0.76</v>
      </c>
      <c r="O14" s="830">
        <f t="shared" si="3"/>
        <v>0.18240000000000001</v>
      </c>
      <c r="P14" s="853">
        <f t="shared" si="9"/>
        <v>54824.561403508771</v>
      </c>
      <c r="Q14" s="845"/>
      <c r="R14" s="882">
        <f t="shared" si="4"/>
        <v>0.78695999999999999</v>
      </c>
      <c r="S14" s="881">
        <f t="shared" si="5"/>
        <v>2.4920399999999998</v>
      </c>
      <c r="T14" s="835">
        <f t="shared" si="12"/>
        <v>1.9611357983999997</v>
      </c>
      <c r="U14" s="837">
        <f t="shared" si="10"/>
        <v>22211.618407832131</v>
      </c>
      <c r="V14" s="831">
        <f t="shared" si="11"/>
        <v>22187.5</v>
      </c>
    </row>
    <row r="15" spans="2:22" ht="15" x14ac:dyDescent="0.2">
      <c r="B15" s="838">
        <v>1.5</v>
      </c>
      <c r="C15" s="839">
        <v>1.5</v>
      </c>
      <c r="D15" s="830">
        <f t="shared" ref="D15" si="14">+B15*C15</f>
        <v>2.25</v>
      </c>
      <c r="E15" s="831">
        <f t="shared" si="6"/>
        <v>19360</v>
      </c>
      <c r="F15" s="840"/>
      <c r="G15" s="832">
        <f t="shared" si="13"/>
        <v>0.45720000000000005</v>
      </c>
      <c r="H15" s="833">
        <f t="shared" si="13"/>
        <v>0.45720000000000005</v>
      </c>
      <c r="I15" s="830">
        <f t="shared" si="2"/>
        <v>0.20903184000000005</v>
      </c>
      <c r="J15" s="826">
        <f t="shared" si="7"/>
        <v>47839.601852043197</v>
      </c>
      <c r="K15" s="831">
        <f t="shared" si="8"/>
        <v>47838.560000000005</v>
      </c>
      <c r="L15" s="846"/>
      <c r="M15" s="847">
        <v>0.46</v>
      </c>
      <c r="N15" s="825">
        <v>0.46</v>
      </c>
      <c r="O15" s="825">
        <f t="shared" si="3"/>
        <v>0.21160000000000001</v>
      </c>
      <c r="P15" s="853">
        <f t="shared" si="9"/>
        <v>47258.979206049145</v>
      </c>
      <c r="Q15" s="844"/>
      <c r="R15" s="882">
        <f t="shared" si="4"/>
        <v>1.50834</v>
      </c>
      <c r="S15" s="881">
        <f t="shared" si="5"/>
        <v>1.50834</v>
      </c>
      <c r="T15" s="836">
        <f t="shared" si="12"/>
        <v>2.2750895556000001</v>
      </c>
      <c r="U15" s="837">
        <f t="shared" si="10"/>
        <v>19146.499043424294</v>
      </c>
      <c r="V15" s="831">
        <f t="shared" si="11"/>
        <v>19125.708884688091</v>
      </c>
    </row>
    <row r="16" spans="2:22" ht="15" x14ac:dyDescent="0.2">
      <c r="B16" s="838">
        <v>1.6</v>
      </c>
      <c r="C16" s="839">
        <v>1.6</v>
      </c>
      <c r="D16" s="830">
        <f t="shared" ref="D16" si="15">+B16*C16</f>
        <v>2.5600000000000005</v>
      </c>
      <c r="E16" s="831">
        <f t="shared" si="6"/>
        <v>17015.624999999996</v>
      </c>
      <c r="F16" s="840"/>
      <c r="G16" s="832">
        <f t="shared" ref="G16" si="16">+B16*0.3048</f>
        <v>0.48768000000000006</v>
      </c>
      <c r="H16" s="833">
        <f t="shared" ref="H16" si="17">+C16*0.3048</f>
        <v>0.48768000000000006</v>
      </c>
      <c r="I16" s="830">
        <f t="shared" ref="I16" si="18">+G16*H16</f>
        <v>0.23783178240000005</v>
      </c>
      <c r="J16" s="826">
        <f t="shared" si="7"/>
        <v>42046.525065272341</v>
      </c>
      <c r="K16" s="831">
        <f t="shared" si="8"/>
        <v>42045.609374999993</v>
      </c>
      <c r="L16" s="846"/>
      <c r="M16" s="847">
        <v>0.5</v>
      </c>
      <c r="N16" s="825">
        <v>0.5</v>
      </c>
      <c r="O16" s="825">
        <f t="shared" si="3"/>
        <v>0.25</v>
      </c>
      <c r="P16" s="853">
        <f t="shared" si="9"/>
        <v>40000</v>
      </c>
      <c r="Q16" s="844"/>
      <c r="R16" s="882">
        <f t="shared" si="4"/>
        <v>1.6395</v>
      </c>
      <c r="S16" s="881">
        <f t="shared" si="5"/>
        <v>1.6395</v>
      </c>
      <c r="T16" s="836">
        <f t="shared" si="12"/>
        <v>2.6879602499999997</v>
      </c>
      <c r="U16" s="837">
        <f t="shared" si="10"/>
        <v>16205.596790354324</v>
      </c>
      <c r="V16" s="831">
        <f t="shared" si="11"/>
        <v>16188</v>
      </c>
    </row>
    <row r="17" spans="1:22" ht="15" x14ac:dyDescent="0.2">
      <c r="B17" s="824">
        <v>1</v>
      </c>
      <c r="C17" s="825">
        <v>3</v>
      </c>
      <c r="D17" s="830">
        <f>+B17*C17</f>
        <v>3</v>
      </c>
      <c r="E17" s="831">
        <f t="shared" si="6"/>
        <v>14520</v>
      </c>
      <c r="F17" s="820"/>
      <c r="G17" s="832">
        <f>+B17*0.3048</f>
        <v>0.30480000000000002</v>
      </c>
      <c r="H17" s="833">
        <f>+C17*0.3048</f>
        <v>0.9144000000000001</v>
      </c>
      <c r="I17" s="830">
        <f t="shared" si="2"/>
        <v>0.27870912000000003</v>
      </c>
      <c r="J17" s="826">
        <f t="shared" si="7"/>
        <v>35879.701389032401</v>
      </c>
      <c r="K17" s="831">
        <f t="shared" si="8"/>
        <v>35878.92</v>
      </c>
      <c r="L17" s="843"/>
      <c r="M17" s="824">
        <v>0.3</v>
      </c>
      <c r="N17" s="825">
        <v>0.9</v>
      </c>
      <c r="O17" s="825">
        <f t="shared" si="3"/>
        <v>0.27</v>
      </c>
      <c r="P17" s="853">
        <f t="shared" si="9"/>
        <v>37037.037037037036</v>
      </c>
      <c r="Q17" s="844"/>
      <c r="R17" s="882">
        <f t="shared" si="4"/>
        <v>0.98369999999999991</v>
      </c>
      <c r="S17" s="881">
        <f t="shared" si="5"/>
        <v>2.9510999999999998</v>
      </c>
      <c r="T17" s="836">
        <f t="shared" si="12"/>
        <v>2.9029970699999996</v>
      </c>
      <c r="U17" s="837">
        <f t="shared" si="10"/>
        <v>15005.18221329104</v>
      </c>
      <c r="V17" s="831">
        <f t="shared" si="11"/>
        <v>14988.888888888889</v>
      </c>
    </row>
    <row r="18" spans="1:22" ht="15" x14ac:dyDescent="0.2">
      <c r="A18" s="104"/>
      <c r="B18" s="847">
        <v>2</v>
      </c>
      <c r="C18" s="830">
        <v>2</v>
      </c>
      <c r="D18" s="830">
        <f>+B18*C18</f>
        <v>4</v>
      </c>
      <c r="E18" s="831">
        <f t="shared" si="6"/>
        <v>10890</v>
      </c>
      <c r="F18" s="820"/>
      <c r="G18" s="832">
        <f>+B18*0.3048</f>
        <v>0.60960000000000003</v>
      </c>
      <c r="H18" s="833">
        <f>+C18*0.3048</f>
        <v>0.60960000000000003</v>
      </c>
      <c r="I18" s="830">
        <f t="shared" si="2"/>
        <v>0.37161216000000002</v>
      </c>
      <c r="J18" s="826">
        <f t="shared" si="7"/>
        <v>26909.776041774305</v>
      </c>
      <c r="K18" s="831">
        <f t="shared" si="8"/>
        <v>26909.190000000002</v>
      </c>
      <c r="L18" s="823"/>
      <c r="M18" s="847">
        <v>0.6</v>
      </c>
      <c r="N18" s="830">
        <v>0.6</v>
      </c>
      <c r="O18" s="825">
        <f t="shared" si="3"/>
        <v>0.36</v>
      </c>
      <c r="P18" s="853">
        <f t="shared" si="9"/>
        <v>27777.777777777777</v>
      </c>
      <c r="Q18" s="844"/>
      <c r="R18" s="882">
        <f t="shared" si="4"/>
        <v>1.9673999999999998</v>
      </c>
      <c r="S18" s="881">
        <f t="shared" si="5"/>
        <v>1.9673999999999998</v>
      </c>
      <c r="T18" s="836">
        <f t="shared" ref="T18" si="19">+R18*S18</f>
        <v>3.8706627599999992</v>
      </c>
      <c r="U18" s="837">
        <f t="shared" si="10"/>
        <v>11253.886659968281</v>
      </c>
      <c r="V18" s="831">
        <f t="shared" si="11"/>
        <v>11241.666666666666</v>
      </c>
    </row>
    <row r="19" spans="1:22" ht="15" x14ac:dyDescent="0.2">
      <c r="A19" s="104"/>
      <c r="B19" s="847">
        <v>1</v>
      </c>
      <c r="C19" s="830">
        <v>4</v>
      </c>
      <c r="D19" s="830">
        <f>+B19*C19</f>
        <v>4</v>
      </c>
      <c r="E19" s="831">
        <f t="shared" si="6"/>
        <v>10890</v>
      </c>
      <c r="F19" s="820"/>
      <c r="G19" s="832">
        <f t="shared" ref="G19:H20" si="20">+B19*0.3048</f>
        <v>0.30480000000000002</v>
      </c>
      <c r="H19" s="833">
        <f t="shared" si="20"/>
        <v>1.2192000000000001</v>
      </c>
      <c r="I19" s="830">
        <f t="shared" si="2"/>
        <v>0.37161216000000002</v>
      </c>
      <c r="J19" s="826">
        <f t="shared" si="7"/>
        <v>26909.776041774305</v>
      </c>
      <c r="K19" s="831">
        <f t="shared" si="8"/>
        <v>26909.190000000002</v>
      </c>
      <c r="L19" s="823"/>
      <c r="M19" s="847">
        <v>0.3</v>
      </c>
      <c r="N19" s="830">
        <v>1.2</v>
      </c>
      <c r="O19" s="825">
        <f t="shared" si="3"/>
        <v>0.36</v>
      </c>
      <c r="P19" s="853">
        <f t="shared" si="9"/>
        <v>27777.777777777777</v>
      </c>
      <c r="Q19" s="844"/>
      <c r="R19" s="882">
        <f t="shared" si="4"/>
        <v>0.98369999999999991</v>
      </c>
      <c r="S19" s="881">
        <f t="shared" si="5"/>
        <v>3.9347999999999996</v>
      </c>
      <c r="T19" s="836">
        <f t="shared" ref="T19:T26" si="21">+R19*S19</f>
        <v>3.8706627599999992</v>
      </c>
      <c r="U19" s="837">
        <f t="shared" si="10"/>
        <v>11253.886659968281</v>
      </c>
      <c r="V19" s="831">
        <f t="shared" si="11"/>
        <v>11241.666666666666</v>
      </c>
    </row>
    <row r="20" spans="1:22" ht="15" x14ac:dyDescent="0.2">
      <c r="A20" s="104"/>
      <c r="B20" s="847">
        <v>1</v>
      </c>
      <c r="C20" s="830">
        <v>4</v>
      </c>
      <c r="D20" s="830">
        <f>+B20*C20</f>
        <v>4</v>
      </c>
      <c r="E20" s="831">
        <f t="shared" si="6"/>
        <v>10890</v>
      </c>
      <c r="F20" s="820"/>
      <c r="G20" s="832">
        <f t="shared" si="20"/>
        <v>0.30480000000000002</v>
      </c>
      <c r="H20" s="833">
        <f t="shared" si="20"/>
        <v>1.2192000000000001</v>
      </c>
      <c r="I20" s="830">
        <f t="shared" si="2"/>
        <v>0.37161216000000002</v>
      </c>
      <c r="J20" s="826">
        <f t="shared" si="7"/>
        <v>26909.776041774305</v>
      </c>
      <c r="K20" s="831">
        <f t="shared" si="8"/>
        <v>26909.190000000002</v>
      </c>
      <c r="L20" s="823"/>
      <c r="M20" s="847">
        <v>0.3</v>
      </c>
      <c r="N20" s="830">
        <v>1.22</v>
      </c>
      <c r="O20" s="825">
        <f t="shared" si="3"/>
        <v>0.36599999999999999</v>
      </c>
      <c r="P20" s="853">
        <f t="shared" si="9"/>
        <v>27322.4043715847</v>
      </c>
      <c r="Q20" s="844"/>
      <c r="R20" s="882">
        <f t="shared" si="4"/>
        <v>0.98369999999999991</v>
      </c>
      <c r="S20" s="881">
        <f t="shared" si="5"/>
        <v>4.0003799999999998</v>
      </c>
      <c r="T20" s="836">
        <f t="shared" si="21"/>
        <v>3.9351738059999994</v>
      </c>
      <c r="U20" s="837">
        <f t="shared" si="10"/>
        <v>11069.3967147229</v>
      </c>
      <c r="V20" s="831">
        <f t="shared" si="11"/>
        <v>11057.377049180328</v>
      </c>
    </row>
    <row r="21" spans="1:22" ht="15" x14ac:dyDescent="0.2">
      <c r="B21" s="847">
        <v>2</v>
      </c>
      <c r="C21" s="830">
        <v>2</v>
      </c>
      <c r="D21" s="830">
        <f>+B21*C21</f>
        <v>4</v>
      </c>
      <c r="E21" s="831">
        <f t="shared" si="6"/>
        <v>10890</v>
      </c>
      <c r="F21" s="820"/>
      <c r="G21" s="832">
        <f>+B21*0.3048</f>
        <v>0.60960000000000003</v>
      </c>
      <c r="H21" s="833">
        <f>+C21*0.3048</f>
        <v>0.60960000000000003</v>
      </c>
      <c r="I21" s="830">
        <f t="shared" si="2"/>
        <v>0.37161216000000002</v>
      </c>
      <c r="J21" s="826">
        <f t="shared" si="7"/>
        <v>26909.776041774305</v>
      </c>
      <c r="K21" s="831">
        <f t="shared" si="8"/>
        <v>26909.190000000002</v>
      </c>
      <c r="L21" s="823"/>
      <c r="M21" s="847">
        <v>0.6</v>
      </c>
      <c r="N21" s="830">
        <v>0.6</v>
      </c>
      <c r="O21" s="825">
        <f t="shared" si="3"/>
        <v>0.36</v>
      </c>
      <c r="P21" s="853">
        <f t="shared" si="9"/>
        <v>27777.777777777777</v>
      </c>
      <c r="Q21" s="841"/>
      <c r="R21" s="882">
        <f t="shared" si="4"/>
        <v>1.9673999999999998</v>
      </c>
      <c r="S21" s="881">
        <f t="shared" si="5"/>
        <v>1.9673999999999998</v>
      </c>
      <c r="T21" s="836">
        <f t="shared" si="21"/>
        <v>3.8706627599999992</v>
      </c>
      <c r="U21" s="837">
        <f t="shared" si="10"/>
        <v>11253.886659968281</v>
      </c>
      <c r="V21" s="831">
        <f t="shared" si="11"/>
        <v>11241.666666666666</v>
      </c>
    </row>
    <row r="22" spans="1:22" ht="15" x14ac:dyDescent="0.2">
      <c r="B22" s="847"/>
      <c r="C22" s="830"/>
      <c r="D22" s="830"/>
      <c r="E22" s="831"/>
      <c r="F22" s="820"/>
      <c r="G22" s="832"/>
      <c r="H22" s="833"/>
      <c r="I22" s="830"/>
      <c r="J22" s="826"/>
      <c r="K22" s="831"/>
      <c r="L22" s="823"/>
      <c r="M22" s="824">
        <v>0.5</v>
      </c>
      <c r="N22" s="825">
        <v>0.75</v>
      </c>
      <c r="O22" s="830">
        <f>+M22*N22</f>
        <v>0.375</v>
      </c>
      <c r="P22" s="853">
        <f t="shared" si="9"/>
        <v>26666.666666666668</v>
      </c>
      <c r="Q22" s="841"/>
      <c r="R22" s="882">
        <f t="shared" si="4"/>
        <v>1.6395</v>
      </c>
      <c r="S22" s="881">
        <f t="shared" si="5"/>
        <v>2.4592499999999999</v>
      </c>
      <c r="T22" s="835">
        <f t="shared" si="21"/>
        <v>4.0319403749999996</v>
      </c>
      <c r="U22" s="837">
        <f t="shared" si="10"/>
        <v>10803.731193569549</v>
      </c>
      <c r="V22" s="831">
        <f t="shared" si="11"/>
        <v>10792</v>
      </c>
    </row>
    <row r="23" spans="1:22" ht="15" x14ac:dyDescent="0.2">
      <c r="B23" s="847">
        <v>2</v>
      </c>
      <c r="C23" s="830">
        <v>2.5</v>
      </c>
      <c r="D23" s="830">
        <f>+B23*C23</f>
        <v>5</v>
      </c>
      <c r="E23" s="831">
        <f t="shared" si="6"/>
        <v>8712</v>
      </c>
      <c r="F23" s="826"/>
      <c r="G23" s="832">
        <f>+B23*0.3048</f>
        <v>0.60960000000000003</v>
      </c>
      <c r="H23" s="833">
        <f>+C23*0.3048</f>
        <v>0.76200000000000001</v>
      </c>
      <c r="I23" s="830">
        <f t="shared" si="2"/>
        <v>0.46451520000000002</v>
      </c>
      <c r="J23" s="826">
        <f t="shared" si="7"/>
        <v>21527.820833419442</v>
      </c>
      <c r="K23" s="831">
        <f t="shared" si="8"/>
        <v>21527.351999999999</v>
      </c>
      <c r="L23" s="823"/>
      <c r="M23" s="864">
        <v>0.6</v>
      </c>
      <c r="N23" s="865">
        <v>0.75</v>
      </c>
      <c r="O23" s="825">
        <f>+M23*N23</f>
        <v>0.44999999999999996</v>
      </c>
      <c r="P23" s="853">
        <f t="shared" si="9"/>
        <v>22222.222222222223</v>
      </c>
      <c r="Q23" s="841"/>
      <c r="R23" s="882">
        <f t="shared" si="4"/>
        <v>1.9673999999999998</v>
      </c>
      <c r="S23" s="881">
        <f t="shared" si="5"/>
        <v>2.4592499999999999</v>
      </c>
      <c r="T23" s="835">
        <f t="shared" si="21"/>
        <v>4.8383284499999997</v>
      </c>
      <c r="U23" s="837">
        <f t="shared" si="10"/>
        <v>9003.1093279746237</v>
      </c>
      <c r="V23" s="831">
        <f t="shared" si="11"/>
        <v>8993.3333333333339</v>
      </c>
    </row>
    <row r="24" spans="1:22" ht="15" x14ac:dyDescent="0.2">
      <c r="B24" s="847"/>
      <c r="C24" s="830"/>
      <c r="D24" s="830"/>
      <c r="E24" s="831"/>
      <c r="F24" s="826"/>
      <c r="G24" s="832"/>
      <c r="H24" s="833"/>
      <c r="I24" s="830"/>
      <c r="J24" s="826"/>
      <c r="K24" s="831"/>
      <c r="L24" s="823"/>
      <c r="M24" s="824">
        <v>0.6</v>
      </c>
      <c r="N24" s="825">
        <v>0.8</v>
      </c>
      <c r="O24" s="830">
        <f>+M24*N24</f>
        <v>0.48</v>
      </c>
      <c r="P24" s="853">
        <f t="shared" si="9"/>
        <v>20833.333333333336</v>
      </c>
      <c r="Q24" s="845"/>
      <c r="R24" s="882">
        <f t="shared" si="4"/>
        <v>1.9673999999999998</v>
      </c>
      <c r="S24" s="881">
        <f t="shared" si="5"/>
        <v>2.6232000000000002</v>
      </c>
      <c r="T24" s="835">
        <f t="shared" si="21"/>
        <v>5.1608836799999995</v>
      </c>
      <c r="U24" s="837">
        <f t="shared" si="10"/>
        <v>8440.4149949762104</v>
      </c>
      <c r="V24" s="831">
        <f t="shared" si="11"/>
        <v>8431.2500000000018</v>
      </c>
    </row>
    <row r="25" spans="1:22" ht="15" x14ac:dyDescent="0.2">
      <c r="B25" s="870"/>
      <c r="C25" s="871"/>
      <c r="D25" s="872"/>
      <c r="E25" s="831"/>
      <c r="F25" s="826"/>
      <c r="G25" s="873"/>
      <c r="H25" s="874"/>
      <c r="I25" s="830"/>
      <c r="J25" s="826"/>
      <c r="K25" s="831"/>
      <c r="L25" s="823"/>
      <c r="M25" s="847">
        <v>0.5</v>
      </c>
      <c r="N25" s="830">
        <v>1</v>
      </c>
      <c r="O25" s="825">
        <f>+M25*N25</f>
        <v>0.5</v>
      </c>
      <c r="P25" s="853">
        <f t="shared" si="9"/>
        <v>20000</v>
      </c>
      <c r="Q25" s="844"/>
      <c r="R25" s="882">
        <f t="shared" si="4"/>
        <v>1.6395</v>
      </c>
      <c r="S25" s="881">
        <f t="shared" si="5"/>
        <v>3.2789999999999999</v>
      </c>
      <c r="T25" s="836">
        <f t="shared" si="21"/>
        <v>5.3759204999999994</v>
      </c>
      <c r="U25" s="837">
        <f t="shared" si="10"/>
        <v>8102.7983951771621</v>
      </c>
      <c r="V25" s="831">
        <f t="shared" si="11"/>
        <v>8094</v>
      </c>
    </row>
    <row r="26" spans="1:22" ht="15" x14ac:dyDescent="0.2">
      <c r="B26" s="847">
        <v>1</v>
      </c>
      <c r="C26" s="830">
        <v>5.5</v>
      </c>
      <c r="D26" s="830">
        <f>+B26*C26</f>
        <v>5.5</v>
      </c>
      <c r="E26" s="831">
        <f t="shared" si="6"/>
        <v>7920</v>
      </c>
      <c r="F26" s="840"/>
      <c r="G26" s="832">
        <f>+B26*0.3048</f>
        <v>0.30480000000000002</v>
      </c>
      <c r="H26" s="833">
        <f>+C26*0.3048</f>
        <v>1.6764000000000001</v>
      </c>
      <c r="I26" s="830">
        <f t="shared" si="2"/>
        <v>0.5109667200000001</v>
      </c>
      <c r="J26" s="826">
        <f t="shared" si="7"/>
        <v>19570.74621219949</v>
      </c>
      <c r="K26" s="831">
        <f t="shared" si="8"/>
        <v>19570.32</v>
      </c>
      <c r="L26" s="823"/>
      <c r="M26" s="824">
        <v>0.3</v>
      </c>
      <c r="N26" s="825">
        <v>1.7</v>
      </c>
      <c r="O26" s="825">
        <f>+M26*N26</f>
        <v>0.51</v>
      </c>
      <c r="P26" s="853">
        <f t="shared" si="9"/>
        <v>19607.843137254902</v>
      </c>
      <c r="Q26" s="844"/>
      <c r="R26" s="882">
        <f t="shared" si="4"/>
        <v>0.98369999999999991</v>
      </c>
      <c r="S26" s="881">
        <f t="shared" si="5"/>
        <v>5.5743</v>
      </c>
      <c r="T26" s="836">
        <f t="shared" si="21"/>
        <v>5.4834389099999994</v>
      </c>
      <c r="U26" s="837">
        <f t="shared" si="10"/>
        <v>7943.9199952717272</v>
      </c>
      <c r="V26" s="831">
        <f t="shared" si="11"/>
        <v>7935.2941176470586</v>
      </c>
    </row>
    <row r="27" spans="1:22" ht="15" x14ac:dyDescent="0.2">
      <c r="B27" s="880" t="s">
        <v>2111</v>
      </c>
      <c r="C27" s="839"/>
      <c r="D27" s="825"/>
      <c r="E27" s="831">
        <f>+V27</f>
        <v>6151.4400000000005</v>
      </c>
      <c r="F27" s="851"/>
      <c r="G27" s="868" t="s">
        <v>2111</v>
      </c>
      <c r="H27" s="850"/>
      <c r="I27" s="830"/>
      <c r="J27" s="826"/>
      <c r="K27" s="831">
        <f>+P27</f>
        <v>15200</v>
      </c>
      <c r="L27" s="823"/>
      <c r="M27" s="879" t="s">
        <v>2111</v>
      </c>
      <c r="N27" s="830"/>
      <c r="O27" s="825"/>
      <c r="P27" s="853">
        <v>15200</v>
      </c>
      <c r="Q27" s="844"/>
      <c r="R27" s="879" t="s">
        <v>2111</v>
      </c>
      <c r="S27" s="881"/>
      <c r="T27" s="836"/>
      <c r="U27" s="837"/>
      <c r="V27" s="831">
        <f t="shared" si="11"/>
        <v>6151.4400000000005</v>
      </c>
    </row>
    <row r="28" spans="1:22" x14ac:dyDescent="0.2">
      <c r="A28" s="104"/>
      <c r="B28" s="847">
        <v>2</v>
      </c>
      <c r="C28" s="830">
        <v>3.6</v>
      </c>
      <c r="D28" s="830">
        <f>+B28*C28</f>
        <v>7.2</v>
      </c>
      <c r="E28" s="831">
        <f t="shared" si="6"/>
        <v>6050</v>
      </c>
      <c r="F28" s="820"/>
      <c r="G28" s="832">
        <f>+B28*0.3048</f>
        <v>0.60960000000000003</v>
      </c>
      <c r="H28" s="833">
        <f>+C28*0.3048</f>
        <v>1.09728</v>
      </c>
      <c r="I28" s="830">
        <f t="shared" si="2"/>
        <v>0.66890188800000006</v>
      </c>
      <c r="J28" s="826">
        <f t="shared" si="7"/>
        <v>14949.875578763502</v>
      </c>
      <c r="K28" s="831">
        <f t="shared" si="8"/>
        <v>14949.550000000001</v>
      </c>
      <c r="L28" s="852"/>
      <c r="M28" s="824">
        <v>0.6</v>
      </c>
      <c r="N28" s="825">
        <v>1.1000000000000001</v>
      </c>
      <c r="O28" s="825">
        <f>+M28*N28</f>
        <v>0.66</v>
      </c>
      <c r="P28" s="853">
        <f t="shared" ref="P28:P34" si="22">+$N$6/O28</f>
        <v>15151.51515151515</v>
      </c>
      <c r="Q28" s="844"/>
      <c r="R28" s="882">
        <f t="shared" ref="R28:R52" si="23">+M28*$S$5</f>
        <v>1.9673999999999998</v>
      </c>
      <c r="S28" s="881">
        <f t="shared" ref="S28:S52" si="24">+N28*$S$5</f>
        <v>3.6069</v>
      </c>
      <c r="T28" s="836">
        <f>+R28*S28</f>
        <v>7.0962150599999996</v>
      </c>
      <c r="U28" s="837">
        <f t="shared" si="10"/>
        <v>6138.4836327099711</v>
      </c>
      <c r="V28" s="831">
        <f t="shared" si="11"/>
        <v>6131.8181818181811</v>
      </c>
    </row>
    <row r="29" spans="1:22" ht="15" x14ac:dyDescent="0.2">
      <c r="B29" s="847">
        <v>2</v>
      </c>
      <c r="C29" s="830">
        <v>4</v>
      </c>
      <c r="D29" s="830">
        <f>+B29*C29</f>
        <v>8</v>
      </c>
      <c r="E29" s="831">
        <f t="shared" si="6"/>
        <v>5445</v>
      </c>
      <c r="F29" s="826"/>
      <c r="G29" s="832">
        <f>+B29*0.3048</f>
        <v>0.60960000000000003</v>
      </c>
      <c r="H29" s="833">
        <f>+C29*0.3048</f>
        <v>1.2192000000000001</v>
      </c>
      <c r="I29" s="830">
        <f t="shared" si="2"/>
        <v>0.74322432000000005</v>
      </c>
      <c r="J29" s="826">
        <f t="shared" si="7"/>
        <v>13454.888020887152</v>
      </c>
      <c r="K29" s="831">
        <f t="shared" si="8"/>
        <v>13454.595000000001</v>
      </c>
      <c r="L29" s="823"/>
      <c r="M29" s="847">
        <v>0.6</v>
      </c>
      <c r="N29" s="830">
        <v>1.2</v>
      </c>
      <c r="O29" s="825">
        <f>+M29*N29</f>
        <v>0.72</v>
      </c>
      <c r="P29" s="853">
        <f t="shared" si="22"/>
        <v>13888.888888888889</v>
      </c>
      <c r="Q29" s="841"/>
      <c r="R29" s="882">
        <f t="shared" si="23"/>
        <v>1.9673999999999998</v>
      </c>
      <c r="S29" s="881">
        <f t="shared" si="24"/>
        <v>3.9347999999999996</v>
      </c>
      <c r="T29" s="830">
        <f>+R29*S29</f>
        <v>7.7413255199999984</v>
      </c>
      <c r="U29" s="837">
        <f t="shared" si="10"/>
        <v>5626.9433299841403</v>
      </c>
      <c r="V29" s="831">
        <f t="shared" si="11"/>
        <v>5620.833333333333</v>
      </c>
    </row>
    <row r="30" spans="1:22" ht="15" x14ac:dyDescent="0.2">
      <c r="B30" s="838"/>
      <c r="C30" s="839"/>
      <c r="D30" s="848"/>
      <c r="E30" s="831"/>
      <c r="F30" s="840"/>
      <c r="G30" s="849"/>
      <c r="H30" s="850"/>
      <c r="I30" s="830"/>
      <c r="J30" s="826"/>
      <c r="K30" s="831"/>
      <c r="L30" s="823"/>
      <c r="M30" s="847">
        <v>1</v>
      </c>
      <c r="N30" s="830">
        <v>1</v>
      </c>
      <c r="O30" s="825">
        <f t="shared" ref="O30:O34" si="25">+M30*N30</f>
        <v>1</v>
      </c>
      <c r="P30" s="853">
        <f t="shared" si="22"/>
        <v>10000</v>
      </c>
      <c r="Q30" s="844"/>
      <c r="R30" s="882">
        <f t="shared" si="23"/>
        <v>3.2789999999999999</v>
      </c>
      <c r="S30" s="881">
        <f t="shared" si="24"/>
        <v>3.2789999999999999</v>
      </c>
      <c r="T30" s="836">
        <f t="shared" ref="T30:T34" si="26">+R30*S30</f>
        <v>10.751840999999999</v>
      </c>
      <c r="U30" s="837">
        <f t="shared" si="10"/>
        <v>4051.399197588581</v>
      </c>
      <c r="V30" s="831">
        <f t="shared" si="11"/>
        <v>4047</v>
      </c>
    </row>
    <row r="31" spans="1:22" ht="15" x14ac:dyDescent="0.2">
      <c r="B31" s="847">
        <v>4</v>
      </c>
      <c r="C31" s="830">
        <v>4</v>
      </c>
      <c r="D31" s="830">
        <f t="shared" ref="D31:D32" si="27">+B31*C31</f>
        <v>16</v>
      </c>
      <c r="E31" s="831">
        <f t="shared" si="6"/>
        <v>2722.5</v>
      </c>
      <c r="F31" s="826"/>
      <c r="G31" s="832">
        <f t="shared" ref="G31:H34" si="28">+B31*0.3048</f>
        <v>1.2192000000000001</v>
      </c>
      <c r="H31" s="833">
        <f t="shared" si="28"/>
        <v>1.2192000000000001</v>
      </c>
      <c r="I31" s="830">
        <f t="shared" si="2"/>
        <v>1.4864486400000001</v>
      </c>
      <c r="J31" s="826">
        <f t="shared" si="7"/>
        <v>6727.4440104435762</v>
      </c>
      <c r="K31" s="831">
        <f t="shared" si="8"/>
        <v>6727.2975000000006</v>
      </c>
      <c r="L31" s="823"/>
      <c r="M31" s="847">
        <v>1.2</v>
      </c>
      <c r="N31" s="830">
        <v>1.2</v>
      </c>
      <c r="O31" s="825">
        <f>+M31*N31</f>
        <v>1.44</v>
      </c>
      <c r="P31" s="853">
        <f t="shared" si="22"/>
        <v>6944.4444444444443</v>
      </c>
      <c r="Q31" s="844"/>
      <c r="R31" s="882">
        <f t="shared" si="23"/>
        <v>3.9347999999999996</v>
      </c>
      <c r="S31" s="881">
        <f t="shared" si="24"/>
        <v>3.9347999999999996</v>
      </c>
      <c r="T31" s="836">
        <f>+R31*S31</f>
        <v>15.482651039999997</v>
      </c>
      <c r="U31" s="837">
        <f t="shared" si="10"/>
        <v>2813.4716649920701</v>
      </c>
      <c r="V31" s="831">
        <f t="shared" si="11"/>
        <v>2810.4166666666665</v>
      </c>
    </row>
    <row r="32" spans="1:22" ht="15" x14ac:dyDescent="0.2">
      <c r="B32" s="847">
        <v>2</v>
      </c>
      <c r="C32" s="830">
        <v>10</v>
      </c>
      <c r="D32" s="830">
        <f t="shared" si="27"/>
        <v>20</v>
      </c>
      <c r="E32" s="831">
        <f t="shared" si="6"/>
        <v>2178</v>
      </c>
      <c r="F32" s="840"/>
      <c r="G32" s="832">
        <f t="shared" si="28"/>
        <v>0.60960000000000003</v>
      </c>
      <c r="H32" s="833">
        <f t="shared" si="28"/>
        <v>3.048</v>
      </c>
      <c r="I32" s="830">
        <f t="shared" si="2"/>
        <v>1.8580608000000001</v>
      </c>
      <c r="J32" s="826">
        <f t="shared" si="7"/>
        <v>5381.9552083548606</v>
      </c>
      <c r="K32" s="831">
        <f t="shared" si="8"/>
        <v>5381.8379999999997</v>
      </c>
      <c r="L32" s="823"/>
      <c r="M32" s="847">
        <v>0.6</v>
      </c>
      <c r="N32" s="830">
        <v>3</v>
      </c>
      <c r="O32" s="825">
        <f t="shared" si="25"/>
        <v>1.7999999999999998</v>
      </c>
      <c r="P32" s="853">
        <f t="shared" si="22"/>
        <v>5555.5555555555557</v>
      </c>
      <c r="Q32" s="841"/>
      <c r="R32" s="882">
        <f t="shared" si="23"/>
        <v>1.9673999999999998</v>
      </c>
      <c r="S32" s="881">
        <f t="shared" si="24"/>
        <v>9.8369999999999997</v>
      </c>
      <c r="T32" s="830">
        <f t="shared" si="26"/>
        <v>19.353313799999999</v>
      </c>
      <c r="U32" s="837">
        <f t="shared" si="10"/>
        <v>2250.7773319936559</v>
      </c>
      <c r="V32" s="831">
        <f t="shared" si="11"/>
        <v>2248.3333333333335</v>
      </c>
    </row>
    <row r="33" spans="1:22" ht="15" x14ac:dyDescent="0.2">
      <c r="B33" s="847">
        <v>5</v>
      </c>
      <c r="C33" s="830">
        <v>5</v>
      </c>
      <c r="D33" s="830">
        <f>+B33*C33</f>
        <v>25</v>
      </c>
      <c r="E33" s="831">
        <f t="shared" si="6"/>
        <v>1742.4</v>
      </c>
      <c r="F33" s="826"/>
      <c r="G33" s="832">
        <f t="shared" si="28"/>
        <v>1.524</v>
      </c>
      <c r="H33" s="833">
        <f t="shared" si="28"/>
        <v>1.524</v>
      </c>
      <c r="I33" s="830">
        <f t="shared" si="2"/>
        <v>2.3225760000000002</v>
      </c>
      <c r="J33" s="826">
        <f t="shared" si="7"/>
        <v>4305.5641666838883</v>
      </c>
      <c r="K33" s="831">
        <f t="shared" si="8"/>
        <v>4305.4704000000002</v>
      </c>
      <c r="L33" s="823"/>
      <c r="M33" s="847">
        <v>1</v>
      </c>
      <c r="N33" s="830">
        <v>2</v>
      </c>
      <c r="O33" s="825">
        <f t="shared" si="25"/>
        <v>2</v>
      </c>
      <c r="P33" s="853">
        <f t="shared" si="22"/>
        <v>5000</v>
      </c>
      <c r="Q33" s="844"/>
      <c r="R33" s="882">
        <f t="shared" si="23"/>
        <v>3.2789999999999999</v>
      </c>
      <c r="S33" s="881">
        <f t="shared" si="24"/>
        <v>6.5579999999999998</v>
      </c>
      <c r="T33" s="836">
        <f t="shared" si="26"/>
        <v>21.503681999999998</v>
      </c>
      <c r="U33" s="837">
        <f t="shared" si="10"/>
        <v>2025.6995987942905</v>
      </c>
      <c r="V33" s="831">
        <f t="shared" si="11"/>
        <v>2023.5</v>
      </c>
    </row>
    <row r="34" spans="1:22" ht="15" x14ac:dyDescent="0.2">
      <c r="B34" s="847">
        <v>4</v>
      </c>
      <c r="C34" s="830">
        <v>7</v>
      </c>
      <c r="D34" s="830">
        <f>+B34*C34</f>
        <v>28</v>
      </c>
      <c r="E34" s="831">
        <f t="shared" si="6"/>
        <v>1555.7142857142858</v>
      </c>
      <c r="F34" s="826"/>
      <c r="G34" s="832">
        <f t="shared" si="28"/>
        <v>1.2192000000000001</v>
      </c>
      <c r="H34" s="833">
        <f t="shared" si="28"/>
        <v>2.1335999999999999</v>
      </c>
      <c r="I34" s="830">
        <f t="shared" si="2"/>
        <v>2.60128512</v>
      </c>
      <c r="J34" s="826">
        <f t="shared" si="7"/>
        <v>3844.2537202534722</v>
      </c>
      <c r="K34" s="831">
        <f t="shared" si="8"/>
        <v>3844.17</v>
      </c>
      <c r="L34" s="823"/>
      <c r="M34" s="847">
        <v>1.2</v>
      </c>
      <c r="N34" s="830">
        <v>2</v>
      </c>
      <c r="O34" s="825">
        <f t="shared" si="25"/>
        <v>2.4</v>
      </c>
      <c r="P34" s="853">
        <f t="shared" si="22"/>
        <v>4166.666666666667</v>
      </c>
      <c r="Q34" s="844"/>
      <c r="R34" s="882">
        <f t="shared" si="23"/>
        <v>3.9347999999999996</v>
      </c>
      <c r="S34" s="881">
        <f t="shared" si="24"/>
        <v>6.5579999999999998</v>
      </c>
      <c r="T34" s="836">
        <f t="shared" si="26"/>
        <v>25.804418399999996</v>
      </c>
      <c r="U34" s="837">
        <f t="shared" si="10"/>
        <v>1688.0829989952422</v>
      </c>
      <c r="V34" s="831">
        <f t="shared" si="11"/>
        <v>1686.2500000000002</v>
      </c>
    </row>
    <row r="35" spans="1:22" ht="15" x14ac:dyDescent="0.2">
      <c r="B35" s="847">
        <v>5</v>
      </c>
      <c r="C35" s="830">
        <v>6.6</v>
      </c>
      <c r="D35" s="830">
        <f>+B35*C35</f>
        <v>33</v>
      </c>
      <c r="E35" s="831">
        <f t="shared" si="6"/>
        <v>1320</v>
      </c>
      <c r="F35" s="826"/>
      <c r="G35" s="832">
        <f>+B35*0.3048</f>
        <v>1.524</v>
      </c>
      <c r="H35" s="833">
        <f>+C35*0.3048</f>
        <v>2.0116800000000001</v>
      </c>
      <c r="I35" s="830">
        <f t="shared" si="2"/>
        <v>3.0658003200000001</v>
      </c>
      <c r="J35" s="826">
        <f t="shared" si="7"/>
        <v>3261.7910353665825</v>
      </c>
      <c r="K35" s="831">
        <f t="shared" si="8"/>
        <v>3261.7200000000003</v>
      </c>
      <c r="L35" s="823"/>
      <c r="M35" s="847">
        <v>1.5</v>
      </c>
      <c r="N35" s="830">
        <v>2</v>
      </c>
      <c r="O35" s="825">
        <f t="shared" ref="O35:O42" si="29">+M35*N35</f>
        <v>3</v>
      </c>
      <c r="P35" s="853">
        <f t="shared" ref="P35" si="30">+$N$6/O35</f>
        <v>3333.3333333333335</v>
      </c>
      <c r="Q35" s="844"/>
      <c r="R35" s="882">
        <f t="shared" si="23"/>
        <v>4.9184999999999999</v>
      </c>
      <c r="S35" s="881">
        <f t="shared" si="24"/>
        <v>6.5579999999999998</v>
      </c>
      <c r="T35" s="836">
        <f t="shared" ref="T35:T52" si="31">+R35*S35</f>
        <v>32.255522999999997</v>
      </c>
      <c r="U35" s="837">
        <f t="shared" si="10"/>
        <v>1350.4663991961936</v>
      </c>
      <c r="V35" s="831">
        <f t="shared" si="11"/>
        <v>1349</v>
      </c>
    </row>
    <row r="36" spans="1:22" ht="15" x14ac:dyDescent="0.2">
      <c r="B36" s="847">
        <v>6</v>
      </c>
      <c r="C36" s="830">
        <v>6</v>
      </c>
      <c r="D36" s="830">
        <f>+B36*C36</f>
        <v>36</v>
      </c>
      <c r="E36" s="831">
        <f t="shared" si="6"/>
        <v>1210</v>
      </c>
      <c r="F36" s="840"/>
      <c r="G36" s="832">
        <f>+B36*0.3048</f>
        <v>1.8288000000000002</v>
      </c>
      <c r="H36" s="833">
        <f>+C36*0.3048</f>
        <v>1.8288000000000002</v>
      </c>
      <c r="I36" s="830">
        <f>+G36*H36</f>
        <v>3.3445094400000008</v>
      </c>
      <c r="J36" s="826">
        <f t="shared" si="7"/>
        <v>2989.9751157526998</v>
      </c>
      <c r="K36" s="831">
        <f t="shared" si="8"/>
        <v>2989.9100000000003</v>
      </c>
      <c r="L36" s="823"/>
      <c r="M36" s="847">
        <v>1.8</v>
      </c>
      <c r="N36" s="830">
        <v>1.8</v>
      </c>
      <c r="O36" s="825">
        <f t="shared" si="29"/>
        <v>3.24</v>
      </c>
      <c r="P36" s="853">
        <f t="shared" ref="P36:P41" si="32">+$N$6/O36</f>
        <v>3086.4197530864194</v>
      </c>
      <c r="Q36" s="844"/>
      <c r="R36" s="882">
        <f t="shared" si="23"/>
        <v>5.9021999999999997</v>
      </c>
      <c r="S36" s="881">
        <f t="shared" si="24"/>
        <v>5.9021999999999997</v>
      </c>
      <c r="T36" s="830">
        <f t="shared" si="31"/>
        <v>34.835964839999995</v>
      </c>
      <c r="U36" s="837">
        <f t="shared" si="10"/>
        <v>1250.4318511075867</v>
      </c>
      <c r="V36" s="831">
        <f t="shared" si="11"/>
        <v>1249.0740740740739</v>
      </c>
    </row>
    <row r="37" spans="1:22" ht="15" x14ac:dyDescent="0.2">
      <c r="B37" s="847">
        <v>4</v>
      </c>
      <c r="C37" s="830">
        <v>9</v>
      </c>
      <c r="D37" s="830">
        <f>+B37*C37</f>
        <v>36</v>
      </c>
      <c r="E37" s="831">
        <f t="shared" si="6"/>
        <v>1210</v>
      </c>
      <c r="F37" s="826"/>
      <c r="G37" s="832">
        <f t="shared" ref="G37:H45" si="33">+B37*0.3048</f>
        <v>1.2192000000000001</v>
      </c>
      <c r="H37" s="833">
        <f t="shared" si="33"/>
        <v>2.7432000000000003</v>
      </c>
      <c r="I37" s="830">
        <f t="shared" si="2"/>
        <v>3.3445094400000004</v>
      </c>
      <c r="J37" s="826">
        <f t="shared" si="7"/>
        <v>2989.9751157527003</v>
      </c>
      <c r="K37" s="831">
        <f t="shared" si="8"/>
        <v>2989.9100000000003</v>
      </c>
      <c r="L37" s="823"/>
      <c r="M37" s="847">
        <v>1.25</v>
      </c>
      <c r="N37" s="830">
        <v>2.75</v>
      </c>
      <c r="O37" s="825">
        <f t="shared" si="29"/>
        <v>3.4375</v>
      </c>
      <c r="P37" s="853">
        <f t="shared" si="32"/>
        <v>2909.090909090909</v>
      </c>
      <c r="Q37" s="844"/>
      <c r="R37" s="882">
        <f t="shared" si="23"/>
        <v>4.0987499999999999</v>
      </c>
      <c r="S37" s="881">
        <f t="shared" si="24"/>
        <v>9.0172500000000007</v>
      </c>
      <c r="T37" s="830">
        <f t="shared" si="31"/>
        <v>36.959453437500002</v>
      </c>
      <c r="U37" s="837">
        <f t="shared" si="10"/>
        <v>1178.5888574803141</v>
      </c>
      <c r="V37" s="831">
        <f t="shared" si="11"/>
        <v>1177.3090909090909</v>
      </c>
    </row>
    <row r="38" spans="1:22" ht="15" x14ac:dyDescent="0.2">
      <c r="B38" s="847">
        <v>4</v>
      </c>
      <c r="C38" s="830">
        <v>10</v>
      </c>
      <c r="D38" s="830">
        <f t="shared" ref="D38:D41" si="34">+B38*C38</f>
        <v>40</v>
      </c>
      <c r="E38" s="831">
        <f t="shared" si="6"/>
        <v>1089</v>
      </c>
      <c r="F38" s="826"/>
      <c r="G38" s="832">
        <f t="shared" si="33"/>
        <v>1.2192000000000001</v>
      </c>
      <c r="H38" s="833">
        <f t="shared" si="33"/>
        <v>3.048</v>
      </c>
      <c r="I38" s="830">
        <f t="shared" si="2"/>
        <v>3.7161216000000001</v>
      </c>
      <c r="J38" s="826">
        <f t="shared" si="7"/>
        <v>2690.9776041774303</v>
      </c>
      <c r="K38" s="831">
        <f t="shared" si="8"/>
        <v>2690.9189999999999</v>
      </c>
      <c r="L38" s="823"/>
      <c r="M38" s="847">
        <v>1.2</v>
      </c>
      <c r="N38" s="830">
        <v>3.1</v>
      </c>
      <c r="O38" s="825">
        <f t="shared" si="29"/>
        <v>3.7199999999999998</v>
      </c>
      <c r="P38" s="853">
        <f t="shared" si="32"/>
        <v>2688.172043010753</v>
      </c>
      <c r="Q38" s="841"/>
      <c r="R38" s="882">
        <f t="shared" si="23"/>
        <v>3.9347999999999996</v>
      </c>
      <c r="S38" s="881">
        <f t="shared" si="24"/>
        <v>10.164899999999999</v>
      </c>
      <c r="T38" s="830">
        <f t="shared" si="31"/>
        <v>39.996848519999993</v>
      </c>
      <c r="U38" s="837">
        <f t="shared" si="10"/>
        <v>1089.0858058033821</v>
      </c>
      <c r="V38" s="831">
        <f t="shared" si="11"/>
        <v>1087.9032258064517</v>
      </c>
    </row>
    <row r="39" spans="1:22" ht="15" x14ac:dyDescent="0.2">
      <c r="B39" s="847">
        <v>5</v>
      </c>
      <c r="C39" s="830">
        <v>8</v>
      </c>
      <c r="D39" s="830">
        <f t="shared" si="34"/>
        <v>40</v>
      </c>
      <c r="E39" s="831">
        <f t="shared" si="6"/>
        <v>1089</v>
      </c>
      <c r="F39" s="826"/>
      <c r="G39" s="832">
        <f t="shared" si="33"/>
        <v>1.524</v>
      </c>
      <c r="H39" s="833">
        <f t="shared" si="33"/>
        <v>2.4384000000000001</v>
      </c>
      <c r="I39" s="830">
        <f t="shared" si="2"/>
        <v>3.7161216000000001</v>
      </c>
      <c r="J39" s="826">
        <f t="shared" si="7"/>
        <v>2690.9776041774303</v>
      </c>
      <c r="K39" s="831">
        <f t="shared" si="8"/>
        <v>2690.9189999999999</v>
      </c>
      <c r="L39" s="823"/>
      <c r="M39" s="847">
        <v>1.5</v>
      </c>
      <c r="N39" s="830">
        <v>2.4</v>
      </c>
      <c r="O39" s="825">
        <f t="shared" si="29"/>
        <v>3.5999999999999996</v>
      </c>
      <c r="P39" s="853">
        <f t="shared" si="32"/>
        <v>2777.7777777777778</v>
      </c>
      <c r="Q39" s="844"/>
      <c r="R39" s="882">
        <f t="shared" si="23"/>
        <v>4.9184999999999999</v>
      </c>
      <c r="S39" s="881">
        <f t="shared" si="24"/>
        <v>7.8695999999999993</v>
      </c>
      <c r="T39" s="836">
        <f t="shared" si="31"/>
        <v>38.706627599999997</v>
      </c>
      <c r="U39" s="837">
        <f t="shared" si="10"/>
        <v>1125.388665996828</v>
      </c>
      <c r="V39" s="831">
        <f t="shared" si="11"/>
        <v>1124.1666666666667</v>
      </c>
    </row>
    <row r="40" spans="1:22" x14ac:dyDescent="0.2">
      <c r="B40" s="847">
        <v>6</v>
      </c>
      <c r="C40" s="830">
        <v>8</v>
      </c>
      <c r="D40" s="830">
        <f t="shared" si="34"/>
        <v>48</v>
      </c>
      <c r="E40" s="831">
        <f t="shared" si="6"/>
        <v>907.5</v>
      </c>
      <c r="F40" s="826"/>
      <c r="G40" s="832">
        <f t="shared" si="33"/>
        <v>1.8288000000000002</v>
      </c>
      <c r="H40" s="833">
        <f t="shared" si="33"/>
        <v>2.4384000000000001</v>
      </c>
      <c r="I40" s="830">
        <f t="shared" si="2"/>
        <v>4.4593459200000005</v>
      </c>
      <c r="J40" s="826">
        <f t="shared" si="7"/>
        <v>2242.4813368145251</v>
      </c>
      <c r="K40" s="831">
        <f t="shared" si="8"/>
        <v>2242.4324999999999</v>
      </c>
      <c r="L40" s="826"/>
      <c r="M40" s="847">
        <v>2</v>
      </c>
      <c r="N40" s="830">
        <v>2</v>
      </c>
      <c r="O40" s="825">
        <f t="shared" si="29"/>
        <v>4</v>
      </c>
      <c r="P40" s="853">
        <f t="shared" si="32"/>
        <v>2500</v>
      </c>
      <c r="Q40" s="844"/>
      <c r="R40" s="882">
        <f t="shared" si="23"/>
        <v>6.5579999999999998</v>
      </c>
      <c r="S40" s="881">
        <f t="shared" si="24"/>
        <v>6.5579999999999998</v>
      </c>
      <c r="T40" s="836">
        <f t="shared" si="31"/>
        <v>43.007363999999995</v>
      </c>
      <c r="U40" s="837">
        <f t="shared" si="10"/>
        <v>1012.8497993971453</v>
      </c>
      <c r="V40" s="831">
        <f t="shared" si="11"/>
        <v>1011.75</v>
      </c>
    </row>
    <row r="41" spans="1:22" x14ac:dyDescent="0.2">
      <c r="B41" s="847">
        <v>6</v>
      </c>
      <c r="C41" s="830">
        <v>9</v>
      </c>
      <c r="D41" s="830">
        <f t="shared" si="34"/>
        <v>54</v>
      </c>
      <c r="E41" s="831">
        <f t="shared" si="6"/>
        <v>806.66666666666663</v>
      </c>
      <c r="F41" s="826"/>
      <c r="G41" s="832">
        <f t="shared" si="33"/>
        <v>1.8288000000000002</v>
      </c>
      <c r="H41" s="833">
        <f t="shared" si="33"/>
        <v>2.7432000000000003</v>
      </c>
      <c r="I41" s="830">
        <f t="shared" si="2"/>
        <v>5.016764160000001</v>
      </c>
      <c r="J41" s="826">
        <f t="shared" si="7"/>
        <v>1993.3167438351334</v>
      </c>
      <c r="K41" s="831">
        <f t="shared" si="8"/>
        <v>1993.2733333333333</v>
      </c>
      <c r="L41" s="826"/>
      <c r="M41" s="847">
        <v>1.5</v>
      </c>
      <c r="N41" s="830">
        <v>3</v>
      </c>
      <c r="O41" s="825">
        <f t="shared" si="29"/>
        <v>4.5</v>
      </c>
      <c r="P41" s="853">
        <f t="shared" si="32"/>
        <v>2222.2222222222222</v>
      </c>
      <c r="Q41" s="844"/>
      <c r="R41" s="882">
        <f t="shared" si="23"/>
        <v>4.9184999999999999</v>
      </c>
      <c r="S41" s="881">
        <f t="shared" si="24"/>
        <v>9.8369999999999997</v>
      </c>
      <c r="T41" s="836">
        <f t="shared" si="31"/>
        <v>48.383284499999995</v>
      </c>
      <c r="U41" s="837">
        <f t="shared" si="10"/>
        <v>900.31093279746244</v>
      </c>
      <c r="V41" s="831">
        <f t="shared" si="11"/>
        <v>899.33333333333337</v>
      </c>
    </row>
    <row r="42" spans="1:22" x14ac:dyDescent="0.2">
      <c r="B42" s="847">
        <v>6</v>
      </c>
      <c r="C42" s="830">
        <v>10</v>
      </c>
      <c r="D42" s="830">
        <f>+B42*C42</f>
        <v>60</v>
      </c>
      <c r="E42" s="831">
        <f t="shared" si="6"/>
        <v>726</v>
      </c>
      <c r="F42" s="826"/>
      <c r="G42" s="832">
        <f t="shared" si="33"/>
        <v>1.8288000000000002</v>
      </c>
      <c r="H42" s="833">
        <f t="shared" si="33"/>
        <v>3.048</v>
      </c>
      <c r="I42" s="830">
        <f t="shared" si="2"/>
        <v>5.5741824000000006</v>
      </c>
      <c r="J42" s="826">
        <f t="shared" si="7"/>
        <v>1793.9850694516201</v>
      </c>
      <c r="K42" s="831">
        <f t="shared" si="8"/>
        <v>1793.9460000000001</v>
      </c>
      <c r="L42" s="826"/>
      <c r="M42" s="847">
        <v>1.8</v>
      </c>
      <c r="N42" s="830">
        <v>3</v>
      </c>
      <c r="O42" s="825">
        <f t="shared" si="29"/>
        <v>5.4</v>
      </c>
      <c r="P42" s="853">
        <f t="shared" ref="P42" si="35">+$N$6/O42</f>
        <v>1851.8518518518517</v>
      </c>
      <c r="Q42" s="844"/>
      <c r="R42" s="882">
        <f t="shared" si="23"/>
        <v>5.9021999999999997</v>
      </c>
      <c r="S42" s="881">
        <f t="shared" si="24"/>
        <v>9.8369999999999997</v>
      </c>
      <c r="T42" s="836">
        <f t="shared" si="31"/>
        <v>58.059941399999992</v>
      </c>
      <c r="U42" s="837">
        <f t="shared" si="10"/>
        <v>750.25911066455205</v>
      </c>
      <c r="V42" s="831">
        <f t="shared" si="11"/>
        <v>749.44444444444446</v>
      </c>
    </row>
    <row r="43" spans="1:22" x14ac:dyDescent="0.2">
      <c r="B43" s="870">
        <v>5</v>
      </c>
      <c r="C43" s="871">
        <v>12</v>
      </c>
      <c r="D43" s="830">
        <f>+B43*C43</f>
        <v>60</v>
      </c>
      <c r="E43" s="831">
        <f t="shared" si="6"/>
        <v>726</v>
      </c>
      <c r="F43" s="875"/>
      <c r="G43" s="873">
        <f t="shared" si="33"/>
        <v>1.524</v>
      </c>
      <c r="H43" s="874">
        <f t="shared" si="33"/>
        <v>3.6576000000000004</v>
      </c>
      <c r="I43" s="830">
        <f t="shared" si="2"/>
        <v>5.5741824000000006</v>
      </c>
      <c r="J43" s="826">
        <f t="shared" si="7"/>
        <v>1793.9850694516201</v>
      </c>
      <c r="K43" s="831">
        <f t="shared" si="8"/>
        <v>1793.9460000000001</v>
      </c>
      <c r="L43" s="826"/>
      <c r="M43" s="847">
        <v>1.5</v>
      </c>
      <c r="N43" s="830">
        <v>3.7</v>
      </c>
      <c r="O43" s="825">
        <f>+M43*N43</f>
        <v>5.5500000000000007</v>
      </c>
      <c r="P43" s="853">
        <f t="shared" ref="P43:P52" si="36">+$N$6/O43</f>
        <v>1801.8018018018015</v>
      </c>
      <c r="Q43" s="844"/>
      <c r="R43" s="882">
        <f t="shared" si="23"/>
        <v>4.9184999999999999</v>
      </c>
      <c r="S43" s="881">
        <f t="shared" si="24"/>
        <v>12.132300000000001</v>
      </c>
      <c r="T43" s="836">
        <f t="shared" si="31"/>
        <v>59.672717550000002</v>
      </c>
      <c r="U43" s="837">
        <f t="shared" si="10"/>
        <v>729.98183740334775</v>
      </c>
      <c r="V43" s="831">
        <f t="shared" si="11"/>
        <v>729.18918918918905</v>
      </c>
    </row>
    <row r="44" spans="1:22" x14ac:dyDescent="0.2">
      <c r="B44" s="847">
        <v>8</v>
      </c>
      <c r="C44" s="830">
        <v>8</v>
      </c>
      <c r="D44" s="830">
        <f>+B44*C44</f>
        <v>64</v>
      </c>
      <c r="E44" s="831">
        <f t="shared" si="6"/>
        <v>680.625</v>
      </c>
      <c r="F44" s="826"/>
      <c r="G44" s="832">
        <f t="shared" si="33"/>
        <v>2.4384000000000001</v>
      </c>
      <c r="H44" s="833">
        <f t="shared" si="33"/>
        <v>2.4384000000000001</v>
      </c>
      <c r="I44" s="830">
        <f t="shared" si="2"/>
        <v>5.9457945600000004</v>
      </c>
      <c r="J44" s="826">
        <f t="shared" si="7"/>
        <v>1681.861002610894</v>
      </c>
      <c r="K44" s="831">
        <f t="shared" si="8"/>
        <v>1681.8243750000001</v>
      </c>
      <c r="L44" s="826"/>
      <c r="M44" s="847">
        <v>2.4</v>
      </c>
      <c r="N44" s="830">
        <v>2.4</v>
      </c>
      <c r="O44" s="825">
        <f t="shared" ref="O44:O52" si="37">+M44*N44</f>
        <v>5.76</v>
      </c>
      <c r="P44" s="853">
        <f t="shared" si="36"/>
        <v>1736.1111111111111</v>
      </c>
      <c r="Q44" s="844"/>
      <c r="R44" s="882">
        <f t="shared" si="23"/>
        <v>7.8695999999999993</v>
      </c>
      <c r="S44" s="881">
        <f t="shared" si="24"/>
        <v>7.8695999999999993</v>
      </c>
      <c r="T44" s="836">
        <f t="shared" si="31"/>
        <v>61.930604159999987</v>
      </c>
      <c r="U44" s="837">
        <f t="shared" si="10"/>
        <v>703.36791624801754</v>
      </c>
      <c r="V44" s="831">
        <f t="shared" si="11"/>
        <v>702.60416666666663</v>
      </c>
    </row>
    <row r="45" spans="1:22" x14ac:dyDescent="0.2">
      <c r="A45" s="104"/>
      <c r="B45" s="847">
        <v>7</v>
      </c>
      <c r="C45" s="830">
        <v>10</v>
      </c>
      <c r="D45" s="830">
        <f>+B45*C45</f>
        <v>70</v>
      </c>
      <c r="E45" s="831">
        <f t="shared" si="6"/>
        <v>622.28571428571433</v>
      </c>
      <c r="F45" s="826"/>
      <c r="G45" s="832">
        <f t="shared" si="33"/>
        <v>2.1335999999999999</v>
      </c>
      <c r="H45" s="833">
        <f t="shared" si="33"/>
        <v>3.048</v>
      </c>
      <c r="I45" s="830">
        <f t="shared" si="2"/>
        <v>6.5032128</v>
      </c>
      <c r="J45" s="826">
        <f t="shared" si="7"/>
        <v>1537.7014881013888</v>
      </c>
      <c r="K45" s="831">
        <f t="shared" si="8"/>
        <v>1537.6680000000001</v>
      </c>
      <c r="L45" s="826"/>
      <c r="M45" s="847">
        <v>2</v>
      </c>
      <c r="N45" s="830">
        <v>3</v>
      </c>
      <c r="O45" s="825">
        <f t="shared" si="37"/>
        <v>6</v>
      </c>
      <c r="P45" s="853">
        <f t="shared" si="36"/>
        <v>1666.6666666666667</v>
      </c>
      <c r="Q45" s="844"/>
      <c r="R45" s="882">
        <f t="shared" si="23"/>
        <v>6.5579999999999998</v>
      </c>
      <c r="S45" s="881">
        <f t="shared" si="24"/>
        <v>9.8369999999999997</v>
      </c>
      <c r="T45" s="836">
        <f t="shared" si="31"/>
        <v>64.511045999999993</v>
      </c>
      <c r="U45" s="837">
        <f t="shared" si="10"/>
        <v>675.2331995980968</v>
      </c>
      <c r="V45" s="831">
        <f t="shared" si="11"/>
        <v>674.5</v>
      </c>
    </row>
    <row r="46" spans="1:22" ht="15" x14ac:dyDescent="0.2">
      <c r="B46" s="838"/>
      <c r="C46" s="839"/>
      <c r="D46" s="848"/>
      <c r="E46" s="831"/>
      <c r="F46" s="840"/>
      <c r="G46" s="849"/>
      <c r="H46" s="850"/>
      <c r="I46" s="830"/>
      <c r="J46" s="826"/>
      <c r="K46" s="831"/>
      <c r="L46" s="854"/>
      <c r="M46" s="847">
        <v>2.5</v>
      </c>
      <c r="N46" s="830">
        <v>2.5</v>
      </c>
      <c r="O46" s="825">
        <f t="shared" si="37"/>
        <v>6.25</v>
      </c>
      <c r="P46" s="853">
        <f t="shared" si="36"/>
        <v>1600</v>
      </c>
      <c r="Q46" s="844"/>
      <c r="R46" s="882">
        <f t="shared" si="23"/>
        <v>8.1974999999999998</v>
      </c>
      <c r="S46" s="881">
        <f t="shared" si="24"/>
        <v>8.1974999999999998</v>
      </c>
      <c r="T46" s="836">
        <f t="shared" si="31"/>
        <v>67.199006249999996</v>
      </c>
      <c r="U46" s="837">
        <f t="shared" si="10"/>
        <v>648.22387161417294</v>
      </c>
      <c r="V46" s="831">
        <f t="shared" si="11"/>
        <v>647.52</v>
      </c>
    </row>
    <row r="47" spans="1:22" ht="15" x14ac:dyDescent="0.2">
      <c r="B47" s="847">
        <v>6</v>
      </c>
      <c r="C47" s="830">
        <v>12</v>
      </c>
      <c r="D47" s="830">
        <f>+B47*C47</f>
        <v>72</v>
      </c>
      <c r="E47" s="831">
        <f t="shared" si="6"/>
        <v>605</v>
      </c>
      <c r="F47" s="826"/>
      <c r="G47" s="832">
        <f>+B47*0.3048</f>
        <v>1.8288000000000002</v>
      </c>
      <c r="H47" s="833">
        <f>+C47*0.3048</f>
        <v>3.6576000000000004</v>
      </c>
      <c r="I47" s="830">
        <f t="shared" si="2"/>
        <v>6.6890188800000017</v>
      </c>
      <c r="J47" s="826">
        <f t="shared" si="7"/>
        <v>1494.9875578763499</v>
      </c>
      <c r="K47" s="831">
        <f t="shared" si="8"/>
        <v>1494.9550000000002</v>
      </c>
      <c r="L47" s="823"/>
      <c r="M47" s="847">
        <v>1.8</v>
      </c>
      <c r="N47" s="830">
        <v>3.6</v>
      </c>
      <c r="O47" s="825">
        <f>+M47*N47</f>
        <v>6.48</v>
      </c>
      <c r="P47" s="853">
        <f t="shared" si="36"/>
        <v>1543.2098765432097</v>
      </c>
      <c r="Q47" s="844"/>
      <c r="R47" s="882">
        <f t="shared" si="23"/>
        <v>5.9021999999999997</v>
      </c>
      <c r="S47" s="881">
        <f t="shared" si="24"/>
        <v>11.804399999999999</v>
      </c>
      <c r="T47" s="830">
        <f>+R47*S47</f>
        <v>69.671929679999991</v>
      </c>
      <c r="U47" s="837">
        <f t="shared" si="10"/>
        <v>625.21592555379334</v>
      </c>
      <c r="V47" s="831">
        <f t="shared" si="11"/>
        <v>624.53703703703695</v>
      </c>
    </row>
    <row r="48" spans="1:22" ht="15" x14ac:dyDescent="0.2">
      <c r="B48" s="847">
        <v>8</v>
      </c>
      <c r="C48" s="830">
        <v>9</v>
      </c>
      <c r="D48" s="830">
        <f>+B48*C48</f>
        <v>72</v>
      </c>
      <c r="E48" s="831">
        <f t="shared" si="6"/>
        <v>605</v>
      </c>
      <c r="F48" s="826"/>
      <c r="G48" s="832">
        <f t="shared" ref="G48:H52" si="38">+B48*0.3048</f>
        <v>2.4384000000000001</v>
      </c>
      <c r="H48" s="833">
        <f t="shared" si="38"/>
        <v>2.7432000000000003</v>
      </c>
      <c r="I48" s="830">
        <f t="shared" si="2"/>
        <v>6.6890188800000008</v>
      </c>
      <c r="J48" s="826">
        <f t="shared" si="7"/>
        <v>1494.9875578763501</v>
      </c>
      <c r="K48" s="831">
        <f t="shared" si="8"/>
        <v>1494.9550000000002</v>
      </c>
      <c r="L48" s="823"/>
      <c r="M48" s="847">
        <v>2.4</v>
      </c>
      <c r="N48" s="830">
        <v>3</v>
      </c>
      <c r="O48" s="825">
        <f t="shared" si="37"/>
        <v>7.1999999999999993</v>
      </c>
      <c r="P48" s="853">
        <f t="shared" si="36"/>
        <v>1388.8888888888889</v>
      </c>
      <c r="Q48" s="844"/>
      <c r="R48" s="882">
        <f t="shared" si="23"/>
        <v>7.8695999999999993</v>
      </c>
      <c r="S48" s="881">
        <f t="shared" si="24"/>
        <v>9.8369999999999997</v>
      </c>
      <c r="T48" s="830">
        <f t="shared" si="31"/>
        <v>77.413255199999995</v>
      </c>
      <c r="U48" s="837">
        <f t="shared" si="10"/>
        <v>562.69433299841398</v>
      </c>
      <c r="V48" s="831">
        <f t="shared" si="11"/>
        <v>562.08333333333337</v>
      </c>
    </row>
    <row r="49" spans="1:22" ht="15" x14ac:dyDescent="0.2">
      <c r="B49" s="847">
        <v>8</v>
      </c>
      <c r="C49" s="830">
        <v>10</v>
      </c>
      <c r="D49" s="830">
        <f>+B49*C49</f>
        <v>80</v>
      </c>
      <c r="E49" s="831">
        <f t="shared" si="6"/>
        <v>544.5</v>
      </c>
      <c r="F49" s="826"/>
      <c r="G49" s="832">
        <f t="shared" si="38"/>
        <v>2.4384000000000001</v>
      </c>
      <c r="H49" s="833">
        <f t="shared" si="38"/>
        <v>3.048</v>
      </c>
      <c r="I49" s="830">
        <f t="shared" si="2"/>
        <v>7.4322432000000003</v>
      </c>
      <c r="J49" s="826">
        <f t="shared" si="7"/>
        <v>1345.4888020887151</v>
      </c>
      <c r="K49" s="831">
        <f t="shared" si="8"/>
        <v>1345.4594999999999</v>
      </c>
      <c r="L49" s="823"/>
      <c r="M49" s="847">
        <v>2.5</v>
      </c>
      <c r="N49" s="830">
        <v>3</v>
      </c>
      <c r="O49" s="825">
        <f t="shared" si="37"/>
        <v>7.5</v>
      </c>
      <c r="P49" s="853">
        <f t="shared" si="36"/>
        <v>1333.3333333333333</v>
      </c>
      <c r="Q49" s="844"/>
      <c r="R49" s="882">
        <f t="shared" si="23"/>
        <v>8.1974999999999998</v>
      </c>
      <c r="S49" s="881">
        <f t="shared" si="24"/>
        <v>9.8369999999999997</v>
      </c>
      <c r="T49" s="836">
        <f t="shared" si="31"/>
        <v>80.638807499999999</v>
      </c>
      <c r="U49" s="837">
        <f t="shared" si="10"/>
        <v>540.18655967847735</v>
      </c>
      <c r="V49" s="831">
        <f t="shared" si="11"/>
        <v>539.6</v>
      </c>
    </row>
    <row r="50" spans="1:22" ht="15" x14ac:dyDescent="0.2">
      <c r="B50" s="847">
        <v>9</v>
      </c>
      <c r="C50" s="830">
        <v>9</v>
      </c>
      <c r="D50" s="830">
        <f>+B50*C50</f>
        <v>81</v>
      </c>
      <c r="E50" s="831">
        <f t="shared" si="6"/>
        <v>537.77777777777783</v>
      </c>
      <c r="F50" s="826"/>
      <c r="G50" s="832">
        <f t="shared" si="38"/>
        <v>2.7432000000000003</v>
      </c>
      <c r="H50" s="833">
        <f t="shared" si="38"/>
        <v>2.7432000000000003</v>
      </c>
      <c r="I50" s="830">
        <f t="shared" si="2"/>
        <v>7.5251462400000015</v>
      </c>
      <c r="J50" s="826">
        <f t="shared" si="7"/>
        <v>1328.8778292234222</v>
      </c>
      <c r="K50" s="831">
        <f t="shared" si="8"/>
        <v>1328.848888888889</v>
      </c>
      <c r="L50" s="823"/>
      <c r="M50" s="847">
        <v>2.75</v>
      </c>
      <c r="N50" s="830">
        <v>2.75</v>
      </c>
      <c r="O50" s="825">
        <f t="shared" si="37"/>
        <v>7.5625</v>
      </c>
      <c r="P50" s="853">
        <f t="shared" si="36"/>
        <v>1322.3140495867769</v>
      </c>
      <c r="Q50" s="844"/>
      <c r="R50" s="882">
        <f t="shared" si="23"/>
        <v>9.0172500000000007</v>
      </c>
      <c r="S50" s="881">
        <f t="shared" si="24"/>
        <v>9.0172500000000007</v>
      </c>
      <c r="T50" s="836">
        <f t="shared" si="31"/>
        <v>81.310797562500014</v>
      </c>
      <c r="U50" s="837">
        <f t="shared" si="10"/>
        <v>535.72220794559735</v>
      </c>
      <c r="V50" s="831">
        <f t="shared" si="11"/>
        <v>535.14049586776866</v>
      </c>
    </row>
    <row r="51" spans="1:22" ht="15" x14ac:dyDescent="0.2">
      <c r="A51" s="104"/>
      <c r="B51" s="847">
        <v>8</v>
      </c>
      <c r="C51" s="830">
        <v>12</v>
      </c>
      <c r="D51" s="830">
        <f>+B51*C51</f>
        <v>96</v>
      </c>
      <c r="E51" s="831">
        <f t="shared" si="6"/>
        <v>453.75</v>
      </c>
      <c r="F51" s="826"/>
      <c r="G51" s="832">
        <f t="shared" si="38"/>
        <v>2.4384000000000001</v>
      </c>
      <c r="H51" s="833">
        <f t="shared" si="38"/>
        <v>3.6576000000000004</v>
      </c>
      <c r="I51" s="830">
        <f t="shared" si="2"/>
        <v>8.918691840000001</v>
      </c>
      <c r="J51" s="826">
        <f t="shared" si="7"/>
        <v>1121.2406684072625</v>
      </c>
      <c r="K51" s="831">
        <f t="shared" si="8"/>
        <v>1121.2162499999999</v>
      </c>
      <c r="L51" s="823"/>
      <c r="M51" s="847">
        <v>2.4</v>
      </c>
      <c r="N51" s="830">
        <v>3.7</v>
      </c>
      <c r="O51" s="825">
        <f t="shared" si="37"/>
        <v>8.8800000000000008</v>
      </c>
      <c r="P51" s="853">
        <f t="shared" si="36"/>
        <v>1126.1261261261261</v>
      </c>
      <c r="Q51" s="844"/>
      <c r="R51" s="882">
        <f t="shared" si="23"/>
        <v>7.8695999999999993</v>
      </c>
      <c r="S51" s="881">
        <f t="shared" si="24"/>
        <v>12.132300000000001</v>
      </c>
      <c r="T51" s="836">
        <f t="shared" si="31"/>
        <v>95.476348079999994</v>
      </c>
      <c r="U51" s="837">
        <f t="shared" si="10"/>
        <v>456.23864837709243</v>
      </c>
      <c r="V51" s="831">
        <f t="shared" si="11"/>
        <v>455.74324324324323</v>
      </c>
    </row>
    <row r="52" spans="1:22" ht="15.75" thickBot="1" x14ac:dyDescent="0.25">
      <c r="B52" s="855">
        <v>10</v>
      </c>
      <c r="C52" s="856">
        <v>10</v>
      </c>
      <c r="D52" s="856">
        <f t="shared" ref="D52" si="39">+B52*C52</f>
        <v>100</v>
      </c>
      <c r="E52" s="857">
        <f t="shared" si="6"/>
        <v>435.6</v>
      </c>
      <c r="F52" s="826"/>
      <c r="G52" s="858">
        <f t="shared" si="38"/>
        <v>3.048</v>
      </c>
      <c r="H52" s="859">
        <f t="shared" si="38"/>
        <v>3.048</v>
      </c>
      <c r="I52" s="856">
        <f t="shared" si="2"/>
        <v>9.2903040000000008</v>
      </c>
      <c r="J52" s="861">
        <f t="shared" si="7"/>
        <v>1076.3910416709721</v>
      </c>
      <c r="K52" s="857">
        <f t="shared" si="8"/>
        <v>1076.3676</v>
      </c>
      <c r="L52" s="823"/>
      <c r="M52" s="855">
        <v>3</v>
      </c>
      <c r="N52" s="856">
        <v>3</v>
      </c>
      <c r="O52" s="860">
        <f t="shared" si="37"/>
        <v>9</v>
      </c>
      <c r="P52" s="869">
        <f t="shared" si="36"/>
        <v>1111.1111111111111</v>
      </c>
      <c r="Q52" s="844"/>
      <c r="R52" s="883">
        <f t="shared" si="23"/>
        <v>9.8369999999999997</v>
      </c>
      <c r="S52" s="884">
        <f t="shared" si="24"/>
        <v>9.8369999999999997</v>
      </c>
      <c r="T52" s="862">
        <f t="shared" si="31"/>
        <v>96.76656899999999</v>
      </c>
      <c r="U52" s="863">
        <f t="shared" si="10"/>
        <v>450.15546639873122</v>
      </c>
      <c r="V52" s="857">
        <f t="shared" si="11"/>
        <v>449.66666666666669</v>
      </c>
    </row>
    <row r="53" spans="1:22" ht="15.75" x14ac:dyDescent="0.3">
      <c r="B53" s="320" t="s">
        <v>2145</v>
      </c>
      <c r="J53" s="771"/>
      <c r="K53" s="772"/>
      <c r="L53" s="787"/>
      <c r="M53" s="786" t="s">
        <v>2148</v>
      </c>
      <c r="N53" s="776"/>
      <c r="O53" s="774"/>
      <c r="P53" s="772"/>
      <c r="Q53" s="772"/>
      <c r="R53" s="774"/>
      <c r="S53" s="774"/>
      <c r="T53" s="776"/>
      <c r="U53" s="772"/>
      <c r="V53" s="788"/>
    </row>
    <row r="54" spans="1:22" ht="16.5" x14ac:dyDescent="0.3">
      <c r="B54" s="776" t="s">
        <v>2146</v>
      </c>
      <c r="C54" s="791"/>
      <c r="D54" s="792"/>
      <c r="E54" s="775"/>
      <c r="F54" s="790"/>
      <c r="G54" s="771"/>
      <c r="H54" s="771"/>
      <c r="I54" s="771"/>
      <c r="J54" s="771"/>
      <c r="K54" s="772"/>
      <c r="L54" s="787"/>
      <c r="M54" s="786" t="s">
        <v>2149</v>
      </c>
      <c r="N54" s="776"/>
      <c r="O54" s="774"/>
      <c r="P54" s="772"/>
      <c r="Q54" s="772"/>
      <c r="R54" s="774"/>
      <c r="S54" s="774"/>
      <c r="T54" s="776"/>
      <c r="U54" s="772"/>
      <c r="V54" s="788"/>
    </row>
    <row r="55" spans="1:22" ht="16.5" x14ac:dyDescent="0.3">
      <c r="B55" s="776" t="s">
        <v>2147</v>
      </c>
      <c r="C55" s="776"/>
      <c r="D55" s="774"/>
      <c r="E55" s="772"/>
      <c r="F55" s="777"/>
      <c r="G55" s="771"/>
      <c r="H55" s="771"/>
      <c r="I55" s="771"/>
      <c r="J55" s="793"/>
      <c r="K55" s="772"/>
      <c r="L55" s="789"/>
      <c r="M55" s="786" t="s">
        <v>2150</v>
      </c>
      <c r="N55" s="776"/>
      <c r="O55" s="774"/>
      <c r="P55" s="772"/>
      <c r="Q55" s="772"/>
      <c r="R55" s="774"/>
      <c r="S55" s="774"/>
      <c r="T55" s="774"/>
      <c r="U55" s="774"/>
      <c r="V55" s="788"/>
    </row>
    <row r="56" spans="1:22" ht="15" x14ac:dyDescent="0.3">
      <c r="B56" s="776"/>
      <c r="C56" s="776"/>
      <c r="D56" s="774"/>
      <c r="E56" s="772"/>
      <c r="F56" s="777"/>
      <c r="G56" s="793"/>
      <c r="H56" s="793"/>
      <c r="I56" s="793"/>
      <c r="J56" s="793"/>
      <c r="K56" s="772"/>
      <c r="L56" s="789"/>
      <c r="M56" s="786"/>
      <c r="N56" s="776"/>
      <c r="O56" s="774"/>
      <c r="P56" s="772"/>
      <c r="Q56" s="772"/>
      <c r="R56" s="774"/>
      <c r="S56" s="774"/>
      <c r="T56" s="774"/>
      <c r="U56" s="774"/>
      <c r="V56" s="788"/>
    </row>
    <row r="57" spans="1:22" ht="15" x14ac:dyDescent="0.3">
      <c r="B57" s="776" t="s">
        <v>2112</v>
      </c>
      <c r="C57" s="386"/>
      <c r="D57" s="774"/>
      <c r="E57" s="772"/>
      <c r="F57" s="777"/>
      <c r="G57" s="793"/>
      <c r="H57" s="793"/>
      <c r="I57" s="793"/>
      <c r="J57" s="793"/>
      <c r="K57" s="772"/>
      <c r="L57" s="772"/>
      <c r="M57" s="386"/>
      <c r="N57" s="386"/>
      <c r="P57" s="765"/>
      <c r="Q57" s="765"/>
      <c r="V57" s="774"/>
    </row>
    <row r="58" spans="1:22" ht="15" x14ac:dyDescent="0.3">
      <c r="B58" s="776"/>
      <c r="C58" s="776" t="s">
        <v>2113</v>
      </c>
      <c r="D58" s="774"/>
      <c r="E58" s="772"/>
      <c r="F58" s="777"/>
      <c r="G58" s="793"/>
      <c r="H58" s="793"/>
      <c r="I58" s="793"/>
      <c r="J58" s="793"/>
      <c r="K58" s="772"/>
      <c r="L58" s="772"/>
      <c r="M58" s="386"/>
      <c r="N58" s="386"/>
      <c r="P58" s="765"/>
      <c r="Q58" s="765"/>
      <c r="V58" s="774"/>
    </row>
    <row r="59" spans="1:22" ht="15" x14ac:dyDescent="0.3">
      <c r="B59" s="776"/>
      <c r="C59" s="776"/>
      <c r="D59" s="774"/>
      <c r="E59" s="772"/>
      <c r="F59" s="777"/>
      <c r="G59" s="793"/>
      <c r="H59" s="793"/>
      <c r="I59" s="793"/>
      <c r="J59" s="793"/>
      <c r="K59" s="772"/>
      <c r="L59" s="772"/>
      <c r="M59" s="386"/>
      <c r="N59" s="386"/>
      <c r="P59" s="765"/>
      <c r="Q59" s="765"/>
      <c r="V59" s="774"/>
    </row>
  </sheetData>
  <mergeCells count="3">
    <mergeCell ref="B2:K2"/>
    <mergeCell ref="M2:V2"/>
    <mergeCell ref="B1:K1"/>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Sites</vt:lpstr>
      <vt:lpstr>Soils</vt:lpstr>
      <vt:lpstr>WCYP SELECT </vt:lpstr>
      <vt:lpstr>Growth Pattern</vt:lpstr>
      <vt:lpstr>Conversion Factors</vt:lpstr>
      <vt:lpstr>Notes</vt:lpstr>
      <vt:lpstr>References</vt:lpstr>
      <vt:lpstr>Spacing conversions</vt:lpstr>
    </vt:vector>
  </TitlesOfParts>
  <Company>ORNL</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Lynn Wright</dc:creator>
  <cp:lastModifiedBy>Wright, Lynn L.</cp:lastModifiedBy>
  <cp:lastPrinted>2011-10-11T18:05:09Z</cp:lastPrinted>
  <dcterms:created xsi:type="dcterms:W3CDTF">2009-09-16T15:56:41Z</dcterms:created>
  <dcterms:modified xsi:type="dcterms:W3CDTF">2013-10-08T20:31:04Z</dcterms:modified>
</cp:coreProperties>
</file>